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trlProps/ctrlProp3.xml" ContentType="application/vnd.ms-excel.controlproperties+xml"/>
  <Override PartName="/xl/slicers/slicer1.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theme/themeOverride1.xml" ContentType="application/vnd.openxmlformats-officedocument.themeOverride+xml"/>
  <Override PartName="/xl/drawings/drawing10.xml" ContentType="application/vnd.openxmlformats-officedocument.drawingml.chartshapes+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charts/chartEx1.xml" ContentType="application/vnd.ms-office.chartex+xml"/>
  <Override PartName="/xl/charts/style13.xml" ContentType="application/vnd.ms-office.chartstyle+xml"/>
  <Override PartName="/xl/charts/colors13.xml" ContentType="application/vnd.ms-office.chartcolorstyle+xml"/>
  <Override PartName="/xl/charts/chartEx2.xml" ContentType="application/vnd.ms-office.chartex+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Ex3.xml" ContentType="application/vnd.ms-office.chartex+xml"/>
  <Override PartName="/xl/charts/style18.xml" ContentType="application/vnd.ms-office.chartstyle+xml"/>
  <Override PartName="/xl/charts/colors18.xml" ContentType="application/vnd.ms-office.chartcolorstyle+xml"/>
  <Override PartName="/xl/charts/chartEx4.xml" ContentType="application/vnd.ms-office.chartex+xml"/>
  <Override PartName="/xl/charts/style19.xml" ContentType="application/vnd.ms-office.chartstyle+xml"/>
  <Override PartName="/xl/charts/colors19.xml" ContentType="application/vnd.ms-office.chartcolorstyle+xml"/>
  <Override PartName="/xl/charts/chartEx5.xml" ContentType="application/vnd.ms-office.chartex+xml"/>
  <Override PartName="/xl/charts/style20.xml" ContentType="application/vnd.ms-office.chartstyle+xml"/>
  <Override PartName="/xl/charts/colors20.xml" ContentType="application/vnd.ms-office.chartcolorstyle+xml"/>
  <Override PartName="/xl/charts/chartEx6.xml" ContentType="application/vnd.ms-office.chartex+xml"/>
  <Override PartName="/xl/charts/style21.xml" ContentType="application/vnd.ms-office.chartstyle+xml"/>
  <Override PartName="/xl/charts/colors21.xml" ContentType="application/vnd.ms-office.chartcolorstyle+xml"/>
  <Override PartName="/xl/charts/chart18.xml" ContentType="application/vnd.openxmlformats-officedocument.drawingml.chart+xml"/>
  <Override PartName="/xl/charts/style22.xml" ContentType="application/vnd.ms-office.chartstyle+xml"/>
  <Override PartName="/xl/charts/colors22.xml" ContentType="application/vnd.ms-office.chartcolorstyle+xml"/>
  <Override PartName="/xl/charts/chart19.xml" ContentType="application/vnd.openxmlformats-officedocument.drawingml.chart+xml"/>
  <Override PartName="/xl/charts/style23.xml" ContentType="application/vnd.ms-office.chartstyle+xml"/>
  <Override PartName="/xl/charts/colors23.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5.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harts/chart22.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6.xml" ContentType="application/vnd.openxmlformats-officedocument.drawingml.chartshapes+xml"/>
  <Override PartName="/xl/charts/chart23.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7.xml" ContentType="application/vnd.openxmlformats-officedocument.drawingml.chartshapes+xml"/>
  <Override PartName="/xl/charts/chart24.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8.xml" ContentType="application/vnd.openxmlformats-officedocument.drawingml.chartshapes+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charts/chart26.xml" ContentType="application/vnd.openxmlformats-officedocument.drawingml.chart+xml"/>
  <Override PartName="/xl/charts/style29.xml" ContentType="application/vnd.ms-office.chartstyle+xml"/>
  <Override PartName="/xl/charts/colors29.xml" ContentType="application/vnd.ms-office.chartcolorstyle+xml"/>
  <Override PartName="/xl/charts/chart27.xml" ContentType="application/vnd.openxmlformats-officedocument.drawingml.chart+xml"/>
  <Override PartName="/xl/charts/style30.xml" ContentType="application/vnd.ms-office.chartstyle+xml"/>
  <Override PartName="/xl/charts/colors30.xml" ContentType="application/vnd.ms-office.chartcolorstyle+xml"/>
  <Override PartName="/xl/charts/chart28.xml" ContentType="application/vnd.openxmlformats-officedocument.drawingml.chart+xml"/>
  <Override PartName="/xl/charts/style31.xml" ContentType="application/vnd.ms-office.chartstyle+xml"/>
  <Override PartName="/xl/charts/colors31.xml" ContentType="application/vnd.ms-office.chartcolorstyle+xml"/>
  <Override PartName="/xl/charts/chart29.xml" ContentType="application/vnd.openxmlformats-officedocument.drawingml.chart+xml"/>
  <Override PartName="/xl/charts/style32.xml" ContentType="application/vnd.ms-office.chartstyle+xml"/>
  <Override PartName="/xl/charts/colors32.xml" ContentType="application/vnd.ms-office.chartcolorstyle+xml"/>
  <Override PartName="/xl/charts/chart30.xml" ContentType="application/vnd.openxmlformats-officedocument.drawingml.chart+xml"/>
  <Override PartName="/xl/charts/style33.xml" ContentType="application/vnd.ms-office.chartstyle+xml"/>
  <Override PartName="/xl/charts/colors33.xml" ContentType="application/vnd.ms-office.chartcolorstyle+xml"/>
  <Override PartName="/xl/charts/chart31.xml" ContentType="application/vnd.openxmlformats-officedocument.drawingml.chart+xml"/>
  <Override PartName="/xl/charts/style34.xml" ContentType="application/vnd.ms-office.chartstyle+xml"/>
  <Override PartName="/xl/charts/colors34.xml" ContentType="application/vnd.ms-office.chartcolorstyle+xml"/>
  <Override PartName="/xl/charts/chart32.xml" ContentType="application/vnd.openxmlformats-officedocument.drawingml.chart+xml"/>
  <Override PartName="/xl/charts/style35.xml" ContentType="application/vnd.ms-office.chartstyle+xml"/>
  <Override PartName="/xl/charts/colors35.xml" ContentType="application/vnd.ms-office.chartcolorstyle+xml"/>
  <Override PartName="/xl/charts/chart33.xml" ContentType="application/vnd.openxmlformats-officedocument.drawingml.chart+xml"/>
  <Override PartName="/xl/charts/style36.xml" ContentType="application/vnd.ms-office.chartstyle+xml"/>
  <Override PartName="/xl/charts/colors36.xml" ContentType="application/vnd.ms-office.chartcolorstyle+xml"/>
  <Override PartName="/xl/charts/chart34.xml" ContentType="application/vnd.openxmlformats-officedocument.drawingml.chart+xml"/>
  <Override PartName="/xl/charts/style37.xml" ContentType="application/vnd.ms-office.chartstyle+xml"/>
  <Override PartName="/xl/charts/colors37.xml" ContentType="application/vnd.ms-office.chartcolorstyle+xml"/>
  <Override PartName="/xl/charts/chart35.xml" ContentType="application/vnd.openxmlformats-officedocument.drawingml.chart+xml"/>
  <Override PartName="/xl/charts/style38.xml" ContentType="application/vnd.ms-office.chartstyle+xml"/>
  <Override PartName="/xl/charts/colors38.xml" ContentType="application/vnd.ms-office.chartcolorstyle+xml"/>
  <Override PartName="/xl/charts/chart36.xml" ContentType="application/vnd.openxmlformats-officedocument.drawingml.chart+xml"/>
  <Override PartName="/xl/charts/style39.xml" ContentType="application/vnd.ms-office.chartstyle+xml"/>
  <Override PartName="/xl/charts/colors39.xml" ContentType="application/vnd.ms-office.chartcolorstyle+xml"/>
  <Override PartName="/xl/charts/chart37.xml" ContentType="application/vnd.openxmlformats-officedocument.drawingml.chart+xml"/>
  <Override PartName="/xl/charts/style40.xml" ContentType="application/vnd.ms-office.chartstyle+xml"/>
  <Override PartName="/xl/charts/colors40.xml" ContentType="application/vnd.ms-office.chartcolorstyle+xml"/>
  <Override PartName="/xl/charts/chart38.xml" ContentType="application/vnd.openxmlformats-officedocument.drawingml.chart+xml"/>
  <Override PartName="/xl/charts/style41.xml" ContentType="application/vnd.ms-office.chartstyle+xml"/>
  <Override PartName="/xl/charts/colors41.xml" ContentType="application/vnd.ms-office.chartcolorstyle+xml"/>
  <Override PartName="/xl/charts/chart39.xml" ContentType="application/vnd.openxmlformats-officedocument.drawingml.chart+xml"/>
  <Override PartName="/xl/charts/style42.xml" ContentType="application/vnd.ms-office.chartstyle+xml"/>
  <Override PartName="/xl/charts/colors42.xml" ContentType="application/vnd.ms-office.chartcolorstyle+xml"/>
  <Override PartName="/xl/charts/chart40.xml" ContentType="application/vnd.openxmlformats-officedocument.drawingml.chart+xml"/>
  <Override PartName="/xl/charts/style43.xml" ContentType="application/vnd.ms-office.chartstyle+xml"/>
  <Override PartName="/xl/charts/colors43.xml" ContentType="application/vnd.ms-office.chartcolorstyle+xml"/>
  <Override PartName="/xl/charts/chart41.xml" ContentType="application/vnd.openxmlformats-officedocument.drawingml.chart+xml"/>
  <Override PartName="/xl/charts/style44.xml" ContentType="application/vnd.ms-office.chartstyle+xml"/>
  <Override PartName="/xl/charts/colors44.xml" ContentType="application/vnd.ms-office.chartcolorstyle+xml"/>
  <Override PartName="/xl/charts/chart42.xml" ContentType="application/vnd.openxmlformats-officedocument.drawingml.chart+xml"/>
  <Override PartName="/xl/charts/style45.xml" ContentType="application/vnd.ms-office.chartstyle+xml"/>
  <Override PartName="/xl/charts/colors45.xml" ContentType="application/vnd.ms-office.chartcolorstyle+xml"/>
  <Override PartName="/xl/charts/chart43.xml" ContentType="application/vnd.openxmlformats-officedocument.drawingml.chart+xml"/>
  <Override PartName="/xl/charts/style46.xml" ContentType="application/vnd.ms-office.chartstyle+xml"/>
  <Override PartName="/xl/charts/colors46.xml" ContentType="application/vnd.ms-office.chartcolorstyle+xml"/>
  <Override PartName="/xl/charts/chart44.xml" ContentType="application/vnd.openxmlformats-officedocument.drawingml.chart+xml"/>
  <Override PartName="/xl/charts/style47.xml" ContentType="application/vnd.ms-office.chartstyle+xml"/>
  <Override PartName="/xl/charts/colors47.xml" ContentType="application/vnd.ms-office.chartcolorstyle+xml"/>
  <Override PartName="/xl/charts/chart45.xml" ContentType="application/vnd.openxmlformats-officedocument.drawingml.chart+xml"/>
  <Override PartName="/xl/charts/style48.xml" ContentType="application/vnd.ms-office.chartstyle+xml"/>
  <Override PartName="/xl/charts/colors48.xml" ContentType="application/vnd.ms-office.chartcolorstyle+xml"/>
  <Override PartName="/xl/charts/chart46.xml" ContentType="application/vnd.openxmlformats-officedocument.drawingml.chart+xml"/>
  <Override PartName="/xl/charts/style49.xml" ContentType="application/vnd.ms-office.chartstyle+xml"/>
  <Override PartName="/xl/charts/colors49.xml" ContentType="application/vnd.ms-office.chartcolorstyle+xml"/>
  <Override PartName="/xl/charts/chart47.xml" ContentType="application/vnd.openxmlformats-officedocument.drawingml.chart+xml"/>
  <Override PartName="/xl/charts/style50.xml" ContentType="application/vnd.ms-office.chartstyle+xml"/>
  <Override PartName="/xl/charts/colors50.xml" ContentType="application/vnd.ms-office.chartcolorstyle+xml"/>
  <Override PartName="/xl/charts/chart48.xml" ContentType="application/vnd.openxmlformats-officedocument.drawingml.chart+xml"/>
  <Override PartName="/xl/charts/style51.xml" ContentType="application/vnd.ms-office.chartstyle+xml"/>
  <Override PartName="/xl/charts/colors51.xml" ContentType="application/vnd.ms-office.chartcolorstyle+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9.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20.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21.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22.xml" ContentType="application/vnd.openxmlformats-officedocument.drawingml.chartshapes+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style55.xml" ContentType="application/vnd.ms-office.chartstyle+xml"/>
  <Override PartName="/xl/charts/colors55.xml" ContentType="application/vnd.ms-office.chartcolorstyle+xml"/>
  <Override PartName="/xl/charts/chart59.xml" ContentType="application/vnd.openxmlformats-officedocument.drawingml.chart+xml"/>
  <Override PartName="/xl/charts/style56.xml" ContentType="application/vnd.ms-office.chartstyle+xml"/>
  <Override PartName="/xl/charts/colors56.xml" ContentType="application/vnd.ms-office.chartcolorstyle+xml"/>
  <Override PartName="/xl/charts/chart60.xml" ContentType="application/vnd.openxmlformats-officedocument.drawingml.chart+xml"/>
  <Override PartName="/xl/charts/style57.xml" ContentType="application/vnd.ms-office.chartstyle+xml"/>
  <Override PartName="/xl/charts/colors57.xml" ContentType="application/vnd.ms-office.chartcolorstyle+xml"/>
  <Override PartName="/xl/charts/chart61.xml" ContentType="application/vnd.openxmlformats-officedocument.drawingml.chart+xml"/>
  <Override PartName="/xl/charts/style58.xml" ContentType="application/vnd.ms-office.chartstyle+xml"/>
  <Override PartName="/xl/charts/colors58.xml" ContentType="application/vnd.ms-office.chartcolorstyle+xml"/>
  <Override PartName="/xl/charts/chart62.xml" ContentType="application/vnd.openxmlformats-officedocument.drawingml.chart+xml"/>
  <Override PartName="/xl/charts/style59.xml" ContentType="application/vnd.ms-office.chartstyle+xml"/>
  <Override PartName="/xl/charts/colors59.xml" ContentType="application/vnd.ms-office.chartcolorstyle+xml"/>
  <Override PartName="/xl/charts/chart63.xml" ContentType="application/vnd.openxmlformats-officedocument.drawingml.chart+xml"/>
  <Override PartName="/xl/charts/style60.xml" ContentType="application/vnd.ms-office.chartstyle+xml"/>
  <Override PartName="/xl/charts/colors60.xml" ContentType="application/vnd.ms-office.chartcolorstyle+xml"/>
  <Override PartName="/xl/charts/chart64.xml" ContentType="application/vnd.openxmlformats-officedocument.drawingml.chart+xml"/>
  <Override PartName="/xl/charts/style61.xml" ContentType="application/vnd.ms-office.chartstyle+xml"/>
  <Override PartName="/xl/charts/colors61.xml" ContentType="application/vnd.ms-office.chartcolorstyle+xml"/>
  <Override PartName="/xl/charts/chart65.xml" ContentType="application/vnd.openxmlformats-officedocument.drawingml.chart+xml"/>
  <Override PartName="/xl/charts/style62.xml" ContentType="application/vnd.ms-office.chartstyle+xml"/>
  <Override PartName="/xl/charts/colors62.xml" ContentType="application/vnd.ms-office.chartcolorstyle+xml"/>
  <Override PartName="/xl/charts/chart66.xml" ContentType="application/vnd.openxmlformats-officedocument.drawingml.chart+xml"/>
  <Override PartName="/xl/charts/style63.xml" ContentType="application/vnd.ms-office.chartstyle+xml"/>
  <Override PartName="/xl/charts/colors63.xml" ContentType="application/vnd.ms-office.chartcolorstyle+xml"/>
  <Override PartName="/xl/charts/chart67.xml" ContentType="application/vnd.openxmlformats-officedocument.drawingml.chart+xml"/>
  <Override PartName="/xl/charts/style64.xml" ContentType="application/vnd.ms-office.chartstyle+xml"/>
  <Override PartName="/xl/charts/colors64.xml" ContentType="application/vnd.ms-office.chartcolorstyle+xml"/>
  <Override PartName="/xl/charts/chart68.xml" ContentType="application/vnd.openxmlformats-officedocument.drawingml.chart+xml"/>
  <Override PartName="/xl/charts/style65.xml" ContentType="application/vnd.ms-office.chartstyle+xml"/>
  <Override PartName="/xl/charts/colors65.xml" ContentType="application/vnd.ms-office.chartcolorstyle+xml"/>
  <Override PartName="/xl/charts/chart69.xml" ContentType="application/vnd.openxmlformats-officedocument.drawingml.chart+xml"/>
  <Override PartName="/xl/charts/style66.xml" ContentType="application/vnd.ms-office.chartstyle+xml"/>
  <Override PartName="/xl/charts/colors66.xml" ContentType="application/vnd.ms-office.chartcolorstyle+xml"/>
  <Override PartName="/xl/charts/chart70.xml" ContentType="application/vnd.openxmlformats-officedocument.drawingml.chart+xml"/>
  <Override PartName="/xl/charts/style67.xml" ContentType="application/vnd.ms-office.chartstyle+xml"/>
  <Override PartName="/xl/charts/colors67.xml" ContentType="application/vnd.ms-office.chartcolorstyle+xml"/>
  <Override PartName="/xl/charts/chart71.xml" ContentType="application/vnd.openxmlformats-officedocument.drawingml.chart+xml"/>
  <Override PartName="/xl/charts/style68.xml" ContentType="application/vnd.ms-office.chartstyle+xml"/>
  <Override PartName="/xl/charts/colors68.xml" ContentType="application/vnd.ms-office.chartcolorstyle+xml"/>
  <Override PartName="/xl/charts/chart72.xml" ContentType="application/vnd.openxmlformats-officedocument.drawingml.chart+xml"/>
  <Override PartName="/xl/charts/style69.xml" ContentType="application/vnd.ms-office.chartstyle+xml"/>
  <Override PartName="/xl/charts/colors69.xml" ContentType="application/vnd.ms-office.chartcolorstyle+xml"/>
  <Override PartName="/xl/charts/chart73.xml" ContentType="application/vnd.openxmlformats-officedocument.drawingml.chart+xml"/>
  <Override PartName="/xl/charts/style70.xml" ContentType="application/vnd.ms-office.chartstyle+xml"/>
  <Override PartName="/xl/charts/colors70.xml" ContentType="application/vnd.ms-office.chartcolorstyle+xml"/>
  <Override PartName="/xl/charts/chart74.xml" ContentType="application/vnd.openxmlformats-officedocument.drawingml.chart+xml"/>
  <Override PartName="/xl/charts/style71.xml" ContentType="application/vnd.ms-office.chartstyle+xml"/>
  <Override PartName="/xl/charts/colors71.xml" ContentType="application/vnd.ms-office.chartcolorstyle+xml"/>
  <Override PartName="/xl/charts/chart75.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23.xml" ContentType="application/vnd.openxmlformats-officedocument.drawing+xml"/>
  <Override PartName="/xl/ctrlProps/ctrlProp16.xml" ContentType="application/vnd.ms-excel.controlproperties+xml"/>
  <Override PartName="/xl/charts/chart76.xml" ContentType="application/vnd.openxmlformats-officedocument.drawingml.chart+xml"/>
  <Override PartName="/xl/theme/themeOverride2.xml" ContentType="application/vnd.openxmlformats-officedocument.themeOverride+xml"/>
  <Override PartName="/xl/drawings/drawing24.xml" ContentType="application/vnd.openxmlformats-officedocument.drawingml.chartshapes+xml"/>
  <Override PartName="/xl/charts/chart77.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3.xml" ContentType="application/vnd.openxmlformats-officedocument.themeOverride+xml"/>
  <Override PartName="/xl/charts/chart78.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4.xml" ContentType="application/vnd.openxmlformats-officedocument.themeOverride+xml"/>
  <Override PartName="/xl/charts/chart79.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5.xml" ContentType="application/vnd.openxmlformats-officedocument.themeOverride+xml"/>
  <Override PartName="/xl/charts/chart80.xml" ContentType="application/vnd.openxmlformats-officedocument.drawingml.chart+xml"/>
  <Override PartName="/xl/theme/themeOverride6.xml" ContentType="application/vnd.openxmlformats-officedocument.themeOverride+xml"/>
  <Override PartName="/xl/charts/chart81.xml" ContentType="application/vnd.openxmlformats-officedocument.drawingml.chart+xml"/>
  <Override PartName="/xl/theme/themeOverride7.xml" ContentType="application/vnd.openxmlformats-officedocument.themeOverride+xml"/>
  <Override PartName="/xl/drawings/drawing25.xml" ContentType="application/vnd.openxmlformats-officedocument.drawingml.chartshapes+xml"/>
  <Override PartName="/xl/charts/chart82.xml" ContentType="application/vnd.openxmlformats-officedocument.drawingml.chart+xml"/>
  <Override PartName="/xl/theme/themeOverride8.xml" ContentType="application/vnd.openxmlformats-officedocument.themeOverride+xml"/>
  <Override PartName="/xl/charts/chart83.xml" ContentType="application/vnd.openxmlformats-officedocument.drawingml.chart+xml"/>
  <Override PartName="/xl/theme/themeOverride9.xml" ContentType="application/vnd.openxmlformats-officedocument.themeOverride+xml"/>
  <Override PartName="/xl/drawings/drawing26.xml" ContentType="application/vnd.openxmlformats-officedocument.drawing+xml"/>
  <Override PartName="/xl/ctrlProps/ctrlProp17.xml" ContentType="application/vnd.ms-excel.controlproperties+xml"/>
  <Override PartName="/xl/charts/chart84.xml" ContentType="application/vnd.openxmlformats-officedocument.drawingml.chart+xml"/>
  <Override PartName="/xl/theme/themeOverride10.xml" ContentType="application/vnd.openxmlformats-officedocument.themeOverride+xml"/>
  <Override PartName="/xl/drawings/drawing27.xml" ContentType="application/vnd.openxmlformats-officedocument.drawingml.chartshapes+xml"/>
  <Override PartName="/xl/charts/chart85.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11.xml" ContentType="application/vnd.openxmlformats-officedocument.themeOverride+xml"/>
  <Override PartName="/xl/charts/chart86.xml" ContentType="application/vnd.openxmlformats-officedocument.drawingml.chart+xml"/>
  <Override PartName="/xl/theme/themeOverride12.xml" ContentType="application/vnd.openxmlformats-officedocument.themeOverride+xml"/>
  <Override PartName="/xl/charts/chart87.xml" ContentType="application/vnd.openxmlformats-officedocument.drawingml.chart+xml"/>
  <Override PartName="/xl/theme/themeOverride13.xml" ContentType="application/vnd.openxmlformats-officedocument.themeOverride+xml"/>
  <Override PartName="/xl/drawings/drawing28.xml" ContentType="application/vnd.openxmlformats-officedocument.drawingml.chartshapes+xml"/>
  <Override PartName="/xl/charts/chart88.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14.xml" ContentType="application/vnd.openxmlformats-officedocument.themeOverride+xml"/>
  <Override PartName="/xl/charts/chart89.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15.xml" ContentType="application/vnd.openxmlformats-officedocument.themeOverride+xml"/>
  <Override PartName="/xl/charts/chart90.xml" ContentType="application/vnd.openxmlformats-officedocument.drawingml.chart+xml"/>
  <Override PartName="/xl/theme/themeOverride16.xml" ContentType="application/vnd.openxmlformats-officedocument.themeOverride+xml"/>
  <Override PartName="/xl/charts/chart91.xml" ContentType="application/vnd.openxmlformats-officedocument.drawingml.chart+xml"/>
  <Override PartName="/xl/theme/themeOverride17.xml" ContentType="application/vnd.openxmlformats-officedocument.themeOverride+xml"/>
  <Override PartName="/xl/drawings/drawing29.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harts/chart92.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30.xml" ContentType="application/vnd.openxmlformats-officedocument.drawingml.chartshapes+xml"/>
  <Override PartName="/xl/charts/chart93.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31.xml" ContentType="application/vnd.openxmlformats-officedocument.drawingml.chartshapes+xml"/>
  <Override PartName="/xl/charts/chart94.xml" ContentType="application/vnd.openxmlformats-officedocument.drawingml.chart+xml"/>
  <Override PartName="/xl/theme/themeOverride18.xml" ContentType="application/vnd.openxmlformats-officedocument.themeOverride+xml"/>
  <Override PartName="/xl/charts/chart95.xml" ContentType="application/vnd.openxmlformats-officedocument.drawingml.chart+xml"/>
  <Override PartName="/xl/theme/themeOverride19.xml" ContentType="application/vnd.openxmlformats-officedocument.themeOverride+xml"/>
  <Override PartName="/xl/drawings/drawing32.xml" ContentType="application/vnd.openxmlformats-officedocument.drawingml.chartshapes+xml"/>
  <Override PartName="/xl/charts/chart96.xml" ContentType="application/vnd.openxmlformats-officedocument.drawingml.chart+xml"/>
  <Override PartName="/xl/theme/themeOverride20.xml" ContentType="application/vnd.openxmlformats-officedocument.themeOverride+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style81.xml" ContentType="application/vnd.ms-office.chartstyle+xml"/>
  <Override PartName="/xl/charts/colors81.xml" ContentType="application/vnd.ms-office.chartcolorstyle+xml"/>
  <Override PartName="/xl/charts/chart100.xml" ContentType="application/vnd.openxmlformats-officedocument.drawingml.chart+xml"/>
  <Override PartName="/xl/charts/style82.xml" ContentType="application/vnd.ms-office.chartstyle+xml"/>
  <Override PartName="/xl/charts/colors82.xml" ContentType="application/vnd.ms-office.chartcolorstyle+xml"/>
  <Override PartName="/xl/charts/chart101.xml" ContentType="application/vnd.openxmlformats-officedocument.drawingml.chart+xml"/>
  <Override PartName="/xl/charts/style83.xml" ContentType="application/vnd.ms-office.chartstyle+xml"/>
  <Override PartName="/xl/charts/colors83.xml" ContentType="application/vnd.ms-office.chartcolorstyle+xml"/>
  <Override PartName="/xl/charts/chart102.xml" ContentType="application/vnd.openxmlformats-officedocument.drawingml.chart+xml"/>
  <Override PartName="/xl/charts/style84.xml" ContentType="application/vnd.ms-office.chartstyle+xml"/>
  <Override PartName="/xl/charts/colors84.xml" ContentType="application/vnd.ms-office.chartcolorstyle+xml"/>
  <Override PartName="/xl/charts/chart103.xml" ContentType="application/vnd.openxmlformats-officedocument.drawingml.chart+xml"/>
  <Override PartName="/xl/charts/style85.xml" ContentType="application/vnd.ms-office.chartstyle+xml"/>
  <Override PartName="/xl/charts/colors85.xml" ContentType="application/vnd.ms-office.chartcolorstyle+xml"/>
  <Override PartName="/xl/charts/chart104.xml" ContentType="application/vnd.openxmlformats-officedocument.drawingml.chart+xml"/>
  <Override PartName="/xl/charts/chart105.xml" ContentType="application/vnd.openxmlformats-officedocument.drawingml.chart+xml"/>
  <Override PartName="/xl/drawings/drawing33.xml" ContentType="application/vnd.openxmlformats-officedocument.drawing+xml"/>
  <Override PartName="/xl/ctrlProps/ctrlProp22.xml" ContentType="application/vnd.ms-excel.controlproperties+xml"/>
  <Override PartName="/xl/charts/chart10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21.xml" ContentType="application/vnd.openxmlformats-officedocument.themeOverride+xml"/>
  <Override PartName="/xl/charts/chart10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22.xml" ContentType="application/vnd.openxmlformats-officedocument.themeOverride+xml"/>
  <Override PartName="/xl/charts/chart10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23.xml" ContentType="application/vnd.openxmlformats-officedocument.themeOverride+xml"/>
  <Override PartName="/xl/charts/chart10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24.xml" ContentType="application/vnd.openxmlformats-officedocument.themeOverride+xml"/>
  <Override PartName="/xl/charts/chart11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25.xml" ContentType="application/vnd.openxmlformats-officedocument.themeOverride+xml"/>
  <Override PartName="/xl/charts/chart11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26.xml" ContentType="application/vnd.openxmlformats-officedocument.themeOverride+xml"/>
  <Override PartName="/xl/charts/chart112.xml" ContentType="application/vnd.openxmlformats-officedocument.drawingml.chart+xml"/>
  <Override PartName="/xl/theme/themeOverride27.xml" ContentType="application/vnd.openxmlformats-officedocument.themeOverride+xml"/>
  <Override PartName="/xl/drawings/drawing34.xml" ContentType="application/vnd.openxmlformats-officedocument.drawing+xml"/>
  <Override PartName="/xl/ctrlProps/ctrlProp23.xml" ContentType="application/vnd.ms-excel.controlproperties+xml"/>
  <Override PartName="/xl/charts/chart113.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35.xml" ContentType="application/vnd.openxmlformats-officedocument.drawingml.chartshapes+xml"/>
  <Override PartName="/xl/charts/chart114.xml" ContentType="application/vnd.openxmlformats-officedocument.drawingml.chart+xml"/>
  <Override PartName="/xl/charts/style93.xml" ContentType="application/vnd.ms-office.chartstyle+xml"/>
  <Override PartName="/xl/charts/colors93.xml" ContentType="application/vnd.ms-office.chartcolorstyle+xml"/>
  <Override PartName="/xl/charts/chart115.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trlProps/ctrlProp24.xml" ContentType="application/vnd.ms-excel.controlproperties+xml"/>
  <Override PartName="/xl/charts/chart116.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38.xml" ContentType="application/vnd.openxmlformats-officedocument.drawingml.chartshapes+xml"/>
  <Override PartName="/xl/charts/chart117.xml" ContentType="application/vnd.openxmlformats-officedocument.drawingml.chart+xml"/>
  <Override PartName="/xl/charts/style96.xml" ContentType="application/vnd.ms-office.chartstyle+xml"/>
  <Override PartName="/xl/charts/colors96.xml" ContentType="application/vnd.ms-office.chartcolorstyle+xml"/>
  <Override PartName="/xl/charts/chart118.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harts/chart119.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41.xml" ContentType="application/vnd.openxmlformats-officedocument.drawingml.chartshapes+xml"/>
  <Override PartName="/xl/charts/chart120.xml" ContentType="application/vnd.openxmlformats-officedocument.drawingml.chart+xml"/>
  <Override PartName="/xl/drawings/drawing42.xml" ContentType="application/vnd.openxmlformats-officedocument.drawingml.chartshapes+xml"/>
  <Override PartName="/xl/charts/chart121.xml" ContentType="application/vnd.openxmlformats-officedocument.drawingml.chart+xml"/>
  <Override PartName="/xl/charts/style99.xml" ContentType="application/vnd.ms-office.chartstyle+xml"/>
  <Override PartName="/xl/charts/colors99.xml" ContentType="application/vnd.ms-office.chartcolorstyle+xml"/>
  <Override PartName="/xl/charts/chart122.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23.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24.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25.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26.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27.xml" ContentType="application/vnd.openxmlformats-officedocument.drawingml.chart+xml"/>
  <Override PartName="/xl/theme/themeOverride28.xml" ContentType="application/vnd.openxmlformats-officedocument.themeOverride+xml"/>
  <Override PartName="/xl/charts/chart128.xml" ContentType="application/vnd.openxmlformats-officedocument.drawingml.chart+xml"/>
  <Override PartName="/xl/theme/themeOverride29.xml" ContentType="application/vnd.openxmlformats-officedocument.themeOverride+xml"/>
  <Override PartName="/xl/drawings/drawing43.xml" ContentType="application/vnd.openxmlformats-officedocument.drawingml.chartshapes+xml"/>
  <Override PartName="/xl/charts/chart129.xml" ContentType="application/vnd.openxmlformats-officedocument.drawingml.chart+xml"/>
  <Override PartName="/xl/theme/themeOverride30.xml" ContentType="application/vnd.openxmlformats-officedocument.themeOverride+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33.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34.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35.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36.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42.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43.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44.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45.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46.xml" ContentType="application/vnd.openxmlformats-officedocument.drawingml.chart+xml"/>
  <Override PartName="/xl/charts/chart147.xml" ContentType="application/vnd.openxmlformats-officedocument.drawingml.chart+xml"/>
  <Override PartName="/xl/drawings/drawing44.xml" ContentType="application/vnd.openxmlformats-officedocument.drawing+xml"/>
  <Override PartName="/xl/ctrlProps/ctrlProp34.xml" ContentType="application/vnd.ms-excel.controlproperties+xml"/>
  <Override PartName="/xl/charts/chart148.xml" ContentType="application/vnd.openxmlformats-officedocument.drawingml.chart+xml"/>
  <Override PartName="/xl/theme/themeOverride31.xml" ContentType="application/vnd.openxmlformats-officedocument.themeOverride+xml"/>
  <Override PartName="/xl/drawings/drawing45.xml" ContentType="application/vnd.openxmlformats-officedocument.drawingml.chartshapes+xml"/>
  <Override PartName="/xl/charts/chart149.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46.xml" ContentType="application/vnd.openxmlformats-officedocument.drawingml.chartshapes+xml"/>
  <Override PartName="/xl/charts/chart150.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51.xml" ContentType="application/vnd.openxmlformats-officedocument.drawingml.chart+xml"/>
  <Override PartName="/xl/charts/style117.xml" ContentType="application/vnd.ms-office.chartstyle+xml"/>
  <Override PartName="/xl/charts/colors117.xml" ContentType="application/vnd.ms-office.chartcolorstyle+xml"/>
  <Override PartName="/xl/pivotTables/pivotTable1.xml" ContentType="application/vnd.openxmlformats-officedocument.spreadsheetml.pivotTable+xml"/>
  <Override PartName="/xl/drawings/drawing47.xml" ContentType="application/vnd.openxmlformats-officedocument.drawing+xml"/>
  <Override PartName="/xl/slicers/slicer2.xml" ContentType="application/vnd.ms-excel.slicer+xml"/>
  <Override PartName="/xl/charts/chart152.xml" ContentType="application/vnd.openxmlformats-officedocument.drawingml.chart+xml"/>
  <Override PartName="/xl/charts/style118.xml" ContentType="application/vnd.ms-office.chartstyle+xml"/>
  <Override PartName="/xl/charts/colors118.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8.xml" ContentType="application/vnd.openxmlformats-officedocument.drawing+xml"/>
  <Override PartName="/xl/slicers/slicer3.xml" ContentType="application/vnd.ms-excel.slicer+xml"/>
  <Override PartName="/xl/charts/chart153.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harts/chart154.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53.xml" ContentType="application/vnd.openxmlformats-officedocument.drawingml.chartshapes+xml"/>
  <Override PartName="/xl/charts/chart155.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54.xml" ContentType="application/vnd.openxmlformats-officedocument.drawingml.chartshapes+xml"/>
  <Override PartName="/xl/charts/chart156.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55.xml" ContentType="application/vnd.openxmlformats-officedocument.drawingml.chartshapes+xml"/>
  <Override PartName="/xl/charts/chart157.xml" ContentType="application/vnd.openxmlformats-officedocument.drawingml.chart+xml"/>
  <Override PartName="/xl/charts/style123.xml" ContentType="application/vnd.ms-office.chartstyle+xml"/>
  <Override PartName="/xl/charts/colors123.xml" ContentType="application/vnd.ms-office.chartcolorstyle+xml"/>
  <Override PartName="/xl/charts/chartEx7.xml" ContentType="application/vnd.ms-office.chartex+xml"/>
  <Override PartName="/xl/charts/style124.xml" ContentType="application/vnd.ms-office.chartstyle+xml"/>
  <Override PartName="/xl/charts/colors124.xml" ContentType="application/vnd.ms-office.chartcolorstyle+xml"/>
  <Override PartName="/xl/charts/chartEx8.xml" ContentType="application/vnd.ms-office.chartex+xml"/>
  <Override PartName="/xl/charts/style125.xml" ContentType="application/vnd.ms-office.chartstyle+xml"/>
  <Override PartName="/xl/charts/colors125.xml" ContentType="application/vnd.ms-office.chartcolorstyle+xml"/>
  <Override PartName="/xl/charts/chart158.xml" ContentType="application/vnd.openxmlformats-officedocument.drawingml.chart+xml"/>
  <Override PartName="/xl/charts/style126.xml" ContentType="application/vnd.ms-office.chartstyle+xml"/>
  <Override PartName="/xl/charts/colors126.xml" ContentType="application/vnd.ms-office.chartcolorstyle+xml"/>
  <Override PartName="/xl/charts/chartEx9.xml" ContentType="application/vnd.ms-office.chartex+xml"/>
  <Override PartName="/xl/charts/style127.xml" ContentType="application/vnd.ms-office.chartstyle+xml"/>
  <Override PartName="/xl/charts/colors127.xml" ContentType="application/vnd.ms-office.chartcolorstyle+xml"/>
  <Override PartName="/xl/charts/chartEx10.xml" ContentType="application/vnd.ms-office.chartex+xml"/>
  <Override PartName="/xl/charts/style128.xml" ContentType="application/vnd.ms-office.chartstyle+xml"/>
  <Override PartName="/xl/charts/colors128.xml" ContentType="application/vnd.ms-office.chartcolorstyle+xml"/>
  <Override PartName="/xl/charts/chartEx11.xml" ContentType="application/vnd.ms-office.chartex+xml"/>
  <Override PartName="/xl/charts/style129.xml" ContentType="application/vnd.ms-office.chartstyle+xml"/>
  <Override PartName="/xl/charts/colors129.xml" ContentType="application/vnd.ms-office.chartcolorstyle+xml"/>
  <Override PartName="/xl/charts/chartEx12.xml" ContentType="application/vnd.ms-office.chartex+xml"/>
  <Override PartName="/xl/charts/style130.xml" ContentType="application/vnd.ms-office.chartstyle+xml"/>
  <Override PartName="/xl/charts/colors130.xml" ContentType="application/vnd.ms-office.chartcolorstyle+xml"/>
  <Override PartName="/xl/charts/chart159.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drawings/drawing56.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harts/chart163.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57.xml" ContentType="application/vnd.openxmlformats-officedocument.drawingml.chartshapes+xml"/>
  <Override PartName="/xl/charts/chart164.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58.xml" ContentType="application/vnd.openxmlformats-officedocument.drawingml.chartshapes+xml"/>
  <Override PartName="/xl/charts/chart165.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59.xml" ContentType="application/vnd.openxmlformats-officedocument.drawingml.chartshapes+xml"/>
  <Override PartName="/xl/charts/chart166.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67.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68.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69.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70.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71.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72.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73.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74.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75.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76.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77.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78.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79.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80.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81.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82.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83.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84.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85.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86.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87.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88.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89.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drawings/drawing60.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harts/chart193.xml" ContentType="application/vnd.openxmlformats-officedocument.drawingml.chart+xml"/>
  <Override PartName="/xl/charts/style159.xml" ContentType="application/vnd.ms-office.chartstyle+xml"/>
  <Override PartName="/xl/charts/colors159.xml" ContentType="application/vnd.ms-office.chartcolorstyle+xml"/>
  <Override PartName="/xl/drawings/drawing61.xml" ContentType="application/vnd.openxmlformats-officedocument.drawingml.chartshapes+xml"/>
  <Override PartName="/xl/charts/chart194.xml" ContentType="application/vnd.openxmlformats-officedocument.drawingml.chart+xml"/>
  <Override PartName="/xl/charts/style160.xml" ContentType="application/vnd.ms-office.chartstyle+xml"/>
  <Override PartName="/xl/charts/colors160.xml" ContentType="application/vnd.ms-office.chartcolorstyle+xml"/>
  <Override PartName="/xl/drawings/drawing62.xml" ContentType="application/vnd.openxmlformats-officedocument.drawingml.chartshapes+xml"/>
  <Override PartName="/xl/charts/chart195.xml" ContentType="application/vnd.openxmlformats-officedocument.drawingml.chart+xml"/>
  <Override PartName="/xl/charts/style161.xml" ContentType="application/vnd.ms-office.chartstyle+xml"/>
  <Override PartName="/xl/charts/colors161.xml" ContentType="application/vnd.ms-office.chartcolorstyle+xml"/>
  <Override PartName="/xl/drawings/drawing63.xml" ContentType="application/vnd.openxmlformats-officedocument.drawingml.chartshapes+xml"/>
  <Override PartName="/xl/charts/chart196.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97.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style164.xml" ContentType="application/vnd.ms-office.chartstyle+xml"/>
  <Override PartName="/xl/charts/colors164.xml" ContentType="application/vnd.ms-office.chartcolorstyle+xml"/>
  <Override PartName="/xl/charts/chart202.xml" ContentType="application/vnd.openxmlformats-officedocument.drawingml.chart+xml"/>
  <Override PartName="/xl/charts/style165.xml" ContentType="application/vnd.ms-office.chartstyle+xml"/>
  <Override PartName="/xl/charts/colors165.xml" ContentType="application/vnd.ms-office.chartcolorstyle+xml"/>
  <Override PartName="/xl/charts/chart203.xml" ContentType="application/vnd.openxmlformats-officedocument.drawingml.chart+xml"/>
  <Override PartName="/xl/charts/style166.xml" ContentType="application/vnd.ms-office.chartstyle+xml"/>
  <Override PartName="/xl/charts/colors166.xml" ContentType="application/vnd.ms-office.chartcolorstyle+xml"/>
  <Override PartName="/xl/charts/chart204.xml" ContentType="application/vnd.openxmlformats-officedocument.drawingml.chart+xml"/>
  <Override PartName="/xl/charts/style167.xml" ContentType="application/vnd.ms-office.chartstyle+xml"/>
  <Override PartName="/xl/charts/colors167.xml" ContentType="application/vnd.ms-office.chartcolorstyle+xml"/>
  <Override PartName="/xl/charts/chart205.xml" ContentType="application/vnd.openxmlformats-officedocument.drawingml.chart+xml"/>
  <Override PartName="/xl/charts/style168.xml" ContentType="application/vnd.ms-office.chartstyle+xml"/>
  <Override PartName="/xl/charts/colors168.xml" ContentType="application/vnd.ms-office.chartcolorstyle+xml"/>
  <Override PartName="/xl/charts/chart206.xml" ContentType="application/vnd.openxmlformats-officedocument.drawingml.chart+xml"/>
  <Override PartName="/xl/charts/style169.xml" ContentType="application/vnd.ms-office.chartstyle+xml"/>
  <Override PartName="/xl/charts/colors169.xml" ContentType="application/vnd.ms-office.chartcolorstyle+xml"/>
  <Override PartName="/xl/charts/chart207.xml" ContentType="application/vnd.openxmlformats-officedocument.drawingml.chart+xml"/>
  <Override PartName="/xl/charts/style170.xml" ContentType="application/vnd.ms-office.chartstyle+xml"/>
  <Override PartName="/xl/charts/colors170.xml" ContentType="application/vnd.ms-office.chartcolorstyle+xml"/>
  <Override PartName="/xl/charts/chart208.xml" ContentType="application/vnd.openxmlformats-officedocument.drawingml.chart+xml"/>
  <Override PartName="/xl/charts/style171.xml" ContentType="application/vnd.ms-office.chartstyle+xml"/>
  <Override PartName="/xl/charts/colors171.xml" ContentType="application/vnd.ms-office.chartcolorstyle+xml"/>
  <Override PartName="/xl/charts/chart209.xml" ContentType="application/vnd.openxmlformats-officedocument.drawingml.chart+xml"/>
  <Override PartName="/xl/charts/style172.xml" ContentType="application/vnd.ms-office.chartstyle+xml"/>
  <Override PartName="/xl/charts/colors172.xml" ContentType="application/vnd.ms-office.chartcolorstyle+xml"/>
  <Override PartName="/xl/charts/chart210.xml" ContentType="application/vnd.openxmlformats-officedocument.drawingml.chart+xml"/>
  <Override PartName="/xl/charts/style173.xml" ContentType="application/vnd.ms-office.chartstyle+xml"/>
  <Override PartName="/xl/charts/colors173.xml" ContentType="application/vnd.ms-office.chartcolorstyle+xml"/>
  <Override PartName="/xl/charts/chart211.xml" ContentType="application/vnd.openxmlformats-officedocument.drawingml.chart+xml"/>
  <Override PartName="/xl/charts/style174.xml" ContentType="application/vnd.ms-office.chartstyle+xml"/>
  <Override PartName="/xl/charts/colors174.xml" ContentType="application/vnd.ms-office.chartcolorstyle+xml"/>
  <Override PartName="/xl/charts/chart212.xml" ContentType="application/vnd.openxmlformats-officedocument.drawingml.chart+xml"/>
  <Override PartName="/xl/charts/style175.xml" ContentType="application/vnd.ms-office.chartstyle+xml"/>
  <Override PartName="/xl/charts/colors175.xml" ContentType="application/vnd.ms-office.chartcolorstyle+xml"/>
  <Override PartName="/xl/charts/chart213.xml" ContentType="application/vnd.openxmlformats-officedocument.drawingml.chart+xml"/>
  <Override PartName="/xl/charts/style176.xml" ContentType="application/vnd.ms-office.chartstyle+xml"/>
  <Override PartName="/xl/charts/colors176.xml" ContentType="application/vnd.ms-office.chartcolorstyle+xml"/>
  <Override PartName="/xl/charts/chart214.xml" ContentType="application/vnd.openxmlformats-officedocument.drawingml.chart+xml"/>
  <Override PartName="/xl/charts/style177.xml" ContentType="application/vnd.ms-office.chartstyle+xml"/>
  <Override PartName="/xl/charts/colors177.xml" ContentType="application/vnd.ms-office.chartcolorstyle+xml"/>
  <Override PartName="/xl/charts/chart215.xml" ContentType="application/vnd.openxmlformats-officedocument.drawingml.chart+xml"/>
  <Override PartName="/xl/charts/style178.xml" ContentType="application/vnd.ms-office.chartstyle+xml"/>
  <Override PartName="/xl/charts/colors178.xml" ContentType="application/vnd.ms-office.chartcolorstyle+xml"/>
  <Override PartName="/xl/charts/chart216.xml" ContentType="application/vnd.openxmlformats-officedocument.drawingml.chart+xml"/>
  <Override PartName="/xl/charts/style179.xml" ContentType="application/vnd.ms-office.chartstyle+xml"/>
  <Override PartName="/xl/charts/colors179.xml" ContentType="application/vnd.ms-office.chartcolorstyle+xml"/>
  <Override PartName="/xl/charts/chart217.xml" ContentType="application/vnd.openxmlformats-officedocument.drawingml.chart+xml"/>
  <Override PartName="/xl/charts/style180.xml" ContentType="application/vnd.ms-office.chartstyle+xml"/>
  <Override PartName="/xl/charts/colors180.xml" ContentType="application/vnd.ms-office.chartcolorstyle+xml"/>
  <Override PartName="/xl/charts/chart218.xml" ContentType="application/vnd.openxmlformats-officedocument.drawingml.chart+xml"/>
  <Override PartName="/xl/charts/style181.xml" ContentType="application/vnd.ms-office.chartstyle+xml"/>
  <Override PartName="/xl/charts/colors181.xml" ContentType="application/vnd.ms-office.chartcolorstyle+xml"/>
  <Override PartName="/xl/drawings/drawing64.xml" ContentType="application/vnd.openxmlformats-officedocument.drawing+xml"/>
  <Override PartName="/xl/ctrlProps/ctrlProp52.xml" ContentType="application/vnd.ms-excel.controlproperties+xml"/>
  <Override PartName="/xl/charts/chart219.xml" ContentType="application/vnd.openxmlformats-officedocument.drawingml.chart+xml"/>
  <Override PartName="/xl/charts/style182.xml" ContentType="application/vnd.ms-office.chartstyle+xml"/>
  <Override PartName="/xl/charts/colors182.xml" ContentType="application/vnd.ms-office.chartcolorstyle+xml"/>
  <Override PartName="/xl/theme/themeOverride32.xml" ContentType="application/vnd.openxmlformats-officedocument.themeOverride+xml"/>
  <Override PartName="/xl/charts/chart220.xml" ContentType="application/vnd.openxmlformats-officedocument.drawingml.chart+xml"/>
  <Override PartName="/xl/charts/style183.xml" ContentType="application/vnd.ms-office.chartstyle+xml"/>
  <Override PartName="/xl/charts/colors183.xml" ContentType="application/vnd.ms-office.chartcolorstyle+xml"/>
  <Override PartName="/xl/theme/themeOverride33.xml" ContentType="application/vnd.openxmlformats-officedocument.themeOverride+xml"/>
  <Override PartName="/xl/charts/chart221.xml" ContentType="application/vnd.openxmlformats-officedocument.drawingml.chart+xml"/>
  <Override PartName="/xl/theme/themeOverride34.xml" ContentType="application/vnd.openxmlformats-officedocument.themeOverride+xml"/>
  <Override PartName="/xl/charts/chart222.xml" ContentType="application/vnd.openxmlformats-officedocument.drawingml.chart+xml"/>
  <Override PartName="/xl/theme/themeOverride35.xml" ContentType="application/vnd.openxmlformats-officedocument.themeOverride+xml"/>
  <Override PartName="/xl/drawings/drawing65.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harts/chart223.xml" ContentType="application/vnd.openxmlformats-officedocument.drawingml.chart+xml"/>
  <Override PartName="/xl/theme/themeOverride36.xml" ContentType="application/vnd.openxmlformats-officedocument.themeOverride+xml"/>
  <Override PartName="/xl/drawings/drawing66.xml" ContentType="application/vnd.openxmlformats-officedocument.drawingml.chartshapes+xml"/>
  <Override PartName="/xl/charts/chart224.xml" ContentType="application/vnd.openxmlformats-officedocument.drawingml.chart+xml"/>
  <Override PartName="/xl/charts/style184.xml" ContentType="application/vnd.ms-office.chartstyle+xml"/>
  <Override PartName="/xl/charts/colors184.xml" ContentType="application/vnd.ms-office.chartcolorstyle+xml"/>
  <Override PartName="/xl/theme/themeOverride37.xml" ContentType="application/vnd.openxmlformats-officedocument.themeOverride+xml"/>
  <Override PartName="/xl/charts/chart225.xml" ContentType="application/vnd.openxmlformats-officedocument.drawingml.chart+xml"/>
  <Override PartName="/xl/theme/themeOverride38.xml" ContentType="application/vnd.openxmlformats-officedocument.themeOverride+xml"/>
  <Override PartName="/xl/charts/chart226.xml" ContentType="application/vnd.openxmlformats-officedocument.drawingml.chart+xml"/>
  <Override PartName="/xl/theme/themeOverride39.xml" ContentType="application/vnd.openxmlformats-officedocument.themeOverride+xml"/>
  <Override PartName="/xl/drawings/drawing67.xml" ContentType="application/vnd.openxmlformats-officedocument.drawingml.chartshapes+xml"/>
  <Override PartName="/xl/charts/chart227.xml" ContentType="application/vnd.openxmlformats-officedocument.drawingml.chart+xml"/>
  <Override PartName="/xl/theme/themeOverride40.xml" ContentType="application/vnd.openxmlformats-officedocument.themeOverride+xml"/>
  <Override PartName="/xl/drawings/drawing68.xml" ContentType="application/vnd.openxmlformats-officedocument.drawingml.chartshapes+xml"/>
  <Override PartName="/xl/charts/chart228.xml" ContentType="application/vnd.openxmlformats-officedocument.drawingml.chart+xml"/>
  <Override PartName="/xl/charts/style185.xml" ContentType="application/vnd.ms-office.chartstyle+xml"/>
  <Override PartName="/xl/charts/colors185.xml" ContentType="application/vnd.ms-office.chartcolorstyle+xml"/>
  <Override PartName="/xl/theme/themeOverride41.xml" ContentType="application/vnd.openxmlformats-officedocument.themeOverride+xml"/>
  <Override PartName="/xl/charts/chart229.xml" ContentType="application/vnd.openxmlformats-officedocument.drawingml.chart+xml"/>
  <Override PartName="/xl/theme/themeOverride42.xml" ContentType="application/vnd.openxmlformats-officedocument.themeOverride+xml"/>
  <Override PartName="/xl/charts/chart230.xml" ContentType="application/vnd.openxmlformats-officedocument.drawingml.chart+xml"/>
  <Override PartName="/xl/theme/themeOverride43.xml" ContentType="application/vnd.openxmlformats-officedocument.themeOverride+xml"/>
  <Override PartName="/xl/drawings/drawing69.xml" ContentType="application/vnd.openxmlformats-officedocument.drawingml.chartshapes+xml"/>
  <Override PartName="/xl/charts/chart231.xml" ContentType="application/vnd.openxmlformats-officedocument.drawingml.chart+xml"/>
  <Override PartName="/xl/charts/style186.xml" ContentType="application/vnd.ms-office.chartstyle+xml"/>
  <Override PartName="/xl/charts/colors186.xml" ContentType="application/vnd.ms-office.chartcolorstyle+xml"/>
  <Override PartName="/xl/theme/themeOverride44.xml" ContentType="application/vnd.openxmlformats-officedocument.themeOverride+xml"/>
  <Override PartName="/xl/charts/chart232.xml" ContentType="application/vnd.openxmlformats-officedocument.drawingml.chart+xml"/>
  <Override PartName="/xl/charts/style187.xml" ContentType="application/vnd.ms-office.chartstyle+xml"/>
  <Override PartName="/xl/charts/colors187.xml" ContentType="application/vnd.ms-office.chartcolorstyle+xml"/>
  <Override PartName="/xl/theme/themeOverride45.xml" ContentType="application/vnd.openxmlformats-officedocument.themeOverride+xml"/>
  <Override PartName="/xl/charts/chart233.xml" ContentType="application/vnd.openxmlformats-officedocument.drawingml.chart+xml"/>
  <Override PartName="/xl/theme/themeOverride46.xml" ContentType="application/vnd.openxmlformats-officedocument.themeOverride+xml"/>
  <Override PartName="/xl/charts/chart234.xml" ContentType="application/vnd.openxmlformats-officedocument.drawingml.chart+xml"/>
  <Override PartName="/xl/theme/themeOverride47.xml" ContentType="application/vnd.openxmlformats-officedocument.themeOverride+xml"/>
  <Override PartName="/xl/charts/chart235.xml" ContentType="application/vnd.openxmlformats-officedocument.drawingml.chart+xml"/>
  <Override PartName="/xl/charts/style188.xml" ContentType="application/vnd.ms-office.chartstyle+xml"/>
  <Override PartName="/xl/charts/colors188.xml" ContentType="application/vnd.ms-office.chartcolorstyle+xml"/>
  <Override PartName="/xl/theme/themeOverride48.xml" ContentType="application/vnd.openxmlformats-officedocument.themeOverride+xml"/>
  <Override PartName="/xl/charts/chart236.xml" ContentType="application/vnd.openxmlformats-officedocument.drawingml.chart+xml"/>
  <Override PartName="/xl/charts/style189.xml" ContentType="application/vnd.ms-office.chartstyle+xml"/>
  <Override PartName="/xl/charts/colors189.xml" ContentType="application/vnd.ms-office.chartcolorstyle+xml"/>
  <Override PartName="/xl/theme/themeOverride49.xml" ContentType="application/vnd.openxmlformats-officedocument.themeOverride+xml"/>
  <Override PartName="/xl/charts/chart237.xml" ContentType="application/vnd.openxmlformats-officedocument.drawingml.chart+xml"/>
  <Override PartName="/xl/theme/themeOverride50.xml" ContentType="application/vnd.openxmlformats-officedocument.themeOverride+xml"/>
  <Override PartName="/xl/charts/chart238.xml" ContentType="application/vnd.openxmlformats-officedocument.drawingml.chart+xml"/>
  <Override PartName="/xl/theme/themeOverride51.xml" ContentType="application/vnd.openxmlformats-officedocument.themeOverride+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harts/chart239.xml" ContentType="application/vnd.openxmlformats-officedocument.drawingml.chart+xml"/>
  <Override PartName="/xl/charts/style190.xml" ContentType="application/vnd.ms-office.chartstyle+xml"/>
  <Override PartName="/xl/charts/colors190.xml" ContentType="application/vnd.ms-office.chartcolorstyle+xml"/>
  <Override PartName="/xl/theme/themeOverride52.xml" ContentType="application/vnd.openxmlformats-officedocument.themeOverride+xml"/>
  <Override PartName="/xl/charts/chart240.xml" ContentType="application/vnd.openxmlformats-officedocument.drawingml.chart+xml"/>
  <Override PartName="/xl/charts/style191.xml" ContentType="application/vnd.ms-office.chartstyle+xml"/>
  <Override PartName="/xl/charts/colors191.xml" ContentType="application/vnd.ms-office.chartcolorstyle+xml"/>
  <Override PartName="/xl/theme/themeOverride53.xml" ContentType="application/vnd.openxmlformats-officedocument.themeOverride+xml"/>
  <Override PartName="/xl/drawings/drawing74.xml" ContentType="application/vnd.openxmlformats-officedocument.drawing+xml"/>
  <Override PartName="/xl/charts/chart241.xml" ContentType="application/vnd.openxmlformats-officedocument.drawingml.chart+xml"/>
  <Override PartName="/xl/charts/style192.xml" ContentType="application/vnd.ms-office.chartstyle+xml"/>
  <Override PartName="/xl/charts/colors192.xml" ContentType="application/vnd.ms-office.chartcolorstyle+xml"/>
  <Override PartName="/xl/theme/themeOverride54.xml" ContentType="application/vnd.openxmlformats-officedocument.themeOverride+xml"/>
  <Override PartName="/xl/charts/chart242.xml" ContentType="application/vnd.openxmlformats-officedocument.drawingml.chart+xml"/>
  <Override PartName="/xl/charts/style193.xml" ContentType="application/vnd.ms-office.chartstyle+xml"/>
  <Override PartName="/xl/charts/colors193.xml" ContentType="application/vnd.ms-office.chartcolorstyle+xml"/>
  <Override PartName="/xl/theme/themeOverride55.xml" ContentType="application/vnd.openxmlformats-officedocument.themeOverride+xml"/>
  <Override PartName="/xl/charts/chart243.xml" ContentType="application/vnd.openxmlformats-officedocument.drawingml.chart+xml"/>
  <Override PartName="/xl/charts/style194.xml" ContentType="application/vnd.ms-office.chartstyle+xml"/>
  <Override PartName="/xl/charts/colors194.xml" ContentType="application/vnd.ms-office.chartcolorstyle+xml"/>
  <Override PartName="/xl/theme/themeOverride56.xml" ContentType="application/vnd.openxmlformats-officedocument.themeOverride+xml"/>
  <Override PartName="/xl/drawings/drawing75.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harts/chart244.xml" ContentType="application/vnd.openxmlformats-officedocument.drawingml.chart+xml"/>
  <Override PartName="/xl/charts/style195.xml" ContentType="application/vnd.ms-office.chartstyle+xml"/>
  <Override PartName="/xl/charts/colors195.xml" ContentType="application/vnd.ms-office.chartcolorstyle+xml"/>
  <Override PartName="/xl/theme/themeOverride57.xml" ContentType="application/vnd.openxmlformats-officedocument.themeOverride+xml"/>
  <Override PartName="/xl/charts/chart245.xml" ContentType="application/vnd.openxmlformats-officedocument.drawingml.chart+xml"/>
  <Override PartName="/xl/theme/themeOverride58.xml" ContentType="application/vnd.openxmlformats-officedocument.themeOverride+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saveExternalLinkValues="0" codeName="EsteLivro" hidePivotFieldList="1"/>
  <mc:AlternateContent xmlns:mc="http://schemas.openxmlformats.org/markup-compatibility/2006">
    <mc:Choice Requires="x15">
      <x15ac:absPath xmlns:x15ac="http://schemas.microsoft.com/office/spreadsheetml/2010/11/ac" url="Z:\G_EME_INFOESTAT\4_produtos\4_series\1_Quadros de Pessoal\2014_2024\Dashboard\FINAIS\"/>
    </mc:Choice>
  </mc:AlternateContent>
  <xr:revisionPtr revIDLastSave="0" documentId="13_ncr:1_{5C30F94E-9AC5-443D-8079-AFB9E68612F9}" xr6:coauthVersionLast="36" xr6:coauthVersionMax="36" xr10:uidLastSave="{00000000-0000-0000-0000-000000000000}"/>
  <workbookProtection workbookAlgorithmName="SHA-512" workbookHashValue="wjVXP3Nif2K/ChlFXUPmhBs/rBWSzfBKJpUIlYcrbg3B+9MPGIzeBXFuHLaJch09gOnL3oDkiW4lGTwhKYEjNA==" workbookSaltValue="VyIhzc2tZQD85wiYBBUQdw==" workbookSpinCount="100000" lockStructure="1"/>
  <bookViews>
    <workbookView xWindow="15" yWindow="0" windowWidth="11775" windowHeight="6525" tabRatio="933" xr2:uid="{00000000-000D-0000-FFFF-FFFF00000000}"/>
  </bookViews>
  <sheets>
    <sheet name="Capa_Indice" sheetId="95" r:id="rId1"/>
    <sheet name="Introdução e Metainformação" sheetId="149" r:id="rId2"/>
    <sheet name="Estrutura Empresarial" sheetId="66" r:id="rId3"/>
    <sheet name="Estrutura Empresarial_Rem" sheetId="87" r:id="rId4"/>
    <sheet name="Distritos" sheetId="78" r:id="rId5"/>
    <sheet name="NUTS 2024" sheetId="107" r:id="rId6"/>
    <sheet name="NUTS 2013" sheetId="145" r:id="rId7"/>
    <sheet name="Caracteristicas TCO_1" sheetId="113" r:id="rId8"/>
    <sheet name="Caracteristicas TCO_2" sheetId="115" r:id="rId9"/>
    <sheet name="Pessoas e TCO_Estrangeiros" sheetId="148" r:id="rId10"/>
    <sheet name="Desigualdade_Contratacao" sheetId="86" r:id="rId11"/>
    <sheet name="q1_q2_q5_q6_Fig" sheetId="72" state="hidden" r:id="rId12"/>
    <sheet name="q11_q13_q15_q17_Fig" sheetId="74" state="hidden" r:id="rId13"/>
    <sheet name="q9_13_16_27_28_39_40_E_Fig" sheetId="147" state="hidden" r:id="rId14"/>
    <sheet name="q22_q23_q34_q35_Fig" sheetId="75" state="hidden" r:id="rId15"/>
    <sheet name="q23_q35_Fig" sheetId="88" state="hidden" r:id="rId16"/>
    <sheet name="q22_q34_Fig" sheetId="76" state="hidden" r:id="rId17"/>
    <sheet name="Aux" sheetId="68" state="hidden" r:id="rId18"/>
    <sheet name="q14a" sheetId="98" state="hidden" r:id="rId19"/>
    <sheet name="q23_Aux" sheetId="91" state="hidden" r:id="rId20"/>
    <sheet name="q35_Aux" sheetId="92" state="hidden" r:id="rId21"/>
    <sheet name="q3_q7_q11_q15_q24_q36_Fig" sheetId="79" state="hidden" r:id="rId22"/>
    <sheet name="q4_8_12_16_25_37_Fig" sheetId="105" state="hidden" r:id="rId23"/>
    <sheet name="q4_8_12_16_25_37_Fig_b" sheetId="146" state="hidden" r:id="rId24"/>
    <sheet name="q19_q28_q29_q40_Fig" sheetId="112" state="hidden" r:id="rId25"/>
    <sheet name="q17_a_q19_q26_a_q29_q38_q41_Fig" sheetId="80" state="hidden" r:id="rId26"/>
    <sheet name="q17a" sheetId="97" state="hidden" r:id="rId27"/>
    <sheet name="q26_Aux" sheetId="93" state="hidden" r:id="rId28"/>
    <sheet name="q38_Aux" sheetId="94" state="hidden" r:id="rId29"/>
    <sheet name="q21_q32_Fig" sheetId="82" state="hidden" r:id="rId30"/>
    <sheet name="q20_q30_q42_Fig" sheetId="84" state="hidden" r:id="rId31"/>
    <sheet name="q31_q33_Fig" sheetId="144" state="hidden" r:id="rId32"/>
    <sheet name="q1" sheetId="19" state="hidden" r:id="rId33"/>
    <sheet name="q2" sheetId="20" state="hidden" r:id="rId34"/>
    <sheet name="q3" sheetId="21" state="hidden" r:id="rId35"/>
    <sheet name="q4" sheetId="99" state="hidden" r:id="rId36"/>
    <sheet name="q4_b" sheetId="124" state="hidden" r:id="rId37"/>
    <sheet name="q5" sheetId="23" state="hidden" r:id="rId38"/>
    <sheet name="q6" sheetId="24" state="hidden" r:id="rId39"/>
    <sheet name="q7" sheetId="25" state="hidden" r:id="rId40"/>
    <sheet name="q8" sheetId="100" state="hidden" r:id="rId41"/>
    <sheet name="q8_b" sheetId="125" state="hidden" r:id="rId42"/>
    <sheet name="Emprego" sheetId="61" state="hidden" r:id="rId43"/>
    <sheet name="q9" sheetId="27" state="hidden" r:id="rId44"/>
    <sheet name="q9_E" sheetId="126" state="hidden" r:id="rId45"/>
    <sheet name="q10" sheetId="28" state="hidden" r:id="rId46"/>
    <sheet name="q11" sheetId="29" state="hidden" r:id="rId47"/>
    <sheet name="q12" sheetId="101" state="hidden" r:id="rId48"/>
    <sheet name="q12_b" sheetId="127" state="hidden" r:id="rId49"/>
    <sheet name="q13" sheetId="31" state="hidden" r:id="rId50"/>
    <sheet name="q13_E" sheetId="128" state="hidden" r:id="rId51"/>
    <sheet name="q14" sheetId="32" state="hidden" r:id="rId52"/>
    <sheet name="q15" sheetId="4" state="hidden" r:id="rId53"/>
    <sheet name="q16" sheetId="102" state="hidden" r:id="rId54"/>
    <sheet name="q16_b" sheetId="129" state="hidden" r:id="rId55"/>
    <sheet name="q16_E" sheetId="130" state="hidden" r:id="rId56"/>
    <sheet name="q16_E_b" sheetId="131" state="hidden" r:id="rId57"/>
    <sheet name="q17" sheetId="1" state="hidden" r:id="rId58"/>
    <sheet name="q18" sheetId="2" state="hidden" r:id="rId59"/>
    <sheet name="q19" sheetId="108" state="hidden" r:id="rId60"/>
    <sheet name="q20" sheetId="5" state="hidden" r:id="rId61"/>
    <sheet name="Remunerações" sheetId="62" state="hidden" r:id="rId62"/>
    <sheet name="q21" sheetId="48" state="hidden" r:id="rId63"/>
    <sheet name="q22" sheetId="50" state="hidden" r:id="rId64"/>
    <sheet name="q23" sheetId="51" state="hidden" r:id="rId65"/>
    <sheet name="q24" sheetId="52" state="hidden" r:id="rId66"/>
    <sheet name="q25" sheetId="103" state="hidden" r:id="rId67"/>
    <sheet name="q25_b" sheetId="132" state="hidden" r:id="rId68"/>
    <sheet name="q26" sheetId="53" state="hidden" r:id="rId69"/>
    <sheet name="q27" sheetId="54" state="hidden" r:id="rId70"/>
    <sheet name="q27_E" sheetId="133" state="hidden" r:id="rId71"/>
    <sheet name="q28" sheetId="109" state="hidden" r:id="rId72"/>
    <sheet name="q28_E" sheetId="134" state="hidden" r:id="rId73"/>
    <sheet name="q29" sheetId="110" state="hidden" r:id="rId74"/>
    <sheet name="q30" sheetId="55" state="hidden" r:id="rId75"/>
    <sheet name="q31" sheetId="135" state="hidden" r:id="rId76"/>
    <sheet name="q32" sheetId="43" state="hidden" r:id="rId77"/>
    <sheet name="q33 " sheetId="41" state="hidden" r:id="rId78"/>
    <sheet name="q34" sheetId="14" state="hidden" r:id="rId79"/>
    <sheet name="q35" sheetId="15" state="hidden" r:id="rId80"/>
    <sheet name="q36" sheetId="16" state="hidden" r:id="rId81"/>
    <sheet name="q37" sheetId="104" state="hidden" r:id="rId82"/>
    <sheet name="q37_b" sheetId="136" state="hidden" r:id="rId83"/>
    <sheet name="q38" sheetId="33" state="hidden" r:id="rId84"/>
    <sheet name="q39" sheetId="34" state="hidden" r:id="rId85"/>
    <sheet name="q39_E" sheetId="137" state="hidden" r:id="rId86"/>
    <sheet name="q40" sheetId="111" state="hidden" r:id="rId87"/>
    <sheet name="q40_E" sheetId="138" state="hidden" r:id="rId88"/>
    <sheet name="q41" sheetId="56" state="hidden" r:id="rId89"/>
    <sheet name="q42" sheetId="35" state="hidden" r:id="rId90"/>
    <sheet name="Conceitos e nomenclaturas" sheetId="63" state="hidden" r:id="rId91"/>
    <sheet name="Conceitos1" sheetId="139" state="hidden" r:id="rId92"/>
    <sheet name="Conceitos2" sheetId="140" state="hidden" r:id="rId93"/>
    <sheet name="Nomenclaturas" sheetId="141" state="hidden" r:id="rId94"/>
  </sheets>
  <externalReferences>
    <externalReference r:id="rId95"/>
  </externalReferences>
  <definedNames>
    <definedName name="_xlchart.v5.0" hidden="1">q3_q7_q11_q15_q24_q36_Fig!$AZ$19</definedName>
    <definedName name="_xlchart.v5.1" hidden="1">q3_q7_q11_q15_q24_q36_Fig!$AZ$20:$AZ$37</definedName>
    <definedName name="_xlchart.v5.10" hidden="1">q3_q7_q11_q15_q24_q36_Fig!$AL$20:$AL$37</definedName>
    <definedName name="_xlchart.v5.11" hidden="1">q3_q7_q11_q15_q24_q36_Fig!$AN$19</definedName>
    <definedName name="_xlchart.v5.12" hidden="1">q3_q7_q11_q15_q24_q36_Fig!$AN$20:$AN$37</definedName>
    <definedName name="_xlchart.v5.13" hidden="1">q3_q7_q11_q15_q24_q36_Fig!$AZ$19</definedName>
    <definedName name="_xlchart.v5.14" hidden="1">q3_q7_q11_q15_q24_q36_Fig!$AZ$20:$AZ$38</definedName>
    <definedName name="_xlchart.v5.15" hidden="1">q3_q7_q11_q15_q24_q36_Fig!$BA$19</definedName>
    <definedName name="_xlchart.v5.16" hidden="1">q3_q7_q11_q15_q24_q36_Fig!$BA$20:$BA$38</definedName>
    <definedName name="_xlchart.v5.17" hidden="1">q3_q7_q11_q15_q24_q36_Fig!$AS$19</definedName>
    <definedName name="_xlchart.v5.18" hidden="1">q3_q7_q11_q15_q24_q36_Fig!$AS$20:$AS$37</definedName>
    <definedName name="_xlchart.v5.19" hidden="1">q3_q7_q11_q15_q24_q36_Fig!$AT$19</definedName>
    <definedName name="_xlchart.v5.2" hidden="1">q3_q7_q11_q15_q24_q36_Fig!$BB$19</definedName>
    <definedName name="_xlchart.v5.20" hidden="1">q3_q7_q11_q15_q24_q36_Fig!$AT$20:$AT$37</definedName>
    <definedName name="_xlchart.v5.21" hidden="1">q3_q7_q11_q15_q24_q36_Fig!$AL$19</definedName>
    <definedName name="_xlchart.v5.22" hidden="1">q3_q7_q11_q15_q24_q36_Fig!$AL$20:$AL$37</definedName>
    <definedName name="_xlchart.v5.23" hidden="1">q3_q7_q11_q15_q24_q36_Fig!$AM$19</definedName>
    <definedName name="_xlchart.v5.24" hidden="1">q3_q7_q11_q15_q24_q36_Fig!$AM$20:$AM$37</definedName>
    <definedName name="_xlchart.v5.25" hidden="1">q3_q7_q11_q15_q24_q36_Fig!$AZ$19</definedName>
    <definedName name="_xlchart.v5.26" hidden="1">q3_q7_q11_q15_q24_q36_Fig!$AZ$20:$AZ$37</definedName>
    <definedName name="_xlchart.v5.27" hidden="1">q3_q7_q11_q15_q24_q36_Fig!$BB$19</definedName>
    <definedName name="_xlchart.v5.28" hidden="1">q3_q7_q11_q15_q24_q36_Fig!$BB$20:$BB$37</definedName>
    <definedName name="_xlchart.v5.29" hidden="1">q3_q7_q11_q15_q24_q36_Fig!$AL$19</definedName>
    <definedName name="_xlchart.v5.3" hidden="1">q3_q7_q11_q15_q24_q36_Fig!$BB$20:$BB$37</definedName>
    <definedName name="_xlchart.v5.30" hidden="1">q3_q7_q11_q15_q24_q36_Fig!$AL$20:$AL$37</definedName>
    <definedName name="_xlchart.v5.31" hidden="1">q3_q7_q11_q15_q24_q36_Fig!$AN$19</definedName>
    <definedName name="_xlchart.v5.32" hidden="1">q3_q7_q11_q15_q24_q36_Fig!$AN$20:$AN$37</definedName>
    <definedName name="_xlchart.v5.33" hidden="1">q3_q7_q11_q15_q24_q36_Fig!$AS$19</definedName>
    <definedName name="_xlchart.v5.34" hidden="1">q3_q7_q11_q15_q24_q36_Fig!$AS$20:$AS$37</definedName>
    <definedName name="_xlchart.v5.35" hidden="1">q3_q7_q11_q15_q24_q36_Fig!$AT$19</definedName>
    <definedName name="_xlchart.v5.36" hidden="1">q3_q7_q11_q15_q24_q36_Fig!$AT$20:$AT$37</definedName>
    <definedName name="_xlchart.v5.37" hidden="1">q3_q7_q11_q15_q24_q36_Fig!$AN$19</definedName>
    <definedName name="_xlchart.v5.38" hidden="1">q3_q7_q11_q15_q24_q36_Fig!$AS$19</definedName>
    <definedName name="_xlchart.v5.39" hidden="1">q3_q7_q11_q15_q24_q36_Fig!$AS$20:$AS$37</definedName>
    <definedName name="_xlchart.v5.4" hidden="1">q3_q7_q11_q15_q24_q36_Fig!$AN$19</definedName>
    <definedName name="_xlchart.v5.40" hidden="1">q3_q7_q11_q15_q24_q36_Fig!$AU$19</definedName>
    <definedName name="_xlchart.v5.41" hidden="1">q3_q7_q11_q15_q24_q36_Fig!$AU$20:$AU$37</definedName>
    <definedName name="_xlchart.v5.42" hidden="1">q3_q7_q11_q15_q24_q36_Fig!$AZ$19</definedName>
    <definedName name="_xlchart.v5.43" hidden="1">q3_q7_q11_q15_q24_q36_Fig!$AZ$20:$AZ$38</definedName>
    <definedName name="_xlchart.v5.44" hidden="1">q3_q7_q11_q15_q24_q36_Fig!$BA$19</definedName>
    <definedName name="_xlchart.v5.45" hidden="1">q3_q7_q11_q15_q24_q36_Fig!$BA$20:$BA$38</definedName>
    <definedName name="_xlchart.v5.46" hidden="1">q3_q7_q11_q15_q24_q36_Fig!$AL$19</definedName>
    <definedName name="_xlchart.v5.47" hidden="1">q3_q7_q11_q15_q24_q36_Fig!$AL$20:$AL$37</definedName>
    <definedName name="_xlchart.v5.48" hidden="1">q3_q7_q11_q15_q24_q36_Fig!$AM$19</definedName>
    <definedName name="_xlchart.v5.49" hidden="1">q3_q7_q11_q15_q24_q36_Fig!$AM$20:$AM$37</definedName>
    <definedName name="_xlchart.v5.5" hidden="1">q3_q7_q11_q15_q24_q36_Fig!$AS$19</definedName>
    <definedName name="_xlchart.v5.6" hidden="1">q3_q7_q11_q15_q24_q36_Fig!$AS$20:$AS$37</definedName>
    <definedName name="_xlchart.v5.7" hidden="1">q3_q7_q11_q15_q24_q36_Fig!$AU$19</definedName>
    <definedName name="_xlchart.v5.8" hidden="1">q3_q7_q11_q15_q24_q36_Fig!$AU$20:$AU$37</definedName>
    <definedName name="_xlchart.v5.9" hidden="1">q3_q7_q11_q15_q24_q36_Fig!$AL$19</definedName>
    <definedName name="acidentes" localSheetId="7">#REF!</definedName>
    <definedName name="acidentes" localSheetId="8">#REF!</definedName>
    <definedName name="acidentes" localSheetId="1">#REF!</definedName>
    <definedName name="acidentes" localSheetId="6">#REF!</definedName>
    <definedName name="acidentes" localSheetId="5">#REF!</definedName>
    <definedName name="acidentes" localSheetId="9">#REF!</definedName>
    <definedName name="acidentes" localSheetId="31">#REF!</definedName>
    <definedName name="acidentes" localSheetId="23">#REF!</definedName>
    <definedName name="acidentes" localSheetId="13">#REF!</definedName>
    <definedName name="acidentes">#REF!</definedName>
    <definedName name="_xlnm.Print_Area" localSheetId="0">Capa_Indice!$A$1:$L$57</definedName>
    <definedName name="_xlnm.Print_Area" localSheetId="7">'Caracteristicas TCO_1'!$A$1:$W$54</definedName>
    <definedName name="_xlnm.Print_Area" localSheetId="8">'Caracteristicas TCO_2'!$A$1:$W$54</definedName>
    <definedName name="_xlnm.Print_Area" localSheetId="91">Conceitos1!$A$1:$J$48</definedName>
    <definedName name="_xlnm.Print_Area" localSheetId="92">Conceitos2!$A$1:$J$36</definedName>
    <definedName name="_xlnm.Print_Area" localSheetId="10">Desigualdade_Contratacao!$A$1:$W$54</definedName>
    <definedName name="_xlnm.Print_Area" localSheetId="4">Distritos!$A$1:$W$55</definedName>
    <definedName name="_xlnm.Print_Area" localSheetId="2">'Estrutura Empresarial'!$A$1:$W$53</definedName>
    <definedName name="_xlnm.Print_Area" localSheetId="3">'Estrutura Empresarial_Rem'!$A$1:$W$53</definedName>
    <definedName name="_xlnm.Print_Area" localSheetId="1">'Introdução e Metainformação'!$A$1:$U$14</definedName>
    <definedName name="_xlnm.Print_Area" localSheetId="93">Nomenclaturas!$A$1:$J$17</definedName>
    <definedName name="_xlnm.Print_Area" localSheetId="6">'NUTS 2013'!$A$1:$W$55</definedName>
    <definedName name="_xlnm.Print_Area" localSheetId="5">'NUTS 2024'!$A$1:$W$55</definedName>
    <definedName name="_xlnm.Print_Area" localSheetId="9">'Pessoas e TCO_Estrangeiros'!$A$1:$W$54</definedName>
    <definedName name="_xlnm.Print_Area" localSheetId="32">'q1'!$A$1:$M$50</definedName>
    <definedName name="_xlnm.Print_Area" localSheetId="45">'q10'!$A$1:$L$18</definedName>
    <definedName name="_xlnm.Print_Area" localSheetId="46">'q11'!$A$1:$L$24</definedName>
    <definedName name="_xlnm.Print_Area" localSheetId="47">'q12'!$A$1:$L$34</definedName>
    <definedName name="_xlnm.Print_Area" localSheetId="48">q12_b!$A$1:$L$32</definedName>
    <definedName name="_xlnm.Print_Area" localSheetId="49">'q13'!$A$1:$M$50</definedName>
    <definedName name="_xlnm.Print_Area" localSheetId="50">q13_E!$A$1:$M$50</definedName>
    <definedName name="_xlnm.Print_Area" localSheetId="51">'q14'!$A$1:$M$42</definedName>
    <definedName name="_xlnm.Print_Area" localSheetId="18">q14a!$A$1:$M$42</definedName>
    <definedName name="_xlnm.Print_Area" localSheetId="52">'q15'!$A$1:$L$24</definedName>
    <definedName name="_xlnm.Print_Area" localSheetId="53">'q16'!$A$1:$L$34</definedName>
    <definedName name="_xlnm.Print_Area" localSheetId="54">q16_b!$A$1:$L$32</definedName>
    <definedName name="_xlnm.Print_Area" localSheetId="55">q16_E!$A$1:$L$34</definedName>
    <definedName name="_xlnm.Print_Area" localSheetId="56">q16_E_b!$A$1:$L$32</definedName>
    <definedName name="_xlnm.Print_Area" localSheetId="57">'q17'!$A$1:$M$44</definedName>
    <definedName name="_xlnm.Print_Area" localSheetId="26">q17a!$A$1:$M$44</definedName>
    <definedName name="_xlnm.Print_Area" localSheetId="58">'q18'!$A$1:$M$32</definedName>
    <definedName name="_xlnm.Print_Area" localSheetId="59">'q19'!$A$1:$M$55</definedName>
    <definedName name="_xlnm.Print_Area" localSheetId="33">'q2'!$A$1:$L$18</definedName>
    <definedName name="_xlnm.Print_Area" localSheetId="60">'q20'!$A$1:$L$13</definedName>
    <definedName name="_xlnm.Print_Area" localSheetId="62">'q21'!$A$1:$L$27</definedName>
    <definedName name="_xlnm.Print_Area" localSheetId="63">'q22'!$A$1:$M$51</definedName>
    <definedName name="_xlnm.Print_Area" localSheetId="64">'q23'!$A$1:$M$42</definedName>
    <definedName name="_xlnm.Print_Area" localSheetId="19">q23_Aux!$A$1:$M$42</definedName>
    <definedName name="_xlnm.Print_Area" localSheetId="65">'q24'!$A$1:$L$25</definedName>
    <definedName name="_xlnm.Print_Area" localSheetId="66">'q25'!$A$1:$L$35</definedName>
    <definedName name="_xlnm.Print_Area" localSheetId="67">q25_b!$A$1:$L$33</definedName>
    <definedName name="_xlnm.Print_Area" localSheetId="68">'q26'!$A$1:$M$45</definedName>
    <definedName name="_xlnm.Print_Area" localSheetId="27">q26_Aux!$A$1:$M$45</definedName>
    <definedName name="_xlnm.Print_Area" localSheetId="69">'q27'!$A$1:$M$33</definedName>
    <definedName name="_xlnm.Print_Area" localSheetId="70">q27_E!$A$1:$M$33</definedName>
    <definedName name="_xlnm.Print_Area" localSheetId="71">'q28'!$A$1:$M$56</definedName>
    <definedName name="_xlnm.Print_Area" localSheetId="72">q28_E!$A$1:$M$56</definedName>
    <definedName name="_xlnm.Print_Area" localSheetId="73">'q29'!$A$1:$M$56</definedName>
    <definedName name="_xlnm.Print_Area" localSheetId="34">'q3'!$A$1:$L$24</definedName>
    <definedName name="_xlnm.Print_Area" localSheetId="74">'q30'!$A$1:$L$14</definedName>
    <definedName name="_xlnm.Print_Area" localSheetId="75">'q31'!$A$1:$L$34</definedName>
    <definedName name="_xlnm.Print_Area" localSheetId="76">'q32'!$A$1:$L$28</definedName>
    <definedName name="_xlnm.Print_Area" localSheetId="77">'q33 '!$A$1:$L$34</definedName>
    <definedName name="_xlnm.Print_Area" localSheetId="78">'q34'!$A$1:$M$51</definedName>
    <definedName name="_xlnm.Print_Area" localSheetId="79">'q35'!$A$1:$M$42</definedName>
    <definedName name="_xlnm.Print_Area" localSheetId="20">q35_Aux!$A$1:$M$42</definedName>
    <definedName name="_xlnm.Print_Area" localSheetId="80">'q36'!$A$1:$L$25</definedName>
    <definedName name="_xlnm.Print_Area" localSheetId="81">'q37'!$A$1:$L$35</definedName>
    <definedName name="_xlnm.Print_Area" localSheetId="82">q37_b!$A$1:$L$33</definedName>
    <definedName name="_xlnm.Print_Area" localSheetId="83">'q38'!$A$1:$M$45</definedName>
    <definedName name="_xlnm.Print_Area" localSheetId="28">q38_Aux!$A$1:$M$45</definedName>
    <definedName name="_xlnm.Print_Area" localSheetId="84">'q39'!$A$1:$M$33</definedName>
    <definedName name="_xlnm.Print_Area" localSheetId="85">q39_E!$A$1:$M$33</definedName>
    <definedName name="_xlnm.Print_Area" localSheetId="35">'q4'!$A$1:$L$34</definedName>
    <definedName name="_xlnm.Print_Area" localSheetId="36">q4_b!$A$1:$L$32</definedName>
    <definedName name="_xlnm.Print_Area" localSheetId="86">'q40'!$A$1:$M$56</definedName>
    <definedName name="_xlnm.Print_Area" localSheetId="87">q40_E!$A$1:$M$56</definedName>
    <definedName name="_xlnm.Print_Area" localSheetId="88">'q41'!$A$1:$N$37</definedName>
    <definedName name="_xlnm.Print_Area" localSheetId="89">'q42'!$A$1:$L$14</definedName>
    <definedName name="_xlnm.Print_Area" localSheetId="37">'q5'!$A$1:$M$50</definedName>
    <definedName name="_xlnm.Print_Area" localSheetId="38">'q6'!$A$1:$L$18</definedName>
    <definedName name="_xlnm.Print_Area" localSheetId="39">'q7'!$A$1:$L$24</definedName>
    <definedName name="_xlnm.Print_Area" localSheetId="40">'q8'!$A$1:$L$34</definedName>
    <definedName name="_xlnm.Print_Area" localSheetId="41">q8_b!$A$1:$L$32</definedName>
    <definedName name="_xlnm.Print_Area" localSheetId="43">'q9'!$A$1:$M$50</definedName>
    <definedName name="_xlnm.Print_Area" localSheetId="44">q9_E!$A$1:$M$50</definedName>
    <definedName name="Bolas" localSheetId="7">INDEX(#REF!, MATCH(#REF!,#REF!,0))</definedName>
    <definedName name="Bolas" localSheetId="8">INDEX(#REF!, MATCH(#REF!,#REF!,0))</definedName>
    <definedName name="Bolas" localSheetId="1">INDEX(#REF!, MATCH(#REF!,#REF!,0))</definedName>
    <definedName name="Bolas" localSheetId="6">INDEX(#REF!, MATCH(#REF!,#REF!,0))</definedName>
    <definedName name="Bolas" localSheetId="5">INDEX(#REF!, MATCH(#REF!,#REF!,0))</definedName>
    <definedName name="Bolas" localSheetId="9">INDEX(#REF!, MATCH(#REF!,#REF!,0))</definedName>
    <definedName name="Bolas" localSheetId="31">INDEX(#REF!, MATCH(#REF!,#REF!,0))</definedName>
    <definedName name="Bolas" localSheetId="23">INDEX(#REF!, MATCH(#REF!,#REF!,0))</definedName>
    <definedName name="Bolas" localSheetId="13">INDEX(#REF!, MATCH(#REF!,#REF!,0))</definedName>
    <definedName name="Bolas">INDEX(#REF!, MATCH(#REF!,#REF!,0))</definedName>
    <definedName name="CAE" localSheetId="7">#REF!</definedName>
    <definedName name="CAE" localSheetId="8">#REF!</definedName>
    <definedName name="CAE" localSheetId="1">#REF!</definedName>
    <definedName name="CAE" localSheetId="6">#REF!</definedName>
    <definedName name="CAE" localSheetId="5">#REF!</definedName>
    <definedName name="CAE" localSheetId="9">#REF!</definedName>
    <definedName name="CAE" localSheetId="31">#REF!</definedName>
    <definedName name="CAE" localSheetId="23">#REF!</definedName>
    <definedName name="CAE" localSheetId="13">#REF!</definedName>
    <definedName name="CAE">#REF!</definedName>
    <definedName name="Changes" localSheetId="7">#REF!</definedName>
    <definedName name="Changes" localSheetId="8">#REF!</definedName>
    <definedName name="Changes" localSheetId="1">#REF!</definedName>
    <definedName name="Changes" localSheetId="6">#REF!</definedName>
    <definedName name="Changes" localSheetId="5">#REF!</definedName>
    <definedName name="Changes" localSheetId="9">#REF!</definedName>
    <definedName name="Changes" localSheetId="31">#REF!</definedName>
    <definedName name="Changes" localSheetId="23">#REF!</definedName>
    <definedName name="Changes" localSheetId="13">#REF!</definedName>
    <definedName name="Changes">#REF!</definedName>
    <definedName name="Comments" localSheetId="7">#REF!</definedName>
    <definedName name="Comments" localSheetId="8">#REF!</definedName>
    <definedName name="Comments" localSheetId="1">#REF!</definedName>
    <definedName name="Comments" localSheetId="6">#REF!</definedName>
    <definedName name="Comments" localSheetId="5">#REF!</definedName>
    <definedName name="Comments" localSheetId="9">#REF!</definedName>
    <definedName name="Comments" localSheetId="31">#REF!</definedName>
    <definedName name="Comments" localSheetId="23">#REF!</definedName>
    <definedName name="Comments" localSheetId="13">#REF!</definedName>
    <definedName name="Comments">#REF!</definedName>
    <definedName name="Contact" localSheetId="7">#REF!</definedName>
    <definedName name="Contact" localSheetId="8">#REF!</definedName>
    <definedName name="Contact" localSheetId="1">#REF!</definedName>
    <definedName name="Contact" localSheetId="6">#REF!</definedName>
    <definedName name="Contact" localSheetId="5">#REF!</definedName>
    <definedName name="Contact" localSheetId="9">#REF!</definedName>
    <definedName name="Contact" localSheetId="31">#REF!</definedName>
    <definedName name="Contact" localSheetId="23">#REF!</definedName>
    <definedName name="Contact" localSheetId="13">#REF!</definedName>
    <definedName name="Contact">#REF!</definedName>
    <definedName name="Country" localSheetId="7">#REF!</definedName>
    <definedName name="Country" localSheetId="8">#REF!</definedName>
    <definedName name="Country" localSheetId="1">#REF!</definedName>
    <definedName name="Country" localSheetId="6">#REF!</definedName>
    <definedName name="Country" localSheetId="5">#REF!</definedName>
    <definedName name="Country" localSheetId="9">#REF!</definedName>
    <definedName name="Country" localSheetId="31">#REF!</definedName>
    <definedName name="Country" localSheetId="23">#REF!</definedName>
    <definedName name="Country" localSheetId="13">#REF!</definedName>
    <definedName name="Country">#REF!</definedName>
    <definedName name="CUSTOS" localSheetId="7">#REF!</definedName>
    <definedName name="CUSTOS" localSheetId="8">#REF!</definedName>
    <definedName name="CUSTOS" localSheetId="1">#REF!</definedName>
    <definedName name="CUSTOS" localSheetId="6">#REF!</definedName>
    <definedName name="CUSTOS" localSheetId="5">#REF!</definedName>
    <definedName name="CUSTOS" localSheetId="9">#REF!</definedName>
    <definedName name="CUSTOS" localSheetId="31">#REF!</definedName>
    <definedName name="CUSTOS" localSheetId="23">#REF!</definedName>
    <definedName name="CUSTOS" localSheetId="13">#REF!</definedName>
    <definedName name="CUSTOS">#REF!</definedName>
    <definedName name="CV_employed" localSheetId="7">#REF!</definedName>
    <definedName name="CV_employed" localSheetId="8">#REF!</definedName>
    <definedName name="CV_employed" localSheetId="1">#REF!</definedName>
    <definedName name="CV_employed" localSheetId="6">#REF!</definedName>
    <definedName name="CV_employed" localSheetId="5">#REF!</definedName>
    <definedName name="CV_employed" localSheetId="9">#REF!</definedName>
    <definedName name="CV_employed" localSheetId="31">#REF!</definedName>
    <definedName name="CV_employed" localSheetId="23">#REF!</definedName>
    <definedName name="CV_employed" localSheetId="13">#REF!</definedName>
    <definedName name="CV_employed">#REF!</definedName>
    <definedName name="CV_parttime" localSheetId="7">#REF!</definedName>
    <definedName name="CV_parttime" localSheetId="8">#REF!</definedName>
    <definedName name="CV_parttime" localSheetId="1">#REF!</definedName>
    <definedName name="CV_parttime" localSheetId="6">#REF!</definedName>
    <definedName name="CV_parttime" localSheetId="5">#REF!</definedName>
    <definedName name="CV_parttime" localSheetId="9">#REF!</definedName>
    <definedName name="CV_parttime" localSheetId="31">#REF!</definedName>
    <definedName name="CV_parttime" localSheetId="23">#REF!</definedName>
    <definedName name="CV_parttime" localSheetId="13">#REF!</definedName>
    <definedName name="CV_parttime">#REF!</definedName>
    <definedName name="CV_unemployed" localSheetId="7">#REF!</definedName>
    <definedName name="CV_unemployed" localSheetId="8">#REF!</definedName>
    <definedName name="CV_unemployed" localSheetId="1">#REF!</definedName>
    <definedName name="CV_unemployed" localSheetId="6">#REF!</definedName>
    <definedName name="CV_unemployed" localSheetId="5">#REF!</definedName>
    <definedName name="CV_unemployed" localSheetId="9">#REF!</definedName>
    <definedName name="CV_unemployed" localSheetId="31">#REF!</definedName>
    <definedName name="CV_unemployed" localSheetId="23">#REF!</definedName>
    <definedName name="CV_unemployed" localSheetId="13">#REF!</definedName>
    <definedName name="CV_unemployed">#REF!</definedName>
    <definedName name="CV_unemploymentRate" localSheetId="7">#REF!</definedName>
    <definedName name="CV_unemploymentRate" localSheetId="8">#REF!</definedName>
    <definedName name="CV_unemploymentRate" localSheetId="1">#REF!</definedName>
    <definedName name="CV_unemploymentRate" localSheetId="6">#REF!</definedName>
    <definedName name="CV_unemploymentRate" localSheetId="5">#REF!</definedName>
    <definedName name="CV_unemploymentRate" localSheetId="9">#REF!</definedName>
    <definedName name="CV_unemploymentRate" localSheetId="31">#REF!</definedName>
    <definedName name="CV_unemploymentRate" localSheetId="23">#REF!</definedName>
    <definedName name="CV_unemploymentRate" localSheetId="13">#REF!</definedName>
    <definedName name="CV_unemploymentRate">#REF!</definedName>
    <definedName name="CV_UsualHours" localSheetId="7">#REF!</definedName>
    <definedName name="CV_UsualHours" localSheetId="8">#REF!</definedName>
    <definedName name="CV_UsualHours" localSheetId="1">#REF!</definedName>
    <definedName name="CV_UsualHours" localSheetId="6">#REF!</definedName>
    <definedName name="CV_UsualHours" localSheetId="5">#REF!</definedName>
    <definedName name="CV_UsualHours" localSheetId="9">#REF!</definedName>
    <definedName name="CV_UsualHours" localSheetId="31">#REF!</definedName>
    <definedName name="CV_UsualHours" localSheetId="23">#REF!</definedName>
    <definedName name="CV_UsualHours" localSheetId="13">#REF!</definedName>
    <definedName name="CV_UsualHours">#REF!</definedName>
    <definedName name="dgalsjdgAD" localSheetId="7">#REF!</definedName>
    <definedName name="dgalsjdgAD" localSheetId="8">#REF!</definedName>
    <definedName name="dgalsjdgAD" localSheetId="1">#REF!</definedName>
    <definedName name="dgalsjdgAD" localSheetId="6">#REF!</definedName>
    <definedName name="dgalsjdgAD" localSheetId="5">#REF!</definedName>
    <definedName name="dgalsjdgAD" localSheetId="9">#REF!</definedName>
    <definedName name="dgalsjdgAD" localSheetId="31">#REF!</definedName>
    <definedName name="dgalsjdgAD" localSheetId="23">#REF!</definedName>
    <definedName name="dgalsjdgAD" localSheetId="13">#REF!</definedName>
    <definedName name="dgalsjdgAD">#REF!</definedName>
    <definedName name="DimensãoUL" localSheetId="7">#REF!</definedName>
    <definedName name="DimensãoUL" localSheetId="8">#REF!</definedName>
    <definedName name="DimensãoUL" localSheetId="1">#REF!</definedName>
    <definedName name="DimensãoUL" localSheetId="6">#REF!</definedName>
    <definedName name="DimensãoUL" localSheetId="5">#REF!</definedName>
    <definedName name="DimensãoUL" localSheetId="9">#REF!</definedName>
    <definedName name="DimensãoUL" localSheetId="31">#REF!</definedName>
    <definedName name="DimensãoUL" localSheetId="23">#REF!</definedName>
    <definedName name="DimensãoUL" localSheetId="13">#REF!</definedName>
    <definedName name="DimensãoUL">#REF!</definedName>
    <definedName name="dsadsa" localSheetId="7">#REF!</definedName>
    <definedName name="dsadsa" localSheetId="8">#REF!</definedName>
    <definedName name="dsadsa" localSheetId="1">#REF!</definedName>
    <definedName name="dsadsa" localSheetId="6">#REF!</definedName>
    <definedName name="dsadsa" localSheetId="5">#REF!</definedName>
    <definedName name="dsadsa" localSheetId="9">#REF!</definedName>
    <definedName name="dsadsa" localSheetId="31">#REF!</definedName>
    <definedName name="dsadsa" localSheetId="23">#REF!</definedName>
    <definedName name="dsadsa" localSheetId="13">#REF!</definedName>
    <definedName name="dsadsa">#REF!</definedName>
    <definedName name="email" localSheetId="7">#REF!</definedName>
    <definedName name="email" localSheetId="8">#REF!</definedName>
    <definedName name="email" localSheetId="1">#REF!</definedName>
    <definedName name="email" localSheetId="6">#REF!</definedName>
    <definedName name="email" localSheetId="5">#REF!</definedName>
    <definedName name="email" localSheetId="9">#REF!</definedName>
    <definedName name="email" localSheetId="31">#REF!</definedName>
    <definedName name="email" localSheetId="23">#REF!</definedName>
    <definedName name="email" localSheetId="13">#REF!</definedName>
    <definedName name="email">#REF!</definedName>
    <definedName name="Globais" localSheetId="7">#REF!</definedName>
    <definedName name="Globais" localSheetId="8">#REF!</definedName>
    <definedName name="Globais" localSheetId="1">#REF!</definedName>
    <definedName name="Globais" localSheetId="6">#REF!</definedName>
    <definedName name="Globais" localSheetId="5">#REF!</definedName>
    <definedName name="Globais" localSheetId="9">#REF!</definedName>
    <definedName name="Globais" localSheetId="31">#REF!</definedName>
    <definedName name="Globais" localSheetId="23">#REF!</definedName>
    <definedName name="Globais" localSheetId="13">#REF!</definedName>
    <definedName name="Globais">#REF!</definedName>
    <definedName name="hdbtrgs" localSheetId="7">#REF!</definedName>
    <definedName name="hdbtrgs" localSheetId="8">#REF!</definedName>
    <definedName name="hdbtrgs" localSheetId="1">#REF!</definedName>
    <definedName name="hdbtrgs" localSheetId="6">#REF!</definedName>
    <definedName name="hdbtrgs" localSheetId="5">#REF!</definedName>
    <definedName name="hdbtrgs" localSheetId="9">#REF!</definedName>
    <definedName name="hdbtrgs" localSheetId="31">#REF!</definedName>
    <definedName name="hdbtrgs" localSheetId="23">#REF!</definedName>
    <definedName name="hdbtrgs" localSheetId="13">#REF!</definedName>
    <definedName name="hdbtrgs">#REF!</definedName>
    <definedName name="Limit_a_q" localSheetId="7">#REF!</definedName>
    <definedName name="Limit_a_q" localSheetId="8">#REF!</definedName>
    <definedName name="Limit_a_q" localSheetId="1">#REF!</definedName>
    <definedName name="Limit_a_q" localSheetId="6">#REF!</definedName>
    <definedName name="Limit_a_q" localSheetId="5">#REF!</definedName>
    <definedName name="Limit_a_q" localSheetId="9">#REF!</definedName>
    <definedName name="Limit_a_q" localSheetId="31">#REF!</definedName>
    <definedName name="Limit_a_q" localSheetId="23">#REF!</definedName>
    <definedName name="Limit_a_q" localSheetId="13">#REF!</definedName>
    <definedName name="Limit_a_q">#REF!</definedName>
    <definedName name="Limit_b_a" localSheetId="7">#REF!</definedName>
    <definedName name="Limit_b_a" localSheetId="8">#REF!</definedName>
    <definedName name="Limit_b_a" localSheetId="1">#REF!</definedName>
    <definedName name="Limit_b_a" localSheetId="6">#REF!</definedName>
    <definedName name="Limit_b_a" localSheetId="5">#REF!</definedName>
    <definedName name="Limit_b_a" localSheetId="9">#REF!</definedName>
    <definedName name="Limit_b_a" localSheetId="31">#REF!</definedName>
    <definedName name="Limit_b_a" localSheetId="23">#REF!</definedName>
    <definedName name="Limit_b_a" localSheetId="13">#REF!</definedName>
    <definedName name="Limit_b_a">#REF!</definedName>
    <definedName name="Limit_b_q" localSheetId="7">#REF!</definedName>
    <definedName name="Limit_b_q" localSheetId="8">#REF!</definedName>
    <definedName name="Limit_b_q" localSheetId="1">#REF!</definedName>
    <definedName name="Limit_b_q" localSheetId="6">#REF!</definedName>
    <definedName name="Limit_b_q" localSheetId="5">#REF!</definedName>
    <definedName name="Limit_b_q" localSheetId="9">#REF!</definedName>
    <definedName name="Limit_b_q" localSheetId="31">#REF!</definedName>
    <definedName name="Limit_b_q" localSheetId="23">#REF!</definedName>
    <definedName name="Limit_b_q" localSheetId="13">#REF!</definedName>
    <definedName name="Limit_b_q">#REF!</definedName>
    <definedName name="md" localSheetId="7">#REF!</definedName>
    <definedName name="md" localSheetId="8">#REF!</definedName>
    <definedName name="md" localSheetId="1">#REF!</definedName>
    <definedName name="md" localSheetId="6">#REF!</definedName>
    <definedName name="md" localSheetId="5">#REF!</definedName>
    <definedName name="md" localSheetId="9">#REF!</definedName>
    <definedName name="md" localSheetId="31">#REF!</definedName>
    <definedName name="md" localSheetId="23">#REF!</definedName>
    <definedName name="md" localSheetId="13">#REF!</definedName>
    <definedName name="md">#REF!</definedName>
    <definedName name="mom3b" localSheetId="7">#REF!</definedName>
    <definedName name="mom3b" localSheetId="8">#REF!</definedName>
    <definedName name="mom3b" localSheetId="1">#REF!</definedName>
    <definedName name="mom3b" localSheetId="6">#REF!</definedName>
    <definedName name="mom3b" localSheetId="5">#REF!</definedName>
    <definedName name="mom3b" localSheetId="9">#REF!</definedName>
    <definedName name="mom3b" localSheetId="31">#REF!</definedName>
    <definedName name="mom3b" localSheetId="23">#REF!</definedName>
    <definedName name="mom3b" localSheetId="13">#REF!</definedName>
    <definedName name="mom3b">#REF!</definedName>
    <definedName name="mom8b" localSheetId="7">#REF!</definedName>
    <definedName name="mom8b" localSheetId="8">#REF!</definedName>
    <definedName name="mom8b" localSheetId="1">#REF!</definedName>
    <definedName name="mom8b" localSheetId="6">#REF!</definedName>
    <definedName name="mom8b" localSheetId="5">#REF!</definedName>
    <definedName name="mom8b" localSheetId="9">#REF!</definedName>
    <definedName name="mom8b" localSheetId="31">#REF!</definedName>
    <definedName name="mom8b" localSheetId="23">#REF!</definedName>
    <definedName name="mom8b" localSheetId="13">#REF!</definedName>
    <definedName name="mom8b">#REF!</definedName>
    <definedName name="mom9b" localSheetId="7">#REF!</definedName>
    <definedName name="mom9b" localSheetId="8">#REF!</definedName>
    <definedName name="mom9b" localSheetId="1">#REF!</definedName>
    <definedName name="mom9b" localSheetId="6">#REF!</definedName>
    <definedName name="mom9b" localSheetId="5">#REF!</definedName>
    <definedName name="mom9b" localSheetId="9">#REF!</definedName>
    <definedName name="mom9b" localSheetId="31">#REF!</definedName>
    <definedName name="mom9b" localSheetId="23">#REF!</definedName>
    <definedName name="mom9b" localSheetId="13">#REF!</definedName>
    <definedName name="mom9b">#REF!</definedName>
    <definedName name="mySortCriteria">[1]Calculation!$E$7</definedName>
    <definedName name="NR_NonContacts" localSheetId="7">#REF!</definedName>
    <definedName name="NR_NonContacts" localSheetId="8">#REF!</definedName>
    <definedName name="NR_NonContacts" localSheetId="1">#REF!</definedName>
    <definedName name="NR_NonContacts" localSheetId="6">#REF!</definedName>
    <definedName name="NR_NonContacts" localSheetId="5">#REF!</definedName>
    <definedName name="NR_NonContacts" localSheetId="9">#REF!</definedName>
    <definedName name="NR_NonContacts" localSheetId="31">#REF!</definedName>
    <definedName name="NR_NonContacts" localSheetId="23">#REF!</definedName>
    <definedName name="NR_NonContacts" localSheetId="13">#REF!</definedName>
    <definedName name="NR_NonContacts">#REF!</definedName>
    <definedName name="NR_Other" localSheetId="7">#REF!</definedName>
    <definedName name="NR_Other" localSheetId="8">#REF!</definedName>
    <definedName name="NR_Other" localSheetId="1">#REF!</definedName>
    <definedName name="NR_Other" localSheetId="6">#REF!</definedName>
    <definedName name="NR_Other" localSheetId="5">#REF!</definedName>
    <definedName name="NR_Other" localSheetId="9">#REF!</definedName>
    <definedName name="NR_Other" localSheetId="31">#REF!</definedName>
    <definedName name="NR_Other" localSheetId="23">#REF!</definedName>
    <definedName name="NR_Other" localSheetId="13">#REF!</definedName>
    <definedName name="NR_Other">#REF!</definedName>
    <definedName name="NR_Refusals" localSheetId="7">#REF!</definedName>
    <definedName name="NR_Refusals" localSheetId="8">#REF!</definedName>
    <definedName name="NR_Refusals" localSheetId="1">#REF!</definedName>
    <definedName name="NR_Refusals" localSheetId="6">#REF!</definedName>
    <definedName name="NR_Refusals" localSheetId="5">#REF!</definedName>
    <definedName name="NR_Refusals" localSheetId="9">#REF!</definedName>
    <definedName name="NR_Refusals" localSheetId="31">#REF!</definedName>
    <definedName name="NR_Refusals" localSheetId="23">#REF!</definedName>
    <definedName name="NR_Refusals" localSheetId="13">#REF!</definedName>
    <definedName name="NR_Refusals">#REF!</definedName>
    <definedName name="NR_Total" localSheetId="7">#REF!</definedName>
    <definedName name="NR_Total" localSheetId="8">#REF!</definedName>
    <definedName name="NR_Total" localSheetId="1">#REF!</definedName>
    <definedName name="NR_Total" localSheetId="6">#REF!</definedName>
    <definedName name="NR_Total" localSheetId="5">#REF!</definedName>
    <definedName name="NR_Total" localSheetId="9">#REF!</definedName>
    <definedName name="NR_Total" localSheetId="31">#REF!</definedName>
    <definedName name="NR_Total" localSheetId="23">#REF!</definedName>
    <definedName name="NR_Total" localSheetId="13">#REF!</definedName>
    <definedName name="NR_Total">#REF!</definedName>
    <definedName name="NUTII" localSheetId="7">#REF!</definedName>
    <definedName name="NUTII" localSheetId="8">#REF!</definedName>
    <definedName name="NUTII" localSheetId="1">#REF!</definedName>
    <definedName name="NUTII" localSheetId="6">#REF!</definedName>
    <definedName name="NUTII" localSheetId="5">#REF!</definedName>
    <definedName name="NUTII" localSheetId="9">#REF!</definedName>
    <definedName name="NUTII" localSheetId="31">#REF!</definedName>
    <definedName name="NUTII" localSheetId="23">#REF!</definedName>
    <definedName name="NUTII" localSheetId="13">#REF!</definedName>
    <definedName name="NUTII">#REF!</definedName>
    <definedName name="Quarter" localSheetId="7">#REF!</definedName>
    <definedName name="Quarter" localSheetId="8">#REF!</definedName>
    <definedName name="Quarter" localSheetId="1">#REF!</definedName>
    <definedName name="Quarter" localSheetId="6">#REF!</definedName>
    <definedName name="Quarter" localSheetId="5">#REF!</definedName>
    <definedName name="Quarter" localSheetId="9">#REF!</definedName>
    <definedName name="Quarter" localSheetId="31">#REF!</definedName>
    <definedName name="Quarter" localSheetId="23">#REF!</definedName>
    <definedName name="Quarter" localSheetId="13">#REF!</definedName>
    <definedName name="Quarter">#REF!</definedName>
    <definedName name="REM_GANHO" localSheetId="7">#REF!</definedName>
    <definedName name="REM_GANHO" localSheetId="8">#REF!</definedName>
    <definedName name="REM_GANHO" localSheetId="1">#REF!</definedName>
    <definedName name="REM_GANHO" localSheetId="6">#REF!</definedName>
    <definedName name="REM_GANHO" localSheetId="5">#REF!</definedName>
    <definedName name="REM_GANHO" localSheetId="9">#REF!</definedName>
    <definedName name="REM_GANHO" localSheetId="31">#REF!</definedName>
    <definedName name="REM_GANHO" localSheetId="23">#REF!</definedName>
    <definedName name="REM_GANHO" localSheetId="13">#REF!</definedName>
    <definedName name="REM_GANHO">#REF!</definedName>
    <definedName name="REMBASE" localSheetId="7">#REF!</definedName>
    <definedName name="REMBASE" localSheetId="8">#REF!</definedName>
    <definedName name="REMBASE" localSheetId="1">#REF!</definedName>
    <definedName name="REMBASE" localSheetId="6">#REF!</definedName>
    <definedName name="REMBASE" localSheetId="5">#REF!</definedName>
    <definedName name="REMBASE" localSheetId="9">#REF!</definedName>
    <definedName name="REMBASE" localSheetId="31">#REF!</definedName>
    <definedName name="REMBASE" localSheetId="23">#REF!</definedName>
    <definedName name="REMBASE" localSheetId="13">#REF!</definedName>
    <definedName name="REMBASE">#REF!</definedName>
    <definedName name="RMMG" localSheetId="7">#REF!</definedName>
    <definedName name="RMMG" localSheetId="8">#REF!</definedName>
    <definedName name="RMMG" localSheetId="1">#REF!</definedName>
    <definedName name="RMMG" localSheetId="6">#REF!</definedName>
    <definedName name="RMMG" localSheetId="5">#REF!</definedName>
    <definedName name="RMMG" localSheetId="9">#REF!</definedName>
    <definedName name="RMMG" localSheetId="31">#REF!</definedName>
    <definedName name="RMMG" localSheetId="23">#REF!</definedName>
    <definedName name="RMMG" localSheetId="13">#REF!</definedName>
    <definedName name="RMMG">#REF!</definedName>
    <definedName name="SegmentaçãoDeDados_Selecionar_CAE">#N/A</definedName>
    <definedName name="SegmentaçãoDeDados_Sexo">#N/A</definedName>
    <definedName name="SegmentaçãoDeDados_Tipo_de_remuneração">#N/A</definedName>
    <definedName name="SegmentaçãoDeDados_Tipo_Remuneração">#N/A</definedName>
    <definedName name="setas" localSheetId="7">INDEX(#REF!,MATCH(#REF!,#REF!),0)</definedName>
    <definedName name="setas" localSheetId="8">INDEX(#REF!,MATCH(#REF!,#REF!),0)</definedName>
    <definedName name="setas" localSheetId="1">INDEX(#REF!,MATCH(#REF!,#REF!),0)</definedName>
    <definedName name="setas" localSheetId="6">INDEX(#REF!,MATCH(#REF!,#REF!),0)</definedName>
    <definedName name="setas" localSheetId="5">INDEX(#REF!,MATCH(#REF!,#REF!),0)</definedName>
    <definedName name="setas" localSheetId="9">INDEX(#REF!,MATCH(#REF!,#REF!),0)</definedName>
    <definedName name="setas" localSheetId="31">INDEX(#REF!,MATCH(#REF!,#REF!),0)</definedName>
    <definedName name="setas" localSheetId="23">INDEX(#REF!,MATCH(#REF!,#REF!),0)</definedName>
    <definedName name="setas" localSheetId="13">INDEX(#REF!,MATCH(#REF!,#REF!),0)</definedName>
    <definedName name="setas">INDEX(#REF!,MATCH(#REF!,#REF!),0)</definedName>
    <definedName name="Telephone" localSheetId="7">#REF!</definedName>
    <definedName name="Telephone" localSheetId="8">#REF!</definedName>
    <definedName name="Telephone" localSheetId="1">#REF!</definedName>
    <definedName name="Telephone" localSheetId="6">#REF!</definedName>
    <definedName name="Telephone" localSheetId="5">#REF!</definedName>
    <definedName name="Telephone" localSheetId="9">#REF!</definedName>
    <definedName name="Telephone" localSheetId="31">#REF!</definedName>
    <definedName name="Telephone" localSheetId="23">#REF!</definedName>
    <definedName name="Telephone" localSheetId="13">#REF!</definedName>
    <definedName name="Telephone">#REF!</definedName>
    <definedName name="ue" localSheetId="7">#REF!</definedName>
    <definedName name="ue" localSheetId="8">#REF!</definedName>
    <definedName name="ue" localSheetId="1">#REF!</definedName>
    <definedName name="ue" localSheetId="6">#REF!</definedName>
    <definedName name="ue" localSheetId="5">#REF!</definedName>
    <definedName name="ue" localSheetId="9">#REF!</definedName>
    <definedName name="ue" localSheetId="31">#REF!</definedName>
    <definedName name="ue" localSheetId="23">#REF!</definedName>
    <definedName name="ue" localSheetId="13">#REF!</definedName>
    <definedName name="ue">#REF!</definedName>
    <definedName name="Year" localSheetId="7">#REF!</definedName>
    <definedName name="Year" localSheetId="8">#REF!</definedName>
    <definedName name="Year" localSheetId="1">#REF!</definedName>
    <definedName name="Year" localSheetId="6">#REF!</definedName>
    <definedName name="Year" localSheetId="5">#REF!</definedName>
    <definedName name="Year" localSheetId="9">#REF!</definedName>
    <definedName name="Year" localSheetId="31">#REF!</definedName>
    <definedName name="Year" localSheetId="23">#REF!</definedName>
    <definedName name="Year" localSheetId="13">#REF!</definedName>
    <definedName name="Year">#REF!</definedName>
  </definedNames>
  <calcPr calcId="191029"/>
  <pivotCaches>
    <pivotCache cacheId="31" r:id="rId96"/>
    <pivotCache cacheId="32" r:id="rId97"/>
  </pivotCaches>
  <extLst>
    <ext xmlns:x14="http://schemas.microsoft.com/office/spreadsheetml/2009/9/main" uri="{BBE1A952-AA13-448e-AADC-164F8A28A991}">
      <x14:slicerCaches>
        <x14:slicerCache r:id="rId98"/>
        <x14:slicerCache r:id="rId99"/>
        <x14:slicerCache r:id="rId100"/>
        <x14:slicerCache r:id="rId101"/>
      </x14:slicerCaches>
    </ext>
    <ext xmlns:x14="http://schemas.microsoft.com/office/spreadsheetml/2009/9/main" uri="{79F54976-1DA5-4618-B147-4CDE4B953A38}">
      <x14:workbookPr/>
    </ext>
  </extLst>
</workbook>
</file>

<file path=xl/calcChain.xml><?xml version="1.0" encoding="utf-8"?>
<calcChain xmlns="http://schemas.openxmlformats.org/spreadsheetml/2006/main">
  <c r="W294" i="147" l="1"/>
  <c r="W295" i="147"/>
  <c r="W296" i="147"/>
  <c r="W297" i="147"/>
  <c r="W298" i="147"/>
  <c r="W299" i="147"/>
  <c r="W300" i="147"/>
  <c r="W301" i="147"/>
  <c r="W302" i="147"/>
  <c r="W303" i="147"/>
  <c r="W293" i="147"/>
  <c r="C108" i="68"/>
  <c r="C109" i="68"/>
  <c r="C110" i="68"/>
  <c r="C111" i="68"/>
  <c r="C112" i="68"/>
  <c r="C113" i="68"/>
  <c r="C114" i="68"/>
  <c r="C115" i="68"/>
  <c r="C107" i="68"/>
  <c r="W124" i="147"/>
  <c r="AK124" i="147" s="1"/>
  <c r="AI125" i="147"/>
  <c r="V45" i="74"/>
  <c r="AI128" i="147"/>
  <c r="AI129" i="147"/>
  <c r="AI130" i="147"/>
  <c r="AI131" i="147"/>
  <c r="AI132" i="147"/>
  <c r="AI133" i="147"/>
  <c r="AI127" i="147"/>
  <c r="A110" i="144" l="1"/>
  <c r="A106" i="144"/>
  <c r="A101" i="144"/>
  <c r="D94" i="144"/>
  <c r="B94" i="144"/>
  <c r="C79" i="144"/>
  <c r="M320" i="147"/>
  <c r="L320" i="147"/>
  <c r="K320" i="147"/>
  <c r="J320" i="147"/>
  <c r="I320" i="147"/>
  <c r="H320" i="147"/>
  <c r="G320" i="147"/>
  <c r="F320" i="147"/>
  <c r="E320" i="147"/>
  <c r="D320" i="147"/>
  <c r="C320" i="147"/>
  <c r="M319" i="147"/>
  <c r="L319" i="147"/>
  <c r="K319" i="147"/>
  <c r="J319" i="147"/>
  <c r="I319" i="147"/>
  <c r="H319" i="147"/>
  <c r="G319" i="147"/>
  <c r="F319" i="147"/>
  <c r="E319" i="147"/>
  <c r="D319" i="147"/>
  <c r="C319" i="147"/>
  <c r="M318" i="147"/>
  <c r="L318" i="147"/>
  <c r="K318" i="147"/>
  <c r="J318" i="147"/>
  <c r="I318" i="147"/>
  <c r="H318" i="147"/>
  <c r="G318" i="147"/>
  <c r="F318" i="147"/>
  <c r="E318" i="147"/>
  <c r="D318" i="147"/>
  <c r="C318" i="147"/>
  <c r="M317" i="147"/>
  <c r="L317" i="147"/>
  <c r="K317" i="147"/>
  <c r="J317" i="147"/>
  <c r="I317" i="147"/>
  <c r="H317" i="147"/>
  <c r="G317" i="147"/>
  <c r="F317" i="147"/>
  <c r="E317" i="147"/>
  <c r="D317" i="147"/>
  <c r="C317" i="147"/>
  <c r="M316" i="147"/>
  <c r="L316" i="147"/>
  <c r="K316" i="147"/>
  <c r="J316" i="147"/>
  <c r="I316" i="147"/>
  <c r="H316" i="147"/>
  <c r="G316" i="147"/>
  <c r="F316" i="147"/>
  <c r="E316" i="147"/>
  <c r="D316" i="147"/>
  <c r="C316" i="147"/>
  <c r="M315" i="147"/>
  <c r="L315" i="147"/>
  <c r="K315" i="147"/>
  <c r="J315" i="147"/>
  <c r="I315" i="147"/>
  <c r="H315" i="147"/>
  <c r="G315" i="147"/>
  <c r="F315" i="147"/>
  <c r="E315" i="147"/>
  <c r="D315" i="147"/>
  <c r="C315" i="147"/>
  <c r="M314" i="147"/>
  <c r="L314" i="147"/>
  <c r="K314" i="147"/>
  <c r="J314" i="147"/>
  <c r="I314" i="147"/>
  <c r="H314" i="147"/>
  <c r="G314" i="147"/>
  <c r="F314" i="147"/>
  <c r="E314" i="147"/>
  <c r="D314" i="147"/>
  <c r="C314" i="147"/>
  <c r="M313" i="147"/>
  <c r="L313" i="147"/>
  <c r="K313" i="147"/>
  <c r="J313" i="147"/>
  <c r="I313" i="147"/>
  <c r="H313" i="147"/>
  <c r="G313" i="147"/>
  <c r="F313" i="147"/>
  <c r="E313" i="147"/>
  <c r="D313" i="147"/>
  <c r="C313" i="147"/>
  <c r="M312" i="147"/>
  <c r="L312" i="147"/>
  <c r="K312" i="147"/>
  <c r="J312" i="147"/>
  <c r="I312" i="147"/>
  <c r="H312" i="147"/>
  <c r="G312" i="147"/>
  <c r="F312" i="147"/>
  <c r="E312" i="147"/>
  <c r="D312" i="147"/>
  <c r="C312" i="147"/>
  <c r="M311" i="147"/>
  <c r="L311" i="147"/>
  <c r="K311" i="147"/>
  <c r="J311" i="147"/>
  <c r="I311" i="147"/>
  <c r="H311" i="147"/>
  <c r="G311" i="147"/>
  <c r="F311" i="147"/>
  <c r="E311" i="147"/>
  <c r="D311" i="147"/>
  <c r="C311" i="147"/>
  <c r="M310" i="147"/>
  <c r="L310" i="147"/>
  <c r="K310" i="147"/>
  <c r="J310" i="147"/>
  <c r="I310" i="147"/>
  <c r="H310" i="147"/>
  <c r="G310" i="147"/>
  <c r="F310" i="147"/>
  <c r="E310" i="147"/>
  <c r="D310" i="147"/>
  <c r="C310" i="147"/>
  <c r="M309" i="147"/>
  <c r="L309" i="147"/>
  <c r="K309" i="147"/>
  <c r="J309" i="147"/>
  <c r="I309" i="147"/>
  <c r="H309" i="147"/>
  <c r="G309" i="147"/>
  <c r="F309" i="147"/>
  <c r="E309" i="147"/>
  <c r="D309" i="147"/>
  <c r="C309" i="147"/>
  <c r="B319" i="147"/>
  <c r="B318" i="147"/>
  <c r="B317" i="147"/>
  <c r="B316" i="147"/>
  <c r="B315" i="147"/>
  <c r="B314" i="147"/>
  <c r="B313" i="147"/>
  <c r="B312" i="147"/>
  <c r="B311" i="147"/>
  <c r="B310" i="147"/>
  <c r="M302" i="147"/>
  <c r="L302" i="147"/>
  <c r="K302" i="147"/>
  <c r="J302" i="147"/>
  <c r="I302" i="147"/>
  <c r="H302" i="147"/>
  <c r="G302" i="147"/>
  <c r="F302" i="147"/>
  <c r="E302" i="147"/>
  <c r="D302" i="147"/>
  <c r="C302" i="147"/>
  <c r="M301" i="147"/>
  <c r="L301" i="147"/>
  <c r="K301" i="147"/>
  <c r="J301" i="147"/>
  <c r="I301" i="147"/>
  <c r="H301" i="147"/>
  <c r="G301" i="147"/>
  <c r="F301" i="147"/>
  <c r="E301" i="147"/>
  <c r="D301" i="147"/>
  <c r="C301" i="147"/>
  <c r="M300" i="147"/>
  <c r="L300" i="147"/>
  <c r="K300" i="147"/>
  <c r="J300" i="147"/>
  <c r="I300" i="147"/>
  <c r="H300" i="147"/>
  <c r="G300" i="147"/>
  <c r="F300" i="147"/>
  <c r="E300" i="147"/>
  <c r="D300" i="147"/>
  <c r="C300" i="147"/>
  <c r="M299" i="147"/>
  <c r="L299" i="147"/>
  <c r="K299" i="147"/>
  <c r="J299" i="147"/>
  <c r="I299" i="147"/>
  <c r="H299" i="147"/>
  <c r="G299" i="147"/>
  <c r="F299" i="147"/>
  <c r="E299" i="147"/>
  <c r="D299" i="147"/>
  <c r="C299" i="147"/>
  <c r="M298" i="147"/>
  <c r="L298" i="147"/>
  <c r="K298" i="147"/>
  <c r="J298" i="147"/>
  <c r="I298" i="147"/>
  <c r="H298" i="147"/>
  <c r="G298" i="147"/>
  <c r="F298" i="147"/>
  <c r="E298" i="147"/>
  <c r="D298" i="147"/>
  <c r="C298" i="147"/>
  <c r="M297" i="147"/>
  <c r="L297" i="147"/>
  <c r="K297" i="147"/>
  <c r="J297" i="147"/>
  <c r="I297" i="147"/>
  <c r="H297" i="147"/>
  <c r="G297" i="147"/>
  <c r="F297" i="147"/>
  <c r="E297" i="147"/>
  <c r="D297" i="147"/>
  <c r="C297" i="147"/>
  <c r="M296" i="147"/>
  <c r="L296" i="147"/>
  <c r="K296" i="147"/>
  <c r="J296" i="147"/>
  <c r="I296" i="147"/>
  <c r="H296" i="147"/>
  <c r="G296" i="147"/>
  <c r="F296" i="147"/>
  <c r="E296" i="147"/>
  <c r="D296" i="147"/>
  <c r="C296" i="147"/>
  <c r="M295" i="147"/>
  <c r="L295" i="147"/>
  <c r="K295" i="147"/>
  <c r="J295" i="147"/>
  <c r="I295" i="147"/>
  <c r="H295" i="147"/>
  <c r="G295" i="147"/>
  <c r="F295" i="147"/>
  <c r="E295" i="147"/>
  <c r="D295" i="147"/>
  <c r="C295" i="147"/>
  <c r="M294" i="147"/>
  <c r="L294" i="147"/>
  <c r="K294" i="147"/>
  <c r="J294" i="147"/>
  <c r="I294" i="147"/>
  <c r="H294" i="147"/>
  <c r="G294" i="147"/>
  <c r="F294" i="147"/>
  <c r="E294" i="147"/>
  <c r="D294" i="147"/>
  <c r="C294" i="147"/>
  <c r="M293" i="147"/>
  <c r="L293" i="147"/>
  <c r="K293" i="147"/>
  <c r="J293" i="147"/>
  <c r="I293" i="147"/>
  <c r="H293" i="147"/>
  <c r="G293" i="147"/>
  <c r="F293" i="147"/>
  <c r="E293" i="147"/>
  <c r="D293" i="147"/>
  <c r="C293" i="147"/>
  <c r="M292" i="147"/>
  <c r="L292" i="147"/>
  <c r="K292" i="147"/>
  <c r="J292" i="147"/>
  <c r="I292" i="147"/>
  <c r="H292" i="147"/>
  <c r="G292" i="147"/>
  <c r="F292" i="147"/>
  <c r="E292" i="147"/>
  <c r="D292" i="147"/>
  <c r="C292" i="147"/>
  <c r="M291" i="147"/>
  <c r="L291" i="147"/>
  <c r="K291" i="147"/>
  <c r="J291" i="147"/>
  <c r="I291" i="147"/>
  <c r="H291" i="147"/>
  <c r="G291" i="147"/>
  <c r="F291" i="147"/>
  <c r="E291" i="147"/>
  <c r="D291" i="147"/>
  <c r="C291" i="147"/>
  <c r="B301" i="147"/>
  <c r="B300" i="147"/>
  <c r="B299" i="147"/>
  <c r="B298" i="147"/>
  <c r="B297" i="147"/>
  <c r="B296" i="147"/>
  <c r="B295" i="147"/>
  <c r="B294" i="147"/>
  <c r="B293" i="147"/>
  <c r="B292" i="147"/>
  <c r="AH252" i="147"/>
  <c r="AF246" i="147"/>
  <c r="AF245" i="147"/>
  <c r="AF244" i="147"/>
  <c r="AF243" i="147"/>
  <c r="AF242" i="147"/>
  <c r="AF241" i="147"/>
  <c r="AF240" i="147"/>
  <c r="AF239" i="147"/>
  <c r="M243" i="147"/>
  <c r="L243" i="147"/>
  <c r="K243" i="147"/>
  <c r="J243" i="147"/>
  <c r="I243" i="147"/>
  <c r="H243" i="147"/>
  <c r="G243" i="147"/>
  <c r="F243" i="147"/>
  <c r="E243" i="147"/>
  <c r="D243" i="147"/>
  <c r="C243" i="147"/>
  <c r="M242" i="147"/>
  <c r="L242" i="147"/>
  <c r="K242" i="147"/>
  <c r="J242" i="147"/>
  <c r="I242" i="147"/>
  <c r="H242" i="147"/>
  <c r="G242" i="147"/>
  <c r="F242" i="147"/>
  <c r="E242" i="147"/>
  <c r="D242" i="147"/>
  <c r="C242" i="147"/>
  <c r="M241" i="147"/>
  <c r="L241" i="147"/>
  <c r="K241" i="147"/>
  <c r="J241" i="147"/>
  <c r="I241" i="147"/>
  <c r="H241" i="147"/>
  <c r="G241" i="147"/>
  <c r="F241" i="147"/>
  <c r="E241" i="147"/>
  <c r="D241" i="147"/>
  <c r="C241" i="147"/>
  <c r="M240" i="147"/>
  <c r="L240" i="147"/>
  <c r="K240" i="147"/>
  <c r="J240" i="147"/>
  <c r="I240" i="147"/>
  <c r="H240" i="147"/>
  <c r="G240" i="147"/>
  <c r="F240" i="147"/>
  <c r="E240" i="147"/>
  <c r="D240" i="147"/>
  <c r="C240" i="147"/>
  <c r="M239" i="147"/>
  <c r="L239" i="147"/>
  <c r="K239" i="147"/>
  <c r="J239" i="147"/>
  <c r="I239" i="147"/>
  <c r="H239" i="147"/>
  <c r="G239" i="147"/>
  <c r="F239" i="147"/>
  <c r="E239" i="147"/>
  <c r="D239" i="147"/>
  <c r="C239" i="147"/>
  <c r="M238" i="147"/>
  <c r="L238" i="147"/>
  <c r="K238" i="147"/>
  <c r="J238" i="147"/>
  <c r="I238" i="147"/>
  <c r="H238" i="147"/>
  <c r="G238" i="147"/>
  <c r="F238" i="147"/>
  <c r="E238" i="147"/>
  <c r="D238" i="147"/>
  <c r="C238" i="147"/>
  <c r="M237" i="147"/>
  <c r="L237" i="147"/>
  <c r="K237" i="147"/>
  <c r="J237" i="147"/>
  <c r="I237" i="147"/>
  <c r="H237" i="147"/>
  <c r="G237" i="147"/>
  <c r="F237" i="147"/>
  <c r="E237" i="147"/>
  <c r="D237" i="147"/>
  <c r="C237" i="147"/>
  <c r="M236" i="147"/>
  <c r="L236" i="147"/>
  <c r="K236" i="147"/>
  <c r="J236" i="147"/>
  <c r="I236" i="147"/>
  <c r="H236" i="147"/>
  <c r="G236" i="147"/>
  <c r="F236" i="147"/>
  <c r="E236" i="147"/>
  <c r="D236" i="147"/>
  <c r="C236" i="147"/>
  <c r="M235" i="147"/>
  <c r="L235" i="147"/>
  <c r="K235" i="147"/>
  <c r="J235" i="147"/>
  <c r="I235" i="147"/>
  <c r="H235" i="147"/>
  <c r="G235" i="147"/>
  <c r="F235" i="147"/>
  <c r="E235" i="147"/>
  <c r="D235" i="147"/>
  <c r="C235" i="147"/>
  <c r="M232" i="147"/>
  <c r="L232" i="147"/>
  <c r="K232" i="147"/>
  <c r="J232" i="147"/>
  <c r="I232" i="147"/>
  <c r="H232" i="147"/>
  <c r="G232" i="147"/>
  <c r="F232" i="147"/>
  <c r="E232" i="147"/>
  <c r="D232" i="147"/>
  <c r="C232" i="147"/>
  <c r="M231" i="147"/>
  <c r="L231" i="147"/>
  <c r="K231" i="147"/>
  <c r="J231" i="147"/>
  <c r="I231" i="147"/>
  <c r="H231" i="147"/>
  <c r="G231" i="147"/>
  <c r="F231" i="147"/>
  <c r="E231" i="147"/>
  <c r="D231" i="147"/>
  <c r="C231" i="147"/>
  <c r="M230" i="147"/>
  <c r="L230" i="147"/>
  <c r="K230" i="147"/>
  <c r="J230" i="147"/>
  <c r="I230" i="147"/>
  <c r="H230" i="147"/>
  <c r="G230" i="147"/>
  <c r="F230" i="147"/>
  <c r="E230" i="147"/>
  <c r="D230" i="147"/>
  <c r="C230" i="147"/>
  <c r="M229" i="147"/>
  <c r="L229" i="147"/>
  <c r="K229" i="147"/>
  <c r="J229" i="147"/>
  <c r="I229" i="147"/>
  <c r="H229" i="147"/>
  <c r="G229" i="147"/>
  <c r="F229" i="147"/>
  <c r="E229" i="147"/>
  <c r="D229" i="147"/>
  <c r="C229" i="147"/>
  <c r="M228" i="147"/>
  <c r="L228" i="147"/>
  <c r="K228" i="147"/>
  <c r="J228" i="147"/>
  <c r="I228" i="147"/>
  <c r="H228" i="147"/>
  <c r="G228" i="147"/>
  <c r="F228" i="147"/>
  <c r="E228" i="147"/>
  <c r="D228" i="147"/>
  <c r="C228" i="147"/>
  <c r="M227" i="147"/>
  <c r="L227" i="147"/>
  <c r="K227" i="147"/>
  <c r="J227" i="147"/>
  <c r="I227" i="147"/>
  <c r="H227" i="147"/>
  <c r="G227" i="147"/>
  <c r="F227" i="147"/>
  <c r="E227" i="147"/>
  <c r="D227" i="147"/>
  <c r="C227" i="147"/>
  <c r="M226" i="147"/>
  <c r="L226" i="147"/>
  <c r="K226" i="147"/>
  <c r="J226" i="147"/>
  <c r="I226" i="147"/>
  <c r="H226" i="147"/>
  <c r="G226" i="147"/>
  <c r="F226" i="147"/>
  <c r="E226" i="147"/>
  <c r="D226" i="147"/>
  <c r="C226" i="147"/>
  <c r="M225" i="147"/>
  <c r="L225" i="147"/>
  <c r="K225" i="147"/>
  <c r="J225" i="147"/>
  <c r="I225" i="147"/>
  <c r="H225" i="147"/>
  <c r="G225" i="147"/>
  <c r="F225" i="147"/>
  <c r="E225" i="147"/>
  <c r="D225" i="147"/>
  <c r="C225" i="147"/>
  <c r="M224" i="147"/>
  <c r="L224" i="147"/>
  <c r="K224" i="147"/>
  <c r="J224" i="147"/>
  <c r="I224" i="147"/>
  <c r="H224" i="147"/>
  <c r="G224" i="147"/>
  <c r="F224" i="147"/>
  <c r="E224" i="147"/>
  <c r="D224" i="147"/>
  <c r="C224" i="147"/>
  <c r="M221" i="147"/>
  <c r="L221" i="147"/>
  <c r="K221" i="147"/>
  <c r="J221" i="147"/>
  <c r="I221" i="147"/>
  <c r="H221" i="147"/>
  <c r="G221" i="147"/>
  <c r="F221" i="147"/>
  <c r="E221" i="147"/>
  <c r="D221" i="147"/>
  <c r="C221" i="147"/>
  <c r="M220" i="147"/>
  <c r="L220" i="147"/>
  <c r="K220" i="147"/>
  <c r="J220" i="147"/>
  <c r="I220" i="147"/>
  <c r="H220" i="147"/>
  <c r="G220" i="147"/>
  <c r="F220" i="147"/>
  <c r="E220" i="147"/>
  <c r="D220" i="147"/>
  <c r="C220" i="147"/>
  <c r="M219" i="147"/>
  <c r="L219" i="147"/>
  <c r="K219" i="147"/>
  <c r="J219" i="147"/>
  <c r="I219" i="147"/>
  <c r="H219" i="147"/>
  <c r="G219" i="147"/>
  <c r="F219" i="147"/>
  <c r="E219" i="147"/>
  <c r="D219" i="147"/>
  <c r="C219" i="147"/>
  <c r="M218" i="147"/>
  <c r="L218" i="147"/>
  <c r="K218" i="147"/>
  <c r="J218" i="147"/>
  <c r="I218" i="147"/>
  <c r="H218" i="147"/>
  <c r="G218" i="147"/>
  <c r="F218" i="147"/>
  <c r="E218" i="147"/>
  <c r="D218" i="147"/>
  <c r="C218" i="147"/>
  <c r="M217" i="147"/>
  <c r="L217" i="147"/>
  <c r="K217" i="147"/>
  <c r="J217" i="147"/>
  <c r="I217" i="147"/>
  <c r="H217" i="147"/>
  <c r="G217" i="147"/>
  <c r="F217" i="147"/>
  <c r="E217" i="147"/>
  <c r="D217" i="147"/>
  <c r="C217" i="147"/>
  <c r="M216" i="147"/>
  <c r="L216" i="147"/>
  <c r="K216" i="147"/>
  <c r="J216" i="147"/>
  <c r="I216" i="147"/>
  <c r="H216" i="147"/>
  <c r="G216" i="147"/>
  <c r="F216" i="147"/>
  <c r="E216" i="147"/>
  <c r="D216" i="147"/>
  <c r="C216" i="147"/>
  <c r="M215" i="147"/>
  <c r="L215" i="147"/>
  <c r="K215" i="147"/>
  <c r="J215" i="147"/>
  <c r="I215" i="147"/>
  <c r="H215" i="147"/>
  <c r="G215" i="147"/>
  <c r="F215" i="147"/>
  <c r="E215" i="147"/>
  <c r="D215" i="147"/>
  <c r="C215" i="147"/>
  <c r="M214" i="147"/>
  <c r="L214" i="147"/>
  <c r="K214" i="147"/>
  <c r="J214" i="147"/>
  <c r="I214" i="147"/>
  <c r="H214" i="147"/>
  <c r="G214" i="147"/>
  <c r="F214" i="147"/>
  <c r="E214" i="147"/>
  <c r="D214" i="147"/>
  <c r="C214" i="147"/>
  <c r="M213" i="147"/>
  <c r="L213" i="147"/>
  <c r="K213" i="147"/>
  <c r="J213" i="147"/>
  <c r="I213" i="147"/>
  <c r="H213" i="147"/>
  <c r="G213" i="147"/>
  <c r="F213" i="147"/>
  <c r="E213" i="147"/>
  <c r="D213" i="147"/>
  <c r="C213" i="147"/>
  <c r="M234" i="147"/>
  <c r="L234" i="147"/>
  <c r="K234" i="147"/>
  <c r="J234" i="147"/>
  <c r="I234" i="147"/>
  <c r="H234" i="147"/>
  <c r="G234" i="147"/>
  <c r="F234" i="147"/>
  <c r="E234" i="147"/>
  <c r="D234" i="147"/>
  <c r="C234" i="147"/>
  <c r="M223" i="147"/>
  <c r="L223" i="147"/>
  <c r="K223" i="147"/>
  <c r="J223" i="147"/>
  <c r="I223" i="147"/>
  <c r="H223" i="147"/>
  <c r="G223" i="147"/>
  <c r="F223" i="147"/>
  <c r="E223" i="147"/>
  <c r="D223" i="147"/>
  <c r="C223" i="147"/>
  <c r="M212" i="147"/>
  <c r="L212" i="147"/>
  <c r="K212" i="147"/>
  <c r="J212" i="147"/>
  <c r="I212" i="147"/>
  <c r="H212" i="147"/>
  <c r="G212" i="147"/>
  <c r="F212" i="147"/>
  <c r="E212" i="147"/>
  <c r="D212" i="147"/>
  <c r="C212" i="147"/>
  <c r="M210" i="147"/>
  <c r="L210" i="147"/>
  <c r="K210" i="147"/>
  <c r="J210" i="147"/>
  <c r="I210" i="147"/>
  <c r="H210" i="147"/>
  <c r="G210" i="147"/>
  <c r="F210" i="147"/>
  <c r="E210" i="147"/>
  <c r="D210" i="147"/>
  <c r="C210" i="147"/>
  <c r="M209" i="147"/>
  <c r="L209" i="147"/>
  <c r="K209" i="147"/>
  <c r="J209" i="147"/>
  <c r="I209" i="147"/>
  <c r="H209" i="147"/>
  <c r="G209" i="147"/>
  <c r="F209" i="147"/>
  <c r="E209" i="147"/>
  <c r="D209" i="147"/>
  <c r="C209" i="147"/>
  <c r="M208" i="147"/>
  <c r="L208" i="147"/>
  <c r="K208" i="147"/>
  <c r="J208" i="147"/>
  <c r="I208" i="147"/>
  <c r="H208" i="147"/>
  <c r="G208" i="147"/>
  <c r="F208" i="147"/>
  <c r="E208" i="147"/>
  <c r="D208" i="147"/>
  <c r="C208" i="147"/>
  <c r="M207" i="147"/>
  <c r="L207" i="147"/>
  <c r="K207" i="147"/>
  <c r="J207" i="147"/>
  <c r="I207" i="147"/>
  <c r="H207" i="147"/>
  <c r="G207" i="147"/>
  <c r="F207" i="147"/>
  <c r="E207" i="147"/>
  <c r="D207" i="147"/>
  <c r="C207" i="147"/>
  <c r="M206" i="147"/>
  <c r="L206" i="147"/>
  <c r="K206" i="147"/>
  <c r="J206" i="147"/>
  <c r="I206" i="147"/>
  <c r="H206" i="147"/>
  <c r="G206" i="147"/>
  <c r="F206" i="147"/>
  <c r="E206" i="147"/>
  <c r="D206" i="147"/>
  <c r="C206" i="147"/>
  <c r="M205" i="147"/>
  <c r="L205" i="147"/>
  <c r="K205" i="147"/>
  <c r="J205" i="147"/>
  <c r="I205" i="147"/>
  <c r="H205" i="147"/>
  <c r="G205" i="147"/>
  <c r="F205" i="147"/>
  <c r="E205" i="147"/>
  <c r="D205" i="147"/>
  <c r="C205" i="147"/>
  <c r="M204" i="147"/>
  <c r="L204" i="147"/>
  <c r="K204" i="147"/>
  <c r="J204" i="147"/>
  <c r="I204" i="147"/>
  <c r="H204" i="147"/>
  <c r="G204" i="147"/>
  <c r="F204" i="147"/>
  <c r="E204" i="147"/>
  <c r="D204" i="147"/>
  <c r="C204" i="147"/>
  <c r="M203" i="147"/>
  <c r="L203" i="147"/>
  <c r="K203" i="147"/>
  <c r="J203" i="147"/>
  <c r="I203" i="147"/>
  <c r="H203" i="147"/>
  <c r="G203" i="147"/>
  <c r="F203" i="147"/>
  <c r="E203" i="147"/>
  <c r="D203" i="147"/>
  <c r="C203" i="147"/>
  <c r="M202" i="147"/>
  <c r="L202" i="147"/>
  <c r="K202" i="147"/>
  <c r="J202" i="147"/>
  <c r="I202" i="147"/>
  <c r="H202" i="147"/>
  <c r="G202" i="147"/>
  <c r="F202" i="147"/>
  <c r="E202" i="147"/>
  <c r="D202" i="147"/>
  <c r="C202" i="147"/>
  <c r="M199" i="147"/>
  <c r="L199" i="147"/>
  <c r="K199" i="147"/>
  <c r="J199" i="147"/>
  <c r="I199" i="147"/>
  <c r="H199" i="147"/>
  <c r="G199" i="147"/>
  <c r="F199" i="147"/>
  <c r="E199" i="147"/>
  <c r="D199" i="147"/>
  <c r="C199" i="147"/>
  <c r="M198" i="147"/>
  <c r="L198" i="147"/>
  <c r="K198" i="147"/>
  <c r="J198" i="147"/>
  <c r="I198" i="147"/>
  <c r="H198" i="147"/>
  <c r="G198" i="147"/>
  <c r="F198" i="147"/>
  <c r="E198" i="147"/>
  <c r="D198" i="147"/>
  <c r="C198" i="147"/>
  <c r="M197" i="147"/>
  <c r="L197" i="147"/>
  <c r="K197" i="147"/>
  <c r="J197" i="147"/>
  <c r="I197" i="147"/>
  <c r="H197" i="147"/>
  <c r="G197" i="147"/>
  <c r="F197" i="147"/>
  <c r="E197" i="147"/>
  <c r="D197" i="147"/>
  <c r="C197" i="147"/>
  <c r="M196" i="147"/>
  <c r="L196" i="147"/>
  <c r="K196" i="147"/>
  <c r="J196" i="147"/>
  <c r="I196" i="147"/>
  <c r="H196" i="147"/>
  <c r="G196" i="147"/>
  <c r="F196" i="147"/>
  <c r="E196" i="147"/>
  <c r="D196" i="147"/>
  <c r="C196" i="147"/>
  <c r="M195" i="147"/>
  <c r="L195" i="147"/>
  <c r="K195" i="147"/>
  <c r="J195" i="147"/>
  <c r="I195" i="147"/>
  <c r="H195" i="147"/>
  <c r="G195" i="147"/>
  <c r="F195" i="147"/>
  <c r="E195" i="147"/>
  <c r="D195" i="147"/>
  <c r="C195" i="147"/>
  <c r="M194" i="147"/>
  <c r="L194" i="147"/>
  <c r="K194" i="147"/>
  <c r="J194" i="147"/>
  <c r="I194" i="147"/>
  <c r="H194" i="147"/>
  <c r="G194" i="147"/>
  <c r="F194" i="147"/>
  <c r="E194" i="147"/>
  <c r="D194" i="147"/>
  <c r="C194" i="147"/>
  <c r="M193" i="147"/>
  <c r="L193" i="147"/>
  <c r="K193" i="147"/>
  <c r="J193" i="147"/>
  <c r="I193" i="147"/>
  <c r="H193" i="147"/>
  <c r="G193" i="147"/>
  <c r="F193" i="147"/>
  <c r="E193" i="147"/>
  <c r="D193" i="147"/>
  <c r="C193" i="147"/>
  <c r="M192" i="147"/>
  <c r="L192" i="147"/>
  <c r="K192" i="147"/>
  <c r="J192" i="147"/>
  <c r="I192" i="147"/>
  <c r="H192" i="147"/>
  <c r="G192" i="147"/>
  <c r="F192" i="147"/>
  <c r="E192" i="147"/>
  <c r="D192" i="147"/>
  <c r="C192" i="147"/>
  <c r="M191" i="147"/>
  <c r="L191" i="147"/>
  <c r="K191" i="147"/>
  <c r="J191" i="147"/>
  <c r="I191" i="147"/>
  <c r="H191" i="147"/>
  <c r="G191" i="147"/>
  <c r="F191" i="147"/>
  <c r="E191" i="147"/>
  <c r="D191" i="147"/>
  <c r="C191" i="147"/>
  <c r="M201" i="147"/>
  <c r="L201" i="147"/>
  <c r="K201" i="147"/>
  <c r="J201" i="147"/>
  <c r="I201" i="147"/>
  <c r="H201" i="147"/>
  <c r="G201" i="147"/>
  <c r="F201" i="147"/>
  <c r="E201" i="147"/>
  <c r="D201" i="147"/>
  <c r="C201" i="147"/>
  <c r="M190" i="147"/>
  <c r="L190" i="147"/>
  <c r="K190" i="147"/>
  <c r="J190" i="147"/>
  <c r="I190" i="147"/>
  <c r="H190" i="147"/>
  <c r="G190" i="147"/>
  <c r="F190" i="147"/>
  <c r="E190" i="147"/>
  <c r="D190" i="147"/>
  <c r="C190" i="147"/>
  <c r="M188" i="147"/>
  <c r="L188" i="147"/>
  <c r="K188" i="147"/>
  <c r="J188" i="147"/>
  <c r="I188" i="147"/>
  <c r="H188" i="147"/>
  <c r="G188" i="147"/>
  <c r="F188" i="147"/>
  <c r="E188" i="147"/>
  <c r="D188" i="147"/>
  <c r="C188" i="147"/>
  <c r="M187" i="147"/>
  <c r="L187" i="147"/>
  <c r="K187" i="147"/>
  <c r="J187" i="147"/>
  <c r="I187" i="147"/>
  <c r="H187" i="147"/>
  <c r="G187" i="147"/>
  <c r="F187" i="147"/>
  <c r="E187" i="147"/>
  <c r="D187" i="147"/>
  <c r="C187" i="147"/>
  <c r="M186" i="147"/>
  <c r="L186" i="147"/>
  <c r="K186" i="147"/>
  <c r="J186" i="147"/>
  <c r="I186" i="147"/>
  <c r="H186" i="147"/>
  <c r="G186" i="147"/>
  <c r="F186" i="147"/>
  <c r="E186" i="147"/>
  <c r="D186" i="147"/>
  <c r="C186" i="147"/>
  <c r="M185" i="147"/>
  <c r="L185" i="147"/>
  <c r="K185" i="147"/>
  <c r="J185" i="147"/>
  <c r="I185" i="147"/>
  <c r="H185" i="147"/>
  <c r="G185" i="147"/>
  <c r="F185" i="147"/>
  <c r="E185" i="147"/>
  <c r="D185" i="147"/>
  <c r="C185" i="147"/>
  <c r="M184" i="147"/>
  <c r="L184" i="147"/>
  <c r="K184" i="147"/>
  <c r="J184" i="147"/>
  <c r="I184" i="147"/>
  <c r="H184" i="147"/>
  <c r="G184" i="147"/>
  <c r="F184" i="147"/>
  <c r="E184" i="147"/>
  <c r="D184" i="147"/>
  <c r="C184" i="147"/>
  <c r="M183" i="147"/>
  <c r="L183" i="147"/>
  <c r="K183" i="147"/>
  <c r="J183" i="147"/>
  <c r="I183" i="147"/>
  <c r="H183" i="147"/>
  <c r="G183" i="147"/>
  <c r="F183" i="147"/>
  <c r="E183" i="147"/>
  <c r="D183" i="147"/>
  <c r="C183" i="147"/>
  <c r="M182" i="147"/>
  <c r="L182" i="147"/>
  <c r="K182" i="147"/>
  <c r="J182" i="147"/>
  <c r="I182" i="147"/>
  <c r="H182" i="147"/>
  <c r="G182" i="147"/>
  <c r="F182" i="147"/>
  <c r="E182" i="147"/>
  <c r="D182" i="147"/>
  <c r="C182" i="147"/>
  <c r="M181" i="147"/>
  <c r="L181" i="147"/>
  <c r="K181" i="147"/>
  <c r="J181" i="147"/>
  <c r="I181" i="147"/>
  <c r="H181" i="147"/>
  <c r="G181" i="147"/>
  <c r="F181" i="147"/>
  <c r="E181" i="147"/>
  <c r="D181" i="147"/>
  <c r="C181" i="147"/>
  <c r="M180" i="147"/>
  <c r="L180" i="147"/>
  <c r="K180" i="147"/>
  <c r="J180" i="147"/>
  <c r="I180" i="147"/>
  <c r="H180" i="147"/>
  <c r="G180" i="147"/>
  <c r="F180" i="147"/>
  <c r="E180" i="147"/>
  <c r="D180" i="147"/>
  <c r="C180" i="147"/>
  <c r="M179" i="147"/>
  <c r="L179" i="147"/>
  <c r="K179" i="147"/>
  <c r="J179" i="147"/>
  <c r="I179" i="147"/>
  <c r="H179" i="147"/>
  <c r="G179" i="147"/>
  <c r="F179" i="147"/>
  <c r="E179" i="147"/>
  <c r="D179" i="147"/>
  <c r="C179" i="147"/>
  <c r="B243" i="147"/>
  <c r="B242" i="147"/>
  <c r="B241" i="147"/>
  <c r="B240" i="147"/>
  <c r="B239" i="147"/>
  <c r="B238" i="147"/>
  <c r="B237" i="147"/>
  <c r="B236" i="147"/>
  <c r="B235" i="147"/>
  <c r="B232" i="147"/>
  <c r="B231" i="147"/>
  <c r="B230" i="147"/>
  <c r="B229" i="147"/>
  <c r="B228" i="147"/>
  <c r="B227" i="147"/>
  <c r="B226" i="147"/>
  <c r="B225" i="147"/>
  <c r="B224" i="147"/>
  <c r="B221" i="147"/>
  <c r="B220" i="147"/>
  <c r="B219" i="147"/>
  <c r="B218" i="147"/>
  <c r="B217" i="147"/>
  <c r="B216" i="147"/>
  <c r="B215" i="147"/>
  <c r="B214" i="147"/>
  <c r="B213" i="147"/>
  <c r="B210" i="147"/>
  <c r="B209" i="147"/>
  <c r="B208" i="147"/>
  <c r="B207" i="147"/>
  <c r="B206" i="147"/>
  <c r="B205" i="147"/>
  <c r="B204" i="147"/>
  <c r="B203" i="147"/>
  <c r="B202" i="147"/>
  <c r="B199" i="147"/>
  <c r="B198" i="147"/>
  <c r="B197" i="147"/>
  <c r="B196" i="147"/>
  <c r="B195" i="147"/>
  <c r="B194" i="147"/>
  <c r="B193" i="147"/>
  <c r="B192" i="147"/>
  <c r="B191" i="147"/>
  <c r="B188" i="147"/>
  <c r="B187" i="147"/>
  <c r="B186" i="147"/>
  <c r="B185" i="147"/>
  <c r="B184" i="147"/>
  <c r="B183" i="147"/>
  <c r="B182" i="147"/>
  <c r="B181" i="147"/>
  <c r="B180" i="147"/>
  <c r="V200" i="147"/>
  <c r="W190" i="147"/>
  <c r="AA190" i="147" s="1"/>
  <c r="V190" i="147"/>
  <c r="W189" i="147"/>
  <c r="AA189" i="147" s="1"/>
  <c r="W188" i="147"/>
  <c r="W187" i="147"/>
  <c r="AA187" i="147" s="1"/>
  <c r="W186" i="147"/>
  <c r="W185" i="147"/>
  <c r="AA185" i="147" s="1"/>
  <c r="W184" i="147"/>
  <c r="AA184" i="147" s="1"/>
  <c r="V184" i="147"/>
  <c r="W183" i="147"/>
  <c r="AA183" i="147" s="1"/>
  <c r="W182" i="147"/>
  <c r="W181" i="147"/>
  <c r="AA181" i="147" s="1"/>
  <c r="W180" i="147"/>
  <c r="AA180" i="147" s="1"/>
  <c r="W179" i="147"/>
  <c r="W178" i="147"/>
  <c r="AA178" i="147" s="1"/>
  <c r="W177" i="147"/>
  <c r="AA177" i="147" s="1"/>
  <c r="W176" i="147"/>
  <c r="AA176" i="147" s="1"/>
  <c r="W175" i="147"/>
  <c r="W174" i="147"/>
  <c r="AA174" i="147" s="1"/>
  <c r="W173" i="147"/>
  <c r="AA173" i="147" s="1"/>
  <c r="W172" i="147"/>
  <c r="W171" i="147"/>
  <c r="AA171" i="147" s="1"/>
  <c r="W170" i="147"/>
  <c r="AA170" i="147" s="1"/>
  <c r="W169" i="147"/>
  <c r="AA169" i="147" s="1"/>
  <c r="W168" i="147"/>
  <c r="AA168" i="147" s="1"/>
  <c r="AA188" i="147"/>
  <c r="AA186" i="147"/>
  <c r="AA182" i="147"/>
  <c r="AA179" i="147"/>
  <c r="AA175" i="147"/>
  <c r="AA172" i="147"/>
  <c r="AJ115" i="147"/>
  <c r="AP115" i="147"/>
  <c r="AG115" i="147"/>
  <c r="AJ110" i="147"/>
  <c r="AP110" i="147"/>
  <c r="AK111" i="147"/>
  <c r="AQ111" i="147"/>
  <c r="AJ112" i="147"/>
  <c r="AL112" i="147"/>
  <c r="AP112" i="147"/>
  <c r="AR112" i="147"/>
  <c r="AH114" i="147"/>
  <c r="AJ114" i="147"/>
  <c r="AN114" i="147"/>
  <c r="AP114" i="147"/>
  <c r="AG104" i="147"/>
  <c r="AJ96" i="147"/>
  <c r="AP96" i="147"/>
  <c r="AJ97" i="147"/>
  <c r="AP97" i="147"/>
  <c r="AK98" i="147"/>
  <c r="AQ98" i="147"/>
  <c r="AL99" i="147"/>
  <c r="AR99" i="147"/>
  <c r="AM100" i="147"/>
  <c r="AI102" i="147"/>
  <c r="AO102" i="147"/>
  <c r="AJ103" i="147"/>
  <c r="AP103" i="147"/>
  <c r="AG101" i="147"/>
  <c r="CB38" i="105"/>
  <c r="CA38" i="105"/>
  <c r="BZ38" i="105"/>
  <c r="BO38" i="105"/>
  <c r="BQ38" i="105"/>
  <c r="BS8" i="105"/>
  <c r="BQ8" i="105"/>
  <c r="BO8" i="105"/>
  <c r="X95" i="147"/>
  <c r="P105" i="147"/>
  <c r="W166" i="147" s="1"/>
  <c r="W200" i="147" s="1"/>
  <c r="P104" i="147"/>
  <c r="P103" i="147"/>
  <c r="P102" i="147"/>
  <c r="P101" i="147"/>
  <c r="P100" i="147"/>
  <c r="P99" i="147"/>
  <c r="P98" i="147"/>
  <c r="P97" i="147"/>
  <c r="P96" i="147"/>
  <c r="P95" i="147"/>
  <c r="AB120" i="147"/>
  <c r="W120" i="147"/>
  <c r="AB119" i="147"/>
  <c r="AB118" i="147"/>
  <c r="AB117" i="147"/>
  <c r="AB116" i="147"/>
  <c r="AB115" i="147"/>
  <c r="W115" i="147"/>
  <c r="AB114" i="147"/>
  <c r="W114" i="147"/>
  <c r="AB113" i="147"/>
  <c r="AB112" i="147"/>
  <c r="AB111" i="147"/>
  <c r="AB110" i="147"/>
  <c r="AB109" i="147"/>
  <c r="AB108" i="147"/>
  <c r="AB107" i="147"/>
  <c r="AB106" i="147"/>
  <c r="AB105" i="147"/>
  <c r="AB104" i="147"/>
  <c r="AB103" i="147"/>
  <c r="AB102" i="147"/>
  <c r="AB101" i="147"/>
  <c r="AB100" i="147"/>
  <c r="AB99" i="147"/>
  <c r="AB98" i="147"/>
  <c r="AB97" i="147"/>
  <c r="M171" i="147"/>
  <c r="L171" i="147"/>
  <c r="K171" i="147"/>
  <c r="J171" i="147"/>
  <c r="I171" i="147"/>
  <c r="H171" i="147"/>
  <c r="G171" i="147"/>
  <c r="F171" i="147"/>
  <c r="E171" i="147"/>
  <c r="D171" i="147"/>
  <c r="C171" i="147"/>
  <c r="M170" i="147"/>
  <c r="L170" i="147"/>
  <c r="K170" i="147"/>
  <c r="J170" i="147"/>
  <c r="I170" i="147"/>
  <c r="H170" i="147"/>
  <c r="G170" i="147"/>
  <c r="F170" i="147"/>
  <c r="E170" i="147"/>
  <c r="D170" i="147"/>
  <c r="C170" i="147"/>
  <c r="B170" i="147"/>
  <c r="M169" i="147"/>
  <c r="L169" i="147"/>
  <c r="K169" i="147"/>
  <c r="J169" i="147"/>
  <c r="I169" i="147"/>
  <c r="H169" i="147"/>
  <c r="G169" i="147"/>
  <c r="F169" i="147"/>
  <c r="E169" i="147"/>
  <c r="D169" i="147"/>
  <c r="C169" i="147"/>
  <c r="B169" i="147"/>
  <c r="M168" i="147"/>
  <c r="L168" i="147"/>
  <c r="K168" i="147"/>
  <c r="J168" i="147"/>
  <c r="I168" i="147"/>
  <c r="H168" i="147"/>
  <c r="G168" i="147"/>
  <c r="F168" i="147"/>
  <c r="E168" i="147"/>
  <c r="D168" i="147"/>
  <c r="C168" i="147"/>
  <c r="B168" i="147"/>
  <c r="M167" i="147"/>
  <c r="L167" i="147"/>
  <c r="K167" i="147"/>
  <c r="J167" i="147"/>
  <c r="I167" i="147"/>
  <c r="H167" i="147"/>
  <c r="G167" i="147"/>
  <c r="F167" i="147"/>
  <c r="E167" i="147"/>
  <c r="D167" i="147"/>
  <c r="C167" i="147"/>
  <c r="B167" i="147"/>
  <c r="M166" i="147"/>
  <c r="L166" i="147"/>
  <c r="K166" i="147"/>
  <c r="J166" i="147"/>
  <c r="I166" i="147"/>
  <c r="H166" i="147"/>
  <c r="G166" i="147"/>
  <c r="F166" i="147"/>
  <c r="E166" i="147"/>
  <c r="D166" i="147"/>
  <c r="C166" i="147"/>
  <c r="B166" i="147"/>
  <c r="M165" i="147"/>
  <c r="L165" i="147"/>
  <c r="K165" i="147"/>
  <c r="J165" i="147"/>
  <c r="I165" i="147"/>
  <c r="H165" i="147"/>
  <c r="G165" i="147"/>
  <c r="F165" i="147"/>
  <c r="E165" i="147"/>
  <c r="D165" i="147"/>
  <c r="C165" i="147"/>
  <c r="B165" i="147"/>
  <c r="M164" i="147"/>
  <c r="L164" i="147"/>
  <c r="K164" i="147"/>
  <c r="J164" i="147"/>
  <c r="I164" i="147"/>
  <c r="H164" i="147"/>
  <c r="G164" i="147"/>
  <c r="F164" i="147"/>
  <c r="E164" i="147"/>
  <c r="D164" i="147"/>
  <c r="C164" i="147"/>
  <c r="B164" i="147"/>
  <c r="M163" i="147"/>
  <c r="L163" i="147"/>
  <c r="K163" i="147"/>
  <c r="J163" i="147"/>
  <c r="I163" i="147"/>
  <c r="H163" i="147"/>
  <c r="G163" i="147"/>
  <c r="F163" i="147"/>
  <c r="E163" i="147"/>
  <c r="D163" i="147"/>
  <c r="C163" i="147"/>
  <c r="B163" i="147"/>
  <c r="M162" i="147"/>
  <c r="L162" i="147"/>
  <c r="K162" i="147"/>
  <c r="J162" i="147"/>
  <c r="I162" i="147"/>
  <c r="H162" i="147"/>
  <c r="G162" i="147"/>
  <c r="F162" i="147"/>
  <c r="E162" i="147"/>
  <c r="D162" i="147"/>
  <c r="C162" i="147"/>
  <c r="B162" i="147"/>
  <c r="M161" i="147"/>
  <c r="L161" i="147"/>
  <c r="K161" i="147"/>
  <c r="J161" i="147"/>
  <c r="I161" i="147"/>
  <c r="H161" i="147"/>
  <c r="G161" i="147"/>
  <c r="F161" i="147"/>
  <c r="E161" i="147"/>
  <c r="D161" i="147"/>
  <c r="C161" i="147"/>
  <c r="B161" i="147"/>
  <c r="M160" i="147"/>
  <c r="L160" i="147"/>
  <c r="K160" i="147"/>
  <c r="J160" i="147"/>
  <c r="I160" i="147"/>
  <c r="H160" i="147"/>
  <c r="G160" i="147"/>
  <c r="F160" i="147"/>
  <c r="E160" i="147"/>
  <c r="D160" i="147"/>
  <c r="C160" i="147"/>
  <c r="B160" i="147"/>
  <c r="M159" i="147"/>
  <c r="L159" i="147"/>
  <c r="K159" i="147"/>
  <c r="J159" i="147"/>
  <c r="I159" i="147"/>
  <c r="H159" i="147"/>
  <c r="G159" i="147"/>
  <c r="F159" i="147"/>
  <c r="E159" i="147"/>
  <c r="D159" i="147"/>
  <c r="C159" i="147"/>
  <c r="B159" i="147"/>
  <c r="M158" i="147"/>
  <c r="L158" i="147"/>
  <c r="K158" i="147"/>
  <c r="J158" i="147"/>
  <c r="I158" i="147"/>
  <c r="H158" i="147"/>
  <c r="G158" i="147"/>
  <c r="F158" i="147"/>
  <c r="E158" i="147"/>
  <c r="D158" i="147"/>
  <c r="C158" i="147"/>
  <c r="B158" i="147"/>
  <c r="M157" i="147"/>
  <c r="L157" i="147"/>
  <c r="K157" i="147"/>
  <c r="J157" i="147"/>
  <c r="I157" i="147"/>
  <c r="H157" i="147"/>
  <c r="G157" i="147"/>
  <c r="F157" i="147"/>
  <c r="E157" i="147"/>
  <c r="D157" i="147"/>
  <c r="C157" i="147"/>
  <c r="B157" i="147"/>
  <c r="M156" i="147"/>
  <c r="L156" i="147"/>
  <c r="K156" i="147"/>
  <c r="J156" i="147"/>
  <c r="I156" i="147"/>
  <c r="H156" i="147"/>
  <c r="G156" i="147"/>
  <c r="F156" i="147"/>
  <c r="E156" i="147"/>
  <c r="D156" i="147"/>
  <c r="C156" i="147"/>
  <c r="B156" i="147"/>
  <c r="M155" i="147"/>
  <c r="L155" i="147"/>
  <c r="K155" i="147"/>
  <c r="J155" i="147"/>
  <c r="I155" i="147"/>
  <c r="H155" i="147"/>
  <c r="G155" i="147"/>
  <c r="F155" i="147"/>
  <c r="E155" i="147"/>
  <c r="D155" i="147"/>
  <c r="C155" i="147"/>
  <c r="B155" i="147"/>
  <c r="M154" i="147"/>
  <c r="L154" i="147"/>
  <c r="K154" i="147"/>
  <c r="J154" i="147"/>
  <c r="I154" i="147"/>
  <c r="H154" i="147"/>
  <c r="G154" i="147"/>
  <c r="F154" i="147"/>
  <c r="E154" i="147"/>
  <c r="D154" i="147"/>
  <c r="C154" i="147"/>
  <c r="B154" i="147"/>
  <c r="M153" i="147"/>
  <c r="L153" i="147"/>
  <c r="K153" i="147"/>
  <c r="J153" i="147"/>
  <c r="I153" i="147"/>
  <c r="H153" i="147"/>
  <c r="G153" i="147"/>
  <c r="F153" i="147"/>
  <c r="E153" i="147"/>
  <c r="D153" i="147"/>
  <c r="C153" i="147"/>
  <c r="B153" i="147"/>
  <c r="M152" i="147"/>
  <c r="L152" i="147"/>
  <c r="K152" i="147"/>
  <c r="J152" i="147"/>
  <c r="I152" i="147"/>
  <c r="H152" i="147"/>
  <c r="G152" i="147"/>
  <c r="F152" i="147"/>
  <c r="E152" i="147"/>
  <c r="D152" i="147"/>
  <c r="C152" i="147"/>
  <c r="B152" i="147"/>
  <c r="M151" i="147"/>
  <c r="L151" i="147"/>
  <c r="K151" i="147"/>
  <c r="J151" i="147"/>
  <c r="I151" i="147"/>
  <c r="H151" i="147"/>
  <c r="G151" i="147"/>
  <c r="F151" i="147"/>
  <c r="E151" i="147"/>
  <c r="D151" i="147"/>
  <c r="C151" i="147"/>
  <c r="B151" i="147"/>
  <c r="M150" i="147"/>
  <c r="L150" i="147"/>
  <c r="K150" i="147"/>
  <c r="J150" i="147"/>
  <c r="I150" i="147"/>
  <c r="H150" i="147"/>
  <c r="G150" i="147"/>
  <c r="F150" i="147"/>
  <c r="E150" i="147"/>
  <c r="D150" i="147"/>
  <c r="C150" i="147"/>
  <c r="B150" i="147"/>
  <c r="M149" i="147"/>
  <c r="L149" i="147"/>
  <c r="K149" i="147"/>
  <c r="J149" i="147"/>
  <c r="I149" i="147"/>
  <c r="H149" i="147"/>
  <c r="G149" i="147"/>
  <c r="F149" i="147"/>
  <c r="E149" i="147"/>
  <c r="D149" i="147"/>
  <c r="C149" i="147"/>
  <c r="B149" i="147"/>
  <c r="M148" i="147"/>
  <c r="L148" i="147"/>
  <c r="K148" i="147"/>
  <c r="J148" i="147"/>
  <c r="I148" i="147"/>
  <c r="H148" i="147"/>
  <c r="G148" i="147"/>
  <c r="F148" i="147"/>
  <c r="E148" i="147"/>
  <c r="D148" i="147"/>
  <c r="C148" i="147"/>
  <c r="B148" i="147"/>
  <c r="M143" i="147"/>
  <c r="AR115" i="147" s="1"/>
  <c r="L143" i="147"/>
  <c r="AQ115" i="147" s="1"/>
  <c r="K143" i="147"/>
  <c r="J143" i="147"/>
  <c r="AO115" i="147" s="1"/>
  <c r="I143" i="147"/>
  <c r="AN115" i="147" s="1"/>
  <c r="H143" i="147"/>
  <c r="AM115" i="147" s="1"/>
  <c r="G143" i="147"/>
  <c r="AL115" i="147" s="1"/>
  <c r="F143" i="147"/>
  <c r="AK115" i="147" s="1"/>
  <c r="E143" i="147"/>
  <c r="D143" i="147"/>
  <c r="AI115" i="147" s="1"/>
  <c r="C143" i="147"/>
  <c r="AH115" i="147" s="1"/>
  <c r="M142" i="147"/>
  <c r="AR114" i="147" s="1"/>
  <c r="L142" i="147"/>
  <c r="AQ114" i="147" s="1"/>
  <c r="K142" i="147"/>
  <c r="J142" i="147"/>
  <c r="AO114" i="147" s="1"/>
  <c r="I142" i="147"/>
  <c r="H142" i="147"/>
  <c r="AM114" i="147" s="1"/>
  <c r="G142" i="147"/>
  <c r="AL114" i="147" s="1"/>
  <c r="F142" i="147"/>
  <c r="AK114" i="147" s="1"/>
  <c r="E142" i="147"/>
  <c r="D142" i="147"/>
  <c r="AI114" i="147" s="1"/>
  <c r="C142" i="147"/>
  <c r="B142" i="147"/>
  <c r="AG114" i="147" s="1"/>
  <c r="M141" i="147"/>
  <c r="AR113" i="147" s="1"/>
  <c r="L141" i="147"/>
  <c r="AQ113" i="147" s="1"/>
  <c r="K141" i="147"/>
  <c r="AP113" i="147" s="1"/>
  <c r="J141" i="147"/>
  <c r="AO113" i="147" s="1"/>
  <c r="I141" i="147"/>
  <c r="AN113" i="147" s="1"/>
  <c r="H141" i="147"/>
  <c r="AM113" i="147" s="1"/>
  <c r="G141" i="147"/>
  <c r="AL113" i="147" s="1"/>
  <c r="F141" i="147"/>
  <c r="AK113" i="147" s="1"/>
  <c r="E141" i="147"/>
  <c r="AJ113" i="147" s="1"/>
  <c r="D141" i="147"/>
  <c r="AI113" i="147" s="1"/>
  <c r="C141" i="147"/>
  <c r="AH113" i="147" s="1"/>
  <c r="B141" i="147"/>
  <c r="AG113" i="147" s="1"/>
  <c r="M140" i="147"/>
  <c r="L140" i="147"/>
  <c r="AQ112" i="147" s="1"/>
  <c r="K140" i="147"/>
  <c r="J140" i="147"/>
  <c r="AO112" i="147" s="1"/>
  <c r="I140" i="147"/>
  <c r="AN112" i="147" s="1"/>
  <c r="H140" i="147"/>
  <c r="AM112" i="147" s="1"/>
  <c r="G140" i="147"/>
  <c r="F140" i="147"/>
  <c r="AK112" i="147" s="1"/>
  <c r="E140" i="147"/>
  <c r="D140" i="147"/>
  <c r="AI112" i="147" s="1"/>
  <c r="C140" i="147"/>
  <c r="AH112" i="147" s="1"/>
  <c r="B140" i="147"/>
  <c r="AG112" i="147" s="1"/>
  <c r="M139" i="147"/>
  <c r="AR111" i="147" s="1"/>
  <c r="L139" i="147"/>
  <c r="K139" i="147"/>
  <c r="AP111" i="147" s="1"/>
  <c r="J139" i="147"/>
  <c r="AO111" i="147" s="1"/>
  <c r="I139" i="147"/>
  <c r="AN111" i="147" s="1"/>
  <c r="H139" i="147"/>
  <c r="AM111" i="147" s="1"/>
  <c r="G139" i="147"/>
  <c r="AL111" i="147" s="1"/>
  <c r="F139" i="147"/>
  <c r="E139" i="147"/>
  <c r="AJ111" i="147" s="1"/>
  <c r="D139" i="147"/>
  <c r="AI111" i="147" s="1"/>
  <c r="C139" i="147"/>
  <c r="AH111" i="147" s="1"/>
  <c r="B139" i="147"/>
  <c r="AG111" i="147" s="1"/>
  <c r="M138" i="147"/>
  <c r="AR110" i="147" s="1"/>
  <c r="L138" i="147"/>
  <c r="AQ110" i="147" s="1"/>
  <c r="K138" i="147"/>
  <c r="J138" i="147"/>
  <c r="AO110" i="147" s="1"/>
  <c r="I138" i="147"/>
  <c r="AN110" i="147" s="1"/>
  <c r="H138" i="147"/>
  <c r="AM110" i="147" s="1"/>
  <c r="G138" i="147"/>
  <c r="AL110" i="147" s="1"/>
  <c r="F138" i="147"/>
  <c r="AK110" i="147" s="1"/>
  <c r="E138" i="147"/>
  <c r="D138" i="147"/>
  <c r="AI110" i="147" s="1"/>
  <c r="C138" i="147"/>
  <c r="AH110" i="147" s="1"/>
  <c r="B138" i="147"/>
  <c r="AG110" i="147" s="1"/>
  <c r="M137" i="147"/>
  <c r="M147" i="147" s="1"/>
  <c r="L137" i="147"/>
  <c r="L147" i="147" s="1"/>
  <c r="K137" i="147"/>
  <c r="K147" i="147" s="1"/>
  <c r="J137" i="147"/>
  <c r="J147" i="147" s="1"/>
  <c r="I137" i="147"/>
  <c r="I147" i="147" s="1"/>
  <c r="H137" i="147"/>
  <c r="H147" i="147" s="1"/>
  <c r="G137" i="147"/>
  <c r="G147" i="147" s="1"/>
  <c r="F137" i="147"/>
  <c r="F147" i="147" s="1"/>
  <c r="E137" i="147"/>
  <c r="E147" i="147" s="1"/>
  <c r="D137" i="147"/>
  <c r="D147" i="147" s="1"/>
  <c r="C137" i="147"/>
  <c r="C147" i="147" s="1"/>
  <c r="M130" i="147"/>
  <c r="L130" i="147"/>
  <c r="K130" i="147"/>
  <c r="J130" i="147"/>
  <c r="I130" i="147"/>
  <c r="H130" i="147"/>
  <c r="G130" i="147"/>
  <c r="F130" i="147"/>
  <c r="E130" i="147"/>
  <c r="D130" i="147"/>
  <c r="C130" i="147"/>
  <c r="M129" i="147"/>
  <c r="L129" i="147"/>
  <c r="K129" i="147"/>
  <c r="J129" i="147"/>
  <c r="I129" i="147"/>
  <c r="H129" i="147"/>
  <c r="G129" i="147"/>
  <c r="F129" i="147"/>
  <c r="E129" i="147"/>
  <c r="D129" i="147"/>
  <c r="C129" i="147"/>
  <c r="B129" i="147"/>
  <c r="M128" i="147"/>
  <c r="L128" i="147"/>
  <c r="K128" i="147"/>
  <c r="J128" i="147"/>
  <c r="I128" i="147"/>
  <c r="H128" i="147"/>
  <c r="G128" i="147"/>
  <c r="F128" i="147"/>
  <c r="E128" i="147"/>
  <c r="D128" i="147"/>
  <c r="C128" i="147"/>
  <c r="B128" i="147"/>
  <c r="M127" i="147"/>
  <c r="L127" i="147"/>
  <c r="K127" i="147"/>
  <c r="J127" i="147"/>
  <c r="I127" i="147"/>
  <c r="H127" i="147"/>
  <c r="G127" i="147"/>
  <c r="F127" i="147"/>
  <c r="E127" i="147"/>
  <c r="D127" i="147"/>
  <c r="C127" i="147"/>
  <c r="B127" i="147"/>
  <c r="M126" i="147"/>
  <c r="L126" i="147"/>
  <c r="K126" i="147"/>
  <c r="J126" i="147"/>
  <c r="I126" i="147"/>
  <c r="H126" i="147"/>
  <c r="G126" i="147"/>
  <c r="F126" i="147"/>
  <c r="E126" i="147"/>
  <c r="D126" i="147"/>
  <c r="C126" i="147"/>
  <c r="B126" i="147"/>
  <c r="M125" i="147"/>
  <c r="L125" i="147"/>
  <c r="K125" i="147"/>
  <c r="J125" i="147"/>
  <c r="I125" i="147"/>
  <c r="H125" i="147"/>
  <c r="G125" i="147"/>
  <c r="F125" i="147"/>
  <c r="E125" i="147"/>
  <c r="D125" i="147"/>
  <c r="C125" i="147"/>
  <c r="B125" i="147"/>
  <c r="M124" i="147"/>
  <c r="L124" i="147"/>
  <c r="K124" i="147"/>
  <c r="J124" i="147"/>
  <c r="I124" i="147"/>
  <c r="H124" i="147"/>
  <c r="G124" i="147"/>
  <c r="F124" i="147"/>
  <c r="E124" i="147"/>
  <c r="D124" i="147"/>
  <c r="C124" i="147"/>
  <c r="B124" i="147"/>
  <c r="M123" i="147"/>
  <c r="L123" i="147"/>
  <c r="K123" i="147"/>
  <c r="J123" i="147"/>
  <c r="I123" i="147"/>
  <c r="H123" i="147"/>
  <c r="G123" i="147"/>
  <c r="F123" i="147"/>
  <c r="E123" i="147"/>
  <c r="D123" i="147"/>
  <c r="C123" i="147"/>
  <c r="B123" i="147"/>
  <c r="M122" i="147"/>
  <c r="L122" i="147"/>
  <c r="K122" i="147"/>
  <c r="J122" i="147"/>
  <c r="I122" i="147"/>
  <c r="H122" i="147"/>
  <c r="G122" i="147"/>
  <c r="F122" i="147"/>
  <c r="E122" i="147"/>
  <c r="D122" i="147"/>
  <c r="C122" i="147"/>
  <c r="B122" i="147"/>
  <c r="M121" i="147"/>
  <c r="L121" i="147"/>
  <c r="K121" i="147"/>
  <c r="J121" i="147"/>
  <c r="I121" i="147"/>
  <c r="H121" i="147"/>
  <c r="G121" i="147"/>
  <c r="F121" i="147"/>
  <c r="E121" i="147"/>
  <c r="D121" i="147"/>
  <c r="C121" i="147"/>
  <c r="B121" i="147"/>
  <c r="M120" i="147"/>
  <c r="L120" i="147"/>
  <c r="K120" i="147"/>
  <c r="J120" i="147"/>
  <c r="I120" i="147"/>
  <c r="H120" i="147"/>
  <c r="G120" i="147"/>
  <c r="F120" i="147"/>
  <c r="E120" i="147"/>
  <c r="D120" i="147"/>
  <c r="C120" i="147"/>
  <c r="B120" i="147"/>
  <c r="M119" i="147"/>
  <c r="L119" i="147"/>
  <c r="K119" i="147"/>
  <c r="J119" i="147"/>
  <c r="I119" i="147"/>
  <c r="H119" i="147"/>
  <c r="G119" i="147"/>
  <c r="F119" i="147"/>
  <c r="E119" i="147"/>
  <c r="D119" i="147"/>
  <c r="C119" i="147"/>
  <c r="B119" i="147"/>
  <c r="M118" i="147"/>
  <c r="L118" i="147"/>
  <c r="K118" i="147"/>
  <c r="J118" i="147"/>
  <c r="I118" i="147"/>
  <c r="H118" i="147"/>
  <c r="G118" i="147"/>
  <c r="F118" i="147"/>
  <c r="E118" i="147"/>
  <c r="D118" i="147"/>
  <c r="C118" i="147"/>
  <c r="B118" i="147"/>
  <c r="M117" i="147"/>
  <c r="L117" i="147"/>
  <c r="K117" i="147"/>
  <c r="J117" i="147"/>
  <c r="I117" i="147"/>
  <c r="H117" i="147"/>
  <c r="G117" i="147"/>
  <c r="F117" i="147"/>
  <c r="E117" i="147"/>
  <c r="D117" i="147"/>
  <c r="C117" i="147"/>
  <c r="B117" i="147"/>
  <c r="M116" i="147"/>
  <c r="L116" i="147"/>
  <c r="K116" i="147"/>
  <c r="J116" i="147"/>
  <c r="I116" i="147"/>
  <c r="H116" i="147"/>
  <c r="G116" i="147"/>
  <c r="F116" i="147"/>
  <c r="E116" i="147"/>
  <c r="D116" i="147"/>
  <c r="C116" i="147"/>
  <c r="B116" i="147"/>
  <c r="M115" i="147"/>
  <c r="L115" i="147"/>
  <c r="K115" i="147"/>
  <c r="J115" i="147"/>
  <c r="I115" i="147"/>
  <c r="H115" i="147"/>
  <c r="G115" i="147"/>
  <c r="F115" i="147"/>
  <c r="E115" i="147"/>
  <c r="D115" i="147"/>
  <c r="C115" i="147"/>
  <c r="B115" i="147"/>
  <c r="M114" i="147"/>
  <c r="L114" i="147"/>
  <c r="K114" i="147"/>
  <c r="J114" i="147"/>
  <c r="I114" i="147"/>
  <c r="H114" i="147"/>
  <c r="G114" i="147"/>
  <c r="F114" i="147"/>
  <c r="E114" i="147"/>
  <c r="D114" i="147"/>
  <c r="C114" i="147"/>
  <c r="B114" i="147"/>
  <c r="M113" i="147"/>
  <c r="L113" i="147"/>
  <c r="K113" i="147"/>
  <c r="J113" i="147"/>
  <c r="I113" i="147"/>
  <c r="H113" i="147"/>
  <c r="G113" i="147"/>
  <c r="F113" i="147"/>
  <c r="E113" i="147"/>
  <c r="D113" i="147"/>
  <c r="C113" i="147"/>
  <c r="B113" i="147"/>
  <c r="M112" i="147"/>
  <c r="L112" i="147"/>
  <c r="K112" i="147"/>
  <c r="J112" i="147"/>
  <c r="I112" i="147"/>
  <c r="H112" i="147"/>
  <c r="G112" i="147"/>
  <c r="F112" i="147"/>
  <c r="E112" i="147"/>
  <c r="D112" i="147"/>
  <c r="C112" i="147"/>
  <c r="B112" i="147"/>
  <c r="M111" i="147"/>
  <c r="L111" i="147"/>
  <c r="K111" i="147"/>
  <c r="J111" i="147"/>
  <c r="I111" i="147"/>
  <c r="H111" i="147"/>
  <c r="G111" i="147"/>
  <c r="F111" i="147"/>
  <c r="E111" i="147"/>
  <c r="D111" i="147"/>
  <c r="C111" i="147"/>
  <c r="B111" i="147"/>
  <c r="M110" i="147"/>
  <c r="L110" i="147"/>
  <c r="K110" i="147"/>
  <c r="J110" i="147"/>
  <c r="I110" i="147"/>
  <c r="H110" i="147"/>
  <c r="G110" i="147"/>
  <c r="F110" i="147"/>
  <c r="E110" i="147"/>
  <c r="D110" i="147"/>
  <c r="C110" i="147"/>
  <c r="B110" i="147"/>
  <c r="M109" i="147"/>
  <c r="L109" i="147"/>
  <c r="K109" i="147"/>
  <c r="J109" i="147"/>
  <c r="I109" i="147"/>
  <c r="H109" i="147"/>
  <c r="G109" i="147"/>
  <c r="F109" i="147"/>
  <c r="E109" i="147"/>
  <c r="D109" i="147"/>
  <c r="C109" i="147"/>
  <c r="B109" i="147"/>
  <c r="M108" i="147"/>
  <c r="L108" i="147"/>
  <c r="K108" i="147"/>
  <c r="J108" i="147"/>
  <c r="I108" i="147"/>
  <c r="H108" i="147"/>
  <c r="G108" i="147"/>
  <c r="F108" i="147"/>
  <c r="E108" i="147"/>
  <c r="D108" i="147"/>
  <c r="C108" i="147"/>
  <c r="B108" i="147"/>
  <c r="M107" i="147"/>
  <c r="L107" i="147"/>
  <c r="K107" i="147"/>
  <c r="J107" i="147"/>
  <c r="I107" i="147"/>
  <c r="H107" i="147"/>
  <c r="G107" i="147"/>
  <c r="F107" i="147"/>
  <c r="E107" i="147"/>
  <c r="D107" i="147"/>
  <c r="C107" i="147"/>
  <c r="B107" i="147"/>
  <c r="M106" i="147"/>
  <c r="L106" i="147"/>
  <c r="K106" i="147"/>
  <c r="J106" i="147"/>
  <c r="I106" i="147"/>
  <c r="H106" i="147"/>
  <c r="G106" i="147"/>
  <c r="F106" i="147"/>
  <c r="E106" i="147"/>
  <c r="D106" i="147"/>
  <c r="C106" i="147"/>
  <c r="B106" i="147"/>
  <c r="M103" i="147"/>
  <c r="AR104" i="147" s="1"/>
  <c r="L103" i="147"/>
  <c r="AQ104" i="147" s="1"/>
  <c r="K103" i="147"/>
  <c r="AP104" i="147" s="1"/>
  <c r="J103" i="147"/>
  <c r="AO104" i="147" s="1"/>
  <c r="I103" i="147"/>
  <c r="AN104" i="147" s="1"/>
  <c r="H103" i="147"/>
  <c r="AM104" i="147" s="1"/>
  <c r="G103" i="147"/>
  <c r="AL104" i="147" s="1"/>
  <c r="F103" i="147"/>
  <c r="AK104" i="147" s="1"/>
  <c r="E103" i="147"/>
  <c r="AJ104" i="147" s="1"/>
  <c r="D103" i="147"/>
  <c r="AI104" i="147" s="1"/>
  <c r="C103" i="147"/>
  <c r="AH104" i="147" s="1"/>
  <c r="M102" i="147"/>
  <c r="AR103" i="147" s="1"/>
  <c r="L102" i="147"/>
  <c r="AQ103" i="147" s="1"/>
  <c r="K102" i="147"/>
  <c r="J102" i="147"/>
  <c r="AO103" i="147" s="1"/>
  <c r="I102" i="147"/>
  <c r="AN103" i="147" s="1"/>
  <c r="H102" i="147"/>
  <c r="AM103" i="147" s="1"/>
  <c r="G102" i="147"/>
  <c r="AL103" i="147" s="1"/>
  <c r="F102" i="147"/>
  <c r="AK103" i="147" s="1"/>
  <c r="E102" i="147"/>
  <c r="D102" i="147"/>
  <c r="AI103" i="147" s="1"/>
  <c r="C102" i="147"/>
  <c r="AH103" i="147" s="1"/>
  <c r="B102" i="147"/>
  <c r="AG103" i="147" s="1"/>
  <c r="M101" i="147"/>
  <c r="AR102" i="147" s="1"/>
  <c r="L101" i="147"/>
  <c r="AQ102" i="147" s="1"/>
  <c r="K101" i="147"/>
  <c r="AP102" i="147" s="1"/>
  <c r="J101" i="147"/>
  <c r="I101" i="147"/>
  <c r="AN102" i="147" s="1"/>
  <c r="H101" i="147"/>
  <c r="AM102" i="147" s="1"/>
  <c r="G101" i="147"/>
  <c r="AL102" i="147" s="1"/>
  <c r="F101" i="147"/>
  <c r="AK102" i="147" s="1"/>
  <c r="E101" i="147"/>
  <c r="AJ102" i="147" s="1"/>
  <c r="D101" i="147"/>
  <c r="C101" i="147"/>
  <c r="AH102" i="147" s="1"/>
  <c r="B101" i="147"/>
  <c r="AG102" i="147" s="1"/>
  <c r="M100" i="147"/>
  <c r="AR101" i="147" s="1"/>
  <c r="L100" i="147"/>
  <c r="AQ101" i="147" s="1"/>
  <c r="K100" i="147"/>
  <c r="AP101" i="147" s="1"/>
  <c r="J100" i="147"/>
  <c r="AO101" i="147" s="1"/>
  <c r="I100" i="147"/>
  <c r="AN101" i="147" s="1"/>
  <c r="H100" i="147"/>
  <c r="AM101" i="147" s="1"/>
  <c r="G100" i="147"/>
  <c r="AL101" i="147" s="1"/>
  <c r="F100" i="147"/>
  <c r="AK101" i="147" s="1"/>
  <c r="E100" i="147"/>
  <c r="AJ101" i="147" s="1"/>
  <c r="D100" i="147"/>
  <c r="AI101" i="147" s="1"/>
  <c r="C100" i="147"/>
  <c r="AH101" i="147" s="1"/>
  <c r="B100" i="147"/>
  <c r="M99" i="147"/>
  <c r="AR100" i="147" s="1"/>
  <c r="L99" i="147"/>
  <c r="AQ100" i="147" s="1"/>
  <c r="K99" i="147"/>
  <c r="AP100" i="147" s="1"/>
  <c r="J99" i="147"/>
  <c r="AO100" i="147" s="1"/>
  <c r="I99" i="147"/>
  <c r="AN100" i="147" s="1"/>
  <c r="H99" i="147"/>
  <c r="G99" i="147"/>
  <c r="AL100" i="147" s="1"/>
  <c r="F99" i="147"/>
  <c r="AK100" i="147" s="1"/>
  <c r="E99" i="147"/>
  <c r="AJ100" i="147" s="1"/>
  <c r="D99" i="147"/>
  <c r="AI100" i="147" s="1"/>
  <c r="C99" i="147"/>
  <c r="AH100" i="147" s="1"/>
  <c r="B99" i="147"/>
  <c r="AG100" i="147" s="1"/>
  <c r="M98" i="147"/>
  <c r="L98" i="147"/>
  <c r="AQ99" i="147" s="1"/>
  <c r="K98" i="147"/>
  <c r="AP99" i="147" s="1"/>
  <c r="J98" i="147"/>
  <c r="AO99" i="147" s="1"/>
  <c r="I98" i="147"/>
  <c r="AN99" i="147" s="1"/>
  <c r="H98" i="147"/>
  <c r="AM99" i="147" s="1"/>
  <c r="G98" i="147"/>
  <c r="F98" i="147"/>
  <c r="AK99" i="147" s="1"/>
  <c r="E98" i="147"/>
  <c r="AJ99" i="147" s="1"/>
  <c r="D98" i="147"/>
  <c r="AI99" i="147" s="1"/>
  <c r="C98" i="147"/>
  <c r="AH99" i="147" s="1"/>
  <c r="B98" i="147"/>
  <c r="AG99" i="147" s="1"/>
  <c r="M97" i="147"/>
  <c r="AR98" i="147" s="1"/>
  <c r="L97" i="147"/>
  <c r="K97" i="147"/>
  <c r="AP98" i="147" s="1"/>
  <c r="J97" i="147"/>
  <c r="AO98" i="147" s="1"/>
  <c r="I97" i="147"/>
  <c r="AN98" i="147" s="1"/>
  <c r="H97" i="147"/>
  <c r="AM98" i="147" s="1"/>
  <c r="G97" i="147"/>
  <c r="AL98" i="147" s="1"/>
  <c r="F97" i="147"/>
  <c r="E97" i="147"/>
  <c r="AJ98" i="147" s="1"/>
  <c r="D97" i="147"/>
  <c r="AI98" i="147" s="1"/>
  <c r="C97" i="147"/>
  <c r="AH98" i="147" s="1"/>
  <c r="B97" i="147"/>
  <c r="AG98" i="147" s="1"/>
  <c r="M96" i="147"/>
  <c r="AR97" i="147" s="1"/>
  <c r="L96" i="147"/>
  <c r="AQ97" i="147" s="1"/>
  <c r="K96" i="147"/>
  <c r="J96" i="147"/>
  <c r="AO97" i="147" s="1"/>
  <c r="I96" i="147"/>
  <c r="AN97" i="147" s="1"/>
  <c r="H96" i="147"/>
  <c r="AM97" i="147" s="1"/>
  <c r="G96" i="147"/>
  <c r="AL97" i="147" s="1"/>
  <c r="F96" i="147"/>
  <c r="AK97" i="147" s="1"/>
  <c r="E96" i="147"/>
  <c r="D96" i="147"/>
  <c r="AI97" i="147" s="1"/>
  <c r="C96" i="147"/>
  <c r="AH97" i="147" s="1"/>
  <c r="AH106" i="147" s="1"/>
  <c r="B96" i="147"/>
  <c r="AG97" i="147" s="1"/>
  <c r="M95" i="147"/>
  <c r="M105" i="147" s="1"/>
  <c r="L95" i="147"/>
  <c r="AQ96" i="147" s="1"/>
  <c r="K95" i="147"/>
  <c r="K105" i="147" s="1"/>
  <c r="J95" i="147"/>
  <c r="AO96" i="147" s="1"/>
  <c r="I95" i="147"/>
  <c r="AN96" i="147" s="1"/>
  <c r="H95" i="147"/>
  <c r="H105" i="147" s="1"/>
  <c r="G95" i="147"/>
  <c r="G105" i="147" s="1"/>
  <c r="F95" i="147"/>
  <c r="AK96" i="147" s="1"/>
  <c r="E95" i="147"/>
  <c r="D95" i="147"/>
  <c r="D105" i="147" s="1"/>
  <c r="C95" i="147"/>
  <c r="C105" i="147" s="1"/>
  <c r="E105" i="147"/>
  <c r="L105" i="147"/>
  <c r="J105" i="147"/>
  <c r="I105" i="147"/>
  <c r="F105" i="147"/>
  <c r="AY8" i="147"/>
  <c r="AX7" i="147"/>
  <c r="BD7" i="147"/>
  <c r="BJ5" i="147"/>
  <c r="BD5" i="147"/>
  <c r="BC5" i="147"/>
  <c r="BB5" i="147"/>
  <c r="BA5" i="147"/>
  <c r="AZ5" i="147"/>
  <c r="AY5" i="147"/>
  <c r="AX5" i="147"/>
  <c r="AW5" i="147"/>
  <c r="AV5" i="147"/>
  <c r="AU5" i="147"/>
  <c r="AT5" i="147"/>
  <c r="BD4" i="147"/>
  <c r="BJ4" i="147" s="1"/>
  <c r="BC4" i="147"/>
  <c r="BC7" i="147" s="1"/>
  <c r="BB4" i="147"/>
  <c r="BB7" i="147" s="1"/>
  <c r="BA4" i="147"/>
  <c r="BA7" i="147" s="1"/>
  <c r="AZ4" i="147"/>
  <c r="AZ8" i="147" s="1"/>
  <c r="AY4" i="147"/>
  <c r="AY7" i="147" s="1"/>
  <c r="AX4" i="147"/>
  <c r="AX8" i="147" s="1"/>
  <c r="AW4" i="147"/>
  <c r="AW7" i="147" s="1"/>
  <c r="AV4" i="147"/>
  <c r="AV7" i="147" s="1"/>
  <c r="AU4" i="147"/>
  <c r="AU7" i="147" s="1"/>
  <c r="AT4" i="147"/>
  <c r="AU8" i="147" s="1"/>
  <c r="BC8" i="147" l="1"/>
  <c r="AR96" i="147"/>
  <c r="AL96" i="147"/>
  <c r="R237" i="147"/>
  <c r="X240" i="147" s="1"/>
  <c r="AW8" i="147"/>
  <c r="AZ7" i="147"/>
  <c r="BD9" i="147" s="1"/>
  <c r="BD8" i="147"/>
  <c r="R291" i="147"/>
  <c r="U303" i="147" s="1"/>
  <c r="BB8" i="147"/>
  <c r="AV8" i="147"/>
  <c r="AI96" i="147"/>
  <c r="Y98" i="147"/>
  <c r="BH4" i="147"/>
  <c r="BA8" i="147"/>
  <c r="AH96" i="147"/>
  <c r="AM96" i="147"/>
  <c r="W199" i="147"/>
  <c r="X188" i="147"/>
  <c r="X182" i="147"/>
  <c r="X176" i="147"/>
  <c r="X170" i="147"/>
  <c r="X187" i="147"/>
  <c r="X181" i="147"/>
  <c r="X175" i="147"/>
  <c r="X169" i="147"/>
  <c r="X168" i="147"/>
  <c r="X186" i="147"/>
  <c r="X180" i="147"/>
  <c r="X174" i="147"/>
  <c r="W198" i="147"/>
  <c r="X191" i="147"/>
  <c r="Y191" i="147" s="1"/>
  <c r="X185" i="147"/>
  <c r="X179" i="147"/>
  <c r="X173" i="147"/>
  <c r="W202" i="147"/>
  <c r="X190" i="147"/>
  <c r="X184" i="147"/>
  <c r="X178" i="147"/>
  <c r="X172" i="147"/>
  <c r="W201" i="147"/>
  <c r="X189" i="147"/>
  <c r="X183" i="147"/>
  <c r="X177" i="147"/>
  <c r="X171" i="147"/>
  <c r="Y115" i="147"/>
  <c r="AE131" i="147" s="1"/>
  <c r="Y109" i="147"/>
  <c r="Y132" i="147"/>
  <c r="Y103" i="147"/>
  <c r="Y130" i="147"/>
  <c r="Y128" i="147"/>
  <c r="Y121" i="147"/>
  <c r="Z121" i="147" s="1"/>
  <c r="Y127" i="147"/>
  <c r="Y131" i="147"/>
  <c r="Y129" i="147"/>
  <c r="Y133" i="147"/>
  <c r="Y120" i="147"/>
  <c r="Y114" i="147"/>
  <c r="Y108" i="147"/>
  <c r="Y102" i="147"/>
  <c r="Y119" i="147"/>
  <c r="Y113" i="147"/>
  <c r="Y107" i="147"/>
  <c r="Y101" i="147"/>
  <c r="Y118" i="147"/>
  <c r="Y112" i="147"/>
  <c r="Y106" i="147"/>
  <c r="Y100" i="147"/>
  <c r="Y117" i="147"/>
  <c r="Y111" i="147"/>
  <c r="Y105" i="147"/>
  <c r="Y99" i="147"/>
  <c r="Y97" i="147"/>
  <c r="Y116" i="147"/>
  <c r="Y110" i="147"/>
  <c r="Y104" i="147"/>
  <c r="N50" i="147"/>
  <c r="M50" i="147"/>
  <c r="L50" i="147"/>
  <c r="K50" i="147"/>
  <c r="J50" i="147"/>
  <c r="I50" i="147"/>
  <c r="H50" i="147"/>
  <c r="G50" i="147"/>
  <c r="F50" i="147"/>
  <c r="E50" i="147"/>
  <c r="D50" i="147"/>
  <c r="C50" i="147"/>
  <c r="B50" i="147"/>
  <c r="N49" i="147"/>
  <c r="M49" i="147"/>
  <c r="L49" i="147"/>
  <c r="K49" i="147"/>
  <c r="J49" i="147"/>
  <c r="I49" i="147"/>
  <c r="H49" i="147"/>
  <c r="G49" i="147"/>
  <c r="F49" i="147"/>
  <c r="E49" i="147"/>
  <c r="D49" i="147"/>
  <c r="C49" i="147"/>
  <c r="B49" i="147"/>
  <c r="N48" i="147"/>
  <c r="M48" i="147"/>
  <c r="L48" i="147"/>
  <c r="K48" i="147"/>
  <c r="J48" i="147"/>
  <c r="I48" i="147"/>
  <c r="H48" i="147"/>
  <c r="G48" i="147"/>
  <c r="F48" i="147"/>
  <c r="E48" i="147"/>
  <c r="D48" i="147"/>
  <c r="C48" i="147"/>
  <c r="B48" i="147"/>
  <c r="N47" i="147"/>
  <c r="M47" i="147"/>
  <c r="L47" i="147"/>
  <c r="K47" i="147"/>
  <c r="J47" i="147"/>
  <c r="I47" i="147"/>
  <c r="H47" i="147"/>
  <c r="G47" i="147"/>
  <c r="F47" i="147"/>
  <c r="E47" i="147"/>
  <c r="D47" i="147"/>
  <c r="C47" i="147"/>
  <c r="B47" i="147"/>
  <c r="N46" i="147"/>
  <c r="M46" i="147"/>
  <c r="L46" i="147"/>
  <c r="K46" i="147"/>
  <c r="J46" i="147"/>
  <c r="I46" i="147"/>
  <c r="H46" i="147"/>
  <c r="G46" i="147"/>
  <c r="F46" i="147"/>
  <c r="E46" i="147"/>
  <c r="D46" i="147"/>
  <c r="C46" i="147"/>
  <c r="B46" i="147"/>
  <c r="N45" i="147"/>
  <c r="M45" i="147"/>
  <c r="L45" i="147"/>
  <c r="K45" i="147"/>
  <c r="J45" i="147"/>
  <c r="I45" i="147"/>
  <c r="H45" i="147"/>
  <c r="G45" i="147"/>
  <c r="F45" i="147"/>
  <c r="E45" i="147"/>
  <c r="D45" i="147"/>
  <c r="C45" i="147"/>
  <c r="B45" i="147"/>
  <c r="N44" i="147"/>
  <c r="M44" i="147"/>
  <c r="L44" i="147"/>
  <c r="K44" i="147"/>
  <c r="J44" i="147"/>
  <c r="I44" i="147"/>
  <c r="H44" i="147"/>
  <c r="G44" i="147"/>
  <c r="F44" i="147"/>
  <c r="E44" i="147"/>
  <c r="D44" i="147"/>
  <c r="C44" i="147"/>
  <c r="B44" i="147"/>
  <c r="N43" i="147"/>
  <c r="M43" i="147"/>
  <c r="L43" i="147"/>
  <c r="K43" i="147"/>
  <c r="J43" i="147"/>
  <c r="I43" i="147"/>
  <c r="H43" i="147"/>
  <c r="G43" i="147"/>
  <c r="F43" i="147"/>
  <c r="E43" i="147"/>
  <c r="D43" i="147"/>
  <c r="C43" i="147"/>
  <c r="B43" i="147"/>
  <c r="N42" i="147"/>
  <c r="M42" i="147"/>
  <c r="L42" i="147"/>
  <c r="K42" i="147"/>
  <c r="J42" i="147"/>
  <c r="I42" i="147"/>
  <c r="H42" i="147"/>
  <c r="G42" i="147"/>
  <c r="F42" i="147"/>
  <c r="E42" i="147"/>
  <c r="D42" i="147"/>
  <c r="C42" i="147"/>
  <c r="B42" i="147"/>
  <c r="N41" i="147"/>
  <c r="M41" i="147"/>
  <c r="L41" i="147"/>
  <c r="K41" i="147"/>
  <c r="J41" i="147"/>
  <c r="I41" i="147"/>
  <c r="H41" i="147"/>
  <c r="G41" i="147"/>
  <c r="F41" i="147"/>
  <c r="E41" i="147"/>
  <c r="D41" i="147"/>
  <c r="C41" i="147"/>
  <c r="B41" i="147"/>
  <c r="N40" i="147"/>
  <c r="M40" i="147"/>
  <c r="L40" i="147"/>
  <c r="K40" i="147"/>
  <c r="J40" i="147"/>
  <c r="I40" i="147"/>
  <c r="H40" i="147"/>
  <c r="G40" i="147"/>
  <c r="F40" i="147"/>
  <c r="E40" i="147"/>
  <c r="D40" i="147"/>
  <c r="C40" i="147"/>
  <c r="B40" i="147"/>
  <c r="N39" i="147"/>
  <c r="M39" i="147"/>
  <c r="L39" i="147"/>
  <c r="K39" i="147"/>
  <c r="J39" i="147"/>
  <c r="I39" i="147"/>
  <c r="H39" i="147"/>
  <c r="G39" i="147"/>
  <c r="F39" i="147"/>
  <c r="E39" i="147"/>
  <c r="D39" i="147"/>
  <c r="C39" i="147"/>
  <c r="B39" i="147"/>
  <c r="N38" i="147"/>
  <c r="M38" i="147"/>
  <c r="L38" i="147"/>
  <c r="K38" i="147"/>
  <c r="J38" i="147"/>
  <c r="I38" i="147"/>
  <c r="H38" i="147"/>
  <c r="G38" i="147"/>
  <c r="F38" i="147"/>
  <c r="E38" i="147"/>
  <c r="D38" i="147"/>
  <c r="C38" i="147"/>
  <c r="B38" i="147"/>
  <c r="N37" i="147"/>
  <c r="M37" i="147"/>
  <c r="L37" i="147"/>
  <c r="K37" i="147"/>
  <c r="J37" i="147"/>
  <c r="I37" i="147"/>
  <c r="H37" i="147"/>
  <c r="G37" i="147"/>
  <c r="F37" i="147"/>
  <c r="E37" i="147"/>
  <c r="D37" i="147"/>
  <c r="C37" i="147"/>
  <c r="B37" i="147"/>
  <c r="N36" i="147"/>
  <c r="M36" i="147"/>
  <c r="L36" i="147"/>
  <c r="K36" i="147"/>
  <c r="J36" i="147"/>
  <c r="I36" i="147"/>
  <c r="H36" i="147"/>
  <c r="G36" i="147"/>
  <c r="F36" i="147"/>
  <c r="E36" i="147"/>
  <c r="D36" i="147"/>
  <c r="C36" i="147"/>
  <c r="B36" i="147"/>
  <c r="N35" i="147"/>
  <c r="M35" i="147"/>
  <c r="L35" i="147"/>
  <c r="K35" i="147"/>
  <c r="J35" i="147"/>
  <c r="I35" i="147"/>
  <c r="H35" i="147"/>
  <c r="G35" i="147"/>
  <c r="F35" i="147"/>
  <c r="E35" i="147"/>
  <c r="D82" i="147" s="1"/>
  <c r="C82" i="147" s="1"/>
  <c r="D35" i="147"/>
  <c r="C35" i="147"/>
  <c r="B35" i="147"/>
  <c r="N34" i="147"/>
  <c r="M34" i="147"/>
  <c r="L34" i="147"/>
  <c r="K34" i="147"/>
  <c r="J34" i="147"/>
  <c r="I34" i="147"/>
  <c r="H34" i="147"/>
  <c r="G34" i="147"/>
  <c r="F34" i="147"/>
  <c r="E34" i="147"/>
  <c r="D34" i="147"/>
  <c r="C34" i="147"/>
  <c r="B34" i="147"/>
  <c r="N33" i="147"/>
  <c r="M33" i="147"/>
  <c r="L33" i="147"/>
  <c r="K33" i="147"/>
  <c r="J33" i="147"/>
  <c r="I33" i="147"/>
  <c r="H33" i="147"/>
  <c r="G33" i="147"/>
  <c r="H82" i="147" s="1"/>
  <c r="G82" i="147" s="1"/>
  <c r="F33" i="147"/>
  <c r="E33" i="147"/>
  <c r="D33" i="147"/>
  <c r="C33" i="147"/>
  <c r="B33" i="147"/>
  <c r="N32" i="147"/>
  <c r="M32" i="147"/>
  <c r="L32" i="147"/>
  <c r="K32" i="147"/>
  <c r="J32" i="147"/>
  <c r="I32" i="147"/>
  <c r="H32" i="147"/>
  <c r="G32" i="147"/>
  <c r="F32" i="147"/>
  <c r="E32" i="147"/>
  <c r="D32" i="147"/>
  <c r="B79" i="147" s="1"/>
  <c r="A79" i="147" s="1"/>
  <c r="C32" i="147"/>
  <c r="B32" i="147"/>
  <c r="N31" i="147"/>
  <c r="M31" i="147"/>
  <c r="L31" i="147"/>
  <c r="K31" i="147"/>
  <c r="J31" i="147"/>
  <c r="I31" i="147"/>
  <c r="H31" i="147"/>
  <c r="G31" i="147"/>
  <c r="F31" i="147"/>
  <c r="E31" i="147"/>
  <c r="D31" i="147"/>
  <c r="C31" i="147"/>
  <c r="B31" i="147"/>
  <c r="N26" i="147"/>
  <c r="M26" i="147"/>
  <c r="L26" i="147"/>
  <c r="K26" i="147"/>
  <c r="J26" i="147"/>
  <c r="I26" i="147"/>
  <c r="H26" i="147"/>
  <c r="G26" i="147"/>
  <c r="F26" i="147"/>
  <c r="E26" i="147"/>
  <c r="D26" i="147"/>
  <c r="C26" i="147"/>
  <c r="B26" i="147"/>
  <c r="R26" i="147" s="1"/>
  <c r="N25" i="147"/>
  <c r="M25" i="147"/>
  <c r="L25" i="147"/>
  <c r="K25" i="147"/>
  <c r="J25" i="147"/>
  <c r="I25" i="147"/>
  <c r="H25" i="147"/>
  <c r="G25" i="147"/>
  <c r="F25" i="147"/>
  <c r="E25" i="147"/>
  <c r="D25" i="147"/>
  <c r="C25" i="147"/>
  <c r="B25" i="147"/>
  <c r="N24" i="147"/>
  <c r="M24" i="147"/>
  <c r="L24" i="147"/>
  <c r="K24" i="147"/>
  <c r="J24" i="147"/>
  <c r="I24" i="147"/>
  <c r="H24" i="147"/>
  <c r="G24" i="147"/>
  <c r="F24" i="147"/>
  <c r="E24" i="147"/>
  <c r="D24" i="147"/>
  <c r="C24" i="147"/>
  <c r="B24" i="147"/>
  <c r="R24" i="147" s="1"/>
  <c r="N23" i="147"/>
  <c r="M23" i="147"/>
  <c r="L23" i="147"/>
  <c r="K23" i="147"/>
  <c r="J23" i="147"/>
  <c r="I23" i="147"/>
  <c r="H23" i="147"/>
  <c r="G23" i="147"/>
  <c r="F23" i="147"/>
  <c r="E23" i="147"/>
  <c r="D23" i="147"/>
  <c r="C23" i="147"/>
  <c r="B23" i="147"/>
  <c r="N22" i="147"/>
  <c r="M22" i="147"/>
  <c r="L22" i="147"/>
  <c r="K22" i="147"/>
  <c r="J22" i="147"/>
  <c r="I22" i="147"/>
  <c r="H22" i="147"/>
  <c r="G22" i="147"/>
  <c r="F22" i="147"/>
  <c r="E22" i="147"/>
  <c r="D22" i="147"/>
  <c r="C22" i="147"/>
  <c r="B22" i="147"/>
  <c r="R22" i="147" s="1"/>
  <c r="N21" i="147"/>
  <c r="M21" i="147"/>
  <c r="L21" i="147"/>
  <c r="K21" i="147"/>
  <c r="J21" i="147"/>
  <c r="I21" i="147"/>
  <c r="H21" i="147"/>
  <c r="G21" i="147"/>
  <c r="F21" i="147"/>
  <c r="E21" i="147"/>
  <c r="D21" i="147"/>
  <c r="C21" i="147"/>
  <c r="B21" i="147"/>
  <c r="N20" i="147"/>
  <c r="M20" i="147"/>
  <c r="L20" i="147"/>
  <c r="K20" i="147"/>
  <c r="J20" i="147"/>
  <c r="I20" i="147"/>
  <c r="H20" i="147"/>
  <c r="G20" i="147"/>
  <c r="F20" i="147"/>
  <c r="E20" i="147"/>
  <c r="D20" i="147"/>
  <c r="C20" i="147"/>
  <c r="B20" i="147"/>
  <c r="R20" i="147" s="1"/>
  <c r="N19" i="147"/>
  <c r="M19" i="147"/>
  <c r="L19" i="147"/>
  <c r="K19" i="147"/>
  <c r="J19" i="147"/>
  <c r="I19" i="147"/>
  <c r="H19" i="147"/>
  <c r="G19" i="147"/>
  <c r="F19" i="147"/>
  <c r="E19" i="147"/>
  <c r="D19" i="147"/>
  <c r="C19" i="147"/>
  <c r="B19" i="147"/>
  <c r="N18" i="147"/>
  <c r="M18" i="147"/>
  <c r="L18" i="147"/>
  <c r="K18" i="147"/>
  <c r="J18" i="147"/>
  <c r="I18" i="147"/>
  <c r="H18" i="147"/>
  <c r="G18" i="147"/>
  <c r="F18" i="147"/>
  <c r="E18" i="147"/>
  <c r="D18" i="147"/>
  <c r="C18" i="147"/>
  <c r="B18" i="147"/>
  <c r="R18" i="147" s="1"/>
  <c r="N17" i="147"/>
  <c r="M17" i="147"/>
  <c r="L17" i="147"/>
  <c r="K17" i="147"/>
  <c r="J17" i="147"/>
  <c r="I17" i="147"/>
  <c r="H17" i="147"/>
  <c r="G17" i="147"/>
  <c r="F17" i="147"/>
  <c r="E17" i="147"/>
  <c r="D17" i="147"/>
  <c r="C17" i="147"/>
  <c r="B17" i="147"/>
  <c r="N16" i="147"/>
  <c r="M16" i="147"/>
  <c r="L16" i="147"/>
  <c r="K16" i="147"/>
  <c r="J16" i="147"/>
  <c r="I16" i="147"/>
  <c r="H16" i="147"/>
  <c r="G16" i="147"/>
  <c r="F16" i="147"/>
  <c r="E16" i="147"/>
  <c r="D16" i="147"/>
  <c r="C16" i="147"/>
  <c r="B16" i="147"/>
  <c r="N15" i="147"/>
  <c r="M15" i="147"/>
  <c r="L15" i="147"/>
  <c r="K15" i="147"/>
  <c r="J15" i="147"/>
  <c r="I15" i="147"/>
  <c r="H15" i="147"/>
  <c r="G15" i="147"/>
  <c r="F15" i="147"/>
  <c r="E15" i="147"/>
  <c r="D15" i="147"/>
  <c r="C15" i="147"/>
  <c r="B15" i="147"/>
  <c r="N14" i="147"/>
  <c r="M14" i="147"/>
  <c r="L14" i="147"/>
  <c r="K14" i="147"/>
  <c r="J14" i="147"/>
  <c r="I14" i="147"/>
  <c r="H14" i="147"/>
  <c r="G14" i="147"/>
  <c r="F14" i="147"/>
  <c r="E14" i="147"/>
  <c r="D14" i="147"/>
  <c r="C14" i="147"/>
  <c r="B14" i="147"/>
  <c r="R14" i="147" s="1"/>
  <c r="N13" i="147"/>
  <c r="M13" i="147"/>
  <c r="L13" i="147"/>
  <c r="K13" i="147"/>
  <c r="J13" i="147"/>
  <c r="I13" i="147"/>
  <c r="H13" i="147"/>
  <c r="G13" i="147"/>
  <c r="F13" i="147"/>
  <c r="E13" i="147"/>
  <c r="D13" i="147"/>
  <c r="C13" i="147"/>
  <c r="B13" i="147"/>
  <c r="R13" i="147" s="1"/>
  <c r="N12" i="147"/>
  <c r="M12" i="147"/>
  <c r="L12" i="147"/>
  <c r="K12" i="147"/>
  <c r="J12" i="147"/>
  <c r="I12" i="147"/>
  <c r="H12" i="147"/>
  <c r="G12" i="147"/>
  <c r="F12" i="147"/>
  <c r="E12" i="147"/>
  <c r="D12" i="147"/>
  <c r="C12" i="147"/>
  <c r="B12" i="147"/>
  <c r="R12" i="147" s="1"/>
  <c r="N11" i="147"/>
  <c r="M11" i="147"/>
  <c r="L11" i="147"/>
  <c r="K11" i="147"/>
  <c r="J11" i="147"/>
  <c r="I11" i="147"/>
  <c r="H11" i="147"/>
  <c r="G11" i="147"/>
  <c r="F11" i="147"/>
  <c r="E11" i="147"/>
  <c r="D11" i="147"/>
  <c r="C11" i="147"/>
  <c r="B11" i="147"/>
  <c r="N10" i="147"/>
  <c r="M10" i="147"/>
  <c r="L10" i="147"/>
  <c r="K10" i="147"/>
  <c r="J10" i="147"/>
  <c r="I10" i="147"/>
  <c r="H10" i="147"/>
  <c r="G10" i="147"/>
  <c r="F10" i="147"/>
  <c r="E10" i="147"/>
  <c r="D10" i="147"/>
  <c r="C10" i="147"/>
  <c r="B10" i="147"/>
  <c r="R10" i="147" s="1"/>
  <c r="Y10" i="147" s="1"/>
  <c r="N9" i="147"/>
  <c r="M9" i="147"/>
  <c r="L9" i="147"/>
  <c r="K9" i="147"/>
  <c r="J9" i="147"/>
  <c r="I9" i="147"/>
  <c r="H9" i="147"/>
  <c r="G9" i="147"/>
  <c r="F9" i="147"/>
  <c r="E9" i="147"/>
  <c r="D9" i="147"/>
  <c r="C9" i="147"/>
  <c r="B9" i="147"/>
  <c r="N8" i="147"/>
  <c r="M8" i="147"/>
  <c r="L8" i="147"/>
  <c r="K8" i="147"/>
  <c r="J8" i="147"/>
  <c r="I8" i="147"/>
  <c r="H8" i="147"/>
  <c r="G8" i="147"/>
  <c r="F8" i="147"/>
  <c r="E8" i="147"/>
  <c r="D8" i="147"/>
  <c r="C8" i="147"/>
  <c r="B8" i="147"/>
  <c r="N7" i="147"/>
  <c r="M7" i="147"/>
  <c r="L7" i="147"/>
  <c r="K7" i="147"/>
  <c r="J7" i="147"/>
  <c r="I7" i="147"/>
  <c r="H7" i="147"/>
  <c r="G7" i="147"/>
  <c r="F7" i="147"/>
  <c r="E7" i="147"/>
  <c r="D70" i="147" s="1"/>
  <c r="D7" i="147"/>
  <c r="C7" i="147"/>
  <c r="B7" i="147"/>
  <c r="N6" i="147"/>
  <c r="M6" i="147"/>
  <c r="L6" i="147"/>
  <c r="AA6" i="147" s="1"/>
  <c r="K6" i="147"/>
  <c r="J6" i="147"/>
  <c r="Y6" i="147" s="1"/>
  <c r="I6" i="147"/>
  <c r="X6" i="147" s="1"/>
  <c r="H6" i="147"/>
  <c r="G6" i="147"/>
  <c r="F6" i="147"/>
  <c r="U6" i="147" s="1"/>
  <c r="E6" i="147"/>
  <c r="D6" i="147"/>
  <c r="R25" i="147"/>
  <c r="R23" i="147"/>
  <c r="R21" i="147"/>
  <c r="R19" i="147"/>
  <c r="R17" i="147"/>
  <c r="R16" i="147"/>
  <c r="R15" i="147"/>
  <c r="R11" i="147"/>
  <c r="R9" i="147"/>
  <c r="Q7" i="147"/>
  <c r="AB6" i="147"/>
  <c r="V6" i="147"/>
  <c r="T6" i="147"/>
  <c r="Z6" i="147"/>
  <c r="BG5" i="147"/>
  <c r="BD3" i="147"/>
  <c r="BC3" i="147"/>
  <c r="BB3" i="147"/>
  <c r="BA3" i="147"/>
  <c r="AZ3" i="147"/>
  <c r="AY3" i="147"/>
  <c r="AX3" i="147"/>
  <c r="AW3" i="147"/>
  <c r="AV3" i="147"/>
  <c r="AU3" i="147"/>
  <c r="AT3" i="147"/>
  <c r="BX38" i="105"/>
  <c r="BW38" i="105"/>
  <c r="CF30" i="146"/>
  <c r="BT8" i="146"/>
  <c r="BL30" i="146"/>
  <c r="AB131" i="147" l="1"/>
  <c r="T302" i="147"/>
  <c r="S319" i="147"/>
  <c r="T297" i="147"/>
  <c r="U296" i="147"/>
  <c r="U301" i="147"/>
  <c r="T296" i="147"/>
  <c r="T294" i="147"/>
  <c r="Y243" i="147"/>
  <c r="AC243" i="147" s="1"/>
  <c r="AB250" i="147"/>
  <c r="W241" i="147"/>
  <c r="X250" i="147"/>
  <c r="X241" i="147"/>
  <c r="W243" i="147"/>
  <c r="X247" i="147"/>
  <c r="Z240" i="147" s="1"/>
  <c r="Z250" i="147"/>
  <c r="T251" i="147"/>
  <c r="AA251" i="147"/>
  <c r="X245" i="147"/>
  <c r="T241" i="147"/>
  <c r="W246" i="147"/>
  <c r="U242" i="147"/>
  <c r="AB251" i="147"/>
  <c r="T244" i="147"/>
  <c r="U243" i="147"/>
  <c r="AA250" i="147"/>
  <c r="T239" i="147"/>
  <c r="U240" i="147"/>
  <c r="T245" i="147"/>
  <c r="Y250" i="147"/>
  <c r="V239" i="147"/>
  <c r="V243" i="147"/>
  <c r="Y246" i="147"/>
  <c r="AC246" i="147" s="1"/>
  <c r="X244" i="147"/>
  <c r="U239" i="147"/>
  <c r="T242" i="147"/>
  <c r="W251" i="147"/>
  <c r="V251" i="147"/>
  <c r="U251" i="147"/>
  <c r="Z251" i="147"/>
  <c r="Y251" i="147"/>
  <c r="T246" i="147"/>
  <c r="X239" i="147"/>
  <c r="AC256" i="147"/>
  <c r="X243" i="147"/>
  <c r="AB243" i="147" s="1"/>
  <c r="U246" i="147"/>
  <c r="W247" i="147"/>
  <c r="W242" i="147"/>
  <c r="Y241" i="147"/>
  <c r="AC241" i="147" s="1"/>
  <c r="W244" i="147"/>
  <c r="Y242" i="147"/>
  <c r="AC242" i="147" s="1"/>
  <c r="Y244" i="147"/>
  <c r="AC244" i="147" s="1"/>
  <c r="T250" i="147"/>
  <c r="W250" i="147"/>
  <c r="U250" i="147"/>
  <c r="X242" i="147"/>
  <c r="X246" i="147"/>
  <c r="AB246" i="147" s="1"/>
  <c r="T243" i="147"/>
  <c r="V244" i="147"/>
  <c r="W239" i="147"/>
  <c r="Y247" i="147"/>
  <c r="AC247" i="147" s="1"/>
  <c r="V247" i="147"/>
  <c r="W245" i="147"/>
  <c r="V241" i="147"/>
  <c r="Y245" i="147"/>
  <c r="AC245" i="147" s="1"/>
  <c r="Y239" i="147"/>
  <c r="AC239" i="147" s="1"/>
  <c r="X251" i="147"/>
  <c r="T247" i="147"/>
  <c r="T254" i="147" s="1"/>
  <c r="W240" i="147"/>
  <c r="Y240" i="147"/>
  <c r="AC240" i="147" s="1"/>
  <c r="U241" i="147"/>
  <c r="V245" i="147"/>
  <c r="V240" i="147"/>
  <c r="T240" i="147"/>
  <c r="U245" i="147"/>
  <c r="AE245" i="147" s="1"/>
  <c r="U247" i="147"/>
  <c r="T255" i="147" s="1"/>
  <c r="V242" i="147"/>
  <c r="V246" i="147"/>
  <c r="AD246" i="147" s="1"/>
  <c r="U244" i="147"/>
  <c r="V250" i="147"/>
  <c r="R69" i="147"/>
  <c r="R78" i="147" s="1"/>
  <c r="L82" i="147"/>
  <c r="K82" i="147" s="1"/>
  <c r="U302" i="147"/>
  <c r="Z18" i="147"/>
  <c r="R74" i="147"/>
  <c r="Q74" i="147" s="1"/>
  <c r="P81" i="147"/>
  <c r="O81" i="147" s="1"/>
  <c r="U295" i="147"/>
  <c r="U294" i="147"/>
  <c r="T300" i="147"/>
  <c r="U299" i="147"/>
  <c r="T303" i="147"/>
  <c r="V303" i="147" s="1"/>
  <c r="S321" i="147" s="1"/>
  <c r="U300" i="147"/>
  <c r="U293" i="147"/>
  <c r="T295" i="147"/>
  <c r="T293" i="147"/>
  <c r="T298" i="147"/>
  <c r="H73" i="147"/>
  <c r="G73" i="147" s="1"/>
  <c r="F72" i="147"/>
  <c r="E72" i="147" s="1"/>
  <c r="AA26" i="147"/>
  <c r="T299" i="147"/>
  <c r="T301" i="147"/>
  <c r="Y11" i="147"/>
  <c r="D83" i="147"/>
  <c r="C83" i="147" s="1"/>
  <c r="BF3" i="147"/>
  <c r="L70" i="147"/>
  <c r="T70" i="147"/>
  <c r="V81" i="147"/>
  <c r="U297" i="147"/>
  <c r="U298" i="147"/>
  <c r="Z127" i="147"/>
  <c r="Y199" i="147"/>
  <c r="Y200" i="147"/>
  <c r="Y177" i="147"/>
  <c r="Z177" i="147"/>
  <c r="Y172" i="147"/>
  <c r="Z172" i="147"/>
  <c r="Y179" i="147"/>
  <c r="Z179" i="147"/>
  <c r="Y186" i="147"/>
  <c r="Z186" i="147"/>
  <c r="Z199" i="147"/>
  <c r="Y183" i="147"/>
  <c r="Z183" i="147"/>
  <c r="Y178" i="147"/>
  <c r="Z178" i="147"/>
  <c r="Y185" i="147"/>
  <c r="Z201" i="147"/>
  <c r="Z185" i="147"/>
  <c r="AC201" i="147"/>
  <c r="AE201" i="147" s="1"/>
  <c r="Z198" i="147"/>
  <c r="AC198" i="147"/>
  <c r="AE198" i="147" s="1"/>
  <c r="Z168" i="147"/>
  <c r="Y168" i="147"/>
  <c r="Y170" i="147"/>
  <c r="X200" i="147"/>
  <c r="Y189" i="147"/>
  <c r="Z189" i="147"/>
  <c r="AC200" i="147"/>
  <c r="AE200" i="147" s="1"/>
  <c r="Y184" i="147"/>
  <c r="Z184" i="147"/>
  <c r="Z200" i="147"/>
  <c r="Z169" i="147"/>
  <c r="Y169" i="147"/>
  <c r="Y176" i="147"/>
  <c r="Z182" i="147"/>
  <c r="AC199" i="147"/>
  <c r="AE199" i="147" s="1"/>
  <c r="Y190" i="147"/>
  <c r="Z202" i="147"/>
  <c r="Z190" i="147"/>
  <c r="AC202" i="147"/>
  <c r="AE202" i="147" s="1"/>
  <c r="X198" i="147"/>
  <c r="Y198" i="147"/>
  <c r="Z175" i="147"/>
  <c r="Y175" i="147"/>
  <c r="Y182" i="147"/>
  <c r="Z188" i="147"/>
  <c r="X202" i="147"/>
  <c r="Y202" i="147"/>
  <c r="Y174" i="147"/>
  <c r="Z174" i="147"/>
  <c r="Z181" i="147"/>
  <c r="Y181" i="147"/>
  <c r="Y188" i="147"/>
  <c r="X199" i="147"/>
  <c r="Y171" i="147"/>
  <c r="Z171" i="147"/>
  <c r="X201" i="147"/>
  <c r="Y201" i="147"/>
  <c r="Y173" i="147"/>
  <c r="Z173" i="147"/>
  <c r="Y180" i="147"/>
  <c r="Z180" i="147"/>
  <c r="Y187" i="147"/>
  <c r="Z187" i="147"/>
  <c r="Z176" i="147"/>
  <c r="Z170" i="147"/>
  <c r="Z130" i="147"/>
  <c r="AH130" i="147" s="1"/>
  <c r="Z103" i="147"/>
  <c r="Z132" i="147"/>
  <c r="AH132" i="147" s="1"/>
  <c r="Z115" i="147"/>
  <c r="Z98" i="147"/>
  <c r="Z128" i="147"/>
  <c r="AH128" i="147" s="1"/>
  <c r="Z109" i="147"/>
  <c r="AA103" i="147"/>
  <c r="AA130" i="147"/>
  <c r="AA132" i="147"/>
  <c r="AB129" i="147"/>
  <c r="Z111" i="147"/>
  <c r="AA111" i="147"/>
  <c r="AE129" i="147"/>
  <c r="Z110" i="147"/>
  <c r="AA110" i="147"/>
  <c r="Z117" i="147"/>
  <c r="AA117" i="147"/>
  <c r="AA120" i="147"/>
  <c r="AB133" i="147"/>
  <c r="AE133" i="147"/>
  <c r="Z120" i="147"/>
  <c r="Z116" i="147"/>
  <c r="AE132" i="147"/>
  <c r="AB132" i="147"/>
  <c r="AA116" i="147"/>
  <c r="AA100" i="147"/>
  <c r="Z100" i="147"/>
  <c r="AA113" i="147"/>
  <c r="Z113" i="147"/>
  <c r="Z133" i="147"/>
  <c r="AH133" i="147" s="1"/>
  <c r="AA133" i="147"/>
  <c r="AA131" i="147"/>
  <c r="Z131" i="147"/>
  <c r="AH131" i="147" s="1"/>
  <c r="AG131" i="147"/>
  <c r="Z97" i="147"/>
  <c r="AA97" i="147"/>
  <c r="AA109" i="147"/>
  <c r="AE127" i="147"/>
  <c r="AB127" i="147"/>
  <c r="AD127" i="147" s="1"/>
  <c r="AA106" i="147"/>
  <c r="Z106" i="147"/>
  <c r="Z99" i="147"/>
  <c r="AA99" i="147"/>
  <c r="AA112" i="147"/>
  <c r="Z112" i="147"/>
  <c r="AA102" i="147"/>
  <c r="Z102" i="147"/>
  <c r="AA129" i="147"/>
  <c r="AA127" i="147"/>
  <c r="Z129" i="147"/>
  <c r="AH129" i="147" s="1"/>
  <c r="AA128" i="147"/>
  <c r="AD131" i="147"/>
  <c r="AA108" i="147"/>
  <c r="Z108" i="147"/>
  <c r="AA115" i="147"/>
  <c r="AA101" i="147"/>
  <c r="Z101" i="147"/>
  <c r="AA118" i="147"/>
  <c r="Z118" i="147"/>
  <c r="Z105" i="147"/>
  <c r="AA105" i="147"/>
  <c r="AB128" i="147"/>
  <c r="AE128" i="147"/>
  <c r="Z104" i="147"/>
  <c r="AA104" i="147"/>
  <c r="AB130" i="147"/>
  <c r="AE130" i="147"/>
  <c r="AA114" i="147"/>
  <c r="Z114" i="147"/>
  <c r="AC131" i="147"/>
  <c r="AA107" i="147"/>
  <c r="Z107" i="147"/>
  <c r="AA119" i="147"/>
  <c r="Z119" i="147"/>
  <c r="AA98" i="147"/>
  <c r="AF131" i="147"/>
  <c r="Y25" i="147"/>
  <c r="Y16" i="147"/>
  <c r="AB22" i="147"/>
  <c r="K70" i="147"/>
  <c r="S70" i="147"/>
  <c r="U81" i="147"/>
  <c r="U47" i="147" s="1"/>
  <c r="V47" i="147" s="1"/>
  <c r="X81" i="147"/>
  <c r="W47" i="147" s="1"/>
  <c r="AB12" i="147"/>
  <c r="V12" i="147"/>
  <c r="AA12" i="147"/>
  <c r="U12" i="147"/>
  <c r="AC12" i="147"/>
  <c r="S12" i="147"/>
  <c r="Z12" i="147"/>
  <c r="X12" i="147"/>
  <c r="W12" i="147"/>
  <c r="T12" i="147"/>
  <c r="Y12" i="147"/>
  <c r="AA13" i="147"/>
  <c r="U13" i="147"/>
  <c r="T13" i="147"/>
  <c r="Z13" i="147"/>
  <c r="Y13" i="147"/>
  <c r="X13" i="147"/>
  <c r="W13" i="147"/>
  <c r="V13" i="147"/>
  <c r="AC13" i="147"/>
  <c r="S13" i="147"/>
  <c r="AB13" i="147"/>
  <c r="Z14" i="147"/>
  <c r="T14" i="147"/>
  <c r="S14" i="147"/>
  <c r="Y14" i="147"/>
  <c r="V14" i="147"/>
  <c r="AC14" i="147"/>
  <c r="U14" i="147"/>
  <c r="AB14" i="147"/>
  <c r="AA14" i="147"/>
  <c r="X14" i="147"/>
  <c r="W14" i="147"/>
  <c r="C70" i="147"/>
  <c r="B69" i="147"/>
  <c r="Z10" i="147"/>
  <c r="BG3" i="147"/>
  <c r="BG4" i="147"/>
  <c r="Y9" i="147"/>
  <c r="S9" i="147"/>
  <c r="X9" i="147"/>
  <c r="AA9" i="147"/>
  <c r="U10" i="147"/>
  <c r="Y15" i="147"/>
  <c r="S15" i="147"/>
  <c r="X15" i="147"/>
  <c r="AA15" i="147"/>
  <c r="BH3" i="147"/>
  <c r="BF4" i="147"/>
  <c r="J69" i="147"/>
  <c r="J78" i="147" s="1"/>
  <c r="W6" i="147"/>
  <c r="V69" i="147"/>
  <c r="AC6" i="147"/>
  <c r="B71" i="147"/>
  <c r="B70" i="147"/>
  <c r="A70" i="147" s="1"/>
  <c r="B73" i="147"/>
  <c r="B72" i="147"/>
  <c r="B74" i="147"/>
  <c r="N71" i="147"/>
  <c r="M71" i="147" s="1"/>
  <c r="N70" i="147"/>
  <c r="N74" i="147"/>
  <c r="M74" i="147" s="1"/>
  <c r="N73" i="147"/>
  <c r="M73" i="147" s="1"/>
  <c r="R7" i="147"/>
  <c r="S7" i="147" s="1"/>
  <c r="T9" i="147"/>
  <c r="AB9" i="147"/>
  <c r="V10" i="147"/>
  <c r="AC11" i="147"/>
  <c r="W11" i="147"/>
  <c r="AB11" i="147"/>
  <c r="V11" i="147"/>
  <c r="Z11" i="147"/>
  <c r="T15" i="147"/>
  <c r="AB15" i="147"/>
  <c r="V16" i="147"/>
  <c r="S17" i="147"/>
  <c r="T18" i="147"/>
  <c r="AC20" i="147"/>
  <c r="W20" i="147"/>
  <c r="AB20" i="147"/>
  <c r="V20" i="147"/>
  <c r="AA20" i="147"/>
  <c r="U20" i="147"/>
  <c r="Z20" i="147"/>
  <c r="T20" i="147"/>
  <c r="Y20" i="147"/>
  <c r="S20" i="147"/>
  <c r="V22" i="147"/>
  <c r="F83" i="147"/>
  <c r="E83" i="147" s="1"/>
  <c r="F82" i="147"/>
  <c r="E82" i="147" s="1"/>
  <c r="F80" i="147"/>
  <c r="E80" i="147" s="1"/>
  <c r="F79" i="147"/>
  <c r="F81" i="147"/>
  <c r="E81" i="147" s="1"/>
  <c r="R83" i="147"/>
  <c r="Q83" i="147" s="1"/>
  <c r="R81" i="147"/>
  <c r="Q81" i="147" s="1"/>
  <c r="R79" i="147"/>
  <c r="R80" i="147"/>
  <c r="Q80" i="147" s="1"/>
  <c r="BH5" i="147"/>
  <c r="L69" i="147"/>
  <c r="L78" i="147" s="1"/>
  <c r="S6" i="147"/>
  <c r="D73" i="147"/>
  <c r="C73" i="147" s="1"/>
  <c r="D71" i="147"/>
  <c r="C71" i="147" s="1"/>
  <c r="D72" i="147"/>
  <c r="C72" i="147" s="1"/>
  <c r="D74" i="147"/>
  <c r="C74" i="147" s="1"/>
  <c r="P71" i="147"/>
  <c r="O71" i="147" s="1"/>
  <c r="P70" i="147"/>
  <c r="P73" i="147"/>
  <c r="O73" i="147" s="1"/>
  <c r="P72" i="147"/>
  <c r="O72" i="147" s="1"/>
  <c r="U9" i="147"/>
  <c r="AC9" i="147"/>
  <c r="S11" i="147"/>
  <c r="AA11" i="147"/>
  <c r="U15" i="147"/>
  <c r="AC15" i="147"/>
  <c r="U17" i="147"/>
  <c r="X20" i="147"/>
  <c r="Y24" i="147"/>
  <c r="Z26" i="147"/>
  <c r="T26" i="147"/>
  <c r="Y26" i="147"/>
  <c r="X26" i="147"/>
  <c r="W26" i="147"/>
  <c r="AC26" i="147"/>
  <c r="V26" i="147"/>
  <c r="U26" i="147"/>
  <c r="AB26" i="147"/>
  <c r="H79" i="147"/>
  <c r="T82" i="147"/>
  <c r="S82" i="147" s="1"/>
  <c r="N72" i="147"/>
  <c r="M72" i="147" s="1"/>
  <c r="P74" i="147"/>
  <c r="O74" i="147" s="1"/>
  <c r="V15" i="147"/>
  <c r="AA16" i="147"/>
  <c r="X16" i="147"/>
  <c r="AC16" i="147"/>
  <c r="W16" i="147"/>
  <c r="Z16" i="147"/>
  <c r="Y17" i="147"/>
  <c r="X19" i="147"/>
  <c r="AC19" i="147"/>
  <c r="W19" i="147"/>
  <c r="AB19" i="147"/>
  <c r="V19" i="147"/>
  <c r="AA19" i="147"/>
  <c r="U19" i="147"/>
  <c r="Z19" i="147"/>
  <c r="T19" i="147"/>
  <c r="AB21" i="147"/>
  <c r="V21" i="147"/>
  <c r="AA21" i="147"/>
  <c r="U21" i="147"/>
  <c r="Z21" i="147"/>
  <c r="T21" i="147"/>
  <c r="Y21" i="147"/>
  <c r="S21" i="147"/>
  <c r="X21" i="147"/>
  <c r="T24" i="147"/>
  <c r="S26" i="147"/>
  <c r="X10" i="147"/>
  <c r="AC10" i="147"/>
  <c r="W10" i="147"/>
  <c r="D69" i="147"/>
  <c r="D78" i="147" s="1"/>
  <c r="R8" i="147"/>
  <c r="W9" i="147"/>
  <c r="S10" i="147"/>
  <c r="AA10" i="147"/>
  <c r="U11" i="147"/>
  <c r="W15" i="147"/>
  <c r="S16" i="147"/>
  <c r="AB16" i="147"/>
  <c r="AA17" i="147"/>
  <c r="S19" i="147"/>
  <c r="W21" i="147"/>
  <c r="Z23" i="147"/>
  <c r="Z24" i="147"/>
  <c r="Y79" i="147"/>
  <c r="W50" i="147" s="1"/>
  <c r="V9" i="147"/>
  <c r="Y23" i="147"/>
  <c r="S23" i="147"/>
  <c r="J71" i="147"/>
  <c r="I71" i="147" s="1"/>
  <c r="J70" i="147"/>
  <c r="J73" i="147"/>
  <c r="I73" i="147" s="1"/>
  <c r="J72" i="147"/>
  <c r="I72" i="147" s="1"/>
  <c r="J74" i="147"/>
  <c r="I74" i="147" s="1"/>
  <c r="V74" i="147"/>
  <c r="V72" i="147"/>
  <c r="V70" i="147"/>
  <c r="V73" i="147"/>
  <c r="Z9" i="147"/>
  <c r="T10" i="147"/>
  <c r="AB10" i="147"/>
  <c r="X11" i="147"/>
  <c r="Z15" i="147"/>
  <c r="T16" i="147"/>
  <c r="Y19" i="147"/>
  <c r="AC21" i="147"/>
  <c r="U23" i="147"/>
  <c r="AA25" i="147"/>
  <c r="X25" i="147"/>
  <c r="W25" i="147"/>
  <c r="AC25" i="147"/>
  <c r="V25" i="147"/>
  <c r="AB25" i="147"/>
  <c r="U25" i="147"/>
  <c r="Z25" i="147"/>
  <c r="T25" i="147"/>
  <c r="U50" i="147"/>
  <c r="V50" i="147" s="1"/>
  <c r="Z79" i="147"/>
  <c r="R82" i="147"/>
  <c r="Q82" i="147" s="1"/>
  <c r="N69" i="147"/>
  <c r="N78" i="147" s="1"/>
  <c r="T11" i="147"/>
  <c r="L73" i="147"/>
  <c r="K73" i="147" s="1"/>
  <c r="L72" i="147"/>
  <c r="K72" i="147" s="1"/>
  <c r="L71" i="147"/>
  <c r="K71" i="147" s="1"/>
  <c r="L74" i="147"/>
  <c r="K74" i="147" s="1"/>
  <c r="U16" i="147"/>
  <c r="Z17" i="147"/>
  <c r="Y18" i="147"/>
  <c r="S18" i="147"/>
  <c r="X18" i="147"/>
  <c r="AC18" i="147"/>
  <c r="W18" i="147"/>
  <c r="AB18" i="147"/>
  <c r="V18" i="147"/>
  <c r="AA18" i="147"/>
  <c r="U18" i="147"/>
  <c r="AA22" i="147"/>
  <c r="U22" i="147"/>
  <c r="Z22" i="147"/>
  <c r="T22" i="147"/>
  <c r="Y22" i="147"/>
  <c r="S22" i="147"/>
  <c r="X22" i="147"/>
  <c r="AC22" i="147"/>
  <c r="W22" i="147"/>
  <c r="AA23" i="147"/>
  <c r="S25" i="147"/>
  <c r="J82" i="147"/>
  <c r="I82" i="147" s="1"/>
  <c r="V83" i="147"/>
  <c r="P69" i="147"/>
  <c r="P78" i="147" s="1"/>
  <c r="V71" i="147"/>
  <c r="V23" i="147"/>
  <c r="F71" i="147"/>
  <c r="E71" i="147" s="1"/>
  <c r="J80" i="147"/>
  <c r="I80" i="147" s="1"/>
  <c r="P83" i="147"/>
  <c r="O83" i="147" s="1"/>
  <c r="F73" i="147"/>
  <c r="E73" i="147" s="1"/>
  <c r="R73" i="147"/>
  <c r="Q73" i="147" s="1"/>
  <c r="R71" i="147"/>
  <c r="Q71" i="147" s="1"/>
  <c r="V17" i="147"/>
  <c r="AB17" i="147"/>
  <c r="AB23" i="147"/>
  <c r="U24" i="147"/>
  <c r="AA24" i="147"/>
  <c r="H81" i="147"/>
  <c r="G81" i="147" s="1"/>
  <c r="H80" i="147"/>
  <c r="G80" i="147" s="1"/>
  <c r="T81" i="147"/>
  <c r="S81" i="147" s="1"/>
  <c r="T83" i="147"/>
  <c r="S83" i="147" s="1"/>
  <c r="BF5" i="147"/>
  <c r="H69" i="147"/>
  <c r="H78" i="147" s="1"/>
  <c r="T69" i="147"/>
  <c r="T78" i="147" s="1"/>
  <c r="H71" i="147"/>
  <c r="G71" i="147" s="1"/>
  <c r="H74" i="147"/>
  <c r="G74" i="147" s="1"/>
  <c r="H72" i="147"/>
  <c r="G72" i="147" s="1"/>
  <c r="T71" i="147"/>
  <c r="S71" i="147" s="1"/>
  <c r="W17" i="147"/>
  <c r="AC17" i="147"/>
  <c r="W23" i="147"/>
  <c r="AC23" i="147"/>
  <c r="V24" i="147"/>
  <c r="AB24" i="147"/>
  <c r="J79" i="147"/>
  <c r="J83" i="147"/>
  <c r="I83" i="147" s="1"/>
  <c r="J81" i="147"/>
  <c r="I81" i="147" s="1"/>
  <c r="V79" i="147"/>
  <c r="F70" i="147"/>
  <c r="B80" i="147"/>
  <c r="D81" i="147"/>
  <c r="C81" i="147" s="1"/>
  <c r="V82" i="147"/>
  <c r="H83" i="147"/>
  <c r="G83" i="147" s="1"/>
  <c r="X17" i="147"/>
  <c r="X23" i="147"/>
  <c r="W24" i="147"/>
  <c r="AC24" i="147"/>
  <c r="F69" i="147"/>
  <c r="F78" i="147" s="1"/>
  <c r="H70" i="147"/>
  <c r="R72" i="147"/>
  <c r="Q72" i="147" s="1"/>
  <c r="T73" i="147"/>
  <c r="S73" i="147" s="1"/>
  <c r="T74" i="147"/>
  <c r="S74" i="147" s="1"/>
  <c r="T79" i="147"/>
  <c r="D80" i="147"/>
  <c r="C80" i="147" s="1"/>
  <c r="L80" i="147"/>
  <c r="K80" i="147" s="1"/>
  <c r="T80" i="147"/>
  <c r="S80" i="147" s="1"/>
  <c r="X24" i="147"/>
  <c r="B81" i="147"/>
  <c r="B82" i="147"/>
  <c r="N81" i="147"/>
  <c r="M81" i="147" s="1"/>
  <c r="N82" i="147"/>
  <c r="M82" i="147" s="1"/>
  <c r="R70" i="147"/>
  <c r="T72" i="147"/>
  <c r="S72" i="147" s="1"/>
  <c r="V80" i="147"/>
  <c r="T17" i="147"/>
  <c r="T23" i="147"/>
  <c r="S24" i="147"/>
  <c r="D79" i="147"/>
  <c r="P79" i="147"/>
  <c r="P82" i="147"/>
  <c r="O82" i="147" s="1"/>
  <c r="P80" i="147"/>
  <c r="O80" i="147" s="1"/>
  <c r="F74" i="147"/>
  <c r="E74" i="147" s="1"/>
  <c r="N79" i="147"/>
  <c r="N80" i="147"/>
  <c r="M80" i="147" s="1"/>
  <c r="B83" i="147"/>
  <c r="N83" i="147"/>
  <c r="M83" i="147" s="1"/>
  <c r="L83" i="147"/>
  <c r="K83" i="147" s="1"/>
  <c r="L79" i="147"/>
  <c r="L81" i="147"/>
  <c r="K81" i="147" s="1"/>
  <c r="V302" i="147" l="1"/>
  <c r="V294" i="147"/>
  <c r="V296" i="147"/>
  <c r="R319" i="147"/>
  <c r="V297" i="147"/>
  <c r="V301" i="147"/>
  <c r="V299" i="147"/>
  <c r="V300" i="147"/>
  <c r="V293" i="147"/>
  <c r="T311" i="147"/>
  <c r="T312" i="147"/>
  <c r="V295" i="147"/>
  <c r="T315" i="147"/>
  <c r="T314" i="147"/>
  <c r="V298" i="147"/>
  <c r="AB256" i="147"/>
  <c r="AA240" i="147"/>
  <c r="AE244" i="147"/>
  <c r="AE246" i="147"/>
  <c r="Z244" i="147"/>
  <c r="Z246" i="147"/>
  <c r="AE242" i="147"/>
  <c r="AA245" i="147"/>
  <c r="AB242" i="147"/>
  <c r="AA243" i="147"/>
  <c r="AA246" i="147"/>
  <c r="Z239" i="147"/>
  <c r="AD239" i="147"/>
  <c r="Z245" i="147"/>
  <c r="Z241" i="147"/>
  <c r="AE240" i="147"/>
  <c r="AB239" i="147"/>
  <c r="AA239" i="147"/>
  <c r="AB240" i="147"/>
  <c r="AD242" i="147"/>
  <c r="AD244" i="147"/>
  <c r="AE239" i="147"/>
  <c r="AD245" i="147"/>
  <c r="AA242" i="147"/>
  <c r="AD240" i="147"/>
  <c r="AB241" i="147"/>
  <c r="AE241" i="147"/>
  <c r="AD247" i="147"/>
  <c r="AH258" i="147" s="1"/>
  <c r="AE243" i="147"/>
  <c r="AB244" i="147"/>
  <c r="Z242" i="147"/>
  <c r="AA244" i="147"/>
  <c r="AD241" i="147"/>
  <c r="AB247" i="147"/>
  <c r="AC258" i="147" s="1"/>
  <c r="AF259" i="147"/>
  <c r="AD243" i="147"/>
  <c r="Z243" i="147"/>
  <c r="AB245" i="147"/>
  <c r="AA241" i="147"/>
  <c r="AF262" i="147"/>
  <c r="AC260" i="147"/>
  <c r="AC262" i="147" s="1"/>
  <c r="AC264" i="147"/>
  <c r="AC266" i="147" s="1"/>
  <c r="AB266" i="147" s="1"/>
  <c r="AE247" i="147"/>
  <c r="AJ258" i="147" s="1"/>
  <c r="AL127" i="147"/>
  <c r="AH127" i="147"/>
  <c r="AL132" i="147"/>
  <c r="AL131" i="147"/>
  <c r="AL126" i="147"/>
  <c r="AB202" i="147"/>
  <c r="AD202" i="147" s="1"/>
  <c r="AA202" i="147"/>
  <c r="AA198" i="147"/>
  <c r="AB198" i="147"/>
  <c r="AD198" i="147" s="1"/>
  <c r="AB200" i="147"/>
  <c r="AD200" i="147" s="1"/>
  <c r="AA200" i="147"/>
  <c r="AB201" i="147"/>
  <c r="AD201" i="147" s="1"/>
  <c r="AA201" i="147"/>
  <c r="AB199" i="147"/>
  <c r="AD199" i="147" s="1"/>
  <c r="AA199" i="147"/>
  <c r="AG127" i="147"/>
  <c r="AF127" i="147"/>
  <c r="AG129" i="147"/>
  <c r="AF129" i="147"/>
  <c r="AD130" i="147"/>
  <c r="AC130" i="147"/>
  <c r="AC132" i="147"/>
  <c r="AD132" i="147"/>
  <c r="AF132" i="147"/>
  <c r="AG132" i="147"/>
  <c r="AD129" i="147"/>
  <c r="AC129" i="147"/>
  <c r="AG128" i="147"/>
  <c r="AF128" i="147"/>
  <c r="AC127" i="147"/>
  <c r="AD128" i="147"/>
  <c r="AC128" i="147"/>
  <c r="AG133" i="147"/>
  <c r="AF133" i="147"/>
  <c r="AG130" i="147"/>
  <c r="AF130" i="147"/>
  <c r="AC133" i="147"/>
  <c r="AD133" i="147"/>
  <c r="B85" i="147"/>
  <c r="B86" i="147" s="1"/>
  <c r="U70" i="147"/>
  <c r="Q45" i="147" s="1"/>
  <c r="R45" i="147" s="1"/>
  <c r="V76" i="147"/>
  <c r="V77" i="147" s="1"/>
  <c r="X70" i="147"/>
  <c r="S45" i="147" s="1"/>
  <c r="I70" i="147"/>
  <c r="J76" i="147"/>
  <c r="J77" i="147" s="1"/>
  <c r="R85" i="147"/>
  <c r="R86" i="147" s="1"/>
  <c r="Q79" i="147"/>
  <c r="Y69" i="147"/>
  <c r="B78" i="147"/>
  <c r="Y78" i="147" s="1"/>
  <c r="U49" i="147"/>
  <c r="R49" i="147"/>
  <c r="R76" i="147"/>
  <c r="R77" i="147" s="1"/>
  <c r="Q70" i="147"/>
  <c r="U82" i="147"/>
  <c r="X82" i="147"/>
  <c r="U72" i="147"/>
  <c r="Q47" i="147" s="1"/>
  <c r="R47" i="147" s="1"/>
  <c r="X72" i="147"/>
  <c r="S47" i="147" s="1"/>
  <c r="Z8" i="147"/>
  <c r="T8" i="147"/>
  <c r="Y8" i="147"/>
  <c r="S8" i="147"/>
  <c r="V8" i="147"/>
  <c r="AA8" i="147"/>
  <c r="AC8" i="147"/>
  <c r="U8" i="147"/>
  <c r="AB8" i="147"/>
  <c r="X8" i="147"/>
  <c r="W8" i="147"/>
  <c r="A74" i="147"/>
  <c r="Z74" i="147" s="1"/>
  <c r="Y74" i="147"/>
  <c r="B75" i="147"/>
  <c r="V78" i="147"/>
  <c r="X78" i="147" s="1"/>
  <c r="U44" i="147"/>
  <c r="W44" i="147" s="1"/>
  <c r="X69" i="147"/>
  <c r="R44" i="147"/>
  <c r="S44" i="147" s="1"/>
  <c r="D76" i="147"/>
  <c r="D77" i="147" s="1"/>
  <c r="N85" i="147"/>
  <c r="N86" i="147" s="1"/>
  <c r="M79" i="147"/>
  <c r="A82" i="147"/>
  <c r="Z82" i="147" s="1"/>
  <c r="Y82" i="147"/>
  <c r="H76" i="147"/>
  <c r="H77" i="147" s="1"/>
  <c r="G70" i="147"/>
  <c r="J85" i="147"/>
  <c r="J86" i="147" s="1"/>
  <c r="I79" i="147"/>
  <c r="X74" i="147"/>
  <c r="U74" i="147"/>
  <c r="O70" i="147"/>
  <c r="P76" i="147"/>
  <c r="P77" i="147" s="1"/>
  <c r="AA7" i="147"/>
  <c r="U7" i="147"/>
  <c r="T7" i="147"/>
  <c r="Z7" i="147"/>
  <c r="Y7" i="147"/>
  <c r="V7" i="147"/>
  <c r="X7" i="147"/>
  <c r="W7" i="147"/>
  <c r="AC7" i="147"/>
  <c r="AB7" i="147"/>
  <c r="A72" i="147"/>
  <c r="Y72" i="147"/>
  <c r="S52" i="147" s="1"/>
  <c r="T76" i="147"/>
  <c r="T77" i="147" s="1"/>
  <c r="Y83" i="147"/>
  <c r="A83" i="147"/>
  <c r="Z83" i="147" s="1"/>
  <c r="L85" i="147"/>
  <c r="L86" i="147" s="1"/>
  <c r="K79" i="147"/>
  <c r="Y81" i="147"/>
  <c r="W52" i="147" s="1"/>
  <c r="A81" i="147"/>
  <c r="A80" i="147"/>
  <c r="Y80" i="147"/>
  <c r="W51" i="147" s="1"/>
  <c r="U71" i="147"/>
  <c r="Q46" i="147" s="1"/>
  <c r="R46" i="147" s="1"/>
  <c r="X71" i="147"/>
  <c r="S46" i="147" s="1"/>
  <c r="Y73" i="147"/>
  <c r="A73" i="147"/>
  <c r="Z73" i="147" s="1"/>
  <c r="E79" i="147"/>
  <c r="F85" i="147"/>
  <c r="F86" i="147" s="1"/>
  <c r="B76" i="147"/>
  <c r="B77" i="147" s="1"/>
  <c r="Y70" i="147"/>
  <c r="S50" i="147" s="1"/>
  <c r="P85" i="147"/>
  <c r="P86" i="147" s="1"/>
  <c r="O79" i="147"/>
  <c r="U80" i="147"/>
  <c r="U46" i="147" s="1"/>
  <c r="V46" i="147" s="1"/>
  <c r="X80" i="147"/>
  <c r="W46" i="147" s="1"/>
  <c r="S79" i="147"/>
  <c r="T85" i="147"/>
  <c r="T86" i="147" s="1"/>
  <c r="F76" i="147"/>
  <c r="F77" i="147" s="1"/>
  <c r="E70" i="147"/>
  <c r="D85" i="147"/>
  <c r="D86" i="147" s="1"/>
  <c r="C79" i="147"/>
  <c r="V85" i="147"/>
  <c r="V86" i="147" s="1"/>
  <c r="X79" i="147"/>
  <c r="W45" i="147" s="1"/>
  <c r="U79" i="147"/>
  <c r="U45" i="147" s="1"/>
  <c r="V45" i="147" s="1"/>
  <c r="X83" i="147"/>
  <c r="U83" i="147"/>
  <c r="U73" i="147"/>
  <c r="X73" i="147"/>
  <c r="H85" i="147"/>
  <c r="H86" i="147" s="1"/>
  <c r="G79" i="147"/>
  <c r="M70" i="147"/>
  <c r="N76" i="147"/>
  <c r="N77" i="147" s="1"/>
  <c r="A71" i="147"/>
  <c r="Y71" i="147"/>
  <c r="S51" i="147" s="1"/>
  <c r="L76" i="147"/>
  <c r="L77" i="147" s="1"/>
  <c r="U315" i="147" l="1"/>
  <c r="W323" i="147" s="1"/>
  <c r="V315" i="147"/>
  <c r="W324" i="147" s="1"/>
  <c r="V311" i="147"/>
  <c r="W321" i="147" s="1"/>
  <c r="U311" i="147"/>
  <c r="U321" i="147" s="1"/>
  <c r="S330" i="147" s="1"/>
  <c r="V314" i="147"/>
  <c r="U324" i="147" s="1"/>
  <c r="U314" i="147"/>
  <c r="U323" i="147" s="1"/>
  <c r="V312" i="147"/>
  <c r="W322" i="147" s="1"/>
  <c r="U312" i="147"/>
  <c r="U322" i="147" s="1"/>
  <c r="AB262" i="147"/>
  <c r="AJ262" i="147"/>
  <c r="AJ264" i="147" s="1"/>
  <c r="AJ265" i="147" s="1"/>
  <c r="AH262" i="147"/>
  <c r="AI262" i="147" s="1"/>
  <c r="AJ259" i="147"/>
  <c r="AJ261" i="147" s="1"/>
  <c r="AM261" i="147" s="1"/>
  <c r="AD264" i="147"/>
  <c r="AH259" i="147"/>
  <c r="AH261" i="147" s="1"/>
  <c r="AL261" i="147" s="1"/>
  <c r="AG259" i="147"/>
  <c r="AF260" i="147"/>
  <c r="AG262" i="147"/>
  <c r="AF263" i="147"/>
  <c r="AG263" i="147" s="1"/>
  <c r="AD260" i="147"/>
  <c r="AL133" i="147"/>
  <c r="AM131" i="147"/>
  <c r="AN131" i="147"/>
  <c r="AM132" i="147"/>
  <c r="AN132" i="147"/>
  <c r="AN127" i="147"/>
  <c r="AM127" i="147"/>
  <c r="AM126" i="147"/>
  <c r="AN126" i="147"/>
  <c r="AL128" i="147"/>
  <c r="Z72" i="147"/>
  <c r="Q52" i="147"/>
  <c r="R52" i="147" s="1"/>
  <c r="S49" i="147"/>
  <c r="W49" i="147"/>
  <c r="Z70" i="147"/>
  <c r="Q50" i="147"/>
  <c r="R50" i="147" s="1"/>
  <c r="U51" i="147"/>
  <c r="V51" i="147" s="1"/>
  <c r="Z80" i="147"/>
  <c r="Z81" i="147"/>
  <c r="U52" i="147"/>
  <c r="V52" i="147" s="1"/>
  <c r="Z71" i="147"/>
  <c r="Q51" i="147"/>
  <c r="R51" i="147" s="1"/>
  <c r="S331" i="147" l="1"/>
  <c r="AH264" i="147"/>
  <c r="AH265" i="147" s="1"/>
  <c r="AC269" i="147"/>
  <c r="AG260" i="147"/>
  <c r="AC271" i="147" s="1"/>
  <c r="AK262" i="147"/>
  <c r="AK259" i="147"/>
  <c r="AI259" i="147"/>
  <c r="AK135" i="147"/>
  <c r="R56" i="147"/>
  <c r="R62" i="147"/>
  <c r="R59" i="147"/>
  <c r="AB277" i="147" l="1"/>
  <c r="AC273" i="147"/>
  <c r="AQ30" i="146"/>
  <c r="M264" i="146"/>
  <c r="L264" i="146"/>
  <c r="K264" i="146"/>
  <c r="J264" i="146"/>
  <c r="I264" i="146"/>
  <c r="H264" i="146"/>
  <c r="G264" i="146"/>
  <c r="F264" i="146"/>
  <c r="E264" i="146"/>
  <c r="D264" i="146"/>
  <c r="C264" i="146"/>
  <c r="M263" i="146"/>
  <c r="L263" i="146"/>
  <c r="K263" i="146"/>
  <c r="J263" i="146"/>
  <c r="I263" i="146"/>
  <c r="H263" i="146"/>
  <c r="G263" i="146"/>
  <c r="F263" i="146"/>
  <c r="E263" i="146"/>
  <c r="D263" i="146"/>
  <c r="C263" i="146"/>
  <c r="B263" i="146"/>
  <c r="M262" i="146"/>
  <c r="L262" i="146"/>
  <c r="K262" i="146"/>
  <c r="J262" i="146"/>
  <c r="I262" i="146"/>
  <c r="H262" i="146"/>
  <c r="G262" i="146"/>
  <c r="F262" i="146"/>
  <c r="E262" i="146"/>
  <c r="D262" i="146"/>
  <c r="C262" i="146"/>
  <c r="B262" i="146"/>
  <c r="M261" i="146"/>
  <c r="L261" i="146"/>
  <c r="K261" i="146"/>
  <c r="J261" i="146"/>
  <c r="I261" i="146"/>
  <c r="H261" i="146"/>
  <c r="G261" i="146"/>
  <c r="F261" i="146"/>
  <c r="E261" i="146"/>
  <c r="D261" i="146"/>
  <c r="C261" i="146"/>
  <c r="B261" i="146"/>
  <c r="M260" i="146"/>
  <c r="L260" i="146"/>
  <c r="K260" i="146"/>
  <c r="J260" i="146"/>
  <c r="I260" i="146"/>
  <c r="H260" i="146"/>
  <c r="G260" i="146"/>
  <c r="F260" i="146"/>
  <c r="E260" i="146"/>
  <c r="D260" i="146"/>
  <c r="C260" i="146"/>
  <c r="B260" i="146"/>
  <c r="M259" i="146"/>
  <c r="L259" i="146"/>
  <c r="K259" i="146"/>
  <c r="J259" i="146"/>
  <c r="I259" i="146"/>
  <c r="H259" i="146"/>
  <c r="G259" i="146"/>
  <c r="F259" i="146"/>
  <c r="E259" i="146"/>
  <c r="D259" i="146"/>
  <c r="C259" i="146"/>
  <c r="B259" i="146"/>
  <c r="M258" i="146"/>
  <c r="L258" i="146"/>
  <c r="K258" i="146"/>
  <c r="J258" i="146"/>
  <c r="I258" i="146"/>
  <c r="H258" i="146"/>
  <c r="G258" i="146"/>
  <c r="F258" i="146"/>
  <c r="E258" i="146"/>
  <c r="D258" i="146"/>
  <c r="C258" i="146"/>
  <c r="B258" i="146"/>
  <c r="M257" i="146"/>
  <c r="L257" i="146"/>
  <c r="K257" i="146"/>
  <c r="J257" i="146"/>
  <c r="I257" i="146"/>
  <c r="H257" i="146"/>
  <c r="G257" i="146"/>
  <c r="F257" i="146"/>
  <c r="E257" i="146"/>
  <c r="D257" i="146"/>
  <c r="C257" i="146"/>
  <c r="B257" i="146"/>
  <c r="M256" i="146"/>
  <c r="L256" i="146"/>
  <c r="K256" i="146"/>
  <c r="J256" i="146"/>
  <c r="I256" i="146"/>
  <c r="H256" i="146"/>
  <c r="G256" i="146"/>
  <c r="F256" i="146"/>
  <c r="E256" i="146"/>
  <c r="D256" i="146"/>
  <c r="C256" i="146"/>
  <c r="B256" i="146"/>
  <c r="M255" i="146"/>
  <c r="L255" i="146"/>
  <c r="K255" i="146"/>
  <c r="J255" i="146"/>
  <c r="I255" i="146"/>
  <c r="H255" i="146"/>
  <c r="G255" i="146"/>
  <c r="F255" i="146"/>
  <c r="E255" i="146"/>
  <c r="D255" i="146"/>
  <c r="C255" i="146"/>
  <c r="B255" i="146"/>
  <c r="M254" i="146"/>
  <c r="L254" i="146"/>
  <c r="K254" i="146"/>
  <c r="J254" i="146"/>
  <c r="I254" i="146"/>
  <c r="H254" i="146"/>
  <c r="G254" i="146"/>
  <c r="F254" i="146"/>
  <c r="E254" i="146"/>
  <c r="D254" i="146"/>
  <c r="C254" i="146"/>
  <c r="B254" i="146"/>
  <c r="M253" i="146"/>
  <c r="L253" i="146"/>
  <c r="K253" i="146"/>
  <c r="J253" i="146"/>
  <c r="I253" i="146"/>
  <c r="H253" i="146"/>
  <c r="G253" i="146"/>
  <c r="F253" i="146"/>
  <c r="E253" i="146"/>
  <c r="D253" i="146"/>
  <c r="C253" i="146"/>
  <c r="B253" i="146"/>
  <c r="M252" i="146"/>
  <c r="L252" i="146"/>
  <c r="K252" i="146"/>
  <c r="J252" i="146"/>
  <c r="I252" i="146"/>
  <c r="H252" i="146"/>
  <c r="G252" i="146"/>
  <c r="F252" i="146"/>
  <c r="E252" i="146"/>
  <c r="D252" i="146"/>
  <c r="C252" i="146"/>
  <c r="B252" i="146"/>
  <c r="M251" i="146"/>
  <c r="L251" i="146"/>
  <c r="K251" i="146"/>
  <c r="J251" i="146"/>
  <c r="I251" i="146"/>
  <c r="H251" i="146"/>
  <c r="G251" i="146"/>
  <c r="F251" i="146"/>
  <c r="E251" i="146"/>
  <c r="D251" i="146"/>
  <c r="C251" i="146"/>
  <c r="B251" i="146"/>
  <c r="M250" i="146"/>
  <c r="L250" i="146"/>
  <c r="K250" i="146"/>
  <c r="J250" i="146"/>
  <c r="I250" i="146"/>
  <c r="H250" i="146"/>
  <c r="G250" i="146"/>
  <c r="F250" i="146"/>
  <c r="E250" i="146"/>
  <c r="D250" i="146"/>
  <c r="C250" i="146"/>
  <c r="B250" i="146"/>
  <c r="M249" i="146"/>
  <c r="L249" i="146"/>
  <c r="K249" i="146"/>
  <c r="J249" i="146"/>
  <c r="I249" i="146"/>
  <c r="H249" i="146"/>
  <c r="G249" i="146"/>
  <c r="F249" i="146"/>
  <c r="E249" i="146"/>
  <c r="D249" i="146"/>
  <c r="C249" i="146"/>
  <c r="B249" i="146"/>
  <c r="M248" i="146"/>
  <c r="L248" i="146"/>
  <c r="K248" i="146"/>
  <c r="J248" i="146"/>
  <c r="I248" i="146"/>
  <c r="H248" i="146"/>
  <c r="G248" i="146"/>
  <c r="F248" i="146"/>
  <c r="E248" i="146"/>
  <c r="D248" i="146"/>
  <c r="C248" i="146"/>
  <c r="B248" i="146"/>
  <c r="M247" i="146"/>
  <c r="L247" i="146"/>
  <c r="K247" i="146"/>
  <c r="J247" i="146"/>
  <c r="I247" i="146"/>
  <c r="H247" i="146"/>
  <c r="G247" i="146"/>
  <c r="F247" i="146"/>
  <c r="E247" i="146"/>
  <c r="D247" i="146"/>
  <c r="C247" i="146"/>
  <c r="B247" i="146"/>
  <c r="M246" i="146"/>
  <c r="L246" i="146"/>
  <c r="K246" i="146"/>
  <c r="J246" i="146"/>
  <c r="I246" i="146"/>
  <c r="H246" i="146"/>
  <c r="G246" i="146"/>
  <c r="F246" i="146"/>
  <c r="E246" i="146"/>
  <c r="D246" i="146"/>
  <c r="C246" i="146"/>
  <c r="B246" i="146"/>
  <c r="M245" i="146"/>
  <c r="L245" i="146"/>
  <c r="K245" i="146"/>
  <c r="J245" i="146"/>
  <c r="I245" i="146"/>
  <c r="H245" i="146"/>
  <c r="G245" i="146"/>
  <c r="F245" i="146"/>
  <c r="E245" i="146"/>
  <c r="D245" i="146"/>
  <c r="C245" i="146"/>
  <c r="B245" i="146"/>
  <c r="M244" i="146"/>
  <c r="L244" i="146"/>
  <c r="K244" i="146"/>
  <c r="J244" i="146"/>
  <c r="I244" i="146"/>
  <c r="H244" i="146"/>
  <c r="G244" i="146"/>
  <c r="F244" i="146"/>
  <c r="E244" i="146"/>
  <c r="D244" i="146"/>
  <c r="C244" i="146"/>
  <c r="B244" i="146"/>
  <c r="M243" i="146"/>
  <c r="L243" i="146"/>
  <c r="K243" i="146"/>
  <c r="J243" i="146"/>
  <c r="I243" i="146"/>
  <c r="H243" i="146"/>
  <c r="G243" i="146"/>
  <c r="F243" i="146"/>
  <c r="E243" i="146"/>
  <c r="D243" i="146"/>
  <c r="C243" i="146"/>
  <c r="B243" i="146"/>
  <c r="M242" i="146"/>
  <c r="L242" i="146"/>
  <c r="K242" i="146"/>
  <c r="J242" i="146"/>
  <c r="I242" i="146"/>
  <c r="H242" i="146"/>
  <c r="G242" i="146"/>
  <c r="F242" i="146"/>
  <c r="E242" i="146"/>
  <c r="D242" i="146"/>
  <c r="C242" i="146"/>
  <c r="B242" i="146"/>
  <c r="M241" i="146"/>
  <c r="L241" i="146"/>
  <c r="K241" i="146"/>
  <c r="J241" i="146"/>
  <c r="I241" i="146"/>
  <c r="H241" i="146"/>
  <c r="G241" i="146"/>
  <c r="F241" i="146"/>
  <c r="E241" i="146"/>
  <c r="D241" i="146"/>
  <c r="C241" i="146"/>
  <c r="B241" i="146"/>
  <c r="M236" i="146"/>
  <c r="L236" i="146"/>
  <c r="K236" i="146"/>
  <c r="J236" i="146"/>
  <c r="I236" i="146"/>
  <c r="H236" i="146"/>
  <c r="G236" i="146"/>
  <c r="F236" i="146"/>
  <c r="E236" i="146"/>
  <c r="D236" i="146"/>
  <c r="C236" i="146"/>
  <c r="M235" i="146"/>
  <c r="L235" i="146"/>
  <c r="K235" i="146"/>
  <c r="J235" i="146"/>
  <c r="I235" i="146"/>
  <c r="H235" i="146"/>
  <c r="G235" i="146"/>
  <c r="F235" i="146"/>
  <c r="E235" i="146"/>
  <c r="D235" i="146"/>
  <c r="C235" i="146"/>
  <c r="B235" i="146"/>
  <c r="M234" i="146"/>
  <c r="L234" i="146"/>
  <c r="K234" i="146"/>
  <c r="J234" i="146"/>
  <c r="I234" i="146"/>
  <c r="H234" i="146"/>
  <c r="G234" i="146"/>
  <c r="F234" i="146"/>
  <c r="E234" i="146"/>
  <c r="D234" i="146"/>
  <c r="C234" i="146"/>
  <c r="B234" i="146"/>
  <c r="M233" i="146"/>
  <c r="L233" i="146"/>
  <c r="K233" i="146"/>
  <c r="J233" i="146"/>
  <c r="I233" i="146"/>
  <c r="H233" i="146"/>
  <c r="G233" i="146"/>
  <c r="F233" i="146"/>
  <c r="E233" i="146"/>
  <c r="D233" i="146"/>
  <c r="C233" i="146"/>
  <c r="B233" i="146"/>
  <c r="M232" i="146"/>
  <c r="L232" i="146"/>
  <c r="K232" i="146"/>
  <c r="J232" i="146"/>
  <c r="I232" i="146"/>
  <c r="H232" i="146"/>
  <c r="G232" i="146"/>
  <c r="F232" i="146"/>
  <c r="E232" i="146"/>
  <c r="D232" i="146"/>
  <c r="C232" i="146"/>
  <c r="B232" i="146"/>
  <c r="M231" i="146"/>
  <c r="L231" i="146"/>
  <c r="K231" i="146"/>
  <c r="J231" i="146"/>
  <c r="I231" i="146"/>
  <c r="H231" i="146"/>
  <c r="G231" i="146"/>
  <c r="F231" i="146"/>
  <c r="E231" i="146"/>
  <c r="D231" i="146"/>
  <c r="C231" i="146"/>
  <c r="B231" i="146"/>
  <c r="M224" i="146"/>
  <c r="L224" i="146"/>
  <c r="K224" i="146"/>
  <c r="J224" i="146"/>
  <c r="I224" i="146"/>
  <c r="H224" i="146"/>
  <c r="G224" i="146"/>
  <c r="F224" i="146"/>
  <c r="E224" i="146"/>
  <c r="D224" i="146"/>
  <c r="C224" i="146"/>
  <c r="M223" i="146"/>
  <c r="L223" i="146"/>
  <c r="K223" i="146"/>
  <c r="J223" i="146"/>
  <c r="I223" i="146"/>
  <c r="H223" i="146"/>
  <c r="G223" i="146"/>
  <c r="F223" i="146"/>
  <c r="E223" i="146"/>
  <c r="D223" i="146"/>
  <c r="C223" i="146"/>
  <c r="B223" i="146"/>
  <c r="M222" i="146"/>
  <c r="L222" i="146"/>
  <c r="K222" i="146"/>
  <c r="J222" i="146"/>
  <c r="I222" i="146"/>
  <c r="H222" i="146"/>
  <c r="G222" i="146"/>
  <c r="F222" i="146"/>
  <c r="E222" i="146"/>
  <c r="D222" i="146"/>
  <c r="C222" i="146"/>
  <c r="B222" i="146"/>
  <c r="M221" i="146"/>
  <c r="L221" i="146"/>
  <c r="K221" i="146"/>
  <c r="J221" i="146"/>
  <c r="I221" i="146"/>
  <c r="H221" i="146"/>
  <c r="G221" i="146"/>
  <c r="F221" i="146"/>
  <c r="E221" i="146"/>
  <c r="D221" i="146"/>
  <c r="C221" i="146"/>
  <c r="B221" i="146"/>
  <c r="M220" i="146"/>
  <c r="L220" i="146"/>
  <c r="K220" i="146"/>
  <c r="J220" i="146"/>
  <c r="I220" i="146"/>
  <c r="H220" i="146"/>
  <c r="G220" i="146"/>
  <c r="F220" i="146"/>
  <c r="E220" i="146"/>
  <c r="D220" i="146"/>
  <c r="C220" i="146"/>
  <c r="B220" i="146"/>
  <c r="M219" i="146"/>
  <c r="L219" i="146"/>
  <c r="K219" i="146"/>
  <c r="J219" i="146"/>
  <c r="I219" i="146"/>
  <c r="H219" i="146"/>
  <c r="G219" i="146"/>
  <c r="F219" i="146"/>
  <c r="E219" i="146"/>
  <c r="D219" i="146"/>
  <c r="C219" i="146"/>
  <c r="B219" i="146"/>
  <c r="M218" i="146"/>
  <c r="L218" i="146"/>
  <c r="K218" i="146"/>
  <c r="J218" i="146"/>
  <c r="I218" i="146"/>
  <c r="H218" i="146"/>
  <c r="G218" i="146"/>
  <c r="F218" i="146"/>
  <c r="E218" i="146"/>
  <c r="D218" i="146"/>
  <c r="C218" i="146"/>
  <c r="B218" i="146"/>
  <c r="M217" i="146"/>
  <c r="L217" i="146"/>
  <c r="K217" i="146"/>
  <c r="J217" i="146"/>
  <c r="I217" i="146"/>
  <c r="H217" i="146"/>
  <c r="G217" i="146"/>
  <c r="F217" i="146"/>
  <c r="E217" i="146"/>
  <c r="D217" i="146"/>
  <c r="C217" i="146"/>
  <c r="B217" i="146"/>
  <c r="M216" i="146"/>
  <c r="L216" i="146"/>
  <c r="K216" i="146"/>
  <c r="J216" i="146"/>
  <c r="I216" i="146"/>
  <c r="H216" i="146"/>
  <c r="G216" i="146"/>
  <c r="F216" i="146"/>
  <c r="E216" i="146"/>
  <c r="D216" i="146"/>
  <c r="C216" i="146"/>
  <c r="B216" i="146"/>
  <c r="M215" i="146"/>
  <c r="L215" i="146"/>
  <c r="K215" i="146"/>
  <c r="J215" i="146"/>
  <c r="I215" i="146"/>
  <c r="H215" i="146"/>
  <c r="G215" i="146"/>
  <c r="F215" i="146"/>
  <c r="E215" i="146"/>
  <c r="D215" i="146"/>
  <c r="C215" i="146"/>
  <c r="B215" i="146"/>
  <c r="M214" i="146"/>
  <c r="L214" i="146"/>
  <c r="K214" i="146"/>
  <c r="J214" i="146"/>
  <c r="I214" i="146"/>
  <c r="H214" i="146"/>
  <c r="G214" i="146"/>
  <c r="F214" i="146"/>
  <c r="E214" i="146"/>
  <c r="D214" i="146"/>
  <c r="C214" i="146"/>
  <c r="B214" i="146"/>
  <c r="M213" i="146"/>
  <c r="L213" i="146"/>
  <c r="K213" i="146"/>
  <c r="J213" i="146"/>
  <c r="I213" i="146"/>
  <c r="H213" i="146"/>
  <c r="G213" i="146"/>
  <c r="F213" i="146"/>
  <c r="E213" i="146"/>
  <c r="D213" i="146"/>
  <c r="C213" i="146"/>
  <c r="B213" i="146"/>
  <c r="M212" i="146"/>
  <c r="L212" i="146"/>
  <c r="K212" i="146"/>
  <c r="J212" i="146"/>
  <c r="I212" i="146"/>
  <c r="H212" i="146"/>
  <c r="G212" i="146"/>
  <c r="F212" i="146"/>
  <c r="E212" i="146"/>
  <c r="D212" i="146"/>
  <c r="C212" i="146"/>
  <c r="B212" i="146"/>
  <c r="M211" i="146"/>
  <c r="L211" i="146"/>
  <c r="K211" i="146"/>
  <c r="J211" i="146"/>
  <c r="I211" i="146"/>
  <c r="H211" i="146"/>
  <c r="G211" i="146"/>
  <c r="F211" i="146"/>
  <c r="E211" i="146"/>
  <c r="D211" i="146"/>
  <c r="C211" i="146"/>
  <c r="B211" i="146"/>
  <c r="M210" i="146"/>
  <c r="L210" i="146"/>
  <c r="K210" i="146"/>
  <c r="J210" i="146"/>
  <c r="I210" i="146"/>
  <c r="H210" i="146"/>
  <c r="G210" i="146"/>
  <c r="F210" i="146"/>
  <c r="E210" i="146"/>
  <c r="D210" i="146"/>
  <c r="C210" i="146"/>
  <c r="B210" i="146"/>
  <c r="M209" i="146"/>
  <c r="L209" i="146"/>
  <c r="K209" i="146"/>
  <c r="J209" i="146"/>
  <c r="I209" i="146"/>
  <c r="H209" i="146"/>
  <c r="G209" i="146"/>
  <c r="F209" i="146"/>
  <c r="E209" i="146"/>
  <c r="D209" i="146"/>
  <c r="C209" i="146"/>
  <c r="B209" i="146"/>
  <c r="M208" i="146"/>
  <c r="L208" i="146"/>
  <c r="K208" i="146"/>
  <c r="J208" i="146"/>
  <c r="I208" i="146"/>
  <c r="H208" i="146"/>
  <c r="G208" i="146"/>
  <c r="F208" i="146"/>
  <c r="E208" i="146"/>
  <c r="D208" i="146"/>
  <c r="C208" i="146"/>
  <c r="B208" i="146"/>
  <c r="M207" i="146"/>
  <c r="L207" i="146"/>
  <c r="K207" i="146"/>
  <c r="J207" i="146"/>
  <c r="I207" i="146"/>
  <c r="H207" i="146"/>
  <c r="G207" i="146"/>
  <c r="F207" i="146"/>
  <c r="E207" i="146"/>
  <c r="D207" i="146"/>
  <c r="C207" i="146"/>
  <c r="B207" i="146"/>
  <c r="M206" i="146"/>
  <c r="L206" i="146"/>
  <c r="K206" i="146"/>
  <c r="J206" i="146"/>
  <c r="I206" i="146"/>
  <c r="H206" i="146"/>
  <c r="G206" i="146"/>
  <c r="F206" i="146"/>
  <c r="E206" i="146"/>
  <c r="D206" i="146"/>
  <c r="C206" i="146"/>
  <c r="B206" i="146"/>
  <c r="M205" i="146"/>
  <c r="L205" i="146"/>
  <c r="K205" i="146"/>
  <c r="J205" i="146"/>
  <c r="I205" i="146"/>
  <c r="H205" i="146"/>
  <c r="G205" i="146"/>
  <c r="F205" i="146"/>
  <c r="E205" i="146"/>
  <c r="D205" i="146"/>
  <c r="C205" i="146"/>
  <c r="B205" i="146"/>
  <c r="M204" i="146"/>
  <c r="L204" i="146"/>
  <c r="K204" i="146"/>
  <c r="J204" i="146"/>
  <c r="I204" i="146"/>
  <c r="H204" i="146"/>
  <c r="G204" i="146"/>
  <c r="F204" i="146"/>
  <c r="E204" i="146"/>
  <c r="D204" i="146"/>
  <c r="C204" i="146"/>
  <c r="B204" i="146"/>
  <c r="M203" i="146"/>
  <c r="L203" i="146"/>
  <c r="K203" i="146"/>
  <c r="J203" i="146"/>
  <c r="I203" i="146"/>
  <c r="H203" i="146"/>
  <c r="G203" i="146"/>
  <c r="F203" i="146"/>
  <c r="E203" i="146"/>
  <c r="D203" i="146"/>
  <c r="C203" i="146"/>
  <c r="B203" i="146"/>
  <c r="M202" i="146"/>
  <c r="L202" i="146"/>
  <c r="K202" i="146"/>
  <c r="J202" i="146"/>
  <c r="I202" i="146"/>
  <c r="H202" i="146"/>
  <c r="G202" i="146"/>
  <c r="F202" i="146"/>
  <c r="E202" i="146"/>
  <c r="D202" i="146"/>
  <c r="C202" i="146"/>
  <c r="B202" i="146"/>
  <c r="M201" i="146"/>
  <c r="L201" i="146"/>
  <c r="K201" i="146"/>
  <c r="J201" i="146"/>
  <c r="I201" i="146"/>
  <c r="H201" i="146"/>
  <c r="G201" i="146"/>
  <c r="F201" i="146"/>
  <c r="E201" i="146"/>
  <c r="D201" i="146"/>
  <c r="C201" i="146"/>
  <c r="B201" i="146"/>
  <c r="M196" i="146"/>
  <c r="L196" i="146"/>
  <c r="K196" i="146"/>
  <c r="J196" i="146"/>
  <c r="I196" i="146"/>
  <c r="H196" i="146"/>
  <c r="G196" i="146"/>
  <c r="F196" i="146"/>
  <c r="E196" i="146"/>
  <c r="D196" i="146"/>
  <c r="C196" i="146"/>
  <c r="M195" i="146"/>
  <c r="L195" i="146"/>
  <c r="K195" i="146"/>
  <c r="J195" i="146"/>
  <c r="I195" i="146"/>
  <c r="H195" i="146"/>
  <c r="G195" i="146"/>
  <c r="F195" i="146"/>
  <c r="E195" i="146"/>
  <c r="D195" i="146"/>
  <c r="C195" i="146"/>
  <c r="B195" i="146"/>
  <c r="M194" i="146"/>
  <c r="L194" i="146"/>
  <c r="K194" i="146"/>
  <c r="J194" i="146"/>
  <c r="I194" i="146"/>
  <c r="H194" i="146"/>
  <c r="G194" i="146"/>
  <c r="F194" i="146"/>
  <c r="E194" i="146"/>
  <c r="D194" i="146"/>
  <c r="C194" i="146"/>
  <c r="B194" i="146"/>
  <c r="M193" i="146"/>
  <c r="L193" i="146"/>
  <c r="K193" i="146"/>
  <c r="J193" i="146"/>
  <c r="I193" i="146"/>
  <c r="H193" i="146"/>
  <c r="G193" i="146"/>
  <c r="F193" i="146"/>
  <c r="E193" i="146"/>
  <c r="D193" i="146"/>
  <c r="C193" i="146"/>
  <c r="B193" i="146"/>
  <c r="M192" i="146"/>
  <c r="L192" i="146"/>
  <c r="K192" i="146"/>
  <c r="J192" i="146"/>
  <c r="I192" i="146"/>
  <c r="H192" i="146"/>
  <c r="G192" i="146"/>
  <c r="F192" i="146"/>
  <c r="E192" i="146"/>
  <c r="D192" i="146"/>
  <c r="C192" i="146"/>
  <c r="B192" i="146"/>
  <c r="M191" i="146"/>
  <c r="L191" i="146"/>
  <c r="K191" i="146"/>
  <c r="J191" i="146"/>
  <c r="I191" i="146"/>
  <c r="H191" i="146"/>
  <c r="G191" i="146"/>
  <c r="F191" i="146"/>
  <c r="E191" i="146"/>
  <c r="D191" i="146"/>
  <c r="C191" i="146"/>
  <c r="B191" i="146"/>
  <c r="M184" i="146"/>
  <c r="L184" i="146"/>
  <c r="K184" i="146"/>
  <c r="J184" i="146"/>
  <c r="I184" i="146"/>
  <c r="H184" i="146"/>
  <c r="G184" i="146"/>
  <c r="F184" i="146"/>
  <c r="E184" i="146"/>
  <c r="D184" i="146"/>
  <c r="C184" i="146"/>
  <c r="M183" i="146"/>
  <c r="L183" i="146"/>
  <c r="K183" i="146"/>
  <c r="J183" i="146"/>
  <c r="I183" i="146"/>
  <c r="H183" i="146"/>
  <c r="G183" i="146"/>
  <c r="F183" i="146"/>
  <c r="E183" i="146"/>
  <c r="D183" i="146"/>
  <c r="C183" i="146"/>
  <c r="B183" i="146"/>
  <c r="M182" i="146"/>
  <c r="L182" i="146"/>
  <c r="K182" i="146"/>
  <c r="J182" i="146"/>
  <c r="I182" i="146"/>
  <c r="H182" i="146"/>
  <c r="G182" i="146"/>
  <c r="F182" i="146"/>
  <c r="E182" i="146"/>
  <c r="D182" i="146"/>
  <c r="C182" i="146"/>
  <c r="B182" i="146"/>
  <c r="M181" i="146"/>
  <c r="L181" i="146"/>
  <c r="K181" i="146"/>
  <c r="J181" i="146"/>
  <c r="I181" i="146"/>
  <c r="H181" i="146"/>
  <c r="G181" i="146"/>
  <c r="F181" i="146"/>
  <c r="E181" i="146"/>
  <c r="D181" i="146"/>
  <c r="C181" i="146"/>
  <c r="B181" i="146"/>
  <c r="M180" i="146"/>
  <c r="L180" i="146"/>
  <c r="K180" i="146"/>
  <c r="J180" i="146"/>
  <c r="I180" i="146"/>
  <c r="H180" i="146"/>
  <c r="G180" i="146"/>
  <c r="F180" i="146"/>
  <c r="E180" i="146"/>
  <c r="D180" i="146"/>
  <c r="C180" i="146"/>
  <c r="B180" i="146"/>
  <c r="M179" i="146"/>
  <c r="L179" i="146"/>
  <c r="K179" i="146"/>
  <c r="J179" i="146"/>
  <c r="I179" i="146"/>
  <c r="H179" i="146"/>
  <c r="G179" i="146"/>
  <c r="F179" i="146"/>
  <c r="E179" i="146"/>
  <c r="D179" i="146"/>
  <c r="C179" i="146"/>
  <c r="B179" i="146"/>
  <c r="M178" i="146"/>
  <c r="L178" i="146"/>
  <c r="K178" i="146"/>
  <c r="J178" i="146"/>
  <c r="I178" i="146"/>
  <c r="H178" i="146"/>
  <c r="G178" i="146"/>
  <c r="F178" i="146"/>
  <c r="E178" i="146"/>
  <c r="D178" i="146"/>
  <c r="C178" i="146"/>
  <c r="B178" i="146"/>
  <c r="M177" i="146"/>
  <c r="L177" i="146"/>
  <c r="K177" i="146"/>
  <c r="J177" i="146"/>
  <c r="I177" i="146"/>
  <c r="H177" i="146"/>
  <c r="G177" i="146"/>
  <c r="F177" i="146"/>
  <c r="E177" i="146"/>
  <c r="D177" i="146"/>
  <c r="C177" i="146"/>
  <c r="B177" i="146"/>
  <c r="M176" i="146"/>
  <c r="L176" i="146"/>
  <c r="K176" i="146"/>
  <c r="J176" i="146"/>
  <c r="I176" i="146"/>
  <c r="H176" i="146"/>
  <c r="G176" i="146"/>
  <c r="F176" i="146"/>
  <c r="E176" i="146"/>
  <c r="D176" i="146"/>
  <c r="C176" i="146"/>
  <c r="B176" i="146"/>
  <c r="M175" i="146"/>
  <c r="L175" i="146"/>
  <c r="K175" i="146"/>
  <c r="J175" i="146"/>
  <c r="I175" i="146"/>
  <c r="H175" i="146"/>
  <c r="G175" i="146"/>
  <c r="F175" i="146"/>
  <c r="E175" i="146"/>
  <c r="D175" i="146"/>
  <c r="C175" i="146"/>
  <c r="B175" i="146"/>
  <c r="M174" i="146"/>
  <c r="L174" i="146"/>
  <c r="K174" i="146"/>
  <c r="J174" i="146"/>
  <c r="I174" i="146"/>
  <c r="H174" i="146"/>
  <c r="G174" i="146"/>
  <c r="F174" i="146"/>
  <c r="E174" i="146"/>
  <c r="D174" i="146"/>
  <c r="C174" i="146"/>
  <c r="B174" i="146"/>
  <c r="M173" i="146"/>
  <c r="L173" i="146"/>
  <c r="K173" i="146"/>
  <c r="J173" i="146"/>
  <c r="I173" i="146"/>
  <c r="H173" i="146"/>
  <c r="G173" i="146"/>
  <c r="F173" i="146"/>
  <c r="E173" i="146"/>
  <c r="D173" i="146"/>
  <c r="C173" i="146"/>
  <c r="B173" i="146"/>
  <c r="M172" i="146"/>
  <c r="L172" i="146"/>
  <c r="K172" i="146"/>
  <c r="J172" i="146"/>
  <c r="I172" i="146"/>
  <c r="H172" i="146"/>
  <c r="G172" i="146"/>
  <c r="F172" i="146"/>
  <c r="E172" i="146"/>
  <c r="D172" i="146"/>
  <c r="C172" i="146"/>
  <c r="B172" i="146"/>
  <c r="M171" i="146"/>
  <c r="L171" i="146"/>
  <c r="K171" i="146"/>
  <c r="J171" i="146"/>
  <c r="I171" i="146"/>
  <c r="H171" i="146"/>
  <c r="G171" i="146"/>
  <c r="F171" i="146"/>
  <c r="E171" i="146"/>
  <c r="D171" i="146"/>
  <c r="C171" i="146"/>
  <c r="B171" i="146"/>
  <c r="M170" i="146"/>
  <c r="L170" i="146"/>
  <c r="K170" i="146"/>
  <c r="J170" i="146"/>
  <c r="I170" i="146"/>
  <c r="H170" i="146"/>
  <c r="G170" i="146"/>
  <c r="F170" i="146"/>
  <c r="E170" i="146"/>
  <c r="D170" i="146"/>
  <c r="C170" i="146"/>
  <c r="B170" i="146"/>
  <c r="M169" i="146"/>
  <c r="L169" i="146"/>
  <c r="K169" i="146"/>
  <c r="J169" i="146"/>
  <c r="I169" i="146"/>
  <c r="H169" i="146"/>
  <c r="G169" i="146"/>
  <c r="F169" i="146"/>
  <c r="E169" i="146"/>
  <c r="D169" i="146"/>
  <c r="C169" i="146"/>
  <c r="B169" i="146"/>
  <c r="M168" i="146"/>
  <c r="L168" i="146"/>
  <c r="K168" i="146"/>
  <c r="J168" i="146"/>
  <c r="I168" i="146"/>
  <c r="H168" i="146"/>
  <c r="G168" i="146"/>
  <c r="F168" i="146"/>
  <c r="E168" i="146"/>
  <c r="D168" i="146"/>
  <c r="C168" i="146"/>
  <c r="B168" i="146"/>
  <c r="M167" i="146"/>
  <c r="L167" i="146"/>
  <c r="K167" i="146"/>
  <c r="J167" i="146"/>
  <c r="I167" i="146"/>
  <c r="H167" i="146"/>
  <c r="G167" i="146"/>
  <c r="F167" i="146"/>
  <c r="E167" i="146"/>
  <c r="D167" i="146"/>
  <c r="C167" i="146"/>
  <c r="B167" i="146"/>
  <c r="M166" i="146"/>
  <c r="L166" i="146"/>
  <c r="K166" i="146"/>
  <c r="J166" i="146"/>
  <c r="I166" i="146"/>
  <c r="H166" i="146"/>
  <c r="G166" i="146"/>
  <c r="F166" i="146"/>
  <c r="E166" i="146"/>
  <c r="D166" i="146"/>
  <c r="C166" i="146"/>
  <c r="B166" i="146"/>
  <c r="M165" i="146"/>
  <c r="L165" i="146"/>
  <c r="K165" i="146"/>
  <c r="J165" i="146"/>
  <c r="I165" i="146"/>
  <c r="H165" i="146"/>
  <c r="G165" i="146"/>
  <c r="F165" i="146"/>
  <c r="E165" i="146"/>
  <c r="D165" i="146"/>
  <c r="C165" i="146"/>
  <c r="B165" i="146"/>
  <c r="M164" i="146"/>
  <c r="L164" i="146"/>
  <c r="K164" i="146"/>
  <c r="J164" i="146"/>
  <c r="I164" i="146"/>
  <c r="H164" i="146"/>
  <c r="G164" i="146"/>
  <c r="F164" i="146"/>
  <c r="E164" i="146"/>
  <c r="D164" i="146"/>
  <c r="C164" i="146"/>
  <c r="B164" i="146"/>
  <c r="M163" i="146"/>
  <c r="L163" i="146"/>
  <c r="K163" i="146"/>
  <c r="J163" i="146"/>
  <c r="I163" i="146"/>
  <c r="H163" i="146"/>
  <c r="G163" i="146"/>
  <c r="F163" i="146"/>
  <c r="E163" i="146"/>
  <c r="D163" i="146"/>
  <c r="C163" i="146"/>
  <c r="B163" i="146"/>
  <c r="M162" i="146"/>
  <c r="L162" i="146"/>
  <c r="K162" i="146"/>
  <c r="J162" i="146"/>
  <c r="I162" i="146"/>
  <c r="H162" i="146"/>
  <c r="G162" i="146"/>
  <c r="F162" i="146"/>
  <c r="E162" i="146"/>
  <c r="D162" i="146"/>
  <c r="C162" i="146"/>
  <c r="B162" i="146"/>
  <c r="M161" i="146"/>
  <c r="L161" i="146"/>
  <c r="K161" i="146"/>
  <c r="J161" i="146"/>
  <c r="I161" i="146"/>
  <c r="H161" i="146"/>
  <c r="G161" i="146"/>
  <c r="F161" i="146"/>
  <c r="E161" i="146"/>
  <c r="D161" i="146"/>
  <c r="C161" i="146"/>
  <c r="B161" i="146"/>
  <c r="M156" i="146"/>
  <c r="L156" i="146"/>
  <c r="K156" i="146"/>
  <c r="J156" i="146"/>
  <c r="I156" i="146"/>
  <c r="H156" i="146"/>
  <c r="G156" i="146"/>
  <c r="F156" i="146"/>
  <c r="E156" i="146"/>
  <c r="D156" i="146"/>
  <c r="C156" i="146"/>
  <c r="M155" i="146"/>
  <c r="L155" i="146"/>
  <c r="K155" i="146"/>
  <c r="J155" i="146"/>
  <c r="I155" i="146"/>
  <c r="H155" i="146"/>
  <c r="G155" i="146"/>
  <c r="F155" i="146"/>
  <c r="E155" i="146"/>
  <c r="D155" i="146"/>
  <c r="C155" i="146"/>
  <c r="B155" i="146"/>
  <c r="M154" i="146"/>
  <c r="L154" i="146"/>
  <c r="K154" i="146"/>
  <c r="J154" i="146"/>
  <c r="I154" i="146"/>
  <c r="H154" i="146"/>
  <c r="G154" i="146"/>
  <c r="F154" i="146"/>
  <c r="E154" i="146"/>
  <c r="D154" i="146"/>
  <c r="C154" i="146"/>
  <c r="B154" i="146"/>
  <c r="M153" i="146"/>
  <c r="L153" i="146"/>
  <c r="K153" i="146"/>
  <c r="J153" i="146"/>
  <c r="I153" i="146"/>
  <c r="H153" i="146"/>
  <c r="G153" i="146"/>
  <c r="F153" i="146"/>
  <c r="E153" i="146"/>
  <c r="D153" i="146"/>
  <c r="C153" i="146"/>
  <c r="B153" i="146"/>
  <c r="M152" i="146"/>
  <c r="L152" i="146"/>
  <c r="K152" i="146"/>
  <c r="J152" i="146"/>
  <c r="I152" i="146"/>
  <c r="H152" i="146"/>
  <c r="G152" i="146"/>
  <c r="F152" i="146"/>
  <c r="E152" i="146"/>
  <c r="D152" i="146"/>
  <c r="C152" i="146"/>
  <c r="B152" i="146"/>
  <c r="M151" i="146"/>
  <c r="L151" i="146"/>
  <c r="K151" i="146"/>
  <c r="J151" i="146"/>
  <c r="I151" i="146"/>
  <c r="H151" i="146"/>
  <c r="G151" i="146"/>
  <c r="F151" i="146"/>
  <c r="E151" i="146"/>
  <c r="D151" i="146"/>
  <c r="C151" i="146"/>
  <c r="B151" i="146"/>
  <c r="M144" i="146"/>
  <c r="L144" i="146"/>
  <c r="K144" i="146"/>
  <c r="J144" i="146"/>
  <c r="I144" i="146"/>
  <c r="H144" i="146"/>
  <c r="G144" i="146"/>
  <c r="F144" i="146"/>
  <c r="E144" i="146"/>
  <c r="D144" i="146"/>
  <c r="C144" i="146"/>
  <c r="M143" i="146"/>
  <c r="L143" i="146"/>
  <c r="K143" i="146"/>
  <c r="J143" i="146"/>
  <c r="I143" i="146"/>
  <c r="H143" i="146"/>
  <c r="G143" i="146"/>
  <c r="F143" i="146"/>
  <c r="E143" i="146"/>
  <c r="D143" i="146"/>
  <c r="C143" i="146"/>
  <c r="B143" i="146"/>
  <c r="M142" i="146"/>
  <c r="L142" i="146"/>
  <c r="K142" i="146"/>
  <c r="J142" i="146"/>
  <c r="I142" i="146"/>
  <c r="H142" i="146"/>
  <c r="G142" i="146"/>
  <c r="F142" i="146"/>
  <c r="E142" i="146"/>
  <c r="D142" i="146"/>
  <c r="C142" i="146"/>
  <c r="B142" i="146"/>
  <c r="M141" i="146"/>
  <c r="L141" i="146"/>
  <c r="K141" i="146"/>
  <c r="J141" i="146"/>
  <c r="I141" i="146"/>
  <c r="H141" i="146"/>
  <c r="G141" i="146"/>
  <c r="F141" i="146"/>
  <c r="E141" i="146"/>
  <c r="D141" i="146"/>
  <c r="C141" i="146"/>
  <c r="B141" i="146"/>
  <c r="M140" i="146"/>
  <c r="L140" i="146"/>
  <c r="K140" i="146"/>
  <c r="J140" i="146"/>
  <c r="I140" i="146"/>
  <c r="H140" i="146"/>
  <c r="G140" i="146"/>
  <c r="F140" i="146"/>
  <c r="E140" i="146"/>
  <c r="D140" i="146"/>
  <c r="C140" i="146"/>
  <c r="B140" i="146"/>
  <c r="M139" i="146"/>
  <c r="L139" i="146"/>
  <c r="K139" i="146"/>
  <c r="J139" i="146"/>
  <c r="I139" i="146"/>
  <c r="H139" i="146"/>
  <c r="G139" i="146"/>
  <c r="F139" i="146"/>
  <c r="E139" i="146"/>
  <c r="D139" i="146"/>
  <c r="C139" i="146"/>
  <c r="B139" i="146"/>
  <c r="M138" i="146"/>
  <c r="L138" i="146"/>
  <c r="K138" i="146"/>
  <c r="J138" i="146"/>
  <c r="I138" i="146"/>
  <c r="H138" i="146"/>
  <c r="G138" i="146"/>
  <c r="F138" i="146"/>
  <c r="E138" i="146"/>
  <c r="D138" i="146"/>
  <c r="C138" i="146"/>
  <c r="B138" i="146"/>
  <c r="M137" i="146"/>
  <c r="L137" i="146"/>
  <c r="K137" i="146"/>
  <c r="J137" i="146"/>
  <c r="I137" i="146"/>
  <c r="H137" i="146"/>
  <c r="G137" i="146"/>
  <c r="F137" i="146"/>
  <c r="E137" i="146"/>
  <c r="D137" i="146"/>
  <c r="C137" i="146"/>
  <c r="B137" i="146"/>
  <c r="M136" i="146"/>
  <c r="L136" i="146"/>
  <c r="K136" i="146"/>
  <c r="J136" i="146"/>
  <c r="I136" i="146"/>
  <c r="H136" i="146"/>
  <c r="G136" i="146"/>
  <c r="F136" i="146"/>
  <c r="E136" i="146"/>
  <c r="D136" i="146"/>
  <c r="C136" i="146"/>
  <c r="B136" i="146"/>
  <c r="M135" i="146"/>
  <c r="L135" i="146"/>
  <c r="K135" i="146"/>
  <c r="J135" i="146"/>
  <c r="I135" i="146"/>
  <c r="H135" i="146"/>
  <c r="G135" i="146"/>
  <c r="F135" i="146"/>
  <c r="E135" i="146"/>
  <c r="D135" i="146"/>
  <c r="C135" i="146"/>
  <c r="B135" i="146"/>
  <c r="M134" i="146"/>
  <c r="L134" i="146"/>
  <c r="K134" i="146"/>
  <c r="J134" i="146"/>
  <c r="I134" i="146"/>
  <c r="H134" i="146"/>
  <c r="G134" i="146"/>
  <c r="F134" i="146"/>
  <c r="E134" i="146"/>
  <c r="D134" i="146"/>
  <c r="C134" i="146"/>
  <c r="B134" i="146"/>
  <c r="M133" i="146"/>
  <c r="L133" i="146"/>
  <c r="K133" i="146"/>
  <c r="J133" i="146"/>
  <c r="I133" i="146"/>
  <c r="H133" i="146"/>
  <c r="G133" i="146"/>
  <c r="F133" i="146"/>
  <c r="E133" i="146"/>
  <c r="D133" i="146"/>
  <c r="C133" i="146"/>
  <c r="B133" i="146"/>
  <c r="M132" i="146"/>
  <c r="L132" i="146"/>
  <c r="K132" i="146"/>
  <c r="J132" i="146"/>
  <c r="I132" i="146"/>
  <c r="H132" i="146"/>
  <c r="G132" i="146"/>
  <c r="F132" i="146"/>
  <c r="E132" i="146"/>
  <c r="D132" i="146"/>
  <c r="C132" i="146"/>
  <c r="B132" i="146"/>
  <c r="M131" i="146"/>
  <c r="L131" i="146"/>
  <c r="K131" i="146"/>
  <c r="J131" i="146"/>
  <c r="I131" i="146"/>
  <c r="H131" i="146"/>
  <c r="G131" i="146"/>
  <c r="F131" i="146"/>
  <c r="E131" i="146"/>
  <c r="D131" i="146"/>
  <c r="C131" i="146"/>
  <c r="B131" i="146"/>
  <c r="M130" i="146"/>
  <c r="L130" i="146"/>
  <c r="K130" i="146"/>
  <c r="J130" i="146"/>
  <c r="I130" i="146"/>
  <c r="H130" i="146"/>
  <c r="G130" i="146"/>
  <c r="F130" i="146"/>
  <c r="E130" i="146"/>
  <c r="D130" i="146"/>
  <c r="C130" i="146"/>
  <c r="B130" i="146"/>
  <c r="M129" i="146"/>
  <c r="L129" i="146"/>
  <c r="K129" i="146"/>
  <c r="J129" i="146"/>
  <c r="I129" i="146"/>
  <c r="H129" i="146"/>
  <c r="G129" i="146"/>
  <c r="F129" i="146"/>
  <c r="E129" i="146"/>
  <c r="D129" i="146"/>
  <c r="C129" i="146"/>
  <c r="B129" i="146"/>
  <c r="M128" i="146"/>
  <c r="L128" i="146"/>
  <c r="K128" i="146"/>
  <c r="J128" i="146"/>
  <c r="I128" i="146"/>
  <c r="H128" i="146"/>
  <c r="G128" i="146"/>
  <c r="F128" i="146"/>
  <c r="E128" i="146"/>
  <c r="D128" i="146"/>
  <c r="C128" i="146"/>
  <c r="B128" i="146"/>
  <c r="M127" i="146"/>
  <c r="L127" i="146"/>
  <c r="K127" i="146"/>
  <c r="J127" i="146"/>
  <c r="I127" i="146"/>
  <c r="H127" i="146"/>
  <c r="G127" i="146"/>
  <c r="F127" i="146"/>
  <c r="E127" i="146"/>
  <c r="D127" i="146"/>
  <c r="C127" i="146"/>
  <c r="B127" i="146"/>
  <c r="M126" i="146"/>
  <c r="L126" i="146"/>
  <c r="K126" i="146"/>
  <c r="J126" i="146"/>
  <c r="I126" i="146"/>
  <c r="H126" i="146"/>
  <c r="G126" i="146"/>
  <c r="F126" i="146"/>
  <c r="E126" i="146"/>
  <c r="D126" i="146"/>
  <c r="C126" i="146"/>
  <c r="B126" i="146"/>
  <c r="M125" i="146"/>
  <c r="L125" i="146"/>
  <c r="K125" i="146"/>
  <c r="J125" i="146"/>
  <c r="I125" i="146"/>
  <c r="H125" i="146"/>
  <c r="G125" i="146"/>
  <c r="F125" i="146"/>
  <c r="E125" i="146"/>
  <c r="D125" i="146"/>
  <c r="C125" i="146"/>
  <c r="B125" i="146"/>
  <c r="M124" i="146"/>
  <c r="L124" i="146"/>
  <c r="K124" i="146"/>
  <c r="J124" i="146"/>
  <c r="I124" i="146"/>
  <c r="H124" i="146"/>
  <c r="G124" i="146"/>
  <c r="F124" i="146"/>
  <c r="E124" i="146"/>
  <c r="D124" i="146"/>
  <c r="C124" i="146"/>
  <c r="B124" i="146"/>
  <c r="M123" i="146"/>
  <c r="L123" i="146"/>
  <c r="K123" i="146"/>
  <c r="J123" i="146"/>
  <c r="I123" i="146"/>
  <c r="H123" i="146"/>
  <c r="G123" i="146"/>
  <c r="F123" i="146"/>
  <c r="E123" i="146"/>
  <c r="D123" i="146"/>
  <c r="C123" i="146"/>
  <c r="B123" i="146"/>
  <c r="M122" i="146"/>
  <c r="L122" i="146"/>
  <c r="K122" i="146"/>
  <c r="J122" i="146"/>
  <c r="I122" i="146"/>
  <c r="H122" i="146"/>
  <c r="G122" i="146"/>
  <c r="F122" i="146"/>
  <c r="E122" i="146"/>
  <c r="D122" i="146"/>
  <c r="C122" i="146"/>
  <c r="B122" i="146"/>
  <c r="M121" i="146"/>
  <c r="L121" i="146"/>
  <c r="K121" i="146"/>
  <c r="J121" i="146"/>
  <c r="I121" i="146"/>
  <c r="H121" i="146"/>
  <c r="G121" i="146"/>
  <c r="F121" i="146"/>
  <c r="E121" i="146"/>
  <c r="D121" i="146"/>
  <c r="C121" i="146"/>
  <c r="B121" i="146"/>
  <c r="M116" i="146"/>
  <c r="L116" i="146"/>
  <c r="K116" i="146"/>
  <c r="J116" i="146"/>
  <c r="I116" i="146"/>
  <c r="H116" i="146"/>
  <c r="G116" i="146"/>
  <c r="F116" i="146"/>
  <c r="E116" i="146"/>
  <c r="D116" i="146"/>
  <c r="C116" i="146"/>
  <c r="M115" i="146"/>
  <c r="L115" i="146"/>
  <c r="K115" i="146"/>
  <c r="J115" i="146"/>
  <c r="I115" i="146"/>
  <c r="H115" i="146"/>
  <c r="G115" i="146"/>
  <c r="F115" i="146"/>
  <c r="E115" i="146"/>
  <c r="D115" i="146"/>
  <c r="C115" i="146"/>
  <c r="B115" i="146"/>
  <c r="M114" i="146"/>
  <c r="L114" i="146"/>
  <c r="K114" i="146"/>
  <c r="J114" i="146"/>
  <c r="I114" i="146"/>
  <c r="H114" i="146"/>
  <c r="G114" i="146"/>
  <c r="F114" i="146"/>
  <c r="E114" i="146"/>
  <c r="D114" i="146"/>
  <c r="C114" i="146"/>
  <c r="B114" i="146"/>
  <c r="M113" i="146"/>
  <c r="L113" i="146"/>
  <c r="K113" i="146"/>
  <c r="J113" i="146"/>
  <c r="I113" i="146"/>
  <c r="H113" i="146"/>
  <c r="G113" i="146"/>
  <c r="F113" i="146"/>
  <c r="E113" i="146"/>
  <c r="D113" i="146"/>
  <c r="C113" i="146"/>
  <c r="B113" i="146"/>
  <c r="M112" i="146"/>
  <c r="L112" i="146"/>
  <c r="K112" i="146"/>
  <c r="J112" i="146"/>
  <c r="I112" i="146"/>
  <c r="H112" i="146"/>
  <c r="G112" i="146"/>
  <c r="F112" i="146"/>
  <c r="E112" i="146"/>
  <c r="D112" i="146"/>
  <c r="C112" i="146"/>
  <c r="B112" i="146"/>
  <c r="M111" i="146"/>
  <c r="L111" i="146"/>
  <c r="K111" i="146"/>
  <c r="J111" i="146"/>
  <c r="I111" i="146"/>
  <c r="H111" i="146"/>
  <c r="G111" i="146"/>
  <c r="F111" i="146"/>
  <c r="E111" i="146"/>
  <c r="D111" i="146"/>
  <c r="C111" i="146"/>
  <c r="B111" i="146"/>
  <c r="M104" i="146"/>
  <c r="L104" i="146"/>
  <c r="K104" i="146"/>
  <c r="J104" i="146"/>
  <c r="I104" i="146"/>
  <c r="H104" i="146"/>
  <c r="G104" i="146"/>
  <c r="F104" i="146"/>
  <c r="E104" i="146"/>
  <c r="D104" i="146"/>
  <c r="C104" i="146"/>
  <c r="M103" i="146"/>
  <c r="L103" i="146"/>
  <c r="K103" i="146"/>
  <c r="J103" i="146"/>
  <c r="I103" i="146"/>
  <c r="H103" i="146"/>
  <c r="G103" i="146"/>
  <c r="F103" i="146"/>
  <c r="E103" i="146"/>
  <c r="D103" i="146"/>
  <c r="C103" i="146"/>
  <c r="B103" i="146"/>
  <c r="M102" i="146"/>
  <c r="L102" i="146"/>
  <c r="K102" i="146"/>
  <c r="J102" i="146"/>
  <c r="I102" i="146"/>
  <c r="H102" i="146"/>
  <c r="G102" i="146"/>
  <c r="F102" i="146"/>
  <c r="E102" i="146"/>
  <c r="D102" i="146"/>
  <c r="C102" i="146"/>
  <c r="B102" i="146"/>
  <c r="M101" i="146"/>
  <c r="L101" i="146"/>
  <c r="K101" i="146"/>
  <c r="J101" i="146"/>
  <c r="I101" i="146"/>
  <c r="H101" i="146"/>
  <c r="G101" i="146"/>
  <c r="F101" i="146"/>
  <c r="E101" i="146"/>
  <c r="D101" i="146"/>
  <c r="C101" i="146"/>
  <c r="B101" i="146"/>
  <c r="M100" i="146"/>
  <c r="L100" i="146"/>
  <c r="K100" i="146"/>
  <c r="J100" i="146"/>
  <c r="I100" i="146"/>
  <c r="H100" i="146"/>
  <c r="G100" i="146"/>
  <c r="F100" i="146"/>
  <c r="E100" i="146"/>
  <c r="D100" i="146"/>
  <c r="C100" i="146"/>
  <c r="B100" i="146"/>
  <c r="M99" i="146"/>
  <c r="L99" i="146"/>
  <c r="K99" i="146"/>
  <c r="J99" i="146"/>
  <c r="I99" i="146"/>
  <c r="H99" i="146"/>
  <c r="G99" i="146"/>
  <c r="F99" i="146"/>
  <c r="E99" i="146"/>
  <c r="D99" i="146"/>
  <c r="C99" i="146"/>
  <c r="B99" i="146"/>
  <c r="M98" i="146"/>
  <c r="L98" i="146"/>
  <c r="K98" i="146"/>
  <c r="J98" i="146"/>
  <c r="I98" i="146"/>
  <c r="H98" i="146"/>
  <c r="G98" i="146"/>
  <c r="F98" i="146"/>
  <c r="E98" i="146"/>
  <c r="D98" i="146"/>
  <c r="C98" i="146"/>
  <c r="B98" i="146"/>
  <c r="M97" i="146"/>
  <c r="L97" i="146"/>
  <c r="K97" i="146"/>
  <c r="J97" i="146"/>
  <c r="I97" i="146"/>
  <c r="H97" i="146"/>
  <c r="G97" i="146"/>
  <c r="F97" i="146"/>
  <c r="E97" i="146"/>
  <c r="D97" i="146"/>
  <c r="C97" i="146"/>
  <c r="B97" i="146"/>
  <c r="M96" i="146"/>
  <c r="L96" i="146"/>
  <c r="K96" i="146"/>
  <c r="J96" i="146"/>
  <c r="I96" i="146"/>
  <c r="H96" i="146"/>
  <c r="G96" i="146"/>
  <c r="F96" i="146"/>
  <c r="E96" i="146"/>
  <c r="D96" i="146"/>
  <c r="C96" i="146"/>
  <c r="B96" i="146"/>
  <c r="M95" i="146"/>
  <c r="L95" i="146"/>
  <c r="K95" i="146"/>
  <c r="J95" i="146"/>
  <c r="I95" i="146"/>
  <c r="H95" i="146"/>
  <c r="G95" i="146"/>
  <c r="F95" i="146"/>
  <c r="E95" i="146"/>
  <c r="D95" i="146"/>
  <c r="C95" i="146"/>
  <c r="B95" i="146"/>
  <c r="M94" i="146"/>
  <c r="L94" i="146"/>
  <c r="K94" i="146"/>
  <c r="J94" i="146"/>
  <c r="I94" i="146"/>
  <c r="H94" i="146"/>
  <c r="G94" i="146"/>
  <c r="F94" i="146"/>
  <c r="E94" i="146"/>
  <c r="D94" i="146"/>
  <c r="C94" i="146"/>
  <c r="B94" i="146"/>
  <c r="M93" i="146"/>
  <c r="L93" i="146"/>
  <c r="K93" i="146"/>
  <c r="J93" i="146"/>
  <c r="I93" i="146"/>
  <c r="H93" i="146"/>
  <c r="G93" i="146"/>
  <c r="F93" i="146"/>
  <c r="E93" i="146"/>
  <c r="D93" i="146"/>
  <c r="C93" i="146"/>
  <c r="B93" i="146"/>
  <c r="M92" i="146"/>
  <c r="L92" i="146"/>
  <c r="K92" i="146"/>
  <c r="J92" i="146"/>
  <c r="I92" i="146"/>
  <c r="H92" i="146"/>
  <c r="G92" i="146"/>
  <c r="F92" i="146"/>
  <c r="E92" i="146"/>
  <c r="D92" i="146"/>
  <c r="C92" i="146"/>
  <c r="B92" i="146"/>
  <c r="M91" i="146"/>
  <c r="L91" i="146"/>
  <c r="K91" i="146"/>
  <c r="J91" i="146"/>
  <c r="I91" i="146"/>
  <c r="H91" i="146"/>
  <c r="G91" i="146"/>
  <c r="F91" i="146"/>
  <c r="E91" i="146"/>
  <c r="D91" i="146"/>
  <c r="C91" i="146"/>
  <c r="B91" i="146"/>
  <c r="M90" i="146"/>
  <c r="L90" i="146"/>
  <c r="K90" i="146"/>
  <c r="J90" i="146"/>
  <c r="I90" i="146"/>
  <c r="H90" i="146"/>
  <c r="G90" i="146"/>
  <c r="F90" i="146"/>
  <c r="E90" i="146"/>
  <c r="D90" i="146"/>
  <c r="C90" i="146"/>
  <c r="B90" i="146"/>
  <c r="M89" i="146"/>
  <c r="L89" i="146"/>
  <c r="K89" i="146"/>
  <c r="J89" i="146"/>
  <c r="I89" i="146"/>
  <c r="H89" i="146"/>
  <c r="G89" i="146"/>
  <c r="F89" i="146"/>
  <c r="E89" i="146"/>
  <c r="D89" i="146"/>
  <c r="C89" i="146"/>
  <c r="B89" i="146"/>
  <c r="M88" i="146"/>
  <c r="L88" i="146"/>
  <c r="K88" i="146"/>
  <c r="J88" i="146"/>
  <c r="I88" i="146"/>
  <c r="H88" i="146"/>
  <c r="G88" i="146"/>
  <c r="F88" i="146"/>
  <c r="E88" i="146"/>
  <c r="D88" i="146"/>
  <c r="C88" i="146"/>
  <c r="B88" i="146"/>
  <c r="M87" i="146"/>
  <c r="L87" i="146"/>
  <c r="K87" i="146"/>
  <c r="J87" i="146"/>
  <c r="I87" i="146"/>
  <c r="H87" i="146"/>
  <c r="G87" i="146"/>
  <c r="F87" i="146"/>
  <c r="E87" i="146"/>
  <c r="D87" i="146"/>
  <c r="C87" i="146"/>
  <c r="B87" i="146"/>
  <c r="M86" i="146"/>
  <c r="L86" i="146"/>
  <c r="K86" i="146"/>
  <c r="J86" i="146"/>
  <c r="I86" i="146"/>
  <c r="H86" i="146"/>
  <c r="G86" i="146"/>
  <c r="F86" i="146"/>
  <c r="E86" i="146"/>
  <c r="D86" i="146"/>
  <c r="C86" i="146"/>
  <c r="B86" i="146"/>
  <c r="M85" i="146"/>
  <c r="L85" i="146"/>
  <c r="K85" i="146"/>
  <c r="J85" i="146"/>
  <c r="I85" i="146"/>
  <c r="H85" i="146"/>
  <c r="G85" i="146"/>
  <c r="F85" i="146"/>
  <c r="E85" i="146"/>
  <c r="D85" i="146"/>
  <c r="C85" i="146"/>
  <c r="B85" i="146"/>
  <c r="M84" i="146"/>
  <c r="L84" i="146"/>
  <c r="K84" i="146"/>
  <c r="J84" i="146"/>
  <c r="I84" i="146"/>
  <c r="H84" i="146"/>
  <c r="G84" i="146"/>
  <c r="F84" i="146"/>
  <c r="E84" i="146"/>
  <c r="D84" i="146"/>
  <c r="C84" i="146"/>
  <c r="B84" i="146"/>
  <c r="M83" i="146"/>
  <c r="L83" i="146"/>
  <c r="K83" i="146"/>
  <c r="J83" i="146"/>
  <c r="I83" i="146"/>
  <c r="H83" i="146"/>
  <c r="G83" i="146"/>
  <c r="F83" i="146"/>
  <c r="E83" i="146"/>
  <c r="D83" i="146"/>
  <c r="C83" i="146"/>
  <c r="B83" i="146"/>
  <c r="M82" i="146"/>
  <c r="L82" i="146"/>
  <c r="K82" i="146"/>
  <c r="J82" i="146"/>
  <c r="I82" i="146"/>
  <c r="H82" i="146"/>
  <c r="G82" i="146"/>
  <c r="F82" i="146"/>
  <c r="E82" i="146"/>
  <c r="D82" i="146"/>
  <c r="C82" i="146"/>
  <c r="B82" i="146"/>
  <c r="M81" i="146"/>
  <c r="L81" i="146"/>
  <c r="K81" i="146"/>
  <c r="J81" i="146"/>
  <c r="I81" i="146"/>
  <c r="H81" i="146"/>
  <c r="G81" i="146"/>
  <c r="F81" i="146"/>
  <c r="E81" i="146"/>
  <c r="D81" i="146"/>
  <c r="C81" i="146"/>
  <c r="B81" i="146"/>
  <c r="M70" i="146"/>
  <c r="L70" i="146"/>
  <c r="K70" i="146"/>
  <c r="J70" i="146"/>
  <c r="I70" i="146"/>
  <c r="H70" i="146"/>
  <c r="G70" i="146"/>
  <c r="F70" i="146"/>
  <c r="E70" i="146"/>
  <c r="D70" i="146"/>
  <c r="C70" i="146"/>
  <c r="M76" i="146"/>
  <c r="L76" i="146"/>
  <c r="K76" i="146"/>
  <c r="J76" i="146"/>
  <c r="I76" i="146"/>
  <c r="H76" i="146"/>
  <c r="G76" i="146"/>
  <c r="F76" i="146"/>
  <c r="E76" i="146"/>
  <c r="D76" i="146"/>
  <c r="C76" i="146"/>
  <c r="M75" i="146"/>
  <c r="L75" i="146"/>
  <c r="K75" i="146"/>
  <c r="J75" i="146"/>
  <c r="I75" i="146"/>
  <c r="H75" i="146"/>
  <c r="G75" i="146"/>
  <c r="F75" i="146"/>
  <c r="E75" i="146"/>
  <c r="D75" i="146"/>
  <c r="C75" i="146"/>
  <c r="B75" i="146"/>
  <c r="M74" i="146"/>
  <c r="L74" i="146"/>
  <c r="K74" i="146"/>
  <c r="J74" i="146"/>
  <c r="I74" i="146"/>
  <c r="H74" i="146"/>
  <c r="G74" i="146"/>
  <c r="F74" i="146"/>
  <c r="E74" i="146"/>
  <c r="D74" i="146"/>
  <c r="C74" i="146"/>
  <c r="B74" i="146"/>
  <c r="M73" i="146"/>
  <c r="L73" i="146"/>
  <c r="K73" i="146"/>
  <c r="J73" i="146"/>
  <c r="I73" i="146"/>
  <c r="H73" i="146"/>
  <c r="G73" i="146"/>
  <c r="F73" i="146"/>
  <c r="E73" i="146"/>
  <c r="D73" i="146"/>
  <c r="C73" i="146"/>
  <c r="B73" i="146"/>
  <c r="M72" i="146"/>
  <c r="L72" i="146"/>
  <c r="K72" i="146"/>
  <c r="J72" i="146"/>
  <c r="I72" i="146"/>
  <c r="H72" i="146"/>
  <c r="G72" i="146"/>
  <c r="F72" i="146"/>
  <c r="E72" i="146"/>
  <c r="D72" i="146"/>
  <c r="C72" i="146"/>
  <c r="B72" i="146"/>
  <c r="M71" i="146"/>
  <c r="L71" i="146"/>
  <c r="K71" i="146"/>
  <c r="J71" i="146"/>
  <c r="I71" i="146"/>
  <c r="H71" i="146"/>
  <c r="G71" i="146"/>
  <c r="F71" i="146"/>
  <c r="E71" i="146"/>
  <c r="D71" i="146"/>
  <c r="C71" i="146"/>
  <c r="B71" i="146"/>
  <c r="M60" i="146" l="1"/>
  <c r="L60" i="146"/>
  <c r="K60" i="146"/>
  <c r="J60" i="146"/>
  <c r="I60" i="146"/>
  <c r="H60" i="146"/>
  <c r="G60" i="146"/>
  <c r="F60" i="146"/>
  <c r="E60" i="146"/>
  <c r="D60" i="146"/>
  <c r="C60" i="146"/>
  <c r="B60" i="146"/>
  <c r="B61" i="146"/>
  <c r="M57" i="146"/>
  <c r="L57" i="146"/>
  <c r="K57" i="146"/>
  <c r="J57" i="146"/>
  <c r="I57" i="146"/>
  <c r="H57" i="146"/>
  <c r="G57" i="146"/>
  <c r="F57" i="146"/>
  <c r="E57" i="146"/>
  <c r="D57" i="146"/>
  <c r="C57" i="146"/>
  <c r="M56" i="146"/>
  <c r="L56" i="146"/>
  <c r="K56" i="146"/>
  <c r="J56" i="146"/>
  <c r="I56" i="146"/>
  <c r="H56" i="146"/>
  <c r="G56" i="146"/>
  <c r="F56" i="146"/>
  <c r="E56" i="146"/>
  <c r="D56" i="146"/>
  <c r="C56" i="146"/>
  <c r="M55" i="146"/>
  <c r="L55" i="146"/>
  <c r="K55" i="146"/>
  <c r="J55" i="146"/>
  <c r="I55" i="146"/>
  <c r="H55" i="146"/>
  <c r="G55" i="146"/>
  <c r="F55" i="146"/>
  <c r="E55" i="146"/>
  <c r="D55" i="146"/>
  <c r="C55" i="146"/>
  <c r="M64" i="146"/>
  <c r="L64" i="146"/>
  <c r="K64" i="146"/>
  <c r="J64" i="146"/>
  <c r="I64" i="146"/>
  <c r="H64" i="146"/>
  <c r="G64" i="146"/>
  <c r="F64" i="146"/>
  <c r="E64" i="146"/>
  <c r="D64" i="146"/>
  <c r="C64" i="146"/>
  <c r="M63" i="146"/>
  <c r="L63" i="146"/>
  <c r="K63" i="146"/>
  <c r="J63" i="146"/>
  <c r="I63" i="146"/>
  <c r="H63" i="146"/>
  <c r="G63" i="146"/>
  <c r="F63" i="146"/>
  <c r="E63" i="146"/>
  <c r="D63" i="146"/>
  <c r="C63" i="146"/>
  <c r="M62" i="146"/>
  <c r="L62" i="146"/>
  <c r="K62" i="146"/>
  <c r="J62" i="146"/>
  <c r="I62" i="146"/>
  <c r="H62" i="146"/>
  <c r="G62" i="146"/>
  <c r="F62" i="146"/>
  <c r="E62" i="146"/>
  <c r="D62" i="146"/>
  <c r="C62" i="146"/>
  <c r="M61" i="146"/>
  <c r="L61" i="146"/>
  <c r="K61" i="146"/>
  <c r="J61" i="146"/>
  <c r="I61" i="146"/>
  <c r="H61" i="146"/>
  <c r="G61" i="146"/>
  <c r="F61" i="146"/>
  <c r="E61" i="146"/>
  <c r="D61" i="146"/>
  <c r="C61" i="146"/>
  <c r="M59" i="146"/>
  <c r="L59" i="146"/>
  <c r="K59" i="146"/>
  <c r="J59" i="146"/>
  <c r="I59" i="146"/>
  <c r="H59" i="146"/>
  <c r="G59" i="146"/>
  <c r="F59" i="146"/>
  <c r="E59" i="146"/>
  <c r="D59" i="146"/>
  <c r="C59" i="146"/>
  <c r="M58" i="146"/>
  <c r="L58" i="146"/>
  <c r="K58" i="146"/>
  <c r="J58" i="146"/>
  <c r="I58" i="146"/>
  <c r="H58" i="146"/>
  <c r="G58" i="146"/>
  <c r="F58" i="146"/>
  <c r="E58" i="146"/>
  <c r="D58" i="146"/>
  <c r="C58" i="146"/>
  <c r="M54" i="146"/>
  <c r="L54" i="146"/>
  <c r="K54" i="146"/>
  <c r="J54" i="146"/>
  <c r="I54" i="146"/>
  <c r="H54" i="146"/>
  <c r="G54" i="146"/>
  <c r="F54" i="146"/>
  <c r="E54" i="146"/>
  <c r="D54" i="146"/>
  <c r="C54" i="146"/>
  <c r="M53" i="146"/>
  <c r="L53" i="146"/>
  <c r="K53" i="146"/>
  <c r="J53" i="146"/>
  <c r="I53" i="146"/>
  <c r="H53" i="146"/>
  <c r="G53" i="146"/>
  <c r="F53" i="146"/>
  <c r="E53" i="146"/>
  <c r="D53" i="146"/>
  <c r="C53" i="146"/>
  <c r="M52" i="146"/>
  <c r="L52" i="146"/>
  <c r="K52" i="146"/>
  <c r="J52" i="146"/>
  <c r="I52" i="146"/>
  <c r="H52" i="146"/>
  <c r="G52" i="146"/>
  <c r="F52" i="146"/>
  <c r="E52" i="146"/>
  <c r="D52" i="146"/>
  <c r="C52" i="146"/>
  <c r="M51" i="146"/>
  <c r="L51" i="146"/>
  <c r="K51" i="146"/>
  <c r="J51" i="146"/>
  <c r="I51" i="146"/>
  <c r="H51" i="146"/>
  <c r="G51" i="146"/>
  <c r="F51" i="146"/>
  <c r="E51" i="146"/>
  <c r="D51" i="146"/>
  <c r="C51" i="146"/>
  <c r="M50" i="146"/>
  <c r="L50" i="146"/>
  <c r="K50" i="146"/>
  <c r="J50" i="146"/>
  <c r="I50" i="146"/>
  <c r="H50" i="146"/>
  <c r="G50" i="146"/>
  <c r="F50" i="146"/>
  <c r="E50" i="146"/>
  <c r="D50" i="146"/>
  <c r="C50" i="146"/>
  <c r="M49" i="146"/>
  <c r="L49" i="146"/>
  <c r="K49" i="146"/>
  <c r="J49" i="146"/>
  <c r="I49" i="146"/>
  <c r="H49" i="146"/>
  <c r="G49" i="146"/>
  <c r="F49" i="146"/>
  <c r="E49" i="146"/>
  <c r="D49" i="146"/>
  <c r="C49" i="146"/>
  <c r="M48" i="146"/>
  <c r="L48" i="146"/>
  <c r="K48" i="146"/>
  <c r="J48" i="146"/>
  <c r="I48" i="146"/>
  <c r="H48" i="146"/>
  <c r="G48" i="146"/>
  <c r="F48" i="146"/>
  <c r="E48" i="146"/>
  <c r="D48" i="146"/>
  <c r="C48" i="146"/>
  <c r="M47" i="146"/>
  <c r="L47" i="146"/>
  <c r="K47" i="146"/>
  <c r="J47" i="146"/>
  <c r="I47" i="146"/>
  <c r="H47" i="146"/>
  <c r="G47" i="146"/>
  <c r="F47" i="146"/>
  <c r="E47" i="146"/>
  <c r="D47" i="146"/>
  <c r="C47" i="146"/>
  <c r="M46" i="146"/>
  <c r="L46" i="146"/>
  <c r="K46" i="146"/>
  <c r="J46" i="146"/>
  <c r="I46" i="146"/>
  <c r="H46" i="146"/>
  <c r="G46" i="146"/>
  <c r="F46" i="146"/>
  <c r="E46" i="146"/>
  <c r="D46" i="146"/>
  <c r="C46" i="146"/>
  <c r="M45" i="146"/>
  <c r="L45" i="146"/>
  <c r="K45" i="146"/>
  <c r="J45" i="146"/>
  <c r="I45" i="146"/>
  <c r="H45" i="146"/>
  <c r="G45" i="146"/>
  <c r="F45" i="146"/>
  <c r="E45" i="146"/>
  <c r="D45" i="146"/>
  <c r="C45" i="146"/>
  <c r="M44" i="146"/>
  <c r="L44" i="146"/>
  <c r="K44" i="146"/>
  <c r="J44" i="146"/>
  <c r="I44" i="146"/>
  <c r="H44" i="146"/>
  <c r="G44" i="146"/>
  <c r="F44" i="146"/>
  <c r="E44" i="146"/>
  <c r="D44" i="146"/>
  <c r="C44" i="146"/>
  <c r="M43" i="146"/>
  <c r="L43" i="146"/>
  <c r="K43" i="146"/>
  <c r="J43" i="146"/>
  <c r="I43" i="146"/>
  <c r="H43" i="146"/>
  <c r="G43" i="146"/>
  <c r="F43" i="146"/>
  <c r="E43" i="146"/>
  <c r="D43" i="146"/>
  <c r="C43" i="146"/>
  <c r="M42" i="146"/>
  <c r="L42" i="146"/>
  <c r="K42" i="146"/>
  <c r="J42" i="146"/>
  <c r="I42" i="146"/>
  <c r="H42" i="146"/>
  <c r="G42" i="146"/>
  <c r="F42" i="146"/>
  <c r="E42" i="146"/>
  <c r="D42" i="146"/>
  <c r="C42" i="146"/>
  <c r="M41" i="146"/>
  <c r="L41" i="146"/>
  <c r="K41" i="146"/>
  <c r="J41" i="146"/>
  <c r="I41" i="146"/>
  <c r="H41" i="146"/>
  <c r="G41" i="146"/>
  <c r="F41" i="146"/>
  <c r="E41" i="146"/>
  <c r="D41" i="146"/>
  <c r="C41" i="146"/>
  <c r="B57" i="146"/>
  <c r="B56" i="146"/>
  <c r="B55" i="146"/>
  <c r="B63" i="146"/>
  <c r="B62" i="146"/>
  <c r="B59" i="146"/>
  <c r="B58" i="146"/>
  <c r="B54" i="146"/>
  <c r="B53" i="146"/>
  <c r="B52" i="146"/>
  <c r="B51" i="146"/>
  <c r="B50" i="146"/>
  <c r="B49" i="146"/>
  <c r="B48" i="146"/>
  <c r="B47" i="146"/>
  <c r="B46" i="146"/>
  <c r="B45" i="146"/>
  <c r="B44" i="146"/>
  <c r="B43" i="146"/>
  <c r="B42" i="146"/>
  <c r="B41" i="146"/>
  <c r="M35" i="146"/>
  <c r="L35" i="146"/>
  <c r="K35" i="146"/>
  <c r="J35" i="146"/>
  <c r="I35" i="146"/>
  <c r="H35" i="146"/>
  <c r="G35" i="146"/>
  <c r="F35" i="146"/>
  <c r="E35" i="146"/>
  <c r="D35" i="146"/>
  <c r="C35" i="146"/>
  <c r="M34" i="146"/>
  <c r="L34" i="146"/>
  <c r="K34" i="146"/>
  <c r="J34" i="146"/>
  <c r="I34" i="146"/>
  <c r="H34" i="146"/>
  <c r="G34" i="146"/>
  <c r="F34" i="146"/>
  <c r="E34" i="146"/>
  <c r="D34" i="146"/>
  <c r="C34" i="146"/>
  <c r="M33" i="146"/>
  <c r="L33" i="146"/>
  <c r="K33" i="146"/>
  <c r="J33" i="146"/>
  <c r="I33" i="146"/>
  <c r="H33" i="146"/>
  <c r="G33" i="146"/>
  <c r="F33" i="146"/>
  <c r="E33" i="146"/>
  <c r="D33" i="146"/>
  <c r="C33" i="146"/>
  <c r="M36" i="146"/>
  <c r="L36" i="146"/>
  <c r="K36" i="146"/>
  <c r="J36" i="146"/>
  <c r="I36" i="146"/>
  <c r="H36" i="146"/>
  <c r="G36" i="146"/>
  <c r="F36" i="146"/>
  <c r="E36" i="146"/>
  <c r="D36" i="146"/>
  <c r="M32" i="146"/>
  <c r="L32" i="146"/>
  <c r="K32" i="146"/>
  <c r="J32" i="146"/>
  <c r="I32" i="146"/>
  <c r="H32" i="146"/>
  <c r="G32" i="146"/>
  <c r="F32" i="146"/>
  <c r="E32" i="146"/>
  <c r="D32" i="146"/>
  <c r="C32" i="146"/>
  <c r="M31" i="146"/>
  <c r="L31" i="146"/>
  <c r="K31" i="146"/>
  <c r="J31" i="146"/>
  <c r="I31" i="146"/>
  <c r="H31" i="146"/>
  <c r="G31" i="146"/>
  <c r="F31" i="146"/>
  <c r="E31" i="146"/>
  <c r="D31" i="146"/>
  <c r="C31" i="146"/>
  <c r="C36" i="146"/>
  <c r="B35" i="146"/>
  <c r="B34" i="146"/>
  <c r="B33" i="146"/>
  <c r="B32" i="146"/>
  <c r="B31" i="146"/>
  <c r="L240" i="146"/>
  <c r="F240" i="146"/>
  <c r="E240" i="146"/>
  <c r="M230" i="146"/>
  <c r="M240" i="146" s="1"/>
  <c r="L230" i="146"/>
  <c r="K230" i="146"/>
  <c r="K240" i="146" s="1"/>
  <c r="J230" i="146"/>
  <c r="J240" i="146" s="1"/>
  <c r="I230" i="146"/>
  <c r="I240" i="146" s="1"/>
  <c r="H230" i="146"/>
  <c r="H240" i="146" s="1"/>
  <c r="G230" i="146"/>
  <c r="G240" i="146" s="1"/>
  <c r="F230" i="146"/>
  <c r="E230" i="146"/>
  <c r="D230" i="146"/>
  <c r="D240" i="146" s="1"/>
  <c r="C230" i="146"/>
  <c r="C240" i="146" s="1"/>
  <c r="M200" i="146"/>
  <c r="J200" i="146"/>
  <c r="H200" i="146"/>
  <c r="G200" i="146"/>
  <c r="D200" i="146"/>
  <c r="M190" i="146"/>
  <c r="L190" i="146"/>
  <c r="L200" i="146" s="1"/>
  <c r="K190" i="146"/>
  <c r="K200" i="146" s="1"/>
  <c r="J190" i="146"/>
  <c r="I190" i="146"/>
  <c r="I200" i="146" s="1"/>
  <c r="H190" i="146"/>
  <c r="G190" i="146"/>
  <c r="F190" i="146"/>
  <c r="F200" i="146" s="1"/>
  <c r="E190" i="146"/>
  <c r="E200" i="146" s="1"/>
  <c r="D190" i="146"/>
  <c r="C190" i="146"/>
  <c r="C200" i="146" s="1"/>
  <c r="L160" i="146"/>
  <c r="J160" i="146"/>
  <c r="I160" i="146"/>
  <c r="F160" i="146"/>
  <c r="D160" i="146"/>
  <c r="C160" i="146"/>
  <c r="M150" i="146"/>
  <c r="M160" i="146" s="1"/>
  <c r="L150" i="146"/>
  <c r="K150" i="146"/>
  <c r="K160" i="146" s="1"/>
  <c r="J150" i="146"/>
  <c r="I150" i="146"/>
  <c r="H150" i="146"/>
  <c r="H160" i="146" s="1"/>
  <c r="G150" i="146"/>
  <c r="G160" i="146" s="1"/>
  <c r="F150" i="146"/>
  <c r="E150" i="146"/>
  <c r="E160" i="146" s="1"/>
  <c r="D150" i="146"/>
  <c r="C150" i="146"/>
  <c r="AU146" i="146"/>
  <c r="M120" i="146"/>
  <c r="G120" i="146"/>
  <c r="M110" i="146"/>
  <c r="L110" i="146"/>
  <c r="L120" i="146" s="1"/>
  <c r="K110" i="146"/>
  <c r="K120" i="146" s="1"/>
  <c r="J110" i="146"/>
  <c r="J120" i="146" s="1"/>
  <c r="I110" i="146"/>
  <c r="I120" i="146" s="1"/>
  <c r="H110" i="146"/>
  <c r="H120" i="146" s="1"/>
  <c r="G110" i="146"/>
  <c r="F110" i="146"/>
  <c r="F120" i="146" s="1"/>
  <c r="E110" i="146"/>
  <c r="E120" i="146" s="1"/>
  <c r="D110" i="146"/>
  <c r="D120" i="146" s="1"/>
  <c r="C110" i="146"/>
  <c r="C120" i="146" s="1"/>
  <c r="M80" i="146"/>
  <c r="G80" i="146"/>
  <c r="R70" i="146"/>
  <c r="L80" i="146"/>
  <c r="K80" i="146"/>
  <c r="J80" i="146"/>
  <c r="I80" i="146"/>
  <c r="H80" i="146"/>
  <c r="F80" i="146"/>
  <c r="E80" i="146"/>
  <c r="D80" i="146"/>
  <c r="C80" i="146"/>
  <c r="L40" i="146"/>
  <c r="K40" i="146"/>
  <c r="E40" i="146"/>
  <c r="AC37" i="146"/>
  <c r="AA37" i="146"/>
  <c r="V37" i="146"/>
  <c r="U37" i="146"/>
  <c r="R36" i="146"/>
  <c r="BT31" i="146"/>
  <c r="CP30" i="146"/>
  <c r="BT30" i="146"/>
  <c r="AY30" i="146"/>
  <c r="M30" i="146"/>
  <c r="G12" i="146" s="1"/>
  <c r="L30" i="146"/>
  <c r="AB71" i="146" s="1"/>
  <c r="K30" i="146"/>
  <c r="AA71" i="146" s="1"/>
  <c r="J30" i="146"/>
  <c r="I30" i="146"/>
  <c r="H30" i="146"/>
  <c r="G30" i="146"/>
  <c r="F30" i="146"/>
  <c r="V71" i="146" s="1"/>
  <c r="E30" i="146"/>
  <c r="U71" i="146" s="1"/>
  <c r="D30" i="146"/>
  <c r="C30" i="146"/>
  <c r="CP29" i="146"/>
  <c r="BT29" i="146"/>
  <c r="AY29" i="146"/>
  <c r="CP28" i="146"/>
  <c r="BT28" i="146"/>
  <c r="AY28" i="146"/>
  <c r="CP27" i="146"/>
  <c r="BT27" i="146"/>
  <c r="AY27" i="146"/>
  <c r="CP26" i="146"/>
  <c r="BT26" i="146"/>
  <c r="AY26" i="146"/>
  <c r="CP25" i="146"/>
  <c r="BT25" i="146"/>
  <c r="AY25" i="146"/>
  <c r="CP24" i="146"/>
  <c r="BT24" i="146"/>
  <c r="AY24" i="146"/>
  <c r="CP23" i="146"/>
  <c r="BT23" i="146"/>
  <c r="AY23" i="146"/>
  <c r="CP22" i="146"/>
  <c r="BT22" i="146"/>
  <c r="AY22" i="146"/>
  <c r="CP21" i="146"/>
  <c r="BT21" i="146"/>
  <c r="AY21" i="146"/>
  <c r="CP20" i="146"/>
  <c r="BT20" i="146"/>
  <c r="AY20" i="146"/>
  <c r="CP19" i="146"/>
  <c r="BT19" i="146"/>
  <c r="AY19" i="146"/>
  <c r="CP18" i="146"/>
  <c r="BT18" i="146"/>
  <c r="AY18" i="146"/>
  <c r="CP17" i="146"/>
  <c r="BT17" i="146"/>
  <c r="AY17" i="146"/>
  <c r="CP16" i="146"/>
  <c r="BT16" i="146"/>
  <c r="AY16" i="146"/>
  <c r="CP15" i="146"/>
  <c r="BT15" i="146"/>
  <c r="AY15" i="146"/>
  <c r="CP14" i="146"/>
  <c r="BT14" i="146"/>
  <c r="AY14" i="146"/>
  <c r="CP13" i="146"/>
  <c r="BT13" i="146"/>
  <c r="AY13" i="146"/>
  <c r="CP12" i="146"/>
  <c r="BT12" i="146"/>
  <c r="AY12" i="146"/>
  <c r="Z12" i="146"/>
  <c r="CP11" i="146"/>
  <c r="BT11" i="146"/>
  <c r="AY11" i="146"/>
  <c r="G11" i="146"/>
  <c r="CP10" i="146"/>
  <c r="BT10" i="146"/>
  <c r="AY10" i="146"/>
  <c r="G10" i="146"/>
  <c r="CP9" i="146"/>
  <c r="BT9" i="146"/>
  <c r="AY9" i="146"/>
  <c r="G9" i="146"/>
  <c r="CP8" i="146"/>
  <c r="AY8" i="146"/>
  <c r="G8" i="146"/>
  <c r="BM6" i="146"/>
  <c r="G6" i="146"/>
  <c r="AE5" i="146"/>
  <c r="AC5" i="146"/>
  <c r="AF5" i="146" s="1"/>
  <c r="AB5" i="146"/>
  <c r="AA5" i="146"/>
  <c r="Z5" i="146"/>
  <c r="Y5" i="146"/>
  <c r="W5" i="146"/>
  <c r="V5" i="146"/>
  <c r="U5" i="146"/>
  <c r="T5" i="146"/>
  <c r="S5" i="146"/>
  <c r="G5" i="146"/>
  <c r="R4" i="146"/>
  <c r="BN96" i="146" s="1"/>
  <c r="G4" i="146"/>
  <c r="G3" i="146"/>
  <c r="G2" i="146"/>
  <c r="BF4" i="72"/>
  <c r="P115" i="72"/>
  <c r="D94" i="75"/>
  <c r="BG5" i="75"/>
  <c r="BF4" i="75"/>
  <c r="BN41" i="146" l="1"/>
  <c r="BO10" i="146"/>
  <c r="BO13" i="146"/>
  <c r="BO16" i="146"/>
  <c r="BO19" i="146"/>
  <c r="BQ19" i="146" s="1"/>
  <c r="BO22" i="146"/>
  <c r="BO25" i="146"/>
  <c r="BO28" i="146"/>
  <c r="BO31" i="146"/>
  <c r="BO11" i="146"/>
  <c r="BQ11" i="146" s="1"/>
  <c r="BO29" i="146"/>
  <c r="BQ29" i="146" s="1"/>
  <c r="BN18" i="146"/>
  <c r="BO41" i="146"/>
  <c r="BN11" i="146"/>
  <c r="BN14" i="146"/>
  <c r="BN17" i="146"/>
  <c r="BN20" i="146"/>
  <c r="BP20" i="146" s="1"/>
  <c r="BN23" i="146"/>
  <c r="BN26" i="146"/>
  <c r="BN29" i="146"/>
  <c r="BO8" i="146"/>
  <c r="BN42" i="146"/>
  <c r="BO23" i="146"/>
  <c r="BQ23" i="146" s="1"/>
  <c r="BN15" i="146"/>
  <c r="BN27" i="146"/>
  <c r="BN39" i="146"/>
  <c r="BO26" i="146"/>
  <c r="BQ26" i="146" s="1"/>
  <c r="BN12" i="146"/>
  <c r="BN40" i="146"/>
  <c r="BO38" i="146"/>
  <c r="BO9" i="146"/>
  <c r="BO12" i="146"/>
  <c r="BO15" i="146"/>
  <c r="BQ15" i="146" s="1"/>
  <c r="BO18" i="146"/>
  <c r="BQ18" i="146" s="1"/>
  <c r="BO21" i="146"/>
  <c r="BQ21" i="146" s="1"/>
  <c r="BO24" i="146"/>
  <c r="BO27" i="146"/>
  <c r="BO30" i="146"/>
  <c r="BO14" i="146"/>
  <c r="BQ14" i="146" s="1"/>
  <c r="BO20" i="146"/>
  <c r="BQ20" i="146" s="1"/>
  <c r="BO39" i="146"/>
  <c r="BN24" i="146"/>
  <c r="BO40" i="146"/>
  <c r="BN38" i="146"/>
  <c r="BN10" i="146"/>
  <c r="BN13" i="146"/>
  <c r="BN16" i="146"/>
  <c r="BN19" i="146"/>
  <c r="BN22" i="146"/>
  <c r="BN25" i="146"/>
  <c r="BN28" i="146"/>
  <c r="BN31" i="146"/>
  <c r="BO17" i="146"/>
  <c r="BQ17" i="146" s="1"/>
  <c r="BN8" i="146"/>
  <c r="BO42" i="146"/>
  <c r="BN9" i="146"/>
  <c r="BN21" i="146"/>
  <c r="BN30" i="146"/>
  <c r="X6" i="146"/>
  <c r="T7" i="146"/>
  <c r="Z7" i="146"/>
  <c r="Y6" i="146"/>
  <c r="U7" i="146"/>
  <c r="AA7" i="146"/>
  <c r="T6" i="146"/>
  <c r="Z6" i="146"/>
  <c r="V7" i="146"/>
  <c r="AB7" i="146"/>
  <c r="U6" i="146"/>
  <c r="AA6" i="146"/>
  <c r="W7" i="146"/>
  <c r="AC7" i="146"/>
  <c r="V6" i="146"/>
  <c r="AB6" i="146"/>
  <c r="X7" i="146"/>
  <c r="S7" i="146"/>
  <c r="W6" i="146"/>
  <c r="AC6" i="146"/>
  <c r="Y7" i="146"/>
  <c r="S6" i="146"/>
  <c r="T72" i="146"/>
  <c r="Z72" i="146"/>
  <c r="V73" i="146"/>
  <c r="AB73" i="146"/>
  <c r="AA72" i="146"/>
  <c r="W73" i="146"/>
  <c r="AC73" i="146"/>
  <c r="U73" i="146"/>
  <c r="U72" i="146"/>
  <c r="V72" i="146"/>
  <c r="AB72" i="146"/>
  <c r="X73" i="146"/>
  <c r="S73" i="146"/>
  <c r="AC72" i="146"/>
  <c r="Y73" i="146"/>
  <c r="S72" i="146"/>
  <c r="Y72" i="146"/>
  <c r="W72" i="146"/>
  <c r="X72" i="146"/>
  <c r="T73" i="146"/>
  <c r="Z73" i="146"/>
  <c r="AA73" i="146"/>
  <c r="V38" i="146"/>
  <c r="AB38" i="146"/>
  <c r="X39" i="146"/>
  <c r="S39" i="146"/>
  <c r="W38" i="146"/>
  <c r="AC38" i="146"/>
  <c r="Y39" i="146"/>
  <c r="S38" i="146"/>
  <c r="X38" i="146"/>
  <c r="T39" i="146"/>
  <c r="Z39" i="146"/>
  <c r="Y38" i="146"/>
  <c r="U39" i="146"/>
  <c r="AA39" i="146"/>
  <c r="T38" i="146"/>
  <c r="Z38" i="146"/>
  <c r="V39" i="146"/>
  <c r="AB39" i="146"/>
  <c r="U38" i="146"/>
  <c r="AA38" i="146"/>
  <c r="W39" i="146"/>
  <c r="AC39" i="146"/>
  <c r="AD39" i="146" s="1"/>
  <c r="AA54" i="146" s="1"/>
  <c r="AA79" i="146"/>
  <c r="AA13" i="146"/>
  <c r="AR6" i="146"/>
  <c r="CG6" i="146"/>
  <c r="X71" i="146"/>
  <c r="H40" i="146"/>
  <c r="X37" i="146"/>
  <c r="X5" i="146"/>
  <c r="G7" i="146"/>
  <c r="BN95" i="146"/>
  <c r="BN76" i="146"/>
  <c r="CH77" i="146"/>
  <c r="AR96" i="146"/>
  <c r="BN77" i="146"/>
  <c r="AR77" i="146"/>
  <c r="CH96" i="146"/>
  <c r="D40" i="146"/>
  <c r="T37" i="146"/>
  <c r="T71" i="146"/>
  <c r="J40" i="146"/>
  <c r="Z37" i="146"/>
  <c r="Z44" i="146"/>
  <c r="W71" i="146"/>
  <c r="G40" i="146"/>
  <c r="W37" i="146"/>
  <c r="AC71" i="146"/>
  <c r="M40" i="146"/>
  <c r="Z71" i="146"/>
  <c r="AA45" i="146"/>
  <c r="AB37" i="146"/>
  <c r="AE37" i="146" s="1"/>
  <c r="F40" i="146"/>
  <c r="S71" i="146"/>
  <c r="C40" i="146"/>
  <c r="S37" i="146"/>
  <c r="AF37" i="146" s="1"/>
  <c r="Y71" i="146"/>
  <c r="I40" i="146"/>
  <c r="Y37" i="146"/>
  <c r="M27" i="84"/>
  <c r="M31" i="84"/>
  <c r="M32" i="84" s="1"/>
  <c r="M21" i="84"/>
  <c r="M16" i="84"/>
  <c r="N6" i="84"/>
  <c r="M6" i="84"/>
  <c r="O6" i="84"/>
  <c r="L45" i="84"/>
  <c r="N80" i="144"/>
  <c r="N79" i="144"/>
  <c r="M79" i="144"/>
  <c r="M80" i="144"/>
  <c r="M74" i="144"/>
  <c r="N74" i="144"/>
  <c r="A58" i="144"/>
  <c r="B59" i="144"/>
  <c r="A52" i="144"/>
  <c r="A51" i="144"/>
  <c r="A50" i="144"/>
  <c r="A55" i="144"/>
  <c r="A89" i="144"/>
  <c r="AS38" i="146" l="1"/>
  <c r="AS8" i="146"/>
  <c r="BT42" i="146"/>
  <c r="BU42" i="146" s="1"/>
  <c r="BW42" i="146"/>
  <c r="BX42" i="146" s="1"/>
  <c r="BP30" i="146"/>
  <c r="BR42" i="146"/>
  <c r="BP42" i="146"/>
  <c r="BP28" i="146"/>
  <c r="BQ8" i="146"/>
  <c r="BQ31" i="146"/>
  <c r="BP9" i="146"/>
  <c r="CC42" i="146"/>
  <c r="CD42" i="146" s="1"/>
  <c r="BQ30" i="146"/>
  <c r="BZ42" i="146"/>
  <c r="CA42" i="146" s="1"/>
  <c r="BP29" i="146"/>
  <c r="BP11" i="146"/>
  <c r="BQ10" i="146"/>
  <c r="BS42" i="146"/>
  <c r="BQ42" i="146"/>
  <c r="BQ40" i="146"/>
  <c r="BS40" i="146"/>
  <c r="BW38" i="146"/>
  <c r="BR8" i="146"/>
  <c r="BT38" i="146"/>
  <c r="BM85" i="146" s="1"/>
  <c r="BN85" i="146" s="1"/>
  <c r="BP19" i="146"/>
  <c r="BT40" i="146"/>
  <c r="BU40" i="146" s="1"/>
  <c r="BW40" i="146"/>
  <c r="BX40" i="146" s="1"/>
  <c r="BP24" i="146"/>
  <c r="BQ24" i="146"/>
  <c r="CC40" i="146"/>
  <c r="CD40" i="146" s="1"/>
  <c r="BZ40" i="146"/>
  <c r="CA40" i="146" s="1"/>
  <c r="BQ38" i="146"/>
  <c r="BS38" i="146"/>
  <c r="BP15" i="146"/>
  <c r="BP23" i="146"/>
  <c r="BP18" i="146"/>
  <c r="BQ22" i="146"/>
  <c r="BQ39" i="146"/>
  <c r="BS39" i="146"/>
  <c r="BZ39" i="146"/>
  <c r="CA39" i="146" s="1"/>
  <c r="CC39" i="146"/>
  <c r="CD39" i="146" s="1"/>
  <c r="BQ16" i="146"/>
  <c r="BP13" i="146"/>
  <c r="BP14" i="146"/>
  <c r="BP16" i="146"/>
  <c r="BT39" i="146"/>
  <c r="BU39" i="146" s="1"/>
  <c r="BW39" i="146"/>
  <c r="BX39" i="146" s="1"/>
  <c r="BP40" i="146"/>
  <c r="BR40" i="146"/>
  <c r="BP8" i="146"/>
  <c r="BP31" i="146"/>
  <c r="BP12" i="146"/>
  <c r="BP17" i="146"/>
  <c r="BP21" i="146"/>
  <c r="BP10" i="146"/>
  <c r="BS8" i="146"/>
  <c r="BZ38" i="146"/>
  <c r="CC38" i="146"/>
  <c r="BQ13" i="146"/>
  <c r="BP25" i="146"/>
  <c r="BT41" i="146"/>
  <c r="BU41" i="146" s="1"/>
  <c r="BW41" i="146"/>
  <c r="BX41" i="146" s="1"/>
  <c r="BP38" i="146"/>
  <c r="BR38" i="146"/>
  <c r="BM81" i="146" s="1"/>
  <c r="BQ12" i="146"/>
  <c r="BR39" i="146"/>
  <c r="BP39" i="146"/>
  <c r="BQ28" i="146"/>
  <c r="BP22" i="146"/>
  <c r="BQ27" i="146"/>
  <c r="BQ9" i="146"/>
  <c r="BP27" i="146"/>
  <c r="BP26" i="146"/>
  <c r="BQ41" i="146"/>
  <c r="BS41" i="146"/>
  <c r="CC41" i="146"/>
  <c r="CD41" i="146" s="1"/>
  <c r="BZ41" i="146"/>
  <c r="CA41" i="146" s="1"/>
  <c r="BQ25" i="146"/>
  <c r="BP41" i="146"/>
  <c r="BR41" i="146"/>
  <c r="AG7" i="146"/>
  <c r="AI7" i="146" s="1"/>
  <c r="AA27" i="146" s="1"/>
  <c r="AE7" i="146"/>
  <c r="AD7" i="146"/>
  <c r="AA22" i="146" s="1"/>
  <c r="AF10" i="146"/>
  <c r="AA24" i="146" s="1"/>
  <c r="CH39" i="146"/>
  <c r="CH42" i="146"/>
  <c r="CI11" i="146"/>
  <c r="CI14" i="146"/>
  <c r="CI17" i="146"/>
  <c r="CI20" i="146"/>
  <c r="CI23" i="146"/>
  <c r="CI26" i="146"/>
  <c r="CI29" i="146"/>
  <c r="CH8" i="146"/>
  <c r="CH17" i="146"/>
  <c r="CI8" i="146"/>
  <c r="CI39" i="146"/>
  <c r="CI42" i="146"/>
  <c r="CH9" i="146"/>
  <c r="CH12" i="146"/>
  <c r="CH15" i="146"/>
  <c r="CH18" i="146"/>
  <c r="CH21" i="146"/>
  <c r="CH24" i="146"/>
  <c r="CH27" i="146"/>
  <c r="CH30" i="146"/>
  <c r="CI30" i="146"/>
  <c r="CH20" i="146"/>
  <c r="CH26" i="146"/>
  <c r="CH40" i="146"/>
  <c r="CI38" i="146"/>
  <c r="CI9" i="146"/>
  <c r="CI12" i="146"/>
  <c r="CI15" i="146"/>
  <c r="CI18" i="146"/>
  <c r="CI21" i="146"/>
  <c r="CI24" i="146"/>
  <c r="CI27" i="146"/>
  <c r="CI40" i="146"/>
  <c r="CH38" i="146"/>
  <c r="CH10" i="146"/>
  <c r="CH13" i="146"/>
  <c r="CH16" i="146"/>
  <c r="CH19" i="146"/>
  <c r="CH22" i="146"/>
  <c r="CH25" i="146"/>
  <c r="CH28" i="146"/>
  <c r="CH31" i="146"/>
  <c r="CJ31" i="146" s="1"/>
  <c r="CI41" i="146"/>
  <c r="CH11" i="146"/>
  <c r="CH23" i="146"/>
  <c r="CH41" i="146"/>
  <c r="CI10" i="146"/>
  <c r="CI13" i="146"/>
  <c r="CI16" i="146"/>
  <c r="CI19" i="146"/>
  <c r="CI22" i="146"/>
  <c r="CI25" i="146"/>
  <c r="CI28" i="146"/>
  <c r="CI31" i="146"/>
  <c r="CK31" i="146" s="1"/>
  <c r="CH14" i="146"/>
  <c r="CH29" i="146"/>
  <c r="CG97" i="146"/>
  <c r="CH97" i="146" s="1"/>
  <c r="BM108" i="146"/>
  <c r="BM98" i="146"/>
  <c r="BN98" i="146" s="1"/>
  <c r="BM97" i="146"/>
  <c r="BN97" i="146" s="1"/>
  <c r="BM104" i="146"/>
  <c r="BN104" i="146" s="1"/>
  <c r="BM89" i="146"/>
  <c r="BN89" i="146" s="1"/>
  <c r="BM79" i="146"/>
  <c r="BM78" i="146"/>
  <c r="BN78" i="146" s="1"/>
  <c r="BM100" i="146"/>
  <c r="AQ78" i="146"/>
  <c r="AT40" i="146"/>
  <c r="AT41" i="146"/>
  <c r="AT42" i="146"/>
  <c r="AS9" i="146"/>
  <c r="AS12" i="146"/>
  <c r="AS15" i="146"/>
  <c r="AS18" i="146"/>
  <c r="AS21" i="146"/>
  <c r="AS24" i="146"/>
  <c r="AS27" i="146"/>
  <c r="AS30" i="146"/>
  <c r="AT39" i="146"/>
  <c r="AT13" i="146"/>
  <c r="AT22" i="146"/>
  <c r="AT9" i="146"/>
  <c r="AT12" i="146"/>
  <c r="AT15" i="146"/>
  <c r="AT18" i="146"/>
  <c r="AT21" i="146"/>
  <c r="AT24" i="146"/>
  <c r="AT27" i="146"/>
  <c r="AT30" i="146"/>
  <c r="AT16" i="146"/>
  <c r="AT25" i="146"/>
  <c r="AS39" i="146"/>
  <c r="AT38" i="146"/>
  <c r="AQ97" i="146" s="1"/>
  <c r="AR97" i="146" s="1"/>
  <c r="AS10" i="146"/>
  <c r="AS13" i="146"/>
  <c r="AS16" i="146"/>
  <c r="AS19" i="146"/>
  <c r="AS22" i="146"/>
  <c r="AS25" i="146"/>
  <c r="AS28" i="146"/>
  <c r="AS31" i="146"/>
  <c r="AU31" i="146" s="1"/>
  <c r="AT10" i="146"/>
  <c r="AT19" i="146"/>
  <c r="AT31" i="146"/>
  <c r="AV31" i="146" s="1"/>
  <c r="AS11" i="146"/>
  <c r="AS14" i="146"/>
  <c r="AS17" i="146"/>
  <c r="AS20" i="146"/>
  <c r="AS23" i="146"/>
  <c r="AS26" i="146"/>
  <c r="AS29" i="146"/>
  <c r="AT8" i="146"/>
  <c r="AS40" i="146"/>
  <c r="AS41" i="146"/>
  <c r="AS42" i="146"/>
  <c r="AT11" i="146"/>
  <c r="AT14" i="146"/>
  <c r="AT17" i="146"/>
  <c r="AT20" i="146"/>
  <c r="AT23" i="146"/>
  <c r="AT26" i="146"/>
  <c r="AT29" i="146"/>
  <c r="AT28" i="146"/>
  <c r="AG39" i="146"/>
  <c r="AI39" i="146" s="1"/>
  <c r="AA59" i="146" s="1"/>
  <c r="AF7" i="146"/>
  <c r="AE38" i="146"/>
  <c r="AD38" i="146"/>
  <c r="AA47" i="146" s="1"/>
  <c r="AG38" i="146"/>
  <c r="AI38" i="146" s="1"/>
  <c r="AA52" i="146" s="1"/>
  <c r="AE39" i="146"/>
  <c r="AF41" i="146"/>
  <c r="AA49" i="146" s="1"/>
  <c r="AD6" i="146"/>
  <c r="AA15" i="146" s="1"/>
  <c r="AF9" i="146"/>
  <c r="AA17" i="146" s="1"/>
  <c r="AG6" i="146"/>
  <c r="AF6" i="146"/>
  <c r="AE6" i="146"/>
  <c r="BS14" i="146"/>
  <c r="AF76" i="146"/>
  <c r="AA90" i="146" s="1"/>
  <c r="AE73" i="146"/>
  <c r="AD73" i="146"/>
  <c r="AA88" i="146" s="1"/>
  <c r="AG73" i="146"/>
  <c r="AF73" i="146"/>
  <c r="BP109" i="146"/>
  <c r="BP105" i="146"/>
  <c r="BR14" i="146"/>
  <c r="BR17" i="146"/>
  <c r="BR25" i="146"/>
  <c r="BR20" i="146"/>
  <c r="BS15" i="146"/>
  <c r="BS22" i="146"/>
  <c r="BR27" i="146"/>
  <c r="CH95" i="146"/>
  <c r="CH76" i="146"/>
  <c r="AF39" i="146"/>
  <c r="BR18" i="146"/>
  <c r="AF38" i="146"/>
  <c r="BS9" i="146"/>
  <c r="BS16" i="146"/>
  <c r="BS19" i="146"/>
  <c r="BS29" i="146"/>
  <c r="BS23" i="146"/>
  <c r="BS18" i="146"/>
  <c r="BR28" i="146"/>
  <c r="BS30" i="146"/>
  <c r="AR95" i="146"/>
  <c r="AR76" i="146"/>
  <c r="AF42" i="146"/>
  <c r="AA56" i="146" s="1"/>
  <c r="BS10" i="146"/>
  <c r="BS12" i="146"/>
  <c r="BR31" i="146"/>
  <c r="BS25" i="146"/>
  <c r="BS20" i="146"/>
  <c r="BR9" i="146"/>
  <c r="BS28" i="146"/>
  <c r="BS13" i="146"/>
  <c r="BR11" i="146"/>
  <c r="BP90" i="146"/>
  <c r="BP86" i="146"/>
  <c r="BS11" i="146"/>
  <c r="BS17" i="146"/>
  <c r="BR26" i="146"/>
  <c r="BR22" i="146"/>
  <c r="BR13" i="146"/>
  <c r="BR10" i="146"/>
  <c r="AT86" i="146"/>
  <c r="AT90" i="146"/>
  <c r="AD72" i="146"/>
  <c r="AA81" i="146" s="1"/>
  <c r="AF75" i="146"/>
  <c r="AA83" i="146" s="1"/>
  <c r="AG72" i="146"/>
  <c r="AF72" i="146"/>
  <c r="AE72" i="146"/>
  <c r="Z78" i="146"/>
  <c r="AF71" i="146"/>
  <c r="AE71" i="146"/>
  <c r="AT105" i="146"/>
  <c r="AT109" i="146"/>
  <c r="BR12" i="146"/>
  <c r="BR23" i="146"/>
  <c r="BR15" i="146"/>
  <c r="BS27" i="146"/>
  <c r="BS26" i="146"/>
  <c r="BR16" i="146"/>
  <c r="BR21" i="146"/>
  <c r="BR29" i="146"/>
  <c r="BS24" i="146"/>
  <c r="BR30" i="146"/>
  <c r="BS21" i="146"/>
  <c r="BR24" i="146"/>
  <c r="BS31" i="146"/>
  <c r="BR19" i="146"/>
  <c r="AC31" i="144"/>
  <c r="L79" i="144"/>
  <c r="CG78" i="146" l="1"/>
  <c r="CH78" i="146" s="1"/>
  <c r="AW8" i="146"/>
  <c r="CE38" i="146"/>
  <c r="BM109" i="146" s="1"/>
  <c r="BN109" i="146" s="1"/>
  <c r="CD38" i="146"/>
  <c r="BM107" i="146" s="1"/>
  <c r="BX38" i="146"/>
  <c r="BM88" i="146" s="1"/>
  <c r="BY38" i="146"/>
  <c r="BM90" i="146" s="1"/>
  <c r="BN90" i="146" s="1"/>
  <c r="BU38" i="146"/>
  <c r="BM84" i="146" s="1"/>
  <c r="BV38" i="146"/>
  <c r="AH7" i="146"/>
  <c r="AA26" i="146" s="1"/>
  <c r="AH39" i="146"/>
  <c r="AA58" i="146" s="1"/>
  <c r="CK25" i="146"/>
  <c r="CO25" i="146"/>
  <c r="CM25" i="146"/>
  <c r="CY41" i="146"/>
  <c r="CZ41" i="146" s="1"/>
  <c r="CV41" i="146"/>
  <c r="CN25" i="146"/>
  <c r="CP41" i="146"/>
  <c r="CJ25" i="146"/>
  <c r="CS41" i="146"/>
  <c r="CT41" i="146" s="1"/>
  <c r="CL25" i="146"/>
  <c r="CN38" i="146"/>
  <c r="CL38" i="146"/>
  <c r="CJ38" i="146"/>
  <c r="CM15" i="146"/>
  <c r="CO15" i="146"/>
  <c r="CL20" i="146"/>
  <c r="CN20" i="146"/>
  <c r="CL18" i="146"/>
  <c r="CN18" i="146"/>
  <c r="CO8" i="146"/>
  <c r="CV38" i="146"/>
  <c r="CY38" i="146"/>
  <c r="CM8" i="146"/>
  <c r="CM20" i="146"/>
  <c r="CO20" i="146"/>
  <c r="CO22" i="146"/>
  <c r="CM22" i="146"/>
  <c r="CL23" i="146"/>
  <c r="CN23" i="146"/>
  <c r="CN22" i="146"/>
  <c r="CL22" i="146"/>
  <c r="CM12" i="146"/>
  <c r="CO12" i="146"/>
  <c r="CY42" i="146"/>
  <c r="CZ42" i="146" s="1"/>
  <c r="CK30" i="146"/>
  <c r="CM30" i="146"/>
  <c r="CV42" i="146"/>
  <c r="CO30" i="146"/>
  <c r="CL15" i="146"/>
  <c r="CN15" i="146"/>
  <c r="CL17" i="146"/>
  <c r="CN17" i="146"/>
  <c r="CM17" i="146"/>
  <c r="CO17" i="146"/>
  <c r="CL29" i="146"/>
  <c r="CN29" i="146"/>
  <c r="CJ29" i="146"/>
  <c r="CO19" i="146"/>
  <c r="CM19" i="146"/>
  <c r="CL11" i="146"/>
  <c r="CN11" i="146"/>
  <c r="CN19" i="146"/>
  <c r="CL19" i="146"/>
  <c r="CK27" i="146"/>
  <c r="CO27" i="146"/>
  <c r="CM27" i="146"/>
  <c r="CM9" i="146"/>
  <c r="CO9" i="146"/>
  <c r="CP42" i="146"/>
  <c r="CL30" i="146"/>
  <c r="CS42" i="146"/>
  <c r="CT42" i="146" s="1"/>
  <c r="CJ30" i="146"/>
  <c r="CN30" i="146"/>
  <c r="CL12" i="146"/>
  <c r="CN12" i="146"/>
  <c r="CS38" i="146"/>
  <c r="CN8" i="146"/>
  <c r="CP38" i="146"/>
  <c r="CL8" i="146"/>
  <c r="CM14" i="146"/>
  <c r="CO14" i="146"/>
  <c r="CL14" i="146"/>
  <c r="CN14" i="146"/>
  <c r="CV39" i="146"/>
  <c r="CO16" i="146"/>
  <c r="CM16" i="146"/>
  <c r="CY39" i="146"/>
  <c r="CS39" i="146"/>
  <c r="CN16" i="146"/>
  <c r="CP39" i="146"/>
  <c r="CL16" i="146"/>
  <c r="CV40" i="146"/>
  <c r="CK24" i="146"/>
  <c r="CY40" i="146"/>
  <c r="CZ40" i="146" s="1"/>
  <c r="CM24" i="146"/>
  <c r="CO24" i="146"/>
  <c r="CM38" i="146"/>
  <c r="CO38" i="146"/>
  <c r="CK38" i="146"/>
  <c r="CJ27" i="146"/>
  <c r="CL27" i="146"/>
  <c r="CN27" i="146"/>
  <c r="CL9" i="146"/>
  <c r="CN9" i="146"/>
  <c r="CM29" i="146"/>
  <c r="CK29" i="146"/>
  <c r="CO29" i="146"/>
  <c r="CM11" i="146"/>
  <c r="CO11" i="146"/>
  <c r="CO13" i="146"/>
  <c r="CM13" i="146"/>
  <c r="CN13" i="146"/>
  <c r="CL13" i="146"/>
  <c r="CM21" i="146"/>
  <c r="CO21" i="146"/>
  <c r="CP40" i="146"/>
  <c r="CL24" i="146"/>
  <c r="CJ24" i="146"/>
  <c r="CS40" i="146"/>
  <c r="CT40" i="146" s="1"/>
  <c r="CN24" i="146"/>
  <c r="CM26" i="146"/>
  <c r="CO26" i="146"/>
  <c r="CK26" i="146"/>
  <c r="CO28" i="146"/>
  <c r="CK28" i="146"/>
  <c r="CM28" i="146"/>
  <c r="CO10" i="146"/>
  <c r="CM10" i="146"/>
  <c r="CN28" i="146"/>
  <c r="CJ28" i="146"/>
  <c r="CL28" i="146"/>
  <c r="CN10" i="146"/>
  <c r="CL10" i="146"/>
  <c r="CM18" i="146"/>
  <c r="CO18" i="146"/>
  <c r="CL26" i="146"/>
  <c r="CN26" i="146"/>
  <c r="CJ26" i="146"/>
  <c r="CL21" i="146"/>
  <c r="CN21" i="146"/>
  <c r="CM23" i="146"/>
  <c r="CO23" i="146"/>
  <c r="CJ39" i="146"/>
  <c r="CG79" i="146" s="1"/>
  <c r="AR78" i="146"/>
  <c r="AH38" i="146"/>
  <c r="AA51" i="146" s="1"/>
  <c r="CK17" i="146"/>
  <c r="CK20" i="146"/>
  <c r="CK23" i="146"/>
  <c r="CK16" i="146"/>
  <c r="CK18" i="146"/>
  <c r="CK21" i="146"/>
  <c r="CK19" i="146"/>
  <c r="CK22" i="146"/>
  <c r="CJ10" i="146"/>
  <c r="CJ13" i="146"/>
  <c r="CJ8" i="146"/>
  <c r="CJ11" i="146"/>
  <c r="CJ14" i="146"/>
  <c r="CJ9" i="146"/>
  <c r="CJ12" i="146"/>
  <c r="CJ15" i="146"/>
  <c r="CJ17" i="146"/>
  <c r="CJ20" i="146"/>
  <c r="CJ23" i="146"/>
  <c r="CJ18" i="146"/>
  <c r="CJ21" i="146"/>
  <c r="CJ16" i="146"/>
  <c r="CJ19" i="146"/>
  <c r="CJ22" i="146"/>
  <c r="CK8" i="146"/>
  <c r="CK10" i="146"/>
  <c r="CK13" i="146"/>
  <c r="CK11" i="146"/>
  <c r="CK14" i="146"/>
  <c r="CK9" i="146"/>
  <c r="CK12" i="146"/>
  <c r="CK15" i="146"/>
  <c r="BN79" i="146"/>
  <c r="BR88" i="146" s="1"/>
  <c r="AX28" i="146"/>
  <c r="AX17" i="146"/>
  <c r="AX14" i="146"/>
  <c r="AW14" i="146"/>
  <c r="AV38" i="146"/>
  <c r="AQ98" i="146" s="1"/>
  <c r="AX8" i="146"/>
  <c r="BH38" i="146"/>
  <c r="BE38" i="146"/>
  <c r="AQ104" i="146" s="1"/>
  <c r="AV8" i="146"/>
  <c r="AW13" i="146"/>
  <c r="AW28" i="146"/>
  <c r="AW26" i="146"/>
  <c r="AU38" i="146"/>
  <c r="AQ79" i="146" s="1"/>
  <c r="AR79" i="146" s="1"/>
  <c r="AW38" i="146"/>
  <c r="AQ81" i="146" s="1"/>
  <c r="BE40" i="146"/>
  <c r="BF40" i="146" s="1"/>
  <c r="AX24" i="146"/>
  <c r="BH40" i="146"/>
  <c r="BI40" i="146" s="1"/>
  <c r="AW21" i="146"/>
  <c r="AX23" i="146"/>
  <c r="AU41" i="146"/>
  <c r="AW41" i="146"/>
  <c r="AW23" i="146"/>
  <c r="AW22" i="146"/>
  <c r="AU39" i="146"/>
  <c r="AW39" i="146"/>
  <c r="AX13" i="146"/>
  <c r="AW18" i="146"/>
  <c r="AX20" i="146"/>
  <c r="AU40" i="146"/>
  <c r="AW40" i="146"/>
  <c r="AW20" i="146"/>
  <c r="AX19" i="146"/>
  <c r="AW19" i="146"/>
  <c r="BH41" i="146"/>
  <c r="BI41" i="146" s="1"/>
  <c r="AX25" i="146"/>
  <c r="BE41" i="146"/>
  <c r="BF41" i="146" s="1"/>
  <c r="AX18" i="146"/>
  <c r="AV39" i="146"/>
  <c r="AX39" i="146"/>
  <c r="AW15" i="146"/>
  <c r="AY38" i="146"/>
  <c r="AQ85" i="146" s="1"/>
  <c r="BB38" i="146"/>
  <c r="AQ89" i="146" s="1"/>
  <c r="AU8" i="146"/>
  <c r="AW17" i="146"/>
  <c r="AX10" i="146"/>
  <c r="AY39" i="146"/>
  <c r="AZ39" i="146" s="1"/>
  <c r="BB39" i="146"/>
  <c r="AW16" i="146"/>
  <c r="BE39" i="146"/>
  <c r="BF39" i="146" s="1"/>
  <c r="BH39" i="146"/>
  <c r="BI39" i="146" s="1"/>
  <c r="AX16" i="146"/>
  <c r="AX15" i="146"/>
  <c r="AY42" i="146"/>
  <c r="AZ42" i="146" s="1"/>
  <c r="BB42" i="146"/>
  <c r="BC42" i="146" s="1"/>
  <c r="AW30" i="146"/>
  <c r="AW12" i="146"/>
  <c r="AX30" i="146"/>
  <c r="BE42" i="146"/>
  <c r="BF42" i="146" s="1"/>
  <c r="BH42" i="146"/>
  <c r="BI42" i="146" s="1"/>
  <c r="AX12" i="146"/>
  <c r="AW27" i="146"/>
  <c r="AW9" i="146"/>
  <c r="AX29" i="146"/>
  <c r="AW11" i="146"/>
  <c r="AW10" i="146"/>
  <c r="AX27" i="146"/>
  <c r="AX9" i="146"/>
  <c r="BB40" i="146"/>
  <c r="BC40" i="146" s="1"/>
  <c r="AY40" i="146"/>
  <c r="AZ40" i="146" s="1"/>
  <c r="AW24" i="146"/>
  <c r="AV42" i="146"/>
  <c r="AX42" i="146"/>
  <c r="AX11" i="146"/>
  <c r="AU42" i="146"/>
  <c r="AW42" i="146"/>
  <c r="AX38" i="146"/>
  <c r="AQ100" i="146" s="1"/>
  <c r="AV41" i="146"/>
  <c r="AX41" i="146"/>
  <c r="AW29" i="146"/>
  <c r="AX26" i="146"/>
  <c r="AW25" i="146"/>
  <c r="AY41" i="146"/>
  <c r="AZ41" i="146" s="1"/>
  <c r="BB41" i="146"/>
  <c r="BC41" i="146" s="1"/>
  <c r="AX22" i="146"/>
  <c r="AX21" i="146"/>
  <c r="AV40" i="146"/>
  <c r="AX40" i="146"/>
  <c r="BY39" i="146"/>
  <c r="AV16" i="146"/>
  <c r="AV12" i="146"/>
  <c r="AU15" i="146"/>
  <c r="AV30" i="146"/>
  <c r="AV14" i="146"/>
  <c r="AU23" i="146"/>
  <c r="AU9" i="146"/>
  <c r="AU11" i="146"/>
  <c r="AU19" i="146"/>
  <c r="AU28" i="146"/>
  <c r="CB39" i="146"/>
  <c r="CN40" i="146"/>
  <c r="CL40" i="146"/>
  <c r="CJ40" i="146"/>
  <c r="CJ41" i="146"/>
  <c r="CN41" i="146"/>
  <c r="CL41" i="146"/>
  <c r="BY41" i="146"/>
  <c r="AI6" i="146"/>
  <c r="AA20" i="146" s="1"/>
  <c r="AH6" i="146"/>
  <c r="AA19" i="146" s="1"/>
  <c r="AU10" i="146"/>
  <c r="AV26" i="146"/>
  <c r="CB42" i="146"/>
  <c r="CE42" i="146"/>
  <c r="BV42" i="146"/>
  <c r="AU12" i="146"/>
  <c r="AU30" i="146"/>
  <c r="AU17" i="146"/>
  <c r="AV25" i="146"/>
  <c r="AV15" i="146"/>
  <c r="AU13" i="146"/>
  <c r="AU20" i="146"/>
  <c r="AV29" i="146"/>
  <c r="CB38" i="146"/>
  <c r="CA38" i="146"/>
  <c r="BM103" i="146" s="1"/>
  <c r="CE39" i="146"/>
  <c r="BV41" i="146"/>
  <c r="AI72" i="146"/>
  <c r="AA86" i="146" s="1"/>
  <c r="AH72" i="146"/>
  <c r="AA85" i="146" s="1"/>
  <c r="AU18" i="146"/>
  <c r="BV39" i="146"/>
  <c r="BY42" i="146"/>
  <c r="BN108" i="146"/>
  <c r="CE41" i="146"/>
  <c r="AV13" i="146"/>
  <c r="AV10" i="146"/>
  <c r="AV28" i="146"/>
  <c r="AV18" i="146"/>
  <c r="AU26" i="146"/>
  <c r="AV23" i="146"/>
  <c r="AU16" i="146"/>
  <c r="AV21" i="146"/>
  <c r="CM42" i="146"/>
  <c r="CK42" i="146"/>
  <c r="CO42" i="146"/>
  <c r="CB40" i="146"/>
  <c r="BR107" i="146"/>
  <c r="AI73" i="146"/>
  <c r="AA93" i="146" s="1"/>
  <c r="AH73" i="146"/>
  <c r="AA92" i="146" s="1"/>
  <c r="AV11" i="146"/>
  <c r="AU24" i="146"/>
  <c r="CN39" i="146"/>
  <c r="CL39" i="146"/>
  <c r="CK40" i="146"/>
  <c r="CO40" i="146"/>
  <c r="CM40" i="146"/>
  <c r="CO41" i="146"/>
  <c r="CM41" i="146"/>
  <c r="CK41" i="146"/>
  <c r="CE40" i="146"/>
  <c r="BV40" i="146"/>
  <c r="CB41" i="146"/>
  <c r="AU14" i="146"/>
  <c r="AV17" i="146"/>
  <c r="AV20" i="146"/>
  <c r="AU29" i="146"/>
  <c r="AV27" i="146"/>
  <c r="AU21" i="146"/>
  <c r="BY40" i="146"/>
  <c r="AV22" i="146"/>
  <c r="AV19" i="146"/>
  <c r="AU25" i="146"/>
  <c r="AV24" i="146"/>
  <c r="AV9" i="146"/>
  <c r="AU22" i="146"/>
  <c r="AU27" i="146"/>
  <c r="CL42" i="146"/>
  <c r="CJ42" i="146"/>
  <c r="CN42" i="146"/>
  <c r="CK39" i="146"/>
  <c r="CO39" i="146"/>
  <c r="CM39" i="146"/>
  <c r="CG100" i="146" s="1"/>
  <c r="A85" i="144"/>
  <c r="C75" i="144"/>
  <c r="D75" i="144"/>
  <c r="E75" i="144"/>
  <c r="F75" i="144"/>
  <c r="G75" i="144"/>
  <c r="H75" i="144"/>
  <c r="I75" i="144"/>
  <c r="J75" i="144"/>
  <c r="K75" i="144"/>
  <c r="L75" i="144"/>
  <c r="C76" i="144"/>
  <c r="D76" i="144"/>
  <c r="E76" i="144"/>
  <c r="F76" i="144"/>
  <c r="G76" i="144"/>
  <c r="H76" i="144"/>
  <c r="I76" i="144"/>
  <c r="J76" i="144"/>
  <c r="K76" i="144"/>
  <c r="L76" i="144"/>
  <c r="C77" i="144"/>
  <c r="D77" i="144"/>
  <c r="E77" i="144"/>
  <c r="F77" i="144"/>
  <c r="G77" i="144"/>
  <c r="H77" i="144"/>
  <c r="I77" i="144"/>
  <c r="J77" i="144"/>
  <c r="K77" i="144"/>
  <c r="L77" i="144"/>
  <c r="B76" i="144"/>
  <c r="B77" i="144"/>
  <c r="B75" i="144"/>
  <c r="C73" i="144"/>
  <c r="C70" i="144" s="1"/>
  <c r="D73" i="144"/>
  <c r="D70" i="144" s="1"/>
  <c r="E73" i="144"/>
  <c r="E70" i="144" s="1"/>
  <c r="F73" i="144"/>
  <c r="F70" i="144" s="1"/>
  <c r="G73" i="144"/>
  <c r="G70" i="144" s="1"/>
  <c r="H73" i="144"/>
  <c r="H70" i="144" s="1"/>
  <c r="I73" i="144"/>
  <c r="I70" i="144" s="1"/>
  <c r="J73" i="144"/>
  <c r="J70" i="144" s="1"/>
  <c r="K73" i="144"/>
  <c r="K70" i="144" s="1"/>
  <c r="L73" i="144"/>
  <c r="L70" i="144" s="1"/>
  <c r="B73" i="144"/>
  <c r="B70" i="144" s="1"/>
  <c r="C72" i="144"/>
  <c r="C69" i="144" s="1"/>
  <c r="D72" i="144"/>
  <c r="D69" i="144" s="1"/>
  <c r="E72" i="144"/>
  <c r="E69" i="144" s="1"/>
  <c r="F72" i="144"/>
  <c r="F69" i="144" s="1"/>
  <c r="G72" i="144"/>
  <c r="G69" i="144" s="1"/>
  <c r="H72" i="144"/>
  <c r="H69" i="144" s="1"/>
  <c r="I72" i="144"/>
  <c r="I69" i="144" s="1"/>
  <c r="J72" i="144"/>
  <c r="J69" i="144" s="1"/>
  <c r="K72" i="144"/>
  <c r="K69" i="144" s="1"/>
  <c r="L72" i="144"/>
  <c r="L69" i="144" s="1"/>
  <c r="B72" i="144"/>
  <c r="B69" i="144" s="1"/>
  <c r="A72" i="144"/>
  <c r="C35" i="144"/>
  <c r="D35" i="144"/>
  <c r="E35" i="144"/>
  <c r="F35" i="144"/>
  <c r="G35" i="144"/>
  <c r="H35" i="144"/>
  <c r="I35" i="144"/>
  <c r="J35" i="144"/>
  <c r="K35" i="144"/>
  <c r="L35" i="144"/>
  <c r="B35" i="144"/>
  <c r="C36" i="144"/>
  <c r="D36" i="144"/>
  <c r="E36" i="144"/>
  <c r="F36" i="144"/>
  <c r="G36" i="144"/>
  <c r="H36" i="144"/>
  <c r="I36" i="144"/>
  <c r="J36" i="144"/>
  <c r="K36" i="144"/>
  <c r="L36" i="144"/>
  <c r="B36" i="144"/>
  <c r="C37" i="144"/>
  <c r="D37" i="144"/>
  <c r="E37" i="144"/>
  <c r="F37" i="144"/>
  <c r="G37" i="144"/>
  <c r="H37" i="144"/>
  <c r="I37" i="144"/>
  <c r="J37" i="144"/>
  <c r="K37" i="144"/>
  <c r="L37" i="144"/>
  <c r="D95" i="144" s="1"/>
  <c r="B37" i="144"/>
  <c r="B95" i="144" s="1"/>
  <c r="C38" i="144"/>
  <c r="D38" i="144"/>
  <c r="E38" i="144"/>
  <c r="F38" i="144"/>
  <c r="G38" i="144"/>
  <c r="H38" i="144"/>
  <c r="I38" i="144"/>
  <c r="J38" i="144"/>
  <c r="K38" i="144"/>
  <c r="L38" i="144"/>
  <c r="B38" i="144"/>
  <c r="S10" i="144"/>
  <c r="T10" i="144"/>
  <c r="U10" i="144"/>
  <c r="V10" i="144"/>
  <c r="W10" i="144"/>
  <c r="X10" i="144"/>
  <c r="Y10" i="144"/>
  <c r="Z10" i="144"/>
  <c r="AA10" i="144"/>
  <c r="AB10" i="144"/>
  <c r="S11" i="144"/>
  <c r="T11" i="144"/>
  <c r="U11" i="144"/>
  <c r="V11" i="144"/>
  <c r="W11" i="144"/>
  <c r="X11" i="144"/>
  <c r="Y11" i="144"/>
  <c r="Z11" i="144"/>
  <c r="AA11" i="144"/>
  <c r="AB11" i="144"/>
  <c r="S12" i="144"/>
  <c r="T12" i="144"/>
  <c r="U12" i="144"/>
  <c r="V12" i="144"/>
  <c r="W12" i="144"/>
  <c r="X12" i="144"/>
  <c r="Y12" i="144"/>
  <c r="Z12" i="144"/>
  <c r="AA12" i="144"/>
  <c r="AB12" i="144"/>
  <c r="S13" i="144"/>
  <c r="T13" i="144"/>
  <c r="U13" i="144"/>
  <c r="V13" i="144"/>
  <c r="W13" i="144"/>
  <c r="X13" i="144"/>
  <c r="Y13" i="144"/>
  <c r="Z13" i="144"/>
  <c r="AA13" i="144"/>
  <c r="AB13" i="144"/>
  <c r="S14" i="144"/>
  <c r="T14" i="144"/>
  <c r="U14" i="144"/>
  <c r="V14" i="144"/>
  <c r="W14" i="144"/>
  <c r="X14" i="144"/>
  <c r="Y14" i="144"/>
  <c r="Z14" i="144"/>
  <c r="AA14" i="144"/>
  <c r="AB14" i="144"/>
  <c r="S15" i="144"/>
  <c r="T15" i="144"/>
  <c r="U15" i="144"/>
  <c r="V15" i="144"/>
  <c r="W15" i="144"/>
  <c r="X15" i="144"/>
  <c r="Y15" i="144"/>
  <c r="Z15" i="144"/>
  <c r="AA15" i="144"/>
  <c r="AB15" i="144"/>
  <c r="S16" i="144"/>
  <c r="T16" i="144"/>
  <c r="U16" i="144"/>
  <c r="V16" i="144"/>
  <c r="W16" i="144"/>
  <c r="X16" i="144"/>
  <c r="Y16" i="144"/>
  <c r="Z16" i="144"/>
  <c r="AA16" i="144"/>
  <c r="AB16" i="144"/>
  <c r="S17" i="144"/>
  <c r="T17" i="144"/>
  <c r="U17" i="144"/>
  <c r="V17" i="144"/>
  <c r="W17" i="144"/>
  <c r="X17" i="144"/>
  <c r="Y17" i="144"/>
  <c r="Z17" i="144"/>
  <c r="AA17" i="144"/>
  <c r="AB17" i="144"/>
  <c r="S18" i="144"/>
  <c r="T18" i="144"/>
  <c r="U18" i="144"/>
  <c r="V18" i="144"/>
  <c r="W18" i="144"/>
  <c r="X18" i="144"/>
  <c r="Y18" i="144"/>
  <c r="Z18" i="144"/>
  <c r="AA18" i="144"/>
  <c r="AB18" i="144"/>
  <c r="R11" i="144"/>
  <c r="R12" i="144"/>
  <c r="R13" i="144"/>
  <c r="R14" i="144"/>
  <c r="R15" i="144"/>
  <c r="R16" i="144"/>
  <c r="R17" i="144"/>
  <c r="R18" i="144"/>
  <c r="Q9" i="144"/>
  <c r="R10" i="144"/>
  <c r="L18" i="144"/>
  <c r="L17" i="144"/>
  <c r="L16" i="144"/>
  <c r="L15" i="144"/>
  <c r="L14" i="144"/>
  <c r="L13" i="144"/>
  <c r="L12" i="144"/>
  <c r="L11" i="144"/>
  <c r="L10" i="144"/>
  <c r="K18" i="144"/>
  <c r="K17" i="144"/>
  <c r="K16" i="144"/>
  <c r="K15" i="144"/>
  <c r="K14" i="144"/>
  <c r="K13" i="144"/>
  <c r="K12" i="144"/>
  <c r="K11" i="144"/>
  <c r="K10" i="144"/>
  <c r="J18" i="144"/>
  <c r="J17" i="144"/>
  <c r="J16" i="144"/>
  <c r="J15" i="144"/>
  <c r="J14" i="144"/>
  <c r="J13" i="144"/>
  <c r="J12" i="144"/>
  <c r="J11" i="144"/>
  <c r="J10" i="144"/>
  <c r="I18" i="144"/>
  <c r="I17" i="144"/>
  <c r="I16" i="144"/>
  <c r="I15" i="144"/>
  <c r="I14" i="144"/>
  <c r="I13" i="144"/>
  <c r="I12" i="144"/>
  <c r="I11" i="144"/>
  <c r="I10" i="144"/>
  <c r="H18" i="144"/>
  <c r="H17" i="144"/>
  <c r="H16" i="144"/>
  <c r="H15" i="144"/>
  <c r="H14" i="144"/>
  <c r="H13" i="144"/>
  <c r="H12" i="144"/>
  <c r="H11" i="144"/>
  <c r="H10" i="144"/>
  <c r="G18" i="144"/>
  <c r="G17" i="144"/>
  <c r="G16" i="144"/>
  <c r="G15" i="144"/>
  <c r="G14" i="144"/>
  <c r="G13" i="144"/>
  <c r="G12" i="144"/>
  <c r="G11" i="144"/>
  <c r="G10" i="144"/>
  <c r="F18" i="144"/>
  <c r="F17" i="144"/>
  <c r="F16" i="144"/>
  <c r="F15" i="144"/>
  <c r="F14" i="144"/>
  <c r="F13" i="144"/>
  <c r="F12" i="144"/>
  <c r="F11" i="144"/>
  <c r="F10" i="144"/>
  <c r="E18" i="144"/>
  <c r="E17" i="144"/>
  <c r="E16" i="144"/>
  <c r="E15" i="144"/>
  <c r="E14" i="144"/>
  <c r="E13" i="144"/>
  <c r="E12" i="144"/>
  <c r="E11" i="144"/>
  <c r="E10" i="144"/>
  <c r="D18" i="144"/>
  <c r="D17" i="144"/>
  <c r="D16" i="144"/>
  <c r="D15" i="144"/>
  <c r="D14" i="144"/>
  <c r="D13" i="144"/>
  <c r="D12" i="144"/>
  <c r="D11" i="144"/>
  <c r="D10" i="144"/>
  <c r="C18" i="144"/>
  <c r="C17" i="144"/>
  <c r="C16" i="144"/>
  <c r="C15" i="144"/>
  <c r="C14" i="144"/>
  <c r="C13" i="144"/>
  <c r="C12" i="144"/>
  <c r="C11" i="144"/>
  <c r="C10" i="144"/>
  <c r="B18" i="144"/>
  <c r="B17" i="144"/>
  <c r="B16" i="144"/>
  <c r="B15" i="144"/>
  <c r="B14" i="144"/>
  <c r="B13" i="144"/>
  <c r="B12" i="144"/>
  <c r="B11" i="144"/>
  <c r="B10" i="144"/>
  <c r="AR98" i="146" l="1"/>
  <c r="BI38" i="146"/>
  <c r="AQ107" i="146" s="1"/>
  <c r="AQ108" i="146"/>
  <c r="AR108" i="146" s="1"/>
  <c r="BM105" i="146"/>
  <c r="BN105" i="146" s="1"/>
  <c r="BR100" i="146" s="1"/>
  <c r="BS112" i="146" s="1"/>
  <c r="BM86" i="146"/>
  <c r="BN86" i="146" s="1"/>
  <c r="BR82" i="146" s="1"/>
  <c r="BS92" i="146" s="1"/>
  <c r="R79" i="144"/>
  <c r="B102" i="144" s="1"/>
  <c r="AD45" i="146"/>
  <c r="CG81" i="146"/>
  <c r="CG98" i="146"/>
  <c r="CH98" i="146" s="1"/>
  <c r="CL107" i="146" s="1"/>
  <c r="CH79" i="146"/>
  <c r="L81" i="144"/>
  <c r="B55" i="144"/>
  <c r="B81" i="144"/>
  <c r="F81" i="144"/>
  <c r="CT39" i="146"/>
  <c r="CG89" i="146"/>
  <c r="CH89" i="146" s="1"/>
  <c r="CT38" i="146"/>
  <c r="CU38" i="146"/>
  <c r="CZ39" i="146"/>
  <c r="CG108" i="146"/>
  <c r="CH108" i="146" s="1"/>
  <c r="CQ42" i="146"/>
  <c r="CR42" i="146"/>
  <c r="CW41" i="146"/>
  <c r="CX41" i="146"/>
  <c r="CQ40" i="146"/>
  <c r="CR40" i="146"/>
  <c r="CW40" i="146"/>
  <c r="CX40" i="146"/>
  <c r="CZ38" i="146"/>
  <c r="DA38" i="146"/>
  <c r="CW38" i="146"/>
  <c r="CX38" i="146"/>
  <c r="CQ39" i="146"/>
  <c r="CR39" i="146"/>
  <c r="CW39" i="146"/>
  <c r="CX39" i="146"/>
  <c r="CG104" i="146"/>
  <c r="CH104" i="146" s="1"/>
  <c r="CR38" i="146"/>
  <c r="CQ38" i="146"/>
  <c r="CX42" i="146"/>
  <c r="CW42" i="146"/>
  <c r="CQ41" i="146"/>
  <c r="CR41" i="146"/>
  <c r="AD79" i="146"/>
  <c r="BD39" i="146"/>
  <c r="BC39" i="146"/>
  <c r="BA38" i="146"/>
  <c r="AQ86" i="146" s="1"/>
  <c r="AR86" i="146" s="1"/>
  <c r="AZ38" i="146"/>
  <c r="AQ84" i="146" s="1"/>
  <c r="BF38" i="146"/>
  <c r="AQ103" i="146" s="1"/>
  <c r="BG38" i="146"/>
  <c r="AQ105" i="146" s="1"/>
  <c r="AR105" i="146" s="1"/>
  <c r="BC38" i="146"/>
  <c r="AQ88" i="146" s="1"/>
  <c r="BD38" i="146"/>
  <c r="AQ90" i="146" s="1"/>
  <c r="AR90" i="146" s="1"/>
  <c r="AD13" i="146"/>
  <c r="AV88" i="146"/>
  <c r="AR89" i="146"/>
  <c r="BJ40" i="146"/>
  <c r="CU42" i="146"/>
  <c r="DA39" i="146"/>
  <c r="BJ38" i="146"/>
  <c r="AQ109" i="146" s="1"/>
  <c r="AR109" i="146" s="1"/>
  <c r="DA42" i="146"/>
  <c r="CG85" i="146"/>
  <c r="CH85" i="146" s="1"/>
  <c r="BJ41" i="146"/>
  <c r="DA40" i="146"/>
  <c r="CU41" i="146"/>
  <c r="BA42" i="146"/>
  <c r="AR104" i="146"/>
  <c r="BA39" i="146"/>
  <c r="BD42" i="146"/>
  <c r="BG41" i="146"/>
  <c r="AV107" i="146"/>
  <c r="BG39" i="146"/>
  <c r="BD40" i="146"/>
  <c r="BA40" i="146"/>
  <c r="BA41" i="146"/>
  <c r="BG40" i="146"/>
  <c r="BG42" i="146"/>
  <c r="BJ39" i="146"/>
  <c r="BD41" i="146"/>
  <c r="CU40" i="146"/>
  <c r="DA41" i="146"/>
  <c r="AR85" i="146"/>
  <c r="BJ42" i="146"/>
  <c r="CU39" i="146"/>
  <c r="B51" i="144"/>
  <c r="S85" i="144"/>
  <c r="R85" i="144"/>
  <c r="S87" i="144"/>
  <c r="R87" i="144"/>
  <c r="S86" i="144"/>
  <c r="R86" i="144"/>
  <c r="M73" i="144"/>
  <c r="R80" i="144"/>
  <c r="B103" i="144" s="1"/>
  <c r="S80" i="144"/>
  <c r="D103" i="144" s="1"/>
  <c r="U80" i="144"/>
  <c r="D108" i="144" s="1"/>
  <c r="T80" i="144"/>
  <c r="B108" i="144" s="1"/>
  <c r="U81" i="144"/>
  <c r="D109" i="144" s="1"/>
  <c r="T81" i="144"/>
  <c r="B109" i="144" s="1"/>
  <c r="T79" i="144"/>
  <c r="B107" i="144" s="1"/>
  <c r="U79" i="144"/>
  <c r="D107" i="144" s="1"/>
  <c r="S79" i="144"/>
  <c r="D102" i="144" s="1"/>
  <c r="S81" i="144"/>
  <c r="D104" i="144" s="1"/>
  <c r="R81" i="144"/>
  <c r="B104" i="144" s="1"/>
  <c r="O72" i="144"/>
  <c r="N72" i="144"/>
  <c r="M72" i="144"/>
  <c r="B96" i="144" s="1"/>
  <c r="A114" i="144" s="1"/>
  <c r="G42" i="144"/>
  <c r="I42" i="144"/>
  <c r="C42" i="144"/>
  <c r="B56" i="144"/>
  <c r="L42" i="144"/>
  <c r="C61" i="144" s="1"/>
  <c r="F42" i="144"/>
  <c r="K42" i="144"/>
  <c r="E42" i="144"/>
  <c r="J42" i="144"/>
  <c r="D42" i="144"/>
  <c r="H42" i="144"/>
  <c r="B54" i="144"/>
  <c r="B42" i="144"/>
  <c r="C60" i="144" s="1"/>
  <c r="CG103" i="146" l="1"/>
  <c r="CG107" i="146"/>
  <c r="CG105" i="146"/>
  <c r="CH105" i="146" s="1"/>
  <c r="CG88" i="146"/>
  <c r="A132" i="144"/>
  <c r="A126" i="144"/>
  <c r="G114" i="144" s="1"/>
  <c r="A120" i="144"/>
  <c r="CG86" i="146"/>
  <c r="CH86" i="146" s="1"/>
  <c r="CG84" i="146"/>
  <c r="CL88" i="146"/>
  <c r="CG90" i="146"/>
  <c r="CH90" i="146" s="1"/>
  <c r="CG109" i="146"/>
  <c r="CH109" i="146" s="1"/>
  <c r="AV100" i="146"/>
  <c r="AW112" i="146" s="1"/>
  <c r="AV82" i="146"/>
  <c r="AW92" i="146" s="1"/>
  <c r="D51" i="144"/>
  <c r="CL100" i="146" l="1"/>
  <c r="CM112" i="146" s="1"/>
  <c r="CL82" i="146"/>
  <c r="CM92" i="146" s="1"/>
  <c r="G120" i="144"/>
  <c r="C39" i="144" l="1"/>
  <c r="C41" i="144" s="1"/>
  <c r="D39" i="144"/>
  <c r="D41" i="144" s="1"/>
  <c r="E39" i="144"/>
  <c r="E41" i="144" s="1"/>
  <c r="F39" i="144"/>
  <c r="F41" i="144" s="1"/>
  <c r="G39" i="144"/>
  <c r="G41" i="144" s="1"/>
  <c r="H39" i="144"/>
  <c r="H41" i="144" s="1"/>
  <c r="I39" i="144"/>
  <c r="I41" i="144" s="1"/>
  <c r="J39" i="144"/>
  <c r="J41" i="144" s="1"/>
  <c r="K39" i="144"/>
  <c r="K41" i="144" s="1"/>
  <c r="L39" i="144"/>
  <c r="L41" i="144" s="1"/>
  <c r="E61" i="144" s="1"/>
  <c r="B39" i="144"/>
  <c r="B41" i="144" s="1"/>
  <c r="E60" i="144" s="1"/>
  <c r="A33" i="144"/>
  <c r="AB6" i="144"/>
  <c r="AA6" i="144"/>
  <c r="Z6" i="144"/>
  <c r="Y6" i="144"/>
  <c r="X6" i="144"/>
  <c r="W6" i="144"/>
  <c r="V6" i="144"/>
  <c r="U6" i="144"/>
  <c r="T6" i="144"/>
  <c r="S6" i="144"/>
  <c r="AB23" i="144"/>
  <c r="AA23" i="144"/>
  <c r="AA24" i="144" s="1"/>
  <c r="Z23" i="144"/>
  <c r="Z24" i="144" s="1"/>
  <c r="Y23" i="144"/>
  <c r="Y24" i="144" s="1"/>
  <c r="X23" i="144"/>
  <c r="W23" i="144"/>
  <c r="V23" i="144"/>
  <c r="U23" i="144"/>
  <c r="U24" i="144" s="1"/>
  <c r="T23" i="144"/>
  <c r="T24" i="144" s="1"/>
  <c r="S23" i="144"/>
  <c r="S24" i="144" s="1"/>
  <c r="R23" i="144"/>
  <c r="AB22" i="144"/>
  <c r="AA22" i="144"/>
  <c r="Z22" i="144"/>
  <c r="Y22" i="144"/>
  <c r="X22" i="144"/>
  <c r="X24" i="144" s="1"/>
  <c r="W22" i="144"/>
  <c r="V22" i="144"/>
  <c r="U22" i="144"/>
  <c r="T22" i="144"/>
  <c r="S22" i="144"/>
  <c r="R22" i="144"/>
  <c r="R24" i="144" s="1"/>
  <c r="AB21" i="144"/>
  <c r="AA21" i="144"/>
  <c r="Z21" i="144"/>
  <c r="Y21" i="144"/>
  <c r="X21" i="144"/>
  <c r="W21" i="144"/>
  <c r="AC22" i="144" s="1"/>
  <c r="V21" i="144"/>
  <c r="U21" i="144"/>
  <c r="T21" i="144"/>
  <c r="S21" i="144"/>
  <c r="R21" i="144"/>
  <c r="AB20" i="144"/>
  <c r="AA20" i="144"/>
  <c r="Z20" i="144"/>
  <c r="Y20" i="144"/>
  <c r="X20" i="144"/>
  <c r="W20" i="144"/>
  <c r="V20" i="144"/>
  <c r="U20" i="144"/>
  <c r="T20" i="144"/>
  <c r="S20" i="144"/>
  <c r="R20" i="144"/>
  <c r="AB8" i="144"/>
  <c r="AA8" i="144"/>
  <c r="Z8" i="144"/>
  <c r="Y8" i="144"/>
  <c r="X8" i="144"/>
  <c r="W8" i="144"/>
  <c r="V8" i="144"/>
  <c r="U8" i="144"/>
  <c r="T8" i="144"/>
  <c r="S8" i="144"/>
  <c r="R8" i="144"/>
  <c r="AB7" i="144"/>
  <c r="AA7" i="144"/>
  <c r="Z7" i="144"/>
  <c r="Y7" i="144"/>
  <c r="X7" i="144"/>
  <c r="W7" i="144"/>
  <c r="V7" i="144"/>
  <c r="U7" i="144"/>
  <c r="T7" i="144"/>
  <c r="S7" i="144"/>
  <c r="R7" i="144"/>
  <c r="R6" i="144"/>
  <c r="AC24" i="144"/>
  <c r="W24" i="144"/>
  <c r="V24" i="144"/>
  <c r="AC23" i="144"/>
  <c r="J81" i="144"/>
  <c r="I81" i="144"/>
  <c r="H81" i="144"/>
  <c r="D81" i="144"/>
  <c r="C81" i="144"/>
  <c r="K79" i="144"/>
  <c r="J79" i="144"/>
  <c r="I79" i="144"/>
  <c r="H79" i="144"/>
  <c r="G79" i="144"/>
  <c r="F79" i="144"/>
  <c r="E79" i="144"/>
  <c r="D79" i="144"/>
  <c r="M75" i="144"/>
  <c r="K81" i="144"/>
  <c r="G81" i="144"/>
  <c r="E81" i="144"/>
  <c r="L71" i="144"/>
  <c r="H71" i="144"/>
  <c r="G71" i="144"/>
  <c r="F71" i="144"/>
  <c r="B71" i="144"/>
  <c r="L23" i="144"/>
  <c r="L24" i="144" s="1"/>
  <c r="K23" i="144"/>
  <c r="K24" i="144" s="1"/>
  <c r="J23" i="144"/>
  <c r="J24" i="144" s="1"/>
  <c r="I23" i="144"/>
  <c r="I24" i="144" s="1"/>
  <c r="H23" i="144"/>
  <c r="H24" i="144" s="1"/>
  <c r="G23" i="144"/>
  <c r="G24" i="144" s="1"/>
  <c r="F23" i="144"/>
  <c r="F24" i="144" s="1"/>
  <c r="E23" i="144"/>
  <c r="E24" i="144" s="1"/>
  <c r="D23" i="144"/>
  <c r="D24" i="144" s="1"/>
  <c r="C23" i="144"/>
  <c r="C24" i="144" s="1"/>
  <c r="B23" i="144"/>
  <c r="B24" i="144" s="1"/>
  <c r="L22" i="144"/>
  <c r="K22" i="144"/>
  <c r="J22" i="144"/>
  <c r="I22" i="144"/>
  <c r="H22" i="144"/>
  <c r="G22" i="144"/>
  <c r="F22" i="144"/>
  <c r="E22" i="144"/>
  <c r="D22" i="144"/>
  <c r="C22" i="144"/>
  <c r="B22" i="144"/>
  <c r="L25" i="144" s="1"/>
  <c r="M21" i="144"/>
  <c r="L21" i="144"/>
  <c r="K21" i="144"/>
  <c r="J21" i="144"/>
  <c r="I21" i="144"/>
  <c r="H21" i="144"/>
  <c r="G21" i="144"/>
  <c r="M22" i="144" s="1"/>
  <c r="F21" i="144"/>
  <c r="E21" i="144"/>
  <c r="D21" i="144"/>
  <c r="C21" i="144"/>
  <c r="B21" i="144"/>
  <c r="L20" i="144"/>
  <c r="K20" i="144"/>
  <c r="J20" i="144"/>
  <c r="I20" i="144"/>
  <c r="H20" i="144"/>
  <c r="G20" i="144"/>
  <c r="F20" i="144"/>
  <c r="E20" i="144"/>
  <c r="D20" i="144"/>
  <c r="C20" i="144"/>
  <c r="B20" i="144"/>
  <c r="L8" i="144"/>
  <c r="K8" i="144"/>
  <c r="J8" i="144"/>
  <c r="I8" i="144"/>
  <c r="H8" i="144"/>
  <c r="G8" i="144"/>
  <c r="F8" i="144"/>
  <c r="E8" i="144"/>
  <c r="D8" i="144"/>
  <c r="C8" i="144"/>
  <c r="B8" i="144"/>
  <c r="L7" i="144"/>
  <c r="K7" i="144"/>
  <c r="J7" i="144"/>
  <c r="I7" i="144"/>
  <c r="H7" i="144"/>
  <c r="G7" i="144"/>
  <c r="F7" i="144"/>
  <c r="E7" i="144"/>
  <c r="D7" i="144"/>
  <c r="C7" i="144"/>
  <c r="B7" i="144"/>
  <c r="L6" i="144"/>
  <c r="L34" i="144" s="1"/>
  <c r="K6" i="144"/>
  <c r="K71" i="144" s="1"/>
  <c r="J6" i="144"/>
  <c r="J34" i="144" s="1"/>
  <c r="I6" i="144"/>
  <c r="I34" i="144" s="1"/>
  <c r="H6" i="144"/>
  <c r="H34" i="144" s="1"/>
  <c r="G6" i="144"/>
  <c r="G34" i="144" s="1"/>
  <c r="F6" i="144"/>
  <c r="F34" i="144" s="1"/>
  <c r="E6" i="144"/>
  <c r="E71" i="144" s="1"/>
  <c r="D6" i="144"/>
  <c r="D34" i="144" s="1"/>
  <c r="C6" i="144"/>
  <c r="C34" i="144" s="1"/>
  <c r="B6" i="144"/>
  <c r="B34" i="144" s="1"/>
  <c r="T38" i="82"/>
  <c r="H38" i="82"/>
  <c r="M23" i="82"/>
  <c r="N22" i="82"/>
  <c r="P23" i="82"/>
  <c r="O23" i="82"/>
  <c r="O7" i="82"/>
  <c r="O22" i="82"/>
  <c r="N23" i="82"/>
  <c r="M8" i="82"/>
  <c r="R43" i="82"/>
  <c r="N7" i="82"/>
  <c r="R34" i="82"/>
  <c r="O8" i="82"/>
  <c r="P8" i="82"/>
  <c r="R33" i="82"/>
  <c r="D55" i="144" l="1"/>
  <c r="N39" i="144"/>
  <c r="AB25" i="144"/>
  <c r="AC25" i="144"/>
  <c r="AB24" i="144"/>
  <c r="AC21" i="144"/>
  <c r="N36" i="144"/>
  <c r="N38" i="144"/>
  <c r="C71" i="144"/>
  <c r="I71" i="144"/>
  <c r="M23" i="144"/>
  <c r="M24" i="144"/>
  <c r="E34" i="144"/>
  <c r="K34" i="144"/>
  <c r="M25" i="144"/>
  <c r="O35" i="144"/>
  <c r="D71" i="144"/>
  <c r="J71" i="144"/>
  <c r="N35" i="144"/>
  <c r="S11" i="97"/>
  <c r="T11" i="97"/>
  <c r="U11" i="97"/>
  <c r="V11" i="97"/>
  <c r="W11" i="97"/>
  <c r="X11" i="97"/>
  <c r="Y11" i="97"/>
  <c r="Z11" i="97"/>
  <c r="AA11" i="97"/>
  <c r="AB11" i="97"/>
  <c r="S12" i="97"/>
  <c r="T12" i="97"/>
  <c r="U12" i="97"/>
  <c r="V12" i="97"/>
  <c r="W12" i="97"/>
  <c r="X12" i="97"/>
  <c r="Y12" i="97"/>
  <c r="Z12" i="97"/>
  <c r="AA12" i="97"/>
  <c r="AB12" i="97"/>
  <c r="S13" i="97"/>
  <c r="T13" i="97"/>
  <c r="U13" i="97"/>
  <c r="V13" i="97"/>
  <c r="W13" i="97"/>
  <c r="X13" i="97"/>
  <c r="Y13" i="97"/>
  <c r="Z13" i="97"/>
  <c r="AA13" i="97"/>
  <c r="AB13" i="97"/>
  <c r="R12" i="97"/>
  <c r="R13" i="97"/>
  <c r="R11" i="97"/>
  <c r="AB8" i="97"/>
  <c r="AA8" i="97"/>
  <c r="Z8" i="97"/>
  <c r="Y8" i="97"/>
  <c r="X8" i="97"/>
  <c r="W8" i="97"/>
  <c r="V8" i="97"/>
  <c r="U8" i="97"/>
  <c r="T8" i="97"/>
  <c r="S8" i="97"/>
  <c r="R8" i="97"/>
  <c r="S11" i="98"/>
  <c r="T11" i="98"/>
  <c r="U11" i="98"/>
  <c r="V11" i="98"/>
  <c r="W11" i="98"/>
  <c r="X11" i="98"/>
  <c r="Y11" i="98"/>
  <c r="Z11" i="98"/>
  <c r="AA11" i="98"/>
  <c r="AB11" i="98"/>
  <c r="S12" i="98"/>
  <c r="T12" i="98"/>
  <c r="U12" i="98"/>
  <c r="V12" i="98"/>
  <c r="W12" i="98"/>
  <c r="X12" i="98"/>
  <c r="Y12" i="98"/>
  <c r="Z12" i="98"/>
  <c r="AA12" i="98"/>
  <c r="AB12" i="98"/>
  <c r="S13" i="98"/>
  <c r="T13" i="98"/>
  <c r="U13" i="98"/>
  <c r="V13" i="98"/>
  <c r="W13" i="98"/>
  <c r="X13" i="98"/>
  <c r="Y13" i="98"/>
  <c r="Z13" i="98"/>
  <c r="AA13" i="98"/>
  <c r="AB13" i="98"/>
  <c r="R12" i="98"/>
  <c r="R13" i="98"/>
  <c r="R11" i="98"/>
  <c r="AB8" i="98" l="1"/>
  <c r="Z8" i="98"/>
  <c r="AA8" i="98"/>
  <c r="S8" i="98"/>
  <c r="T8" i="98"/>
  <c r="U8" i="98"/>
  <c r="V8" i="98"/>
  <c r="W8" i="98"/>
  <c r="X8" i="98"/>
  <c r="Y8" i="98"/>
  <c r="R8" i="98"/>
  <c r="O6" i="56" l="1"/>
  <c r="O30" i="137"/>
  <c r="O29" i="137"/>
  <c r="O28" i="137"/>
  <c r="O27" i="137"/>
  <c r="O26" i="137"/>
  <c r="O25" i="137"/>
  <c r="O24" i="137"/>
  <c r="O23" i="137"/>
  <c r="O22" i="137"/>
  <c r="O21" i="137"/>
  <c r="O20" i="137"/>
  <c r="O19" i="137"/>
  <c r="O18" i="137"/>
  <c r="O17" i="137"/>
  <c r="O16" i="137"/>
  <c r="O15" i="137"/>
  <c r="O14" i="137"/>
  <c r="O13" i="137"/>
  <c r="O12" i="137"/>
  <c r="O11" i="137"/>
  <c r="O10" i="137"/>
  <c r="O9" i="137"/>
  <c r="O8" i="137"/>
  <c r="O7" i="137"/>
  <c r="O6" i="137"/>
  <c r="N7" i="136"/>
  <c r="O7" i="136"/>
  <c r="P7" i="136"/>
  <c r="Q7" i="136"/>
  <c r="R7" i="136"/>
  <c r="S7" i="136"/>
  <c r="T7" i="136"/>
  <c r="U7" i="136"/>
  <c r="V7" i="136"/>
  <c r="W7" i="136"/>
  <c r="X7" i="136"/>
  <c r="Y7" i="136"/>
  <c r="Z7" i="136"/>
  <c r="AA7" i="136"/>
  <c r="AB7" i="136"/>
  <c r="AC7" i="136"/>
  <c r="AD7" i="136"/>
  <c r="AE7" i="136"/>
  <c r="AF7" i="136"/>
  <c r="AG7" i="136"/>
  <c r="AH7" i="136"/>
  <c r="AI7" i="136"/>
  <c r="AJ7" i="136"/>
  <c r="AK7" i="136"/>
  <c r="N8" i="136"/>
  <c r="O8" i="136"/>
  <c r="P8" i="136"/>
  <c r="Q8" i="136"/>
  <c r="R8" i="136"/>
  <c r="S8" i="136"/>
  <c r="T8" i="136"/>
  <c r="U8" i="136"/>
  <c r="V8" i="136"/>
  <c r="W8" i="136"/>
  <c r="X8" i="136"/>
  <c r="Y8" i="136"/>
  <c r="Z8" i="136"/>
  <c r="AA8" i="136"/>
  <c r="AB8" i="136"/>
  <c r="AC8" i="136"/>
  <c r="AD8" i="136"/>
  <c r="AE8" i="136"/>
  <c r="AF8" i="136"/>
  <c r="AG8" i="136"/>
  <c r="AH8" i="136"/>
  <c r="AI8" i="136"/>
  <c r="AJ8" i="136"/>
  <c r="AK8" i="136"/>
  <c r="N9" i="136"/>
  <c r="O9" i="136"/>
  <c r="P9" i="136"/>
  <c r="Q9" i="136"/>
  <c r="R9" i="136"/>
  <c r="S9" i="136"/>
  <c r="T9" i="136"/>
  <c r="U9" i="136"/>
  <c r="V9" i="136"/>
  <c r="W9" i="136"/>
  <c r="X9" i="136"/>
  <c r="Y9" i="136"/>
  <c r="Z9" i="136"/>
  <c r="AA9" i="136"/>
  <c r="AB9" i="136"/>
  <c r="AC9" i="136"/>
  <c r="AD9" i="136"/>
  <c r="AE9" i="136"/>
  <c r="AF9" i="136"/>
  <c r="AG9" i="136"/>
  <c r="AH9" i="136"/>
  <c r="AI9" i="136"/>
  <c r="AJ9" i="136"/>
  <c r="AK9" i="136"/>
  <c r="N10" i="136"/>
  <c r="O10" i="136"/>
  <c r="P10" i="136"/>
  <c r="Q10" i="136"/>
  <c r="R10" i="136"/>
  <c r="S10" i="136"/>
  <c r="T10" i="136"/>
  <c r="U10" i="136"/>
  <c r="V10" i="136"/>
  <c r="W10" i="136"/>
  <c r="X10" i="136"/>
  <c r="Y10" i="136"/>
  <c r="Z10" i="136"/>
  <c r="AA10" i="136"/>
  <c r="AB10" i="136"/>
  <c r="AC10" i="136"/>
  <c r="AD10" i="136"/>
  <c r="AE10" i="136"/>
  <c r="AF10" i="136"/>
  <c r="AG10" i="136"/>
  <c r="AH10" i="136"/>
  <c r="AI10" i="136"/>
  <c r="AJ10" i="136"/>
  <c r="AK10" i="136"/>
  <c r="N11" i="136"/>
  <c r="O11" i="136"/>
  <c r="P11" i="136"/>
  <c r="Q11" i="136"/>
  <c r="R11" i="136"/>
  <c r="S11" i="136"/>
  <c r="T11" i="136"/>
  <c r="U11" i="136"/>
  <c r="V11" i="136"/>
  <c r="W11" i="136"/>
  <c r="X11" i="136"/>
  <c r="Y11" i="136"/>
  <c r="Z11" i="136"/>
  <c r="AA11" i="136"/>
  <c r="AB11" i="136"/>
  <c r="AC11" i="136"/>
  <c r="AD11" i="136"/>
  <c r="AE11" i="136"/>
  <c r="AF11" i="136"/>
  <c r="AG11" i="136"/>
  <c r="AH11" i="136"/>
  <c r="AI11" i="136"/>
  <c r="AJ11" i="136"/>
  <c r="AK11" i="136"/>
  <c r="N12" i="136"/>
  <c r="O12" i="136"/>
  <c r="P12" i="136"/>
  <c r="Q12" i="136"/>
  <c r="R12" i="136"/>
  <c r="S12" i="136"/>
  <c r="T12" i="136"/>
  <c r="U12" i="136"/>
  <c r="V12" i="136"/>
  <c r="W12" i="136"/>
  <c r="X12" i="136"/>
  <c r="Y12" i="136"/>
  <c r="Z12" i="136"/>
  <c r="AA12" i="136"/>
  <c r="AB12" i="136"/>
  <c r="AC12" i="136"/>
  <c r="AD12" i="136"/>
  <c r="AE12" i="136"/>
  <c r="AF12" i="136"/>
  <c r="AG12" i="136"/>
  <c r="AH12" i="136"/>
  <c r="AI12" i="136"/>
  <c r="AJ12" i="136"/>
  <c r="AK12" i="136"/>
  <c r="N13" i="136"/>
  <c r="O13" i="136"/>
  <c r="P13" i="136"/>
  <c r="Q13" i="136"/>
  <c r="R13" i="136"/>
  <c r="S13" i="136"/>
  <c r="T13" i="136"/>
  <c r="U13" i="136"/>
  <c r="V13" i="136"/>
  <c r="W13" i="136"/>
  <c r="X13" i="136"/>
  <c r="Y13" i="136"/>
  <c r="Z13" i="136"/>
  <c r="AA13" i="136"/>
  <c r="AB13" i="136"/>
  <c r="AC13" i="136"/>
  <c r="AD13" i="136"/>
  <c r="AE13" i="136"/>
  <c r="AF13" i="136"/>
  <c r="AG13" i="136"/>
  <c r="AH13" i="136"/>
  <c r="AI13" i="136"/>
  <c r="AJ13" i="136"/>
  <c r="AK13" i="136"/>
  <c r="N14" i="136"/>
  <c r="O14" i="136"/>
  <c r="P14" i="136"/>
  <c r="Q14" i="136"/>
  <c r="R14" i="136"/>
  <c r="S14" i="136"/>
  <c r="T14" i="136"/>
  <c r="U14" i="136"/>
  <c r="V14" i="136"/>
  <c r="W14" i="136"/>
  <c r="X14" i="136"/>
  <c r="Y14" i="136"/>
  <c r="Z14" i="136"/>
  <c r="AA14" i="136"/>
  <c r="AB14" i="136"/>
  <c r="AC14" i="136"/>
  <c r="AD14" i="136"/>
  <c r="AE14" i="136"/>
  <c r="AF14" i="136"/>
  <c r="AG14" i="136"/>
  <c r="AH14" i="136"/>
  <c r="AI14" i="136"/>
  <c r="AJ14" i="136"/>
  <c r="AK14" i="136"/>
  <c r="N15" i="136"/>
  <c r="O15" i="136"/>
  <c r="P15" i="136"/>
  <c r="Q15" i="136"/>
  <c r="R15" i="136"/>
  <c r="S15" i="136"/>
  <c r="T15" i="136"/>
  <c r="U15" i="136"/>
  <c r="V15" i="136"/>
  <c r="W15" i="136"/>
  <c r="X15" i="136"/>
  <c r="Y15" i="136"/>
  <c r="Z15" i="136"/>
  <c r="AA15" i="136"/>
  <c r="AB15" i="136"/>
  <c r="AC15" i="136"/>
  <c r="AD15" i="136"/>
  <c r="AE15" i="136"/>
  <c r="AF15" i="136"/>
  <c r="AG15" i="136"/>
  <c r="AH15" i="136"/>
  <c r="AI15" i="136"/>
  <c r="AJ15" i="136"/>
  <c r="AK15" i="136"/>
  <c r="N16" i="136"/>
  <c r="O16" i="136"/>
  <c r="P16" i="136"/>
  <c r="Q16" i="136"/>
  <c r="R16" i="136"/>
  <c r="S16" i="136"/>
  <c r="T16" i="136"/>
  <c r="U16" i="136"/>
  <c r="V16" i="136"/>
  <c r="W16" i="136"/>
  <c r="X16" i="136"/>
  <c r="Y16" i="136"/>
  <c r="Z16" i="136"/>
  <c r="AA16" i="136"/>
  <c r="AB16" i="136"/>
  <c r="AC16" i="136"/>
  <c r="AD16" i="136"/>
  <c r="AE16" i="136"/>
  <c r="AF16" i="136"/>
  <c r="AG16" i="136"/>
  <c r="AH16" i="136"/>
  <c r="AI16" i="136"/>
  <c r="AJ16" i="136"/>
  <c r="AK16" i="136"/>
  <c r="N17" i="136"/>
  <c r="O17" i="136"/>
  <c r="P17" i="136"/>
  <c r="Q17" i="136"/>
  <c r="R17" i="136"/>
  <c r="S17" i="136"/>
  <c r="T17" i="136"/>
  <c r="U17" i="136"/>
  <c r="V17" i="136"/>
  <c r="W17" i="136"/>
  <c r="X17" i="136"/>
  <c r="Y17" i="136"/>
  <c r="Z17" i="136"/>
  <c r="AA17" i="136"/>
  <c r="AB17" i="136"/>
  <c r="AC17" i="136"/>
  <c r="AD17" i="136"/>
  <c r="AE17" i="136"/>
  <c r="AF17" i="136"/>
  <c r="AG17" i="136"/>
  <c r="AH17" i="136"/>
  <c r="AI17" i="136"/>
  <c r="AJ17" i="136"/>
  <c r="AK17" i="136"/>
  <c r="N18" i="136"/>
  <c r="O18" i="136"/>
  <c r="P18" i="136"/>
  <c r="Q18" i="136"/>
  <c r="R18" i="136"/>
  <c r="S18" i="136"/>
  <c r="T18" i="136"/>
  <c r="U18" i="136"/>
  <c r="V18" i="136"/>
  <c r="W18" i="136"/>
  <c r="X18" i="136"/>
  <c r="Y18" i="136"/>
  <c r="Z18" i="136"/>
  <c r="AA18" i="136"/>
  <c r="AB18" i="136"/>
  <c r="AC18" i="136"/>
  <c r="AD18" i="136"/>
  <c r="AE18" i="136"/>
  <c r="AF18" i="136"/>
  <c r="AG18" i="136"/>
  <c r="AH18" i="136"/>
  <c r="AI18" i="136"/>
  <c r="AJ18" i="136"/>
  <c r="AK18" i="136"/>
  <c r="N19" i="136"/>
  <c r="O19" i="136"/>
  <c r="P19" i="136"/>
  <c r="Q19" i="136"/>
  <c r="R19" i="136"/>
  <c r="S19" i="136"/>
  <c r="T19" i="136"/>
  <c r="U19" i="136"/>
  <c r="V19" i="136"/>
  <c r="W19" i="136"/>
  <c r="X19" i="136"/>
  <c r="Y19" i="136"/>
  <c r="Z19" i="136"/>
  <c r="AA19" i="136"/>
  <c r="AB19" i="136"/>
  <c r="AC19" i="136"/>
  <c r="AD19" i="136"/>
  <c r="AE19" i="136"/>
  <c r="AF19" i="136"/>
  <c r="AG19" i="136"/>
  <c r="AH19" i="136"/>
  <c r="AI19" i="136"/>
  <c r="AJ19" i="136"/>
  <c r="AK19" i="136"/>
  <c r="N20" i="136"/>
  <c r="O20" i="136"/>
  <c r="P20" i="136"/>
  <c r="Q20" i="136"/>
  <c r="R20" i="136"/>
  <c r="S20" i="136"/>
  <c r="T20" i="136"/>
  <c r="U20" i="136"/>
  <c r="V20" i="136"/>
  <c r="W20" i="136"/>
  <c r="X20" i="136"/>
  <c r="Y20" i="136"/>
  <c r="Z20" i="136"/>
  <c r="AA20" i="136"/>
  <c r="AB20" i="136"/>
  <c r="AC20" i="136"/>
  <c r="AD20" i="136"/>
  <c r="AE20" i="136"/>
  <c r="AF20" i="136"/>
  <c r="AG20" i="136"/>
  <c r="AH20" i="136"/>
  <c r="AI20" i="136"/>
  <c r="AJ20" i="136"/>
  <c r="AK20" i="136"/>
  <c r="N21" i="136"/>
  <c r="O21" i="136"/>
  <c r="P21" i="136"/>
  <c r="Q21" i="136"/>
  <c r="R21" i="136"/>
  <c r="S21" i="136"/>
  <c r="T21" i="136"/>
  <c r="U21" i="136"/>
  <c r="V21" i="136"/>
  <c r="W21" i="136"/>
  <c r="X21" i="136"/>
  <c r="Y21" i="136"/>
  <c r="Z21" i="136"/>
  <c r="AA21" i="136"/>
  <c r="AB21" i="136"/>
  <c r="AC21" i="136"/>
  <c r="AD21" i="136"/>
  <c r="AE21" i="136"/>
  <c r="AF21" i="136"/>
  <c r="AG21" i="136"/>
  <c r="AH21" i="136"/>
  <c r="AI21" i="136"/>
  <c r="AJ21" i="136"/>
  <c r="AK21" i="136"/>
  <c r="N22" i="136"/>
  <c r="O22" i="136"/>
  <c r="P22" i="136"/>
  <c r="Q22" i="136"/>
  <c r="R22" i="136"/>
  <c r="S22" i="136"/>
  <c r="T22" i="136"/>
  <c r="U22" i="136"/>
  <c r="V22" i="136"/>
  <c r="W22" i="136"/>
  <c r="X22" i="136"/>
  <c r="Y22" i="136"/>
  <c r="Z22" i="136"/>
  <c r="AA22" i="136"/>
  <c r="AB22" i="136"/>
  <c r="AC22" i="136"/>
  <c r="AD22" i="136"/>
  <c r="AE22" i="136"/>
  <c r="AF22" i="136"/>
  <c r="AG22" i="136"/>
  <c r="AH22" i="136"/>
  <c r="AI22" i="136"/>
  <c r="AJ22" i="136"/>
  <c r="AK22" i="136"/>
  <c r="N23" i="136"/>
  <c r="O23" i="136"/>
  <c r="P23" i="136"/>
  <c r="Q23" i="136"/>
  <c r="R23" i="136"/>
  <c r="S23" i="136"/>
  <c r="T23" i="136"/>
  <c r="U23" i="136"/>
  <c r="V23" i="136"/>
  <c r="W23" i="136"/>
  <c r="X23" i="136"/>
  <c r="Y23" i="136"/>
  <c r="Z23" i="136"/>
  <c r="AA23" i="136"/>
  <c r="AB23" i="136"/>
  <c r="AC23" i="136"/>
  <c r="AD23" i="136"/>
  <c r="AE23" i="136"/>
  <c r="AF23" i="136"/>
  <c r="AG23" i="136"/>
  <c r="AH23" i="136"/>
  <c r="AI23" i="136"/>
  <c r="AJ23" i="136"/>
  <c r="AK23" i="136"/>
  <c r="N24" i="136"/>
  <c r="O24" i="136"/>
  <c r="P24" i="136"/>
  <c r="Q24" i="136"/>
  <c r="R24" i="136"/>
  <c r="S24" i="136"/>
  <c r="T24" i="136"/>
  <c r="U24" i="136"/>
  <c r="V24" i="136"/>
  <c r="W24" i="136"/>
  <c r="X24" i="136"/>
  <c r="Y24" i="136"/>
  <c r="Z24" i="136"/>
  <c r="AA24" i="136"/>
  <c r="AB24" i="136"/>
  <c r="AC24" i="136"/>
  <c r="AD24" i="136"/>
  <c r="AE24" i="136"/>
  <c r="AF24" i="136"/>
  <c r="AG24" i="136"/>
  <c r="AH24" i="136"/>
  <c r="AI24" i="136"/>
  <c r="AJ24" i="136"/>
  <c r="AK24" i="136"/>
  <c r="N25" i="136"/>
  <c r="O25" i="136"/>
  <c r="P25" i="136"/>
  <c r="Q25" i="136"/>
  <c r="R25" i="136"/>
  <c r="S25" i="136"/>
  <c r="T25" i="136"/>
  <c r="U25" i="136"/>
  <c r="V25" i="136"/>
  <c r="W25" i="136"/>
  <c r="X25" i="136"/>
  <c r="Y25" i="136"/>
  <c r="Z25" i="136"/>
  <c r="AA25" i="136"/>
  <c r="AB25" i="136"/>
  <c r="AC25" i="136"/>
  <c r="AD25" i="136"/>
  <c r="AE25" i="136"/>
  <c r="AF25" i="136"/>
  <c r="AG25" i="136"/>
  <c r="AH25" i="136"/>
  <c r="AI25" i="136"/>
  <c r="AJ25" i="136"/>
  <c r="AK25" i="136"/>
  <c r="N26" i="136"/>
  <c r="O26" i="136"/>
  <c r="P26" i="136"/>
  <c r="Q26" i="136"/>
  <c r="R26" i="136"/>
  <c r="S26" i="136"/>
  <c r="T26" i="136"/>
  <c r="U26" i="136"/>
  <c r="V26" i="136"/>
  <c r="W26" i="136"/>
  <c r="X26" i="136"/>
  <c r="Y26" i="136"/>
  <c r="Z26" i="136"/>
  <c r="AA26" i="136"/>
  <c r="AB26" i="136"/>
  <c r="AC26" i="136"/>
  <c r="AD26" i="136"/>
  <c r="AE26" i="136"/>
  <c r="AF26" i="136"/>
  <c r="AG26" i="136"/>
  <c r="AH26" i="136"/>
  <c r="AI26" i="136"/>
  <c r="AJ26" i="136"/>
  <c r="AK26" i="136"/>
  <c r="N27" i="136"/>
  <c r="O27" i="136"/>
  <c r="P27" i="136"/>
  <c r="Q27" i="136"/>
  <c r="R27" i="136"/>
  <c r="S27" i="136"/>
  <c r="T27" i="136"/>
  <c r="U27" i="136"/>
  <c r="V27" i="136"/>
  <c r="W27" i="136"/>
  <c r="X27" i="136"/>
  <c r="Y27" i="136"/>
  <c r="Z27" i="136"/>
  <c r="AA27" i="136"/>
  <c r="AB27" i="136"/>
  <c r="AC27" i="136"/>
  <c r="AD27" i="136"/>
  <c r="AE27" i="136"/>
  <c r="AF27" i="136"/>
  <c r="AG27" i="136"/>
  <c r="AH27" i="136"/>
  <c r="AI27" i="136"/>
  <c r="AJ27" i="136"/>
  <c r="AK27" i="136"/>
  <c r="N28" i="136"/>
  <c r="O28" i="136"/>
  <c r="P28" i="136"/>
  <c r="Q28" i="136"/>
  <c r="R28" i="136"/>
  <c r="S28" i="136"/>
  <c r="T28" i="136"/>
  <c r="U28" i="136"/>
  <c r="V28" i="136"/>
  <c r="W28" i="136"/>
  <c r="X28" i="136"/>
  <c r="Y28" i="136"/>
  <c r="Z28" i="136"/>
  <c r="AA28" i="136"/>
  <c r="AB28" i="136"/>
  <c r="AC28" i="136"/>
  <c r="AD28" i="136"/>
  <c r="AE28" i="136"/>
  <c r="AF28" i="136"/>
  <c r="AG28" i="136"/>
  <c r="AH28" i="136"/>
  <c r="AI28" i="136"/>
  <c r="AJ28" i="136"/>
  <c r="AK28" i="136"/>
  <c r="N29" i="136"/>
  <c r="O29" i="136"/>
  <c r="P29" i="136"/>
  <c r="Q29" i="136"/>
  <c r="R29" i="136"/>
  <c r="S29" i="136"/>
  <c r="T29" i="136"/>
  <c r="U29" i="136"/>
  <c r="V29" i="136"/>
  <c r="W29" i="136"/>
  <c r="X29" i="136"/>
  <c r="Y29" i="136"/>
  <c r="Z29" i="136"/>
  <c r="AA29" i="136"/>
  <c r="AB29" i="136"/>
  <c r="AC29" i="136"/>
  <c r="AD29" i="136"/>
  <c r="AE29" i="136"/>
  <c r="AF29" i="136"/>
  <c r="AG29" i="136"/>
  <c r="AH29" i="136"/>
  <c r="AI29" i="136"/>
  <c r="AJ29" i="136"/>
  <c r="AK29" i="136"/>
  <c r="N30" i="136"/>
  <c r="O30" i="136"/>
  <c r="P30" i="136"/>
  <c r="Q30" i="136"/>
  <c r="R30" i="136"/>
  <c r="S30" i="136"/>
  <c r="T30" i="136"/>
  <c r="U30" i="136"/>
  <c r="V30" i="136"/>
  <c r="W30" i="136"/>
  <c r="X30" i="136"/>
  <c r="Y30" i="136"/>
  <c r="Z30" i="136"/>
  <c r="AA30" i="136"/>
  <c r="AB30" i="136"/>
  <c r="AC30" i="136"/>
  <c r="AD30" i="136"/>
  <c r="AE30" i="136"/>
  <c r="AF30" i="136"/>
  <c r="AG30" i="136"/>
  <c r="AH30" i="136"/>
  <c r="AI30" i="136"/>
  <c r="AJ30" i="136"/>
  <c r="AK30" i="136"/>
  <c r="N31" i="136"/>
  <c r="O31" i="136"/>
  <c r="P31" i="136"/>
  <c r="Q31" i="136"/>
  <c r="R31" i="136"/>
  <c r="S31" i="136"/>
  <c r="T31" i="136"/>
  <c r="U31" i="136"/>
  <c r="V31" i="136"/>
  <c r="W31" i="136"/>
  <c r="X31" i="136"/>
  <c r="Y31" i="136"/>
  <c r="Z31" i="136"/>
  <c r="AA31" i="136"/>
  <c r="AB31" i="136"/>
  <c r="AC31" i="136"/>
  <c r="AD31" i="136"/>
  <c r="AE31" i="136"/>
  <c r="AF31" i="136"/>
  <c r="AG31" i="136"/>
  <c r="AH31" i="136"/>
  <c r="AI31" i="136"/>
  <c r="AJ31" i="136"/>
  <c r="AK31" i="136"/>
  <c r="AK6" i="136"/>
  <c r="AJ6" i="136"/>
  <c r="AI6" i="136"/>
  <c r="AH6" i="136"/>
  <c r="AG6" i="136"/>
  <c r="AF6" i="136"/>
  <c r="AE6" i="136"/>
  <c r="AD6" i="136"/>
  <c r="AC6" i="136"/>
  <c r="AB6" i="136"/>
  <c r="AA6" i="136"/>
  <c r="Z6" i="136"/>
  <c r="Y6" i="136"/>
  <c r="X6" i="136"/>
  <c r="W6" i="136"/>
  <c r="V6" i="136"/>
  <c r="U6" i="136"/>
  <c r="T6" i="136"/>
  <c r="S6" i="136"/>
  <c r="R6" i="136"/>
  <c r="Q6" i="136"/>
  <c r="P6" i="136"/>
  <c r="O6" i="136"/>
  <c r="N6" i="136"/>
  <c r="AK4" i="136"/>
  <c r="AJ4" i="136"/>
  <c r="AI4" i="136"/>
  <c r="AH4" i="136"/>
  <c r="AG4" i="136"/>
  <c r="AF4" i="136"/>
  <c r="AE4" i="136"/>
  <c r="AD4" i="136"/>
  <c r="AC4" i="136"/>
  <c r="AB4" i="136"/>
  <c r="AA4" i="136"/>
  <c r="Z4" i="136"/>
  <c r="Y4" i="136"/>
  <c r="X4" i="136"/>
  <c r="W4" i="136"/>
  <c r="V4" i="136"/>
  <c r="U4" i="136"/>
  <c r="T4" i="136"/>
  <c r="S4" i="136"/>
  <c r="R4" i="136"/>
  <c r="Q4" i="136"/>
  <c r="P4" i="136"/>
  <c r="N26" i="41"/>
  <c r="M6" i="41"/>
  <c r="O26" i="135"/>
  <c r="P26" i="135"/>
  <c r="Q26" i="135"/>
  <c r="R26" i="135"/>
  <c r="S26" i="135"/>
  <c r="T26" i="135"/>
  <c r="U26" i="135"/>
  <c r="V26" i="135"/>
  <c r="W26" i="135"/>
  <c r="X26" i="135"/>
  <c r="O27" i="135"/>
  <c r="P27" i="135"/>
  <c r="Q27" i="135"/>
  <c r="R27" i="135"/>
  <c r="S27" i="135"/>
  <c r="T27" i="135"/>
  <c r="U27" i="135"/>
  <c r="V27" i="135"/>
  <c r="W27" i="135"/>
  <c r="X27" i="135"/>
  <c r="N26" i="135"/>
  <c r="N27" i="135"/>
  <c r="M6" i="135"/>
  <c r="X4" i="135"/>
  <c r="W4" i="135"/>
  <c r="V4" i="135"/>
  <c r="U4" i="135"/>
  <c r="T4" i="135"/>
  <c r="S4" i="135"/>
  <c r="R4" i="135"/>
  <c r="Q4" i="135"/>
  <c r="P4" i="135"/>
  <c r="O4" i="135"/>
  <c r="N4" i="135"/>
  <c r="L28" i="135"/>
  <c r="K28" i="135"/>
  <c r="J28" i="135"/>
  <c r="I28" i="135"/>
  <c r="H28" i="135"/>
  <c r="G28" i="135"/>
  <c r="F28" i="135"/>
  <c r="E28" i="135"/>
  <c r="D28" i="135"/>
  <c r="C28" i="135"/>
  <c r="B28" i="135"/>
  <c r="N7" i="132"/>
  <c r="O7" i="132"/>
  <c r="P7" i="132"/>
  <c r="Q7" i="132"/>
  <c r="R7" i="132"/>
  <c r="S7" i="132"/>
  <c r="T7" i="132"/>
  <c r="U7" i="132"/>
  <c r="V7" i="132"/>
  <c r="W7" i="132"/>
  <c r="X7" i="132"/>
  <c r="Y7" i="132"/>
  <c r="Z7" i="132"/>
  <c r="AA7" i="132"/>
  <c r="AB7" i="132"/>
  <c r="AC7" i="132"/>
  <c r="AD7" i="132"/>
  <c r="AE7" i="132"/>
  <c r="AF7" i="132"/>
  <c r="AG7" i="132"/>
  <c r="AH7" i="132"/>
  <c r="AI7" i="132"/>
  <c r="AJ7" i="132"/>
  <c r="AK7" i="132"/>
  <c r="N8" i="132"/>
  <c r="O8" i="132"/>
  <c r="P8" i="132"/>
  <c r="Q8" i="132"/>
  <c r="R8" i="132"/>
  <c r="S8" i="132"/>
  <c r="T8" i="132"/>
  <c r="U8" i="132"/>
  <c r="V8" i="132"/>
  <c r="W8" i="132"/>
  <c r="X8" i="132"/>
  <c r="Y8" i="132"/>
  <c r="Z8" i="132"/>
  <c r="AA8" i="132"/>
  <c r="AB8" i="132"/>
  <c r="AC8" i="132"/>
  <c r="AD8" i="132"/>
  <c r="AE8" i="132"/>
  <c r="AF8" i="132"/>
  <c r="AG8" i="132"/>
  <c r="AH8" i="132"/>
  <c r="AI8" i="132"/>
  <c r="AJ8" i="132"/>
  <c r="AK8" i="132"/>
  <c r="N9" i="132"/>
  <c r="O9" i="132"/>
  <c r="P9" i="132"/>
  <c r="Q9" i="132"/>
  <c r="R9" i="132"/>
  <c r="S9" i="132"/>
  <c r="T9" i="132"/>
  <c r="U9" i="132"/>
  <c r="V9" i="132"/>
  <c r="W9" i="132"/>
  <c r="X9" i="132"/>
  <c r="Y9" i="132"/>
  <c r="Z9" i="132"/>
  <c r="AA9" i="132"/>
  <c r="AB9" i="132"/>
  <c r="AC9" i="132"/>
  <c r="AD9" i="132"/>
  <c r="AE9" i="132"/>
  <c r="AF9" i="132"/>
  <c r="AG9" i="132"/>
  <c r="AH9" i="132"/>
  <c r="AI9" i="132"/>
  <c r="AJ9" i="132"/>
  <c r="AK9" i="132"/>
  <c r="N10" i="132"/>
  <c r="O10" i="132"/>
  <c r="P10" i="132"/>
  <c r="Q10" i="132"/>
  <c r="R10" i="132"/>
  <c r="S10" i="132"/>
  <c r="T10" i="132"/>
  <c r="U10" i="132"/>
  <c r="V10" i="132"/>
  <c r="W10" i="132"/>
  <c r="X10" i="132"/>
  <c r="Y10" i="132"/>
  <c r="Z10" i="132"/>
  <c r="AA10" i="132"/>
  <c r="AB10" i="132"/>
  <c r="AC10" i="132"/>
  <c r="AD10" i="132"/>
  <c r="AE10" i="132"/>
  <c r="AF10" i="132"/>
  <c r="AG10" i="132"/>
  <c r="AH10" i="132"/>
  <c r="AI10" i="132"/>
  <c r="AJ10" i="132"/>
  <c r="AK10" i="132"/>
  <c r="N11" i="132"/>
  <c r="O11" i="132"/>
  <c r="P11" i="132"/>
  <c r="Q11" i="132"/>
  <c r="R11" i="132"/>
  <c r="S11" i="132"/>
  <c r="T11" i="132"/>
  <c r="U11" i="132"/>
  <c r="V11" i="132"/>
  <c r="W11" i="132"/>
  <c r="X11" i="132"/>
  <c r="Y11" i="132"/>
  <c r="Z11" i="132"/>
  <c r="AA11" i="132"/>
  <c r="AB11" i="132"/>
  <c r="AC11" i="132"/>
  <c r="AD11" i="132"/>
  <c r="AE11" i="132"/>
  <c r="AF11" i="132"/>
  <c r="AG11" i="132"/>
  <c r="AH11" i="132"/>
  <c r="AI11" i="132"/>
  <c r="AJ11" i="132"/>
  <c r="AK11" i="132"/>
  <c r="N12" i="132"/>
  <c r="O12" i="132"/>
  <c r="P12" i="132"/>
  <c r="Q12" i="132"/>
  <c r="R12" i="132"/>
  <c r="S12" i="132"/>
  <c r="T12" i="132"/>
  <c r="U12" i="132"/>
  <c r="V12" i="132"/>
  <c r="W12" i="132"/>
  <c r="X12" i="132"/>
  <c r="Y12" i="132"/>
  <c r="Z12" i="132"/>
  <c r="AA12" i="132"/>
  <c r="AB12" i="132"/>
  <c r="AC12" i="132"/>
  <c r="AD12" i="132"/>
  <c r="AE12" i="132"/>
  <c r="AF12" i="132"/>
  <c r="AG12" i="132"/>
  <c r="AH12" i="132"/>
  <c r="AI12" i="132"/>
  <c r="AJ12" i="132"/>
  <c r="AK12" i="132"/>
  <c r="N13" i="132"/>
  <c r="O13" i="132"/>
  <c r="P13" i="132"/>
  <c r="Q13" i="132"/>
  <c r="R13" i="132"/>
  <c r="S13" i="132"/>
  <c r="T13" i="132"/>
  <c r="U13" i="132"/>
  <c r="V13" i="132"/>
  <c r="W13" i="132"/>
  <c r="X13" i="132"/>
  <c r="Y13" i="132"/>
  <c r="Z13" i="132"/>
  <c r="AA13" i="132"/>
  <c r="AB13" i="132"/>
  <c r="AC13" i="132"/>
  <c r="AD13" i="132"/>
  <c r="AE13" i="132"/>
  <c r="AF13" i="132"/>
  <c r="AG13" i="132"/>
  <c r="AH13" i="132"/>
  <c r="AI13" i="132"/>
  <c r="AJ13" i="132"/>
  <c r="AK13" i="132"/>
  <c r="N14" i="132"/>
  <c r="O14" i="132"/>
  <c r="P14" i="132"/>
  <c r="Q14" i="132"/>
  <c r="R14" i="132"/>
  <c r="S14" i="132"/>
  <c r="T14" i="132"/>
  <c r="U14" i="132"/>
  <c r="V14" i="132"/>
  <c r="W14" i="132"/>
  <c r="X14" i="132"/>
  <c r="Y14" i="132"/>
  <c r="Z14" i="132"/>
  <c r="AA14" i="132"/>
  <c r="AB14" i="132"/>
  <c r="AC14" i="132"/>
  <c r="AD14" i="132"/>
  <c r="AE14" i="132"/>
  <c r="AF14" i="132"/>
  <c r="AG14" i="132"/>
  <c r="AH14" i="132"/>
  <c r="AI14" i="132"/>
  <c r="AJ14" i="132"/>
  <c r="AK14" i="132"/>
  <c r="N15" i="132"/>
  <c r="O15" i="132"/>
  <c r="P15" i="132"/>
  <c r="Q15" i="132"/>
  <c r="R15" i="132"/>
  <c r="S15" i="132"/>
  <c r="T15" i="132"/>
  <c r="U15" i="132"/>
  <c r="V15" i="132"/>
  <c r="W15" i="132"/>
  <c r="X15" i="132"/>
  <c r="Y15" i="132"/>
  <c r="Z15" i="132"/>
  <c r="AA15" i="132"/>
  <c r="AB15" i="132"/>
  <c r="AC15" i="132"/>
  <c r="AD15" i="132"/>
  <c r="AE15" i="132"/>
  <c r="AF15" i="132"/>
  <c r="AG15" i="132"/>
  <c r="AH15" i="132"/>
  <c r="AI15" i="132"/>
  <c r="AJ15" i="132"/>
  <c r="AK15" i="132"/>
  <c r="N16" i="132"/>
  <c r="O16" i="132"/>
  <c r="P16" i="132"/>
  <c r="Q16" i="132"/>
  <c r="R16" i="132"/>
  <c r="S16" i="132"/>
  <c r="T16" i="132"/>
  <c r="U16" i="132"/>
  <c r="V16" i="132"/>
  <c r="W16" i="132"/>
  <c r="X16" i="132"/>
  <c r="Y16" i="132"/>
  <c r="Z16" i="132"/>
  <c r="AA16" i="132"/>
  <c r="AB16" i="132"/>
  <c r="AC16" i="132"/>
  <c r="AD16" i="132"/>
  <c r="AE16" i="132"/>
  <c r="AF16" i="132"/>
  <c r="AG16" i="132"/>
  <c r="AH16" i="132"/>
  <c r="AI16" i="132"/>
  <c r="AJ16" i="132"/>
  <c r="AK16" i="132"/>
  <c r="N17" i="132"/>
  <c r="O17" i="132"/>
  <c r="P17" i="132"/>
  <c r="Q17" i="132"/>
  <c r="R17" i="132"/>
  <c r="S17" i="132"/>
  <c r="T17" i="132"/>
  <c r="U17" i="132"/>
  <c r="V17" i="132"/>
  <c r="W17" i="132"/>
  <c r="X17" i="132"/>
  <c r="Y17" i="132"/>
  <c r="Z17" i="132"/>
  <c r="AA17" i="132"/>
  <c r="AB17" i="132"/>
  <c r="AC17" i="132"/>
  <c r="AD17" i="132"/>
  <c r="AE17" i="132"/>
  <c r="AF17" i="132"/>
  <c r="AG17" i="132"/>
  <c r="AH17" i="132"/>
  <c r="AI17" i="132"/>
  <c r="AJ17" i="132"/>
  <c r="AK17" i="132"/>
  <c r="N18" i="132"/>
  <c r="O18" i="132"/>
  <c r="P18" i="132"/>
  <c r="Q18" i="132"/>
  <c r="R18" i="132"/>
  <c r="S18" i="132"/>
  <c r="T18" i="132"/>
  <c r="U18" i="132"/>
  <c r="V18" i="132"/>
  <c r="W18" i="132"/>
  <c r="X18" i="132"/>
  <c r="Y18" i="132"/>
  <c r="Z18" i="132"/>
  <c r="AA18" i="132"/>
  <c r="AB18" i="132"/>
  <c r="AC18" i="132"/>
  <c r="AD18" i="132"/>
  <c r="AE18" i="132"/>
  <c r="AF18" i="132"/>
  <c r="AG18" i="132"/>
  <c r="AH18" i="132"/>
  <c r="AI18" i="132"/>
  <c r="AJ18" i="132"/>
  <c r="AK18" i="132"/>
  <c r="N19" i="132"/>
  <c r="O19" i="132"/>
  <c r="P19" i="132"/>
  <c r="Q19" i="132"/>
  <c r="R19" i="132"/>
  <c r="S19" i="132"/>
  <c r="T19" i="132"/>
  <c r="U19" i="132"/>
  <c r="V19" i="132"/>
  <c r="W19" i="132"/>
  <c r="X19" i="132"/>
  <c r="Y19" i="132"/>
  <c r="Z19" i="132"/>
  <c r="AA19" i="132"/>
  <c r="AB19" i="132"/>
  <c r="AC19" i="132"/>
  <c r="AD19" i="132"/>
  <c r="AE19" i="132"/>
  <c r="AF19" i="132"/>
  <c r="AG19" i="132"/>
  <c r="AH19" i="132"/>
  <c r="AI19" i="132"/>
  <c r="AJ19" i="132"/>
  <c r="AK19" i="132"/>
  <c r="N20" i="132"/>
  <c r="O20" i="132"/>
  <c r="P20" i="132"/>
  <c r="Q20" i="132"/>
  <c r="R20" i="132"/>
  <c r="S20" i="132"/>
  <c r="T20" i="132"/>
  <c r="U20" i="132"/>
  <c r="V20" i="132"/>
  <c r="W20" i="132"/>
  <c r="X20" i="132"/>
  <c r="Y20" i="132"/>
  <c r="Z20" i="132"/>
  <c r="AA20" i="132"/>
  <c r="AB20" i="132"/>
  <c r="AC20" i="132"/>
  <c r="AD20" i="132"/>
  <c r="AE20" i="132"/>
  <c r="AF20" i="132"/>
  <c r="AG20" i="132"/>
  <c r="AH20" i="132"/>
  <c r="AI20" i="132"/>
  <c r="AJ20" i="132"/>
  <c r="AK20" i="132"/>
  <c r="N21" i="132"/>
  <c r="O21" i="132"/>
  <c r="P21" i="132"/>
  <c r="Q21" i="132"/>
  <c r="R21" i="132"/>
  <c r="S21" i="132"/>
  <c r="T21" i="132"/>
  <c r="U21" i="132"/>
  <c r="V21" i="132"/>
  <c r="W21" i="132"/>
  <c r="X21" i="132"/>
  <c r="Y21" i="132"/>
  <c r="Z21" i="132"/>
  <c r="AA21" i="132"/>
  <c r="AB21" i="132"/>
  <c r="AC21" i="132"/>
  <c r="AD21" i="132"/>
  <c r="AE21" i="132"/>
  <c r="AF21" i="132"/>
  <c r="AG21" i="132"/>
  <c r="AH21" i="132"/>
  <c r="AI21" i="132"/>
  <c r="AJ21" i="132"/>
  <c r="AK21" i="132"/>
  <c r="N22" i="132"/>
  <c r="O22" i="132"/>
  <c r="P22" i="132"/>
  <c r="Q22" i="132"/>
  <c r="R22" i="132"/>
  <c r="S22" i="132"/>
  <c r="T22" i="132"/>
  <c r="U22" i="132"/>
  <c r="V22" i="132"/>
  <c r="W22" i="132"/>
  <c r="X22" i="132"/>
  <c r="Y22" i="132"/>
  <c r="Z22" i="132"/>
  <c r="AA22" i="132"/>
  <c r="AB22" i="132"/>
  <c r="AC22" i="132"/>
  <c r="AD22" i="132"/>
  <c r="AE22" i="132"/>
  <c r="AF22" i="132"/>
  <c r="AG22" i="132"/>
  <c r="AH22" i="132"/>
  <c r="AI22" i="132"/>
  <c r="AJ22" i="132"/>
  <c r="AK22" i="132"/>
  <c r="N23" i="132"/>
  <c r="O23" i="132"/>
  <c r="P23" i="132"/>
  <c r="Q23" i="132"/>
  <c r="R23" i="132"/>
  <c r="S23" i="132"/>
  <c r="T23" i="132"/>
  <c r="U23" i="132"/>
  <c r="V23" i="132"/>
  <c r="W23" i="132"/>
  <c r="X23" i="132"/>
  <c r="Y23" i="132"/>
  <c r="Z23" i="132"/>
  <c r="AA23" i="132"/>
  <c r="AB23" i="132"/>
  <c r="AC23" i="132"/>
  <c r="AD23" i="132"/>
  <c r="AE23" i="132"/>
  <c r="AF23" i="132"/>
  <c r="AG23" i="132"/>
  <c r="AH23" i="132"/>
  <c r="AI23" i="132"/>
  <c r="AJ23" i="132"/>
  <c r="AK23" i="132"/>
  <c r="N24" i="132"/>
  <c r="O24" i="132"/>
  <c r="P24" i="132"/>
  <c r="Q24" i="132"/>
  <c r="R24" i="132"/>
  <c r="S24" i="132"/>
  <c r="T24" i="132"/>
  <c r="U24" i="132"/>
  <c r="V24" i="132"/>
  <c r="W24" i="132"/>
  <c r="X24" i="132"/>
  <c r="Y24" i="132"/>
  <c r="Z24" i="132"/>
  <c r="AA24" i="132"/>
  <c r="AB24" i="132"/>
  <c r="AC24" i="132"/>
  <c r="AD24" i="132"/>
  <c r="AE24" i="132"/>
  <c r="AF24" i="132"/>
  <c r="AG24" i="132"/>
  <c r="AH24" i="132"/>
  <c r="AI24" i="132"/>
  <c r="AJ24" i="132"/>
  <c r="AK24" i="132"/>
  <c r="N25" i="132"/>
  <c r="O25" i="132"/>
  <c r="P25" i="132"/>
  <c r="Q25" i="132"/>
  <c r="R25" i="132"/>
  <c r="S25" i="132"/>
  <c r="T25" i="132"/>
  <c r="U25" i="132"/>
  <c r="V25" i="132"/>
  <c r="W25" i="132"/>
  <c r="X25" i="132"/>
  <c r="Y25" i="132"/>
  <c r="Z25" i="132"/>
  <c r="AA25" i="132"/>
  <c r="AB25" i="132"/>
  <c r="AC25" i="132"/>
  <c r="AD25" i="132"/>
  <c r="AE25" i="132"/>
  <c r="AF25" i="132"/>
  <c r="AG25" i="132"/>
  <c r="AH25" i="132"/>
  <c r="AI25" i="132"/>
  <c r="AJ25" i="132"/>
  <c r="AK25" i="132"/>
  <c r="N26" i="132"/>
  <c r="O26" i="132"/>
  <c r="P26" i="132"/>
  <c r="Q26" i="132"/>
  <c r="R26" i="132"/>
  <c r="S26" i="132"/>
  <c r="T26" i="132"/>
  <c r="U26" i="132"/>
  <c r="V26" i="132"/>
  <c r="W26" i="132"/>
  <c r="X26" i="132"/>
  <c r="Y26" i="132"/>
  <c r="Z26" i="132"/>
  <c r="AA26" i="132"/>
  <c r="AB26" i="132"/>
  <c r="AC26" i="132"/>
  <c r="AD26" i="132"/>
  <c r="AE26" i="132"/>
  <c r="AF26" i="132"/>
  <c r="AG26" i="132"/>
  <c r="AH26" i="132"/>
  <c r="AI26" i="132"/>
  <c r="AJ26" i="132"/>
  <c r="AK26" i="132"/>
  <c r="N27" i="132"/>
  <c r="O27" i="132"/>
  <c r="P27" i="132"/>
  <c r="Q27" i="132"/>
  <c r="R27" i="132"/>
  <c r="S27" i="132"/>
  <c r="T27" i="132"/>
  <c r="U27" i="132"/>
  <c r="V27" i="132"/>
  <c r="W27" i="132"/>
  <c r="X27" i="132"/>
  <c r="Y27" i="132"/>
  <c r="Z27" i="132"/>
  <c r="AA27" i="132"/>
  <c r="AB27" i="132"/>
  <c r="AC27" i="132"/>
  <c r="AD27" i="132"/>
  <c r="AE27" i="132"/>
  <c r="AF27" i="132"/>
  <c r="AG27" i="132"/>
  <c r="AH27" i="132"/>
  <c r="AI27" i="132"/>
  <c r="AJ27" i="132"/>
  <c r="AK27" i="132"/>
  <c r="N28" i="132"/>
  <c r="O28" i="132"/>
  <c r="P28" i="132"/>
  <c r="Q28" i="132"/>
  <c r="R28" i="132"/>
  <c r="S28" i="132"/>
  <c r="T28" i="132"/>
  <c r="U28" i="132"/>
  <c r="V28" i="132"/>
  <c r="W28" i="132"/>
  <c r="X28" i="132"/>
  <c r="Y28" i="132"/>
  <c r="Z28" i="132"/>
  <c r="AA28" i="132"/>
  <c r="AB28" i="132"/>
  <c r="AC28" i="132"/>
  <c r="AD28" i="132"/>
  <c r="AE28" i="132"/>
  <c r="AF28" i="132"/>
  <c r="AG28" i="132"/>
  <c r="AH28" i="132"/>
  <c r="AI28" i="132"/>
  <c r="AJ28" i="132"/>
  <c r="AK28" i="132"/>
  <c r="N29" i="132"/>
  <c r="O29" i="132"/>
  <c r="P29" i="132"/>
  <c r="Q29" i="132"/>
  <c r="R29" i="132"/>
  <c r="S29" i="132"/>
  <c r="T29" i="132"/>
  <c r="U29" i="132"/>
  <c r="V29" i="132"/>
  <c r="W29" i="132"/>
  <c r="X29" i="132"/>
  <c r="Y29" i="132"/>
  <c r="Z29" i="132"/>
  <c r="AA29" i="132"/>
  <c r="AB29" i="132"/>
  <c r="AC29" i="132"/>
  <c r="AD29" i="132"/>
  <c r="AE29" i="132"/>
  <c r="AF29" i="132"/>
  <c r="AG29" i="132"/>
  <c r="AH29" i="132"/>
  <c r="AI29" i="132"/>
  <c r="AJ29" i="132"/>
  <c r="AK29" i="132"/>
  <c r="N30" i="132"/>
  <c r="O30" i="132"/>
  <c r="P30" i="132"/>
  <c r="Q30" i="132"/>
  <c r="R30" i="132"/>
  <c r="S30" i="132"/>
  <c r="T30" i="132"/>
  <c r="U30" i="132"/>
  <c r="V30" i="132"/>
  <c r="W30" i="132"/>
  <c r="X30" i="132"/>
  <c r="Y30" i="132"/>
  <c r="Z30" i="132"/>
  <c r="AA30" i="132"/>
  <c r="AB30" i="132"/>
  <c r="AC30" i="132"/>
  <c r="AD30" i="132"/>
  <c r="AE30" i="132"/>
  <c r="AF30" i="132"/>
  <c r="AG30" i="132"/>
  <c r="AH30" i="132"/>
  <c r="AI30" i="132"/>
  <c r="AJ30" i="132"/>
  <c r="AK30" i="132"/>
  <c r="N31" i="132"/>
  <c r="O31" i="132"/>
  <c r="P31" i="132"/>
  <c r="Q31" i="132"/>
  <c r="R31" i="132"/>
  <c r="S31" i="132"/>
  <c r="T31" i="132"/>
  <c r="U31" i="132"/>
  <c r="V31" i="132"/>
  <c r="W31" i="132"/>
  <c r="X31" i="132"/>
  <c r="Y31" i="132"/>
  <c r="Z31" i="132"/>
  <c r="AA31" i="132"/>
  <c r="AB31" i="132"/>
  <c r="AC31" i="132"/>
  <c r="AD31" i="132"/>
  <c r="AE31" i="132"/>
  <c r="AF31" i="132"/>
  <c r="AG31" i="132"/>
  <c r="AH31" i="132"/>
  <c r="AI31" i="132"/>
  <c r="AJ31" i="132"/>
  <c r="AK31" i="132"/>
  <c r="AK6" i="132"/>
  <c r="AJ6" i="132"/>
  <c r="AI6" i="132"/>
  <c r="AH6" i="132"/>
  <c r="AG6" i="132"/>
  <c r="AF6" i="132"/>
  <c r="AE6" i="132"/>
  <c r="AD6" i="132"/>
  <c r="AC6" i="132"/>
  <c r="AB6" i="132"/>
  <c r="AA6" i="132"/>
  <c r="Z6" i="132"/>
  <c r="Y6" i="132"/>
  <c r="X6" i="132"/>
  <c r="W6" i="132"/>
  <c r="V6" i="132"/>
  <c r="U6" i="132"/>
  <c r="T6" i="132"/>
  <c r="S6" i="132"/>
  <c r="R6" i="132"/>
  <c r="Q6" i="132"/>
  <c r="P6" i="132"/>
  <c r="O6" i="132"/>
  <c r="N6" i="132"/>
  <c r="AK4" i="132"/>
  <c r="AJ4" i="132"/>
  <c r="AI4" i="132"/>
  <c r="AH4" i="132"/>
  <c r="AG4" i="132"/>
  <c r="AF4" i="132"/>
  <c r="AE4" i="132"/>
  <c r="AD4" i="132"/>
  <c r="AC4" i="132"/>
  <c r="AB4" i="132"/>
  <c r="AA4" i="132"/>
  <c r="Z4" i="132"/>
  <c r="Y4" i="132"/>
  <c r="X4" i="132"/>
  <c r="W4" i="132"/>
  <c r="V4" i="132"/>
  <c r="U4" i="132"/>
  <c r="T4" i="132"/>
  <c r="S4" i="132"/>
  <c r="R4" i="132"/>
  <c r="Q4" i="132"/>
  <c r="P4" i="132"/>
  <c r="N7" i="131"/>
  <c r="O7" i="131"/>
  <c r="P7" i="131"/>
  <c r="Q7" i="131"/>
  <c r="R7" i="131"/>
  <c r="S7" i="131"/>
  <c r="T7" i="131"/>
  <c r="U7" i="131"/>
  <c r="V7" i="131"/>
  <c r="W7" i="131"/>
  <c r="X7" i="131"/>
  <c r="Y7" i="131"/>
  <c r="Z7" i="131"/>
  <c r="AA7" i="131"/>
  <c r="AB7" i="131"/>
  <c r="AC7" i="131"/>
  <c r="AD7" i="131"/>
  <c r="AE7" i="131"/>
  <c r="AF7" i="131"/>
  <c r="AG7" i="131"/>
  <c r="AH7" i="131"/>
  <c r="AI7" i="131"/>
  <c r="AJ7" i="131"/>
  <c r="AK7" i="131"/>
  <c r="N8" i="131"/>
  <c r="O8" i="131"/>
  <c r="P8" i="131"/>
  <c r="Q8" i="131"/>
  <c r="R8" i="131"/>
  <c r="S8" i="131"/>
  <c r="T8" i="131"/>
  <c r="U8" i="131"/>
  <c r="V8" i="131"/>
  <c r="W8" i="131"/>
  <c r="X8" i="131"/>
  <c r="Y8" i="131"/>
  <c r="Z8" i="131"/>
  <c r="AA8" i="131"/>
  <c r="AB8" i="131"/>
  <c r="AC8" i="131"/>
  <c r="AD8" i="131"/>
  <c r="AE8" i="131"/>
  <c r="AF8" i="131"/>
  <c r="AG8" i="131"/>
  <c r="AH8" i="131"/>
  <c r="AI8" i="131"/>
  <c r="AJ8" i="131"/>
  <c r="AK8" i="131"/>
  <c r="N9" i="131"/>
  <c r="O9" i="131"/>
  <c r="P9" i="131"/>
  <c r="Q9" i="131"/>
  <c r="R9" i="131"/>
  <c r="S9" i="131"/>
  <c r="T9" i="131"/>
  <c r="U9" i="131"/>
  <c r="V9" i="131"/>
  <c r="W9" i="131"/>
  <c r="X9" i="131"/>
  <c r="Y9" i="131"/>
  <c r="Z9" i="131"/>
  <c r="AA9" i="131"/>
  <c r="AB9" i="131"/>
  <c r="AC9" i="131"/>
  <c r="AD9" i="131"/>
  <c r="AE9" i="131"/>
  <c r="AF9" i="131"/>
  <c r="AG9" i="131"/>
  <c r="AH9" i="131"/>
  <c r="AI9" i="131"/>
  <c r="AJ9" i="131"/>
  <c r="AK9" i="131"/>
  <c r="N10" i="131"/>
  <c r="O10" i="131"/>
  <c r="P10" i="131"/>
  <c r="Q10" i="131"/>
  <c r="R10" i="131"/>
  <c r="S10" i="131"/>
  <c r="T10" i="131"/>
  <c r="U10" i="131"/>
  <c r="V10" i="131"/>
  <c r="W10" i="131"/>
  <c r="X10" i="131"/>
  <c r="Y10" i="131"/>
  <c r="Z10" i="131"/>
  <c r="AA10" i="131"/>
  <c r="AB10" i="131"/>
  <c r="AC10" i="131"/>
  <c r="AD10" i="131"/>
  <c r="AE10" i="131"/>
  <c r="AF10" i="131"/>
  <c r="AG10" i="131"/>
  <c r="AH10" i="131"/>
  <c r="AI10" i="131"/>
  <c r="AJ10" i="131"/>
  <c r="AK10" i="131"/>
  <c r="N11" i="131"/>
  <c r="O11" i="131"/>
  <c r="P11" i="131"/>
  <c r="Q11" i="131"/>
  <c r="R11" i="131"/>
  <c r="S11" i="131"/>
  <c r="T11" i="131"/>
  <c r="U11" i="131"/>
  <c r="V11" i="131"/>
  <c r="W11" i="131"/>
  <c r="X11" i="131"/>
  <c r="Y11" i="131"/>
  <c r="Z11" i="131"/>
  <c r="AA11" i="131"/>
  <c r="AB11" i="131"/>
  <c r="AC11" i="131"/>
  <c r="AD11" i="131"/>
  <c r="AE11" i="131"/>
  <c r="AF11" i="131"/>
  <c r="AG11" i="131"/>
  <c r="AH11" i="131"/>
  <c r="AI11" i="131"/>
  <c r="AJ11" i="131"/>
  <c r="AK11" i="131"/>
  <c r="N12" i="131"/>
  <c r="O12" i="131"/>
  <c r="P12" i="131"/>
  <c r="Q12" i="131"/>
  <c r="R12" i="131"/>
  <c r="S12" i="131"/>
  <c r="T12" i="131"/>
  <c r="U12" i="131"/>
  <c r="V12" i="131"/>
  <c r="W12" i="131"/>
  <c r="X12" i="131"/>
  <c r="Y12" i="131"/>
  <c r="Z12" i="131"/>
  <c r="AA12" i="131"/>
  <c r="AB12" i="131"/>
  <c r="AC12" i="131"/>
  <c r="AD12" i="131"/>
  <c r="AE12" i="131"/>
  <c r="AF12" i="131"/>
  <c r="AG12" i="131"/>
  <c r="AH12" i="131"/>
  <c r="AI12" i="131"/>
  <c r="AJ12" i="131"/>
  <c r="AK12" i="131"/>
  <c r="N13" i="131"/>
  <c r="O13" i="131"/>
  <c r="P13" i="131"/>
  <c r="Q13" i="131"/>
  <c r="R13" i="131"/>
  <c r="S13" i="131"/>
  <c r="T13" i="131"/>
  <c r="U13" i="131"/>
  <c r="V13" i="131"/>
  <c r="W13" i="131"/>
  <c r="X13" i="131"/>
  <c r="Y13" i="131"/>
  <c r="Z13" i="131"/>
  <c r="AA13" i="131"/>
  <c r="AB13" i="131"/>
  <c r="AC13" i="131"/>
  <c r="AD13" i="131"/>
  <c r="AE13" i="131"/>
  <c r="AF13" i="131"/>
  <c r="AG13" i="131"/>
  <c r="AH13" i="131"/>
  <c r="AI13" i="131"/>
  <c r="AJ13" i="131"/>
  <c r="AK13" i="131"/>
  <c r="N14" i="131"/>
  <c r="O14" i="131"/>
  <c r="P14" i="131"/>
  <c r="Q14" i="131"/>
  <c r="R14" i="131"/>
  <c r="S14" i="131"/>
  <c r="T14" i="131"/>
  <c r="U14" i="131"/>
  <c r="V14" i="131"/>
  <c r="W14" i="131"/>
  <c r="X14" i="131"/>
  <c r="Y14" i="131"/>
  <c r="Z14" i="131"/>
  <c r="AA14" i="131"/>
  <c r="AB14" i="131"/>
  <c r="AC14" i="131"/>
  <c r="AD14" i="131"/>
  <c r="AE14" i="131"/>
  <c r="AF14" i="131"/>
  <c r="AG14" i="131"/>
  <c r="AH14" i="131"/>
  <c r="AI14" i="131"/>
  <c r="AJ14" i="131"/>
  <c r="AK14" i="131"/>
  <c r="N15" i="131"/>
  <c r="O15" i="131"/>
  <c r="P15" i="131"/>
  <c r="Q15" i="131"/>
  <c r="R15" i="131"/>
  <c r="S15" i="131"/>
  <c r="T15" i="131"/>
  <c r="U15" i="131"/>
  <c r="V15" i="131"/>
  <c r="W15" i="131"/>
  <c r="X15" i="131"/>
  <c r="Y15" i="131"/>
  <c r="Z15" i="131"/>
  <c r="AA15" i="131"/>
  <c r="AB15" i="131"/>
  <c r="AC15" i="131"/>
  <c r="AD15" i="131"/>
  <c r="AE15" i="131"/>
  <c r="AF15" i="131"/>
  <c r="AG15" i="131"/>
  <c r="AH15" i="131"/>
  <c r="AI15" i="131"/>
  <c r="AJ15" i="131"/>
  <c r="AK15" i="131"/>
  <c r="N16" i="131"/>
  <c r="O16" i="131"/>
  <c r="P16" i="131"/>
  <c r="Q16" i="131"/>
  <c r="R16" i="131"/>
  <c r="S16" i="131"/>
  <c r="T16" i="131"/>
  <c r="U16" i="131"/>
  <c r="V16" i="131"/>
  <c r="W16" i="131"/>
  <c r="X16" i="131"/>
  <c r="Y16" i="131"/>
  <c r="Z16" i="131"/>
  <c r="AA16" i="131"/>
  <c r="AB16" i="131"/>
  <c r="AC16" i="131"/>
  <c r="AD16" i="131"/>
  <c r="AE16" i="131"/>
  <c r="AF16" i="131"/>
  <c r="AG16" i="131"/>
  <c r="AH16" i="131"/>
  <c r="AI16" i="131"/>
  <c r="AJ16" i="131"/>
  <c r="AK16" i="131"/>
  <c r="N17" i="131"/>
  <c r="O17" i="131"/>
  <c r="P17" i="131"/>
  <c r="Q17" i="131"/>
  <c r="R17" i="131"/>
  <c r="S17" i="131"/>
  <c r="T17" i="131"/>
  <c r="U17" i="131"/>
  <c r="V17" i="131"/>
  <c r="W17" i="131"/>
  <c r="X17" i="131"/>
  <c r="Y17" i="131"/>
  <c r="Z17" i="131"/>
  <c r="AA17" i="131"/>
  <c r="AB17" i="131"/>
  <c r="AC17" i="131"/>
  <c r="AD17" i="131"/>
  <c r="AE17" i="131"/>
  <c r="AF17" i="131"/>
  <c r="AG17" i="131"/>
  <c r="AH17" i="131"/>
  <c r="AI17" i="131"/>
  <c r="AJ17" i="131"/>
  <c r="AK17" i="131"/>
  <c r="N18" i="131"/>
  <c r="O18" i="131"/>
  <c r="P18" i="131"/>
  <c r="Q18" i="131"/>
  <c r="R18" i="131"/>
  <c r="S18" i="131"/>
  <c r="T18" i="131"/>
  <c r="U18" i="131"/>
  <c r="V18" i="131"/>
  <c r="W18" i="131"/>
  <c r="X18" i="131"/>
  <c r="Y18" i="131"/>
  <c r="Z18" i="131"/>
  <c r="AA18" i="131"/>
  <c r="AB18" i="131"/>
  <c r="AC18" i="131"/>
  <c r="AD18" i="131"/>
  <c r="AE18" i="131"/>
  <c r="AF18" i="131"/>
  <c r="AG18" i="131"/>
  <c r="AH18" i="131"/>
  <c r="AI18" i="131"/>
  <c r="AJ18" i="131"/>
  <c r="AK18" i="131"/>
  <c r="N19" i="131"/>
  <c r="O19" i="131"/>
  <c r="P19" i="131"/>
  <c r="Q19" i="131"/>
  <c r="R19" i="131"/>
  <c r="S19" i="131"/>
  <c r="T19" i="131"/>
  <c r="U19" i="131"/>
  <c r="V19" i="131"/>
  <c r="W19" i="131"/>
  <c r="X19" i="131"/>
  <c r="Y19" i="131"/>
  <c r="Z19" i="131"/>
  <c r="AA19" i="131"/>
  <c r="AB19" i="131"/>
  <c r="AC19" i="131"/>
  <c r="AD19" i="131"/>
  <c r="AE19" i="131"/>
  <c r="AF19" i="131"/>
  <c r="AG19" i="131"/>
  <c r="AH19" i="131"/>
  <c r="AI19" i="131"/>
  <c r="AJ19" i="131"/>
  <c r="AK19" i="131"/>
  <c r="N20" i="131"/>
  <c r="O20" i="131"/>
  <c r="P20" i="131"/>
  <c r="Q20" i="131"/>
  <c r="R20" i="131"/>
  <c r="S20" i="131"/>
  <c r="T20" i="131"/>
  <c r="U20" i="131"/>
  <c r="V20" i="131"/>
  <c r="W20" i="131"/>
  <c r="X20" i="131"/>
  <c r="Y20" i="131"/>
  <c r="Z20" i="131"/>
  <c r="AA20" i="131"/>
  <c r="AB20" i="131"/>
  <c r="AC20" i="131"/>
  <c r="AD20" i="131"/>
  <c r="AE20" i="131"/>
  <c r="AF20" i="131"/>
  <c r="AG20" i="131"/>
  <c r="AH20" i="131"/>
  <c r="AI20" i="131"/>
  <c r="AJ20" i="131"/>
  <c r="AK20" i="131"/>
  <c r="N21" i="131"/>
  <c r="O21" i="131"/>
  <c r="P21" i="131"/>
  <c r="Q21" i="131"/>
  <c r="R21" i="131"/>
  <c r="S21" i="131"/>
  <c r="T21" i="131"/>
  <c r="U21" i="131"/>
  <c r="V21" i="131"/>
  <c r="W21" i="131"/>
  <c r="X21" i="131"/>
  <c r="Y21" i="131"/>
  <c r="Z21" i="131"/>
  <c r="AA21" i="131"/>
  <c r="AB21" i="131"/>
  <c r="AC21" i="131"/>
  <c r="AD21" i="131"/>
  <c r="AE21" i="131"/>
  <c r="AF21" i="131"/>
  <c r="AG21" i="131"/>
  <c r="AH21" i="131"/>
  <c r="AI21" i="131"/>
  <c r="AJ21" i="131"/>
  <c r="AK21" i="131"/>
  <c r="N22" i="131"/>
  <c r="O22" i="131"/>
  <c r="P22" i="131"/>
  <c r="Q22" i="131"/>
  <c r="R22" i="131"/>
  <c r="S22" i="131"/>
  <c r="T22" i="131"/>
  <c r="U22" i="131"/>
  <c r="V22" i="131"/>
  <c r="W22" i="131"/>
  <c r="X22" i="131"/>
  <c r="Y22" i="131"/>
  <c r="Z22" i="131"/>
  <c r="AA22" i="131"/>
  <c r="AB22" i="131"/>
  <c r="AC22" i="131"/>
  <c r="AD22" i="131"/>
  <c r="AE22" i="131"/>
  <c r="AF22" i="131"/>
  <c r="AG22" i="131"/>
  <c r="AH22" i="131"/>
  <c r="AI22" i="131"/>
  <c r="AJ22" i="131"/>
  <c r="AK22" i="131"/>
  <c r="N23" i="131"/>
  <c r="O23" i="131"/>
  <c r="P23" i="131"/>
  <c r="Q23" i="131"/>
  <c r="R23" i="131"/>
  <c r="S23" i="131"/>
  <c r="T23" i="131"/>
  <c r="U23" i="131"/>
  <c r="V23" i="131"/>
  <c r="W23" i="131"/>
  <c r="X23" i="131"/>
  <c r="Y23" i="131"/>
  <c r="Z23" i="131"/>
  <c r="AA23" i="131"/>
  <c r="AB23" i="131"/>
  <c r="AC23" i="131"/>
  <c r="AD23" i="131"/>
  <c r="AE23" i="131"/>
  <c r="AF23" i="131"/>
  <c r="AG23" i="131"/>
  <c r="AH23" i="131"/>
  <c r="AI23" i="131"/>
  <c r="AJ23" i="131"/>
  <c r="AK23" i="131"/>
  <c r="N24" i="131"/>
  <c r="O24" i="131"/>
  <c r="P24" i="131"/>
  <c r="Q24" i="131"/>
  <c r="R24" i="131"/>
  <c r="S24" i="131"/>
  <c r="T24" i="131"/>
  <c r="U24" i="131"/>
  <c r="V24" i="131"/>
  <c r="W24" i="131"/>
  <c r="X24" i="131"/>
  <c r="Y24" i="131"/>
  <c r="Z24" i="131"/>
  <c r="AA24" i="131"/>
  <c r="AB24" i="131"/>
  <c r="AC24" i="131"/>
  <c r="AD24" i="131"/>
  <c r="AE24" i="131"/>
  <c r="AF24" i="131"/>
  <c r="AG24" i="131"/>
  <c r="AH24" i="131"/>
  <c r="AI24" i="131"/>
  <c r="AJ24" i="131"/>
  <c r="AK24" i="131"/>
  <c r="N25" i="131"/>
  <c r="O25" i="131"/>
  <c r="P25" i="131"/>
  <c r="Q25" i="131"/>
  <c r="R25" i="131"/>
  <c r="S25" i="131"/>
  <c r="T25" i="131"/>
  <c r="U25" i="131"/>
  <c r="V25" i="131"/>
  <c r="W25" i="131"/>
  <c r="X25" i="131"/>
  <c r="Y25" i="131"/>
  <c r="Z25" i="131"/>
  <c r="AA25" i="131"/>
  <c r="AB25" i="131"/>
  <c r="AC25" i="131"/>
  <c r="AD25" i="131"/>
  <c r="AE25" i="131"/>
  <c r="AF25" i="131"/>
  <c r="AG25" i="131"/>
  <c r="AH25" i="131"/>
  <c r="AI25" i="131"/>
  <c r="AJ25" i="131"/>
  <c r="AK25" i="131"/>
  <c r="N26" i="131"/>
  <c r="O26" i="131"/>
  <c r="P26" i="131"/>
  <c r="Q26" i="131"/>
  <c r="R26" i="131"/>
  <c r="S26" i="131"/>
  <c r="T26" i="131"/>
  <c r="U26" i="131"/>
  <c r="V26" i="131"/>
  <c r="W26" i="131"/>
  <c r="X26" i="131"/>
  <c r="Y26" i="131"/>
  <c r="Z26" i="131"/>
  <c r="AA26" i="131"/>
  <c r="AB26" i="131"/>
  <c r="AC26" i="131"/>
  <c r="AD26" i="131"/>
  <c r="AE26" i="131"/>
  <c r="AF26" i="131"/>
  <c r="AG26" i="131"/>
  <c r="AH26" i="131"/>
  <c r="AI26" i="131"/>
  <c r="AJ26" i="131"/>
  <c r="AK26" i="131"/>
  <c r="N27" i="131"/>
  <c r="O27" i="131"/>
  <c r="P27" i="131"/>
  <c r="Q27" i="131"/>
  <c r="R27" i="131"/>
  <c r="S27" i="131"/>
  <c r="T27" i="131"/>
  <c r="U27" i="131"/>
  <c r="V27" i="131"/>
  <c r="W27" i="131"/>
  <c r="X27" i="131"/>
  <c r="Y27" i="131"/>
  <c r="Z27" i="131"/>
  <c r="AA27" i="131"/>
  <c r="AB27" i="131"/>
  <c r="AC27" i="131"/>
  <c r="AD27" i="131"/>
  <c r="AE27" i="131"/>
  <c r="AF27" i="131"/>
  <c r="AG27" i="131"/>
  <c r="AH27" i="131"/>
  <c r="AI27" i="131"/>
  <c r="AJ27" i="131"/>
  <c r="AK27" i="131"/>
  <c r="N28" i="131"/>
  <c r="O28" i="131"/>
  <c r="P28" i="131"/>
  <c r="Q28" i="131"/>
  <c r="R28" i="131"/>
  <c r="S28" i="131"/>
  <c r="T28" i="131"/>
  <c r="U28" i="131"/>
  <c r="V28" i="131"/>
  <c r="W28" i="131"/>
  <c r="X28" i="131"/>
  <c r="Y28" i="131"/>
  <c r="Z28" i="131"/>
  <c r="AA28" i="131"/>
  <c r="AB28" i="131"/>
  <c r="AC28" i="131"/>
  <c r="AD28" i="131"/>
  <c r="AE28" i="131"/>
  <c r="AF28" i="131"/>
  <c r="AG28" i="131"/>
  <c r="AH28" i="131"/>
  <c r="AI28" i="131"/>
  <c r="AJ28" i="131"/>
  <c r="AK28" i="131"/>
  <c r="N29" i="131"/>
  <c r="O29" i="131"/>
  <c r="P29" i="131"/>
  <c r="Q29" i="131"/>
  <c r="R29" i="131"/>
  <c r="S29" i="131"/>
  <c r="T29" i="131"/>
  <c r="U29" i="131"/>
  <c r="V29" i="131"/>
  <c r="W29" i="131"/>
  <c r="X29" i="131"/>
  <c r="Y29" i="131"/>
  <c r="Z29" i="131"/>
  <c r="AA29" i="131"/>
  <c r="AB29" i="131"/>
  <c r="AC29" i="131"/>
  <c r="AD29" i="131"/>
  <c r="AE29" i="131"/>
  <c r="AF29" i="131"/>
  <c r="AG29" i="131"/>
  <c r="AH29" i="131"/>
  <c r="AI29" i="131"/>
  <c r="AJ29" i="131"/>
  <c r="AK29" i="131"/>
  <c r="N30" i="131"/>
  <c r="O30" i="131"/>
  <c r="P30" i="131"/>
  <c r="Q30" i="131"/>
  <c r="R30" i="131"/>
  <c r="S30" i="131"/>
  <c r="T30" i="131"/>
  <c r="U30" i="131"/>
  <c r="V30" i="131"/>
  <c r="W30" i="131"/>
  <c r="X30" i="131"/>
  <c r="Y30" i="131"/>
  <c r="Z30" i="131"/>
  <c r="AA30" i="131"/>
  <c r="AB30" i="131"/>
  <c r="AC30" i="131"/>
  <c r="AD30" i="131"/>
  <c r="AE30" i="131"/>
  <c r="AF30" i="131"/>
  <c r="AG30" i="131"/>
  <c r="AH30" i="131"/>
  <c r="AI30" i="131"/>
  <c r="AJ30" i="131"/>
  <c r="AK30" i="131"/>
  <c r="N31" i="131"/>
  <c r="O31" i="131"/>
  <c r="P31" i="131"/>
  <c r="Q31" i="131"/>
  <c r="R31" i="131"/>
  <c r="S31" i="131"/>
  <c r="T31" i="131"/>
  <c r="U31" i="131"/>
  <c r="V31" i="131"/>
  <c r="W31" i="131"/>
  <c r="X31" i="131"/>
  <c r="Y31" i="131"/>
  <c r="Z31" i="131"/>
  <c r="AA31" i="131"/>
  <c r="AB31" i="131"/>
  <c r="AC31" i="131"/>
  <c r="AD31" i="131"/>
  <c r="AE31" i="131"/>
  <c r="AF31" i="131"/>
  <c r="AG31" i="131"/>
  <c r="AH31" i="131"/>
  <c r="AI31" i="131"/>
  <c r="AJ31" i="131"/>
  <c r="AK31" i="131"/>
  <c r="AK6" i="131"/>
  <c r="AJ6" i="131"/>
  <c r="AI6" i="131"/>
  <c r="AH6" i="131"/>
  <c r="AG6" i="131"/>
  <c r="AF6" i="131"/>
  <c r="AE6" i="131"/>
  <c r="AD6" i="131"/>
  <c r="AC6" i="131"/>
  <c r="AB6" i="131"/>
  <c r="AA6" i="131"/>
  <c r="Z6" i="131"/>
  <c r="Y6" i="131"/>
  <c r="X6" i="131"/>
  <c r="W6" i="131"/>
  <c r="V6" i="131"/>
  <c r="U6" i="131"/>
  <c r="T6" i="131"/>
  <c r="S6" i="131"/>
  <c r="R6" i="131"/>
  <c r="Q6" i="131"/>
  <c r="P6" i="131"/>
  <c r="O6" i="131"/>
  <c r="N6" i="131"/>
  <c r="AK4" i="131"/>
  <c r="AJ4" i="131"/>
  <c r="AI4" i="131"/>
  <c r="AH4" i="131"/>
  <c r="AG4" i="131"/>
  <c r="AF4" i="131"/>
  <c r="AE4" i="131"/>
  <c r="AD4" i="131"/>
  <c r="AC4" i="131"/>
  <c r="AB4" i="131"/>
  <c r="AA4" i="131"/>
  <c r="Z4" i="131"/>
  <c r="Y4" i="131"/>
  <c r="X4" i="131"/>
  <c r="W4" i="131"/>
  <c r="V4" i="131"/>
  <c r="U4" i="131"/>
  <c r="T4" i="131"/>
  <c r="S4" i="131"/>
  <c r="R4" i="131"/>
  <c r="Q4" i="131"/>
  <c r="P4" i="131"/>
  <c r="N7" i="129"/>
  <c r="O7" i="129"/>
  <c r="P7" i="129"/>
  <c r="Q7" i="129"/>
  <c r="R7" i="129"/>
  <c r="S7" i="129"/>
  <c r="T7" i="129"/>
  <c r="U7" i="129"/>
  <c r="V7" i="129"/>
  <c r="W7" i="129"/>
  <c r="X7" i="129"/>
  <c r="Y7" i="129"/>
  <c r="Z7" i="129"/>
  <c r="AA7" i="129"/>
  <c r="AB7" i="129"/>
  <c r="AC7" i="129"/>
  <c r="AD7" i="129"/>
  <c r="AE7" i="129"/>
  <c r="AF7" i="129"/>
  <c r="AG7" i="129"/>
  <c r="AH7" i="129"/>
  <c r="AI7" i="129"/>
  <c r="AJ7" i="129"/>
  <c r="AK7" i="129"/>
  <c r="N8" i="129"/>
  <c r="O8" i="129"/>
  <c r="P8" i="129"/>
  <c r="Q8" i="129"/>
  <c r="R8" i="129"/>
  <c r="S8" i="129"/>
  <c r="T8" i="129"/>
  <c r="U8" i="129"/>
  <c r="V8" i="129"/>
  <c r="W8" i="129"/>
  <c r="X8" i="129"/>
  <c r="Y8" i="129"/>
  <c r="Z8" i="129"/>
  <c r="AA8" i="129"/>
  <c r="AB8" i="129"/>
  <c r="AC8" i="129"/>
  <c r="AD8" i="129"/>
  <c r="AE8" i="129"/>
  <c r="AF8" i="129"/>
  <c r="AG8" i="129"/>
  <c r="AH8" i="129"/>
  <c r="AI8" i="129"/>
  <c r="AJ8" i="129"/>
  <c r="AK8" i="129"/>
  <c r="N9" i="129"/>
  <c r="O9" i="129"/>
  <c r="P9" i="129"/>
  <c r="Q9" i="129"/>
  <c r="R9" i="129"/>
  <c r="S9" i="129"/>
  <c r="T9" i="129"/>
  <c r="U9" i="129"/>
  <c r="V9" i="129"/>
  <c r="W9" i="129"/>
  <c r="X9" i="129"/>
  <c r="Y9" i="129"/>
  <c r="Z9" i="129"/>
  <c r="AA9" i="129"/>
  <c r="AB9" i="129"/>
  <c r="AC9" i="129"/>
  <c r="AD9" i="129"/>
  <c r="AE9" i="129"/>
  <c r="AF9" i="129"/>
  <c r="AG9" i="129"/>
  <c r="AH9" i="129"/>
  <c r="AI9" i="129"/>
  <c r="AJ9" i="129"/>
  <c r="AK9" i="129"/>
  <c r="N10" i="129"/>
  <c r="O10" i="129"/>
  <c r="P10" i="129"/>
  <c r="Q10" i="129"/>
  <c r="R10" i="129"/>
  <c r="S10" i="129"/>
  <c r="T10" i="129"/>
  <c r="U10" i="129"/>
  <c r="V10" i="129"/>
  <c r="W10" i="129"/>
  <c r="X10" i="129"/>
  <c r="Y10" i="129"/>
  <c r="Z10" i="129"/>
  <c r="AA10" i="129"/>
  <c r="AB10" i="129"/>
  <c r="AC10" i="129"/>
  <c r="AD10" i="129"/>
  <c r="AE10" i="129"/>
  <c r="AF10" i="129"/>
  <c r="AG10" i="129"/>
  <c r="AH10" i="129"/>
  <c r="AI10" i="129"/>
  <c r="AJ10" i="129"/>
  <c r="AK10" i="129"/>
  <c r="N11" i="129"/>
  <c r="O11" i="129"/>
  <c r="P11" i="129"/>
  <c r="Q11" i="129"/>
  <c r="R11" i="129"/>
  <c r="S11" i="129"/>
  <c r="T11" i="129"/>
  <c r="U11" i="129"/>
  <c r="V11" i="129"/>
  <c r="W11" i="129"/>
  <c r="X11" i="129"/>
  <c r="Y11" i="129"/>
  <c r="Z11" i="129"/>
  <c r="AA11" i="129"/>
  <c r="AB11" i="129"/>
  <c r="AC11" i="129"/>
  <c r="AD11" i="129"/>
  <c r="AE11" i="129"/>
  <c r="AF11" i="129"/>
  <c r="AG11" i="129"/>
  <c r="AH11" i="129"/>
  <c r="AI11" i="129"/>
  <c r="AJ11" i="129"/>
  <c r="AK11" i="129"/>
  <c r="N12" i="129"/>
  <c r="O12" i="129"/>
  <c r="P12" i="129"/>
  <c r="Q12" i="129"/>
  <c r="R12" i="129"/>
  <c r="S12" i="129"/>
  <c r="T12" i="129"/>
  <c r="U12" i="129"/>
  <c r="V12" i="129"/>
  <c r="W12" i="129"/>
  <c r="X12" i="129"/>
  <c r="Y12" i="129"/>
  <c r="Z12" i="129"/>
  <c r="AA12" i="129"/>
  <c r="AB12" i="129"/>
  <c r="AC12" i="129"/>
  <c r="AD12" i="129"/>
  <c r="AE12" i="129"/>
  <c r="AF12" i="129"/>
  <c r="AG12" i="129"/>
  <c r="AH12" i="129"/>
  <c r="AI12" i="129"/>
  <c r="AJ12" i="129"/>
  <c r="AK12" i="129"/>
  <c r="N13" i="129"/>
  <c r="O13" i="129"/>
  <c r="P13" i="129"/>
  <c r="Q13" i="129"/>
  <c r="R13" i="129"/>
  <c r="S13" i="129"/>
  <c r="T13" i="129"/>
  <c r="U13" i="129"/>
  <c r="V13" i="129"/>
  <c r="W13" i="129"/>
  <c r="X13" i="129"/>
  <c r="Y13" i="129"/>
  <c r="Z13" i="129"/>
  <c r="AA13" i="129"/>
  <c r="AB13" i="129"/>
  <c r="AC13" i="129"/>
  <c r="AD13" i="129"/>
  <c r="AE13" i="129"/>
  <c r="AF13" i="129"/>
  <c r="AG13" i="129"/>
  <c r="AH13" i="129"/>
  <c r="AI13" i="129"/>
  <c r="AJ13" i="129"/>
  <c r="AK13" i="129"/>
  <c r="N14" i="129"/>
  <c r="O14" i="129"/>
  <c r="P14" i="129"/>
  <c r="Q14" i="129"/>
  <c r="R14" i="129"/>
  <c r="S14" i="129"/>
  <c r="T14" i="129"/>
  <c r="U14" i="129"/>
  <c r="V14" i="129"/>
  <c r="W14" i="129"/>
  <c r="X14" i="129"/>
  <c r="Y14" i="129"/>
  <c r="Z14" i="129"/>
  <c r="AA14" i="129"/>
  <c r="AB14" i="129"/>
  <c r="AC14" i="129"/>
  <c r="AD14" i="129"/>
  <c r="AE14" i="129"/>
  <c r="AF14" i="129"/>
  <c r="AG14" i="129"/>
  <c r="AH14" i="129"/>
  <c r="AI14" i="129"/>
  <c r="AJ14" i="129"/>
  <c r="AK14" i="129"/>
  <c r="N15" i="129"/>
  <c r="O15" i="129"/>
  <c r="P15" i="129"/>
  <c r="Q15" i="129"/>
  <c r="R15" i="129"/>
  <c r="S15" i="129"/>
  <c r="T15" i="129"/>
  <c r="U15" i="129"/>
  <c r="V15" i="129"/>
  <c r="W15" i="129"/>
  <c r="X15" i="129"/>
  <c r="Y15" i="129"/>
  <c r="Z15" i="129"/>
  <c r="AA15" i="129"/>
  <c r="AB15" i="129"/>
  <c r="AC15" i="129"/>
  <c r="AD15" i="129"/>
  <c r="AE15" i="129"/>
  <c r="AF15" i="129"/>
  <c r="AG15" i="129"/>
  <c r="AH15" i="129"/>
  <c r="AI15" i="129"/>
  <c r="AJ15" i="129"/>
  <c r="AK15" i="129"/>
  <c r="N16" i="129"/>
  <c r="O16" i="129"/>
  <c r="P16" i="129"/>
  <c r="Q16" i="129"/>
  <c r="R16" i="129"/>
  <c r="S16" i="129"/>
  <c r="T16" i="129"/>
  <c r="U16" i="129"/>
  <c r="V16" i="129"/>
  <c r="W16" i="129"/>
  <c r="X16" i="129"/>
  <c r="Y16" i="129"/>
  <c r="Z16" i="129"/>
  <c r="AA16" i="129"/>
  <c r="AB16" i="129"/>
  <c r="AC16" i="129"/>
  <c r="AD16" i="129"/>
  <c r="AE16" i="129"/>
  <c r="AF16" i="129"/>
  <c r="AG16" i="129"/>
  <c r="AH16" i="129"/>
  <c r="AI16" i="129"/>
  <c r="AJ16" i="129"/>
  <c r="AK16" i="129"/>
  <c r="N17" i="129"/>
  <c r="O17" i="129"/>
  <c r="P17" i="129"/>
  <c r="Q17" i="129"/>
  <c r="R17" i="129"/>
  <c r="S17" i="129"/>
  <c r="T17" i="129"/>
  <c r="U17" i="129"/>
  <c r="V17" i="129"/>
  <c r="W17" i="129"/>
  <c r="X17" i="129"/>
  <c r="Y17" i="129"/>
  <c r="Z17" i="129"/>
  <c r="AA17" i="129"/>
  <c r="AB17" i="129"/>
  <c r="AC17" i="129"/>
  <c r="AD17" i="129"/>
  <c r="AE17" i="129"/>
  <c r="AF17" i="129"/>
  <c r="AG17" i="129"/>
  <c r="AH17" i="129"/>
  <c r="AI17" i="129"/>
  <c r="AJ17" i="129"/>
  <c r="AK17" i="129"/>
  <c r="N18" i="129"/>
  <c r="O18" i="129"/>
  <c r="P18" i="129"/>
  <c r="Q18" i="129"/>
  <c r="R18" i="129"/>
  <c r="S18" i="129"/>
  <c r="T18" i="129"/>
  <c r="U18" i="129"/>
  <c r="V18" i="129"/>
  <c r="W18" i="129"/>
  <c r="X18" i="129"/>
  <c r="Y18" i="129"/>
  <c r="Z18" i="129"/>
  <c r="AA18" i="129"/>
  <c r="AB18" i="129"/>
  <c r="AC18" i="129"/>
  <c r="AD18" i="129"/>
  <c r="AE18" i="129"/>
  <c r="AF18" i="129"/>
  <c r="AG18" i="129"/>
  <c r="AH18" i="129"/>
  <c r="AI18" i="129"/>
  <c r="AJ18" i="129"/>
  <c r="AK18" i="129"/>
  <c r="N19" i="129"/>
  <c r="O19" i="129"/>
  <c r="P19" i="129"/>
  <c r="Q19" i="129"/>
  <c r="R19" i="129"/>
  <c r="S19" i="129"/>
  <c r="T19" i="129"/>
  <c r="U19" i="129"/>
  <c r="V19" i="129"/>
  <c r="W19" i="129"/>
  <c r="X19" i="129"/>
  <c r="Y19" i="129"/>
  <c r="Z19" i="129"/>
  <c r="AA19" i="129"/>
  <c r="AB19" i="129"/>
  <c r="AC19" i="129"/>
  <c r="AD19" i="129"/>
  <c r="AE19" i="129"/>
  <c r="AF19" i="129"/>
  <c r="AG19" i="129"/>
  <c r="AH19" i="129"/>
  <c r="AI19" i="129"/>
  <c r="AJ19" i="129"/>
  <c r="AK19" i="129"/>
  <c r="N20" i="129"/>
  <c r="O20" i="129"/>
  <c r="P20" i="129"/>
  <c r="Q20" i="129"/>
  <c r="R20" i="129"/>
  <c r="S20" i="129"/>
  <c r="T20" i="129"/>
  <c r="U20" i="129"/>
  <c r="V20" i="129"/>
  <c r="W20" i="129"/>
  <c r="X20" i="129"/>
  <c r="Y20" i="129"/>
  <c r="Z20" i="129"/>
  <c r="AA20" i="129"/>
  <c r="AB20" i="129"/>
  <c r="AC20" i="129"/>
  <c r="AD20" i="129"/>
  <c r="AE20" i="129"/>
  <c r="AF20" i="129"/>
  <c r="AG20" i="129"/>
  <c r="AH20" i="129"/>
  <c r="AI20" i="129"/>
  <c r="AJ20" i="129"/>
  <c r="AK20" i="129"/>
  <c r="N21" i="129"/>
  <c r="O21" i="129"/>
  <c r="P21" i="129"/>
  <c r="Q21" i="129"/>
  <c r="R21" i="129"/>
  <c r="S21" i="129"/>
  <c r="T21" i="129"/>
  <c r="U21" i="129"/>
  <c r="V21" i="129"/>
  <c r="W21" i="129"/>
  <c r="X21" i="129"/>
  <c r="Y21" i="129"/>
  <c r="Z21" i="129"/>
  <c r="AA21" i="129"/>
  <c r="AB21" i="129"/>
  <c r="AC21" i="129"/>
  <c r="AD21" i="129"/>
  <c r="AE21" i="129"/>
  <c r="AF21" i="129"/>
  <c r="AG21" i="129"/>
  <c r="AH21" i="129"/>
  <c r="AI21" i="129"/>
  <c r="AJ21" i="129"/>
  <c r="AK21" i="129"/>
  <c r="N22" i="129"/>
  <c r="O22" i="129"/>
  <c r="P22" i="129"/>
  <c r="Q22" i="129"/>
  <c r="R22" i="129"/>
  <c r="S22" i="129"/>
  <c r="T22" i="129"/>
  <c r="U22" i="129"/>
  <c r="V22" i="129"/>
  <c r="W22" i="129"/>
  <c r="X22" i="129"/>
  <c r="Y22" i="129"/>
  <c r="Z22" i="129"/>
  <c r="AA22" i="129"/>
  <c r="AB22" i="129"/>
  <c r="AC22" i="129"/>
  <c r="AD22" i="129"/>
  <c r="AE22" i="129"/>
  <c r="AF22" i="129"/>
  <c r="AG22" i="129"/>
  <c r="AH22" i="129"/>
  <c r="AI22" i="129"/>
  <c r="AJ22" i="129"/>
  <c r="AK22" i="129"/>
  <c r="N23" i="129"/>
  <c r="O23" i="129"/>
  <c r="P23" i="129"/>
  <c r="Q23" i="129"/>
  <c r="R23" i="129"/>
  <c r="S23" i="129"/>
  <c r="T23" i="129"/>
  <c r="U23" i="129"/>
  <c r="V23" i="129"/>
  <c r="W23" i="129"/>
  <c r="X23" i="129"/>
  <c r="Y23" i="129"/>
  <c r="Z23" i="129"/>
  <c r="AA23" i="129"/>
  <c r="AB23" i="129"/>
  <c r="AC23" i="129"/>
  <c r="AD23" i="129"/>
  <c r="AE23" i="129"/>
  <c r="AF23" i="129"/>
  <c r="AG23" i="129"/>
  <c r="AH23" i="129"/>
  <c r="AI23" i="129"/>
  <c r="AJ23" i="129"/>
  <c r="AK23" i="129"/>
  <c r="N24" i="129"/>
  <c r="O24" i="129"/>
  <c r="P24" i="129"/>
  <c r="Q24" i="129"/>
  <c r="R24" i="129"/>
  <c r="S24" i="129"/>
  <c r="T24" i="129"/>
  <c r="U24" i="129"/>
  <c r="V24" i="129"/>
  <c r="W24" i="129"/>
  <c r="X24" i="129"/>
  <c r="Y24" i="129"/>
  <c r="Z24" i="129"/>
  <c r="AA24" i="129"/>
  <c r="AB24" i="129"/>
  <c r="AC24" i="129"/>
  <c r="AD24" i="129"/>
  <c r="AE24" i="129"/>
  <c r="AF24" i="129"/>
  <c r="AG24" i="129"/>
  <c r="AH24" i="129"/>
  <c r="AI24" i="129"/>
  <c r="AJ24" i="129"/>
  <c r="AK24" i="129"/>
  <c r="N25" i="129"/>
  <c r="O25" i="129"/>
  <c r="P25" i="129"/>
  <c r="Q25" i="129"/>
  <c r="R25" i="129"/>
  <c r="S25" i="129"/>
  <c r="T25" i="129"/>
  <c r="U25" i="129"/>
  <c r="V25" i="129"/>
  <c r="W25" i="129"/>
  <c r="X25" i="129"/>
  <c r="Y25" i="129"/>
  <c r="Z25" i="129"/>
  <c r="AA25" i="129"/>
  <c r="AB25" i="129"/>
  <c r="AC25" i="129"/>
  <c r="AD25" i="129"/>
  <c r="AE25" i="129"/>
  <c r="AF25" i="129"/>
  <c r="AG25" i="129"/>
  <c r="AH25" i="129"/>
  <c r="AI25" i="129"/>
  <c r="AJ25" i="129"/>
  <c r="AK25" i="129"/>
  <c r="N26" i="129"/>
  <c r="O26" i="129"/>
  <c r="P26" i="129"/>
  <c r="Q26" i="129"/>
  <c r="R26" i="129"/>
  <c r="S26" i="129"/>
  <c r="T26" i="129"/>
  <c r="U26" i="129"/>
  <c r="V26" i="129"/>
  <c r="W26" i="129"/>
  <c r="X26" i="129"/>
  <c r="Y26" i="129"/>
  <c r="Z26" i="129"/>
  <c r="AA26" i="129"/>
  <c r="AB26" i="129"/>
  <c r="AC26" i="129"/>
  <c r="AD26" i="129"/>
  <c r="AE26" i="129"/>
  <c r="AF26" i="129"/>
  <c r="AG26" i="129"/>
  <c r="AH26" i="129"/>
  <c r="AI26" i="129"/>
  <c r="AJ26" i="129"/>
  <c r="AK26" i="129"/>
  <c r="N27" i="129"/>
  <c r="O27" i="129"/>
  <c r="P27" i="129"/>
  <c r="Q27" i="129"/>
  <c r="R27" i="129"/>
  <c r="S27" i="129"/>
  <c r="T27" i="129"/>
  <c r="U27" i="129"/>
  <c r="V27" i="129"/>
  <c r="W27" i="129"/>
  <c r="X27" i="129"/>
  <c r="Y27" i="129"/>
  <c r="Z27" i="129"/>
  <c r="AA27" i="129"/>
  <c r="AB27" i="129"/>
  <c r="AC27" i="129"/>
  <c r="AD27" i="129"/>
  <c r="AE27" i="129"/>
  <c r="AF27" i="129"/>
  <c r="AG27" i="129"/>
  <c r="AH27" i="129"/>
  <c r="AI27" i="129"/>
  <c r="AJ27" i="129"/>
  <c r="AK27" i="129"/>
  <c r="N28" i="129"/>
  <c r="O28" i="129"/>
  <c r="P28" i="129"/>
  <c r="Q28" i="129"/>
  <c r="R28" i="129"/>
  <c r="S28" i="129"/>
  <c r="T28" i="129"/>
  <c r="U28" i="129"/>
  <c r="V28" i="129"/>
  <c r="W28" i="129"/>
  <c r="X28" i="129"/>
  <c r="Y28" i="129"/>
  <c r="Z28" i="129"/>
  <c r="AA28" i="129"/>
  <c r="AB28" i="129"/>
  <c r="AC28" i="129"/>
  <c r="AD28" i="129"/>
  <c r="AE28" i="129"/>
  <c r="AF28" i="129"/>
  <c r="AG28" i="129"/>
  <c r="AH28" i="129"/>
  <c r="AI28" i="129"/>
  <c r="AJ28" i="129"/>
  <c r="AK28" i="129"/>
  <c r="N29" i="129"/>
  <c r="O29" i="129"/>
  <c r="P29" i="129"/>
  <c r="Q29" i="129"/>
  <c r="R29" i="129"/>
  <c r="S29" i="129"/>
  <c r="T29" i="129"/>
  <c r="U29" i="129"/>
  <c r="V29" i="129"/>
  <c r="W29" i="129"/>
  <c r="X29" i="129"/>
  <c r="Y29" i="129"/>
  <c r="Z29" i="129"/>
  <c r="AA29" i="129"/>
  <c r="AB29" i="129"/>
  <c r="AC29" i="129"/>
  <c r="AD29" i="129"/>
  <c r="AE29" i="129"/>
  <c r="AF29" i="129"/>
  <c r="AG29" i="129"/>
  <c r="AH29" i="129"/>
  <c r="AI29" i="129"/>
  <c r="AJ29" i="129"/>
  <c r="AK29" i="129"/>
  <c r="N30" i="129"/>
  <c r="O30" i="129"/>
  <c r="P30" i="129"/>
  <c r="Q30" i="129"/>
  <c r="R30" i="129"/>
  <c r="S30" i="129"/>
  <c r="T30" i="129"/>
  <c r="U30" i="129"/>
  <c r="V30" i="129"/>
  <c r="W30" i="129"/>
  <c r="X30" i="129"/>
  <c r="Y30" i="129"/>
  <c r="Z30" i="129"/>
  <c r="AA30" i="129"/>
  <c r="AB30" i="129"/>
  <c r="AC30" i="129"/>
  <c r="AD30" i="129"/>
  <c r="AE30" i="129"/>
  <c r="AF30" i="129"/>
  <c r="AG30" i="129"/>
  <c r="AH30" i="129"/>
  <c r="AI30" i="129"/>
  <c r="AJ30" i="129"/>
  <c r="AK30" i="129"/>
  <c r="N31" i="129"/>
  <c r="O31" i="129"/>
  <c r="P31" i="129"/>
  <c r="Q31" i="129"/>
  <c r="R31" i="129"/>
  <c r="S31" i="129"/>
  <c r="T31" i="129"/>
  <c r="U31" i="129"/>
  <c r="V31" i="129"/>
  <c r="W31" i="129"/>
  <c r="X31" i="129"/>
  <c r="Y31" i="129"/>
  <c r="Z31" i="129"/>
  <c r="AA31" i="129"/>
  <c r="AB31" i="129"/>
  <c r="AC31" i="129"/>
  <c r="AD31" i="129"/>
  <c r="AE31" i="129"/>
  <c r="AF31" i="129"/>
  <c r="AG31" i="129"/>
  <c r="AH31" i="129"/>
  <c r="AI31" i="129"/>
  <c r="AJ31" i="129"/>
  <c r="AK31" i="129"/>
  <c r="P6" i="129"/>
  <c r="N6" i="129"/>
  <c r="AK6" i="129"/>
  <c r="AJ6" i="129"/>
  <c r="AI6" i="129"/>
  <c r="AH6" i="129"/>
  <c r="AG6" i="129"/>
  <c r="AF6" i="129"/>
  <c r="AE6" i="129"/>
  <c r="AD6" i="129"/>
  <c r="AC6" i="129"/>
  <c r="AB6" i="129"/>
  <c r="AA6" i="129"/>
  <c r="Z6" i="129"/>
  <c r="Y6" i="129"/>
  <c r="X6" i="129"/>
  <c r="W6" i="129"/>
  <c r="V6" i="129"/>
  <c r="U6" i="129"/>
  <c r="T6" i="129"/>
  <c r="S6" i="129"/>
  <c r="R6" i="129"/>
  <c r="Q6" i="129"/>
  <c r="O6" i="129"/>
  <c r="AK4" i="129"/>
  <c r="AJ4" i="129"/>
  <c r="AI4" i="129"/>
  <c r="AH4" i="129"/>
  <c r="AG4" i="129"/>
  <c r="AF4" i="129"/>
  <c r="AE4" i="129"/>
  <c r="AD4" i="129"/>
  <c r="AC4" i="129"/>
  <c r="AB4" i="129"/>
  <c r="AA4" i="129"/>
  <c r="Z4" i="129"/>
  <c r="Y4" i="129"/>
  <c r="X4" i="129"/>
  <c r="W4" i="129"/>
  <c r="V4" i="129"/>
  <c r="U4" i="129"/>
  <c r="T4" i="129"/>
  <c r="S4" i="129"/>
  <c r="R4" i="129"/>
  <c r="Q4" i="129"/>
  <c r="P4" i="129"/>
  <c r="N7" i="130"/>
  <c r="O7" i="130"/>
  <c r="P7" i="130"/>
  <c r="Q7" i="130"/>
  <c r="R7" i="130"/>
  <c r="S7" i="130"/>
  <c r="T7" i="130"/>
  <c r="U7" i="130"/>
  <c r="V7" i="130"/>
  <c r="W7" i="130"/>
  <c r="X7" i="130"/>
  <c r="Y7" i="130"/>
  <c r="Z7" i="130"/>
  <c r="AA7" i="130"/>
  <c r="AB7" i="130"/>
  <c r="AC7" i="130"/>
  <c r="AD7" i="130"/>
  <c r="AE7" i="130"/>
  <c r="AF7" i="130"/>
  <c r="AG7" i="130"/>
  <c r="AH7" i="130"/>
  <c r="AI7" i="130"/>
  <c r="AJ7" i="130"/>
  <c r="AK7" i="130"/>
  <c r="N8" i="130"/>
  <c r="O8" i="130"/>
  <c r="P8" i="130"/>
  <c r="Q8" i="130"/>
  <c r="R8" i="130"/>
  <c r="S8" i="130"/>
  <c r="T8" i="130"/>
  <c r="U8" i="130"/>
  <c r="V8" i="130"/>
  <c r="W8" i="130"/>
  <c r="X8" i="130"/>
  <c r="Y8" i="130"/>
  <c r="Z8" i="130"/>
  <c r="AA8" i="130"/>
  <c r="AB8" i="130"/>
  <c r="AC8" i="130"/>
  <c r="AD8" i="130"/>
  <c r="AE8" i="130"/>
  <c r="AF8" i="130"/>
  <c r="AG8" i="130"/>
  <c r="AH8" i="130"/>
  <c r="AI8" i="130"/>
  <c r="AJ8" i="130"/>
  <c r="AK8" i="130"/>
  <c r="N9" i="130"/>
  <c r="O9" i="130"/>
  <c r="P9" i="130"/>
  <c r="Q9" i="130"/>
  <c r="R9" i="130"/>
  <c r="S9" i="130"/>
  <c r="T9" i="130"/>
  <c r="U9" i="130"/>
  <c r="V9" i="130"/>
  <c r="W9" i="130"/>
  <c r="X9" i="130"/>
  <c r="Y9" i="130"/>
  <c r="Z9" i="130"/>
  <c r="AA9" i="130"/>
  <c r="AB9" i="130"/>
  <c r="AC9" i="130"/>
  <c r="AD9" i="130"/>
  <c r="AE9" i="130"/>
  <c r="AF9" i="130"/>
  <c r="AG9" i="130"/>
  <c r="AH9" i="130"/>
  <c r="AI9" i="130"/>
  <c r="AJ9" i="130"/>
  <c r="AK9" i="130"/>
  <c r="N10" i="130"/>
  <c r="O10" i="130"/>
  <c r="P10" i="130"/>
  <c r="Q10" i="130"/>
  <c r="R10" i="130"/>
  <c r="S10" i="130"/>
  <c r="T10" i="130"/>
  <c r="U10" i="130"/>
  <c r="V10" i="130"/>
  <c r="W10" i="130"/>
  <c r="X10" i="130"/>
  <c r="Y10" i="130"/>
  <c r="Z10" i="130"/>
  <c r="AA10" i="130"/>
  <c r="AB10" i="130"/>
  <c r="AC10" i="130"/>
  <c r="AD10" i="130"/>
  <c r="AE10" i="130"/>
  <c r="AF10" i="130"/>
  <c r="AG10" i="130"/>
  <c r="AH10" i="130"/>
  <c r="AI10" i="130"/>
  <c r="AJ10" i="130"/>
  <c r="AK10" i="130"/>
  <c r="N11" i="130"/>
  <c r="O11" i="130"/>
  <c r="P11" i="130"/>
  <c r="Q11" i="130"/>
  <c r="R11" i="130"/>
  <c r="S11" i="130"/>
  <c r="T11" i="130"/>
  <c r="U11" i="130"/>
  <c r="V11" i="130"/>
  <c r="W11" i="130"/>
  <c r="X11" i="130"/>
  <c r="Y11" i="130"/>
  <c r="Z11" i="130"/>
  <c r="AA11" i="130"/>
  <c r="AB11" i="130"/>
  <c r="AC11" i="130"/>
  <c r="AD11" i="130"/>
  <c r="AE11" i="130"/>
  <c r="AF11" i="130"/>
  <c r="AG11" i="130"/>
  <c r="AH11" i="130"/>
  <c r="AI11" i="130"/>
  <c r="AJ11" i="130"/>
  <c r="AK11" i="130"/>
  <c r="N12" i="130"/>
  <c r="O12" i="130"/>
  <c r="P12" i="130"/>
  <c r="Q12" i="130"/>
  <c r="R12" i="130"/>
  <c r="S12" i="130"/>
  <c r="T12" i="130"/>
  <c r="U12" i="130"/>
  <c r="V12" i="130"/>
  <c r="W12" i="130"/>
  <c r="X12" i="130"/>
  <c r="Y12" i="130"/>
  <c r="Z12" i="130"/>
  <c r="AA12" i="130"/>
  <c r="AB12" i="130"/>
  <c r="AC12" i="130"/>
  <c r="AD12" i="130"/>
  <c r="AE12" i="130"/>
  <c r="AF12" i="130"/>
  <c r="AG12" i="130"/>
  <c r="AH12" i="130"/>
  <c r="AI12" i="130"/>
  <c r="AJ12" i="130"/>
  <c r="AK12" i="130"/>
  <c r="N13" i="130"/>
  <c r="O13" i="130"/>
  <c r="P13" i="130"/>
  <c r="Q13" i="130"/>
  <c r="R13" i="130"/>
  <c r="S13" i="130"/>
  <c r="T13" i="130"/>
  <c r="U13" i="130"/>
  <c r="V13" i="130"/>
  <c r="W13" i="130"/>
  <c r="X13" i="130"/>
  <c r="Y13" i="130"/>
  <c r="Z13" i="130"/>
  <c r="AA13" i="130"/>
  <c r="AB13" i="130"/>
  <c r="AC13" i="130"/>
  <c r="AD13" i="130"/>
  <c r="AE13" i="130"/>
  <c r="AF13" i="130"/>
  <c r="AG13" i="130"/>
  <c r="AH13" i="130"/>
  <c r="AI13" i="130"/>
  <c r="AJ13" i="130"/>
  <c r="AK13" i="130"/>
  <c r="N14" i="130"/>
  <c r="O14" i="130"/>
  <c r="P14" i="130"/>
  <c r="Q14" i="130"/>
  <c r="R14" i="130"/>
  <c r="S14" i="130"/>
  <c r="T14" i="130"/>
  <c r="U14" i="130"/>
  <c r="V14" i="130"/>
  <c r="W14" i="130"/>
  <c r="X14" i="130"/>
  <c r="Y14" i="130"/>
  <c r="Z14" i="130"/>
  <c r="AA14" i="130"/>
  <c r="AB14" i="130"/>
  <c r="AC14" i="130"/>
  <c r="AD14" i="130"/>
  <c r="AE14" i="130"/>
  <c r="AF14" i="130"/>
  <c r="AG14" i="130"/>
  <c r="AH14" i="130"/>
  <c r="AI14" i="130"/>
  <c r="AJ14" i="130"/>
  <c r="AK14" i="130"/>
  <c r="N15" i="130"/>
  <c r="O15" i="130"/>
  <c r="P15" i="130"/>
  <c r="Q15" i="130"/>
  <c r="R15" i="130"/>
  <c r="S15" i="130"/>
  <c r="T15" i="130"/>
  <c r="U15" i="130"/>
  <c r="V15" i="130"/>
  <c r="W15" i="130"/>
  <c r="X15" i="130"/>
  <c r="Y15" i="130"/>
  <c r="Z15" i="130"/>
  <c r="AA15" i="130"/>
  <c r="AB15" i="130"/>
  <c r="AC15" i="130"/>
  <c r="AD15" i="130"/>
  <c r="AE15" i="130"/>
  <c r="AF15" i="130"/>
  <c r="AG15" i="130"/>
  <c r="AH15" i="130"/>
  <c r="AI15" i="130"/>
  <c r="AJ15" i="130"/>
  <c r="AK15" i="130"/>
  <c r="N16" i="130"/>
  <c r="O16" i="130"/>
  <c r="P16" i="130"/>
  <c r="Q16" i="130"/>
  <c r="R16" i="130"/>
  <c r="S16" i="130"/>
  <c r="T16" i="130"/>
  <c r="U16" i="130"/>
  <c r="V16" i="130"/>
  <c r="W16" i="130"/>
  <c r="X16" i="130"/>
  <c r="Y16" i="130"/>
  <c r="Z16" i="130"/>
  <c r="AA16" i="130"/>
  <c r="AB16" i="130"/>
  <c r="AC16" i="130"/>
  <c r="AD16" i="130"/>
  <c r="AE16" i="130"/>
  <c r="AF16" i="130"/>
  <c r="AG16" i="130"/>
  <c r="AH16" i="130"/>
  <c r="AI16" i="130"/>
  <c r="AJ16" i="130"/>
  <c r="AK16" i="130"/>
  <c r="N17" i="130"/>
  <c r="O17" i="130"/>
  <c r="P17" i="130"/>
  <c r="Q17" i="130"/>
  <c r="R17" i="130"/>
  <c r="S17" i="130"/>
  <c r="T17" i="130"/>
  <c r="U17" i="130"/>
  <c r="V17" i="130"/>
  <c r="W17" i="130"/>
  <c r="X17" i="130"/>
  <c r="Y17" i="130"/>
  <c r="Z17" i="130"/>
  <c r="AA17" i="130"/>
  <c r="AB17" i="130"/>
  <c r="AC17" i="130"/>
  <c r="AD17" i="130"/>
  <c r="AE17" i="130"/>
  <c r="AF17" i="130"/>
  <c r="AG17" i="130"/>
  <c r="AH17" i="130"/>
  <c r="AI17" i="130"/>
  <c r="AJ17" i="130"/>
  <c r="AK17" i="130"/>
  <c r="N18" i="130"/>
  <c r="O18" i="130"/>
  <c r="P18" i="130"/>
  <c r="Q18" i="130"/>
  <c r="R18" i="130"/>
  <c r="S18" i="130"/>
  <c r="T18" i="130"/>
  <c r="U18" i="130"/>
  <c r="V18" i="130"/>
  <c r="W18" i="130"/>
  <c r="X18" i="130"/>
  <c r="Y18" i="130"/>
  <c r="Z18" i="130"/>
  <c r="AA18" i="130"/>
  <c r="AB18" i="130"/>
  <c r="AC18" i="130"/>
  <c r="AD18" i="130"/>
  <c r="AE18" i="130"/>
  <c r="AF18" i="130"/>
  <c r="AG18" i="130"/>
  <c r="AH18" i="130"/>
  <c r="AI18" i="130"/>
  <c r="AJ18" i="130"/>
  <c r="AK18" i="130"/>
  <c r="N19" i="130"/>
  <c r="O19" i="130"/>
  <c r="P19" i="130"/>
  <c r="Q19" i="130"/>
  <c r="R19" i="130"/>
  <c r="S19" i="130"/>
  <c r="T19" i="130"/>
  <c r="U19" i="130"/>
  <c r="V19" i="130"/>
  <c r="W19" i="130"/>
  <c r="X19" i="130"/>
  <c r="Y19" i="130"/>
  <c r="Z19" i="130"/>
  <c r="AA19" i="130"/>
  <c r="AB19" i="130"/>
  <c r="AC19" i="130"/>
  <c r="AD19" i="130"/>
  <c r="AE19" i="130"/>
  <c r="AF19" i="130"/>
  <c r="AG19" i="130"/>
  <c r="AH19" i="130"/>
  <c r="AI19" i="130"/>
  <c r="AJ19" i="130"/>
  <c r="AK19" i="130"/>
  <c r="N20" i="130"/>
  <c r="O20" i="130"/>
  <c r="P20" i="130"/>
  <c r="Q20" i="130"/>
  <c r="R20" i="130"/>
  <c r="S20" i="130"/>
  <c r="T20" i="130"/>
  <c r="U20" i="130"/>
  <c r="V20" i="130"/>
  <c r="W20" i="130"/>
  <c r="X20" i="130"/>
  <c r="Y20" i="130"/>
  <c r="Z20" i="130"/>
  <c r="AA20" i="130"/>
  <c r="AB20" i="130"/>
  <c r="AC20" i="130"/>
  <c r="AD20" i="130"/>
  <c r="AE20" i="130"/>
  <c r="AF20" i="130"/>
  <c r="AG20" i="130"/>
  <c r="AH20" i="130"/>
  <c r="AI20" i="130"/>
  <c r="AJ20" i="130"/>
  <c r="AK20" i="130"/>
  <c r="N21" i="130"/>
  <c r="O21" i="130"/>
  <c r="P21" i="130"/>
  <c r="Q21" i="130"/>
  <c r="R21" i="130"/>
  <c r="S21" i="130"/>
  <c r="T21" i="130"/>
  <c r="U21" i="130"/>
  <c r="V21" i="130"/>
  <c r="W21" i="130"/>
  <c r="X21" i="130"/>
  <c r="Y21" i="130"/>
  <c r="Z21" i="130"/>
  <c r="AA21" i="130"/>
  <c r="AB21" i="130"/>
  <c r="AC21" i="130"/>
  <c r="AD21" i="130"/>
  <c r="AE21" i="130"/>
  <c r="AF21" i="130"/>
  <c r="AG21" i="130"/>
  <c r="AH21" i="130"/>
  <c r="AI21" i="130"/>
  <c r="AJ21" i="130"/>
  <c r="AK21" i="130"/>
  <c r="N22" i="130"/>
  <c r="O22" i="130"/>
  <c r="P22" i="130"/>
  <c r="Q22" i="130"/>
  <c r="R22" i="130"/>
  <c r="S22" i="130"/>
  <c r="T22" i="130"/>
  <c r="U22" i="130"/>
  <c r="V22" i="130"/>
  <c r="W22" i="130"/>
  <c r="X22" i="130"/>
  <c r="Y22" i="130"/>
  <c r="Z22" i="130"/>
  <c r="AA22" i="130"/>
  <c r="AB22" i="130"/>
  <c r="AC22" i="130"/>
  <c r="AD22" i="130"/>
  <c r="AE22" i="130"/>
  <c r="AF22" i="130"/>
  <c r="AG22" i="130"/>
  <c r="AH22" i="130"/>
  <c r="AI22" i="130"/>
  <c r="AJ22" i="130"/>
  <c r="AK22" i="130"/>
  <c r="N23" i="130"/>
  <c r="O23" i="130"/>
  <c r="P23" i="130"/>
  <c r="Q23" i="130"/>
  <c r="R23" i="130"/>
  <c r="S23" i="130"/>
  <c r="T23" i="130"/>
  <c r="U23" i="130"/>
  <c r="V23" i="130"/>
  <c r="W23" i="130"/>
  <c r="X23" i="130"/>
  <c r="Y23" i="130"/>
  <c r="Z23" i="130"/>
  <c r="AA23" i="130"/>
  <c r="AB23" i="130"/>
  <c r="AC23" i="130"/>
  <c r="AD23" i="130"/>
  <c r="AE23" i="130"/>
  <c r="AF23" i="130"/>
  <c r="AG23" i="130"/>
  <c r="AH23" i="130"/>
  <c r="AI23" i="130"/>
  <c r="AJ23" i="130"/>
  <c r="AK23" i="130"/>
  <c r="N24" i="130"/>
  <c r="O24" i="130"/>
  <c r="P24" i="130"/>
  <c r="Q24" i="130"/>
  <c r="R24" i="130"/>
  <c r="S24" i="130"/>
  <c r="T24" i="130"/>
  <c r="U24" i="130"/>
  <c r="V24" i="130"/>
  <c r="W24" i="130"/>
  <c r="X24" i="130"/>
  <c r="Y24" i="130"/>
  <c r="Z24" i="130"/>
  <c r="AA24" i="130"/>
  <c r="AB24" i="130"/>
  <c r="AC24" i="130"/>
  <c r="AD24" i="130"/>
  <c r="AE24" i="130"/>
  <c r="AF24" i="130"/>
  <c r="AG24" i="130"/>
  <c r="AH24" i="130"/>
  <c r="AI24" i="130"/>
  <c r="AJ24" i="130"/>
  <c r="AK24" i="130"/>
  <c r="N25" i="130"/>
  <c r="O25" i="130"/>
  <c r="P25" i="130"/>
  <c r="Q25" i="130"/>
  <c r="R25" i="130"/>
  <c r="S25" i="130"/>
  <c r="T25" i="130"/>
  <c r="U25" i="130"/>
  <c r="V25" i="130"/>
  <c r="W25" i="130"/>
  <c r="X25" i="130"/>
  <c r="Y25" i="130"/>
  <c r="Z25" i="130"/>
  <c r="AA25" i="130"/>
  <c r="AB25" i="130"/>
  <c r="AC25" i="130"/>
  <c r="AD25" i="130"/>
  <c r="AE25" i="130"/>
  <c r="AF25" i="130"/>
  <c r="AG25" i="130"/>
  <c r="AH25" i="130"/>
  <c r="AI25" i="130"/>
  <c r="AJ25" i="130"/>
  <c r="AK25" i="130"/>
  <c r="N26" i="130"/>
  <c r="O26" i="130"/>
  <c r="P26" i="130"/>
  <c r="Q26" i="130"/>
  <c r="R26" i="130"/>
  <c r="S26" i="130"/>
  <c r="T26" i="130"/>
  <c r="U26" i="130"/>
  <c r="V26" i="130"/>
  <c r="W26" i="130"/>
  <c r="X26" i="130"/>
  <c r="Y26" i="130"/>
  <c r="Z26" i="130"/>
  <c r="AA26" i="130"/>
  <c r="AB26" i="130"/>
  <c r="AC26" i="130"/>
  <c r="AD26" i="130"/>
  <c r="AE26" i="130"/>
  <c r="AF26" i="130"/>
  <c r="AG26" i="130"/>
  <c r="AH26" i="130"/>
  <c r="AI26" i="130"/>
  <c r="AJ26" i="130"/>
  <c r="AK26" i="130"/>
  <c r="N27" i="130"/>
  <c r="O27" i="130"/>
  <c r="P27" i="130"/>
  <c r="Q27" i="130"/>
  <c r="R27" i="130"/>
  <c r="S27" i="130"/>
  <c r="T27" i="130"/>
  <c r="U27" i="130"/>
  <c r="V27" i="130"/>
  <c r="W27" i="130"/>
  <c r="X27" i="130"/>
  <c r="Y27" i="130"/>
  <c r="Z27" i="130"/>
  <c r="AA27" i="130"/>
  <c r="AB27" i="130"/>
  <c r="AC27" i="130"/>
  <c r="AD27" i="130"/>
  <c r="AE27" i="130"/>
  <c r="AF27" i="130"/>
  <c r="AG27" i="130"/>
  <c r="AH27" i="130"/>
  <c r="AI27" i="130"/>
  <c r="AJ27" i="130"/>
  <c r="AK27" i="130"/>
  <c r="N28" i="130"/>
  <c r="O28" i="130"/>
  <c r="P28" i="130"/>
  <c r="Q28" i="130"/>
  <c r="R28" i="130"/>
  <c r="S28" i="130"/>
  <c r="T28" i="130"/>
  <c r="U28" i="130"/>
  <c r="V28" i="130"/>
  <c r="W28" i="130"/>
  <c r="X28" i="130"/>
  <c r="Y28" i="130"/>
  <c r="Z28" i="130"/>
  <c r="AA28" i="130"/>
  <c r="AB28" i="130"/>
  <c r="AC28" i="130"/>
  <c r="AD28" i="130"/>
  <c r="AE28" i="130"/>
  <c r="AF28" i="130"/>
  <c r="AG28" i="130"/>
  <c r="AH28" i="130"/>
  <c r="AI28" i="130"/>
  <c r="AJ28" i="130"/>
  <c r="AK28" i="130"/>
  <c r="N29" i="130"/>
  <c r="O29" i="130"/>
  <c r="P29" i="130"/>
  <c r="Q29" i="130"/>
  <c r="R29" i="130"/>
  <c r="S29" i="130"/>
  <c r="T29" i="130"/>
  <c r="U29" i="130"/>
  <c r="V29" i="130"/>
  <c r="W29" i="130"/>
  <c r="X29" i="130"/>
  <c r="Y29" i="130"/>
  <c r="Z29" i="130"/>
  <c r="AA29" i="130"/>
  <c r="AB29" i="130"/>
  <c r="AC29" i="130"/>
  <c r="AD29" i="130"/>
  <c r="AE29" i="130"/>
  <c r="AF29" i="130"/>
  <c r="AG29" i="130"/>
  <c r="AH29" i="130"/>
  <c r="AI29" i="130"/>
  <c r="AJ29" i="130"/>
  <c r="AK29" i="130"/>
  <c r="N30" i="130"/>
  <c r="O30" i="130"/>
  <c r="P30" i="130"/>
  <c r="Q30" i="130"/>
  <c r="R30" i="130"/>
  <c r="S30" i="130"/>
  <c r="T30" i="130"/>
  <c r="U30" i="130"/>
  <c r="V30" i="130"/>
  <c r="W30" i="130"/>
  <c r="X30" i="130"/>
  <c r="Y30" i="130"/>
  <c r="Z30" i="130"/>
  <c r="AA30" i="130"/>
  <c r="AB30" i="130"/>
  <c r="AC30" i="130"/>
  <c r="AD30" i="130"/>
  <c r="AE30" i="130"/>
  <c r="AF30" i="130"/>
  <c r="AG30" i="130"/>
  <c r="AH30" i="130"/>
  <c r="AI30" i="130"/>
  <c r="AJ30" i="130"/>
  <c r="AK30" i="130"/>
  <c r="N31" i="130"/>
  <c r="O31" i="130"/>
  <c r="P31" i="130"/>
  <c r="Q31" i="130"/>
  <c r="R31" i="130"/>
  <c r="S31" i="130"/>
  <c r="T31" i="130"/>
  <c r="U31" i="130"/>
  <c r="V31" i="130"/>
  <c r="W31" i="130"/>
  <c r="X31" i="130"/>
  <c r="Y31" i="130"/>
  <c r="Z31" i="130"/>
  <c r="AA31" i="130"/>
  <c r="AB31" i="130"/>
  <c r="AC31" i="130"/>
  <c r="AD31" i="130"/>
  <c r="AE31" i="130"/>
  <c r="AF31" i="130"/>
  <c r="AG31" i="130"/>
  <c r="AH31" i="130"/>
  <c r="AI31" i="130"/>
  <c r="AJ31" i="130"/>
  <c r="AK31" i="130"/>
  <c r="N32" i="130"/>
  <c r="O32" i="130"/>
  <c r="P32" i="130"/>
  <c r="Q32" i="130"/>
  <c r="R32" i="130"/>
  <c r="S32" i="130"/>
  <c r="T32" i="130"/>
  <c r="U32" i="130"/>
  <c r="V32" i="130"/>
  <c r="W32" i="130"/>
  <c r="X32" i="130"/>
  <c r="Y32" i="130"/>
  <c r="Z32" i="130"/>
  <c r="AA32" i="130"/>
  <c r="AB32" i="130"/>
  <c r="AC32" i="130"/>
  <c r="AD32" i="130"/>
  <c r="AE32" i="130"/>
  <c r="AF32" i="130"/>
  <c r="AG32" i="130"/>
  <c r="AH32" i="130"/>
  <c r="AI32" i="130"/>
  <c r="AJ32" i="130"/>
  <c r="AK32" i="130"/>
  <c r="N33" i="130"/>
  <c r="O33" i="130"/>
  <c r="P33" i="130"/>
  <c r="Q33" i="130"/>
  <c r="R33" i="130"/>
  <c r="S33" i="130"/>
  <c r="T33" i="130"/>
  <c r="U33" i="130"/>
  <c r="V33" i="130"/>
  <c r="W33" i="130"/>
  <c r="X33" i="130"/>
  <c r="Y33" i="130"/>
  <c r="Z33" i="130"/>
  <c r="AA33" i="130"/>
  <c r="AB33" i="130"/>
  <c r="AC33" i="130"/>
  <c r="AD33" i="130"/>
  <c r="AE33" i="130"/>
  <c r="AF33" i="130"/>
  <c r="AG33" i="130"/>
  <c r="AH33" i="130"/>
  <c r="AI33" i="130"/>
  <c r="AJ33" i="130"/>
  <c r="AK33" i="130"/>
  <c r="AK6" i="130"/>
  <c r="AJ6" i="130"/>
  <c r="AI6" i="130"/>
  <c r="AH6" i="130"/>
  <c r="AG6" i="130"/>
  <c r="AF6" i="130"/>
  <c r="AE6" i="130"/>
  <c r="AD6" i="130"/>
  <c r="AC6" i="130"/>
  <c r="AB6" i="130"/>
  <c r="AA6" i="130"/>
  <c r="Z6" i="130"/>
  <c r="Y6" i="130"/>
  <c r="X6" i="130"/>
  <c r="W6" i="130"/>
  <c r="V6" i="130"/>
  <c r="U6" i="130"/>
  <c r="T6" i="130"/>
  <c r="S6" i="130"/>
  <c r="R6" i="130"/>
  <c r="Q6" i="130"/>
  <c r="P6" i="130"/>
  <c r="O6" i="130"/>
  <c r="N6" i="130"/>
  <c r="AK4" i="130"/>
  <c r="AJ4" i="130"/>
  <c r="AI4" i="130"/>
  <c r="AH4" i="130"/>
  <c r="AG4" i="130"/>
  <c r="AF4" i="130"/>
  <c r="AE4" i="130"/>
  <c r="AD4" i="130"/>
  <c r="AC4" i="130"/>
  <c r="AB4" i="130"/>
  <c r="AA4" i="130"/>
  <c r="Z4" i="130"/>
  <c r="Y4" i="130"/>
  <c r="X4" i="130"/>
  <c r="W4" i="130"/>
  <c r="V4" i="130"/>
  <c r="U4" i="130"/>
  <c r="T4" i="130"/>
  <c r="S4" i="130"/>
  <c r="R4" i="130"/>
  <c r="Q4" i="130"/>
  <c r="P4" i="130"/>
  <c r="O10" i="128"/>
  <c r="P10" i="128"/>
  <c r="S10" i="128"/>
  <c r="T10" i="128"/>
  <c r="U10" i="128"/>
  <c r="V10" i="128"/>
  <c r="W10" i="128"/>
  <c r="X10" i="128"/>
  <c r="Y10" i="128"/>
  <c r="Z10" i="128"/>
  <c r="AA10" i="128"/>
  <c r="AB10" i="128"/>
  <c r="AC10" i="128"/>
  <c r="AF10" i="128"/>
  <c r="AL10" i="128"/>
  <c r="O11" i="128"/>
  <c r="P11" i="128"/>
  <c r="S11" i="128"/>
  <c r="T11" i="128"/>
  <c r="U11" i="128"/>
  <c r="V11" i="128"/>
  <c r="W11" i="128"/>
  <c r="X11" i="128"/>
  <c r="Y11" i="128"/>
  <c r="Z11" i="128"/>
  <c r="AA11" i="128"/>
  <c r="AB11" i="128"/>
  <c r="AC11" i="128"/>
  <c r="AF11" i="128"/>
  <c r="AL11" i="128"/>
  <c r="O12" i="128"/>
  <c r="P12" i="128"/>
  <c r="S12" i="128"/>
  <c r="T12" i="128"/>
  <c r="U12" i="128"/>
  <c r="V12" i="128"/>
  <c r="W12" i="128"/>
  <c r="X12" i="128"/>
  <c r="Y12" i="128"/>
  <c r="Z12" i="128"/>
  <c r="AA12" i="128"/>
  <c r="AB12" i="128"/>
  <c r="AC12" i="128"/>
  <c r="AF12" i="128"/>
  <c r="AL12" i="128"/>
  <c r="O13" i="128"/>
  <c r="P13" i="128"/>
  <c r="S13" i="128"/>
  <c r="AD13" i="128" s="1"/>
  <c r="T13" i="128"/>
  <c r="U13" i="128"/>
  <c r="V13" i="128"/>
  <c r="W13" i="128"/>
  <c r="X13" i="128"/>
  <c r="Y13" i="128"/>
  <c r="AJ13" i="128" s="1"/>
  <c r="Z13" i="128"/>
  <c r="AA13" i="128"/>
  <c r="AB13" i="128"/>
  <c r="AC13" i="128"/>
  <c r="AF13" i="128"/>
  <c r="AH13" i="128"/>
  <c r="AL13" i="128"/>
  <c r="O14" i="128"/>
  <c r="P14" i="128"/>
  <c r="S14" i="128"/>
  <c r="T14" i="128"/>
  <c r="U14" i="128"/>
  <c r="V14" i="128"/>
  <c r="W14" i="128"/>
  <c r="X14" i="128"/>
  <c r="Y14" i="128"/>
  <c r="Z14" i="128"/>
  <c r="AA14" i="128"/>
  <c r="AB14" i="128"/>
  <c r="AC14" i="128"/>
  <c r="AF14" i="128"/>
  <c r="AL14" i="128"/>
  <c r="O15" i="128"/>
  <c r="P15" i="128"/>
  <c r="S15" i="128"/>
  <c r="T15" i="128"/>
  <c r="U15" i="128"/>
  <c r="V15" i="128"/>
  <c r="W15" i="128"/>
  <c r="X15" i="128"/>
  <c r="Y15" i="128"/>
  <c r="Z15" i="128"/>
  <c r="AA15" i="128"/>
  <c r="AB15" i="128"/>
  <c r="AC15" i="128"/>
  <c r="AF15" i="128"/>
  <c r="AL15" i="128"/>
  <c r="AN15" i="128"/>
  <c r="O16" i="128"/>
  <c r="P16" i="128"/>
  <c r="S16" i="128"/>
  <c r="T16" i="128"/>
  <c r="U16" i="128"/>
  <c r="V16" i="128"/>
  <c r="W16" i="128"/>
  <c r="X16" i="128"/>
  <c r="Y16" i="128"/>
  <c r="Z16" i="128"/>
  <c r="AA16" i="128"/>
  <c r="AB16" i="128"/>
  <c r="AC16" i="128"/>
  <c r="AF16" i="128"/>
  <c r="AL16" i="128"/>
  <c r="AN16" i="128"/>
  <c r="O17" i="128"/>
  <c r="P17" i="128"/>
  <c r="S17" i="128"/>
  <c r="T17" i="128"/>
  <c r="AE17" i="128" s="1"/>
  <c r="U17" i="128"/>
  <c r="V17" i="128"/>
  <c r="W17" i="128"/>
  <c r="X17" i="128"/>
  <c r="Y17" i="128"/>
  <c r="Z17" i="128"/>
  <c r="AK17" i="128" s="1"/>
  <c r="AA17" i="128"/>
  <c r="AB17" i="128"/>
  <c r="AC17" i="128"/>
  <c r="AF17" i="128"/>
  <c r="AL17" i="128"/>
  <c r="O18" i="128"/>
  <c r="P18" i="128"/>
  <c r="S18" i="128"/>
  <c r="T18" i="128"/>
  <c r="U18" i="128"/>
  <c r="V18" i="128"/>
  <c r="W18" i="128"/>
  <c r="X18" i="128"/>
  <c r="Y18" i="128"/>
  <c r="Z18" i="128"/>
  <c r="AA18" i="128"/>
  <c r="AB18" i="128"/>
  <c r="AC18" i="128"/>
  <c r="AF18" i="128"/>
  <c r="AL18" i="128"/>
  <c r="O19" i="128"/>
  <c r="P19" i="128"/>
  <c r="S19" i="128"/>
  <c r="T19" i="128"/>
  <c r="AE19" i="128" s="1"/>
  <c r="U19" i="128"/>
  <c r="V19" i="128"/>
  <c r="W19" i="128"/>
  <c r="X19" i="128"/>
  <c r="Y19" i="128"/>
  <c r="Z19" i="128"/>
  <c r="AK19" i="128" s="1"/>
  <c r="AA19" i="128"/>
  <c r="AB19" i="128"/>
  <c r="AC19" i="128"/>
  <c r="AF19" i="128"/>
  <c r="AH19" i="128"/>
  <c r="AL19" i="128"/>
  <c r="O20" i="128"/>
  <c r="P20" i="128"/>
  <c r="S20" i="128"/>
  <c r="AD20" i="128" s="1"/>
  <c r="T20" i="128"/>
  <c r="AE20" i="128" s="1"/>
  <c r="U20" i="128"/>
  <c r="V20" i="128"/>
  <c r="W20" i="128"/>
  <c r="X20" i="128"/>
  <c r="Y20" i="128"/>
  <c r="AJ20" i="128" s="1"/>
  <c r="Z20" i="128"/>
  <c r="AK20" i="128" s="1"/>
  <c r="AA20" i="128"/>
  <c r="AB20" i="128"/>
  <c r="AC20" i="128"/>
  <c r="AF20" i="128"/>
  <c r="AL20" i="128"/>
  <c r="O21" i="128"/>
  <c r="P21" i="128"/>
  <c r="S21" i="128"/>
  <c r="T21" i="128"/>
  <c r="U21" i="128"/>
  <c r="V21" i="128"/>
  <c r="W21" i="128"/>
  <c r="X21" i="128"/>
  <c r="Y21" i="128"/>
  <c r="Z21" i="128"/>
  <c r="AA21" i="128"/>
  <c r="AB21" i="128"/>
  <c r="AC21" i="128"/>
  <c r="AF21" i="128"/>
  <c r="AL21" i="128"/>
  <c r="O22" i="128"/>
  <c r="P22" i="128"/>
  <c r="S22" i="128"/>
  <c r="T22" i="128"/>
  <c r="AE22" i="128" s="1"/>
  <c r="U22" i="128"/>
  <c r="V22" i="128"/>
  <c r="W22" i="128"/>
  <c r="X22" i="128"/>
  <c r="Y22" i="128"/>
  <c r="Z22" i="128"/>
  <c r="AK22" i="128" s="1"/>
  <c r="AA22" i="128"/>
  <c r="AB22" i="128"/>
  <c r="AC22" i="128"/>
  <c r="AF22" i="128"/>
  <c r="AL22" i="128"/>
  <c r="AN22" i="128"/>
  <c r="O23" i="128"/>
  <c r="P23" i="128"/>
  <c r="S23" i="128"/>
  <c r="T23" i="128"/>
  <c r="AE23" i="128" s="1"/>
  <c r="U23" i="128"/>
  <c r="V23" i="128"/>
  <c r="W23" i="128"/>
  <c r="X23" i="128"/>
  <c r="Y23" i="128"/>
  <c r="Z23" i="128"/>
  <c r="AK23" i="128" s="1"/>
  <c r="AA23" i="128"/>
  <c r="AB23" i="128"/>
  <c r="AC23" i="128"/>
  <c r="AF23" i="128"/>
  <c r="AL23" i="128"/>
  <c r="O24" i="128"/>
  <c r="P24" i="128"/>
  <c r="S24" i="128"/>
  <c r="T24" i="128"/>
  <c r="U24" i="128"/>
  <c r="V24" i="128"/>
  <c r="W24" i="128"/>
  <c r="X24" i="128"/>
  <c r="Y24" i="128"/>
  <c r="Z24" i="128"/>
  <c r="AA24" i="128"/>
  <c r="AB24" i="128"/>
  <c r="AC24" i="128"/>
  <c r="AF24" i="128"/>
  <c r="AL24" i="128"/>
  <c r="O25" i="128"/>
  <c r="P25" i="128"/>
  <c r="S25" i="128"/>
  <c r="T25" i="128"/>
  <c r="AE25" i="128" s="1"/>
  <c r="U25" i="128"/>
  <c r="V25" i="128"/>
  <c r="W25" i="128"/>
  <c r="X25" i="128"/>
  <c r="Y25" i="128"/>
  <c r="Z25" i="128"/>
  <c r="AK25" i="128" s="1"/>
  <c r="AA25" i="128"/>
  <c r="AB25" i="128"/>
  <c r="AC25" i="128"/>
  <c r="AF25" i="128"/>
  <c r="AH25" i="128"/>
  <c r="AL25" i="128"/>
  <c r="O26" i="128"/>
  <c r="P26" i="128"/>
  <c r="S26" i="128"/>
  <c r="AD26" i="128" s="1"/>
  <c r="T26" i="128"/>
  <c r="AE26" i="128" s="1"/>
  <c r="U26" i="128"/>
  <c r="V26" i="128"/>
  <c r="W26" i="128"/>
  <c r="X26" i="128"/>
  <c r="Y26" i="128"/>
  <c r="AJ26" i="128" s="1"/>
  <c r="Z26" i="128"/>
  <c r="AK26" i="128" s="1"/>
  <c r="AA26" i="128"/>
  <c r="AB26" i="128"/>
  <c r="AC26" i="128"/>
  <c r="AF26" i="128"/>
  <c r="AL26" i="128"/>
  <c r="O27" i="128"/>
  <c r="P27" i="128"/>
  <c r="S27" i="128"/>
  <c r="T27" i="128"/>
  <c r="U27" i="128"/>
  <c r="V27" i="128"/>
  <c r="W27" i="128"/>
  <c r="X27" i="128"/>
  <c r="Y27" i="128"/>
  <c r="Z27" i="128"/>
  <c r="AA27" i="128"/>
  <c r="AB27" i="128"/>
  <c r="AC27" i="128"/>
  <c r="AF27" i="128"/>
  <c r="AL27" i="128"/>
  <c r="O28" i="128"/>
  <c r="P28" i="128"/>
  <c r="S28" i="128"/>
  <c r="T28" i="128"/>
  <c r="AE28" i="128" s="1"/>
  <c r="U28" i="128"/>
  <c r="V28" i="128"/>
  <c r="W28" i="128"/>
  <c r="X28" i="128"/>
  <c r="Y28" i="128"/>
  <c r="Z28" i="128"/>
  <c r="AK28" i="128" s="1"/>
  <c r="AA28" i="128"/>
  <c r="AB28" i="128"/>
  <c r="AC28" i="128"/>
  <c r="AF28" i="128"/>
  <c r="AL28" i="128"/>
  <c r="AN28" i="128"/>
  <c r="O29" i="128"/>
  <c r="P29" i="128"/>
  <c r="S29" i="128"/>
  <c r="T29" i="128"/>
  <c r="AE29" i="128" s="1"/>
  <c r="U29" i="128"/>
  <c r="V29" i="128"/>
  <c r="W29" i="128"/>
  <c r="X29" i="128"/>
  <c r="Y29" i="128"/>
  <c r="Z29" i="128"/>
  <c r="AK29" i="128" s="1"/>
  <c r="AA29" i="128"/>
  <c r="AB29" i="128"/>
  <c r="AC29" i="128"/>
  <c r="AF29" i="128"/>
  <c r="AL29" i="128"/>
  <c r="O30" i="128"/>
  <c r="P30" i="128"/>
  <c r="S30" i="128"/>
  <c r="T30" i="128"/>
  <c r="U30" i="128"/>
  <c r="V30" i="128"/>
  <c r="W30" i="128"/>
  <c r="X30" i="128"/>
  <c r="Y30" i="128"/>
  <c r="AJ30" i="128" s="1"/>
  <c r="Z30" i="128"/>
  <c r="AK30" i="128" s="1"/>
  <c r="AA30" i="128"/>
  <c r="AB30" i="128"/>
  <c r="AC30" i="128"/>
  <c r="AF30" i="128"/>
  <c r="AH30" i="128"/>
  <c r="AL30" i="128"/>
  <c r="O31" i="128"/>
  <c r="P31" i="128"/>
  <c r="S31" i="128"/>
  <c r="T31" i="128"/>
  <c r="U31" i="128"/>
  <c r="V31" i="128"/>
  <c r="W31" i="128"/>
  <c r="X31" i="128"/>
  <c r="Y31" i="128"/>
  <c r="Z31" i="128"/>
  <c r="AA31" i="128"/>
  <c r="AB31" i="128"/>
  <c r="AC31" i="128"/>
  <c r="AD31" i="128"/>
  <c r="AF31" i="128"/>
  <c r="AL31" i="128"/>
  <c r="O32" i="128"/>
  <c r="P32" i="128"/>
  <c r="S32" i="128"/>
  <c r="T32" i="128"/>
  <c r="U32" i="128"/>
  <c r="V32" i="128"/>
  <c r="W32" i="128"/>
  <c r="X32" i="128"/>
  <c r="Y32" i="128"/>
  <c r="AJ32" i="128" s="1"/>
  <c r="Z32" i="128"/>
  <c r="AK32" i="128" s="1"/>
  <c r="AA32" i="128"/>
  <c r="AB32" i="128"/>
  <c r="AC32" i="128"/>
  <c r="AF32" i="128"/>
  <c r="AH32" i="128"/>
  <c r="AL32" i="128"/>
  <c r="O33" i="128"/>
  <c r="P33" i="128"/>
  <c r="S33" i="128"/>
  <c r="AD6" i="128" s="1"/>
  <c r="T33" i="128"/>
  <c r="U33" i="128"/>
  <c r="V33" i="128"/>
  <c r="W33" i="128"/>
  <c r="X33" i="128"/>
  <c r="AI8" i="128" s="1"/>
  <c r="Y33" i="128"/>
  <c r="Z33" i="128"/>
  <c r="AA33" i="128"/>
  <c r="AB33" i="128"/>
  <c r="AC33" i="128"/>
  <c r="AD33" i="128"/>
  <c r="AF33" i="128"/>
  <c r="AL33" i="128"/>
  <c r="O34" i="128"/>
  <c r="P34" i="128"/>
  <c r="S34" i="128"/>
  <c r="AD30" i="128" s="1"/>
  <c r="T34" i="128"/>
  <c r="U34" i="128"/>
  <c r="V34" i="128"/>
  <c r="W34" i="128"/>
  <c r="X34" i="128"/>
  <c r="Y34" i="128"/>
  <c r="AJ34" i="128" s="1"/>
  <c r="Z34" i="128"/>
  <c r="AK34" i="128" s="1"/>
  <c r="AA34" i="128"/>
  <c r="AB34" i="128"/>
  <c r="AC34" i="128"/>
  <c r="AF34" i="128"/>
  <c r="AH34" i="128"/>
  <c r="AL34" i="128"/>
  <c r="O35" i="128"/>
  <c r="P35" i="128"/>
  <c r="S35" i="128"/>
  <c r="T35" i="128"/>
  <c r="U35" i="128"/>
  <c r="V35" i="128"/>
  <c r="W35" i="128"/>
  <c r="X35" i="128"/>
  <c r="Y35" i="128"/>
  <c r="Z35" i="128"/>
  <c r="AA35" i="128"/>
  <c r="AB35" i="128"/>
  <c r="AC35" i="128"/>
  <c r="AD35" i="128"/>
  <c r="AF35" i="128"/>
  <c r="AL35" i="128"/>
  <c r="O36" i="128"/>
  <c r="P36" i="128"/>
  <c r="S36" i="128"/>
  <c r="AD32" i="128" s="1"/>
  <c r="T36" i="128"/>
  <c r="U36" i="128"/>
  <c r="V36" i="128"/>
  <c r="W36" i="128"/>
  <c r="X36" i="128"/>
  <c r="Y36" i="128"/>
  <c r="AJ36" i="128" s="1"/>
  <c r="Z36" i="128"/>
  <c r="AK36" i="128" s="1"/>
  <c r="AA36" i="128"/>
  <c r="AB36" i="128"/>
  <c r="AC36" i="128"/>
  <c r="AF36" i="128"/>
  <c r="AH36" i="128"/>
  <c r="AL36" i="128"/>
  <c r="O37" i="128"/>
  <c r="P37" i="128"/>
  <c r="S37" i="128"/>
  <c r="T37" i="128"/>
  <c r="U37" i="128"/>
  <c r="V37" i="128"/>
  <c r="W37" i="128"/>
  <c r="X37" i="128"/>
  <c r="Y37" i="128"/>
  <c r="Z37" i="128"/>
  <c r="AA37" i="128"/>
  <c r="AB37" i="128"/>
  <c r="AC37" i="128"/>
  <c r="AD37" i="128"/>
  <c r="AF37" i="128"/>
  <c r="AL37" i="128"/>
  <c r="O38" i="128"/>
  <c r="P38" i="128"/>
  <c r="S38" i="128"/>
  <c r="AD36" i="128" s="1"/>
  <c r="T38" i="128"/>
  <c r="U38" i="128"/>
  <c r="V38" i="128"/>
  <c r="W38" i="128"/>
  <c r="X38" i="128"/>
  <c r="Y38" i="128"/>
  <c r="AJ38" i="128" s="1"/>
  <c r="Z38" i="128"/>
  <c r="AK38" i="128" s="1"/>
  <c r="AA38" i="128"/>
  <c r="AB38" i="128"/>
  <c r="AC38" i="128"/>
  <c r="AF38" i="128"/>
  <c r="AH38" i="128"/>
  <c r="AL38" i="128"/>
  <c r="O39" i="128"/>
  <c r="P39" i="128"/>
  <c r="S39" i="128"/>
  <c r="T39" i="128"/>
  <c r="U39" i="128"/>
  <c r="V39" i="128"/>
  <c r="W39" i="128"/>
  <c r="X39" i="128"/>
  <c r="Y39" i="128"/>
  <c r="Z39" i="128"/>
  <c r="AA39" i="128"/>
  <c r="AB39" i="128"/>
  <c r="AC39" i="128"/>
  <c r="AD39" i="128"/>
  <c r="AF39" i="128"/>
  <c r="AL39" i="128"/>
  <c r="O40" i="128"/>
  <c r="P40" i="128"/>
  <c r="S40" i="128"/>
  <c r="AD38" i="128" s="1"/>
  <c r="T40" i="128"/>
  <c r="U40" i="128"/>
  <c r="V40" i="128"/>
  <c r="W40" i="128"/>
  <c r="X40" i="128"/>
  <c r="Y40" i="128"/>
  <c r="AJ40" i="128" s="1"/>
  <c r="Z40" i="128"/>
  <c r="AK40" i="128" s="1"/>
  <c r="AA40" i="128"/>
  <c r="AB40" i="128"/>
  <c r="AC40" i="128"/>
  <c r="AF40" i="128"/>
  <c r="AH40" i="128"/>
  <c r="AL40" i="128"/>
  <c r="O41" i="128"/>
  <c r="P41" i="128"/>
  <c r="S41" i="128"/>
  <c r="T41" i="128"/>
  <c r="U41" i="128"/>
  <c r="V41" i="128"/>
  <c r="W41" i="128"/>
  <c r="X41" i="128"/>
  <c r="Y41" i="128"/>
  <c r="Z41" i="128"/>
  <c r="AA41" i="128"/>
  <c r="AB41" i="128"/>
  <c r="AC41" i="128"/>
  <c r="AD41" i="128"/>
  <c r="AF41" i="128"/>
  <c r="AL41" i="128"/>
  <c r="O42" i="128"/>
  <c r="P42" i="128"/>
  <c r="S42" i="128"/>
  <c r="AD40" i="128" s="1"/>
  <c r="T42" i="128"/>
  <c r="U42" i="128"/>
  <c r="V42" i="128"/>
  <c r="W42" i="128"/>
  <c r="X42" i="128"/>
  <c r="Y42" i="128"/>
  <c r="AJ42" i="128" s="1"/>
  <c r="Z42" i="128"/>
  <c r="AK42" i="128" s="1"/>
  <c r="AA42" i="128"/>
  <c r="AB42" i="128"/>
  <c r="AC42" i="128"/>
  <c r="AF42" i="128"/>
  <c r="AH42" i="128"/>
  <c r="AL42" i="128"/>
  <c r="O43" i="128"/>
  <c r="P43" i="128"/>
  <c r="S43" i="128"/>
  <c r="T43" i="128"/>
  <c r="U43" i="128"/>
  <c r="V43" i="128"/>
  <c r="W43" i="128"/>
  <c r="X43" i="128"/>
  <c r="AI43" i="128" s="1"/>
  <c r="Y43" i="128"/>
  <c r="AJ43" i="128" s="1"/>
  <c r="Z43" i="128"/>
  <c r="AA43" i="128"/>
  <c r="AB43" i="128"/>
  <c r="AC43" i="128"/>
  <c r="AD43" i="128"/>
  <c r="AF43" i="128"/>
  <c r="AL43" i="128"/>
  <c r="O44" i="128"/>
  <c r="P44" i="128"/>
  <c r="S44" i="128"/>
  <c r="T44" i="128"/>
  <c r="AE31" i="128" s="1"/>
  <c r="U44" i="128"/>
  <c r="V44" i="128"/>
  <c r="W44" i="128"/>
  <c r="AH12" i="128" s="1"/>
  <c r="X44" i="128"/>
  <c r="AI44" i="128" s="1"/>
  <c r="Y44" i="128"/>
  <c r="Z44" i="128"/>
  <c r="AK5" i="128" s="1"/>
  <c r="AA44" i="128"/>
  <c r="AB44" i="128"/>
  <c r="AC44" i="128"/>
  <c r="AN14" i="128" s="1"/>
  <c r="AF44" i="128"/>
  <c r="AL44" i="128"/>
  <c r="AN44" i="128"/>
  <c r="O45" i="128"/>
  <c r="P45" i="128"/>
  <c r="S45" i="128"/>
  <c r="AD45" i="128" s="1"/>
  <c r="T45" i="128"/>
  <c r="AE45" i="128" s="1"/>
  <c r="U45" i="128"/>
  <c r="V45" i="128"/>
  <c r="W45" i="128"/>
  <c r="AH45" i="128" s="1"/>
  <c r="X45" i="128"/>
  <c r="Y45" i="128"/>
  <c r="AJ45" i="128" s="1"/>
  <c r="Z45" i="128"/>
  <c r="AK45" i="128" s="1"/>
  <c r="AA45" i="128"/>
  <c r="AB45" i="128"/>
  <c r="AC45" i="128"/>
  <c r="AF45" i="128"/>
  <c r="AL45" i="128"/>
  <c r="AN45" i="128"/>
  <c r="O46" i="128"/>
  <c r="P46" i="128"/>
  <c r="S46" i="128"/>
  <c r="T46" i="128"/>
  <c r="U46" i="128"/>
  <c r="V46" i="128"/>
  <c r="W46" i="128"/>
  <c r="X46" i="128"/>
  <c r="AI45" i="128" s="1"/>
  <c r="Y46" i="128"/>
  <c r="AJ46" i="128" s="1"/>
  <c r="Z46" i="128"/>
  <c r="AA46" i="128"/>
  <c r="AB46" i="128"/>
  <c r="AC46" i="128"/>
  <c r="AN46" i="128" s="1"/>
  <c r="AD46" i="128"/>
  <c r="AF46" i="128"/>
  <c r="AK46" i="128"/>
  <c r="AL46" i="128"/>
  <c r="O47" i="128"/>
  <c r="P47" i="128"/>
  <c r="S47" i="128"/>
  <c r="T47" i="128"/>
  <c r="AE47" i="128" s="1"/>
  <c r="U47" i="128"/>
  <c r="V47" i="128"/>
  <c r="W47" i="128"/>
  <c r="AH47" i="128" s="1"/>
  <c r="X47" i="128"/>
  <c r="AI47" i="128" s="1"/>
  <c r="Y47" i="128"/>
  <c r="Z47" i="128"/>
  <c r="AK43" i="128" s="1"/>
  <c r="AA47" i="128"/>
  <c r="AB47" i="128"/>
  <c r="AC47" i="128"/>
  <c r="AD47" i="128"/>
  <c r="AF47" i="128"/>
  <c r="AL47" i="128"/>
  <c r="AN47" i="128"/>
  <c r="O48" i="128"/>
  <c r="P48" i="128"/>
  <c r="S48" i="128"/>
  <c r="AD48" i="128" s="1"/>
  <c r="T48" i="128"/>
  <c r="AE48" i="128" s="1"/>
  <c r="U48" i="128"/>
  <c r="V48" i="128"/>
  <c r="AG48" i="128" s="1"/>
  <c r="W48" i="128"/>
  <c r="AH48" i="128" s="1"/>
  <c r="X48" i="128"/>
  <c r="Y48" i="128"/>
  <c r="AJ48" i="128" s="1"/>
  <c r="Z48" i="128"/>
  <c r="AK48" i="128" s="1"/>
  <c r="AA48" i="128"/>
  <c r="AB48" i="128"/>
  <c r="AM48" i="128" s="1"/>
  <c r="AC48" i="128"/>
  <c r="AF48" i="128"/>
  <c r="AI48" i="128"/>
  <c r="AL48" i="128"/>
  <c r="AN48" i="128"/>
  <c r="O49" i="128"/>
  <c r="P49" i="128"/>
  <c r="S49" i="128"/>
  <c r="T49" i="128"/>
  <c r="U49" i="128"/>
  <c r="V49" i="128"/>
  <c r="W49" i="128"/>
  <c r="X49" i="128"/>
  <c r="AI49" i="128" s="1"/>
  <c r="Y49" i="128"/>
  <c r="AJ49" i="128" s="1"/>
  <c r="Z49" i="128"/>
  <c r="AA49" i="128"/>
  <c r="AB49" i="128"/>
  <c r="AC49" i="128"/>
  <c r="AN49" i="128" s="1"/>
  <c r="AD49" i="128"/>
  <c r="AF49" i="128"/>
  <c r="AH49" i="128"/>
  <c r="AK49" i="128"/>
  <c r="AL49" i="128"/>
  <c r="AC9" i="128"/>
  <c r="AN9" i="128" s="1"/>
  <c r="AB9" i="128"/>
  <c r="AA9" i="128"/>
  <c r="Z9" i="128"/>
  <c r="AK9" i="128" s="1"/>
  <c r="Y9" i="128"/>
  <c r="X9" i="128"/>
  <c r="W9" i="128"/>
  <c r="AH9" i="128" s="1"/>
  <c r="V9" i="128"/>
  <c r="U9" i="128"/>
  <c r="T9" i="128"/>
  <c r="AE9" i="128" s="1"/>
  <c r="S9" i="128"/>
  <c r="P9" i="128"/>
  <c r="O9" i="128"/>
  <c r="AC8" i="128"/>
  <c r="AB8" i="128"/>
  <c r="AM8" i="128" s="1"/>
  <c r="AA8" i="128"/>
  <c r="Z8" i="128"/>
  <c r="Y8" i="128"/>
  <c r="AJ8" i="128" s="1"/>
  <c r="X8" i="128"/>
  <c r="W8" i="128"/>
  <c r="V8" i="128"/>
  <c r="AG8" i="128" s="1"/>
  <c r="U8" i="128"/>
  <c r="T8" i="128"/>
  <c r="S8" i="128"/>
  <c r="AD8" i="128" s="1"/>
  <c r="P8" i="128"/>
  <c r="O8" i="128"/>
  <c r="AI7" i="128"/>
  <c r="AC7" i="128"/>
  <c r="AB7" i="128"/>
  <c r="AA7" i="128"/>
  <c r="Z7" i="128"/>
  <c r="Y7" i="128"/>
  <c r="X7" i="128"/>
  <c r="W7" i="128"/>
  <c r="V7" i="128"/>
  <c r="U7" i="128"/>
  <c r="T7" i="128"/>
  <c r="S7" i="128"/>
  <c r="AM6" i="128"/>
  <c r="AC6" i="128"/>
  <c r="AN6" i="128" s="1"/>
  <c r="AB6" i="128"/>
  <c r="AA6" i="128"/>
  <c r="AL6" i="128" s="1"/>
  <c r="Z6" i="128"/>
  <c r="AK6" i="128" s="1"/>
  <c r="Y6" i="128"/>
  <c r="X6" i="128"/>
  <c r="W6" i="128"/>
  <c r="AH6" i="128" s="1"/>
  <c r="V6" i="128"/>
  <c r="U6" i="128"/>
  <c r="AF6" i="128" s="1"/>
  <c r="T6" i="128"/>
  <c r="AE6" i="128" s="1"/>
  <c r="S6" i="128"/>
  <c r="AC5" i="128"/>
  <c r="AB5" i="128"/>
  <c r="AA5" i="128"/>
  <c r="AL5" i="128" s="1"/>
  <c r="Z5" i="128"/>
  <c r="Y5" i="128"/>
  <c r="X5" i="128"/>
  <c r="W5" i="128"/>
  <c r="V5" i="128"/>
  <c r="U5" i="128"/>
  <c r="AF5" i="128" s="1"/>
  <c r="T5" i="128"/>
  <c r="S5" i="128"/>
  <c r="Q5" i="128"/>
  <c r="P5" i="128"/>
  <c r="O5" i="128"/>
  <c r="AN4" i="128"/>
  <c r="AM4" i="128"/>
  <c r="AL4" i="128"/>
  <c r="AK4" i="128"/>
  <c r="AJ4" i="128"/>
  <c r="AI4" i="128"/>
  <c r="AH4" i="128"/>
  <c r="AG4" i="128"/>
  <c r="AF4" i="128"/>
  <c r="AE4" i="128"/>
  <c r="AD4" i="128"/>
  <c r="AC4" i="128"/>
  <c r="AB4" i="128"/>
  <c r="AA4" i="128"/>
  <c r="Z4" i="128"/>
  <c r="Y4" i="128"/>
  <c r="X4" i="128"/>
  <c r="W4" i="128"/>
  <c r="V4" i="128"/>
  <c r="U4" i="128"/>
  <c r="T4" i="128"/>
  <c r="S4" i="128"/>
  <c r="N7" i="127"/>
  <c r="O7" i="127"/>
  <c r="P7" i="127"/>
  <c r="Q7" i="127"/>
  <c r="R7" i="127"/>
  <c r="S7" i="127"/>
  <c r="T7" i="127"/>
  <c r="U7" i="127"/>
  <c r="V7" i="127"/>
  <c r="W7" i="127"/>
  <c r="X7" i="127"/>
  <c r="Y7" i="127"/>
  <c r="Z7" i="127"/>
  <c r="AA7" i="127"/>
  <c r="AB7" i="127"/>
  <c r="AC7" i="127"/>
  <c r="AD7" i="127"/>
  <c r="AE7" i="127"/>
  <c r="AF7" i="127"/>
  <c r="AG7" i="127"/>
  <c r="AH7" i="127"/>
  <c r="AI7" i="127"/>
  <c r="AJ7" i="127"/>
  <c r="AK7" i="127"/>
  <c r="N8" i="127"/>
  <c r="O8" i="127"/>
  <c r="P8" i="127"/>
  <c r="Q8" i="127"/>
  <c r="R8" i="127"/>
  <c r="S8" i="127"/>
  <c r="T8" i="127"/>
  <c r="U8" i="127"/>
  <c r="V8" i="127"/>
  <c r="W8" i="127"/>
  <c r="X8" i="127"/>
  <c r="Y8" i="127"/>
  <c r="Z8" i="127"/>
  <c r="AA8" i="127"/>
  <c r="AB8" i="127"/>
  <c r="AC8" i="127"/>
  <c r="AD8" i="127"/>
  <c r="AE8" i="127"/>
  <c r="AF8" i="127"/>
  <c r="AG8" i="127"/>
  <c r="AH8" i="127"/>
  <c r="AI8" i="127"/>
  <c r="AJ8" i="127"/>
  <c r="AK8" i="127"/>
  <c r="N9" i="127"/>
  <c r="O9" i="127"/>
  <c r="P9" i="127"/>
  <c r="Q9" i="127"/>
  <c r="R9" i="127"/>
  <c r="S9" i="127"/>
  <c r="T9" i="127"/>
  <c r="U9" i="127"/>
  <c r="V9" i="127"/>
  <c r="W9" i="127"/>
  <c r="X9" i="127"/>
  <c r="Y9" i="127"/>
  <c r="Z9" i="127"/>
  <c r="AA9" i="127"/>
  <c r="AB9" i="127"/>
  <c r="AC9" i="127"/>
  <c r="AD9" i="127"/>
  <c r="AE9" i="127"/>
  <c r="AF9" i="127"/>
  <c r="AG9" i="127"/>
  <c r="AH9" i="127"/>
  <c r="AI9" i="127"/>
  <c r="AJ9" i="127"/>
  <c r="AK9" i="127"/>
  <c r="N10" i="127"/>
  <c r="O10" i="127"/>
  <c r="P10" i="127"/>
  <c r="Q10" i="127"/>
  <c r="R10" i="127"/>
  <c r="S10" i="127"/>
  <c r="T10" i="127"/>
  <c r="U10" i="127"/>
  <c r="V10" i="127"/>
  <c r="W10" i="127"/>
  <c r="X10" i="127"/>
  <c r="Y10" i="127"/>
  <c r="Z10" i="127"/>
  <c r="AA10" i="127"/>
  <c r="AB10" i="127"/>
  <c r="AC10" i="127"/>
  <c r="AD10" i="127"/>
  <c r="AE10" i="127"/>
  <c r="AF10" i="127"/>
  <c r="AG10" i="127"/>
  <c r="AH10" i="127"/>
  <c r="AI10" i="127"/>
  <c r="AJ10" i="127"/>
  <c r="AK10" i="127"/>
  <c r="N11" i="127"/>
  <c r="O11" i="127"/>
  <c r="P11" i="127"/>
  <c r="Q11" i="127"/>
  <c r="R11" i="127"/>
  <c r="S11" i="127"/>
  <c r="T11" i="127"/>
  <c r="U11" i="127"/>
  <c r="V11" i="127"/>
  <c r="W11" i="127"/>
  <c r="X11" i="127"/>
  <c r="Y11" i="127"/>
  <c r="Z11" i="127"/>
  <c r="AA11" i="127"/>
  <c r="AB11" i="127"/>
  <c r="AC11" i="127"/>
  <c r="AD11" i="127"/>
  <c r="AE11" i="127"/>
  <c r="AF11" i="127"/>
  <c r="AG11" i="127"/>
  <c r="AH11" i="127"/>
  <c r="AI11" i="127"/>
  <c r="AJ11" i="127"/>
  <c r="AK11" i="127"/>
  <c r="N12" i="127"/>
  <c r="O12" i="127"/>
  <c r="P12" i="127"/>
  <c r="Q12" i="127"/>
  <c r="R12" i="127"/>
  <c r="S12" i="127"/>
  <c r="T12" i="127"/>
  <c r="U12" i="127"/>
  <c r="V12" i="127"/>
  <c r="W12" i="127"/>
  <c r="X12" i="127"/>
  <c r="Y12" i="127"/>
  <c r="Z12" i="127"/>
  <c r="AA12" i="127"/>
  <c r="AB12" i="127"/>
  <c r="AC12" i="127"/>
  <c r="AD12" i="127"/>
  <c r="AE12" i="127"/>
  <c r="AF12" i="127"/>
  <c r="AG12" i="127"/>
  <c r="AH12" i="127"/>
  <c r="AI12" i="127"/>
  <c r="AJ12" i="127"/>
  <c r="AK12" i="127"/>
  <c r="N13" i="127"/>
  <c r="O13" i="127"/>
  <c r="P13" i="127"/>
  <c r="Q13" i="127"/>
  <c r="R13" i="127"/>
  <c r="S13" i="127"/>
  <c r="T13" i="127"/>
  <c r="U13" i="127"/>
  <c r="V13" i="127"/>
  <c r="W13" i="127"/>
  <c r="X13" i="127"/>
  <c r="Y13" i="127"/>
  <c r="Z13" i="127"/>
  <c r="AA13" i="127"/>
  <c r="AB13" i="127"/>
  <c r="AC13" i="127"/>
  <c r="AD13" i="127"/>
  <c r="AE13" i="127"/>
  <c r="AF13" i="127"/>
  <c r="AG13" i="127"/>
  <c r="AH13" i="127"/>
  <c r="AI13" i="127"/>
  <c r="AJ13" i="127"/>
  <c r="AK13" i="127"/>
  <c r="N14" i="127"/>
  <c r="O14" i="127"/>
  <c r="P14" i="127"/>
  <c r="Q14" i="127"/>
  <c r="R14" i="127"/>
  <c r="S14" i="127"/>
  <c r="T14" i="127"/>
  <c r="U14" i="127"/>
  <c r="V14" i="127"/>
  <c r="W14" i="127"/>
  <c r="X14" i="127"/>
  <c r="Y14" i="127"/>
  <c r="Z14" i="127"/>
  <c r="AA14" i="127"/>
  <c r="AB14" i="127"/>
  <c r="AC14" i="127"/>
  <c r="AD14" i="127"/>
  <c r="AE14" i="127"/>
  <c r="AF14" i="127"/>
  <c r="AG14" i="127"/>
  <c r="AH14" i="127"/>
  <c r="AI14" i="127"/>
  <c r="AJ14" i="127"/>
  <c r="AK14" i="127"/>
  <c r="N15" i="127"/>
  <c r="O15" i="127"/>
  <c r="P15" i="127"/>
  <c r="Q15" i="127"/>
  <c r="R15" i="127"/>
  <c r="S15" i="127"/>
  <c r="T15" i="127"/>
  <c r="U15" i="127"/>
  <c r="V15" i="127"/>
  <c r="W15" i="127"/>
  <c r="X15" i="127"/>
  <c r="Y15" i="127"/>
  <c r="Z15" i="127"/>
  <c r="AA15" i="127"/>
  <c r="AB15" i="127"/>
  <c r="AC15" i="127"/>
  <c r="AD15" i="127"/>
  <c r="AE15" i="127"/>
  <c r="AF15" i="127"/>
  <c r="AG15" i="127"/>
  <c r="AH15" i="127"/>
  <c r="AI15" i="127"/>
  <c r="AJ15" i="127"/>
  <c r="AK15" i="127"/>
  <c r="N16" i="127"/>
  <c r="O16" i="127"/>
  <c r="P16" i="127"/>
  <c r="Q16" i="127"/>
  <c r="R16" i="127"/>
  <c r="S16" i="127"/>
  <c r="T16" i="127"/>
  <c r="U16" i="127"/>
  <c r="V16" i="127"/>
  <c r="W16" i="127"/>
  <c r="X16" i="127"/>
  <c r="Y16" i="127"/>
  <c r="Z16" i="127"/>
  <c r="AA16" i="127"/>
  <c r="AB16" i="127"/>
  <c r="AC16" i="127"/>
  <c r="AD16" i="127"/>
  <c r="AE16" i="127"/>
  <c r="AF16" i="127"/>
  <c r="AG16" i="127"/>
  <c r="AH16" i="127"/>
  <c r="AI16" i="127"/>
  <c r="AJ16" i="127"/>
  <c r="AK16" i="127"/>
  <c r="N17" i="127"/>
  <c r="O17" i="127"/>
  <c r="P17" i="127"/>
  <c r="Q17" i="127"/>
  <c r="R17" i="127"/>
  <c r="S17" i="127"/>
  <c r="T17" i="127"/>
  <c r="U17" i="127"/>
  <c r="V17" i="127"/>
  <c r="W17" i="127"/>
  <c r="X17" i="127"/>
  <c r="Y17" i="127"/>
  <c r="Z17" i="127"/>
  <c r="AA17" i="127"/>
  <c r="AB17" i="127"/>
  <c r="AC17" i="127"/>
  <c r="AD17" i="127"/>
  <c r="AE17" i="127"/>
  <c r="AF17" i="127"/>
  <c r="AG17" i="127"/>
  <c r="AH17" i="127"/>
  <c r="AI17" i="127"/>
  <c r="AJ17" i="127"/>
  <c r="AK17" i="127"/>
  <c r="N18" i="127"/>
  <c r="O18" i="127"/>
  <c r="P18" i="127"/>
  <c r="Q18" i="127"/>
  <c r="R18" i="127"/>
  <c r="S18" i="127"/>
  <c r="T18" i="127"/>
  <c r="U18" i="127"/>
  <c r="V18" i="127"/>
  <c r="W18" i="127"/>
  <c r="X18" i="127"/>
  <c r="Y18" i="127"/>
  <c r="Z18" i="127"/>
  <c r="AA18" i="127"/>
  <c r="AB18" i="127"/>
  <c r="AC18" i="127"/>
  <c r="AD18" i="127"/>
  <c r="AE18" i="127"/>
  <c r="AF18" i="127"/>
  <c r="AG18" i="127"/>
  <c r="AH18" i="127"/>
  <c r="AI18" i="127"/>
  <c r="AJ18" i="127"/>
  <c r="AK18" i="127"/>
  <c r="N19" i="127"/>
  <c r="O19" i="127"/>
  <c r="P19" i="127"/>
  <c r="Q19" i="127"/>
  <c r="R19" i="127"/>
  <c r="S19" i="127"/>
  <c r="T19" i="127"/>
  <c r="U19" i="127"/>
  <c r="V19" i="127"/>
  <c r="W19" i="127"/>
  <c r="X19" i="127"/>
  <c r="Y19" i="127"/>
  <c r="Z19" i="127"/>
  <c r="AA19" i="127"/>
  <c r="AB19" i="127"/>
  <c r="AC19" i="127"/>
  <c r="AD19" i="127"/>
  <c r="AE19" i="127"/>
  <c r="AF19" i="127"/>
  <c r="AG19" i="127"/>
  <c r="AH19" i="127"/>
  <c r="AI19" i="127"/>
  <c r="AJ19" i="127"/>
  <c r="AK19" i="127"/>
  <c r="N20" i="127"/>
  <c r="O20" i="127"/>
  <c r="P20" i="127"/>
  <c r="Q20" i="127"/>
  <c r="R20" i="127"/>
  <c r="S20" i="127"/>
  <c r="T20" i="127"/>
  <c r="U20" i="127"/>
  <c r="V20" i="127"/>
  <c r="W20" i="127"/>
  <c r="X20" i="127"/>
  <c r="Y20" i="127"/>
  <c r="Z20" i="127"/>
  <c r="AA20" i="127"/>
  <c r="AB20" i="127"/>
  <c r="AC20" i="127"/>
  <c r="AD20" i="127"/>
  <c r="AE20" i="127"/>
  <c r="AF20" i="127"/>
  <c r="AG20" i="127"/>
  <c r="AH20" i="127"/>
  <c r="AI20" i="127"/>
  <c r="AJ20" i="127"/>
  <c r="AK20" i="127"/>
  <c r="N21" i="127"/>
  <c r="O21" i="127"/>
  <c r="P21" i="127"/>
  <c r="Q21" i="127"/>
  <c r="R21" i="127"/>
  <c r="S21" i="127"/>
  <c r="T21" i="127"/>
  <c r="U21" i="127"/>
  <c r="V21" i="127"/>
  <c r="W21" i="127"/>
  <c r="X21" i="127"/>
  <c r="Y21" i="127"/>
  <c r="Z21" i="127"/>
  <c r="AA21" i="127"/>
  <c r="AB21" i="127"/>
  <c r="AC21" i="127"/>
  <c r="AD21" i="127"/>
  <c r="AE21" i="127"/>
  <c r="AF21" i="127"/>
  <c r="AG21" i="127"/>
  <c r="AH21" i="127"/>
  <c r="AI21" i="127"/>
  <c r="AJ21" i="127"/>
  <c r="AK21" i="127"/>
  <c r="N22" i="127"/>
  <c r="O22" i="127"/>
  <c r="P22" i="127"/>
  <c r="Q22" i="127"/>
  <c r="R22" i="127"/>
  <c r="S22" i="127"/>
  <c r="T22" i="127"/>
  <c r="U22" i="127"/>
  <c r="V22" i="127"/>
  <c r="W22" i="127"/>
  <c r="X22" i="127"/>
  <c r="Y22" i="127"/>
  <c r="Z22" i="127"/>
  <c r="AA22" i="127"/>
  <c r="AB22" i="127"/>
  <c r="AC22" i="127"/>
  <c r="AD22" i="127"/>
  <c r="AE22" i="127"/>
  <c r="AF22" i="127"/>
  <c r="AG22" i="127"/>
  <c r="AH22" i="127"/>
  <c r="AI22" i="127"/>
  <c r="AJ22" i="127"/>
  <c r="AK22" i="127"/>
  <c r="N23" i="127"/>
  <c r="O23" i="127"/>
  <c r="P23" i="127"/>
  <c r="Q23" i="127"/>
  <c r="R23" i="127"/>
  <c r="S23" i="127"/>
  <c r="T23" i="127"/>
  <c r="U23" i="127"/>
  <c r="V23" i="127"/>
  <c r="W23" i="127"/>
  <c r="X23" i="127"/>
  <c r="Y23" i="127"/>
  <c r="Z23" i="127"/>
  <c r="AA23" i="127"/>
  <c r="AB23" i="127"/>
  <c r="AC23" i="127"/>
  <c r="AD23" i="127"/>
  <c r="AE23" i="127"/>
  <c r="AF23" i="127"/>
  <c r="AG23" i="127"/>
  <c r="AH23" i="127"/>
  <c r="AI23" i="127"/>
  <c r="AJ23" i="127"/>
  <c r="AK23" i="127"/>
  <c r="N24" i="127"/>
  <c r="O24" i="127"/>
  <c r="P24" i="127"/>
  <c r="Q24" i="127"/>
  <c r="R24" i="127"/>
  <c r="S24" i="127"/>
  <c r="T24" i="127"/>
  <c r="U24" i="127"/>
  <c r="V24" i="127"/>
  <c r="W24" i="127"/>
  <c r="X24" i="127"/>
  <c r="Y24" i="127"/>
  <c r="Z24" i="127"/>
  <c r="AA24" i="127"/>
  <c r="AB24" i="127"/>
  <c r="AC24" i="127"/>
  <c r="AD24" i="127"/>
  <c r="AE24" i="127"/>
  <c r="AF24" i="127"/>
  <c r="AG24" i="127"/>
  <c r="AH24" i="127"/>
  <c r="AI24" i="127"/>
  <c r="AJ24" i="127"/>
  <c r="AK24" i="127"/>
  <c r="N25" i="127"/>
  <c r="O25" i="127"/>
  <c r="P25" i="127"/>
  <c r="Q25" i="127"/>
  <c r="R25" i="127"/>
  <c r="S25" i="127"/>
  <c r="T25" i="127"/>
  <c r="U25" i="127"/>
  <c r="V25" i="127"/>
  <c r="W25" i="127"/>
  <c r="X25" i="127"/>
  <c r="Y25" i="127"/>
  <c r="Z25" i="127"/>
  <c r="AA25" i="127"/>
  <c r="AB25" i="127"/>
  <c r="AC25" i="127"/>
  <c r="AD25" i="127"/>
  <c r="AE25" i="127"/>
  <c r="AF25" i="127"/>
  <c r="AG25" i="127"/>
  <c r="AH25" i="127"/>
  <c r="AI25" i="127"/>
  <c r="AJ25" i="127"/>
  <c r="AK25" i="127"/>
  <c r="N26" i="127"/>
  <c r="O26" i="127"/>
  <c r="P26" i="127"/>
  <c r="Q26" i="127"/>
  <c r="R26" i="127"/>
  <c r="S26" i="127"/>
  <c r="T26" i="127"/>
  <c r="U26" i="127"/>
  <c r="V26" i="127"/>
  <c r="W26" i="127"/>
  <c r="X26" i="127"/>
  <c r="Y26" i="127"/>
  <c r="Z26" i="127"/>
  <c r="AA26" i="127"/>
  <c r="AB26" i="127"/>
  <c r="AC26" i="127"/>
  <c r="AD26" i="127"/>
  <c r="AE26" i="127"/>
  <c r="AF26" i="127"/>
  <c r="AG26" i="127"/>
  <c r="AH26" i="127"/>
  <c r="AI26" i="127"/>
  <c r="AJ26" i="127"/>
  <c r="AK26" i="127"/>
  <c r="N27" i="127"/>
  <c r="O27" i="127"/>
  <c r="P27" i="127"/>
  <c r="Q27" i="127"/>
  <c r="R27" i="127"/>
  <c r="S27" i="127"/>
  <c r="T27" i="127"/>
  <c r="U27" i="127"/>
  <c r="V27" i="127"/>
  <c r="W27" i="127"/>
  <c r="X27" i="127"/>
  <c r="Y27" i="127"/>
  <c r="Z27" i="127"/>
  <c r="AA27" i="127"/>
  <c r="AB27" i="127"/>
  <c r="AC27" i="127"/>
  <c r="AD27" i="127"/>
  <c r="AE27" i="127"/>
  <c r="AF27" i="127"/>
  <c r="AG27" i="127"/>
  <c r="AH27" i="127"/>
  <c r="AI27" i="127"/>
  <c r="AJ27" i="127"/>
  <c r="AK27" i="127"/>
  <c r="N28" i="127"/>
  <c r="O28" i="127"/>
  <c r="P28" i="127"/>
  <c r="Q28" i="127"/>
  <c r="R28" i="127"/>
  <c r="S28" i="127"/>
  <c r="T28" i="127"/>
  <c r="U28" i="127"/>
  <c r="V28" i="127"/>
  <c r="W28" i="127"/>
  <c r="X28" i="127"/>
  <c r="Y28" i="127"/>
  <c r="Z28" i="127"/>
  <c r="AA28" i="127"/>
  <c r="AB28" i="127"/>
  <c r="AC28" i="127"/>
  <c r="AD28" i="127"/>
  <c r="AE28" i="127"/>
  <c r="AF28" i="127"/>
  <c r="AG28" i="127"/>
  <c r="AH28" i="127"/>
  <c r="AI28" i="127"/>
  <c r="AJ28" i="127"/>
  <c r="AK28" i="127"/>
  <c r="N29" i="127"/>
  <c r="O29" i="127"/>
  <c r="P29" i="127"/>
  <c r="Q29" i="127"/>
  <c r="R29" i="127"/>
  <c r="S29" i="127"/>
  <c r="T29" i="127"/>
  <c r="U29" i="127"/>
  <c r="V29" i="127"/>
  <c r="W29" i="127"/>
  <c r="X29" i="127"/>
  <c r="Y29" i="127"/>
  <c r="Z29" i="127"/>
  <c r="AA29" i="127"/>
  <c r="AB29" i="127"/>
  <c r="AC29" i="127"/>
  <c r="AD29" i="127"/>
  <c r="AE29" i="127"/>
  <c r="AF29" i="127"/>
  <c r="AG29" i="127"/>
  <c r="AH29" i="127"/>
  <c r="AI29" i="127"/>
  <c r="AJ29" i="127"/>
  <c r="AK29" i="127"/>
  <c r="N30" i="127"/>
  <c r="O30" i="127"/>
  <c r="P30" i="127"/>
  <c r="Q30" i="127"/>
  <c r="R30" i="127"/>
  <c r="S30" i="127"/>
  <c r="T30" i="127"/>
  <c r="U30" i="127"/>
  <c r="V30" i="127"/>
  <c r="W30" i="127"/>
  <c r="X30" i="127"/>
  <c r="Y30" i="127"/>
  <c r="Z30" i="127"/>
  <c r="AA30" i="127"/>
  <c r="AB30" i="127"/>
  <c r="AC30" i="127"/>
  <c r="AD30" i="127"/>
  <c r="AE30" i="127"/>
  <c r="AF30" i="127"/>
  <c r="AG30" i="127"/>
  <c r="AH30" i="127"/>
  <c r="AI30" i="127"/>
  <c r="AJ30" i="127"/>
  <c r="AK30" i="127"/>
  <c r="N31" i="127"/>
  <c r="O31" i="127"/>
  <c r="P31" i="127"/>
  <c r="Q31" i="127"/>
  <c r="R31" i="127"/>
  <c r="S31" i="127"/>
  <c r="T31" i="127"/>
  <c r="U31" i="127"/>
  <c r="V31" i="127"/>
  <c r="W31" i="127"/>
  <c r="X31" i="127"/>
  <c r="Y31" i="127"/>
  <c r="Z31" i="127"/>
  <c r="AA31" i="127"/>
  <c r="AB31" i="127"/>
  <c r="AC31" i="127"/>
  <c r="AD31" i="127"/>
  <c r="AE31" i="127"/>
  <c r="AF31" i="127"/>
  <c r="AG31" i="127"/>
  <c r="AH31" i="127"/>
  <c r="AI31" i="127"/>
  <c r="AJ31" i="127"/>
  <c r="AK31" i="127"/>
  <c r="AK6" i="127"/>
  <c r="AJ6" i="127"/>
  <c r="AI6" i="127"/>
  <c r="AH6" i="127"/>
  <c r="AG6" i="127"/>
  <c r="AF6" i="127"/>
  <c r="AE6" i="127"/>
  <c r="AD6" i="127"/>
  <c r="AC6" i="127"/>
  <c r="AB6" i="127"/>
  <c r="AA6" i="127"/>
  <c r="Z6" i="127"/>
  <c r="Y6" i="127"/>
  <c r="X6" i="127"/>
  <c r="W6" i="127"/>
  <c r="V6" i="127"/>
  <c r="U6" i="127"/>
  <c r="T6" i="127"/>
  <c r="S6" i="127"/>
  <c r="R6" i="127"/>
  <c r="Q6" i="127"/>
  <c r="P6" i="127"/>
  <c r="O6" i="127"/>
  <c r="N6" i="127"/>
  <c r="AK4" i="127"/>
  <c r="AJ4" i="127"/>
  <c r="AI4" i="127"/>
  <c r="AH4" i="127"/>
  <c r="AG4" i="127"/>
  <c r="AF4" i="127"/>
  <c r="AE4" i="127"/>
  <c r="AD4" i="127"/>
  <c r="AC4" i="127"/>
  <c r="AB4" i="127"/>
  <c r="AA4" i="127"/>
  <c r="Z4" i="127"/>
  <c r="Y4" i="127"/>
  <c r="X4" i="127"/>
  <c r="W4" i="127"/>
  <c r="V4" i="127"/>
  <c r="U4" i="127"/>
  <c r="T4" i="127"/>
  <c r="S4" i="127"/>
  <c r="R4" i="127"/>
  <c r="Q4" i="127"/>
  <c r="P4" i="127"/>
  <c r="B21" i="28"/>
  <c r="S7" i="126"/>
  <c r="T7" i="126"/>
  <c r="U7" i="126"/>
  <c r="V7" i="126"/>
  <c r="W7" i="126"/>
  <c r="X7" i="126"/>
  <c r="Y7" i="126"/>
  <c r="Z7" i="126"/>
  <c r="AA7" i="126"/>
  <c r="AB7" i="126"/>
  <c r="AC7" i="126"/>
  <c r="S8" i="126"/>
  <c r="T8" i="126"/>
  <c r="U8" i="126"/>
  <c r="V8" i="126"/>
  <c r="W8" i="126"/>
  <c r="X8" i="126"/>
  <c r="Y8" i="126"/>
  <c r="Z8" i="126"/>
  <c r="AA8" i="126"/>
  <c r="AB8" i="126"/>
  <c r="AC8" i="126"/>
  <c r="S9" i="126"/>
  <c r="T9" i="126"/>
  <c r="U9" i="126"/>
  <c r="V9" i="126"/>
  <c r="W9" i="126"/>
  <c r="X9" i="126"/>
  <c r="Y9" i="126"/>
  <c r="Z9" i="126"/>
  <c r="AA9" i="126"/>
  <c r="AB9" i="126"/>
  <c r="AC9" i="126"/>
  <c r="S10" i="126"/>
  <c r="T10" i="126"/>
  <c r="U10" i="126"/>
  <c r="V10" i="126"/>
  <c r="W10" i="126"/>
  <c r="X10" i="126"/>
  <c r="Y10" i="126"/>
  <c r="Z10" i="126"/>
  <c r="AA10" i="126"/>
  <c r="AB10" i="126"/>
  <c r="AC10" i="126"/>
  <c r="S11" i="126"/>
  <c r="T11" i="126"/>
  <c r="U11" i="126"/>
  <c r="V11" i="126"/>
  <c r="W11" i="126"/>
  <c r="X11" i="126"/>
  <c r="Y11" i="126"/>
  <c r="Z11" i="126"/>
  <c r="AA11" i="126"/>
  <c r="AB11" i="126"/>
  <c r="AC11" i="126"/>
  <c r="S12" i="126"/>
  <c r="T12" i="126"/>
  <c r="U12" i="126"/>
  <c r="V12" i="126"/>
  <c r="W12" i="126"/>
  <c r="X12" i="126"/>
  <c r="Y12" i="126"/>
  <c r="Z12" i="126"/>
  <c r="AA12" i="126"/>
  <c r="AB12" i="126"/>
  <c r="AC12" i="126"/>
  <c r="S13" i="126"/>
  <c r="T13" i="126"/>
  <c r="U13" i="126"/>
  <c r="V13" i="126"/>
  <c r="W13" i="126"/>
  <c r="X13" i="126"/>
  <c r="Y13" i="126"/>
  <c r="Z13" i="126"/>
  <c r="AA13" i="126"/>
  <c r="AB13" i="126"/>
  <c r="AC13" i="126"/>
  <c r="S14" i="126"/>
  <c r="T14" i="126"/>
  <c r="U14" i="126"/>
  <c r="V14" i="126"/>
  <c r="W14" i="126"/>
  <c r="X14" i="126"/>
  <c r="Y14" i="126"/>
  <c r="Z14" i="126"/>
  <c r="AA14" i="126"/>
  <c r="AB14" i="126"/>
  <c r="AC14" i="126"/>
  <c r="S15" i="126"/>
  <c r="T15" i="126"/>
  <c r="U15" i="126"/>
  <c r="V15" i="126"/>
  <c r="W15" i="126"/>
  <c r="X15" i="126"/>
  <c r="Y15" i="126"/>
  <c r="Z15" i="126"/>
  <c r="AA15" i="126"/>
  <c r="AB15" i="126"/>
  <c r="AC15" i="126"/>
  <c r="S16" i="126"/>
  <c r="T16" i="126"/>
  <c r="U16" i="126"/>
  <c r="V16" i="126"/>
  <c r="W16" i="126"/>
  <c r="X16" i="126"/>
  <c r="Y16" i="126"/>
  <c r="Z16" i="126"/>
  <c r="AA16" i="126"/>
  <c r="AB16" i="126"/>
  <c r="AC16" i="126"/>
  <c r="S17" i="126"/>
  <c r="T17" i="126"/>
  <c r="U17" i="126"/>
  <c r="V17" i="126"/>
  <c r="W17" i="126"/>
  <c r="X17" i="126"/>
  <c r="Y17" i="126"/>
  <c r="Z17" i="126"/>
  <c r="AA17" i="126"/>
  <c r="AB17" i="126"/>
  <c r="AC17" i="126"/>
  <c r="S18" i="126"/>
  <c r="T18" i="126"/>
  <c r="U18" i="126"/>
  <c r="V18" i="126"/>
  <c r="W18" i="126"/>
  <c r="X18" i="126"/>
  <c r="Y18" i="126"/>
  <c r="Z18" i="126"/>
  <c r="AA18" i="126"/>
  <c r="AB18" i="126"/>
  <c r="AC18" i="126"/>
  <c r="S19" i="126"/>
  <c r="T19" i="126"/>
  <c r="U19" i="126"/>
  <c r="V19" i="126"/>
  <c r="W19" i="126"/>
  <c r="X19" i="126"/>
  <c r="Y19" i="126"/>
  <c r="Z19" i="126"/>
  <c r="AA19" i="126"/>
  <c r="AB19" i="126"/>
  <c r="AC19" i="126"/>
  <c r="S20" i="126"/>
  <c r="T20" i="126"/>
  <c r="U20" i="126"/>
  <c r="V20" i="126"/>
  <c r="W20" i="126"/>
  <c r="X20" i="126"/>
  <c r="Y20" i="126"/>
  <c r="Z20" i="126"/>
  <c r="AA20" i="126"/>
  <c r="AB20" i="126"/>
  <c r="AC20" i="126"/>
  <c r="S21" i="126"/>
  <c r="T21" i="126"/>
  <c r="U21" i="126"/>
  <c r="V21" i="126"/>
  <c r="W21" i="126"/>
  <c r="X21" i="126"/>
  <c r="Y21" i="126"/>
  <c r="Z21" i="126"/>
  <c r="AA21" i="126"/>
  <c r="AB21" i="126"/>
  <c r="AC21" i="126"/>
  <c r="S22" i="126"/>
  <c r="T22" i="126"/>
  <c r="U22" i="126"/>
  <c r="V22" i="126"/>
  <c r="W22" i="126"/>
  <c r="X22" i="126"/>
  <c r="Y22" i="126"/>
  <c r="Z22" i="126"/>
  <c r="AA22" i="126"/>
  <c r="AB22" i="126"/>
  <c r="AC22" i="126"/>
  <c r="S23" i="126"/>
  <c r="T23" i="126"/>
  <c r="U23" i="126"/>
  <c r="V23" i="126"/>
  <c r="W23" i="126"/>
  <c r="X23" i="126"/>
  <c r="Y23" i="126"/>
  <c r="Z23" i="126"/>
  <c r="AA23" i="126"/>
  <c r="AB23" i="126"/>
  <c r="AC23" i="126"/>
  <c r="S24" i="126"/>
  <c r="T24" i="126"/>
  <c r="U24" i="126"/>
  <c r="V24" i="126"/>
  <c r="W24" i="126"/>
  <c r="X24" i="126"/>
  <c r="Y24" i="126"/>
  <c r="Z24" i="126"/>
  <c r="AA24" i="126"/>
  <c r="AB24" i="126"/>
  <c r="AC24" i="126"/>
  <c r="S25" i="126"/>
  <c r="T25" i="126"/>
  <c r="U25" i="126"/>
  <c r="V25" i="126"/>
  <c r="W25" i="126"/>
  <c r="X25" i="126"/>
  <c r="Y25" i="126"/>
  <c r="Z25" i="126"/>
  <c r="AA25" i="126"/>
  <c r="AB25" i="126"/>
  <c r="AC25" i="126"/>
  <c r="S26" i="126"/>
  <c r="T26" i="126"/>
  <c r="U26" i="126"/>
  <c r="V26" i="126"/>
  <c r="W26" i="126"/>
  <c r="X26" i="126"/>
  <c r="Y26" i="126"/>
  <c r="Z26" i="126"/>
  <c r="AA26" i="126"/>
  <c r="AB26" i="126"/>
  <c r="AC26" i="126"/>
  <c r="S27" i="126"/>
  <c r="T27" i="126"/>
  <c r="U27" i="126"/>
  <c r="V27" i="126"/>
  <c r="W27" i="126"/>
  <c r="X27" i="126"/>
  <c r="Y27" i="126"/>
  <c r="Z27" i="126"/>
  <c r="AA27" i="126"/>
  <c r="AB27" i="126"/>
  <c r="AC27" i="126"/>
  <c r="S28" i="126"/>
  <c r="T28" i="126"/>
  <c r="U28" i="126"/>
  <c r="V28" i="126"/>
  <c r="W28" i="126"/>
  <c r="X28" i="126"/>
  <c r="Y28" i="126"/>
  <c r="Z28" i="126"/>
  <c r="AA28" i="126"/>
  <c r="AB28" i="126"/>
  <c r="AC28" i="126"/>
  <c r="S29" i="126"/>
  <c r="T29" i="126"/>
  <c r="U29" i="126"/>
  <c r="V29" i="126"/>
  <c r="W29" i="126"/>
  <c r="X29" i="126"/>
  <c r="Y29" i="126"/>
  <c r="Z29" i="126"/>
  <c r="AA29" i="126"/>
  <c r="AB29" i="126"/>
  <c r="AC29" i="126"/>
  <c r="S30" i="126"/>
  <c r="T30" i="126"/>
  <c r="U30" i="126"/>
  <c r="V30" i="126"/>
  <c r="W30" i="126"/>
  <c r="X30" i="126"/>
  <c r="Y30" i="126"/>
  <c r="Z30" i="126"/>
  <c r="AA30" i="126"/>
  <c r="AB30" i="126"/>
  <c r="AC30" i="126"/>
  <c r="S31" i="126"/>
  <c r="T31" i="126"/>
  <c r="U31" i="126"/>
  <c r="V31" i="126"/>
  <c r="W31" i="126"/>
  <c r="X31" i="126"/>
  <c r="Y31" i="126"/>
  <c r="Z31" i="126"/>
  <c r="AA31" i="126"/>
  <c r="AB31" i="126"/>
  <c r="AC31" i="126"/>
  <c r="S32" i="126"/>
  <c r="T32" i="126"/>
  <c r="U32" i="126"/>
  <c r="V32" i="126"/>
  <c r="W32" i="126"/>
  <c r="X32" i="126"/>
  <c r="Y32" i="126"/>
  <c r="Z32" i="126"/>
  <c r="AA32" i="126"/>
  <c r="AB32" i="126"/>
  <c r="AC32" i="126"/>
  <c r="S33" i="126"/>
  <c r="T33" i="126"/>
  <c r="U33" i="126"/>
  <c r="V33" i="126"/>
  <c r="W33" i="126"/>
  <c r="X33" i="126"/>
  <c r="Y33" i="126"/>
  <c r="AJ40" i="126" s="1"/>
  <c r="Z33" i="126"/>
  <c r="AA33" i="126"/>
  <c r="AB33" i="126"/>
  <c r="AC33" i="126"/>
  <c r="S34" i="126"/>
  <c r="T34" i="126"/>
  <c r="U34" i="126"/>
  <c r="V34" i="126"/>
  <c r="W34" i="126"/>
  <c r="X34" i="126"/>
  <c r="Y34" i="126"/>
  <c r="Z34" i="126"/>
  <c r="AA34" i="126"/>
  <c r="AB34" i="126"/>
  <c r="AC34" i="126"/>
  <c r="S35" i="126"/>
  <c r="T35" i="126"/>
  <c r="U35" i="126"/>
  <c r="V35" i="126"/>
  <c r="W35" i="126"/>
  <c r="X35" i="126"/>
  <c r="Y35" i="126"/>
  <c r="Z35" i="126"/>
  <c r="AA35" i="126"/>
  <c r="AB35" i="126"/>
  <c r="AC35" i="126"/>
  <c r="S36" i="126"/>
  <c r="T36" i="126"/>
  <c r="U36" i="126"/>
  <c r="V36" i="126"/>
  <c r="W36" i="126"/>
  <c r="X36" i="126"/>
  <c r="Y36" i="126"/>
  <c r="Z36" i="126"/>
  <c r="AA36" i="126"/>
  <c r="AB36" i="126"/>
  <c r="AC36" i="126"/>
  <c r="AN36" i="126"/>
  <c r="S37" i="126"/>
  <c r="T37" i="126"/>
  <c r="U37" i="126"/>
  <c r="V37" i="126"/>
  <c r="W37" i="126"/>
  <c r="X37" i="126"/>
  <c r="AI37" i="126" s="1"/>
  <c r="Y37" i="126"/>
  <c r="Z37" i="126"/>
  <c r="AA37" i="126"/>
  <c r="AB37" i="126"/>
  <c r="AC37" i="126"/>
  <c r="S38" i="126"/>
  <c r="T38" i="126"/>
  <c r="U38" i="126"/>
  <c r="V38" i="126"/>
  <c r="W38" i="126"/>
  <c r="X38" i="126"/>
  <c r="Y38" i="126"/>
  <c r="Z38" i="126"/>
  <c r="AA38" i="126"/>
  <c r="AB38" i="126"/>
  <c r="AC38" i="126"/>
  <c r="S39" i="126"/>
  <c r="AD13" i="126" s="1"/>
  <c r="T39" i="126"/>
  <c r="U39" i="126"/>
  <c r="V39" i="126"/>
  <c r="W39" i="126"/>
  <c r="X39" i="126"/>
  <c r="Y39" i="126"/>
  <c r="Z39" i="126"/>
  <c r="AA39" i="126"/>
  <c r="AB39" i="126"/>
  <c r="AC39" i="126"/>
  <c r="AH39" i="126"/>
  <c r="S40" i="126"/>
  <c r="T40" i="126"/>
  <c r="U40" i="126"/>
  <c r="V40" i="126"/>
  <c r="W40" i="126"/>
  <c r="X40" i="126"/>
  <c r="Y40" i="126"/>
  <c r="Z40" i="126"/>
  <c r="AA40" i="126"/>
  <c r="AB40" i="126"/>
  <c r="AC40" i="126"/>
  <c r="AN12" i="126" s="1"/>
  <c r="S41" i="126"/>
  <c r="T41" i="126"/>
  <c r="AE38" i="126" s="1"/>
  <c r="U41" i="126"/>
  <c r="V41" i="126"/>
  <c r="W41" i="126"/>
  <c r="AH41" i="126" s="1"/>
  <c r="X41" i="126"/>
  <c r="Y41" i="126"/>
  <c r="Z41" i="126"/>
  <c r="AA41" i="126"/>
  <c r="AB41" i="126"/>
  <c r="AC41" i="126"/>
  <c r="AN47" i="126" s="1"/>
  <c r="S42" i="126"/>
  <c r="T42" i="126"/>
  <c r="U42" i="126"/>
  <c r="V42" i="126"/>
  <c r="W42" i="126"/>
  <c r="X42" i="126"/>
  <c r="Y42" i="126"/>
  <c r="Z42" i="126"/>
  <c r="AA42" i="126"/>
  <c r="AB42" i="126"/>
  <c r="AM39" i="126" s="1"/>
  <c r="AC42" i="126"/>
  <c r="S43" i="126"/>
  <c r="T43" i="126"/>
  <c r="U43" i="126"/>
  <c r="AF6" i="126" s="1"/>
  <c r="V43" i="126"/>
  <c r="W43" i="126"/>
  <c r="X43" i="126"/>
  <c r="Y43" i="126"/>
  <c r="Z43" i="126"/>
  <c r="AA43" i="126"/>
  <c r="AL44" i="126" s="1"/>
  <c r="AB43" i="126"/>
  <c r="AC43" i="126"/>
  <c r="S44" i="126"/>
  <c r="AD44" i="126" s="1"/>
  <c r="T44" i="126"/>
  <c r="U44" i="126"/>
  <c r="V44" i="126"/>
  <c r="W44" i="126"/>
  <c r="X44" i="126"/>
  <c r="Y44" i="126"/>
  <c r="AJ44" i="126" s="1"/>
  <c r="Z44" i="126"/>
  <c r="AA44" i="126"/>
  <c r="AB44" i="126"/>
  <c r="AM46" i="126" s="1"/>
  <c r="AC44" i="126"/>
  <c r="S45" i="126"/>
  <c r="T45" i="126"/>
  <c r="U45" i="126"/>
  <c r="V45" i="126"/>
  <c r="AG34" i="126" s="1"/>
  <c r="W45" i="126"/>
  <c r="X45" i="126"/>
  <c r="Y45" i="126"/>
  <c r="AJ45" i="126" s="1"/>
  <c r="Z45" i="126"/>
  <c r="AA45" i="126"/>
  <c r="AL43" i="126" s="1"/>
  <c r="AB45" i="126"/>
  <c r="AC45" i="126"/>
  <c r="AN45" i="126"/>
  <c r="S46" i="126"/>
  <c r="T46" i="126"/>
  <c r="U46" i="126"/>
  <c r="V46" i="126"/>
  <c r="W46" i="126"/>
  <c r="X46" i="126"/>
  <c r="AI46" i="126" s="1"/>
  <c r="Y46" i="126"/>
  <c r="Z46" i="126"/>
  <c r="AA46" i="126"/>
  <c r="AB46" i="126"/>
  <c r="AC46" i="126"/>
  <c r="AD46" i="126"/>
  <c r="S47" i="126"/>
  <c r="T47" i="126"/>
  <c r="AE30" i="126" s="1"/>
  <c r="U47" i="126"/>
  <c r="V47" i="126"/>
  <c r="W47" i="126"/>
  <c r="X47" i="126"/>
  <c r="Y47" i="126"/>
  <c r="Z47" i="126"/>
  <c r="AK47" i="126" s="1"/>
  <c r="AA47" i="126"/>
  <c r="AB47" i="126"/>
  <c r="AC47" i="126"/>
  <c r="AI47" i="126"/>
  <c r="S48" i="126"/>
  <c r="T48" i="126"/>
  <c r="U48" i="126"/>
  <c r="AF48" i="126" s="1"/>
  <c r="V48" i="126"/>
  <c r="AG48" i="126" s="1"/>
  <c r="W48" i="126"/>
  <c r="X48" i="126"/>
  <c r="Y48" i="126"/>
  <c r="Z48" i="126"/>
  <c r="AA48" i="126"/>
  <c r="AL48" i="126" s="1"/>
  <c r="AB48" i="126"/>
  <c r="AM48" i="126" s="1"/>
  <c r="AC48" i="126"/>
  <c r="S49" i="126"/>
  <c r="T49" i="126"/>
  <c r="U49" i="126"/>
  <c r="V49" i="126"/>
  <c r="W49" i="126"/>
  <c r="AH49" i="126" s="1"/>
  <c r="X49" i="126"/>
  <c r="Y49" i="126"/>
  <c r="Z49" i="126"/>
  <c r="AA49" i="126"/>
  <c r="AB49" i="126"/>
  <c r="AC49" i="126"/>
  <c r="AN49" i="126" s="1"/>
  <c r="AF49" i="126"/>
  <c r="O9" i="126"/>
  <c r="P9" i="126"/>
  <c r="O10" i="126"/>
  <c r="P10" i="126"/>
  <c r="O11" i="126"/>
  <c r="P11" i="126"/>
  <c r="O12" i="126"/>
  <c r="P12" i="126"/>
  <c r="O13" i="126"/>
  <c r="P13" i="126"/>
  <c r="O14" i="126"/>
  <c r="P14" i="126"/>
  <c r="O15" i="126"/>
  <c r="P15" i="126"/>
  <c r="O16" i="126"/>
  <c r="P16" i="126"/>
  <c r="O17" i="126"/>
  <c r="P17" i="126"/>
  <c r="O18" i="126"/>
  <c r="P18" i="126"/>
  <c r="O19" i="126"/>
  <c r="P19" i="126"/>
  <c r="O20" i="126"/>
  <c r="P20" i="126"/>
  <c r="O21" i="126"/>
  <c r="P21" i="126"/>
  <c r="O22" i="126"/>
  <c r="P22" i="126"/>
  <c r="O23" i="126"/>
  <c r="P23" i="126"/>
  <c r="O24" i="126"/>
  <c r="P24" i="126"/>
  <c r="O25" i="126"/>
  <c r="P25" i="126"/>
  <c r="O26" i="126"/>
  <c r="P26" i="126"/>
  <c r="O27" i="126"/>
  <c r="P27" i="126"/>
  <c r="O28" i="126"/>
  <c r="P28" i="126"/>
  <c r="O29" i="126"/>
  <c r="P29" i="126"/>
  <c r="O30" i="126"/>
  <c r="P30" i="126"/>
  <c r="O31" i="126"/>
  <c r="P31" i="126"/>
  <c r="O32" i="126"/>
  <c r="P32" i="126"/>
  <c r="O33" i="126"/>
  <c r="P33" i="126"/>
  <c r="O34" i="126"/>
  <c r="P34" i="126"/>
  <c r="O35" i="126"/>
  <c r="P35" i="126"/>
  <c r="O36" i="126"/>
  <c r="P36" i="126"/>
  <c r="O37" i="126"/>
  <c r="P37" i="126"/>
  <c r="O38" i="126"/>
  <c r="P38" i="126"/>
  <c r="O39" i="126"/>
  <c r="P39" i="126"/>
  <c r="O40" i="126"/>
  <c r="P40" i="126"/>
  <c r="O41" i="126"/>
  <c r="P41" i="126"/>
  <c r="O42" i="126"/>
  <c r="P42" i="126"/>
  <c r="O43" i="126"/>
  <c r="P43" i="126"/>
  <c r="O44" i="126"/>
  <c r="P44" i="126"/>
  <c r="O45" i="126"/>
  <c r="P45" i="126"/>
  <c r="O46" i="126"/>
  <c r="P46" i="126"/>
  <c r="O47" i="126"/>
  <c r="P47" i="126"/>
  <c r="O48" i="126"/>
  <c r="P48" i="126"/>
  <c r="O49" i="126"/>
  <c r="P49" i="126"/>
  <c r="P8" i="126"/>
  <c r="O8" i="126"/>
  <c r="AL6" i="126"/>
  <c r="AJ6" i="126"/>
  <c r="AC6" i="126"/>
  <c r="AB6" i="126"/>
  <c r="AA6" i="126"/>
  <c r="Z6" i="126"/>
  <c r="AK6" i="126" s="1"/>
  <c r="Y6" i="126"/>
  <c r="X6" i="126"/>
  <c r="W6" i="126"/>
  <c r="V6" i="126"/>
  <c r="U6" i="126"/>
  <c r="T6" i="126"/>
  <c r="AE6" i="126" s="1"/>
  <c r="S6" i="126"/>
  <c r="AC5" i="126"/>
  <c r="AB5" i="126"/>
  <c r="AA5" i="126"/>
  <c r="Z5" i="126"/>
  <c r="Y5" i="126"/>
  <c r="X5" i="126"/>
  <c r="W5" i="126"/>
  <c r="V5" i="126"/>
  <c r="U5" i="126"/>
  <c r="T5" i="126"/>
  <c r="S5" i="126"/>
  <c r="Q5" i="126"/>
  <c r="P5" i="126"/>
  <c r="O5" i="126"/>
  <c r="AN4" i="126"/>
  <c r="AM4" i="126"/>
  <c r="AL4" i="126"/>
  <c r="AK4" i="126"/>
  <c r="AJ4" i="126"/>
  <c r="AI4" i="126"/>
  <c r="AH4" i="126"/>
  <c r="AG4" i="126"/>
  <c r="AF4" i="126"/>
  <c r="AE4" i="126"/>
  <c r="AD4" i="126"/>
  <c r="AC4" i="126"/>
  <c r="AB4" i="126"/>
  <c r="AA4" i="126"/>
  <c r="Z4" i="126"/>
  <c r="Y4" i="126"/>
  <c r="X4" i="126"/>
  <c r="W4" i="126"/>
  <c r="V4" i="126"/>
  <c r="U4" i="126"/>
  <c r="T4" i="126"/>
  <c r="S4" i="126"/>
  <c r="N7" i="125"/>
  <c r="O7" i="125"/>
  <c r="P7" i="125"/>
  <c r="Q7" i="125"/>
  <c r="R7" i="125"/>
  <c r="S7" i="125"/>
  <c r="T7" i="125"/>
  <c r="U7" i="125"/>
  <c r="V7" i="125"/>
  <c r="W7" i="125"/>
  <c r="X7" i="125"/>
  <c r="Y7" i="125"/>
  <c r="Z7" i="125"/>
  <c r="AA7" i="125"/>
  <c r="AB7" i="125"/>
  <c r="AC7" i="125"/>
  <c r="AD7" i="125"/>
  <c r="AE7" i="125"/>
  <c r="AF7" i="125"/>
  <c r="AG7" i="125"/>
  <c r="AH7" i="125"/>
  <c r="AI7" i="125"/>
  <c r="AJ7" i="125"/>
  <c r="AK7" i="125"/>
  <c r="N8" i="125"/>
  <c r="O8" i="125"/>
  <c r="P8" i="125"/>
  <c r="Q8" i="125"/>
  <c r="R8" i="125"/>
  <c r="S8" i="125"/>
  <c r="T8" i="125"/>
  <c r="U8" i="125"/>
  <c r="V8" i="125"/>
  <c r="W8" i="125"/>
  <c r="X8" i="125"/>
  <c r="Y8" i="125"/>
  <c r="Z8" i="125"/>
  <c r="AA8" i="125"/>
  <c r="AB8" i="125"/>
  <c r="AC8" i="125"/>
  <c r="AD8" i="125"/>
  <c r="AE8" i="125"/>
  <c r="AF8" i="125"/>
  <c r="AG8" i="125"/>
  <c r="AH8" i="125"/>
  <c r="AI8" i="125"/>
  <c r="AJ8" i="125"/>
  <c r="AK8" i="125"/>
  <c r="N9" i="125"/>
  <c r="O9" i="125"/>
  <c r="P9" i="125"/>
  <c r="Q9" i="125"/>
  <c r="R9" i="125"/>
  <c r="S9" i="125"/>
  <c r="T9" i="125"/>
  <c r="U9" i="125"/>
  <c r="V9" i="125"/>
  <c r="W9" i="125"/>
  <c r="X9" i="125"/>
  <c r="Y9" i="125"/>
  <c r="Z9" i="125"/>
  <c r="AA9" i="125"/>
  <c r="AB9" i="125"/>
  <c r="AC9" i="125"/>
  <c r="AD9" i="125"/>
  <c r="AE9" i="125"/>
  <c r="AF9" i="125"/>
  <c r="AG9" i="125"/>
  <c r="AH9" i="125"/>
  <c r="AI9" i="125"/>
  <c r="AJ9" i="125"/>
  <c r="AK9" i="125"/>
  <c r="N10" i="125"/>
  <c r="O10" i="125"/>
  <c r="P10" i="125"/>
  <c r="Q10" i="125"/>
  <c r="R10" i="125"/>
  <c r="S10" i="125"/>
  <c r="T10" i="125"/>
  <c r="U10" i="125"/>
  <c r="V10" i="125"/>
  <c r="W10" i="125"/>
  <c r="X10" i="125"/>
  <c r="Y10" i="125"/>
  <c r="Z10" i="125"/>
  <c r="AA10" i="125"/>
  <c r="AB10" i="125"/>
  <c r="AC10" i="125"/>
  <c r="AD10" i="125"/>
  <c r="AE10" i="125"/>
  <c r="AF10" i="125"/>
  <c r="AG10" i="125"/>
  <c r="AH10" i="125"/>
  <c r="AI10" i="125"/>
  <c r="AJ10" i="125"/>
  <c r="AK10" i="125"/>
  <c r="N11" i="125"/>
  <c r="O11" i="125"/>
  <c r="P11" i="125"/>
  <c r="Q11" i="125"/>
  <c r="R11" i="125"/>
  <c r="S11" i="125"/>
  <c r="T11" i="125"/>
  <c r="U11" i="125"/>
  <c r="V11" i="125"/>
  <c r="W11" i="125"/>
  <c r="X11" i="125"/>
  <c r="Y11" i="125"/>
  <c r="Z11" i="125"/>
  <c r="AA11" i="125"/>
  <c r="AB11" i="125"/>
  <c r="AC11" i="125"/>
  <c r="AD11" i="125"/>
  <c r="AE11" i="125"/>
  <c r="AF11" i="125"/>
  <c r="AG11" i="125"/>
  <c r="AH11" i="125"/>
  <c r="AI11" i="125"/>
  <c r="AJ11" i="125"/>
  <c r="AK11" i="125"/>
  <c r="N12" i="125"/>
  <c r="O12" i="125"/>
  <c r="P12" i="125"/>
  <c r="Q12" i="125"/>
  <c r="R12" i="125"/>
  <c r="S12" i="125"/>
  <c r="T12" i="125"/>
  <c r="U12" i="125"/>
  <c r="V12" i="125"/>
  <c r="W12" i="125"/>
  <c r="X12" i="125"/>
  <c r="Y12" i="125"/>
  <c r="Z12" i="125"/>
  <c r="AA12" i="125"/>
  <c r="AB12" i="125"/>
  <c r="AC12" i="125"/>
  <c r="AD12" i="125"/>
  <c r="AE12" i="125"/>
  <c r="AF12" i="125"/>
  <c r="AG12" i="125"/>
  <c r="AH12" i="125"/>
  <c r="AI12" i="125"/>
  <c r="AJ12" i="125"/>
  <c r="AK12" i="125"/>
  <c r="N13" i="125"/>
  <c r="O13" i="125"/>
  <c r="P13" i="125"/>
  <c r="Q13" i="125"/>
  <c r="R13" i="125"/>
  <c r="S13" i="125"/>
  <c r="T13" i="125"/>
  <c r="U13" i="125"/>
  <c r="V13" i="125"/>
  <c r="W13" i="125"/>
  <c r="X13" i="125"/>
  <c r="Y13" i="125"/>
  <c r="Z13" i="125"/>
  <c r="AA13" i="125"/>
  <c r="AB13" i="125"/>
  <c r="AC13" i="125"/>
  <c r="AD13" i="125"/>
  <c r="AE13" i="125"/>
  <c r="AF13" i="125"/>
  <c r="AG13" i="125"/>
  <c r="AH13" i="125"/>
  <c r="AI13" i="125"/>
  <c r="AJ13" i="125"/>
  <c r="AK13" i="125"/>
  <c r="N14" i="125"/>
  <c r="O14" i="125"/>
  <c r="P14" i="125"/>
  <c r="Q14" i="125"/>
  <c r="R14" i="125"/>
  <c r="S14" i="125"/>
  <c r="T14" i="125"/>
  <c r="U14" i="125"/>
  <c r="V14" i="125"/>
  <c r="W14" i="125"/>
  <c r="X14" i="125"/>
  <c r="Y14" i="125"/>
  <c r="Z14" i="125"/>
  <c r="AA14" i="125"/>
  <c r="AB14" i="125"/>
  <c r="AC14" i="125"/>
  <c r="AD14" i="125"/>
  <c r="AE14" i="125"/>
  <c r="AF14" i="125"/>
  <c r="AG14" i="125"/>
  <c r="AH14" i="125"/>
  <c r="AI14" i="125"/>
  <c r="AJ14" i="125"/>
  <c r="AK14" i="125"/>
  <c r="N15" i="125"/>
  <c r="O15" i="125"/>
  <c r="P15" i="125"/>
  <c r="Q15" i="125"/>
  <c r="R15" i="125"/>
  <c r="S15" i="125"/>
  <c r="T15" i="125"/>
  <c r="U15" i="125"/>
  <c r="V15" i="125"/>
  <c r="W15" i="125"/>
  <c r="X15" i="125"/>
  <c r="Y15" i="125"/>
  <c r="Z15" i="125"/>
  <c r="AA15" i="125"/>
  <c r="AB15" i="125"/>
  <c r="AC15" i="125"/>
  <c r="AD15" i="125"/>
  <c r="AE15" i="125"/>
  <c r="AF15" i="125"/>
  <c r="AG15" i="125"/>
  <c r="AH15" i="125"/>
  <c r="AI15" i="125"/>
  <c r="AJ15" i="125"/>
  <c r="AK15" i="125"/>
  <c r="N16" i="125"/>
  <c r="O16" i="125"/>
  <c r="P16" i="125"/>
  <c r="Q16" i="125"/>
  <c r="R16" i="125"/>
  <c r="S16" i="125"/>
  <c r="T16" i="125"/>
  <c r="U16" i="125"/>
  <c r="V16" i="125"/>
  <c r="W16" i="125"/>
  <c r="X16" i="125"/>
  <c r="Y16" i="125"/>
  <c r="Z16" i="125"/>
  <c r="AA16" i="125"/>
  <c r="AB16" i="125"/>
  <c r="AC16" i="125"/>
  <c r="AD16" i="125"/>
  <c r="AE16" i="125"/>
  <c r="AF16" i="125"/>
  <c r="AG16" i="125"/>
  <c r="AH16" i="125"/>
  <c r="AI16" i="125"/>
  <c r="AJ16" i="125"/>
  <c r="AK16" i="125"/>
  <c r="N17" i="125"/>
  <c r="O17" i="125"/>
  <c r="P17" i="125"/>
  <c r="Q17" i="125"/>
  <c r="R17" i="125"/>
  <c r="S17" i="125"/>
  <c r="T17" i="125"/>
  <c r="U17" i="125"/>
  <c r="V17" i="125"/>
  <c r="W17" i="125"/>
  <c r="X17" i="125"/>
  <c r="Y17" i="125"/>
  <c r="Z17" i="125"/>
  <c r="AA17" i="125"/>
  <c r="AB17" i="125"/>
  <c r="AC17" i="125"/>
  <c r="AD17" i="125"/>
  <c r="AE17" i="125"/>
  <c r="AF17" i="125"/>
  <c r="AG17" i="125"/>
  <c r="AH17" i="125"/>
  <c r="AI17" i="125"/>
  <c r="AJ17" i="125"/>
  <c r="AK17" i="125"/>
  <c r="N18" i="125"/>
  <c r="O18" i="125"/>
  <c r="P18" i="125"/>
  <c r="Q18" i="125"/>
  <c r="R18" i="125"/>
  <c r="S18" i="125"/>
  <c r="T18" i="125"/>
  <c r="U18" i="125"/>
  <c r="V18" i="125"/>
  <c r="W18" i="125"/>
  <c r="X18" i="125"/>
  <c r="Y18" i="125"/>
  <c r="Z18" i="125"/>
  <c r="AA18" i="125"/>
  <c r="AB18" i="125"/>
  <c r="AC18" i="125"/>
  <c r="AD18" i="125"/>
  <c r="AE18" i="125"/>
  <c r="AF18" i="125"/>
  <c r="AG18" i="125"/>
  <c r="AH18" i="125"/>
  <c r="AI18" i="125"/>
  <c r="AJ18" i="125"/>
  <c r="AK18" i="125"/>
  <c r="N19" i="125"/>
  <c r="O19" i="125"/>
  <c r="P19" i="125"/>
  <c r="Q19" i="125"/>
  <c r="R19" i="125"/>
  <c r="S19" i="125"/>
  <c r="T19" i="125"/>
  <c r="U19" i="125"/>
  <c r="V19" i="125"/>
  <c r="W19" i="125"/>
  <c r="X19" i="125"/>
  <c r="Y19" i="125"/>
  <c r="Z19" i="125"/>
  <c r="AA19" i="125"/>
  <c r="AB19" i="125"/>
  <c r="AC19" i="125"/>
  <c r="AD19" i="125"/>
  <c r="AE19" i="125"/>
  <c r="AF19" i="125"/>
  <c r="AG19" i="125"/>
  <c r="AH19" i="125"/>
  <c r="AI19" i="125"/>
  <c r="AJ19" i="125"/>
  <c r="AK19" i="125"/>
  <c r="N20" i="125"/>
  <c r="O20" i="125"/>
  <c r="P20" i="125"/>
  <c r="Q20" i="125"/>
  <c r="R20" i="125"/>
  <c r="S20" i="125"/>
  <c r="T20" i="125"/>
  <c r="U20" i="125"/>
  <c r="V20" i="125"/>
  <c r="W20" i="125"/>
  <c r="X20" i="125"/>
  <c r="Y20" i="125"/>
  <c r="Z20" i="125"/>
  <c r="AA20" i="125"/>
  <c r="AB20" i="125"/>
  <c r="AC20" i="125"/>
  <c r="AD20" i="125"/>
  <c r="AE20" i="125"/>
  <c r="AF20" i="125"/>
  <c r="AG20" i="125"/>
  <c r="AH20" i="125"/>
  <c r="AI20" i="125"/>
  <c r="AJ20" i="125"/>
  <c r="AK20" i="125"/>
  <c r="N21" i="125"/>
  <c r="O21" i="125"/>
  <c r="P21" i="125"/>
  <c r="Q21" i="125"/>
  <c r="R21" i="125"/>
  <c r="S21" i="125"/>
  <c r="T21" i="125"/>
  <c r="U21" i="125"/>
  <c r="V21" i="125"/>
  <c r="W21" i="125"/>
  <c r="X21" i="125"/>
  <c r="Y21" i="125"/>
  <c r="Z21" i="125"/>
  <c r="AA21" i="125"/>
  <c r="AB21" i="125"/>
  <c r="AC21" i="125"/>
  <c r="AD21" i="125"/>
  <c r="AE21" i="125"/>
  <c r="AF21" i="125"/>
  <c r="AG21" i="125"/>
  <c r="AH21" i="125"/>
  <c r="AI21" i="125"/>
  <c r="AJ21" i="125"/>
  <c r="AK21" i="125"/>
  <c r="N22" i="125"/>
  <c r="O22" i="125"/>
  <c r="P22" i="125"/>
  <c r="Q22" i="125"/>
  <c r="R22" i="125"/>
  <c r="S22" i="125"/>
  <c r="T22" i="125"/>
  <c r="U22" i="125"/>
  <c r="V22" i="125"/>
  <c r="W22" i="125"/>
  <c r="X22" i="125"/>
  <c r="Y22" i="125"/>
  <c r="Z22" i="125"/>
  <c r="AA22" i="125"/>
  <c r="AB22" i="125"/>
  <c r="AC22" i="125"/>
  <c r="AD22" i="125"/>
  <c r="AE22" i="125"/>
  <c r="AF22" i="125"/>
  <c r="AG22" i="125"/>
  <c r="AH22" i="125"/>
  <c r="AI22" i="125"/>
  <c r="AJ22" i="125"/>
  <c r="AK22" i="125"/>
  <c r="N23" i="125"/>
  <c r="O23" i="125"/>
  <c r="P23" i="125"/>
  <c r="Q23" i="125"/>
  <c r="R23" i="125"/>
  <c r="S23" i="125"/>
  <c r="T23" i="125"/>
  <c r="U23" i="125"/>
  <c r="V23" i="125"/>
  <c r="W23" i="125"/>
  <c r="X23" i="125"/>
  <c r="Y23" i="125"/>
  <c r="Z23" i="125"/>
  <c r="AA23" i="125"/>
  <c r="AB23" i="125"/>
  <c r="AC23" i="125"/>
  <c r="AD23" i="125"/>
  <c r="AE23" i="125"/>
  <c r="AF23" i="125"/>
  <c r="AG23" i="125"/>
  <c r="AH23" i="125"/>
  <c r="AI23" i="125"/>
  <c r="AJ23" i="125"/>
  <c r="AK23" i="125"/>
  <c r="N24" i="125"/>
  <c r="O24" i="125"/>
  <c r="P24" i="125"/>
  <c r="Q24" i="125"/>
  <c r="R24" i="125"/>
  <c r="S24" i="125"/>
  <c r="T24" i="125"/>
  <c r="U24" i="125"/>
  <c r="V24" i="125"/>
  <c r="W24" i="125"/>
  <c r="X24" i="125"/>
  <c r="Y24" i="125"/>
  <c r="Z24" i="125"/>
  <c r="AA24" i="125"/>
  <c r="AB24" i="125"/>
  <c r="AC24" i="125"/>
  <c r="AD24" i="125"/>
  <c r="AE24" i="125"/>
  <c r="AF24" i="125"/>
  <c r="AG24" i="125"/>
  <c r="AH24" i="125"/>
  <c r="AI24" i="125"/>
  <c r="AJ24" i="125"/>
  <c r="AK24" i="125"/>
  <c r="N25" i="125"/>
  <c r="O25" i="125"/>
  <c r="P25" i="125"/>
  <c r="Q25" i="125"/>
  <c r="R25" i="125"/>
  <c r="S25" i="125"/>
  <c r="T25" i="125"/>
  <c r="U25" i="125"/>
  <c r="V25" i="125"/>
  <c r="W25" i="125"/>
  <c r="X25" i="125"/>
  <c r="Y25" i="125"/>
  <c r="Z25" i="125"/>
  <c r="AA25" i="125"/>
  <c r="AB25" i="125"/>
  <c r="AC25" i="125"/>
  <c r="AD25" i="125"/>
  <c r="AE25" i="125"/>
  <c r="AF25" i="125"/>
  <c r="AG25" i="125"/>
  <c r="AH25" i="125"/>
  <c r="AI25" i="125"/>
  <c r="AJ25" i="125"/>
  <c r="AK25" i="125"/>
  <c r="N26" i="125"/>
  <c r="O26" i="125"/>
  <c r="P26" i="125"/>
  <c r="Q26" i="125"/>
  <c r="R26" i="125"/>
  <c r="S26" i="125"/>
  <c r="T26" i="125"/>
  <c r="U26" i="125"/>
  <c r="V26" i="125"/>
  <c r="W26" i="125"/>
  <c r="X26" i="125"/>
  <c r="Y26" i="125"/>
  <c r="Z26" i="125"/>
  <c r="AA26" i="125"/>
  <c r="AB26" i="125"/>
  <c r="AC26" i="125"/>
  <c r="AD26" i="125"/>
  <c r="AE26" i="125"/>
  <c r="AF26" i="125"/>
  <c r="AG26" i="125"/>
  <c r="AH26" i="125"/>
  <c r="AI26" i="125"/>
  <c r="AJ26" i="125"/>
  <c r="AK26" i="125"/>
  <c r="N27" i="125"/>
  <c r="O27" i="125"/>
  <c r="P27" i="125"/>
  <c r="Q27" i="125"/>
  <c r="R27" i="125"/>
  <c r="S27" i="125"/>
  <c r="T27" i="125"/>
  <c r="U27" i="125"/>
  <c r="V27" i="125"/>
  <c r="W27" i="125"/>
  <c r="X27" i="125"/>
  <c r="Y27" i="125"/>
  <c r="Z27" i="125"/>
  <c r="AA27" i="125"/>
  <c r="AB27" i="125"/>
  <c r="AC27" i="125"/>
  <c r="AD27" i="125"/>
  <c r="AE27" i="125"/>
  <c r="AF27" i="125"/>
  <c r="AG27" i="125"/>
  <c r="AH27" i="125"/>
  <c r="AI27" i="125"/>
  <c r="AJ27" i="125"/>
  <c r="AK27" i="125"/>
  <c r="N28" i="125"/>
  <c r="O28" i="125"/>
  <c r="P28" i="125"/>
  <c r="Q28" i="125"/>
  <c r="R28" i="125"/>
  <c r="S28" i="125"/>
  <c r="T28" i="125"/>
  <c r="U28" i="125"/>
  <c r="V28" i="125"/>
  <c r="W28" i="125"/>
  <c r="X28" i="125"/>
  <c r="Y28" i="125"/>
  <c r="Z28" i="125"/>
  <c r="AA28" i="125"/>
  <c r="AB28" i="125"/>
  <c r="AC28" i="125"/>
  <c r="AD28" i="125"/>
  <c r="AE28" i="125"/>
  <c r="AF28" i="125"/>
  <c r="AG28" i="125"/>
  <c r="AH28" i="125"/>
  <c r="AI28" i="125"/>
  <c r="AJ28" i="125"/>
  <c r="AK28" i="125"/>
  <c r="N29" i="125"/>
  <c r="O29" i="125"/>
  <c r="P29" i="125"/>
  <c r="Q29" i="125"/>
  <c r="R29" i="125"/>
  <c r="S29" i="125"/>
  <c r="T29" i="125"/>
  <c r="U29" i="125"/>
  <c r="V29" i="125"/>
  <c r="W29" i="125"/>
  <c r="X29" i="125"/>
  <c r="Y29" i="125"/>
  <c r="Z29" i="125"/>
  <c r="AA29" i="125"/>
  <c r="AB29" i="125"/>
  <c r="AC29" i="125"/>
  <c r="AD29" i="125"/>
  <c r="AE29" i="125"/>
  <c r="AF29" i="125"/>
  <c r="AG29" i="125"/>
  <c r="AH29" i="125"/>
  <c r="AI29" i="125"/>
  <c r="AJ29" i="125"/>
  <c r="AK29" i="125"/>
  <c r="N30" i="125"/>
  <c r="O30" i="125"/>
  <c r="P30" i="125"/>
  <c r="Q30" i="125"/>
  <c r="R30" i="125"/>
  <c r="S30" i="125"/>
  <c r="T30" i="125"/>
  <c r="U30" i="125"/>
  <c r="V30" i="125"/>
  <c r="W30" i="125"/>
  <c r="X30" i="125"/>
  <c r="Y30" i="125"/>
  <c r="Z30" i="125"/>
  <c r="AA30" i="125"/>
  <c r="AB30" i="125"/>
  <c r="AC30" i="125"/>
  <c r="AD30" i="125"/>
  <c r="AE30" i="125"/>
  <c r="AF30" i="125"/>
  <c r="AG30" i="125"/>
  <c r="AH30" i="125"/>
  <c r="AI30" i="125"/>
  <c r="AJ30" i="125"/>
  <c r="AK30" i="125"/>
  <c r="N31" i="125"/>
  <c r="O31" i="125"/>
  <c r="P31" i="125"/>
  <c r="Q31" i="125"/>
  <c r="R31" i="125"/>
  <c r="S31" i="125"/>
  <c r="T31" i="125"/>
  <c r="U31" i="125"/>
  <c r="V31" i="125"/>
  <c r="W31" i="125"/>
  <c r="X31" i="125"/>
  <c r="Y31" i="125"/>
  <c r="Z31" i="125"/>
  <c r="AA31" i="125"/>
  <c r="AB31" i="125"/>
  <c r="AC31" i="125"/>
  <c r="AD31" i="125"/>
  <c r="AE31" i="125"/>
  <c r="AF31" i="125"/>
  <c r="AG31" i="125"/>
  <c r="AH31" i="125"/>
  <c r="AI31" i="125"/>
  <c r="AJ31" i="125"/>
  <c r="AK31" i="125"/>
  <c r="AK6" i="125"/>
  <c r="AJ6" i="125"/>
  <c r="AI6" i="125"/>
  <c r="AH6" i="125"/>
  <c r="AG6" i="125"/>
  <c r="AF6" i="125"/>
  <c r="AE6" i="125"/>
  <c r="AD6" i="125"/>
  <c r="AC6" i="125"/>
  <c r="AB6" i="125"/>
  <c r="AA6" i="125"/>
  <c r="Z6" i="125"/>
  <c r="Y6" i="125"/>
  <c r="X6" i="125"/>
  <c r="W6" i="125"/>
  <c r="V6" i="125"/>
  <c r="U6" i="125"/>
  <c r="T6" i="125"/>
  <c r="S6" i="125"/>
  <c r="R6" i="125"/>
  <c r="Q6" i="125"/>
  <c r="P6" i="125"/>
  <c r="O6" i="125"/>
  <c r="N6" i="125"/>
  <c r="AK4" i="125"/>
  <c r="AJ4" i="125"/>
  <c r="AI4" i="125"/>
  <c r="AH4" i="125"/>
  <c r="AG4" i="125"/>
  <c r="AF4" i="125"/>
  <c r="AE4" i="125"/>
  <c r="AD4" i="125"/>
  <c r="AC4" i="125"/>
  <c r="AB4" i="125"/>
  <c r="AA4" i="125"/>
  <c r="Z4" i="125"/>
  <c r="Y4" i="125"/>
  <c r="X4" i="125"/>
  <c r="W4" i="125"/>
  <c r="V4" i="125"/>
  <c r="U4" i="125"/>
  <c r="T4" i="125"/>
  <c r="S4" i="125"/>
  <c r="R4" i="125"/>
  <c r="Q4" i="125"/>
  <c r="P4" i="125"/>
  <c r="AA7" i="124"/>
  <c r="AB7" i="124"/>
  <c r="AC7" i="124"/>
  <c r="AD7" i="124"/>
  <c r="AE7" i="124"/>
  <c r="AF7" i="124"/>
  <c r="AG7" i="124"/>
  <c r="AH7" i="124"/>
  <c r="AI7" i="124"/>
  <c r="AJ7" i="124"/>
  <c r="AK7" i="124"/>
  <c r="AA8" i="124"/>
  <c r="AB8" i="124"/>
  <c r="AC8" i="124"/>
  <c r="AD8" i="124"/>
  <c r="AE8" i="124"/>
  <c r="AF8" i="124"/>
  <c r="AG8" i="124"/>
  <c r="AH8" i="124"/>
  <c r="AI8" i="124"/>
  <c r="AJ8" i="124"/>
  <c r="AK8" i="124"/>
  <c r="AA9" i="124"/>
  <c r="AB9" i="124"/>
  <c r="AC9" i="124"/>
  <c r="AD9" i="124"/>
  <c r="AE9" i="124"/>
  <c r="AF9" i="124"/>
  <c r="AG9" i="124"/>
  <c r="AH9" i="124"/>
  <c r="AI9" i="124"/>
  <c r="AJ9" i="124"/>
  <c r="AK9" i="124"/>
  <c r="AA10" i="124"/>
  <c r="AB10" i="124"/>
  <c r="AC10" i="124"/>
  <c r="AD10" i="124"/>
  <c r="AE10" i="124"/>
  <c r="AF10" i="124"/>
  <c r="AG10" i="124"/>
  <c r="AH10" i="124"/>
  <c r="AI10" i="124"/>
  <c r="AJ10" i="124"/>
  <c r="AK10" i="124"/>
  <c r="AA11" i="124"/>
  <c r="AB11" i="124"/>
  <c r="AC11" i="124"/>
  <c r="AD11" i="124"/>
  <c r="AE11" i="124"/>
  <c r="AF11" i="124"/>
  <c r="AG11" i="124"/>
  <c r="AH11" i="124"/>
  <c r="AI11" i="124"/>
  <c r="AJ11" i="124"/>
  <c r="AK11" i="124"/>
  <c r="AA12" i="124"/>
  <c r="AB12" i="124"/>
  <c r="AC12" i="124"/>
  <c r="AD12" i="124"/>
  <c r="AE12" i="124"/>
  <c r="AF12" i="124"/>
  <c r="AG12" i="124"/>
  <c r="AH12" i="124"/>
  <c r="AI12" i="124"/>
  <c r="AJ12" i="124"/>
  <c r="AK12" i="124"/>
  <c r="AA13" i="124"/>
  <c r="AB13" i="124"/>
  <c r="AC13" i="124"/>
  <c r="AD13" i="124"/>
  <c r="AE13" i="124"/>
  <c r="AF13" i="124"/>
  <c r="AG13" i="124"/>
  <c r="AH13" i="124"/>
  <c r="AI13" i="124"/>
  <c r="AJ13" i="124"/>
  <c r="AK13" i="124"/>
  <c r="AA14" i="124"/>
  <c r="AB14" i="124"/>
  <c r="AC14" i="124"/>
  <c r="AD14" i="124"/>
  <c r="AE14" i="124"/>
  <c r="AF14" i="124"/>
  <c r="AG14" i="124"/>
  <c r="AH14" i="124"/>
  <c r="AI14" i="124"/>
  <c r="AJ14" i="124"/>
  <c r="AK14" i="124"/>
  <c r="AA15" i="124"/>
  <c r="AB15" i="124"/>
  <c r="AC15" i="124"/>
  <c r="AD15" i="124"/>
  <c r="AE15" i="124"/>
  <c r="AF15" i="124"/>
  <c r="AG15" i="124"/>
  <c r="AH15" i="124"/>
  <c r="AI15" i="124"/>
  <c r="AJ15" i="124"/>
  <c r="AK15" i="124"/>
  <c r="AA16" i="124"/>
  <c r="AB16" i="124"/>
  <c r="AC16" i="124"/>
  <c r="AD16" i="124"/>
  <c r="AE16" i="124"/>
  <c r="AF16" i="124"/>
  <c r="AG16" i="124"/>
  <c r="AH16" i="124"/>
  <c r="AI16" i="124"/>
  <c r="AJ16" i="124"/>
  <c r="AK16" i="124"/>
  <c r="AA17" i="124"/>
  <c r="AB17" i="124"/>
  <c r="AC17" i="124"/>
  <c r="AD17" i="124"/>
  <c r="AE17" i="124"/>
  <c r="AF17" i="124"/>
  <c r="AG17" i="124"/>
  <c r="AH17" i="124"/>
  <c r="AI17" i="124"/>
  <c r="AJ17" i="124"/>
  <c r="AK17" i="124"/>
  <c r="AA18" i="124"/>
  <c r="AB18" i="124"/>
  <c r="AC18" i="124"/>
  <c r="AD18" i="124"/>
  <c r="AE18" i="124"/>
  <c r="AF18" i="124"/>
  <c r="AG18" i="124"/>
  <c r="AH18" i="124"/>
  <c r="AI18" i="124"/>
  <c r="AJ18" i="124"/>
  <c r="AK18" i="124"/>
  <c r="AA19" i="124"/>
  <c r="AB19" i="124"/>
  <c r="AC19" i="124"/>
  <c r="AD19" i="124"/>
  <c r="AE19" i="124"/>
  <c r="AF19" i="124"/>
  <c r="AG19" i="124"/>
  <c r="AH19" i="124"/>
  <c r="AI19" i="124"/>
  <c r="AJ19" i="124"/>
  <c r="AK19" i="124"/>
  <c r="AA20" i="124"/>
  <c r="AB20" i="124"/>
  <c r="AC20" i="124"/>
  <c r="AD20" i="124"/>
  <c r="AE20" i="124"/>
  <c r="AF20" i="124"/>
  <c r="AG20" i="124"/>
  <c r="AH20" i="124"/>
  <c r="AI20" i="124"/>
  <c r="AJ20" i="124"/>
  <c r="AK20" i="124"/>
  <c r="AA21" i="124"/>
  <c r="AB21" i="124"/>
  <c r="AC21" i="124"/>
  <c r="AD21" i="124"/>
  <c r="AE21" i="124"/>
  <c r="AF21" i="124"/>
  <c r="AG21" i="124"/>
  <c r="AH21" i="124"/>
  <c r="AI21" i="124"/>
  <c r="AJ21" i="124"/>
  <c r="AK21" i="124"/>
  <c r="AA22" i="124"/>
  <c r="AB22" i="124"/>
  <c r="AC22" i="124"/>
  <c r="AD22" i="124"/>
  <c r="AE22" i="124"/>
  <c r="AF22" i="124"/>
  <c r="AG22" i="124"/>
  <c r="AH22" i="124"/>
  <c r="AI22" i="124"/>
  <c r="AJ22" i="124"/>
  <c r="AK22" i="124"/>
  <c r="AA23" i="124"/>
  <c r="AB23" i="124"/>
  <c r="AC23" i="124"/>
  <c r="AD23" i="124"/>
  <c r="AE23" i="124"/>
  <c r="AF23" i="124"/>
  <c r="AG23" i="124"/>
  <c r="AH23" i="124"/>
  <c r="AI23" i="124"/>
  <c r="AJ23" i="124"/>
  <c r="AK23" i="124"/>
  <c r="AA24" i="124"/>
  <c r="AB24" i="124"/>
  <c r="AC24" i="124"/>
  <c r="AD24" i="124"/>
  <c r="AE24" i="124"/>
  <c r="AF24" i="124"/>
  <c r="AG24" i="124"/>
  <c r="AH24" i="124"/>
  <c r="AI24" i="124"/>
  <c r="AJ24" i="124"/>
  <c r="AK24" i="124"/>
  <c r="AA25" i="124"/>
  <c r="AB25" i="124"/>
  <c r="AC25" i="124"/>
  <c r="AD25" i="124"/>
  <c r="AE25" i="124"/>
  <c r="AF25" i="124"/>
  <c r="AG25" i="124"/>
  <c r="AH25" i="124"/>
  <c r="AI25" i="124"/>
  <c r="AJ25" i="124"/>
  <c r="AK25" i="124"/>
  <c r="AA26" i="124"/>
  <c r="AB26" i="124"/>
  <c r="AC26" i="124"/>
  <c r="AD26" i="124"/>
  <c r="AE26" i="124"/>
  <c r="AF26" i="124"/>
  <c r="AG26" i="124"/>
  <c r="AH26" i="124"/>
  <c r="AI26" i="124"/>
  <c r="AJ26" i="124"/>
  <c r="AK26" i="124"/>
  <c r="AA27" i="124"/>
  <c r="AB27" i="124"/>
  <c r="AC27" i="124"/>
  <c r="AD27" i="124"/>
  <c r="AE27" i="124"/>
  <c r="AF27" i="124"/>
  <c r="AG27" i="124"/>
  <c r="AH27" i="124"/>
  <c r="AI27" i="124"/>
  <c r="AJ27" i="124"/>
  <c r="AK27" i="124"/>
  <c r="AA28" i="124"/>
  <c r="AB28" i="124"/>
  <c r="AC28" i="124"/>
  <c r="AD28" i="124"/>
  <c r="AE28" i="124"/>
  <c r="AF28" i="124"/>
  <c r="AG28" i="124"/>
  <c r="AH28" i="124"/>
  <c r="AI28" i="124"/>
  <c r="AJ28" i="124"/>
  <c r="AK28" i="124"/>
  <c r="AA29" i="124"/>
  <c r="AB29" i="124"/>
  <c r="AC29" i="124"/>
  <c r="AD29" i="124"/>
  <c r="AE29" i="124"/>
  <c r="AF29" i="124"/>
  <c r="AG29" i="124"/>
  <c r="AH29" i="124"/>
  <c r="AI29" i="124"/>
  <c r="AJ29" i="124"/>
  <c r="AK29" i="124"/>
  <c r="AA30" i="124"/>
  <c r="AB30" i="124"/>
  <c r="AC30" i="124"/>
  <c r="AD30" i="124"/>
  <c r="AE30" i="124"/>
  <c r="AF30" i="124"/>
  <c r="AG30" i="124"/>
  <c r="AH30" i="124"/>
  <c r="AI30" i="124"/>
  <c r="AJ30" i="124"/>
  <c r="AK30" i="124"/>
  <c r="AA31" i="124"/>
  <c r="AB31" i="124"/>
  <c r="AC31" i="124"/>
  <c r="AD31" i="124"/>
  <c r="AE31" i="124"/>
  <c r="AF31" i="124"/>
  <c r="AG31" i="124"/>
  <c r="AH31" i="124"/>
  <c r="AI31" i="124"/>
  <c r="AJ31" i="124"/>
  <c r="AK31" i="124"/>
  <c r="AK4" i="124"/>
  <c r="AK6" i="124"/>
  <c r="AB4" i="124"/>
  <c r="AC4" i="124"/>
  <c r="AD4" i="124"/>
  <c r="AE4" i="124"/>
  <c r="AF4" i="124"/>
  <c r="AG4" i="124"/>
  <c r="AH4" i="124"/>
  <c r="AI4" i="124"/>
  <c r="AJ4" i="124"/>
  <c r="AB6" i="124"/>
  <c r="AC6" i="124"/>
  <c r="AD6" i="124"/>
  <c r="AE6" i="124"/>
  <c r="AF6" i="124"/>
  <c r="AG6" i="124"/>
  <c r="AH6" i="124"/>
  <c r="AI6" i="124"/>
  <c r="AJ6" i="124"/>
  <c r="AA6" i="124"/>
  <c r="AA4" i="124"/>
  <c r="N7" i="124"/>
  <c r="O7" i="124"/>
  <c r="P7" i="124"/>
  <c r="Q7" i="124"/>
  <c r="R7" i="124"/>
  <c r="S7" i="124"/>
  <c r="T7" i="124"/>
  <c r="U7" i="124"/>
  <c r="V7" i="124"/>
  <c r="W7" i="124"/>
  <c r="X7" i="124"/>
  <c r="Y7" i="124"/>
  <c r="Z7" i="124"/>
  <c r="N8" i="124"/>
  <c r="O8" i="124"/>
  <c r="P8" i="124"/>
  <c r="Q8" i="124"/>
  <c r="R8" i="124"/>
  <c r="S8" i="124"/>
  <c r="T8" i="124"/>
  <c r="U8" i="124"/>
  <c r="V8" i="124"/>
  <c r="W8" i="124"/>
  <c r="X8" i="124"/>
  <c r="Y8" i="124"/>
  <c r="Z8" i="124"/>
  <c r="N9" i="124"/>
  <c r="O9" i="124"/>
  <c r="P9" i="124"/>
  <c r="Q9" i="124"/>
  <c r="R9" i="124"/>
  <c r="S9" i="124"/>
  <c r="T9" i="124"/>
  <c r="U9" i="124"/>
  <c r="V9" i="124"/>
  <c r="W9" i="124"/>
  <c r="X9" i="124"/>
  <c r="Y9" i="124"/>
  <c r="Z9" i="124"/>
  <c r="N10" i="124"/>
  <c r="O10" i="124"/>
  <c r="P10" i="124"/>
  <c r="Q10" i="124"/>
  <c r="R10" i="124"/>
  <c r="S10" i="124"/>
  <c r="T10" i="124"/>
  <c r="U10" i="124"/>
  <c r="V10" i="124"/>
  <c r="W10" i="124"/>
  <c r="X10" i="124"/>
  <c r="Y10" i="124"/>
  <c r="Z10" i="124"/>
  <c r="N11" i="124"/>
  <c r="O11" i="124"/>
  <c r="P11" i="124"/>
  <c r="Q11" i="124"/>
  <c r="R11" i="124"/>
  <c r="S11" i="124"/>
  <c r="T11" i="124"/>
  <c r="U11" i="124"/>
  <c r="V11" i="124"/>
  <c r="W11" i="124"/>
  <c r="X11" i="124"/>
  <c r="Y11" i="124"/>
  <c r="Z11" i="124"/>
  <c r="N12" i="124"/>
  <c r="O12" i="124"/>
  <c r="P12" i="124"/>
  <c r="Q12" i="124"/>
  <c r="R12" i="124"/>
  <c r="S12" i="124"/>
  <c r="T12" i="124"/>
  <c r="U12" i="124"/>
  <c r="V12" i="124"/>
  <c r="W12" i="124"/>
  <c r="X12" i="124"/>
  <c r="Y12" i="124"/>
  <c r="Z12" i="124"/>
  <c r="N13" i="124"/>
  <c r="O13" i="124"/>
  <c r="P13" i="124"/>
  <c r="Q13" i="124"/>
  <c r="R13" i="124"/>
  <c r="S13" i="124"/>
  <c r="T13" i="124"/>
  <c r="U13" i="124"/>
  <c r="V13" i="124"/>
  <c r="W13" i="124"/>
  <c r="X13" i="124"/>
  <c r="Y13" i="124"/>
  <c r="Z13" i="124"/>
  <c r="N14" i="124"/>
  <c r="O14" i="124"/>
  <c r="P14" i="124"/>
  <c r="Q14" i="124"/>
  <c r="R14" i="124"/>
  <c r="S14" i="124"/>
  <c r="T14" i="124"/>
  <c r="U14" i="124"/>
  <c r="V14" i="124"/>
  <c r="W14" i="124"/>
  <c r="X14" i="124"/>
  <c r="Y14" i="124"/>
  <c r="Z14" i="124"/>
  <c r="N15" i="124"/>
  <c r="O15" i="124"/>
  <c r="P15" i="124"/>
  <c r="Q15" i="124"/>
  <c r="R15" i="124"/>
  <c r="S15" i="124"/>
  <c r="T15" i="124"/>
  <c r="U15" i="124"/>
  <c r="V15" i="124"/>
  <c r="W15" i="124"/>
  <c r="X15" i="124"/>
  <c r="Y15" i="124"/>
  <c r="Z15" i="124"/>
  <c r="N16" i="124"/>
  <c r="O16" i="124"/>
  <c r="P16" i="124"/>
  <c r="Q16" i="124"/>
  <c r="R16" i="124"/>
  <c r="S16" i="124"/>
  <c r="T16" i="124"/>
  <c r="U16" i="124"/>
  <c r="V16" i="124"/>
  <c r="W16" i="124"/>
  <c r="X16" i="124"/>
  <c r="Y16" i="124"/>
  <c r="Z16" i="124"/>
  <c r="N17" i="124"/>
  <c r="O17" i="124"/>
  <c r="P17" i="124"/>
  <c r="Q17" i="124"/>
  <c r="R17" i="124"/>
  <c r="S17" i="124"/>
  <c r="T17" i="124"/>
  <c r="U17" i="124"/>
  <c r="V17" i="124"/>
  <c r="W17" i="124"/>
  <c r="X17" i="124"/>
  <c r="Y17" i="124"/>
  <c r="Z17" i="124"/>
  <c r="N18" i="124"/>
  <c r="O18" i="124"/>
  <c r="P18" i="124"/>
  <c r="Q18" i="124"/>
  <c r="R18" i="124"/>
  <c r="S18" i="124"/>
  <c r="T18" i="124"/>
  <c r="U18" i="124"/>
  <c r="V18" i="124"/>
  <c r="W18" i="124"/>
  <c r="X18" i="124"/>
  <c r="Y18" i="124"/>
  <c r="Z18" i="124"/>
  <c r="N19" i="124"/>
  <c r="O19" i="124"/>
  <c r="P19" i="124"/>
  <c r="Q19" i="124"/>
  <c r="R19" i="124"/>
  <c r="S19" i="124"/>
  <c r="T19" i="124"/>
  <c r="U19" i="124"/>
  <c r="V19" i="124"/>
  <c r="W19" i="124"/>
  <c r="X19" i="124"/>
  <c r="Y19" i="124"/>
  <c r="Z19" i="124"/>
  <c r="N20" i="124"/>
  <c r="O20" i="124"/>
  <c r="P20" i="124"/>
  <c r="Q20" i="124"/>
  <c r="R20" i="124"/>
  <c r="S20" i="124"/>
  <c r="T20" i="124"/>
  <c r="U20" i="124"/>
  <c r="V20" i="124"/>
  <c r="W20" i="124"/>
  <c r="X20" i="124"/>
  <c r="Y20" i="124"/>
  <c r="Z20" i="124"/>
  <c r="N21" i="124"/>
  <c r="O21" i="124"/>
  <c r="P21" i="124"/>
  <c r="Q21" i="124"/>
  <c r="R21" i="124"/>
  <c r="S21" i="124"/>
  <c r="T21" i="124"/>
  <c r="U21" i="124"/>
  <c r="V21" i="124"/>
  <c r="W21" i="124"/>
  <c r="X21" i="124"/>
  <c r="Y21" i="124"/>
  <c r="Z21" i="124"/>
  <c r="N22" i="124"/>
  <c r="O22" i="124"/>
  <c r="P22" i="124"/>
  <c r="Q22" i="124"/>
  <c r="R22" i="124"/>
  <c r="S22" i="124"/>
  <c r="T22" i="124"/>
  <c r="U22" i="124"/>
  <c r="V22" i="124"/>
  <c r="W22" i="124"/>
  <c r="X22" i="124"/>
  <c r="Y22" i="124"/>
  <c r="Z22" i="124"/>
  <c r="N23" i="124"/>
  <c r="O23" i="124"/>
  <c r="P23" i="124"/>
  <c r="Q23" i="124"/>
  <c r="R23" i="124"/>
  <c r="S23" i="124"/>
  <c r="T23" i="124"/>
  <c r="U23" i="124"/>
  <c r="V23" i="124"/>
  <c r="W23" i="124"/>
  <c r="X23" i="124"/>
  <c r="Y23" i="124"/>
  <c r="Z23" i="124"/>
  <c r="N24" i="124"/>
  <c r="O24" i="124"/>
  <c r="P24" i="124"/>
  <c r="Q24" i="124"/>
  <c r="R24" i="124"/>
  <c r="S24" i="124"/>
  <c r="T24" i="124"/>
  <c r="U24" i="124"/>
  <c r="V24" i="124"/>
  <c r="W24" i="124"/>
  <c r="X24" i="124"/>
  <c r="Y24" i="124"/>
  <c r="Z24" i="124"/>
  <c r="N25" i="124"/>
  <c r="O25" i="124"/>
  <c r="P25" i="124"/>
  <c r="Q25" i="124"/>
  <c r="R25" i="124"/>
  <c r="S25" i="124"/>
  <c r="T25" i="124"/>
  <c r="U25" i="124"/>
  <c r="V25" i="124"/>
  <c r="W25" i="124"/>
  <c r="X25" i="124"/>
  <c r="Y25" i="124"/>
  <c r="Z25" i="124"/>
  <c r="N26" i="124"/>
  <c r="O26" i="124"/>
  <c r="P26" i="124"/>
  <c r="Q26" i="124"/>
  <c r="R26" i="124"/>
  <c r="S26" i="124"/>
  <c r="T26" i="124"/>
  <c r="U26" i="124"/>
  <c r="V26" i="124"/>
  <c r="W26" i="124"/>
  <c r="X26" i="124"/>
  <c r="Y26" i="124"/>
  <c r="Z26" i="124"/>
  <c r="N27" i="124"/>
  <c r="O27" i="124"/>
  <c r="P27" i="124"/>
  <c r="Q27" i="124"/>
  <c r="R27" i="124"/>
  <c r="S27" i="124"/>
  <c r="T27" i="124"/>
  <c r="U27" i="124"/>
  <c r="V27" i="124"/>
  <c r="W27" i="124"/>
  <c r="X27" i="124"/>
  <c r="Y27" i="124"/>
  <c r="Z27" i="124"/>
  <c r="N28" i="124"/>
  <c r="O28" i="124"/>
  <c r="P28" i="124"/>
  <c r="Q28" i="124"/>
  <c r="R28" i="124"/>
  <c r="S28" i="124"/>
  <c r="T28" i="124"/>
  <c r="U28" i="124"/>
  <c r="V28" i="124"/>
  <c r="W28" i="124"/>
  <c r="X28" i="124"/>
  <c r="Y28" i="124"/>
  <c r="Z28" i="124"/>
  <c r="N29" i="124"/>
  <c r="O29" i="124"/>
  <c r="P29" i="124"/>
  <c r="Q29" i="124"/>
  <c r="R29" i="124"/>
  <c r="S29" i="124"/>
  <c r="T29" i="124"/>
  <c r="U29" i="124"/>
  <c r="V29" i="124"/>
  <c r="W29" i="124"/>
  <c r="X29" i="124"/>
  <c r="Y29" i="124"/>
  <c r="Z29" i="124"/>
  <c r="N30" i="124"/>
  <c r="O30" i="124"/>
  <c r="P30" i="124"/>
  <c r="Q30" i="124"/>
  <c r="R30" i="124"/>
  <c r="S30" i="124"/>
  <c r="T30" i="124"/>
  <c r="U30" i="124"/>
  <c r="V30" i="124"/>
  <c r="W30" i="124"/>
  <c r="X30" i="124"/>
  <c r="Y30" i="124"/>
  <c r="Z30" i="124"/>
  <c r="N31" i="124"/>
  <c r="O31" i="124"/>
  <c r="P31" i="124"/>
  <c r="Q31" i="124"/>
  <c r="R31" i="124"/>
  <c r="S31" i="124"/>
  <c r="T31" i="124"/>
  <c r="U31" i="124"/>
  <c r="V31" i="124"/>
  <c r="W31" i="124"/>
  <c r="X31" i="124"/>
  <c r="Y31" i="124"/>
  <c r="Z31" i="124"/>
  <c r="Q6" i="124"/>
  <c r="R6" i="124"/>
  <c r="S6" i="124"/>
  <c r="T6" i="124"/>
  <c r="U6" i="124"/>
  <c r="V6" i="124"/>
  <c r="W6" i="124"/>
  <c r="X6" i="124"/>
  <c r="Y6" i="124"/>
  <c r="Z6" i="124"/>
  <c r="P6" i="124"/>
  <c r="O6" i="124"/>
  <c r="N6" i="124"/>
  <c r="Y4" i="124"/>
  <c r="Z4" i="124"/>
  <c r="Q4" i="124"/>
  <c r="R4" i="124"/>
  <c r="S4" i="124"/>
  <c r="T4" i="124"/>
  <c r="U4" i="124"/>
  <c r="V4" i="124"/>
  <c r="W4" i="124"/>
  <c r="X4" i="124"/>
  <c r="P4" i="124"/>
  <c r="AI31" i="128" l="1"/>
  <c r="AM29" i="128"/>
  <c r="AG29" i="128"/>
  <c r="AE27" i="128"/>
  <c r="AI27" i="128"/>
  <c r="AK24" i="128"/>
  <c r="AM23" i="128"/>
  <c r="AG23" i="128"/>
  <c r="AE21" i="128"/>
  <c r="AI21" i="128"/>
  <c r="AK18" i="128"/>
  <c r="AM17" i="128"/>
  <c r="AG17" i="128"/>
  <c r="AM16" i="128"/>
  <c r="AG16" i="128"/>
  <c r="AK14" i="128"/>
  <c r="AE14" i="128"/>
  <c r="AI12" i="128"/>
  <c r="AM10" i="128"/>
  <c r="AG10" i="128"/>
  <c r="AG5" i="128"/>
  <c r="AM5" i="128"/>
  <c r="AD7" i="128"/>
  <c r="AJ7" i="128"/>
  <c r="AH8" i="128"/>
  <c r="AN8" i="128"/>
  <c r="AE44" i="128"/>
  <c r="AK41" i="128"/>
  <c r="AK39" i="128"/>
  <c r="AK37" i="128"/>
  <c r="AK35" i="128"/>
  <c r="AK33" i="128"/>
  <c r="AK31" i="128"/>
  <c r="AM28" i="128"/>
  <c r="AG28" i="128"/>
  <c r="AN27" i="128"/>
  <c r="AI26" i="128"/>
  <c r="AJ25" i="128"/>
  <c r="AD25" i="128"/>
  <c r="AH24" i="128"/>
  <c r="AM22" i="128"/>
  <c r="AG22" i="128"/>
  <c r="AN21" i="128"/>
  <c r="AI20" i="128"/>
  <c r="AJ19" i="128"/>
  <c r="AD19" i="128"/>
  <c r="AH18" i="128"/>
  <c r="AK15" i="128"/>
  <c r="AE15" i="128"/>
  <c r="AH14" i="128"/>
  <c r="AJ14" i="128"/>
  <c r="AD14" i="128"/>
  <c r="AI13" i="128"/>
  <c r="AM11" i="128"/>
  <c r="AG11" i="128"/>
  <c r="AN10" i="128"/>
  <c r="AI41" i="128"/>
  <c r="AI35" i="128"/>
  <c r="AE7" i="128"/>
  <c r="AK7" i="128"/>
  <c r="AG9" i="128"/>
  <c r="AM9" i="128"/>
  <c r="AM49" i="128"/>
  <c r="AG49" i="128"/>
  <c r="AK47" i="128"/>
  <c r="AI46" i="128"/>
  <c r="AM46" i="128"/>
  <c r="AG46" i="128"/>
  <c r="AK44" i="128"/>
  <c r="AD44" i="128"/>
  <c r="AM43" i="128"/>
  <c r="AG43" i="128"/>
  <c r="AN42" i="128"/>
  <c r="AE42" i="128"/>
  <c r="AJ41" i="128"/>
  <c r="AM41" i="128"/>
  <c r="AG41" i="128"/>
  <c r="AN40" i="128"/>
  <c r="AE40" i="128"/>
  <c r="AJ39" i="128"/>
  <c r="AM39" i="128"/>
  <c r="AG39" i="128"/>
  <c r="AN38" i="128"/>
  <c r="AE38" i="128"/>
  <c r="AJ37" i="128"/>
  <c r="AM37" i="128"/>
  <c r="AG37" i="128"/>
  <c r="AN36" i="128"/>
  <c r="AE36" i="128"/>
  <c r="AJ35" i="128"/>
  <c r="AM35" i="128"/>
  <c r="AG35" i="128"/>
  <c r="AN34" i="128"/>
  <c r="AE34" i="128"/>
  <c r="AJ33" i="128"/>
  <c r="AM33" i="128"/>
  <c r="AG33" i="128"/>
  <c r="AN32" i="128"/>
  <c r="AE32" i="128"/>
  <c r="AJ31" i="128"/>
  <c r="AM31" i="128"/>
  <c r="AG31" i="128"/>
  <c r="AN30" i="128"/>
  <c r="AE30" i="128"/>
  <c r="AH29" i="128"/>
  <c r="AM27" i="128"/>
  <c r="AG27" i="128"/>
  <c r="AN26" i="128"/>
  <c r="AI25" i="128"/>
  <c r="AJ24" i="128"/>
  <c r="AD24" i="128"/>
  <c r="AH23" i="128"/>
  <c r="AM21" i="128"/>
  <c r="AG21" i="128"/>
  <c r="AN20" i="128"/>
  <c r="AI19" i="128"/>
  <c r="AJ18" i="128"/>
  <c r="AD18" i="128"/>
  <c r="AH17" i="128"/>
  <c r="AK16" i="128"/>
  <c r="AE16" i="128"/>
  <c r="AH15" i="128"/>
  <c r="AJ15" i="128"/>
  <c r="AD15" i="128"/>
  <c r="AI14" i="128"/>
  <c r="AM12" i="128"/>
  <c r="AG12" i="128"/>
  <c r="AN11" i="128"/>
  <c r="AG45" i="128"/>
  <c r="AI5" i="128"/>
  <c r="AJ47" i="128"/>
  <c r="AH46" i="128"/>
  <c r="AJ44" i="128"/>
  <c r="AH43" i="128"/>
  <c r="AD42" i="128"/>
  <c r="AI42" i="128"/>
  <c r="AH41" i="128"/>
  <c r="AI40" i="128"/>
  <c r="AH39" i="128"/>
  <c r="AI38" i="128"/>
  <c r="AH37" i="128"/>
  <c r="AI36" i="128"/>
  <c r="AH35" i="128"/>
  <c r="AD34" i="128"/>
  <c r="AI34" i="128"/>
  <c r="AH33" i="128"/>
  <c r="AI32" i="128"/>
  <c r="AH31" i="128"/>
  <c r="AI30" i="128"/>
  <c r="AJ29" i="128"/>
  <c r="AD29" i="128"/>
  <c r="AH28" i="128"/>
  <c r="AK27" i="128"/>
  <c r="AM26" i="128"/>
  <c r="AG26" i="128"/>
  <c r="AN25" i="128"/>
  <c r="AE24" i="128"/>
  <c r="AI24" i="128"/>
  <c r="AJ23" i="128"/>
  <c r="AD23" i="128"/>
  <c r="AH22" i="128"/>
  <c r="AK21" i="128"/>
  <c r="AM20" i="128"/>
  <c r="AG20" i="128"/>
  <c r="AN19" i="128"/>
  <c r="AE18" i="128"/>
  <c r="AI18" i="128"/>
  <c r="AJ17" i="128"/>
  <c r="AD17" i="128"/>
  <c r="AH16" i="128"/>
  <c r="AJ16" i="128"/>
  <c r="AD16" i="128"/>
  <c r="AI15" i="128"/>
  <c r="AM13" i="128"/>
  <c r="AG13" i="128"/>
  <c r="AN12" i="128"/>
  <c r="AK11" i="128"/>
  <c r="AE11" i="128"/>
  <c r="AH10" i="128"/>
  <c r="AJ10" i="128"/>
  <c r="AD10" i="128"/>
  <c r="AM45" i="128"/>
  <c r="AI39" i="128"/>
  <c r="AI37" i="128"/>
  <c r="AE5" i="128"/>
  <c r="AD5" i="128"/>
  <c r="AJ5" i="128"/>
  <c r="AI6" i="128"/>
  <c r="AG7" i="128"/>
  <c r="AM7" i="128"/>
  <c r="AE8" i="128"/>
  <c r="AK8" i="128"/>
  <c r="AM47" i="128"/>
  <c r="AG47" i="128"/>
  <c r="AM44" i="128"/>
  <c r="AG44" i="128"/>
  <c r="AN43" i="128"/>
  <c r="AK10" i="128"/>
  <c r="AE10" i="128"/>
  <c r="AI29" i="128"/>
  <c r="AJ28" i="128"/>
  <c r="AD28" i="128"/>
  <c r="AH27" i="128"/>
  <c r="AM25" i="128"/>
  <c r="AG25" i="128"/>
  <c r="AN24" i="128"/>
  <c r="AI23" i="128"/>
  <c r="AJ22" i="128"/>
  <c r="AD22" i="128"/>
  <c r="AH21" i="128"/>
  <c r="AM19" i="128"/>
  <c r="AG19" i="128"/>
  <c r="AN18" i="128"/>
  <c r="AI17" i="128"/>
  <c r="AI16" i="128"/>
  <c r="AM14" i="128"/>
  <c r="AG14" i="128"/>
  <c r="AN13" i="128"/>
  <c r="AK12" i="128"/>
  <c r="AE12" i="128"/>
  <c r="AH11" i="128"/>
  <c r="AJ11" i="128"/>
  <c r="AD11" i="128"/>
  <c r="AI10" i="128"/>
  <c r="AI33" i="128"/>
  <c r="AG6" i="128"/>
  <c r="AE49" i="128"/>
  <c r="AE46" i="128"/>
  <c r="AH44" i="128"/>
  <c r="AE43" i="128"/>
  <c r="AM42" i="128"/>
  <c r="AG42" i="128"/>
  <c r="AN41" i="128"/>
  <c r="AE41" i="128"/>
  <c r="AM40" i="128"/>
  <c r="AG40" i="128"/>
  <c r="AN39" i="128"/>
  <c r="AE39" i="128"/>
  <c r="AM38" i="128"/>
  <c r="AG38" i="128"/>
  <c r="AN37" i="128"/>
  <c r="AE37" i="128"/>
  <c r="AM36" i="128"/>
  <c r="AG36" i="128"/>
  <c r="AN35" i="128"/>
  <c r="AE35" i="128"/>
  <c r="AM34" i="128"/>
  <c r="AG34" i="128"/>
  <c r="AN33" i="128"/>
  <c r="AE33" i="128"/>
  <c r="AJ6" i="128"/>
  <c r="AM32" i="128"/>
  <c r="AG32" i="128"/>
  <c r="AN31" i="128"/>
  <c r="AM30" i="128"/>
  <c r="AG30" i="128"/>
  <c r="AN29" i="128"/>
  <c r="AI28" i="128"/>
  <c r="AJ27" i="128"/>
  <c r="AD27" i="128"/>
  <c r="AH26" i="128"/>
  <c r="AM24" i="128"/>
  <c r="AG24" i="128"/>
  <c r="AN23" i="128"/>
  <c r="AI22" i="128"/>
  <c r="AJ21" i="128"/>
  <c r="AD21" i="128"/>
  <c r="AH20" i="128"/>
  <c r="AM18" i="128"/>
  <c r="AG18" i="128"/>
  <c r="AN17" i="128"/>
  <c r="AM15" i="128"/>
  <c r="AG15" i="128"/>
  <c r="AK13" i="128"/>
  <c r="AE13" i="128"/>
  <c r="AJ12" i="128"/>
  <c r="AD12" i="128"/>
  <c r="AI11" i="128"/>
  <c r="AH7" i="128"/>
  <c r="AN7" i="128"/>
  <c r="AD9" i="128"/>
  <c r="AJ9" i="128"/>
  <c r="AI9" i="128"/>
  <c r="AL7" i="128"/>
  <c r="AF8" i="128"/>
  <c r="AL8" i="128"/>
  <c r="AL9" i="128"/>
  <c r="AH5" i="128"/>
  <c r="AF9" i="128"/>
  <c r="AN5" i="128"/>
  <c r="AF7" i="128"/>
  <c r="AM45" i="126"/>
  <c r="AI44" i="126"/>
  <c r="AJ42" i="126"/>
  <c r="AD37" i="126"/>
  <c r="AM24" i="126"/>
  <c r="AI6" i="126"/>
  <c r="AI8" i="126"/>
  <c r="AI11" i="126"/>
  <c r="AI14" i="126"/>
  <c r="AI17" i="126"/>
  <c r="AI20" i="126"/>
  <c r="AI7" i="126"/>
  <c r="AI23" i="126"/>
  <c r="AI32" i="126"/>
  <c r="AI41" i="126"/>
  <c r="AI26" i="126"/>
  <c r="AI29" i="126"/>
  <c r="AJ48" i="126"/>
  <c r="AK45" i="126"/>
  <c r="AE39" i="126"/>
  <c r="AM31" i="126"/>
  <c r="AI30" i="126"/>
  <c r="AG26" i="126"/>
  <c r="AJ18" i="126"/>
  <c r="AK11" i="126"/>
  <c r="AI5" i="126"/>
  <c r="AD5" i="126"/>
  <c r="AG6" i="126"/>
  <c r="AM6" i="126"/>
  <c r="AH48" i="126"/>
  <c r="AE47" i="126"/>
  <c r="AN44" i="126"/>
  <c r="AH44" i="126"/>
  <c r="AJ43" i="126"/>
  <c r="AD42" i="126"/>
  <c r="AI42" i="126"/>
  <c r="AN41" i="126"/>
  <c r="AM41" i="126"/>
  <c r="AG41" i="126"/>
  <c r="AK40" i="126"/>
  <c r="AK39" i="126"/>
  <c r="AK48" i="126"/>
  <c r="AE40" i="126"/>
  <c r="AE36" i="126"/>
  <c r="AD39" i="126"/>
  <c r="AI39" i="126"/>
  <c r="AN38" i="126"/>
  <c r="AK38" i="126"/>
  <c r="AN24" i="126"/>
  <c r="AH9" i="126"/>
  <c r="AD19" i="126"/>
  <c r="AI19" i="126"/>
  <c r="AN18" i="126"/>
  <c r="AG45" i="126"/>
  <c r="AE41" i="126"/>
  <c r="AJ33" i="126"/>
  <c r="AJ7" i="126"/>
  <c r="AJ13" i="126"/>
  <c r="AJ19" i="126"/>
  <c r="AJ25" i="126"/>
  <c r="AJ34" i="126"/>
  <c r="AJ37" i="126"/>
  <c r="AJ5" i="126"/>
  <c r="AJ28" i="126"/>
  <c r="AJ10" i="126"/>
  <c r="AJ16" i="126"/>
  <c r="AJ22" i="126"/>
  <c r="AJ31" i="126"/>
  <c r="AJ49" i="126"/>
  <c r="AG24" i="126"/>
  <c r="AL45" i="126"/>
  <c r="AG42" i="126"/>
  <c r="AN9" i="126"/>
  <c r="AI35" i="126"/>
  <c r="AF32" i="126"/>
  <c r="AL29" i="126"/>
  <c r="AL22" i="126"/>
  <c r="AG15" i="126"/>
  <c r="AE11" i="126"/>
  <c r="AG5" i="126"/>
  <c r="AL49" i="126"/>
  <c r="AJ46" i="126"/>
  <c r="AL46" i="126"/>
  <c r="AF46" i="126"/>
  <c r="AH45" i="126"/>
  <c r="AD45" i="126"/>
  <c r="AM44" i="126"/>
  <c r="AG44" i="126"/>
  <c r="AI43" i="126"/>
  <c r="AL41" i="126"/>
  <c r="AG40" i="126"/>
  <c r="AI38" i="126"/>
  <c r="AL37" i="126"/>
  <c r="AL38" i="126"/>
  <c r="AL26" i="126"/>
  <c r="AL35" i="126"/>
  <c r="AL47" i="126"/>
  <c r="AF47" i="126"/>
  <c r="AF35" i="126"/>
  <c r="AF29" i="126"/>
  <c r="AF37" i="126"/>
  <c r="AF38" i="126"/>
  <c r="AF40" i="126"/>
  <c r="AF41" i="126"/>
  <c r="AM35" i="126"/>
  <c r="AG35" i="126"/>
  <c r="AM7" i="126"/>
  <c r="AM10" i="126"/>
  <c r="AM13" i="126"/>
  <c r="AM16" i="126"/>
  <c r="AM19" i="126"/>
  <c r="AM33" i="126"/>
  <c r="AM49" i="126"/>
  <c r="AM25" i="126"/>
  <c r="AM34" i="126"/>
  <c r="AM36" i="126"/>
  <c r="AM28" i="126"/>
  <c r="AM43" i="126"/>
  <c r="AG10" i="126"/>
  <c r="AG13" i="126"/>
  <c r="AG16" i="126"/>
  <c r="AG19" i="126"/>
  <c r="AG33" i="126"/>
  <c r="AG43" i="126"/>
  <c r="AG28" i="126"/>
  <c r="AG22" i="126"/>
  <c r="AG31" i="126"/>
  <c r="AG36" i="126"/>
  <c r="AG37" i="126"/>
  <c r="AG39" i="126"/>
  <c r="AN20" i="126"/>
  <c r="AH20" i="126"/>
  <c r="AL16" i="126"/>
  <c r="AF16" i="126"/>
  <c r="AJ12" i="126"/>
  <c r="AD12" i="126"/>
  <c r="AM9" i="126"/>
  <c r="AG9" i="126"/>
  <c r="AM40" i="126"/>
  <c r="AJ35" i="126"/>
  <c r="AK27" i="126"/>
  <c r="AF45" i="126"/>
  <c r="AL40" i="126"/>
  <c r="AH36" i="126"/>
  <c r="AH33" i="126"/>
  <c r="AN28" i="126"/>
  <c r="AM26" i="126"/>
  <c r="AD18" i="126"/>
  <c r="AN8" i="126"/>
  <c r="AM5" i="126"/>
  <c r="AD6" i="126"/>
  <c r="AI49" i="126"/>
  <c r="AK49" i="126"/>
  <c r="AE49" i="126"/>
  <c r="AD48" i="126"/>
  <c r="AI48" i="126"/>
  <c r="AM47" i="126"/>
  <c r="AG47" i="126"/>
  <c r="AK46" i="126"/>
  <c r="AE46" i="126"/>
  <c r="AE45" i="126"/>
  <c r="AF43" i="126"/>
  <c r="AM42" i="126"/>
  <c r="AK41" i="126"/>
  <c r="AD40" i="126"/>
  <c r="AI40" i="126"/>
  <c r="AN39" i="126"/>
  <c r="AM37" i="126"/>
  <c r="AL11" i="126"/>
  <c r="AF11" i="126"/>
  <c r="AL31" i="126"/>
  <c r="AF31" i="126"/>
  <c r="AF23" i="126"/>
  <c r="AM22" i="126"/>
  <c r="AI13" i="126"/>
  <c r="AD35" i="126"/>
  <c r="AD25" i="126"/>
  <c r="AD7" i="126"/>
  <c r="AH47" i="126"/>
  <c r="AF44" i="126"/>
  <c r="AJ39" i="126"/>
  <c r="AH27" i="126"/>
  <c r="AH28" i="126"/>
  <c r="AF22" i="126"/>
  <c r="AM15" i="126"/>
  <c r="AH8" i="126"/>
  <c r="AF5" i="126"/>
  <c r="AL5" i="126"/>
  <c r="AG49" i="126"/>
  <c r="AG46" i="126"/>
  <c r="AK44" i="126"/>
  <c r="AN43" i="126"/>
  <c r="AH43" i="126"/>
  <c r="AK42" i="126"/>
  <c r="AN40" i="126"/>
  <c r="AN30" i="126"/>
  <c r="AH40" i="126"/>
  <c r="AL39" i="126"/>
  <c r="AF39" i="126"/>
  <c r="AN48" i="126"/>
  <c r="AH24" i="126"/>
  <c r="AE42" i="126"/>
  <c r="AK29" i="126"/>
  <c r="AE29" i="126"/>
  <c r="AG25" i="126"/>
  <c r="AM21" i="126"/>
  <c r="AG21" i="126"/>
  <c r="AK17" i="126"/>
  <c r="AE17" i="126"/>
  <c r="AN14" i="126"/>
  <c r="AH14" i="126"/>
  <c r="AL10" i="126"/>
  <c r="AF10" i="126"/>
  <c r="AN46" i="126"/>
  <c r="AH46" i="126"/>
  <c r="AI45" i="126"/>
  <c r="AE44" i="126"/>
  <c r="AD43" i="126"/>
  <c r="AN42" i="126"/>
  <c r="AJ41" i="126"/>
  <c r="AD41" i="126"/>
  <c r="AH38" i="126"/>
  <c r="AK37" i="126"/>
  <c r="AE37" i="126"/>
  <c r="AJ36" i="126"/>
  <c r="AD36" i="126"/>
  <c r="AD34" i="126"/>
  <c r="AI34" i="126"/>
  <c r="AN33" i="126"/>
  <c r="AL7" i="126"/>
  <c r="AF33" i="126"/>
  <c r="AN32" i="126"/>
  <c r="AH32" i="126"/>
  <c r="AK31" i="126"/>
  <c r="AE31" i="126"/>
  <c r="AJ29" i="126"/>
  <c r="AD29" i="126"/>
  <c r="AJ27" i="126"/>
  <c r="AD27" i="126"/>
  <c r="AI25" i="126"/>
  <c r="AL24" i="126"/>
  <c r="AF24" i="126"/>
  <c r="AN23" i="126"/>
  <c r="AH23" i="126"/>
  <c r="AK22" i="126"/>
  <c r="AE22" i="126"/>
  <c r="AL21" i="126"/>
  <c r="AF21" i="126"/>
  <c r="AM20" i="126"/>
  <c r="AG20" i="126"/>
  <c r="AN19" i="126"/>
  <c r="AH19" i="126"/>
  <c r="AH18" i="126"/>
  <c r="AI18" i="126"/>
  <c r="AL17" i="126"/>
  <c r="AJ17" i="126"/>
  <c r="AD17" i="126"/>
  <c r="AK16" i="126"/>
  <c r="AE16" i="126"/>
  <c r="AL15" i="126"/>
  <c r="AF15" i="126"/>
  <c r="AM14" i="126"/>
  <c r="AG14" i="126"/>
  <c r="AN13" i="126"/>
  <c r="AH13" i="126"/>
  <c r="AH12" i="126"/>
  <c r="AI12" i="126"/>
  <c r="AJ11" i="126"/>
  <c r="AD11" i="126"/>
  <c r="AK10" i="126"/>
  <c r="AE10" i="126"/>
  <c r="AL9" i="126"/>
  <c r="AF9" i="126"/>
  <c r="AM8" i="126"/>
  <c r="AG8" i="126"/>
  <c r="AN7" i="126"/>
  <c r="AH7" i="126"/>
  <c r="AJ38" i="126"/>
  <c r="AD38" i="126"/>
  <c r="AI36" i="126"/>
  <c r="AK35" i="126"/>
  <c r="AE35" i="126"/>
  <c r="AN34" i="126"/>
  <c r="AH34" i="126"/>
  <c r="AK33" i="126"/>
  <c r="AM32" i="126"/>
  <c r="AG32" i="126"/>
  <c r="AM30" i="126"/>
  <c r="AG30" i="126"/>
  <c r="AL28" i="126"/>
  <c r="AF28" i="126"/>
  <c r="AE27" i="126"/>
  <c r="AI27" i="126"/>
  <c r="AK26" i="126"/>
  <c r="AE26" i="126"/>
  <c r="AN25" i="126"/>
  <c r="AH25" i="126"/>
  <c r="AK24" i="126"/>
  <c r="AM23" i="126"/>
  <c r="AG23" i="126"/>
  <c r="AF17" i="126"/>
  <c r="AD33" i="126"/>
  <c r="AD31" i="126"/>
  <c r="AI31" i="126"/>
  <c r="AL30" i="126"/>
  <c r="AF30" i="126"/>
  <c r="AN29" i="126"/>
  <c r="AH29" i="126"/>
  <c r="AK28" i="126"/>
  <c r="AE28" i="126"/>
  <c r="AJ26" i="126"/>
  <c r="AD26" i="126"/>
  <c r="AJ24" i="126"/>
  <c r="AD24" i="126"/>
  <c r="AD22" i="126"/>
  <c r="AI22" i="126"/>
  <c r="AN21" i="126"/>
  <c r="AJ21" i="126"/>
  <c r="AD21" i="126"/>
  <c r="AK20" i="126"/>
  <c r="AE20" i="126"/>
  <c r="AL19" i="126"/>
  <c r="AF19" i="126"/>
  <c r="AM18" i="126"/>
  <c r="AG18" i="126"/>
  <c r="AN17" i="126"/>
  <c r="AH17" i="126"/>
  <c r="AD16" i="126"/>
  <c r="AI16" i="126"/>
  <c r="AN15" i="126"/>
  <c r="AJ15" i="126"/>
  <c r="AD15" i="126"/>
  <c r="AK14" i="126"/>
  <c r="AE14" i="126"/>
  <c r="AL13" i="126"/>
  <c r="AF13" i="126"/>
  <c r="AM12" i="126"/>
  <c r="AG12" i="126"/>
  <c r="AN11" i="126"/>
  <c r="AH11" i="126"/>
  <c r="AD10" i="126"/>
  <c r="AI10" i="126"/>
  <c r="AJ9" i="126"/>
  <c r="AD9" i="126"/>
  <c r="AK9" i="126"/>
  <c r="AK12" i="126"/>
  <c r="AK15" i="126"/>
  <c r="AK18" i="126"/>
  <c r="AK21" i="126"/>
  <c r="AK8" i="126"/>
  <c r="AE9" i="126"/>
  <c r="AE12" i="126"/>
  <c r="AE15" i="126"/>
  <c r="AE18" i="126"/>
  <c r="AE21" i="126"/>
  <c r="AE8" i="126"/>
  <c r="AF7" i="126"/>
  <c r="AN37" i="126"/>
  <c r="AH37" i="126"/>
  <c r="AL34" i="126"/>
  <c r="AF34" i="126"/>
  <c r="AE33" i="126"/>
  <c r="AI33" i="126"/>
  <c r="AL32" i="126"/>
  <c r="AK32" i="126"/>
  <c r="AE32" i="126"/>
  <c r="AN31" i="126"/>
  <c r="AH31" i="126"/>
  <c r="AK30" i="126"/>
  <c r="AM29" i="126"/>
  <c r="AG29" i="126"/>
  <c r="AM27" i="126"/>
  <c r="AG27" i="126"/>
  <c r="AF26" i="126"/>
  <c r="AL25" i="126"/>
  <c r="AF25" i="126"/>
  <c r="AE24" i="126"/>
  <c r="AI24" i="126"/>
  <c r="AL23" i="126"/>
  <c r="AK23" i="126"/>
  <c r="AE23" i="126"/>
  <c r="AN22" i="126"/>
  <c r="AH22" i="126"/>
  <c r="AH21" i="126"/>
  <c r="AI21" i="126"/>
  <c r="AL20" i="126"/>
  <c r="AJ20" i="126"/>
  <c r="AD20" i="126"/>
  <c r="AK19" i="126"/>
  <c r="AE19" i="126"/>
  <c r="AL18" i="126"/>
  <c r="AF18" i="126"/>
  <c r="AM17" i="126"/>
  <c r="AG17" i="126"/>
  <c r="AN16" i="126"/>
  <c r="AH16" i="126"/>
  <c r="AH15" i="126"/>
  <c r="AI15" i="126"/>
  <c r="AL14" i="126"/>
  <c r="AJ14" i="126"/>
  <c r="AD14" i="126"/>
  <c r="AK13" i="126"/>
  <c r="AE13" i="126"/>
  <c r="AL12" i="126"/>
  <c r="AF12" i="126"/>
  <c r="AM11" i="126"/>
  <c r="AG11" i="126"/>
  <c r="AN10" i="126"/>
  <c r="AH10" i="126"/>
  <c r="AI9" i="126"/>
  <c r="AL8" i="126"/>
  <c r="AJ8" i="126"/>
  <c r="AD8" i="126"/>
  <c r="AK7" i="126"/>
  <c r="AE7" i="126"/>
  <c r="AE5" i="126"/>
  <c r="AK5" i="126"/>
  <c r="AH6" i="126"/>
  <c r="AN6" i="126"/>
  <c r="AD49" i="126"/>
  <c r="AE48" i="126"/>
  <c r="AJ47" i="126"/>
  <c r="AD47" i="126"/>
  <c r="AK43" i="126"/>
  <c r="AE43" i="126"/>
  <c r="AH42" i="126"/>
  <c r="AL42" i="126"/>
  <c r="AF42" i="126"/>
  <c r="AM38" i="126"/>
  <c r="AG38" i="126"/>
  <c r="AK36" i="126"/>
  <c r="AL36" i="126"/>
  <c r="AF36" i="126"/>
  <c r="AN35" i="126"/>
  <c r="AH35" i="126"/>
  <c r="AK34" i="126"/>
  <c r="AE34" i="126"/>
  <c r="AJ32" i="126"/>
  <c r="AD32" i="126"/>
  <c r="AH30" i="126"/>
  <c r="AJ30" i="126"/>
  <c r="AD30" i="126"/>
  <c r="AD28" i="126"/>
  <c r="AI28" i="126"/>
  <c r="AN27" i="126"/>
  <c r="AL27" i="126"/>
  <c r="AF27" i="126"/>
  <c r="AN26" i="126"/>
  <c r="AH26" i="126"/>
  <c r="AK25" i="126"/>
  <c r="AE25" i="126"/>
  <c r="AJ23" i="126"/>
  <c r="AD23" i="126"/>
  <c r="AF20" i="126"/>
  <c r="AF14" i="126"/>
  <c r="AF8" i="126"/>
  <c r="AL33" i="126"/>
  <c r="AG7" i="126"/>
  <c r="AH5" i="126"/>
  <c r="AN5" i="126"/>
  <c r="O6" i="34" l="1"/>
  <c r="O7" i="34"/>
  <c r="AK33" i="104"/>
  <c r="AJ33" i="104"/>
  <c r="AI33" i="104"/>
  <c r="AH33" i="104"/>
  <c r="AG33" i="104"/>
  <c r="AF33" i="104"/>
  <c r="AE33" i="104"/>
  <c r="AD33" i="104"/>
  <c r="AC33" i="104"/>
  <c r="AB33" i="104"/>
  <c r="AA33" i="104"/>
  <c r="Z33" i="104"/>
  <c r="Y33" i="104"/>
  <c r="X33" i="104"/>
  <c r="W33" i="104"/>
  <c r="V33" i="104"/>
  <c r="U33" i="104"/>
  <c r="T33" i="104"/>
  <c r="S33" i="104"/>
  <c r="R33" i="104"/>
  <c r="Q33" i="104"/>
  <c r="P33" i="104"/>
  <c r="O33" i="104"/>
  <c r="N33" i="104"/>
  <c r="AK32" i="104"/>
  <c r="AJ32" i="104"/>
  <c r="AI32" i="104"/>
  <c r="AH32" i="104"/>
  <c r="AG32" i="104"/>
  <c r="AF32" i="104"/>
  <c r="AE32" i="104"/>
  <c r="AD32" i="104"/>
  <c r="AC32" i="104"/>
  <c r="AB32" i="104"/>
  <c r="AA32" i="104"/>
  <c r="Z32" i="104"/>
  <c r="Y32" i="104"/>
  <c r="X32" i="104"/>
  <c r="W32" i="104"/>
  <c r="V32" i="104"/>
  <c r="U32" i="104"/>
  <c r="T32" i="104"/>
  <c r="S32" i="104"/>
  <c r="R32" i="104"/>
  <c r="Q32" i="104"/>
  <c r="P32" i="104"/>
  <c r="O32" i="104"/>
  <c r="N32" i="104"/>
  <c r="AK31" i="104"/>
  <c r="AJ31" i="104"/>
  <c r="AI31" i="104"/>
  <c r="AH31" i="104"/>
  <c r="AG31" i="104"/>
  <c r="AF31" i="104"/>
  <c r="AE31" i="104"/>
  <c r="AD31" i="104"/>
  <c r="AC31" i="104"/>
  <c r="AB31" i="104"/>
  <c r="AA31" i="104"/>
  <c r="Z31" i="104"/>
  <c r="Y31" i="104"/>
  <c r="X31" i="104"/>
  <c r="W31" i="104"/>
  <c r="V31" i="104"/>
  <c r="U31" i="104"/>
  <c r="T31" i="104"/>
  <c r="S31" i="104"/>
  <c r="R31" i="104"/>
  <c r="Q31" i="104"/>
  <c r="P31" i="104"/>
  <c r="O31" i="104"/>
  <c r="N31" i="104"/>
  <c r="AK30" i="104"/>
  <c r="AJ30" i="104"/>
  <c r="AI30" i="104"/>
  <c r="AH30" i="104"/>
  <c r="AG30" i="104"/>
  <c r="AF30" i="104"/>
  <c r="AE30" i="104"/>
  <c r="AD30" i="104"/>
  <c r="AC30" i="104"/>
  <c r="AB30" i="104"/>
  <c r="AA30" i="104"/>
  <c r="Z30" i="104"/>
  <c r="Y30" i="104"/>
  <c r="X30" i="104"/>
  <c r="W30" i="104"/>
  <c r="V30" i="104"/>
  <c r="U30" i="104"/>
  <c r="T30" i="104"/>
  <c r="S30" i="104"/>
  <c r="R30" i="104"/>
  <c r="Q30" i="104"/>
  <c r="P30" i="104"/>
  <c r="O30" i="104"/>
  <c r="N30" i="104"/>
  <c r="AK29" i="104"/>
  <c r="AJ29" i="104"/>
  <c r="AI29" i="104"/>
  <c r="AH29" i="104"/>
  <c r="AG29" i="104"/>
  <c r="AF29" i="104"/>
  <c r="AE29" i="104"/>
  <c r="AD29" i="104"/>
  <c r="AC29" i="104"/>
  <c r="AB29" i="104"/>
  <c r="AA29" i="104"/>
  <c r="Z29" i="104"/>
  <c r="Y29" i="104"/>
  <c r="X29" i="104"/>
  <c r="W29" i="104"/>
  <c r="V29" i="104"/>
  <c r="U29" i="104"/>
  <c r="T29" i="104"/>
  <c r="S29" i="104"/>
  <c r="R29" i="104"/>
  <c r="Q29" i="104"/>
  <c r="P29" i="104"/>
  <c r="O29" i="104"/>
  <c r="N29" i="104"/>
  <c r="AK28" i="104"/>
  <c r="AJ28" i="104"/>
  <c r="AI28" i="104"/>
  <c r="AH28" i="104"/>
  <c r="AG28" i="104"/>
  <c r="AF28" i="104"/>
  <c r="AE28" i="104"/>
  <c r="AD28" i="104"/>
  <c r="AC28" i="104"/>
  <c r="AB28" i="104"/>
  <c r="AA28" i="104"/>
  <c r="Z28" i="104"/>
  <c r="Y28" i="104"/>
  <c r="X28" i="104"/>
  <c r="W28" i="104"/>
  <c r="V28" i="104"/>
  <c r="U28" i="104"/>
  <c r="T28" i="104"/>
  <c r="S28" i="104"/>
  <c r="R28" i="104"/>
  <c r="Q28" i="104"/>
  <c r="P28" i="104"/>
  <c r="O28" i="104"/>
  <c r="N28" i="104"/>
  <c r="AK27" i="104"/>
  <c r="AJ27" i="104"/>
  <c r="AI27" i="104"/>
  <c r="AH27" i="104"/>
  <c r="AG27" i="104"/>
  <c r="AF27" i="104"/>
  <c r="AE27" i="104"/>
  <c r="AD27" i="104"/>
  <c r="AC27" i="104"/>
  <c r="AB27" i="104"/>
  <c r="AA27" i="104"/>
  <c r="Z27" i="104"/>
  <c r="Y27" i="104"/>
  <c r="X27" i="104"/>
  <c r="W27" i="104"/>
  <c r="V27" i="104"/>
  <c r="U27" i="104"/>
  <c r="T27" i="104"/>
  <c r="S27" i="104"/>
  <c r="R27" i="104"/>
  <c r="Q27" i="104"/>
  <c r="P27" i="104"/>
  <c r="O27" i="104"/>
  <c r="N27" i="104"/>
  <c r="AK26" i="104"/>
  <c r="AJ26" i="104"/>
  <c r="AI26" i="104"/>
  <c r="AH26" i="104"/>
  <c r="AG26" i="104"/>
  <c r="AF26" i="104"/>
  <c r="AE26" i="104"/>
  <c r="AD26" i="104"/>
  <c r="AC26" i="104"/>
  <c r="AB26" i="104"/>
  <c r="AA26" i="104"/>
  <c r="Z26" i="104"/>
  <c r="Y26" i="104"/>
  <c r="X26" i="104"/>
  <c r="W26" i="104"/>
  <c r="V26" i="104"/>
  <c r="U26" i="104"/>
  <c r="T26" i="104"/>
  <c r="S26" i="104"/>
  <c r="R26" i="104"/>
  <c r="Q26" i="104"/>
  <c r="P26" i="104"/>
  <c r="O26" i="104"/>
  <c r="N26" i="104"/>
  <c r="AK25" i="104"/>
  <c r="AJ25" i="104"/>
  <c r="AI25" i="104"/>
  <c r="AH25" i="104"/>
  <c r="AG25" i="104"/>
  <c r="AF25" i="104"/>
  <c r="AE25" i="104"/>
  <c r="AD25" i="104"/>
  <c r="AC25" i="104"/>
  <c r="AB25" i="104"/>
  <c r="AA25" i="104"/>
  <c r="Z25" i="104"/>
  <c r="Y25" i="104"/>
  <c r="X25" i="104"/>
  <c r="W25" i="104"/>
  <c r="V25" i="104"/>
  <c r="U25" i="104"/>
  <c r="T25" i="104"/>
  <c r="S25" i="104"/>
  <c r="R25" i="104"/>
  <c r="Q25" i="104"/>
  <c r="P25" i="104"/>
  <c r="O25" i="104"/>
  <c r="N25" i="104"/>
  <c r="AK24" i="104"/>
  <c r="AJ24" i="104"/>
  <c r="AI24" i="104"/>
  <c r="AH24" i="104"/>
  <c r="AG24" i="104"/>
  <c r="AF24" i="104"/>
  <c r="AE24" i="104"/>
  <c r="AD24" i="104"/>
  <c r="AC24" i="104"/>
  <c r="AB24" i="104"/>
  <c r="AA24" i="104"/>
  <c r="Z24" i="104"/>
  <c r="Y24" i="104"/>
  <c r="X24" i="104"/>
  <c r="W24" i="104"/>
  <c r="V24" i="104"/>
  <c r="U24" i="104"/>
  <c r="T24" i="104"/>
  <c r="S24" i="104"/>
  <c r="R24" i="104"/>
  <c r="Q24" i="104"/>
  <c r="P24" i="104"/>
  <c r="O24" i="104"/>
  <c r="N24" i="104"/>
  <c r="AK23" i="104"/>
  <c r="AJ23" i="104"/>
  <c r="AI23" i="104"/>
  <c r="AH23" i="104"/>
  <c r="AG23" i="104"/>
  <c r="AF23" i="104"/>
  <c r="AE23" i="104"/>
  <c r="AD23" i="104"/>
  <c r="AC23" i="104"/>
  <c r="AB23" i="104"/>
  <c r="AA23" i="104"/>
  <c r="Z23" i="104"/>
  <c r="Y23" i="104"/>
  <c r="X23" i="104"/>
  <c r="W23" i="104"/>
  <c r="V23" i="104"/>
  <c r="U23" i="104"/>
  <c r="T23" i="104"/>
  <c r="S23" i="104"/>
  <c r="R23" i="104"/>
  <c r="Q23" i="104"/>
  <c r="P23" i="104"/>
  <c r="O23" i="104"/>
  <c r="N23" i="104"/>
  <c r="AK22" i="104"/>
  <c r="AJ22" i="104"/>
  <c r="AI22" i="104"/>
  <c r="AH22" i="104"/>
  <c r="AG22" i="104"/>
  <c r="AF22" i="104"/>
  <c r="AE22" i="104"/>
  <c r="AD22" i="104"/>
  <c r="AC22" i="104"/>
  <c r="AB22" i="104"/>
  <c r="AA22" i="104"/>
  <c r="Z22" i="104"/>
  <c r="Y22" i="104"/>
  <c r="X22" i="104"/>
  <c r="W22" i="104"/>
  <c r="V22" i="104"/>
  <c r="U22" i="104"/>
  <c r="T22" i="104"/>
  <c r="S22" i="104"/>
  <c r="R22" i="104"/>
  <c r="Q22" i="104"/>
  <c r="P22" i="104"/>
  <c r="O22" i="104"/>
  <c r="N22" i="104"/>
  <c r="AK21" i="104"/>
  <c r="AJ21" i="104"/>
  <c r="AI21" i="104"/>
  <c r="AH21" i="104"/>
  <c r="AG21" i="104"/>
  <c r="AF21" i="104"/>
  <c r="AE21" i="104"/>
  <c r="AD21" i="104"/>
  <c r="AC21" i="104"/>
  <c r="AB21" i="104"/>
  <c r="AA21" i="104"/>
  <c r="Z21" i="104"/>
  <c r="Y21" i="104"/>
  <c r="X21" i="104"/>
  <c r="W21" i="104"/>
  <c r="V21" i="104"/>
  <c r="U21" i="104"/>
  <c r="T21" i="104"/>
  <c r="S21" i="104"/>
  <c r="R21" i="104"/>
  <c r="Q21" i="104"/>
  <c r="P21" i="104"/>
  <c r="O21" i="104"/>
  <c r="N21" i="104"/>
  <c r="AK20" i="104"/>
  <c r="AJ20" i="104"/>
  <c r="AI20" i="104"/>
  <c r="AH20" i="104"/>
  <c r="AG20" i="104"/>
  <c r="AF20" i="104"/>
  <c r="AE20" i="104"/>
  <c r="AD20" i="104"/>
  <c r="AC20" i="104"/>
  <c r="AB20" i="104"/>
  <c r="AA20" i="104"/>
  <c r="Z20" i="104"/>
  <c r="Y20" i="104"/>
  <c r="X20" i="104"/>
  <c r="W20" i="104"/>
  <c r="V20" i="104"/>
  <c r="U20" i="104"/>
  <c r="T20" i="104"/>
  <c r="S20" i="104"/>
  <c r="R20" i="104"/>
  <c r="Q20" i="104"/>
  <c r="P20" i="104"/>
  <c r="O20" i="104"/>
  <c r="N20" i="104"/>
  <c r="AK19" i="104"/>
  <c r="AJ19" i="104"/>
  <c r="AI19" i="104"/>
  <c r="AH19" i="104"/>
  <c r="AG19" i="104"/>
  <c r="AF19" i="104"/>
  <c r="AE19" i="104"/>
  <c r="AD19" i="104"/>
  <c r="AC19" i="104"/>
  <c r="AB19" i="104"/>
  <c r="AA19" i="104"/>
  <c r="Z19" i="104"/>
  <c r="Y19" i="104"/>
  <c r="X19" i="104"/>
  <c r="W19" i="104"/>
  <c r="V19" i="104"/>
  <c r="U19" i="104"/>
  <c r="T19" i="104"/>
  <c r="S19" i="104"/>
  <c r="R19" i="104"/>
  <c r="Q19" i="104"/>
  <c r="P19" i="104"/>
  <c r="O19" i="104"/>
  <c r="N19" i="104"/>
  <c r="AK18" i="104"/>
  <c r="AJ18" i="104"/>
  <c r="AI18" i="104"/>
  <c r="AH18" i="104"/>
  <c r="AG18" i="104"/>
  <c r="AF18" i="104"/>
  <c r="AE18" i="104"/>
  <c r="AD18" i="104"/>
  <c r="AC18" i="104"/>
  <c r="AB18" i="104"/>
  <c r="AA18" i="104"/>
  <c r="Z18" i="104"/>
  <c r="Y18" i="104"/>
  <c r="X18" i="104"/>
  <c r="W18" i="104"/>
  <c r="V18" i="104"/>
  <c r="U18" i="104"/>
  <c r="T18" i="104"/>
  <c r="S18" i="104"/>
  <c r="R18" i="104"/>
  <c r="Q18" i="104"/>
  <c r="P18" i="104"/>
  <c r="O18" i="104"/>
  <c r="N18" i="104"/>
  <c r="AK17" i="104"/>
  <c r="AJ17" i="104"/>
  <c r="AI17" i="104"/>
  <c r="AH17" i="104"/>
  <c r="AG17" i="104"/>
  <c r="AF17" i="104"/>
  <c r="AE17" i="104"/>
  <c r="AD17" i="104"/>
  <c r="AC17" i="104"/>
  <c r="AB17" i="104"/>
  <c r="AA17" i="104"/>
  <c r="Z17" i="104"/>
  <c r="Y17" i="104"/>
  <c r="X17" i="104"/>
  <c r="W17" i="104"/>
  <c r="V17" i="104"/>
  <c r="U17" i="104"/>
  <c r="T17" i="104"/>
  <c r="S17" i="104"/>
  <c r="R17" i="104"/>
  <c r="Q17" i="104"/>
  <c r="P17" i="104"/>
  <c r="O17" i="104"/>
  <c r="N17" i="104"/>
  <c r="AK16" i="104"/>
  <c r="AJ16" i="104"/>
  <c r="AI16" i="104"/>
  <c r="AH16" i="104"/>
  <c r="AG16" i="104"/>
  <c r="AF16" i="104"/>
  <c r="AE16" i="104"/>
  <c r="AD16" i="104"/>
  <c r="AC16" i="104"/>
  <c r="AB16" i="104"/>
  <c r="AA16" i="104"/>
  <c r="Z16" i="104"/>
  <c r="Y16" i="104"/>
  <c r="X16" i="104"/>
  <c r="W16" i="104"/>
  <c r="V16" i="104"/>
  <c r="U16" i="104"/>
  <c r="T16" i="104"/>
  <c r="S16" i="104"/>
  <c r="R16" i="104"/>
  <c r="Q16" i="104"/>
  <c r="P16" i="104"/>
  <c r="O16" i="104"/>
  <c r="N16" i="104"/>
  <c r="AK15" i="104"/>
  <c r="AJ15" i="104"/>
  <c r="AI15" i="104"/>
  <c r="AH15" i="104"/>
  <c r="AG15" i="104"/>
  <c r="AF15" i="104"/>
  <c r="AE15" i="104"/>
  <c r="AD15" i="104"/>
  <c r="AC15" i="104"/>
  <c r="AB15" i="104"/>
  <c r="AA15" i="104"/>
  <c r="Z15" i="104"/>
  <c r="Y15" i="104"/>
  <c r="X15" i="104"/>
  <c r="W15" i="104"/>
  <c r="V15" i="104"/>
  <c r="U15" i="104"/>
  <c r="T15" i="104"/>
  <c r="S15" i="104"/>
  <c r="R15" i="104"/>
  <c r="Q15" i="104"/>
  <c r="P15" i="104"/>
  <c r="O15" i="104"/>
  <c r="N15" i="104"/>
  <c r="AK14" i="104"/>
  <c r="AJ14" i="104"/>
  <c r="AI14" i="104"/>
  <c r="AH14" i="104"/>
  <c r="AG14" i="104"/>
  <c r="AF14" i="104"/>
  <c r="AE14" i="104"/>
  <c r="AD14" i="104"/>
  <c r="AC14" i="104"/>
  <c r="AB14" i="104"/>
  <c r="AA14" i="104"/>
  <c r="Z14" i="104"/>
  <c r="Y14" i="104"/>
  <c r="X14" i="104"/>
  <c r="W14" i="104"/>
  <c r="V14" i="104"/>
  <c r="U14" i="104"/>
  <c r="T14" i="104"/>
  <c r="S14" i="104"/>
  <c r="R14" i="104"/>
  <c r="Q14" i="104"/>
  <c r="P14" i="104"/>
  <c r="O14" i="104"/>
  <c r="N14" i="104"/>
  <c r="AK13" i="104"/>
  <c r="AJ13" i="104"/>
  <c r="AI13" i="104"/>
  <c r="AH13" i="104"/>
  <c r="AG13" i="104"/>
  <c r="AF13" i="104"/>
  <c r="AE13" i="104"/>
  <c r="AD13" i="104"/>
  <c r="AC13" i="104"/>
  <c r="AB13" i="104"/>
  <c r="AA13" i="104"/>
  <c r="Z13" i="104"/>
  <c r="Y13" i="104"/>
  <c r="X13" i="104"/>
  <c r="W13" i="104"/>
  <c r="V13" i="104"/>
  <c r="U13" i="104"/>
  <c r="T13" i="104"/>
  <c r="S13" i="104"/>
  <c r="R13" i="104"/>
  <c r="Q13" i="104"/>
  <c r="P13" i="104"/>
  <c r="O13" i="104"/>
  <c r="N13" i="104"/>
  <c r="AK12" i="104"/>
  <c r="AJ12" i="104"/>
  <c r="AI12" i="104"/>
  <c r="AH12" i="104"/>
  <c r="AG12" i="104"/>
  <c r="AF12" i="104"/>
  <c r="AE12" i="104"/>
  <c r="AD12" i="104"/>
  <c r="AC12" i="104"/>
  <c r="AB12" i="104"/>
  <c r="AA12" i="104"/>
  <c r="Z12" i="104"/>
  <c r="Y12" i="104"/>
  <c r="X12" i="104"/>
  <c r="W12" i="104"/>
  <c r="V12" i="104"/>
  <c r="U12" i="104"/>
  <c r="T12" i="104"/>
  <c r="S12" i="104"/>
  <c r="R12" i="104"/>
  <c r="Q12" i="104"/>
  <c r="P12" i="104"/>
  <c r="O12" i="104"/>
  <c r="N12" i="104"/>
  <c r="AK11" i="104"/>
  <c r="AJ11" i="104"/>
  <c r="AI11" i="104"/>
  <c r="AH11" i="104"/>
  <c r="AG11" i="104"/>
  <c r="AF11" i="104"/>
  <c r="AE11" i="104"/>
  <c r="AD11" i="104"/>
  <c r="AC11" i="104"/>
  <c r="AB11" i="104"/>
  <c r="AA11" i="104"/>
  <c r="Z11" i="104"/>
  <c r="Y11" i="104"/>
  <c r="X11" i="104"/>
  <c r="W11" i="104"/>
  <c r="V11" i="104"/>
  <c r="U11" i="104"/>
  <c r="T11" i="104"/>
  <c r="S11" i="104"/>
  <c r="R11" i="104"/>
  <c r="Q11" i="104"/>
  <c r="P11" i="104"/>
  <c r="O11" i="104"/>
  <c r="N11" i="104"/>
  <c r="AK10" i="104"/>
  <c r="AJ10" i="104"/>
  <c r="AI10" i="104"/>
  <c r="AH10" i="104"/>
  <c r="AG10" i="104"/>
  <c r="AF10" i="104"/>
  <c r="AE10" i="104"/>
  <c r="AD10" i="104"/>
  <c r="AC10" i="104"/>
  <c r="AB10" i="104"/>
  <c r="AA10" i="104"/>
  <c r="Z10" i="104"/>
  <c r="Y10" i="104"/>
  <c r="X10" i="104"/>
  <c r="W10" i="104"/>
  <c r="V10" i="104"/>
  <c r="U10" i="104"/>
  <c r="T10" i="104"/>
  <c r="S10" i="104"/>
  <c r="R10" i="104"/>
  <c r="Q10" i="104"/>
  <c r="P10" i="104"/>
  <c r="O10" i="104"/>
  <c r="N10" i="104"/>
  <c r="AK9" i="104"/>
  <c r="AJ9" i="104"/>
  <c r="AI9" i="104"/>
  <c r="AH9" i="104"/>
  <c r="AG9" i="104"/>
  <c r="AF9" i="104"/>
  <c r="AE9" i="104"/>
  <c r="AD9" i="104"/>
  <c r="AC9" i="104"/>
  <c r="AB9" i="104"/>
  <c r="AA9" i="104"/>
  <c r="Z9" i="104"/>
  <c r="Y9" i="104"/>
  <c r="X9" i="104"/>
  <c r="W9" i="104"/>
  <c r="V9" i="104"/>
  <c r="U9" i="104"/>
  <c r="T9" i="104"/>
  <c r="S9" i="104"/>
  <c r="R9" i="104"/>
  <c r="Q9" i="104"/>
  <c r="P9" i="104"/>
  <c r="O9" i="104"/>
  <c r="N9" i="104"/>
  <c r="AK8" i="104"/>
  <c r="AJ8" i="104"/>
  <c r="AI8" i="104"/>
  <c r="AH8" i="104"/>
  <c r="AG8" i="104"/>
  <c r="AF8" i="104"/>
  <c r="AE8" i="104"/>
  <c r="AD8" i="104"/>
  <c r="AC8" i="104"/>
  <c r="AB8" i="104"/>
  <c r="AA8" i="104"/>
  <c r="Z8" i="104"/>
  <c r="Y8" i="104"/>
  <c r="X8" i="104"/>
  <c r="W8" i="104"/>
  <c r="V8" i="104"/>
  <c r="U8" i="104"/>
  <c r="T8" i="104"/>
  <c r="S8" i="104"/>
  <c r="R8" i="104"/>
  <c r="Q8" i="104"/>
  <c r="P8" i="104"/>
  <c r="O8" i="104"/>
  <c r="N8" i="104"/>
  <c r="AK7" i="104"/>
  <c r="AJ7" i="104"/>
  <c r="AI7" i="104"/>
  <c r="AH7" i="104"/>
  <c r="AG7" i="104"/>
  <c r="AF7" i="104"/>
  <c r="AE7" i="104"/>
  <c r="AD7" i="104"/>
  <c r="AC7" i="104"/>
  <c r="AB7" i="104"/>
  <c r="AA7" i="104"/>
  <c r="Z7" i="104"/>
  <c r="Y7" i="104"/>
  <c r="X7" i="104"/>
  <c r="W7" i="104"/>
  <c r="V7" i="104"/>
  <c r="U7" i="104"/>
  <c r="T7" i="104"/>
  <c r="S7" i="104"/>
  <c r="R7" i="104"/>
  <c r="Q7" i="104"/>
  <c r="P7" i="104"/>
  <c r="O7" i="104"/>
  <c r="N7" i="104"/>
  <c r="AK6" i="104"/>
  <c r="AJ6" i="104"/>
  <c r="AI6" i="104"/>
  <c r="AH6" i="104"/>
  <c r="AG6" i="104"/>
  <c r="AF6" i="104"/>
  <c r="AE6" i="104"/>
  <c r="AD6" i="104"/>
  <c r="AC6" i="104"/>
  <c r="AB6" i="104"/>
  <c r="AA6" i="104"/>
  <c r="Z6" i="104"/>
  <c r="Y6" i="104"/>
  <c r="X6" i="104"/>
  <c r="W6" i="104"/>
  <c r="V6" i="104"/>
  <c r="U6" i="104"/>
  <c r="T6" i="104"/>
  <c r="S6" i="104"/>
  <c r="R6" i="104"/>
  <c r="Q6" i="104"/>
  <c r="P6" i="104"/>
  <c r="O6" i="104"/>
  <c r="N6" i="104"/>
  <c r="AK4" i="104"/>
  <c r="AJ4" i="104"/>
  <c r="AI4" i="104"/>
  <c r="AH4" i="104"/>
  <c r="AG4" i="104"/>
  <c r="AF4" i="104"/>
  <c r="AE4" i="104"/>
  <c r="AD4" i="104"/>
  <c r="AC4" i="104"/>
  <c r="AB4" i="104"/>
  <c r="AA4" i="104"/>
  <c r="Z4" i="104"/>
  <c r="Y4" i="104"/>
  <c r="X4" i="104"/>
  <c r="W4" i="104"/>
  <c r="V4" i="104"/>
  <c r="U4" i="104"/>
  <c r="T4" i="104"/>
  <c r="S4" i="104"/>
  <c r="R4" i="104"/>
  <c r="Q4" i="104"/>
  <c r="P4" i="104"/>
  <c r="P5" i="50"/>
  <c r="O5" i="50"/>
  <c r="M19" i="48"/>
  <c r="N6" i="5"/>
  <c r="AK33" i="100"/>
  <c r="AJ33" i="100"/>
  <c r="AI33" i="100"/>
  <c r="AH33" i="100"/>
  <c r="AG33" i="100"/>
  <c r="AF33" i="100"/>
  <c r="AE33" i="100"/>
  <c r="AD33" i="100"/>
  <c r="AC33" i="100"/>
  <c r="AB33" i="100"/>
  <c r="AA33" i="100"/>
  <c r="Z33" i="100"/>
  <c r="Y33" i="100"/>
  <c r="X33" i="100"/>
  <c r="W33" i="100"/>
  <c r="V33" i="100"/>
  <c r="U33" i="100"/>
  <c r="T33" i="100"/>
  <c r="S33" i="100"/>
  <c r="R33" i="100"/>
  <c r="Q33" i="100"/>
  <c r="P33" i="100"/>
  <c r="O33" i="100"/>
  <c r="N33" i="100"/>
  <c r="AK32" i="100"/>
  <c r="AJ32" i="100"/>
  <c r="AI32" i="100"/>
  <c r="AH32" i="100"/>
  <c r="AG32" i="100"/>
  <c r="AF32" i="100"/>
  <c r="AE32" i="100"/>
  <c r="AD32" i="100"/>
  <c r="AC32" i="100"/>
  <c r="AB32" i="100"/>
  <c r="AA32" i="100"/>
  <c r="Z32" i="100"/>
  <c r="Y32" i="100"/>
  <c r="X32" i="100"/>
  <c r="W32" i="100"/>
  <c r="V32" i="100"/>
  <c r="U32" i="100"/>
  <c r="T32" i="100"/>
  <c r="S32" i="100"/>
  <c r="R32" i="100"/>
  <c r="Q32" i="100"/>
  <c r="P32" i="100"/>
  <c r="O32" i="100"/>
  <c r="N32" i="100"/>
  <c r="AK31" i="100"/>
  <c r="AJ31" i="100"/>
  <c r="AI31" i="100"/>
  <c r="AH31" i="100"/>
  <c r="AG31" i="100"/>
  <c r="AF31" i="100"/>
  <c r="AE31" i="100"/>
  <c r="AD31" i="100"/>
  <c r="AC31" i="100"/>
  <c r="AB31" i="100"/>
  <c r="AA31" i="100"/>
  <c r="Z31" i="100"/>
  <c r="Y31" i="100"/>
  <c r="X31" i="100"/>
  <c r="W31" i="100"/>
  <c r="V31" i="100"/>
  <c r="U31" i="100"/>
  <c r="T31" i="100"/>
  <c r="S31" i="100"/>
  <c r="R31" i="100"/>
  <c r="Q31" i="100"/>
  <c r="P31" i="100"/>
  <c r="O31" i="100"/>
  <c r="N31" i="100"/>
  <c r="AK30" i="100"/>
  <c r="AJ30" i="100"/>
  <c r="AI30" i="100"/>
  <c r="AH30" i="100"/>
  <c r="AG30" i="100"/>
  <c r="AF30" i="100"/>
  <c r="AE30" i="100"/>
  <c r="AD30" i="100"/>
  <c r="AC30" i="100"/>
  <c r="AB30" i="100"/>
  <c r="AA30" i="100"/>
  <c r="Z30" i="100"/>
  <c r="Y30" i="100"/>
  <c r="X30" i="100"/>
  <c r="W30" i="100"/>
  <c r="V30" i="100"/>
  <c r="U30" i="100"/>
  <c r="T30" i="100"/>
  <c r="S30" i="100"/>
  <c r="R30" i="100"/>
  <c r="Q30" i="100"/>
  <c r="P30" i="100"/>
  <c r="O30" i="100"/>
  <c r="N30" i="100"/>
  <c r="AK29" i="100"/>
  <c r="AJ29" i="100"/>
  <c r="AI29" i="100"/>
  <c r="AH29" i="100"/>
  <c r="AG29" i="100"/>
  <c r="AF29" i="100"/>
  <c r="AE29" i="100"/>
  <c r="AD29" i="100"/>
  <c r="AC29" i="100"/>
  <c r="AB29" i="100"/>
  <c r="AA29" i="100"/>
  <c r="Z29" i="100"/>
  <c r="Y29" i="100"/>
  <c r="X29" i="100"/>
  <c r="W29" i="100"/>
  <c r="V29" i="100"/>
  <c r="U29" i="100"/>
  <c r="T29" i="100"/>
  <c r="S29" i="100"/>
  <c r="R29" i="100"/>
  <c r="Q29" i="100"/>
  <c r="P29" i="100"/>
  <c r="O29" i="100"/>
  <c r="N29" i="100"/>
  <c r="AK28" i="100"/>
  <c r="AJ28" i="100"/>
  <c r="AI28" i="100"/>
  <c r="AH28" i="100"/>
  <c r="AG28" i="100"/>
  <c r="AF28" i="100"/>
  <c r="AE28" i="100"/>
  <c r="AD28" i="100"/>
  <c r="AC28" i="100"/>
  <c r="AB28" i="100"/>
  <c r="AA28" i="100"/>
  <c r="Z28" i="100"/>
  <c r="Y28" i="100"/>
  <c r="X28" i="100"/>
  <c r="W28" i="100"/>
  <c r="V28" i="100"/>
  <c r="U28" i="100"/>
  <c r="T28" i="100"/>
  <c r="S28" i="100"/>
  <c r="R28" i="100"/>
  <c r="Q28" i="100"/>
  <c r="P28" i="100"/>
  <c r="O28" i="100"/>
  <c r="N28" i="100"/>
  <c r="AK27" i="100"/>
  <c r="AJ27" i="100"/>
  <c r="AI27" i="100"/>
  <c r="AH27" i="100"/>
  <c r="AG27" i="100"/>
  <c r="AF27" i="100"/>
  <c r="AE27" i="100"/>
  <c r="AD27" i="100"/>
  <c r="AC27" i="100"/>
  <c r="AB27" i="100"/>
  <c r="AA27" i="100"/>
  <c r="Z27" i="100"/>
  <c r="Y27" i="100"/>
  <c r="X27" i="100"/>
  <c r="W27" i="100"/>
  <c r="V27" i="100"/>
  <c r="U27" i="100"/>
  <c r="T27" i="100"/>
  <c r="S27" i="100"/>
  <c r="R27" i="100"/>
  <c r="Q27" i="100"/>
  <c r="P27" i="100"/>
  <c r="O27" i="100"/>
  <c r="N27" i="100"/>
  <c r="AK26" i="100"/>
  <c r="AJ26" i="100"/>
  <c r="AI26" i="100"/>
  <c r="AH26" i="100"/>
  <c r="AG26" i="100"/>
  <c r="AF26" i="100"/>
  <c r="AE26" i="100"/>
  <c r="AD26" i="100"/>
  <c r="AC26" i="100"/>
  <c r="AB26" i="100"/>
  <c r="AA26" i="100"/>
  <c r="Z26" i="100"/>
  <c r="Y26" i="100"/>
  <c r="X26" i="100"/>
  <c r="W26" i="100"/>
  <c r="V26" i="100"/>
  <c r="U26" i="100"/>
  <c r="T26" i="100"/>
  <c r="S26" i="100"/>
  <c r="R26" i="100"/>
  <c r="Q26" i="100"/>
  <c r="P26" i="100"/>
  <c r="O26" i="100"/>
  <c r="N26" i="100"/>
  <c r="AK25" i="100"/>
  <c r="AJ25" i="100"/>
  <c r="AI25" i="100"/>
  <c r="AH25" i="100"/>
  <c r="AG25" i="100"/>
  <c r="AF25" i="100"/>
  <c r="AE25" i="100"/>
  <c r="AD25" i="100"/>
  <c r="AC25" i="100"/>
  <c r="AB25" i="100"/>
  <c r="AA25" i="100"/>
  <c r="Z25" i="100"/>
  <c r="Y25" i="100"/>
  <c r="X25" i="100"/>
  <c r="W25" i="100"/>
  <c r="V25" i="100"/>
  <c r="U25" i="100"/>
  <c r="T25" i="100"/>
  <c r="S25" i="100"/>
  <c r="R25" i="100"/>
  <c r="Q25" i="100"/>
  <c r="P25" i="100"/>
  <c r="O25" i="100"/>
  <c r="N25" i="100"/>
  <c r="AK24" i="100"/>
  <c r="AJ24" i="100"/>
  <c r="AI24" i="100"/>
  <c r="AH24" i="100"/>
  <c r="AG24" i="100"/>
  <c r="AF24" i="100"/>
  <c r="AE24" i="100"/>
  <c r="AD24" i="100"/>
  <c r="AC24" i="100"/>
  <c r="AB24" i="100"/>
  <c r="AA24" i="100"/>
  <c r="Z24" i="100"/>
  <c r="Y24" i="100"/>
  <c r="X24" i="100"/>
  <c r="W24" i="100"/>
  <c r="V24" i="100"/>
  <c r="U24" i="100"/>
  <c r="T24" i="100"/>
  <c r="S24" i="100"/>
  <c r="R24" i="100"/>
  <c r="Q24" i="100"/>
  <c r="P24" i="100"/>
  <c r="O24" i="100"/>
  <c r="N24" i="100"/>
  <c r="AK23" i="100"/>
  <c r="AJ23" i="100"/>
  <c r="AI23" i="100"/>
  <c r="AH23" i="100"/>
  <c r="AG23" i="100"/>
  <c r="AF23" i="100"/>
  <c r="AE23" i="100"/>
  <c r="AD23" i="100"/>
  <c r="AC23" i="100"/>
  <c r="AB23" i="100"/>
  <c r="AA23" i="100"/>
  <c r="Z23" i="100"/>
  <c r="Y23" i="100"/>
  <c r="X23" i="100"/>
  <c r="W23" i="100"/>
  <c r="V23" i="100"/>
  <c r="U23" i="100"/>
  <c r="T23" i="100"/>
  <c r="S23" i="100"/>
  <c r="R23" i="100"/>
  <c r="Q23" i="100"/>
  <c r="P23" i="100"/>
  <c r="O23" i="100"/>
  <c r="N23" i="100"/>
  <c r="AK22" i="100"/>
  <c r="AJ22" i="100"/>
  <c r="AI22" i="100"/>
  <c r="AH22" i="100"/>
  <c r="AG22" i="100"/>
  <c r="AF22" i="100"/>
  <c r="AE22" i="100"/>
  <c r="AD22" i="100"/>
  <c r="AC22" i="100"/>
  <c r="AB22" i="100"/>
  <c r="AA22" i="100"/>
  <c r="Z22" i="100"/>
  <c r="Y22" i="100"/>
  <c r="X22" i="100"/>
  <c r="W22" i="100"/>
  <c r="V22" i="100"/>
  <c r="U22" i="100"/>
  <c r="T22" i="100"/>
  <c r="S22" i="100"/>
  <c r="R22" i="100"/>
  <c r="Q22" i="100"/>
  <c r="P22" i="100"/>
  <c r="O22" i="100"/>
  <c r="N22" i="100"/>
  <c r="AK21" i="100"/>
  <c r="AJ21" i="100"/>
  <c r="AI21" i="100"/>
  <c r="AH21" i="100"/>
  <c r="AG21" i="100"/>
  <c r="AF21" i="100"/>
  <c r="AE21" i="100"/>
  <c r="AD21" i="100"/>
  <c r="AC21" i="100"/>
  <c r="AB21" i="100"/>
  <c r="AA21" i="100"/>
  <c r="Z21" i="100"/>
  <c r="Y21" i="100"/>
  <c r="X21" i="100"/>
  <c r="W21" i="100"/>
  <c r="V21" i="100"/>
  <c r="U21" i="100"/>
  <c r="T21" i="100"/>
  <c r="S21" i="100"/>
  <c r="R21" i="100"/>
  <c r="Q21" i="100"/>
  <c r="P21" i="100"/>
  <c r="O21" i="100"/>
  <c r="N21" i="100"/>
  <c r="AK20" i="100"/>
  <c r="AJ20" i="100"/>
  <c r="AI20" i="100"/>
  <c r="AH20" i="100"/>
  <c r="AG20" i="100"/>
  <c r="AF20" i="100"/>
  <c r="AE20" i="100"/>
  <c r="AD20" i="100"/>
  <c r="AC20" i="100"/>
  <c r="AB20" i="100"/>
  <c r="AA20" i="100"/>
  <c r="Z20" i="100"/>
  <c r="Y20" i="100"/>
  <c r="X20" i="100"/>
  <c r="W20" i="100"/>
  <c r="V20" i="100"/>
  <c r="U20" i="100"/>
  <c r="T20" i="100"/>
  <c r="S20" i="100"/>
  <c r="R20" i="100"/>
  <c r="Q20" i="100"/>
  <c r="P20" i="100"/>
  <c r="O20" i="100"/>
  <c r="N20" i="100"/>
  <c r="AK19" i="100"/>
  <c r="AJ19" i="100"/>
  <c r="AI19" i="100"/>
  <c r="AH19" i="100"/>
  <c r="AG19" i="100"/>
  <c r="AF19" i="100"/>
  <c r="AE19" i="100"/>
  <c r="AD19" i="100"/>
  <c r="AC19" i="100"/>
  <c r="AB19" i="100"/>
  <c r="AA19" i="100"/>
  <c r="Z19" i="100"/>
  <c r="Y19" i="100"/>
  <c r="X19" i="100"/>
  <c r="W19" i="100"/>
  <c r="V19" i="100"/>
  <c r="U19" i="100"/>
  <c r="T19" i="100"/>
  <c r="S19" i="100"/>
  <c r="R19" i="100"/>
  <c r="Q19" i="100"/>
  <c r="P19" i="100"/>
  <c r="O19" i="100"/>
  <c r="N19" i="100"/>
  <c r="AK18" i="100"/>
  <c r="AJ18" i="100"/>
  <c r="AI18" i="100"/>
  <c r="AH18" i="100"/>
  <c r="AG18" i="100"/>
  <c r="AF18" i="100"/>
  <c r="AE18" i="100"/>
  <c r="AD18" i="100"/>
  <c r="AC18" i="100"/>
  <c r="AB18" i="100"/>
  <c r="AA18" i="100"/>
  <c r="Z18" i="100"/>
  <c r="Y18" i="100"/>
  <c r="X18" i="100"/>
  <c r="W18" i="100"/>
  <c r="V18" i="100"/>
  <c r="U18" i="100"/>
  <c r="T18" i="100"/>
  <c r="S18" i="100"/>
  <c r="R18" i="100"/>
  <c r="Q18" i="100"/>
  <c r="P18" i="100"/>
  <c r="O18" i="100"/>
  <c r="N18" i="100"/>
  <c r="AK17" i="100"/>
  <c r="AJ17" i="100"/>
  <c r="AI17" i="100"/>
  <c r="AH17" i="100"/>
  <c r="AG17" i="100"/>
  <c r="AF17" i="100"/>
  <c r="AE17" i="100"/>
  <c r="AD17" i="100"/>
  <c r="AC17" i="100"/>
  <c r="AB17" i="100"/>
  <c r="AA17" i="100"/>
  <c r="Z17" i="100"/>
  <c r="Y17" i="100"/>
  <c r="X17" i="100"/>
  <c r="W17" i="100"/>
  <c r="V17" i="100"/>
  <c r="U17" i="100"/>
  <c r="T17" i="100"/>
  <c r="S17" i="100"/>
  <c r="R17" i="100"/>
  <c r="Q17" i="100"/>
  <c r="P17" i="100"/>
  <c r="O17" i="100"/>
  <c r="N17" i="100"/>
  <c r="AK16" i="100"/>
  <c r="AJ16" i="100"/>
  <c r="AI16" i="100"/>
  <c r="AH16" i="100"/>
  <c r="AG16" i="100"/>
  <c r="AF16" i="100"/>
  <c r="AE16" i="100"/>
  <c r="AD16" i="100"/>
  <c r="AC16" i="100"/>
  <c r="AB16" i="100"/>
  <c r="AA16" i="100"/>
  <c r="Z16" i="100"/>
  <c r="Y16" i="100"/>
  <c r="X16" i="100"/>
  <c r="W16" i="100"/>
  <c r="V16" i="100"/>
  <c r="U16" i="100"/>
  <c r="T16" i="100"/>
  <c r="S16" i="100"/>
  <c r="R16" i="100"/>
  <c r="Q16" i="100"/>
  <c r="P16" i="100"/>
  <c r="O16" i="100"/>
  <c r="N16" i="100"/>
  <c r="AK15" i="100"/>
  <c r="AJ15" i="100"/>
  <c r="AI15" i="100"/>
  <c r="AH15" i="100"/>
  <c r="AG15" i="100"/>
  <c r="AF15" i="100"/>
  <c r="AE15" i="100"/>
  <c r="AD15" i="100"/>
  <c r="AC15" i="100"/>
  <c r="AB15" i="100"/>
  <c r="AA15" i="100"/>
  <c r="Z15" i="100"/>
  <c r="Y15" i="100"/>
  <c r="X15" i="100"/>
  <c r="W15" i="100"/>
  <c r="V15" i="100"/>
  <c r="U15" i="100"/>
  <c r="T15" i="100"/>
  <c r="S15" i="100"/>
  <c r="R15" i="100"/>
  <c r="Q15" i="100"/>
  <c r="P15" i="100"/>
  <c r="O15" i="100"/>
  <c r="N15" i="100"/>
  <c r="AK14" i="100"/>
  <c r="AJ14" i="100"/>
  <c r="AI14" i="100"/>
  <c r="AH14" i="100"/>
  <c r="AG14" i="100"/>
  <c r="AF14" i="100"/>
  <c r="AE14" i="100"/>
  <c r="AD14" i="100"/>
  <c r="AC14" i="100"/>
  <c r="AB14" i="100"/>
  <c r="AA14" i="100"/>
  <c r="Z14" i="100"/>
  <c r="Y14" i="100"/>
  <c r="X14" i="100"/>
  <c r="W14" i="100"/>
  <c r="V14" i="100"/>
  <c r="U14" i="100"/>
  <c r="T14" i="100"/>
  <c r="S14" i="100"/>
  <c r="R14" i="100"/>
  <c r="Q14" i="100"/>
  <c r="P14" i="100"/>
  <c r="O14" i="100"/>
  <c r="N14" i="100"/>
  <c r="AK13" i="100"/>
  <c r="AJ13" i="100"/>
  <c r="AI13" i="100"/>
  <c r="AH13" i="100"/>
  <c r="AG13" i="100"/>
  <c r="AF13" i="100"/>
  <c r="AE13" i="100"/>
  <c r="AD13" i="100"/>
  <c r="AC13" i="100"/>
  <c r="AB13" i="100"/>
  <c r="AA13" i="100"/>
  <c r="Z13" i="100"/>
  <c r="Y13" i="100"/>
  <c r="X13" i="100"/>
  <c r="W13" i="100"/>
  <c r="V13" i="100"/>
  <c r="U13" i="100"/>
  <c r="T13" i="100"/>
  <c r="S13" i="100"/>
  <c r="R13" i="100"/>
  <c r="Q13" i="100"/>
  <c r="P13" i="100"/>
  <c r="O13" i="100"/>
  <c r="N13" i="100"/>
  <c r="AK12" i="100"/>
  <c r="AJ12" i="100"/>
  <c r="AI12" i="100"/>
  <c r="AH12" i="100"/>
  <c r="AG12" i="100"/>
  <c r="AF12" i="100"/>
  <c r="AE12" i="100"/>
  <c r="AD12" i="100"/>
  <c r="AC12" i="100"/>
  <c r="AB12" i="100"/>
  <c r="AA12" i="100"/>
  <c r="Z12" i="100"/>
  <c r="Y12" i="100"/>
  <c r="X12" i="100"/>
  <c r="W12" i="100"/>
  <c r="V12" i="100"/>
  <c r="U12" i="100"/>
  <c r="T12" i="100"/>
  <c r="S12" i="100"/>
  <c r="R12" i="100"/>
  <c r="Q12" i="100"/>
  <c r="P12" i="100"/>
  <c r="O12" i="100"/>
  <c r="N12" i="100"/>
  <c r="AK11" i="100"/>
  <c r="AJ11" i="100"/>
  <c r="AI11" i="100"/>
  <c r="AH11" i="100"/>
  <c r="AG11" i="100"/>
  <c r="AF11" i="100"/>
  <c r="AE11" i="100"/>
  <c r="AD11" i="100"/>
  <c r="AC11" i="100"/>
  <c r="AB11" i="100"/>
  <c r="AA11" i="100"/>
  <c r="Z11" i="100"/>
  <c r="Y11" i="100"/>
  <c r="X11" i="100"/>
  <c r="W11" i="100"/>
  <c r="V11" i="100"/>
  <c r="U11" i="100"/>
  <c r="T11" i="100"/>
  <c r="S11" i="100"/>
  <c r="R11" i="100"/>
  <c r="Q11" i="100"/>
  <c r="P11" i="100"/>
  <c r="O11" i="100"/>
  <c r="N11" i="100"/>
  <c r="AK10" i="100"/>
  <c r="AJ10" i="100"/>
  <c r="AI10" i="100"/>
  <c r="AH10" i="100"/>
  <c r="AG10" i="100"/>
  <c r="AF10" i="100"/>
  <c r="AE10" i="100"/>
  <c r="AD10" i="100"/>
  <c r="AC10" i="100"/>
  <c r="AB10" i="100"/>
  <c r="AA10" i="100"/>
  <c r="Z10" i="100"/>
  <c r="Y10" i="100"/>
  <c r="X10" i="100"/>
  <c r="W10" i="100"/>
  <c r="V10" i="100"/>
  <c r="U10" i="100"/>
  <c r="T10" i="100"/>
  <c r="S10" i="100"/>
  <c r="R10" i="100"/>
  <c r="Q10" i="100"/>
  <c r="P10" i="100"/>
  <c r="O10" i="100"/>
  <c r="N10" i="100"/>
  <c r="AK9" i="100"/>
  <c r="AJ9" i="100"/>
  <c r="AI9" i="100"/>
  <c r="AH9" i="100"/>
  <c r="AG9" i="100"/>
  <c r="AF9" i="100"/>
  <c r="AE9" i="100"/>
  <c r="AD9" i="100"/>
  <c r="AC9" i="100"/>
  <c r="AB9" i="100"/>
  <c r="AA9" i="100"/>
  <c r="Z9" i="100"/>
  <c r="Y9" i="100"/>
  <c r="X9" i="100"/>
  <c r="W9" i="100"/>
  <c r="V9" i="100"/>
  <c r="U9" i="100"/>
  <c r="T9" i="100"/>
  <c r="S9" i="100"/>
  <c r="R9" i="100"/>
  <c r="Q9" i="100"/>
  <c r="P9" i="100"/>
  <c r="O9" i="100"/>
  <c r="N9" i="100"/>
  <c r="AK8" i="100"/>
  <c r="AJ8" i="100"/>
  <c r="AI8" i="100"/>
  <c r="AH8" i="100"/>
  <c r="AG8" i="100"/>
  <c r="AF8" i="100"/>
  <c r="AE8" i="100"/>
  <c r="AD8" i="100"/>
  <c r="AC8" i="100"/>
  <c r="AB8" i="100"/>
  <c r="AA8" i="100"/>
  <c r="Z8" i="100"/>
  <c r="Y8" i="100"/>
  <c r="X8" i="100"/>
  <c r="W8" i="100"/>
  <c r="V8" i="100"/>
  <c r="U8" i="100"/>
  <c r="T8" i="100"/>
  <c r="S8" i="100"/>
  <c r="R8" i="100"/>
  <c r="Q8" i="100"/>
  <c r="P8" i="100"/>
  <c r="O8" i="100"/>
  <c r="N8" i="100"/>
  <c r="AK7" i="100"/>
  <c r="AJ7" i="100"/>
  <c r="AI7" i="100"/>
  <c r="AH7" i="100"/>
  <c r="AG7" i="100"/>
  <c r="AF7" i="100"/>
  <c r="AE7" i="100"/>
  <c r="AD7" i="100"/>
  <c r="AC7" i="100"/>
  <c r="AB7" i="100"/>
  <c r="AA7" i="100"/>
  <c r="Z7" i="100"/>
  <c r="Y7" i="100"/>
  <c r="X7" i="100"/>
  <c r="W7" i="100"/>
  <c r="V7" i="100"/>
  <c r="U7" i="100"/>
  <c r="T7" i="100"/>
  <c r="S7" i="100"/>
  <c r="R7" i="100"/>
  <c r="Q7" i="100"/>
  <c r="P7" i="100"/>
  <c r="O7" i="100"/>
  <c r="N7" i="100"/>
  <c r="AK6" i="100"/>
  <c r="AJ6" i="100"/>
  <c r="AI6" i="100"/>
  <c r="AH6" i="100"/>
  <c r="AG6" i="100"/>
  <c r="AF6" i="100"/>
  <c r="AE6" i="100"/>
  <c r="AD6" i="100"/>
  <c r="AC6" i="100"/>
  <c r="AB6" i="100"/>
  <c r="AA6" i="100"/>
  <c r="Z6" i="100"/>
  <c r="Y6" i="100"/>
  <c r="X6" i="100"/>
  <c r="W6" i="100"/>
  <c r="V6" i="100"/>
  <c r="U6" i="100"/>
  <c r="T6" i="100"/>
  <c r="S6" i="100"/>
  <c r="R6" i="100"/>
  <c r="Q6" i="100"/>
  <c r="P6" i="100"/>
  <c r="O6" i="100"/>
  <c r="N6" i="100"/>
  <c r="AK4" i="100"/>
  <c r="AJ4" i="100"/>
  <c r="AI4" i="100"/>
  <c r="AH4" i="100"/>
  <c r="AG4" i="100"/>
  <c r="AF4" i="100"/>
  <c r="AE4" i="100"/>
  <c r="AD4" i="100"/>
  <c r="AC4" i="100"/>
  <c r="AB4" i="100"/>
  <c r="AA4" i="100"/>
  <c r="Z4" i="100"/>
  <c r="Y4" i="100"/>
  <c r="X4" i="100"/>
  <c r="W4" i="100"/>
  <c r="V4" i="100"/>
  <c r="U4" i="100"/>
  <c r="T4" i="100"/>
  <c r="S4" i="100"/>
  <c r="R4" i="100"/>
  <c r="Q4" i="100"/>
  <c r="P4" i="100"/>
  <c r="Q10" i="24"/>
  <c r="P10" i="24"/>
  <c r="Q9" i="24"/>
  <c r="P9" i="24"/>
  <c r="Q8" i="24"/>
  <c r="P8" i="24"/>
  <c r="Q7" i="24"/>
  <c r="Q11" i="24" s="1"/>
  <c r="P7" i="24"/>
  <c r="Q6" i="24"/>
  <c r="S8" i="24" s="1"/>
  <c r="P6" i="24"/>
  <c r="Q5" i="24"/>
  <c r="S5" i="24" s="1"/>
  <c r="P5" i="24"/>
  <c r="R5" i="24" s="1"/>
  <c r="T5" i="23"/>
  <c r="U5" i="23" s="1"/>
  <c r="T4" i="23"/>
  <c r="R4" i="23"/>
  <c r="Q4" i="23"/>
  <c r="T5" i="19"/>
  <c r="U5" i="19" s="1"/>
  <c r="T4" i="19"/>
  <c r="Q12" i="19"/>
  <c r="Q18" i="19"/>
  <c r="Q24" i="19"/>
  <c r="Q30" i="19"/>
  <c r="Q36" i="19"/>
  <c r="Q42" i="19"/>
  <c r="Q48" i="19"/>
  <c r="R4" i="19"/>
  <c r="P5" i="14"/>
  <c r="Q5" i="14" s="1"/>
  <c r="O5" i="14"/>
  <c r="X27" i="41"/>
  <c r="W27" i="41"/>
  <c r="V27" i="41"/>
  <c r="U27" i="41"/>
  <c r="T27" i="41"/>
  <c r="S27" i="41"/>
  <c r="R27" i="41"/>
  <c r="Q27" i="41"/>
  <c r="P27" i="41"/>
  <c r="O27" i="41"/>
  <c r="N27" i="41"/>
  <c r="X26" i="41"/>
  <c r="W26" i="41"/>
  <c r="V26" i="41"/>
  <c r="U26" i="41"/>
  <c r="T26" i="41"/>
  <c r="S26" i="41"/>
  <c r="R26" i="41"/>
  <c r="Q26" i="41"/>
  <c r="P26" i="41"/>
  <c r="O26" i="41"/>
  <c r="X4" i="41"/>
  <c r="W4" i="41"/>
  <c r="V4" i="41"/>
  <c r="U4" i="41"/>
  <c r="T4" i="41"/>
  <c r="S4" i="41"/>
  <c r="R4" i="41"/>
  <c r="Q4" i="41"/>
  <c r="P4" i="41"/>
  <c r="O4" i="41"/>
  <c r="N4" i="41"/>
  <c r="AK33" i="103"/>
  <c r="AJ33" i="103"/>
  <c r="AI33" i="103"/>
  <c r="AH33" i="103"/>
  <c r="AG33" i="103"/>
  <c r="AF33" i="103"/>
  <c r="AE33" i="103"/>
  <c r="AD33" i="103"/>
  <c r="AC33" i="103"/>
  <c r="AB33" i="103"/>
  <c r="AA33" i="103"/>
  <c r="Z33" i="103"/>
  <c r="Y33" i="103"/>
  <c r="X33" i="103"/>
  <c r="W33" i="103"/>
  <c r="V33" i="103"/>
  <c r="U33" i="103"/>
  <c r="T33" i="103"/>
  <c r="S33" i="103"/>
  <c r="R33" i="103"/>
  <c r="Q33" i="103"/>
  <c r="P33" i="103"/>
  <c r="O33" i="103"/>
  <c r="N33" i="103"/>
  <c r="AK32" i="103"/>
  <c r="AJ32" i="103"/>
  <c r="AI32" i="103"/>
  <c r="AH32" i="103"/>
  <c r="AG32" i="103"/>
  <c r="AF32" i="103"/>
  <c r="AE32" i="103"/>
  <c r="AD32" i="103"/>
  <c r="AC32" i="103"/>
  <c r="AB32" i="103"/>
  <c r="AA32" i="103"/>
  <c r="Z32" i="103"/>
  <c r="Y32" i="103"/>
  <c r="X32" i="103"/>
  <c r="W32" i="103"/>
  <c r="V32" i="103"/>
  <c r="U32" i="103"/>
  <c r="T32" i="103"/>
  <c r="S32" i="103"/>
  <c r="R32" i="103"/>
  <c r="Q32" i="103"/>
  <c r="P32" i="103"/>
  <c r="O32" i="103"/>
  <c r="N32" i="103"/>
  <c r="AK31" i="103"/>
  <c r="AJ31" i="103"/>
  <c r="AI31" i="103"/>
  <c r="AH31" i="103"/>
  <c r="AG31" i="103"/>
  <c r="AF31" i="103"/>
  <c r="AE31" i="103"/>
  <c r="AD31" i="103"/>
  <c r="AC31" i="103"/>
  <c r="AB31" i="103"/>
  <c r="AA31" i="103"/>
  <c r="Z31" i="103"/>
  <c r="Y31" i="103"/>
  <c r="X31" i="103"/>
  <c r="W31" i="103"/>
  <c r="V31" i="103"/>
  <c r="U31" i="103"/>
  <c r="T31" i="103"/>
  <c r="S31" i="103"/>
  <c r="R31" i="103"/>
  <c r="Q31" i="103"/>
  <c r="P31" i="103"/>
  <c r="O31" i="103"/>
  <c r="N31" i="103"/>
  <c r="AK30" i="103"/>
  <c r="AJ30" i="103"/>
  <c r="AI30" i="103"/>
  <c r="AH30" i="103"/>
  <c r="AG30" i="103"/>
  <c r="AF30" i="103"/>
  <c r="AE30" i="103"/>
  <c r="AD30" i="103"/>
  <c r="AC30" i="103"/>
  <c r="AB30" i="103"/>
  <c r="AA30" i="103"/>
  <c r="Z30" i="103"/>
  <c r="Y30" i="103"/>
  <c r="X30" i="103"/>
  <c r="W30" i="103"/>
  <c r="V30" i="103"/>
  <c r="U30" i="103"/>
  <c r="T30" i="103"/>
  <c r="S30" i="103"/>
  <c r="R30" i="103"/>
  <c r="Q30" i="103"/>
  <c r="P30" i="103"/>
  <c r="O30" i="103"/>
  <c r="N30" i="103"/>
  <c r="AK29" i="103"/>
  <c r="AJ29" i="103"/>
  <c r="AI29" i="103"/>
  <c r="AH29" i="103"/>
  <c r="AG29" i="103"/>
  <c r="AF29" i="103"/>
  <c r="AE29" i="103"/>
  <c r="AD29" i="103"/>
  <c r="AC29" i="103"/>
  <c r="AB29" i="103"/>
  <c r="AA29" i="103"/>
  <c r="Z29" i="103"/>
  <c r="Y29" i="103"/>
  <c r="X29" i="103"/>
  <c r="W29" i="103"/>
  <c r="V29" i="103"/>
  <c r="U29" i="103"/>
  <c r="T29" i="103"/>
  <c r="S29" i="103"/>
  <c r="R29" i="103"/>
  <c r="Q29" i="103"/>
  <c r="P29" i="103"/>
  <c r="O29" i="103"/>
  <c r="N29" i="103"/>
  <c r="AK28" i="103"/>
  <c r="AJ28" i="103"/>
  <c r="AI28" i="103"/>
  <c r="AH28" i="103"/>
  <c r="AG28" i="103"/>
  <c r="AF28" i="103"/>
  <c r="AE28" i="103"/>
  <c r="AD28" i="103"/>
  <c r="AC28" i="103"/>
  <c r="AB28" i="103"/>
  <c r="AA28" i="103"/>
  <c r="Z28" i="103"/>
  <c r="Y28" i="103"/>
  <c r="X28" i="103"/>
  <c r="W28" i="103"/>
  <c r="V28" i="103"/>
  <c r="U28" i="103"/>
  <c r="T28" i="103"/>
  <c r="S28" i="103"/>
  <c r="R28" i="103"/>
  <c r="Q28" i="103"/>
  <c r="P28" i="103"/>
  <c r="O28" i="103"/>
  <c r="N28" i="103"/>
  <c r="AK27" i="103"/>
  <c r="AJ27" i="103"/>
  <c r="AI27" i="103"/>
  <c r="AH27" i="103"/>
  <c r="AG27" i="103"/>
  <c r="AF27" i="103"/>
  <c r="AE27" i="103"/>
  <c r="AD27" i="103"/>
  <c r="AC27" i="103"/>
  <c r="AB27" i="103"/>
  <c r="AA27" i="103"/>
  <c r="Z27" i="103"/>
  <c r="Y27" i="103"/>
  <c r="X27" i="103"/>
  <c r="W27" i="103"/>
  <c r="V27" i="103"/>
  <c r="U27" i="103"/>
  <c r="T27" i="103"/>
  <c r="S27" i="103"/>
  <c r="R27" i="103"/>
  <c r="Q27" i="103"/>
  <c r="P27" i="103"/>
  <c r="O27" i="103"/>
  <c r="N27" i="103"/>
  <c r="AK26" i="103"/>
  <c r="AJ26" i="103"/>
  <c r="AI26" i="103"/>
  <c r="AH26" i="103"/>
  <c r="AG26" i="103"/>
  <c r="AF26" i="103"/>
  <c r="AE26" i="103"/>
  <c r="AD26" i="103"/>
  <c r="AC26" i="103"/>
  <c r="AB26" i="103"/>
  <c r="AA26" i="103"/>
  <c r="Z26" i="103"/>
  <c r="Y26" i="103"/>
  <c r="X26" i="103"/>
  <c r="W26" i="103"/>
  <c r="V26" i="103"/>
  <c r="U26" i="103"/>
  <c r="T26" i="103"/>
  <c r="S26" i="103"/>
  <c r="R26" i="103"/>
  <c r="Q26" i="103"/>
  <c r="P26" i="103"/>
  <c r="O26" i="103"/>
  <c r="N26" i="103"/>
  <c r="AK25" i="103"/>
  <c r="AJ25" i="103"/>
  <c r="AI25" i="103"/>
  <c r="AH25" i="103"/>
  <c r="AG25" i="103"/>
  <c r="AF25" i="103"/>
  <c r="AE25" i="103"/>
  <c r="AD25" i="103"/>
  <c r="AC25" i="103"/>
  <c r="AB25" i="103"/>
  <c r="AA25" i="103"/>
  <c r="Z25" i="103"/>
  <c r="Y25" i="103"/>
  <c r="X25" i="103"/>
  <c r="W25" i="103"/>
  <c r="V25" i="103"/>
  <c r="U25" i="103"/>
  <c r="T25" i="103"/>
  <c r="S25" i="103"/>
  <c r="R25" i="103"/>
  <c r="Q25" i="103"/>
  <c r="P25" i="103"/>
  <c r="O25" i="103"/>
  <c r="N25" i="103"/>
  <c r="AK24" i="103"/>
  <c r="AJ24" i="103"/>
  <c r="AI24" i="103"/>
  <c r="AH24" i="103"/>
  <c r="AG24" i="103"/>
  <c r="AF24" i="103"/>
  <c r="AE24" i="103"/>
  <c r="AD24" i="103"/>
  <c r="AC24" i="103"/>
  <c r="AB24" i="103"/>
  <c r="AA24" i="103"/>
  <c r="Z24" i="103"/>
  <c r="Y24" i="103"/>
  <c r="X24" i="103"/>
  <c r="W24" i="103"/>
  <c r="V24" i="103"/>
  <c r="U24" i="103"/>
  <c r="T24" i="103"/>
  <c r="S24" i="103"/>
  <c r="R24" i="103"/>
  <c r="Q24" i="103"/>
  <c r="P24" i="103"/>
  <c r="O24" i="103"/>
  <c r="N24" i="103"/>
  <c r="AK23" i="103"/>
  <c r="AJ23" i="103"/>
  <c r="AI23" i="103"/>
  <c r="AH23" i="103"/>
  <c r="AG23" i="103"/>
  <c r="AF23" i="103"/>
  <c r="AE23" i="103"/>
  <c r="AD23" i="103"/>
  <c r="AC23" i="103"/>
  <c r="AB23" i="103"/>
  <c r="AA23" i="103"/>
  <c r="Z23" i="103"/>
  <c r="Y23" i="103"/>
  <c r="X23" i="103"/>
  <c r="W23" i="103"/>
  <c r="V23" i="103"/>
  <c r="U23" i="103"/>
  <c r="T23" i="103"/>
  <c r="S23" i="103"/>
  <c r="R23" i="103"/>
  <c r="Q23" i="103"/>
  <c r="P23" i="103"/>
  <c r="O23" i="103"/>
  <c r="N23" i="103"/>
  <c r="AK22" i="103"/>
  <c r="AJ22" i="103"/>
  <c r="AI22" i="103"/>
  <c r="AH22" i="103"/>
  <c r="AG22" i="103"/>
  <c r="AF22" i="103"/>
  <c r="AE22" i="103"/>
  <c r="AD22" i="103"/>
  <c r="AC22" i="103"/>
  <c r="AB22" i="103"/>
  <c r="AA22" i="103"/>
  <c r="Z22" i="103"/>
  <c r="Y22" i="103"/>
  <c r="X22" i="103"/>
  <c r="W22" i="103"/>
  <c r="V22" i="103"/>
  <c r="U22" i="103"/>
  <c r="T22" i="103"/>
  <c r="S22" i="103"/>
  <c r="R22" i="103"/>
  <c r="Q22" i="103"/>
  <c r="P22" i="103"/>
  <c r="O22" i="103"/>
  <c r="N22" i="103"/>
  <c r="AK21" i="103"/>
  <c r="AJ21" i="103"/>
  <c r="AI21" i="103"/>
  <c r="AH21" i="103"/>
  <c r="AG21" i="103"/>
  <c r="AF21" i="103"/>
  <c r="AE21" i="103"/>
  <c r="AD21" i="103"/>
  <c r="AC21" i="103"/>
  <c r="AB21" i="103"/>
  <c r="AA21" i="103"/>
  <c r="Z21" i="103"/>
  <c r="Y21" i="103"/>
  <c r="X21" i="103"/>
  <c r="W21" i="103"/>
  <c r="V21" i="103"/>
  <c r="U21" i="103"/>
  <c r="T21" i="103"/>
  <c r="S21" i="103"/>
  <c r="R21" i="103"/>
  <c r="Q21" i="103"/>
  <c r="P21" i="103"/>
  <c r="O21" i="103"/>
  <c r="N21" i="103"/>
  <c r="AK20" i="103"/>
  <c r="AJ20" i="103"/>
  <c r="AI20" i="103"/>
  <c r="AH20" i="103"/>
  <c r="AG20" i="103"/>
  <c r="AF20" i="103"/>
  <c r="AE20" i="103"/>
  <c r="AD20" i="103"/>
  <c r="AC20" i="103"/>
  <c r="AB20" i="103"/>
  <c r="AA20" i="103"/>
  <c r="Z20" i="103"/>
  <c r="Y20" i="103"/>
  <c r="X20" i="103"/>
  <c r="W20" i="103"/>
  <c r="V20" i="103"/>
  <c r="U20" i="103"/>
  <c r="T20" i="103"/>
  <c r="S20" i="103"/>
  <c r="R20" i="103"/>
  <c r="Q20" i="103"/>
  <c r="P20" i="103"/>
  <c r="O20" i="103"/>
  <c r="N20" i="103"/>
  <c r="AK19" i="103"/>
  <c r="AJ19" i="103"/>
  <c r="AI19" i="103"/>
  <c r="AH19" i="103"/>
  <c r="AG19" i="103"/>
  <c r="AF19" i="103"/>
  <c r="AE19" i="103"/>
  <c r="AD19" i="103"/>
  <c r="AC19" i="103"/>
  <c r="AB19" i="103"/>
  <c r="AA19" i="103"/>
  <c r="Z19" i="103"/>
  <c r="Y19" i="103"/>
  <c r="X19" i="103"/>
  <c r="W19" i="103"/>
  <c r="V19" i="103"/>
  <c r="U19" i="103"/>
  <c r="T19" i="103"/>
  <c r="S19" i="103"/>
  <c r="R19" i="103"/>
  <c r="Q19" i="103"/>
  <c r="P19" i="103"/>
  <c r="O19" i="103"/>
  <c r="N19" i="103"/>
  <c r="AK18" i="103"/>
  <c r="AJ18" i="103"/>
  <c r="AI18" i="103"/>
  <c r="AH18" i="103"/>
  <c r="AG18" i="103"/>
  <c r="AF18" i="103"/>
  <c r="AE18" i="103"/>
  <c r="AD18" i="103"/>
  <c r="AC18" i="103"/>
  <c r="AB18" i="103"/>
  <c r="AA18" i="103"/>
  <c r="Z18" i="103"/>
  <c r="Y18" i="103"/>
  <c r="X18" i="103"/>
  <c r="W18" i="103"/>
  <c r="V18" i="103"/>
  <c r="U18" i="103"/>
  <c r="T18" i="103"/>
  <c r="S18" i="103"/>
  <c r="R18" i="103"/>
  <c r="Q18" i="103"/>
  <c r="P18" i="103"/>
  <c r="O18" i="103"/>
  <c r="N18" i="103"/>
  <c r="AK17" i="103"/>
  <c r="AJ17" i="103"/>
  <c r="AI17" i="103"/>
  <c r="AH17" i="103"/>
  <c r="AG17" i="103"/>
  <c r="AF17" i="103"/>
  <c r="AE17" i="103"/>
  <c r="AD17" i="103"/>
  <c r="AC17" i="103"/>
  <c r="AB17" i="103"/>
  <c r="AA17" i="103"/>
  <c r="Z17" i="103"/>
  <c r="Y17" i="103"/>
  <c r="X17" i="103"/>
  <c r="W17" i="103"/>
  <c r="V17" i="103"/>
  <c r="U17" i="103"/>
  <c r="T17" i="103"/>
  <c r="S17" i="103"/>
  <c r="R17" i="103"/>
  <c r="Q17" i="103"/>
  <c r="P17" i="103"/>
  <c r="O17" i="103"/>
  <c r="N17" i="103"/>
  <c r="AK16" i="103"/>
  <c r="AJ16" i="103"/>
  <c r="AI16" i="103"/>
  <c r="AH16" i="103"/>
  <c r="AG16" i="103"/>
  <c r="AF16" i="103"/>
  <c r="AE16" i="103"/>
  <c r="AD16" i="103"/>
  <c r="AC16" i="103"/>
  <c r="AB16" i="103"/>
  <c r="AA16" i="103"/>
  <c r="Z16" i="103"/>
  <c r="Y16" i="103"/>
  <c r="X16" i="103"/>
  <c r="W16" i="103"/>
  <c r="V16" i="103"/>
  <c r="U16" i="103"/>
  <c r="T16" i="103"/>
  <c r="S16" i="103"/>
  <c r="R16" i="103"/>
  <c r="Q16" i="103"/>
  <c r="P16" i="103"/>
  <c r="O16" i="103"/>
  <c r="N16" i="103"/>
  <c r="AK15" i="103"/>
  <c r="AJ15" i="103"/>
  <c r="AI15" i="103"/>
  <c r="AH15" i="103"/>
  <c r="AG15" i="103"/>
  <c r="AF15" i="103"/>
  <c r="AE15" i="103"/>
  <c r="AD15" i="103"/>
  <c r="AC15" i="103"/>
  <c r="AB15" i="103"/>
  <c r="AA15" i="103"/>
  <c r="Z15" i="103"/>
  <c r="Y15" i="103"/>
  <c r="X15" i="103"/>
  <c r="W15" i="103"/>
  <c r="V15" i="103"/>
  <c r="U15" i="103"/>
  <c r="T15" i="103"/>
  <c r="S15" i="103"/>
  <c r="R15" i="103"/>
  <c r="Q15" i="103"/>
  <c r="P15" i="103"/>
  <c r="O15" i="103"/>
  <c r="N15" i="103"/>
  <c r="AK14" i="103"/>
  <c r="AJ14" i="103"/>
  <c r="AI14" i="103"/>
  <c r="AH14" i="103"/>
  <c r="AG14" i="103"/>
  <c r="AF14" i="103"/>
  <c r="AE14" i="103"/>
  <c r="AD14" i="103"/>
  <c r="AC14" i="103"/>
  <c r="AB14" i="103"/>
  <c r="AA14" i="103"/>
  <c r="Z14" i="103"/>
  <c r="Y14" i="103"/>
  <c r="X14" i="103"/>
  <c r="W14" i="103"/>
  <c r="V14" i="103"/>
  <c r="U14" i="103"/>
  <c r="T14" i="103"/>
  <c r="S14" i="103"/>
  <c r="R14" i="103"/>
  <c r="Q14" i="103"/>
  <c r="P14" i="103"/>
  <c r="O14" i="103"/>
  <c r="N14" i="103"/>
  <c r="AK13" i="103"/>
  <c r="AJ13" i="103"/>
  <c r="AI13" i="103"/>
  <c r="AH13" i="103"/>
  <c r="AG13" i="103"/>
  <c r="AF13" i="103"/>
  <c r="AE13" i="103"/>
  <c r="AD13" i="103"/>
  <c r="AC13" i="103"/>
  <c r="AB13" i="103"/>
  <c r="AA13" i="103"/>
  <c r="Z13" i="103"/>
  <c r="Y13" i="103"/>
  <c r="X13" i="103"/>
  <c r="W13" i="103"/>
  <c r="V13" i="103"/>
  <c r="U13" i="103"/>
  <c r="T13" i="103"/>
  <c r="S13" i="103"/>
  <c r="R13" i="103"/>
  <c r="Q13" i="103"/>
  <c r="P13" i="103"/>
  <c r="O13" i="103"/>
  <c r="N13" i="103"/>
  <c r="AK12" i="103"/>
  <c r="AJ12" i="103"/>
  <c r="AI12" i="103"/>
  <c r="AH12" i="103"/>
  <c r="AG12" i="103"/>
  <c r="AF12" i="103"/>
  <c r="AE12" i="103"/>
  <c r="AD12" i="103"/>
  <c r="AC12" i="103"/>
  <c r="AB12" i="103"/>
  <c r="AA12" i="103"/>
  <c r="Z12" i="103"/>
  <c r="Y12" i="103"/>
  <c r="X12" i="103"/>
  <c r="W12" i="103"/>
  <c r="V12" i="103"/>
  <c r="U12" i="103"/>
  <c r="T12" i="103"/>
  <c r="S12" i="103"/>
  <c r="R12" i="103"/>
  <c r="Q12" i="103"/>
  <c r="P12" i="103"/>
  <c r="O12" i="103"/>
  <c r="N12" i="103"/>
  <c r="AK11" i="103"/>
  <c r="AJ11" i="103"/>
  <c r="AI11" i="103"/>
  <c r="AH11" i="103"/>
  <c r="AG11" i="103"/>
  <c r="AF11" i="103"/>
  <c r="AE11" i="103"/>
  <c r="AD11" i="103"/>
  <c r="AC11" i="103"/>
  <c r="AB11" i="103"/>
  <c r="AA11" i="103"/>
  <c r="Z11" i="103"/>
  <c r="Y11" i="103"/>
  <c r="X11" i="103"/>
  <c r="W11" i="103"/>
  <c r="V11" i="103"/>
  <c r="U11" i="103"/>
  <c r="T11" i="103"/>
  <c r="S11" i="103"/>
  <c r="R11" i="103"/>
  <c r="Q11" i="103"/>
  <c r="P11" i="103"/>
  <c r="O11" i="103"/>
  <c r="N11" i="103"/>
  <c r="AK10" i="103"/>
  <c r="AJ10" i="103"/>
  <c r="AI10" i="103"/>
  <c r="AH10" i="103"/>
  <c r="AG10" i="103"/>
  <c r="AF10" i="103"/>
  <c r="AE10" i="103"/>
  <c r="AD10" i="103"/>
  <c r="AC10" i="103"/>
  <c r="AB10" i="103"/>
  <c r="AA10" i="103"/>
  <c r="Z10" i="103"/>
  <c r="Y10" i="103"/>
  <c r="X10" i="103"/>
  <c r="W10" i="103"/>
  <c r="V10" i="103"/>
  <c r="U10" i="103"/>
  <c r="T10" i="103"/>
  <c r="S10" i="103"/>
  <c r="R10" i="103"/>
  <c r="Q10" i="103"/>
  <c r="P10" i="103"/>
  <c r="O10" i="103"/>
  <c r="N10" i="103"/>
  <c r="AK9" i="103"/>
  <c r="AJ9" i="103"/>
  <c r="AI9" i="103"/>
  <c r="AH9" i="103"/>
  <c r="AG9" i="103"/>
  <c r="AF9" i="103"/>
  <c r="AE9" i="103"/>
  <c r="AD9" i="103"/>
  <c r="AC9" i="103"/>
  <c r="AB9" i="103"/>
  <c r="AA9" i="103"/>
  <c r="Z9" i="103"/>
  <c r="Y9" i="103"/>
  <c r="X9" i="103"/>
  <c r="W9" i="103"/>
  <c r="V9" i="103"/>
  <c r="U9" i="103"/>
  <c r="T9" i="103"/>
  <c r="S9" i="103"/>
  <c r="R9" i="103"/>
  <c r="Q9" i="103"/>
  <c r="P9" i="103"/>
  <c r="O9" i="103"/>
  <c r="N9" i="103"/>
  <c r="AK8" i="103"/>
  <c r="AJ8" i="103"/>
  <c r="AI8" i="103"/>
  <c r="AH8" i="103"/>
  <c r="AG8" i="103"/>
  <c r="AF8" i="103"/>
  <c r="AE8" i="103"/>
  <c r="AD8" i="103"/>
  <c r="AC8" i="103"/>
  <c r="AB8" i="103"/>
  <c r="AA8" i="103"/>
  <c r="Z8" i="103"/>
  <c r="Y8" i="103"/>
  <c r="X8" i="103"/>
  <c r="W8" i="103"/>
  <c r="V8" i="103"/>
  <c r="U8" i="103"/>
  <c r="T8" i="103"/>
  <c r="S8" i="103"/>
  <c r="R8" i="103"/>
  <c r="Q8" i="103"/>
  <c r="P8" i="103"/>
  <c r="O8" i="103"/>
  <c r="N8" i="103"/>
  <c r="AK7" i="103"/>
  <c r="AJ7" i="103"/>
  <c r="AI7" i="103"/>
  <c r="AH7" i="103"/>
  <c r="AG7" i="103"/>
  <c r="AF7" i="103"/>
  <c r="AE7" i="103"/>
  <c r="AD7" i="103"/>
  <c r="AC7" i="103"/>
  <c r="AB7" i="103"/>
  <c r="AA7" i="103"/>
  <c r="Z7" i="103"/>
  <c r="Y7" i="103"/>
  <c r="X7" i="103"/>
  <c r="W7" i="103"/>
  <c r="V7" i="103"/>
  <c r="U7" i="103"/>
  <c r="T7" i="103"/>
  <c r="S7" i="103"/>
  <c r="R7" i="103"/>
  <c r="Q7" i="103"/>
  <c r="P7" i="103"/>
  <c r="O7" i="103"/>
  <c r="N7" i="103"/>
  <c r="AK6" i="103"/>
  <c r="AJ6" i="103"/>
  <c r="AI6" i="103"/>
  <c r="AH6" i="103"/>
  <c r="AG6" i="103"/>
  <c r="AF6" i="103"/>
  <c r="AE6" i="103"/>
  <c r="AD6" i="103"/>
  <c r="AC6" i="103"/>
  <c r="AB6" i="103"/>
  <c r="AA6" i="103"/>
  <c r="Z6" i="103"/>
  <c r="Y6" i="103"/>
  <c r="X6" i="103"/>
  <c r="W6" i="103"/>
  <c r="V6" i="103"/>
  <c r="U6" i="103"/>
  <c r="T6" i="103"/>
  <c r="S6" i="103"/>
  <c r="R6" i="103"/>
  <c r="Q6" i="103"/>
  <c r="P6" i="103"/>
  <c r="O6" i="103"/>
  <c r="N6" i="103"/>
  <c r="AK4" i="103"/>
  <c r="AJ4" i="103"/>
  <c r="AI4" i="103"/>
  <c r="AH4" i="103"/>
  <c r="AG4" i="103"/>
  <c r="AF4" i="103"/>
  <c r="AE4" i="103"/>
  <c r="AD4" i="103"/>
  <c r="AC4" i="103"/>
  <c r="AB4" i="103"/>
  <c r="AA4" i="103"/>
  <c r="Z4" i="103"/>
  <c r="Y4" i="103"/>
  <c r="X4" i="103"/>
  <c r="W4" i="103"/>
  <c r="V4" i="103"/>
  <c r="U4" i="103"/>
  <c r="T4" i="103"/>
  <c r="S4" i="103"/>
  <c r="R4" i="103"/>
  <c r="Q4" i="103"/>
  <c r="P4" i="103"/>
  <c r="Q5" i="50"/>
  <c r="X54" i="108"/>
  <c r="W54" i="108"/>
  <c r="V54" i="108"/>
  <c r="U54" i="108"/>
  <c r="T54" i="108"/>
  <c r="S54" i="108"/>
  <c r="R54" i="108"/>
  <c r="Q54" i="108"/>
  <c r="P54" i="108"/>
  <c r="O54" i="108"/>
  <c r="N54" i="108"/>
  <c r="X53" i="108"/>
  <c r="W53" i="108"/>
  <c r="V53" i="108"/>
  <c r="U53" i="108"/>
  <c r="T53" i="108"/>
  <c r="S53" i="108"/>
  <c r="R53" i="108"/>
  <c r="Q53" i="108"/>
  <c r="P53" i="108"/>
  <c r="O53" i="108"/>
  <c r="N53" i="108"/>
  <c r="X52" i="108"/>
  <c r="W52" i="108"/>
  <c r="V52" i="108"/>
  <c r="U52" i="108"/>
  <c r="T52" i="108"/>
  <c r="S52" i="108"/>
  <c r="R52" i="108"/>
  <c r="Q52" i="108"/>
  <c r="P52" i="108"/>
  <c r="O52" i="108"/>
  <c r="N52" i="108"/>
  <c r="X51" i="108"/>
  <c r="W51" i="108"/>
  <c r="V51" i="108"/>
  <c r="U51" i="108"/>
  <c r="T51" i="108"/>
  <c r="S51" i="108"/>
  <c r="R51" i="108"/>
  <c r="Q51" i="108"/>
  <c r="P51" i="108"/>
  <c r="O51" i="108"/>
  <c r="N51" i="108"/>
  <c r="X50" i="108"/>
  <c r="W50" i="108"/>
  <c r="V50" i="108"/>
  <c r="U50" i="108"/>
  <c r="T50" i="108"/>
  <c r="S50" i="108"/>
  <c r="R50" i="108"/>
  <c r="Q50" i="108"/>
  <c r="P50" i="108"/>
  <c r="O50" i="108"/>
  <c r="N50" i="108"/>
  <c r="X49" i="108"/>
  <c r="W49" i="108"/>
  <c r="V49" i="108"/>
  <c r="U49" i="108"/>
  <c r="T49" i="108"/>
  <c r="S49" i="108"/>
  <c r="R49" i="108"/>
  <c r="Q49" i="108"/>
  <c r="P49" i="108"/>
  <c r="O49" i="108"/>
  <c r="N49" i="108"/>
  <c r="X48" i="108"/>
  <c r="W48" i="108"/>
  <c r="V48" i="108"/>
  <c r="U48" i="108"/>
  <c r="T48" i="108"/>
  <c r="S48" i="108"/>
  <c r="R48" i="108"/>
  <c r="Q48" i="108"/>
  <c r="P48" i="108"/>
  <c r="O48" i="108"/>
  <c r="N48" i="108"/>
  <c r="X47" i="108"/>
  <c r="W47" i="108"/>
  <c r="V47" i="108"/>
  <c r="U47" i="108"/>
  <c r="T47" i="108"/>
  <c r="S47" i="108"/>
  <c r="R47" i="108"/>
  <c r="Q47" i="108"/>
  <c r="P47" i="108"/>
  <c r="O47" i="108"/>
  <c r="N47" i="108"/>
  <c r="X46" i="108"/>
  <c r="W46" i="108"/>
  <c r="V46" i="108"/>
  <c r="U46" i="108"/>
  <c r="T46" i="108"/>
  <c r="S46" i="108"/>
  <c r="R46" i="108"/>
  <c r="Q46" i="108"/>
  <c r="P46" i="108"/>
  <c r="O46" i="108"/>
  <c r="N46" i="108"/>
  <c r="X45" i="108"/>
  <c r="W45" i="108"/>
  <c r="V45" i="108"/>
  <c r="U45" i="108"/>
  <c r="T45" i="108"/>
  <c r="S45" i="108"/>
  <c r="R45" i="108"/>
  <c r="Q45" i="108"/>
  <c r="P45" i="108"/>
  <c r="O45" i="108"/>
  <c r="N45" i="108"/>
  <c r="X44" i="108"/>
  <c r="W44" i="108"/>
  <c r="V44" i="108"/>
  <c r="U44" i="108"/>
  <c r="T44" i="108"/>
  <c r="S44" i="108"/>
  <c r="R44" i="108"/>
  <c r="Q44" i="108"/>
  <c r="P44" i="108"/>
  <c r="O44" i="108"/>
  <c r="N44" i="108"/>
  <c r="X43" i="108"/>
  <c r="W43" i="108"/>
  <c r="V43" i="108"/>
  <c r="U43" i="108"/>
  <c r="T43" i="108"/>
  <c r="S43" i="108"/>
  <c r="R43" i="108"/>
  <c r="Q43" i="108"/>
  <c r="P43" i="108"/>
  <c r="O43" i="108"/>
  <c r="N43" i="108"/>
  <c r="X42" i="108"/>
  <c r="W42" i="108"/>
  <c r="V42" i="108"/>
  <c r="U42" i="108"/>
  <c r="T42" i="108"/>
  <c r="S42" i="108"/>
  <c r="R42" i="108"/>
  <c r="Q42" i="108"/>
  <c r="P42" i="108"/>
  <c r="O42" i="108"/>
  <c r="N42" i="108"/>
  <c r="X41" i="108"/>
  <c r="W41" i="108"/>
  <c r="V41" i="108"/>
  <c r="U41" i="108"/>
  <c r="T41" i="108"/>
  <c r="S41" i="108"/>
  <c r="R41" i="108"/>
  <c r="Q41" i="108"/>
  <c r="P41" i="108"/>
  <c r="O41" i="108"/>
  <c r="N41" i="108"/>
  <c r="X40" i="108"/>
  <c r="W40" i="108"/>
  <c r="V40" i="108"/>
  <c r="U40" i="108"/>
  <c r="T40" i="108"/>
  <c r="S40" i="108"/>
  <c r="R40" i="108"/>
  <c r="Q40" i="108"/>
  <c r="P40" i="108"/>
  <c r="O40" i="108"/>
  <c r="N40" i="108"/>
  <c r="X39" i="108"/>
  <c r="W39" i="108"/>
  <c r="V39" i="108"/>
  <c r="U39" i="108"/>
  <c r="T39" i="108"/>
  <c r="S39" i="108"/>
  <c r="R39" i="108"/>
  <c r="Q39" i="108"/>
  <c r="P39" i="108"/>
  <c r="O39" i="108"/>
  <c r="N39" i="108"/>
  <c r="X38" i="108"/>
  <c r="W38" i="108"/>
  <c r="V38" i="108"/>
  <c r="U38" i="108"/>
  <c r="T38" i="108"/>
  <c r="S38" i="108"/>
  <c r="R38" i="108"/>
  <c r="Q38" i="108"/>
  <c r="P38" i="108"/>
  <c r="O38" i="108"/>
  <c r="N38" i="108"/>
  <c r="X37" i="108"/>
  <c r="W37" i="108"/>
  <c r="V37" i="108"/>
  <c r="U37" i="108"/>
  <c r="T37" i="108"/>
  <c r="S37" i="108"/>
  <c r="R37" i="108"/>
  <c r="Q37" i="108"/>
  <c r="P37" i="108"/>
  <c r="O37" i="108"/>
  <c r="N37" i="108"/>
  <c r="X36" i="108"/>
  <c r="W36" i="108"/>
  <c r="V36" i="108"/>
  <c r="U36" i="108"/>
  <c r="T36" i="108"/>
  <c r="S36" i="108"/>
  <c r="R36" i="108"/>
  <c r="Q36" i="108"/>
  <c r="P36" i="108"/>
  <c r="O36" i="108"/>
  <c r="N36" i="108"/>
  <c r="X35" i="108"/>
  <c r="W35" i="108"/>
  <c r="V35" i="108"/>
  <c r="U35" i="108"/>
  <c r="T35" i="108"/>
  <c r="S35" i="108"/>
  <c r="R35" i="108"/>
  <c r="Q35" i="108"/>
  <c r="P35" i="108"/>
  <c r="O35" i="108"/>
  <c r="N35" i="108"/>
  <c r="X34" i="108"/>
  <c r="W34" i="108"/>
  <c r="V34" i="108"/>
  <c r="U34" i="108"/>
  <c r="T34" i="108"/>
  <c r="S34" i="108"/>
  <c r="R34" i="108"/>
  <c r="Q34" i="108"/>
  <c r="P34" i="108"/>
  <c r="O34" i="108"/>
  <c r="N34" i="108"/>
  <c r="X33" i="108"/>
  <c r="W33" i="108"/>
  <c r="V33" i="108"/>
  <c r="U33" i="108"/>
  <c r="T33" i="108"/>
  <c r="S33" i="108"/>
  <c r="R33" i="108"/>
  <c r="Q33" i="108"/>
  <c r="P33" i="108"/>
  <c r="O33" i="108"/>
  <c r="N33" i="108"/>
  <c r="X32" i="108"/>
  <c r="W32" i="108"/>
  <c r="V32" i="108"/>
  <c r="U32" i="108"/>
  <c r="T32" i="108"/>
  <c r="S32" i="108"/>
  <c r="R32" i="108"/>
  <c r="Q32" i="108"/>
  <c r="P32" i="108"/>
  <c r="O32" i="108"/>
  <c r="N32" i="108"/>
  <c r="X31" i="108"/>
  <c r="W31" i="108"/>
  <c r="V31" i="108"/>
  <c r="U31" i="108"/>
  <c r="T31" i="108"/>
  <c r="S31" i="108"/>
  <c r="R31" i="108"/>
  <c r="Q31" i="108"/>
  <c r="P31" i="108"/>
  <c r="O31" i="108"/>
  <c r="N31" i="108"/>
  <c r="X30" i="108"/>
  <c r="W30" i="108"/>
  <c r="V30" i="108"/>
  <c r="U30" i="108"/>
  <c r="T30" i="108"/>
  <c r="S30" i="108"/>
  <c r="R30" i="108"/>
  <c r="Q30" i="108"/>
  <c r="P30" i="108"/>
  <c r="O30" i="108"/>
  <c r="N30" i="108"/>
  <c r="X29" i="108"/>
  <c r="W29" i="108"/>
  <c r="V29" i="108"/>
  <c r="U29" i="108"/>
  <c r="T29" i="108"/>
  <c r="S29" i="108"/>
  <c r="R29" i="108"/>
  <c r="Q29" i="108"/>
  <c r="P29" i="108"/>
  <c r="O29" i="108"/>
  <c r="N29" i="108"/>
  <c r="X28" i="108"/>
  <c r="W28" i="108"/>
  <c r="V28" i="108"/>
  <c r="U28" i="108"/>
  <c r="T28" i="108"/>
  <c r="S28" i="108"/>
  <c r="R28" i="108"/>
  <c r="Q28" i="108"/>
  <c r="P28" i="108"/>
  <c r="O28" i="108"/>
  <c r="N28" i="108"/>
  <c r="X27" i="108"/>
  <c r="W27" i="108"/>
  <c r="V27" i="108"/>
  <c r="U27" i="108"/>
  <c r="T27" i="108"/>
  <c r="S27" i="108"/>
  <c r="R27" i="108"/>
  <c r="Q27" i="108"/>
  <c r="P27" i="108"/>
  <c r="O27" i="108"/>
  <c r="N27" i="108"/>
  <c r="X26" i="108"/>
  <c r="W26" i="108"/>
  <c r="V26" i="108"/>
  <c r="U26" i="108"/>
  <c r="T26" i="108"/>
  <c r="S26" i="108"/>
  <c r="R26" i="108"/>
  <c r="Q26" i="108"/>
  <c r="P26" i="108"/>
  <c r="O26" i="108"/>
  <c r="N26" i="108"/>
  <c r="X25" i="108"/>
  <c r="W25" i="108"/>
  <c r="V25" i="108"/>
  <c r="U25" i="108"/>
  <c r="T25" i="108"/>
  <c r="S25" i="108"/>
  <c r="R25" i="108"/>
  <c r="Q25" i="108"/>
  <c r="P25" i="108"/>
  <c r="O25" i="108"/>
  <c r="N25" i="108"/>
  <c r="X24" i="108"/>
  <c r="W24" i="108"/>
  <c r="V24" i="108"/>
  <c r="U24" i="108"/>
  <c r="T24" i="108"/>
  <c r="S24" i="108"/>
  <c r="R24" i="108"/>
  <c r="Q24" i="108"/>
  <c r="P24" i="108"/>
  <c r="O24" i="108"/>
  <c r="N24" i="108"/>
  <c r="X23" i="108"/>
  <c r="W23" i="108"/>
  <c r="V23" i="108"/>
  <c r="U23" i="108"/>
  <c r="T23" i="108"/>
  <c r="S23" i="108"/>
  <c r="R23" i="108"/>
  <c r="Q23" i="108"/>
  <c r="P23" i="108"/>
  <c r="O23" i="108"/>
  <c r="N23" i="108"/>
  <c r="X22" i="108"/>
  <c r="W22" i="108"/>
  <c r="V22" i="108"/>
  <c r="U22" i="108"/>
  <c r="T22" i="108"/>
  <c r="S22" i="108"/>
  <c r="R22" i="108"/>
  <c r="Q22" i="108"/>
  <c r="P22" i="108"/>
  <c r="O22" i="108"/>
  <c r="N22" i="108"/>
  <c r="X21" i="108"/>
  <c r="W21" i="108"/>
  <c r="V21" i="108"/>
  <c r="U21" i="108"/>
  <c r="T21" i="108"/>
  <c r="S21" i="108"/>
  <c r="R21" i="108"/>
  <c r="Q21" i="108"/>
  <c r="P21" i="108"/>
  <c r="O21" i="108"/>
  <c r="N21" i="108"/>
  <c r="X20" i="108"/>
  <c r="W20" i="108"/>
  <c r="V20" i="108"/>
  <c r="U20" i="108"/>
  <c r="T20" i="108"/>
  <c r="S20" i="108"/>
  <c r="R20" i="108"/>
  <c r="Q20" i="108"/>
  <c r="P20" i="108"/>
  <c r="O20" i="108"/>
  <c r="N20" i="108"/>
  <c r="X19" i="108"/>
  <c r="W19" i="108"/>
  <c r="V19" i="108"/>
  <c r="U19" i="108"/>
  <c r="T19" i="108"/>
  <c r="S19" i="108"/>
  <c r="R19" i="108"/>
  <c r="Q19" i="108"/>
  <c r="P19" i="108"/>
  <c r="O19" i="108"/>
  <c r="N19" i="108"/>
  <c r="X18" i="108"/>
  <c r="W18" i="108"/>
  <c r="V18" i="108"/>
  <c r="U18" i="108"/>
  <c r="T18" i="108"/>
  <c r="S18" i="108"/>
  <c r="R18" i="108"/>
  <c r="Q18" i="108"/>
  <c r="P18" i="108"/>
  <c r="O18" i="108"/>
  <c r="N18" i="108"/>
  <c r="X17" i="108"/>
  <c r="W17" i="108"/>
  <c r="V17" i="108"/>
  <c r="U17" i="108"/>
  <c r="T17" i="108"/>
  <c r="S17" i="108"/>
  <c r="R17" i="108"/>
  <c r="Q17" i="108"/>
  <c r="P17" i="108"/>
  <c r="O17" i="108"/>
  <c r="N17" i="108"/>
  <c r="X16" i="108"/>
  <c r="W16" i="108"/>
  <c r="V16" i="108"/>
  <c r="U16" i="108"/>
  <c r="T16" i="108"/>
  <c r="S16" i="108"/>
  <c r="R16" i="108"/>
  <c r="Q16" i="108"/>
  <c r="P16" i="108"/>
  <c r="O16" i="108"/>
  <c r="N16" i="108"/>
  <c r="X15" i="108"/>
  <c r="W15" i="108"/>
  <c r="V15" i="108"/>
  <c r="U15" i="108"/>
  <c r="T15" i="108"/>
  <c r="S15" i="108"/>
  <c r="R15" i="108"/>
  <c r="Q15" i="108"/>
  <c r="P15" i="108"/>
  <c r="O15" i="108"/>
  <c r="N15" i="108"/>
  <c r="X14" i="108"/>
  <c r="W14" i="108"/>
  <c r="V14" i="108"/>
  <c r="U14" i="108"/>
  <c r="T14" i="108"/>
  <c r="S14" i="108"/>
  <c r="R14" i="108"/>
  <c r="Q14" i="108"/>
  <c r="P14" i="108"/>
  <c r="O14" i="108"/>
  <c r="N14" i="108"/>
  <c r="X13" i="108"/>
  <c r="W13" i="108"/>
  <c r="V13" i="108"/>
  <c r="U13" i="108"/>
  <c r="T13" i="108"/>
  <c r="S13" i="108"/>
  <c r="R13" i="108"/>
  <c r="Q13" i="108"/>
  <c r="P13" i="108"/>
  <c r="O13" i="108"/>
  <c r="N13" i="108"/>
  <c r="X12" i="108"/>
  <c r="W12" i="108"/>
  <c r="V12" i="108"/>
  <c r="U12" i="108"/>
  <c r="T12" i="108"/>
  <c r="S12" i="108"/>
  <c r="R12" i="108"/>
  <c r="Q12" i="108"/>
  <c r="P12" i="108"/>
  <c r="O12" i="108"/>
  <c r="N12" i="108"/>
  <c r="X11" i="108"/>
  <c r="W11" i="108"/>
  <c r="V11" i="108"/>
  <c r="U11" i="108"/>
  <c r="T11" i="108"/>
  <c r="S11" i="108"/>
  <c r="R11" i="108"/>
  <c r="Q11" i="108"/>
  <c r="P11" i="108"/>
  <c r="O11" i="108"/>
  <c r="N11" i="108"/>
  <c r="X10" i="108"/>
  <c r="W10" i="108"/>
  <c r="V10" i="108"/>
  <c r="U10" i="108"/>
  <c r="T10" i="108"/>
  <c r="S10" i="108"/>
  <c r="R10" i="108"/>
  <c r="Q10" i="108"/>
  <c r="P10" i="108"/>
  <c r="O10" i="108"/>
  <c r="N10" i="108"/>
  <c r="X9" i="108"/>
  <c r="W9" i="108"/>
  <c r="V9" i="108"/>
  <c r="U9" i="108"/>
  <c r="T9" i="108"/>
  <c r="S9" i="108"/>
  <c r="R9" i="108"/>
  <c r="Q9" i="108"/>
  <c r="P9" i="108"/>
  <c r="O9" i="108"/>
  <c r="N9" i="108"/>
  <c r="X8" i="108"/>
  <c r="W8" i="108"/>
  <c r="V8" i="108"/>
  <c r="U8" i="108"/>
  <c r="T8" i="108"/>
  <c r="S8" i="108"/>
  <c r="R8" i="108"/>
  <c r="Q8" i="108"/>
  <c r="P8" i="108"/>
  <c r="O8" i="108"/>
  <c r="N8" i="108"/>
  <c r="X7" i="108"/>
  <c r="W7" i="108"/>
  <c r="V7" i="108"/>
  <c r="U7" i="108"/>
  <c r="T7" i="108"/>
  <c r="S7" i="108"/>
  <c r="R7" i="108"/>
  <c r="Q7" i="108"/>
  <c r="P7" i="108"/>
  <c r="O7" i="108"/>
  <c r="N7" i="108"/>
  <c r="X6" i="108"/>
  <c r="W6" i="108"/>
  <c r="V6" i="108"/>
  <c r="U6" i="108"/>
  <c r="T6" i="108"/>
  <c r="S6" i="108"/>
  <c r="R6" i="108"/>
  <c r="Q6" i="108"/>
  <c r="P6" i="108"/>
  <c r="O6" i="108"/>
  <c r="N6" i="108"/>
  <c r="X5" i="108"/>
  <c r="W5" i="108"/>
  <c r="V5" i="108"/>
  <c r="U5" i="108"/>
  <c r="T5" i="108"/>
  <c r="S5" i="108"/>
  <c r="R5" i="108"/>
  <c r="Q5" i="108"/>
  <c r="P5" i="108"/>
  <c r="O5" i="108"/>
  <c r="N5" i="108"/>
  <c r="X4" i="108"/>
  <c r="W4" i="108"/>
  <c r="V4" i="108"/>
  <c r="U4" i="108"/>
  <c r="T4" i="108"/>
  <c r="S4" i="108"/>
  <c r="R4" i="108"/>
  <c r="Q4" i="108"/>
  <c r="P4" i="108"/>
  <c r="O4" i="108"/>
  <c r="N4" i="108"/>
  <c r="Y31" i="2"/>
  <c r="X31" i="2"/>
  <c r="W31" i="2"/>
  <c r="V31" i="2"/>
  <c r="U31" i="2"/>
  <c r="T31" i="2"/>
  <c r="S31" i="2"/>
  <c r="R31" i="2"/>
  <c r="Q31" i="2"/>
  <c r="P31" i="2"/>
  <c r="O31" i="2"/>
  <c r="Y29" i="2"/>
  <c r="X29" i="2"/>
  <c r="W29" i="2"/>
  <c r="V29" i="2"/>
  <c r="U29" i="2"/>
  <c r="T29" i="2"/>
  <c r="S29" i="2"/>
  <c r="R29" i="2"/>
  <c r="Q29" i="2"/>
  <c r="P29" i="2"/>
  <c r="O29" i="2"/>
  <c r="Y28" i="2"/>
  <c r="X28" i="2"/>
  <c r="W28" i="2"/>
  <c r="V28" i="2"/>
  <c r="U28" i="2"/>
  <c r="T28" i="2"/>
  <c r="S28" i="2"/>
  <c r="R28" i="2"/>
  <c r="Q28" i="2"/>
  <c r="P28" i="2"/>
  <c r="O28" i="2"/>
  <c r="Y26" i="2"/>
  <c r="X26" i="2"/>
  <c r="W26" i="2"/>
  <c r="V26" i="2"/>
  <c r="U26" i="2"/>
  <c r="T26" i="2"/>
  <c r="S26" i="2"/>
  <c r="R26" i="2"/>
  <c r="Q26" i="2"/>
  <c r="P26" i="2"/>
  <c r="O26" i="2"/>
  <c r="Y25" i="2"/>
  <c r="X25" i="2"/>
  <c r="W25" i="2"/>
  <c r="V25" i="2"/>
  <c r="U25" i="2"/>
  <c r="T25" i="2"/>
  <c r="S25" i="2"/>
  <c r="R25" i="2"/>
  <c r="Q25" i="2"/>
  <c r="P25" i="2"/>
  <c r="O25" i="2"/>
  <c r="Y23" i="2"/>
  <c r="X23" i="2"/>
  <c r="W23" i="2"/>
  <c r="V23" i="2"/>
  <c r="U23" i="2"/>
  <c r="T23" i="2"/>
  <c r="S23" i="2"/>
  <c r="R23" i="2"/>
  <c r="Q23" i="2"/>
  <c r="P23" i="2"/>
  <c r="O23" i="2"/>
  <c r="Y22" i="2"/>
  <c r="X22" i="2"/>
  <c r="W22" i="2"/>
  <c r="V22" i="2"/>
  <c r="U22" i="2"/>
  <c r="T22" i="2"/>
  <c r="S22" i="2"/>
  <c r="R22" i="2"/>
  <c r="Q22" i="2"/>
  <c r="P22" i="2"/>
  <c r="O22" i="2"/>
  <c r="Y20" i="2"/>
  <c r="X20" i="2"/>
  <c r="W20" i="2"/>
  <c r="V20" i="2"/>
  <c r="U20" i="2"/>
  <c r="T20" i="2"/>
  <c r="S20" i="2"/>
  <c r="R20" i="2"/>
  <c r="Q20" i="2"/>
  <c r="P20" i="2"/>
  <c r="O20" i="2"/>
  <c r="Y19" i="2"/>
  <c r="X19" i="2"/>
  <c r="W19" i="2"/>
  <c r="V19" i="2"/>
  <c r="U19" i="2"/>
  <c r="T19" i="2"/>
  <c r="S19" i="2"/>
  <c r="R19" i="2"/>
  <c r="Q19" i="2"/>
  <c r="P19" i="2"/>
  <c r="O19" i="2"/>
  <c r="Y17" i="2"/>
  <c r="X17" i="2"/>
  <c r="W17" i="2"/>
  <c r="V17" i="2"/>
  <c r="U17" i="2"/>
  <c r="T17" i="2"/>
  <c r="S17" i="2"/>
  <c r="R17" i="2"/>
  <c r="Q17" i="2"/>
  <c r="P17" i="2"/>
  <c r="O17" i="2"/>
  <c r="Y16" i="2"/>
  <c r="X16" i="2"/>
  <c r="W16" i="2"/>
  <c r="V16" i="2"/>
  <c r="U16" i="2"/>
  <c r="T16" i="2"/>
  <c r="S16" i="2"/>
  <c r="R16" i="2"/>
  <c r="Q16" i="2"/>
  <c r="P16" i="2"/>
  <c r="O16" i="2"/>
  <c r="Y14" i="2"/>
  <c r="X14" i="2"/>
  <c r="W14" i="2"/>
  <c r="V14" i="2"/>
  <c r="U14" i="2"/>
  <c r="T14" i="2"/>
  <c r="S14" i="2"/>
  <c r="R14" i="2"/>
  <c r="Q14" i="2"/>
  <c r="P14" i="2"/>
  <c r="O14" i="2"/>
  <c r="Y13" i="2"/>
  <c r="X13" i="2"/>
  <c r="W13" i="2"/>
  <c r="V13" i="2"/>
  <c r="U13" i="2"/>
  <c r="T13" i="2"/>
  <c r="S13" i="2"/>
  <c r="R13" i="2"/>
  <c r="Q13" i="2"/>
  <c r="P13" i="2"/>
  <c r="O13" i="2"/>
  <c r="Y11" i="2"/>
  <c r="X11" i="2"/>
  <c r="W11" i="2"/>
  <c r="V11" i="2"/>
  <c r="U11" i="2"/>
  <c r="T11" i="2"/>
  <c r="S11" i="2"/>
  <c r="R11" i="2"/>
  <c r="Q11" i="2"/>
  <c r="P11" i="2"/>
  <c r="O11" i="2"/>
  <c r="Y10" i="2"/>
  <c r="X10" i="2"/>
  <c r="W10" i="2"/>
  <c r="V10" i="2"/>
  <c r="U10" i="2"/>
  <c r="T10" i="2"/>
  <c r="S10" i="2"/>
  <c r="R10" i="2"/>
  <c r="Q10" i="2"/>
  <c r="P10" i="2"/>
  <c r="O10" i="2"/>
  <c r="Y8" i="2"/>
  <c r="X8" i="2"/>
  <c r="W8" i="2"/>
  <c r="V8" i="2"/>
  <c r="U8" i="2"/>
  <c r="T8" i="2"/>
  <c r="S8" i="2"/>
  <c r="R8" i="2"/>
  <c r="Q8" i="2"/>
  <c r="P8" i="2"/>
  <c r="O8" i="2"/>
  <c r="Y7" i="2"/>
  <c r="X7" i="2"/>
  <c r="W7" i="2"/>
  <c r="V7" i="2"/>
  <c r="U7" i="2"/>
  <c r="T7" i="2"/>
  <c r="S7" i="2"/>
  <c r="R7" i="2"/>
  <c r="Q7" i="2"/>
  <c r="P7" i="2"/>
  <c r="O7" i="2"/>
  <c r="Y5" i="2"/>
  <c r="X5" i="2"/>
  <c r="W5" i="2"/>
  <c r="V5" i="2"/>
  <c r="U5" i="2"/>
  <c r="T5" i="2"/>
  <c r="S5" i="2"/>
  <c r="R5" i="2"/>
  <c r="Q5" i="2"/>
  <c r="P5" i="2"/>
  <c r="O5" i="2"/>
  <c r="Y4" i="2"/>
  <c r="X4" i="2"/>
  <c r="W4" i="2"/>
  <c r="V4" i="2"/>
  <c r="U4" i="2"/>
  <c r="T4" i="2"/>
  <c r="S4" i="2"/>
  <c r="R4" i="2"/>
  <c r="Q4" i="2"/>
  <c r="P4" i="2"/>
  <c r="O4" i="2"/>
  <c r="X14" i="1"/>
  <c r="W14" i="1"/>
  <c r="V14" i="1"/>
  <c r="U14" i="1"/>
  <c r="T14" i="1"/>
  <c r="S14" i="1"/>
  <c r="R14" i="1"/>
  <c r="Q14" i="1"/>
  <c r="P14" i="1"/>
  <c r="O14" i="1"/>
  <c r="N14" i="1"/>
  <c r="X7" i="1"/>
  <c r="W7" i="1"/>
  <c r="V7" i="1"/>
  <c r="U7" i="1"/>
  <c r="T7" i="1"/>
  <c r="S7" i="1"/>
  <c r="R7" i="1"/>
  <c r="Q7" i="1"/>
  <c r="P7" i="1"/>
  <c r="O7" i="1"/>
  <c r="N7" i="1"/>
  <c r="X4" i="1"/>
  <c r="W4" i="1"/>
  <c r="V4" i="1"/>
  <c r="U4" i="1"/>
  <c r="T4" i="1"/>
  <c r="S4" i="1"/>
  <c r="R4" i="1"/>
  <c r="Q4" i="1"/>
  <c r="P4" i="1"/>
  <c r="O4" i="1"/>
  <c r="N4" i="1"/>
  <c r="AK33" i="102"/>
  <c r="AJ33" i="102"/>
  <c r="AI33" i="102"/>
  <c r="AH33" i="102"/>
  <c r="AG33" i="102"/>
  <c r="AF33" i="102"/>
  <c r="AE33" i="102"/>
  <c r="AD33" i="102"/>
  <c r="AC33" i="102"/>
  <c r="AB33" i="102"/>
  <c r="AA33" i="102"/>
  <c r="Z33" i="102"/>
  <c r="Y33" i="102"/>
  <c r="X33" i="102"/>
  <c r="W33" i="102"/>
  <c r="V33" i="102"/>
  <c r="U33" i="102"/>
  <c r="T33" i="102"/>
  <c r="S33" i="102"/>
  <c r="R33" i="102"/>
  <c r="Q33" i="102"/>
  <c r="P33" i="102"/>
  <c r="O33" i="102"/>
  <c r="N33" i="102"/>
  <c r="AK32" i="102"/>
  <c r="AJ32" i="102"/>
  <c r="AI32" i="102"/>
  <c r="AH32" i="102"/>
  <c r="AG32" i="102"/>
  <c r="AF32" i="102"/>
  <c r="AE32" i="102"/>
  <c r="AD32" i="102"/>
  <c r="AC32" i="102"/>
  <c r="AB32" i="102"/>
  <c r="AA32" i="102"/>
  <c r="Z32" i="102"/>
  <c r="Y32" i="102"/>
  <c r="X32" i="102"/>
  <c r="W32" i="102"/>
  <c r="V32" i="102"/>
  <c r="U32" i="102"/>
  <c r="T32" i="102"/>
  <c r="S32" i="102"/>
  <c r="R32" i="102"/>
  <c r="Q32" i="102"/>
  <c r="P32" i="102"/>
  <c r="O32" i="102"/>
  <c r="N32" i="102"/>
  <c r="AK31" i="102"/>
  <c r="AJ31" i="102"/>
  <c r="AI31" i="102"/>
  <c r="AH31" i="102"/>
  <c r="AG31" i="102"/>
  <c r="AF31" i="102"/>
  <c r="AE31" i="102"/>
  <c r="AD31" i="102"/>
  <c r="AC31" i="102"/>
  <c r="AB31" i="102"/>
  <c r="AA31" i="102"/>
  <c r="Z31" i="102"/>
  <c r="Y31" i="102"/>
  <c r="X31" i="102"/>
  <c r="W31" i="102"/>
  <c r="V31" i="102"/>
  <c r="U31" i="102"/>
  <c r="T31" i="102"/>
  <c r="S31" i="102"/>
  <c r="R31" i="102"/>
  <c r="Q31" i="102"/>
  <c r="P31" i="102"/>
  <c r="O31" i="102"/>
  <c r="N31" i="102"/>
  <c r="AK30" i="102"/>
  <c r="AJ30" i="102"/>
  <c r="AI30" i="102"/>
  <c r="AH30" i="102"/>
  <c r="AG30" i="102"/>
  <c r="AF30" i="102"/>
  <c r="AE30" i="102"/>
  <c r="AD30" i="102"/>
  <c r="AC30" i="102"/>
  <c r="AB30" i="102"/>
  <c r="AA30" i="102"/>
  <c r="Z30" i="102"/>
  <c r="Y30" i="102"/>
  <c r="X30" i="102"/>
  <c r="W30" i="102"/>
  <c r="V30" i="102"/>
  <c r="U30" i="102"/>
  <c r="T30" i="102"/>
  <c r="S30" i="102"/>
  <c r="R30" i="102"/>
  <c r="Q30" i="102"/>
  <c r="P30" i="102"/>
  <c r="O30" i="102"/>
  <c r="N30" i="102"/>
  <c r="AK29" i="102"/>
  <c r="AJ29" i="102"/>
  <c r="AI29" i="102"/>
  <c r="AH29" i="102"/>
  <c r="AG29" i="102"/>
  <c r="AF29" i="102"/>
  <c r="AE29" i="102"/>
  <c r="AD29" i="102"/>
  <c r="AC29" i="102"/>
  <c r="AB29" i="102"/>
  <c r="AA29" i="102"/>
  <c r="Z29" i="102"/>
  <c r="Y29" i="102"/>
  <c r="X29" i="102"/>
  <c r="W29" i="102"/>
  <c r="V29" i="102"/>
  <c r="U29" i="102"/>
  <c r="T29" i="102"/>
  <c r="S29" i="102"/>
  <c r="R29" i="102"/>
  <c r="Q29" i="102"/>
  <c r="P29" i="102"/>
  <c r="O29" i="102"/>
  <c r="N29" i="102"/>
  <c r="AK28" i="102"/>
  <c r="AJ28" i="102"/>
  <c r="AI28" i="102"/>
  <c r="AH28" i="102"/>
  <c r="AG28" i="102"/>
  <c r="AF28" i="102"/>
  <c r="AE28" i="102"/>
  <c r="AD28" i="102"/>
  <c r="AC28" i="102"/>
  <c r="AB28" i="102"/>
  <c r="AA28" i="102"/>
  <c r="Z28" i="102"/>
  <c r="Y28" i="102"/>
  <c r="X28" i="102"/>
  <c r="W28" i="102"/>
  <c r="V28" i="102"/>
  <c r="U28" i="102"/>
  <c r="T28" i="102"/>
  <c r="S28" i="102"/>
  <c r="R28" i="102"/>
  <c r="Q28" i="102"/>
  <c r="P28" i="102"/>
  <c r="O28" i="102"/>
  <c r="N28" i="102"/>
  <c r="AK27" i="102"/>
  <c r="AJ27" i="102"/>
  <c r="AI27" i="102"/>
  <c r="AH27" i="102"/>
  <c r="AG27" i="102"/>
  <c r="AF27" i="102"/>
  <c r="AE27" i="102"/>
  <c r="AD27" i="102"/>
  <c r="AC27" i="102"/>
  <c r="AB27" i="102"/>
  <c r="AA27" i="102"/>
  <c r="Z27" i="102"/>
  <c r="Y27" i="102"/>
  <c r="X27" i="102"/>
  <c r="W27" i="102"/>
  <c r="V27" i="102"/>
  <c r="U27" i="102"/>
  <c r="T27" i="102"/>
  <c r="S27" i="102"/>
  <c r="R27" i="102"/>
  <c r="Q27" i="102"/>
  <c r="P27" i="102"/>
  <c r="O27" i="102"/>
  <c r="N27" i="102"/>
  <c r="AK26" i="102"/>
  <c r="AJ26" i="102"/>
  <c r="AI26" i="102"/>
  <c r="AH26" i="102"/>
  <c r="AG26" i="102"/>
  <c r="AF26" i="102"/>
  <c r="AE26" i="102"/>
  <c r="AD26" i="102"/>
  <c r="AC26" i="102"/>
  <c r="AB26" i="102"/>
  <c r="AA26" i="102"/>
  <c r="Z26" i="102"/>
  <c r="Y26" i="102"/>
  <c r="X26" i="102"/>
  <c r="W26" i="102"/>
  <c r="V26" i="102"/>
  <c r="U26" i="102"/>
  <c r="T26" i="102"/>
  <c r="S26" i="102"/>
  <c r="R26" i="102"/>
  <c r="Q26" i="102"/>
  <c r="P26" i="102"/>
  <c r="O26" i="102"/>
  <c r="N26" i="102"/>
  <c r="AK25" i="102"/>
  <c r="AJ25" i="102"/>
  <c r="AI25" i="102"/>
  <c r="AH25" i="102"/>
  <c r="AG25" i="102"/>
  <c r="AF25" i="102"/>
  <c r="AE25" i="102"/>
  <c r="AD25" i="102"/>
  <c r="AC25" i="102"/>
  <c r="AB25" i="102"/>
  <c r="AA25" i="102"/>
  <c r="Z25" i="102"/>
  <c r="Y25" i="102"/>
  <c r="X25" i="102"/>
  <c r="W25" i="102"/>
  <c r="V25" i="102"/>
  <c r="U25" i="102"/>
  <c r="T25" i="102"/>
  <c r="S25" i="102"/>
  <c r="R25" i="102"/>
  <c r="Q25" i="102"/>
  <c r="P25" i="102"/>
  <c r="O25" i="102"/>
  <c r="N25" i="102"/>
  <c r="AK24" i="102"/>
  <c r="AJ24" i="102"/>
  <c r="AI24" i="102"/>
  <c r="AH24" i="102"/>
  <c r="AG24" i="102"/>
  <c r="AF24" i="102"/>
  <c r="AE24" i="102"/>
  <c r="AD24" i="102"/>
  <c r="AC24" i="102"/>
  <c r="AB24" i="102"/>
  <c r="AA24" i="102"/>
  <c r="Z24" i="102"/>
  <c r="Y24" i="102"/>
  <c r="X24" i="102"/>
  <c r="W24" i="102"/>
  <c r="V24" i="102"/>
  <c r="U24" i="102"/>
  <c r="T24" i="102"/>
  <c r="S24" i="102"/>
  <c r="R24" i="102"/>
  <c r="Q24" i="102"/>
  <c r="P24" i="102"/>
  <c r="O24" i="102"/>
  <c r="N24" i="102"/>
  <c r="AK23" i="102"/>
  <c r="AJ23" i="102"/>
  <c r="AI23" i="102"/>
  <c r="AH23" i="102"/>
  <c r="AG23" i="102"/>
  <c r="AF23" i="102"/>
  <c r="AE23" i="102"/>
  <c r="AD23" i="102"/>
  <c r="AC23" i="102"/>
  <c r="AB23" i="102"/>
  <c r="AA23" i="102"/>
  <c r="Z23" i="102"/>
  <c r="Y23" i="102"/>
  <c r="X23" i="102"/>
  <c r="W23" i="102"/>
  <c r="V23" i="102"/>
  <c r="U23" i="102"/>
  <c r="T23" i="102"/>
  <c r="S23" i="102"/>
  <c r="R23" i="102"/>
  <c r="Q23" i="102"/>
  <c r="P23" i="102"/>
  <c r="O23" i="102"/>
  <c r="N23" i="102"/>
  <c r="AK22" i="102"/>
  <c r="AJ22" i="102"/>
  <c r="AI22" i="102"/>
  <c r="AH22" i="102"/>
  <c r="AG22" i="102"/>
  <c r="AF22" i="102"/>
  <c r="AE22" i="102"/>
  <c r="AD22" i="102"/>
  <c r="AC22" i="102"/>
  <c r="AB22" i="102"/>
  <c r="AA22" i="102"/>
  <c r="Z22" i="102"/>
  <c r="Y22" i="102"/>
  <c r="X22" i="102"/>
  <c r="W22" i="102"/>
  <c r="V22" i="102"/>
  <c r="U22" i="102"/>
  <c r="T22" i="102"/>
  <c r="S22" i="102"/>
  <c r="R22" i="102"/>
  <c r="Q22" i="102"/>
  <c r="P22" i="102"/>
  <c r="O22" i="102"/>
  <c r="N22" i="102"/>
  <c r="AK21" i="102"/>
  <c r="AJ21" i="102"/>
  <c r="AI21" i="102"/>
  <c r="AH21" i="102"/>
  <c r="AG21" i="102"/>
  <c r="AF21" i="102"/>
  <c r="AE21" i="102"/>
  <c r="AD21" i="102"/>
  <c r="AC21" i="102"/>
  <c r="AB21" i="102"/>
  <c r="AA21" i="102"/>
  <c r="Z21" i="102"/>
  <c r="Y21" i="102"/>
  <c r="X21" i="102"/>
  <c r="W21" i="102"/>
  <c r="V21" i="102"/>
  <c r="U21" i="102"/>
  <c r="T21" i="102"/>
  <c r="S21" i="102"/>
  <c r="R21" i="102"/>
  <c r="Q21" i="102"/>
  <c r="P21" i="102"/>
  <c r="O21" i="102"/>
  <c r="N21" i="102"/>
  <c r="AK20" i="102"/>
  <c r="AJ20" i="102"/>
  <c r="AI20" i="102"/>
  <c r="AH20" i="102"/>
  <c r="AG20" i="102"/>
  <c r="AF20" i="102"/>
  <c r="AE20" i="102"/>
  <c r="AD20" i="102"/>
  <c r="AC20" i="102"/>
  <c r="AB20" i="102"/>
  <c r="AA20" i="102"/>
  <c r="Z20" i="102"/>
  <c r="Y20" i="102"/>
  <c r="X20" i="102"/>
  <c r="W20" i="102"/>
  <c r="V20" i="102"/>
  <c r="U20" i="102"/>
  <c r="T20" i="102"/>
  <c r="S20" i="102"/>
  <c r="R20" i="102"/>
  <c r="Q20" i="102"/>
  <c r="P20" i="102"/>
  <c r="O20" i="102"/>
  <c r="N20" i="102"/>
  <c r="AK19" i="102"/>
  <c r="AJ19" i="102"/>
  <c r="AI19" i="102"/>
  <c r="AH19" i="102"/>
  <c r="AG19" i="102"/>
  <c r="AF19" i="102"/>
  <c r="AE19" i="102"/>
  <c r="AD19" i="102"/>
  <c r="AC19" i="102"/>
  <c r="AB19" i="102"/>
  <c r="AA19" i="102"/>
  <c r="Z19" i="102"/>
  <c r="Y19" i="102"/>
  <c r="X19" i="102"/>
  <c r="W19" i="102"/>
  <c r="V19" i="102"/>
  <c r="U19" i="102"/>
  <c r="T19" i="102"/>
  <c r="S19" i="102"/>
  <c r="R19" i="102"/>
  <c r="Q19" i="102"/>
  <c r="P19" i="102"/>
  <c r="O19" i="102"/>
  <c r="N19" i="102"/>
  <c r="AK18" i="102"/>
  <c r="AJ18" i="102"/>
  <c r="AI18" i="102"/>
  <c r="AH18" i="102"/>
  <c r="AG18" i="102"/>
  <c r="AF18" i="102"/>
  <c r="AE18" i="102"/>
  <c r="AD18" i="102"/>
  <c r="AC18" i="102"/>
  <c r="AB18" i="102"/>
  <c r="AA18" i="102"/>
  <c r="Z18" i="102"/>
  <c r="Y18" i="102"/>
  <c r="X18" i="102"/>
  <c r="W18" i="102"/>
  <c r="V18" i="102"/>
  <c r="U18" i="102"/>
  <c r="T18" i="102"/>
  <c r="S18" i="102"/>
  <c r="R18" i="102"/>
  <c r="Q18" i="102"/>
  <c r="P18" i="102"/>
  <c r="O18" i="102"/>
  <c r="N18" i="102"/>
  <c r="AK17" i="102"/>
  <c r="AJ17" i="102"/>
  <c r="AI17" i="102"/>
  <c r="AH17" i="102"/>
  <c r="AG17" i="102"/>
  <c r="AF17" i="102"/>
  <c r="AE17" i="102"/>
  <c r="AD17" i="102"/>
  <c r="AC17" i="102"/>
  <c r="AB17" i="102"/>
  <c r="AA17" i="102"/>
  <c r="Z17" i="102"/>
  <c r="Y17" i="102"/>
  <c r="X17" i="102"/>
  <c r="W17" i="102"/>
  <c r="V17" i="102"/>
  <c r="U17" i="102"/>
  <c r="T17" i="102"/>
  <c r="S17" i="102"/>
  <c r="R17" i="102"/>
  <c r="Q17" i="102"/>
  <c r="P17" i="102"/>
  <c r="O17" i="102"/>
  <c r="N17" i="102"/>
  <c r="AK16" i="102"/>
  <c r="AJ16" i="102"/>
  <c r="AI16" i="102"/>
  <c r="AH16" i="102"/>
  <c r="AG16" i="102"/>
  <c r="AF16" i="102"/>
  <c r="AE16" i="102"/>
  <c r="AD16" i="102"/>
  <c r="AC16" i="102"/>
  <c r="AB16" i="102"/>
  <c r="AA16" i="102"/>
  <c r="Z16" i="102"/>
  <c r="Y16" i="102"/>
  <c r="X16" i="102"/>
  <c r="W16" i="102"/>
  <c r="V16" i="102"/>
  <c r="U16" i="102"/>
  <c r="T16" i="102"/>
  <c r="S16" i="102"/>
  <c r="R16" i="102"/>
  <c r="Q16" i="102"/>
  <c r="P16" i="102"/>
  <c r="O16" i="102"/>
  <c r="N16" i="102"/>
  <c r="AK15" i="102"/>
  <c r="AJ15" i="102"/>
  <c r="AI15" i="102"/>
  <c r="AH15" i="102"/>
  <c r="AG15" i="102"/>
  <c r="AF15" i="102"/>
  <c r="AE15" i="102"/>
  <c r="AD15" i="102"/>
  <c r="AC15" i="102"/>
  <c r="AB15" i="102"/>
  <c r="AA15" i="102"/>
  <c r="Z15" i="102"/>
  <c r="Y15" i="102"/>
  <c r="X15" i="102"/>
  <c r="W15" i="102"/>
  <c r="V15" i="102"/>
  <c r="U15" i="102"/>
  <c r="T15" i="102"/>
  <c r="S15" i="102"/>
  <c r="R15" i="102"/>
  <c r="Q15" i="102"/>
  <c r="P15" i="102"/>
  <c r="O15" i="102"/>
  <c r="N15" i="102"/>
  <c r="AK14" i="102"/>
  <c r="AJ14" i="102"/>
  <c r="AI14" i="102"/>
  <c r="AH14" i="102"/>
  <c r="AG14" i="102"/>
  <c r="AF14" i="102"/>
  <c r="AE14" i="102"/>
  <c r="AD14" i="102"/>
  <c r="AC14" i="102"/>
  <c r="AB14" i="102"/>
  <c r="AA14" i="102"/>
  <c r="Z14" i="102"/>
  <c r="Y14" i="102"/>
  <c r="X14" i="102"/>
  <c r="W14" i="102"/>
  <c r="V14" i="102"/>
  <c r="U14" i="102"/>
  <c r="T14" i="102"/>
  <c r="S14" i="102"/>
  <c r="R14" i="102"/>
  <c r="Q14" i="102"/>
  <c r="P14" i="102"/>
  <c r="O14" i="102"/>
  <c r="N14" i="102"/>
  <c r="AK13" i="102"/>
  <c r="AJ13" i="102"/>
  <c r="AI13" i="102"/>
  <c r="AH13" i="102"/>
  <c r="AG13" i="102"/>
  <c r="AF13" i="102"/>
  <c r="AE13" i="102"/>
  <c r="AD13" i="102"/>
  <c r="AC13" i="102"/>
  <c r="AB13" i="102"/>
  <c r="AA13" i="102"/>
  <c r="Z13" i="102"/>
  <c r="Y13" i="102"/>
  <c r="X13" i="102"/>
  <c r="W13" i="102"/>
  <c r="V13" i="102"/>
  <c r="U13" i="102"/>
  <c r="T13" i="102"/>
  <c r="S13" i="102"/>
  <c r="R13" i="102"/>
  <c r="Q13" i="102"/>
  <c r="P13" i="102"/>
  <c r="O13" i="102"/>
  <c r="N13" i="102"/>
  <c r="AK12" i="102"/>
  <c r="AJ12" i="102"/>
  <c r="AI12" i="102"/>
  <c r="AH12" i="102"/>
  <c r="AG12" i="102"/>
  <c r="AF12" i="102"/>
  <c r="AE12" i="102"/>
  <c r="AD12" i="102"/>
  <c r="AC12" i="102"/>
  <c r="AB12" i="102"/>
  <c r="AA12" i="102"/>
  <c r="Z12" i="102"/>
  <c r="Y12" i="102"/>
  <c r="X12" i="102"/>
  <c r="W12" i="102"/>
  <c r="V12" i="102"/>
  <c r="U12" i="102"/>
  <c r="T12" i="102"/>
  <c r="S12" i="102"/>
  <c r="R12" i="102"/>
  <c r="Q12" i="102"/>
  <c r="P12" i="102"/>
  <c r="O12" i="102"/>
  <c r="N12" i="102"/>
  <c r="AK11" i="102"/>
  <c r="AJ11" i="102"/>
  <c r="AI11" i="102"/>
  <c r="AH11" i="102"/>
  <c r="AG11" i="102"/>
  <c r="AF11" i="102"/>
  <c r="AE11" i="102"/>
  <c r="AD11" i="102"/>
  <c r="AC11" i="102"/>
  <c r="AB11" i="102"/>
  <c r="AA11" i="102"/>
  <c r="Z11" i="102"/>
  <c r="Y11" i="102"/>
  <c r="X11" i="102"/>
  <c r="W11" i="102"/>
  <c r="V11" i="102"/>
  <c r="U11" i="102"/>
  <c r="T11" i="102"/>
  <c r="S11" i="102"/>
  <c r="R11" i="102"/>
  <c r="Q11" i="102"/>
  <c r="P11" i="102"/>
  <c r="O11" i="102"/>
  <c r="N11" i="102"/>
  <c r="AK10" i="102"/>
  <c r="AJ10" i="102"/>
  <c r="AI10" i="102"/>
  <c r="AH10" i="102"/>
  <c r="AG10" i="102"/>
  <c r="AF10" i="102"/>
  <c r="AE10" i="102"/>
  <c r="AD10" i="102"/>
  <c r="AC10" i="102"/>
  <c r="AB10" i="102"/>
  <c r="AA10" i="102"/>
  <c r="Z10" i="102"/>
  <c r="Y10" i="102"/>
  <c r="X10" i="102"/>
  <c r="W10" i="102"/>
  <c r="V10" i="102"/>
  <c r="U10" i="102"/>
  <c r="T10" i="102"/>
  <c r="S10" i="102"/>
  <c r="R10" i="102"/>
  <c r="Q10" i="102"/>
  <c r="P10" i="102"/>
  <c r="O10" i="102"/>
  <c r="N10" i="102"/>
  <c r="AK9" i="102"/>
  <c r="AJ9" i="102"/>
  <c r="AI9" i="102"/>
  <c r="AH9" i="102"/>
  <c r="AG9" i="102"/>
  <c r="AF9" i="102"/>
  <c r="AE9" i="102"/>
  <c r="AD9" i="102"/>
  <c r="AC9" i="102"/>
  <c r="AB9" i="102"/>
  <c r="AA9" i="102"/>
  <c r="Z9" i="102"/>
  <c r="Y9" i="102"/>
  <c r="X9" i="102"/>
  <c r="W9" i="102"/>
  <c r="V9" i="102"/>
  <c r="U9" i="102"/>
  <c r="T9" i="102"/>
  <c r="S9" i="102"/>
  <c r="R9" i="102"/>
  <c r="Q9" i="102"/>
  <c r="P9" i="102"/>
  <c r="O9" i="102"/>
  <c r="N9" i="102"/>
  <c r="AK8" i="102"/>
  <c r="AJ8" i="102"/>
  <c r="AI8" i="102"/>
  <c r="AH8" i="102"/>
  <c r="AG8" i="102"/>
  <c r="AF8" i="102"/>
  <c r="AE8" i="102"/>
  <c r="AD8" i="102"/>
  <c r="AC8" i="102"/>
  <c r="AB8" i="102"/>
  <c r="AA8" i="102"/>
  <c r="Z8" i="102"/>
  <c r="Y8" i="102"/>
  <c r="X8" i="102"/>
  <c r="W8" i="102"/>
  <c r="V8" i="102"/>
  <c r="U8" i="102"/>
  <c r="T8" i="102"/>
  <c r="S8" i="102"/>
  <c r="R8" i="102"/>
  <c r="Q8" i="102"/>
  <c r="P8" i="102"/>
  <c r="O8" i="102"/>
  <c r="N8" i="102"/>
  <c r="AK7" i="102"/>
  <c r="AJ7" i="102"/>
  <c r="AI7" i="102"/>
  <c r="AH7" i="102"/>
  <c r="AG7" i="102"/>
  <c r="AF7" i="102"/>
  <c r="AE7" i="102"/>
  <c r="AD7" i="102"/>
  <c r="AC7" i="102"/>
  <c r="AB7" i="102"/>
  <c r="AA7" i="102"/>
  <c r="Z7" i="102"/>
  <c r="Y7" i="102"/>
  <c r="X7" i="102"/>
  <c r="W7" i="102"/>
  <c r="V7" i="102"/>
  <c r="U7" i="102"/>
  <c r="T7" i="102"/>
  <c r="S7" i="102"/>
  <c r="R7" i="102"/>
  <c r="Q7" i="102"/>
  <c r="P7" i="102"/>
  <c r="O7" i="102"/>
  <c r="N7" i="102"/>
  <c r="AK6" i="102"/>
  <c r="AJ6" i="102"/>
  <c r="AI6" i="102"/>
  <c r="AH6" i="102"/>
  <c r="AG6" i="102"/>
  <c r="AF6" i="102"/>
  <c r="AE6" i="102"/>
  <c r="AD6" i="102"/>
  <c r="AC6" i="102"/>
  <c r="AB6" i="102"/>
  <c r="AA6" i="102"/>
  <c r="Z6" i="102"/>
  <c r="Y6" i="102"/>
  <c r="X6" i="102"/>
  <c r="W6" i="102"/>
  <c r="V6" i="102"/>
  <c r="U6" i="102"/>
  <c r="T6" i="102"/>
  <c r="S6" i="102"/>
  <c r="R6" i="102"/>
  <c r="Q6" i="102"/>
  <c r="P6" i="102"/>
  <c r="O6" i="102"/>
  <c r="N6" i="102"/>
  <c r="AK4" i="102"/>
  <c r="AJ4" i="102"/>
  <c r="AI4" i="102"/>
  <c r="AH4" i="102"/>
  <c r="AG4" i="102"/>
  <c r="AF4" i="102"/>
  <c r="AE4" i="102"/>
  <c r="AD4" i="102"/>
  <c r="AC4" i="102"/>
  <c r="AB4" i="102"/>
  <c r="AA4" i="102"/>
  <c r="Z4" i="102"/>
  <c r="Y4" i="102"/>
  <c r="X4" i="102"/>
  <c r="W4" i="102"/>
  <c r="V4" i="102"/>
  <c r="U4" i="102"/>
  <c r="T4" i="102"/>
  <c r="S4" i="102"/>
  <c r="R4" i="102"/>
  <c r="Q4" i="102"/>
  <c r="P4" i="102"/>
  <c r="AC49" i="31"/>
  <c r="AB49" i="31"/>
  <c r="AA49" i="31"/>
  <c r="Z49" i="31"/>
  <c r="Y49" i="31"/>
  <c r="X49" i="31"/>
  <c r="W49" i="31"/>
  <c r="V49" i="31"/>
  <c r="U49" i="31"/>
  <c r="T49" i="31"/>
  <c r="S49" i="31"/>
  <c r="P49" i="31"/>
  <c r="O49" i="31"/>
  <c r="AC48" i="31"/>
  <c r="AB48" i="31"/>
  <c r="AA48" i="31"/>
  <c r="Z48" i="31"/>
  <c r="Y48" i="31"/>
  <c r="X48" i="31"/>
  <c r="W48" i="31"/>
  <c r="V48" i="31"/>
  <c r="U48" i="31"/>
  <c r="T48" i="31"/>
  <c r="S48" i="31"/>
  <c r="P48" i="31"/>
  <c r="O48" i="31"/>
  <c r="AC47" i="31"/>
  <c r="AB47" i="31"/>
  <c r="AA47" i="31"/>
  <c r="Z47" i="31"/>
  <c r="Y47" i="31"/>
  <c r="X47" i="31"/>
  <c r="AI47" i="31" s="1"/>
  <c r="W47" i="31"/>
  <c r="V47" i="31"/>
  <c r="U47" i="31"/>
  <c r="T47" i="31"/>
  <c r="S47" i="31"/>
  <c r="P47" i="31"/>
  <c r="O47" i="31"/>
  <c r="AC46" i="31"/>
  <c r="AB46" i="31"/>
  <c r="AA46" i="31"/>
  <c r="Z46" i="31"/>
  <c r="Y46" i="31"/>
  <c r="X46" i="31"/>
  <c r="W46" i="31"/>
  <c r="V46" i="31"/>
  <c r="U46" i="31"/>
  <c r="T46" i="31"/>
  <c r="S46" i="31"/>
  <c r="P46" i="31"/>
  <c r="O46" i="31"/>
  <c r="AC45" i="31"/>
  <c r="AB45" i="31"/>
  <c r="AA45" i="31"/>
  <c r="Z45" i="31"/>
  <c r="Y45" i="31"/>
  <c r="X45" i="31"/>
  <c r="W45" i="31"/>
  <c r="V45" i="31"/>
  <c r="U45" i="31"/>
  <c r="T45" i="31"/>
  <c r="S45" i="31"/>
  <c r="P45" i="31"/>
  <c r="O45" i="31"/>
  <c r="AC44" i="31"/>
  <c r="AB44" i="31"/>
  <c r="AA44" i="31"/>
  <c r="Z44" i="31"/>
  <c r="Y44" i="31"/>
  <c r="X44" i="31"/>
  <c r="W44" i="31"/>
  <c r="V44" i="31"/>
  <c r="U44" i="31"/>
  <c r="T44" i="31"/>
  <c r="S44" i="31"/>
  <c r="P44" i="31"/>
  <c r="O44" i="31"/>
  <c r="AC43" i="31"/>
  <c r="AB43" i="31"/>
  <c r="AA43" i="31"/>
  <c r="Z43" i="31"/>
  <c r="Y43" i="31"/>
  <c r="X43" i="31"/>
  <c r="W43" i="31"/>
  <c r="V43" i="31"/>
  <c r="U43" i="31"/>
  <c r="T43" i="31"/>
  <c r="S43" i="31"/>
  <c r="P43" i="31"/>
  <c r="O43" i="31"/>
  <c r="AC42" i="31"/>
  <c r="AB42" i="31"/>
  <c r="AA42" i="31"/>
  <c r="Z42" i="31"/>
  <c r="Y42" i="31"/>
  <c r="X42" i="31"/>
  <c r="W42" i="31"/>
  <c r="V42" i="31"/>
  <c r="U42" i="31"/>
  <c r="T42" i="31"/>
  <c r="S42" i="31"/>
  <c r="P42" i="31"/>
  <c r="O42" i="31"/>
  <c r="AC41" i="31"/>
  <c r="AB41" i="31"/>
  <c r="AA41" i="31"/>
  <c r="Z41" i="31"/>
  <c r="Y41" i="31"/>
  <c r="X41" i="31"/>
  <c r="W41" i="31"/>
  <c r="V41" i="31"/>
  <c r="U41" i="31"/>
  <c r="T41" i="31"/>
  <c r="S41" i="31"/>
  <c r="P41" i="31"/>
  <c r="O41" i="31"/>
  <c r="AC40" i="31"/>
  <c r="AB40" i="31"/>
  <c r="AA40" i="31"/>
  <c r="Z40" i="31"/>
  <c r="Y40" i="31"/>
  <c r="X40" i="31"/>
  <c r="W40" i="31"/>
  <c r="V40" i="31"/>
  <c r="U40" i="31"/>
  <c r="T40" i="31"/>
  <c r="S40" i="31"/>
  <c r="P40" i="31"/>
  <c r="O40" i="31"/>
  <c r="AC39" i="31"/>
  <c r="AB39" i="31"/>
  <c r="AA39" i="31"/>
  <c r="Z39" i="31"/>
  <c r="Y39" i="31"/>
  <c r="X39" i="31"/>
  <c r="W39" i="31"/>
  <c r="V39" i="31"/>
  <c r="U39" i="31"/>
  <c r="T39" i="31"/>
  <c r="S39" i="31"/>
  <c r="P39" i="31"/>
  <c r="O39" i="31"/>
  <c r="AC38" i="31"/>
  <c r="AB38" i="31"/>
  <c r="AA38" i="31"/>
  <c r="Z38" i="31"/>
  <c r="Y38" i="31"/>
  <c r="X38" i="31"/>
  <c r="W38" i="31"/>
  <c r="V38" i="31"/>
  <c r="U38" i="31"/>
  <c r="T38" i="31"/>
  <c r="S38" i="31"/>
  <c r="P38" i="31"/>
  <c r="O38" i="31"/>
  <c r="AC37" i="31"/>
  <c r="AB37" i="31"/>
  <c r="AA37" i="31"/>
  <c r="Z37" i="31"/>
  <c r="Y37" i="31"/>
  <c r="X37" i="31"/>
  <c r="W37" i="31"/>
  <c r="V37" i="31"/>
  <c r="U37" i="31"/>
  <c r="T37" i="31"/>
  <c r="S37" i="31"/>
  <c r="P37" i="31"/>
  <c r="O37" i="31"/>
  <c r="AC36" i="31"/>
  <c r="AB36" i="31"/>
  <c r="AA36" i="31"/>
  <c r="Z36" i="31"/>
  <c r="Y36" i="31"/>
  <c r="X36" i="31"/>
  <c r="W36" i="31"/>
  <c r="V36" i="31"/>
  <c r="U36" i="31"/>
  <c r="T36" i="31"/>
  <c r="S36" i="31"/>
  <c r="P36" i="31"/>
  <c r="O36" i="31"/>
  <c r="AC35" i="31"/>
  <c r="AB35" i="31"/>
  <c r="AA35" i="31"/>
  <c r="Z35" i="31"/>
  <c r="Y35" i="31"/>
  <c r="X35" i="31"/>
  <c r="W35" i="31"/>
  <c r="V35" i="31"/>
  <c r="U35" i="31"/>
  <c r="T35" i="31"/>
  <c r="S35" i="31"/>
  <c r="P35" i="31"/>
  <c r="O35" i="31"/>
  <c r="AC34" i="31"/>
  <c r="AB34" i="31"/>
  <c r="AA34" i="31"/>
  <c r="Z34" i="31"/>
  <c r="Y34" i="31"/>
  <c r="X34" i="31"/>
  <c r="W34" i="31"/>
  <c r="V34" i="31"/>
  <c r="U34" i="31"/>
  <c r="T34" i="31"/>
  <c r="S34" i="31"/>
  <c r="P34" i="31"/>
  <c r="O34" i="31"/>
  <c r="AC33" i="31"/>
  <c r="AB33" i="31"/>
  <c r="AA33" i="31"/>
  <c r="Z33" i="31"/>
  <c r="Y33" i="31"/>
  <c r="X33" i="31"/>
  <c r="W33" i="31"/>
  <c r="V33" i="31"/>
  <c r="U33" i="31"/>
  <c r="T33" i="31"/>
  <c r="S33" i="31"/>
  <c r="P33" i="31"/>
  <c r="O33" i="31"/>
  <c r="AC32" i="31"/>
  <c r="AB32" i="31"/>
  <c r="AA32" i="31"/>
  <c r="Z32" i="31"/>
  <c r="Y32" i="31"/>
  <c r="X32" i="31"/>
  <c r="W32" i="31"/>
  <c r="V32" i="31"/>
  <c r="U32" i="31"/>
  <c r="T32" i="31"/>
  <c r="S32" i="31"/>
  <c r="P32" i="31"/>
  <c r="O32" i="31"/>
  <c r="AC31" i="31"/>
  <c r="AB31" i="31"/>
  <c r="AA31" i="31"/>
  <c r="Z31" i="31"/>
  <c r="Y31" i="31"/>
  <c r="X31" i="31"/>
  <c r="W31" i="31"/>
  <c r="V31" i="31"/>
  <c r="U31" i="31"/>
  <c r="T31" i="31"/>
  <c r="S31" i="31"/>
  <c r="P31" i="31"/>
  <c r="O31" i="31"/>
  <c r="AC30" i="31"/>
  <c r="AB30" i="31"/>
  <c r="AA30" i="31"/>
  <c r="Z30" i="31"/>
  <c r="Y30" i="31"/>
  <c r="X30" i="31"/>
  <c r="W30" i="31"/>
  <c r="V30" i="31"/>
  <c r="U30" i="31"/>
  <c r="T30" i="31"/>
  <c r="S30" i="31"/>
  <c r="P30" i="31"/>
  <c r="O30" i="31"/>
  <c r="AC29" i="31"/>
  <c r="AB29" i="31"/>
  <c r="AA29" i="31"/>
  <c r="Z29" i="31"/>
  <c r="Y29" i="31"/>
  <c r="X29" i="31"/>
  <c r="W29" i="31"/>
  <c r="V29" i="31"/>
  <c r="U29" i="31"/>
  <c r="T29" i="31"/>
  <c r="S29" i="31"/>
  <c r="P29" i="31"/>
  <c r="O29" i="31"/>
  <c r="AC28" i="31"/>
  <c r="AB28" i="31"/>
  <c r="AA28" i="31"/>
  <c r="Z28" i="31"/>
  <c r="Y28" i="31"/>
  <c r="X28" i="31"/>
  <c r="W28" i="31"/>
  <c r="V28" i="31"/>
  <c r="U28" i="31"/>
  <c r="T28" i="31"/>
  <c r="S28" i="31"/>
  <c r="P28" i="31"/>
  <c r="O28" i="31"/>
  <c r="AC27" i="31"/>
  <c r="AB27" i="31"/>
  <c r="AA27" i="31"/>
  <c r="Z27" i="31"/>
  <c r="Y27" i="31"/>
  <c r="X27" i="31"/>
  <c r="W27" i="31"/>
  <c r="V27" i="31"/>
  <c r="U27" i="31"/>
  <c r="T27" i="31"/>
  <c r="S27" i="31"/>
  <c r="P27" i="31"/>
  <c r="O27" i="31"/>
  <c r="AC26" i="31"/>
  <c r="AB26" i="31"/>
  <c r="AA26" i="31"/>
  <c r="Z26" i="31"/>
  <c r="Y26" i="31"/>
  <c r="X26" i="31"/>
  <c r="W26" i="31"/>
  <c r="V26" i="31"/>
  <c r="U26" i="31"/>
  <c r="T26" i="31"/>
  <c r="S26" i="31"/>
  <c r="P26" i="31"/>
  <c r="O26" i="31"/>
  <c r="AC25" i="31"/>
  <c r="AN25" i="31" s="1"/>
  <c r="AB25" i="31"/>
  <c r="AA25" i="31"/>
  <c r="Z25" i="31"/>
  <c r="Y25" i="31"/>
  <c r="X25" i="31"/>
  <c r="W25" i="31"/>
  <c r="V25" i="31"/>
  <c r="U25" i="31"/>
  <c r="T25" i="31"/>
  <c r="S25" i="31"/>
  <c r="P25" i="31"/>
  <c r="O25" i="31"/>
  <c r="AC24" i="31"/>
  <c r="AB24" i="31"/>
  <c r="AA24" i="31"/>
  <c r="Z24" i="31"/>
  <c r="Y24" i="31"/>
  <c r="X24" i="31"/>
  <c r="W24" i="31"/>
  <c r="V24" i="31"/>
  <c r="U24" i="31"/>
  <c r="T24" i="31"/>
  <c r="S24" i="31"/>
  <c r="P24" i="31"/>
  <c r="O24" i="31"/>
  <c r="AC23" i="31"/>
  <c r="AN23" i="31" s="1"/>
  <c r="AB23" i="31"/>
  <c r="AA23" i="31"/>
  <c r="Z23" i="31"/>
  <c r="Y23" i="31"/>
  <c r="X23" i="31"/>
  <c r="W23" i="31"/>
  <c r="V23" i="31"/>
  <c r="U23" i="31"/>
  <c r="T23" i="31"/>
  <c r="S23" i="31"/>
  <c r="P23" i="31"/>
  <c r="O23" i="31"/>
  <c r="AC22" i="31"/>
  <c r="AB22" i="31"/>
  <c r="AA22" i="31"/>
  <c r="Z22" i="31"/>
  <c r="Y22" i="31"/>
  <c r="X22" i="31"/>
  <c r="W22" i="31"/>
  <c r="V22" i="31"/>
  <c r="U22" i="31"/>
  <c r="T22" i="31"/>
  <c r="S22" i="31"/>
  <c r="P22" i="31"/>
  <c r="O22" i="31"/>
  <c r="AC21" i="31"/>
  <c r="AN21" i="31" s="1"/>
  <c r="AB21" i="31"/>
  <c r="AA21" i="31"/>
  <c r="Z21" i="31"/>
  <c r="Y21" i="31"/>
  <c r="X21" i="31"/>
  <c r="W21" i="31"/>
  <c r="V21" i="31"/>
  <c r="U21" i="31"/>
  <c r="T21" i="31"/>
  <c r="S21" i="31"/>
  <c r="P21" i="31"/>
  <c r="O21" i="31"/>
  <c r="AC20" i="31"/>
  <c r="AB20" i="31"/>
  <c r="AA20" i="31"/>
  <c r="Z20" i="31"/>
  <c r="Y20" i="31"/>
  <c r="X20" i="31"/>
  <c r="W20" i="31"/>
  <c r="V20" i="31"/>
  <c r="U20" i="31"/>
  <c r="T20" i="31"/>
  <c r="S20" i="31"/>
  <c r="P20" i="31"/>
  <c r="O20" i="31"/>
  <c r="AC19" i="31"/>
  <c r="AB19" i="31"/>
  <c r="AA19" i="31"/>
  <c r="Z19" i="31"/>
  <c r="Y19" i="31"/>
  <c r="X19" i="31"/>
  <c r="W19" i="31"/>
  <c r="V19" i="31"/>
  <c r="U19" i="31"/>
  <c r="AF19" i="31" s="1"/>
  <c r="T19" i="31"/>
  <c r="S19" i="31"/>
  <c r="P19" i="31"/>
  <c r="O19" i="31"/>
  <c r="AC18" i="31"/>
  <c r="AB18" i="31"/>
  <c r="AA18" i="31"/>
  <c r="Z18" i="31"/>
  <c r="Y18" i="31"/>
  <c r="X18" i="31"/>
  <c r="AI18" i="31" s="1"/>
  <c r="W18" i="31"/>
  <c r="V18" i="31"/>
  <c r="U18" i="31"/>
  <c r="T18" i="31"/>
  <c r="S18" i="31"/>
  <c r="P18" i="31"/>
  <c r="O18" i="31"/>
  <c r="AC17" i="31"/>
  <c r="AN17" i="31" s="1"/>
  <c r="AB17" i="31"/>
  <c r="AA17" i="31"/>
  <c r="Z17" i="31"/>
  <c r="Y17" i="31"/>
  <c r="X17" i="31"/>
  <c r="W17" i="31"/>
  <c r="V17" i="31"/>
  <c r="U17" i="31"/>
  <c r="T17" i="31"/>
  <c r="S17" i="31"/>
  <c r="P17" i="31"/>
  <c r="O17" i="31"/>
  <c r="AC16" i="31"/>
  <c r="AB16" i="31"/>
  <c r="AA16" i="31"/>
  <c r="Z16" i="31"/>
  <c r="Y16" i="31"/>
  <c r="X16" i="31"/>
  <c r="W16" i="31"/>
  <c r="V16" i="31"/>
  <c r="U16" i="31"/>
  <c r="AF16" i="31" s="1"/>
  <c r="T16" i="31"/>
  <c r="S16" i="31"/>
  <c r="P16" i="31"/>
  <c r="O16" i="31"/>
  <c r="AC15" i="31"/>
  <c r="AB15" i="31"/>
  <c r="AA15" i="31"/>
  <c r="Z15" i="31"/>
  <c r="Y15" i="31"/>
  <c r="X15" i="31"/>
  <c r="AI15" i="31" s="1"/>
  <c r="W15" i="31"/>
  <c r="V15" i="31"/>
  <c r="U15" i="31"/>
  <c r="T15" i="31"/>
  <c r="S15" i="31"/>
  <c r="P15" i="31"/>
  <c r="O15" i="31"/>
  <c r="AC14" i="31"/>
  <c r="AB14" i="31"/>
  <c r="AA14" i="31"/>
  <c r="Z14" i="31"/>
  <c r="Y14" i="31"/>
  <c r="X14" i="31"/>
  <c r="W14" i="31"/>
  <c r="V14" i="31"/>
  <c r="U14" i="31"/>
  <c r="T14" i="31"/>
  <c r="S14" i="31"/>
  <c r="P14" i="31"/>
  <c r="O14" i="31"/>
  <c r="AC13" i="31"/>
  <c r="AB13" i="31"/>
  <c r="AA13" i="31"/>
  <c r="Z13" i="31"/>
  <c r="Y13" i="31"/>
  <c r="X13" i="31"/>
  <c r="W13" i="31"/>
  <c r="V13" i="31"/>
  <c r="U13" i="31"/>
  <c r="AF13" i="31" s="1"/>
  <c r="T13" i="31"/>
  <c r="S13" i="31"/>
  <c r="P13" i="31"/>
  <c r="O13" i="31"/>
  <c r="AC12" i="31"/>
  <c r="AB12" i="31"/>
  <c r="AA12" i="31"/>
  <c r="Z12" i="31"/>
  <c r="Y12" i="31"/>
  <c r="X12" i="31"/>
  <c r="AI12" i="31" s="1"/>
  <c r="W12" i="31"/>
  <c r="V12" i="31"/>
  <c r="U12" i="31"/>
  <c r="T12" i="31"/>
  <c r="S12" i="31"/>
  <c r="P12" i="31"/>
  <c r="O12" i="31"/>
  <c r="AC11" i="31"/>
  <c r="AB11" i="31"/>
  <c r="AA11" i="31"/>
  <c r="Z11" i="31"/>
  <c r="Y11" i="31"/>
  <c r="X11" i="31"/>
  <c r="W11" i="31"/>
  <c r="V11" i="31"/>
  <c r="U11" i="31"/>
  <c r="T11" i="31"/>
  <c r="S11" i="31"/>
  <c r="P11" i="31"/>
  <c r="O11" i="31"/>
  <c r="AC10" i="31"/>
  <c r="AB10" i="31"/>
  <c r="AA10" i="31"/>
  <c r="Z10" i="31"/>
  <c r="Y10" i="31"/>
  <c r="X10" i="31"/>
  <c r="W10" i="31"/>
  <c r="AH10" i="31" s="1"/>
  <c r="V10" i="31"/>
  <c r="U10" i="31"/>
  <c r="AF10" i="31" s="1"/>
  <c r="T10" i="31"/>
  <c r="S10" i="31"/>
  <c r="P10" i="31"/>
  <c r="O10" i="31"/>
  <c r="AC9" i="31"/>
  <c r="AB9" i="31"/>
  <c r="AA9" i="31"/>
  <c r="Z9" i="31"/>
  <c r="Y9" i="31"/>
  <c r="X9" i="31"/>
  <c r="AI9" i="31" s="1"/>
  <c r="W9" i="31"/>
  <c r="V9" i="31"/>
  <c r="U9" i="31"/>
  <c r="T9" i="31"/>
  <c r="S9" i="31"/>
  <c r="P9" i="31"/>
  <c r="O9" i="31"/>
  <c r="AN8" i="31"/>
  <c r="AC8" i="31"/>
  <c r="AB8" i="31"/>
  <c r="AA8" i="31"/>
  <c r="AL8" i="31" s="1"/>
  <c r="Z8" i="31"/>
  <c r="Y8" i="31"/>
  <c r="X8" i="31"/>
  <c r="W8" i="31"/>
  <c r="V8" i="31"/>
  <c r="U8" i="31"/>
  <c r="T8" i="31"/>
  <c r="S8" i="31"/>
  <c r="P8" i="31"/>
  <c r="O8" i="31"/>
  <c r="AC7" i="31"/>
  <c r="AB7" i="31"/>
  <c r="AA7" i="31"/>
  <c r="AL6" i="31" s="1"/>
  <c r="Z7" i="31"/>
  <c r="Y7" i="31"/>
  <c r="X7" i="31"/>
  <c r="W7" i="31"/>
  <c r="V7" i="31"/>
  <c r="AG7" i="31" s="1"/>
  <c r="U7" i="31"/>
  <c r="AF6" i="31" s="1"/>
  <c r="T7" i="31"/>
  <c r="S7" i="31"/>
  <c r="AC6" i="31"/>
  <c r="AN19" i="31" s="1"/>
  <c r="AB6" i="31"/>
  <c r="AA6" i="31"/>
  <c r="AL17" i="31" s="1"/>
  <c r="Z6" i="31"/>
  <c r="AK26" i="31" s="1"/>
  <c r="Y6" i="31"/>
  <c r="X6" i="31"/>
  <c r="AI49" i="31" s="1"/>
  <c r="W6" i="31"/>
  <c r="AH18" i="31" s="1"/>
  <c r="V6" i="31"/>
  <c r="U6" i="31"/>
  <c r="T6" i="31"/>
  <c r="AE14" i="31" s="1"/>
  <c r="S6" i="31"/>
  <c r="AC5" i="31"/>
  <c r="AN5" i="31" s="1"/>
  <c r="AB5" i="31"/>
  <c r="AM5" i="31" s="1"/>
  <c r="AA5" i="31"/>
  <c r="Z5" i="31"/>
  <c r="Y5" i="31"/>
  <c r="X5" i="31"/>
  <c r="AI5" i="31" s="1"/>
  <c r="W5" i="31"/>
  <c r="AH5" i="31" s="1"/>
  <c r="V5" i="31"/>
  <c r="AG5" i="31" s="1"/>
  <c r="U5" i="31"/>
  <c r="T5" i="31"/>
  <c r="S5" i="31"/>
  <c r="Q5" i="31"/>
  <c r="P5" i="31"/>
  <c r="O5" i="31"/>
  <c r="AN4" i="31"/>
  <c r="AM4" i="31"/>
  <c r="AL4" i="31"/>
  <c r="AK4" i="31"/>
  <c r="AJ4" i="31"/>
  <c r="AI4" i="31"/>
  <c r="AH4" i="31"/>
  <c r="AG4" i="31"/>
  <c r="AF4" i="31"/>
  <c r="AE4" i="31"/>
  <c r="AD4" i="31"/>
  <c r="AC4" i="31"/>
  <c r="AB4" i="31"/>
  <c r="AA4" i="31"/>
  <c r="Z4" i="31"/>
  <c r="Y4" i="31"/>
  <c r="X4" i="31"/>
  <c r="W4" i="31"/>
  <c r="V4" i="31"/>
  <c r="U4" i="31"/>
  <c r="T4" i="31"/>
  <c r="S4" i="31"/>
  <c r="AK33" i="101"/>
  <c r="AJ33" i="101"/>
  <c r="AI33" i="101"/>
  <c r="AH33" i="101"/>
  <c r="AG33" i="101"/>
  <c r="AF33" i="101"/>
  <c r="AE33" i="101"/>
  <c r="AD33" i="101"/>
  <c r="AC33" i="101"/>
  <c r="AB33" i="101"/>
  <c r="AA33" i="101"/>
  <c r="Z33" i="101"/>
  <c r="Y33" i="101"/>
  <c r="X33" i="101"/>
  <c r="W33" i="101"/>
  <c r="V33" i="101"/>
  <c r="U33" i="101"/>
  <c r="T33" i="101"/>
  <c r="S33" i="101"/>
  <c r="R33" i="101"/>
  <c r="Q33" i="101"/>
  <c r="P33" i="101"/>
  <c r="O33" i="101"/>
  <c r="N33" i="101"/>
  <c r="AK32" i="101"/>
  <c r="AJ32" i="101"/>
  <c r="AI32" i="101"/>
  <c r="AH32" i="101"/>
  <c r="AG32" i="101"/>
  <c r="AF32" i="101"/>
  <c r="AE32" i="101"/>
  <c r="AD32" i="101"/>
  <c r="AC32" i="101"/>
  <c r="AB32" i="101"/>
  <c r="AA32" i="101"/>
  <c r="Z32" i="101"/>
  <c r="Y32" i="101"/>
  <c r="X32" i="101"/>
  <c r="W32" i="101"/>
  <c r="V32" i="101"/>
  <c r="U32" i="101"/>
  <c r="T32" i="101"/>
  <c r="S32" i="101"/>
  <c r="R32" i="101"/>
  <c r="Q32" i="101"/>
  <c r="P32" i="101"/>
  <c r="O32" i="101"/>
  <c r="N32" i="101"/>
  <c r="AK31" i="101"/>
  <c r="AJ31" i="101"/>
  <c r="AI31" i="101"/>
  <c r="AH31" i="101"/>
  <c r="AG31" i="101"/>
  <c r="AF31" i="101"/>
  <c r="AE31" i="101"/>
  <c r="AD31" i="101"/>
  <c r="AC31" i="101"/>
  <c r="AB31" i="101"/>
  <c r="AA31" i="101"/>
  <c r="Z31" i="101"/>
  <c r="Y31" i="101"/>
  <c r="X31" i="101"/>
  <c r="W31" i="101"/>
  <c r="V31" i="101"/>
  <c r="U31" i="101"/>
  <c r="T31" i="101"/>
  <c r="S31" i="101"/>
  <c r="R31" i="101"/>
  <c r="Q31" i="101"/>
  <c r="P31" i="101"/>
  <c r="O31" i="101"/>
  <c r="N31" i="101"/>
  <c r="AK30" i="101"/>
  <c r="AJ30" i="101"/>
  <c r="AI30" i="101"/>
  <c r="AH30" i="101"/>
  <c r="AG30" i="101"/>
  <c r="AF30" i="101"/>
  <c r="AE30" i="101"/>
  <c r="AD30" i="101"/>
  <c r="AC30" i="101"/>
  <c r="AB30" i="101"/>
  <c r="AA30" i="101"/>
  <c r="Z30" i="101"/>
  <c r="Y30" i="101"/>
  <c r="X30" i="101"/>
  <c r="W30" i="101"/>
  <c r="V30" i="101"/>
  <c r="U30" i="101"/>
  <c r="T30" i="101"/>
  <c r="S30" i="101"/>
  <c r="R30" i="101"/>
  <c r="Q30" i="101"/>
  <c r="P30" i="101"/>
  <c r="O30" i="101"/>
  <c r="N30" i="101"/>
  <c r="AK29" i="101"/>
  <c r="AJ29" i="101"/>
  <c r="AI29" i="101"/>
  <c r="AH29" i="101"/>
  <c r="AG29" i="101"/>
  <c r="AF29" i="101"/>
  <c r="AE29" i="101"/>
  <c r="AD29" i="101"/>
  <c r="AC29" i="101"/>
  <c r="AB29" i="101"/>
  <c r="AA29" i="101"/>
  <c r="Z29" i="101"/>
  <c r="Y29" i="101"/>
  <c r="X29" i="101"/>
  <c r="W29" i="101"/>
  <c r="V29" i="101"/>
  <c r="U29" i="101"/>
  <c r="T29" i="101"/>
  <c r="S29" i="101"/>
  <c r="R29" i="101"/>
  <c r="Q29" i="101"/>
  <c r="P29" i="101"/>
  <c r="O29" i="101"/>
  <c r="N29" i="101"/>
  <c r="AK28" i="101"/>
  <c r="AJ28" i="101"/>
  <c r="AI28" i="101"/>
  <c r="AH28" i="101"/>
  <c r="AG28" i="101"/>
  <c r="AF28" i="101"/>
  <c r="AE28" i="101"/>
  <c r="AD28" i="101"/>
  <c r="AC28" i="101"/>
  <c r="AB28" i="101"/>
  <c r="AA28" i="101"/>
  <c r="Z28" i="101"/>
  <c r="Y28" i="101"/>
  <c r="X28" i="101"/>
  <c r="W28" i="101"/>
  <c r="V28" i="101"/>
  <c r="U28" i="101"/>
  <c r="T28" i="101"/>
  <c r="S28" i="101"/>
  <c r="R28" i="101"/>
  <c r="Q28" i="101"/>
  <c r="P28" i="101"/>
  <c r="O28" i="101"/>
  <c r="N28" i="101"/>
  <c r="AK27" i="101"/>
  <c r="AJ27" i="101"/>
  <c r="AI27" i="101"/>
  <c r="AH27" i="101"/>
  <c r="AG27" i="101"/>
  <c r="AF27" i="101"/>
  <c r="AE27" i="101"/>
  <c r="AD27" i="101"/>
  <c r="AC27" i="101"/>
  <c r="AB27" i="101"/>
  <c r="AA27" i="101"/>
  <c r="Z27" i="101"/>
  <c r="Y27" i="101"/>
  <c r="X27" i="101"/>
  <c r="W27" i="101"/>
  <c r="V27" i="101"/>
  <c r="U27" i="101"/>
  <c r="T27" i="101"/>
  <c r="S27" i="101"/>
  <c r="R27" i="101"/>
  <c r="Q27" i="101"/>
  <c r="P27" i="101"/>
  <c r="O27" i="101"/>
  <c r="N27" i="101"/>
  <c r="AK26" i="101"/>
  <c r="AJ26" i="101"/>
  <c r="AI26" i="101"/>
  <c r="AH26" i="101"/>
  <c r="AG26" i="101"/>
  <c r="AF26" i="101"/>
  <c r="AE26" i="101"/>
  <c r="AD26" i="101"/>
  <c r="AC26" i="101"/>
  <c r="AB26" i="101"/>
  <c r="AA26" i="101"/>
  <c r="Z26" i="101"/>
  <c r="Y26" i="101"/>
  <c r="X26" i="101"/>
  <c r="W26" i="101"/>
  <c r="V26" i="101"/>
  <c r="U26" i="101"/>
  <c r="T26" i="101"/>
  <c r="S26" i="101"/>
  <c r="R26" i="101"/>
  <c r="Q26" i="101"/>
  <c r="P26" i="101"/>
  <c r="O26" i="101"/>
  <c r="N26" i="101"/>
  <c r="AK25" i="101"/>
  <c r="AJ25" i="101"/>
  <c r="AI25" i="101"/>
  <c r="AH25" i="101"/>
  <c r="AG25" i="101"/>
  <c r="AF25" i="101"/>
  <c r="AE25" i="101"/>
  <c r="AD25" i="101"/>
  <c r="AC25" i="101"/>
  <c r="AB25" i="101"/>
  <c r="AA25" i="101"/>
  <c r="Z25" i="101"/>
  <c r="Y25" i="101"/>
  <c r="X25" i="101"/>
  <c r="W25" i="101"/>
  <c r="V25" i="101"/>
  <c r="U25" i="101"/>
  <c r="T25" i="101"/>
  <c r="S25" i="101"/>
  <c r="R25" i="101"/>
  <c r="Q25" i="101"/>
  <c r="P25" i="101"/>
  <c r="O25" i="101"/>
  <c r="N25" i="101"/>
  <c r="AK24" i="101"/>
  <c r="AJ24" i="101"/>
  <c r="AI24" i="101"/>
  <c r="AH24" i="101"/>
  <c r="AG24" i="101"/>
  <c r="AF24" i="101"/>
  <c r="AE24" i="101"/>
  <c r="AD24" i="101"/>
  <c r="AC24" i="101"/>
  <c r="AB24" i="101"/>
  <c r="AA24" i="101"/>
  <c r="Z24" i="101"/>
  <c r="Y24" i="101"/>
  <c r="X24" i="101"/>
  <c r="W24" i="101"/>
  <c r="V24" i="101"/>
  <c r="U24" i="101"/>
  <c r="T24" i="101"/>
  <c r="S24" i="101"/>
  <c r="R24" i="101"/>
  <c r="Q24" i="101"/>
  <c r="P24" i="101"/>
  <c r="O24" i="101"/>
  <c r="N24" i="101"/>
  <c r="AK23" i="101"/>
  <c r="AJ23" i="101"/>
  <c r="AI23" i="101"/>
  <c r="AH23" i="101"/>
  <c r="AG23" i="101"/>
  <c r="AF23" i="101"/>
  <c r="AE23" i="101"/>
  <c r="AD23" i="101"/>
  <c r="AC23" i="101"/>
  <c r="AB23" i="101"/>
  <c r="AA23" i="101"/>
  <c r="Z23" i="101"/>
  <c r="Y23" i="101"/>
  <c r="X23" i="101"/>
  <c r="W23" i="101"/>
  <c r="V23" i="101"/>
  <c r="U23" i="101"/>
  <c r="T23" i="101"/>
  <c r="S23" i="101"/>
  <c r="R23" i="101"/>
  <c r="Q23" i="101"/>
  <c r="P23" i="101"/>
  <c r="O23" i="101"/>
  <c r="N23" i="101"/>
  <c r="AK22" i="101"/>
  <c r="AJ22" i="101"/>
  <c r="AI22" i="101"/>
  <c r="AH22" i="101"/>
  <c r="AG22" i="101"/>
  <c r="AF22" i="101"/>
  <c r="AE22" i="101"/>
  <c r="AD22" i="101"/>
  <c r="AC22" i="101"/>
  <c r="AB22" i="101"/>
  <c r="AA22" i="101"/>
  <c r="Z22" i="101"/>
  <c r="Y22" i="101"/>
  <c r="X22" i="101"/>
  <c r="W22" i="101"/>
  <c r="V22" i="101"/>
  <c r="U22" i="101"/>
  <c r="T22" i="101"/>
  <c r="S22" i="101"/>
  <c r="R22" i="101"/>
  <c r="Q22" i="101"/>
  <c r="P22" i="101"/>
  <c r="O22" i="101"/>
  <c r="N22" i="101"/>
  <c r="AK21" i="101"/>
  <c r="AJ21" i="101"/>
  <c r="AI21" i="101"/>
  <c r="AH21" i="101"/>
  <c r="AG21" i="101"/>
  <c r="AF21" i="101"/>
  <c r="AE21" i="101"/>
  <c r="AD21" i="101"/>
  <c r="AC21" i="101"/>
  <c r="AB21" i="101"/>
  <c r="AA21" i="101"/>
  <c r="Z21" i="101"/>
  <c r="Y21" i="101"/>
  <c r="X21" i="101"/>
  <c r="W21" i="101"/>
  <c r="V21" i="101"/>
  <c r="U21" i="101"/>
  <c r="T21" i="101"/>
  <c r="S21" i="101"/>
  <c r="R21" i="101"/>
  <c r="Q21" i="101"/>
  <c r="P21" i="101"/>
  <c r="O21" i="101"/>
  <c r="N21" i="101"/>
  <c r="AK20" i="101"/>
  <c r="AJ20" i="101"/>
  <c r="AI20" i="101"/>
  <c r="AH20" i="101"/>
  <c r="AG20" i="101"/>
  <c r="AF20" i="101"/>
  <c r="AE20" i="101"/>
  <c r="AD20" i="101"/>
  <c r="AC20" i="101"/>
  <c r="AB20" i="101"/>
  <c r="AA20" i="101"/>
  <c r="Z20" i="101"/>
  <c r="Y20" i="101"/>
  <c r="X20" i="101"/>
  <c r="W20" i="101"/>
  <c r="V20" i="101"/>
  <c r="U20" i="101"/>
  <c r="T20" i="101"/>
  <c r="S20" i="101"/>
  <c r="R20" i="101"/>
  <c r="Q20" i="101"/>
  <c r="P20" i="101"/>
  <c r="O20" i="101"/>
  <c r="N20" i="101"/>
  <c r="AK19" i="101"/>
  <c r="AJ19" i="101"/>
  <c r="AI19" i="101"/>
  <c r="AH19" i="101"/>
  <c r="AG19" i="101"/>
  <c r="AF19" i="101"/>
  <c r="AE19" i="101"/>
  <c r="AD19" i="101"/>
  <c r="AC19" i="101"/>
  <c r="AB19" i="101"/>
  <c r="AA19" i="101"/>
  <c r="Z19" i="101"/>
  <c r="Y19" i="101"/>
  <c r="X19" i="101"/>
  <c r="W19" i="101"/>
  <c r="V19" i="101"/>
  <c r="U19" i="101"/>
  <c r="T19" i="101"/>
  <c r="S19" i="101"/>
  <c r="R19" i="101"/>
  <c r="Q19" i="101"/>
  <c r="P19" i="101"/>
  <c r="O19" i="101"/>
  <c r="N19" i="101"/>
  <c r="AK18" i="101"/>
  <c r="AJ18" i="101"/>
  <c r="AI18" i="101"/>
  <c r="AH18" i="101"/>
  <c r="AG18" i="101"/>
  <c r="AF18" i="101"/>
  <c r="AE18" i="101"/>
  <c r="AD18" i="101"/>
  <c r="AC18" i="101"/>
  <c r="AB18" i="101"/>
  <c r="AA18" i="101"/>
  <c r="Z18" i="101"/>
  <c r="Y18" i="101"/>
  <c r="X18" i="101"/>
  <c r="W18" i="101"/>
  <c r="V18" i="101"/>
  <c r="U18" i="101"/>
  <c r="T18" i="101"/>
  <c r="S18" i="101"/>
  <c r="R18" i="101"/>
  <c r="Q18" i="101"/>
  <c r="P18" i="101"/>
  <c r="O18" i="101"/>
  <c r="N18" i="101"/>
  <c r="AK17" i="101"/>
  <c r="AJ17" i="101"/>
  <c r="AI17" i="101"/>
  <c r="AH17" i="101"/>
  <c r="AG17" i="101"/>
  <c r="AF17" i="101"/>
  <c r="AE17" i="101"/>
  <c r="AD17" i="101"/>
  <c r="AC17" i="101"/>
  <c r="AB17" i="101"/>
  <c r="AA17" i="101"/>
  <c r="Z17" i="101"/>
  <c r="Y17" i="101"/>
  <c r="X17" i="101"/>
  <c r="W17" i="101"/>
  <c r="V17" i="101"/>
  <c r="U17" i="101"/>
  <c r="T17" i="101"/>
  <c r="S17" i="101"/>
  <c r="R17" i="101"/>
  <c r="Q17" i="101"/>
  <c r="P17" i="101"/>
  <c r="O17" i="101"/>
  <c r="N17" i="101"/>
  <c r="AK16" i="101"/>
  <c r="AJ16" i="101"/>
  <c r="AI16" i="101"/>
  <c r="AH16" i="101"/>
  <c r="AG16" i="101"/>
  <c r="AF16" i="101"/>
  <c r="AE16" i="101"/>
  <c r="AD16" i="101"/>
  <c r="AC16" i="101"/>
  <c r="AB16" i="101"/>
  <c r="AA16" i="101"/>
  <c r="Z16" i="101"/>
  <c r="Y16" i="101"/>
  <c r="X16" i="101"/>
  <c r="W16" i="101"/>
  <c r="V16" i="101"/>
  <c r="U16" i="101"/>
  <c r="T16" i="101"/>
  <c r="S16" i="101"/>
  <c r="R16" i="101"/>
  <c r="Q16" i="101"/>
  <c r="P16" i="101"/>
  <c r="O16" i="101"/>
  <c r="N16" i="101"/>
  <c r="AK15" i="101"/>
  <c r="AJ15" i="101"/>
  <c r="AI15" i="101"/>
  <c r="AH15" i="101"/>
  <c r="AG15" i="101"/>
  <c r="AF15" i="101"/>
  <c r="AE15" i="101"/>
  <c r="AD15" i="101"/>
  <c r="AC15" i="101"/>
  <c r="AB15" i="101"/>
  <c r="AA15" i="101"/>
  <c r="Z15" i="101"/>
  <c r="Y15" i="101"/>
  <c r="X15" i="101"/>
  <c r="W15" i="101"/>
  <c r="V15" i="101"/>
  <c r="U15" i="101"/>
  <c r="T15" i="101"/>
  <c r="S15" i="101"/>
  <c r="R15" i="101"/>
  <c r="Q15" i="101"/>
  <c r="P15" i="101"/>
  <c r="O15" i="101"/>
  <c r="N15" i="101"/>
  <c r="AK14" i="101"/>
  <c r="AJ14" i="101"/>
  <c r="AI14" i="101"/>
  <c r="AH14" i="101"/>
  <c r="AG14" i="101"/>
  <c r="AF14" i="101"/>
  <c r="AE14" i="101"/>
  <c r="AD14" i="101"/>
  <c r="AC14" i="101"/>
  <c r="AB14" i="101"/>
  <c r="AA14" i="101"/>
  <c r="Z14" i="101"/>
  <c r="Y14" i="101"/>
  <c r="X14" i="101"/>
  <c r="W14" i="101"/>
  <c r="V14" i="101"/>
  <c r="U14" i="101"/>
  <c r="T14" i="101"/>
  <c r="S14" i="101"/>
  <c r="R14" i="101"/>
  <c r="Q14" i="101"/>
  <c r="P14" i="101"/>
  <c r="O14" i="101"/>
  <c r="N14" i="101"/>
  <c r="AK13" i="101"/>
  <c r="AJ13" i="101"/>
  <c r="AI13" i="101"/>
  <c r="AH13" i="101"/>
  <c r="AG13" i="101"/>
  <c r="AF13" i="101"/>
  <c r="AE13" i="101"/>
  <c r="AD13" i="101"/>
  <c r="AC13" i="101"/>
  <c r="AB13" i="101"/>
  <c r="AA13" i="101"/>
  <c r="Z13" i="101"/>
  <c r="Y13" i="101"/>
  <c r="X13" i="101"/>
  <c r="W13" i="101"/>
  <c r="V13" i="101"/>
  <c r="U13" i="101"/>
  <c r="T13" i="101"/>
  <c r="S13" i="101"/>
  <c r="R13" i="101"/>
  <c r="Q13" i="101"/>
  <c r="P13" i="101"/>
  <c r="O13" i="101"/>
  <c r="N13" i="101"/>
  <c r="AK12" i="101"/>
  <c r="AJ12" i="101"/>
  <c r="AI12" i="101"/>
  <c r="AH12" i="101"/>
  <c r="AG12" i="101"/>
  <c r="AF12" i="101"/>
  <c r="AE12" i="101"/>
  <c r="AD12" i="101"/>
  <c r="AC12" i="101"/>
  <c r="AB12" i="101"/>
  <c r="AA12" i="101"/>
  <c r="Z12" i="101"/>
  <c r="Y12" i="101"/>
  <c r="X12" i="101"/>
  <c r="W12" i="101"/>
  <c r="V12" i="101"/>
  <c r="U12" i="101"/>
  <c r="T12" i="101"/>
  <c r="S12" i="101"/>
  <c r="R12" i="101"/>
  <c r="Q12" i="101"/>
  <c r="P12" i="101"/>
  <c r="O12" i="101"/>
  <c r="N12" i="101"/>
  <c r="AK11" i="101"/>
  <c r="AJ11" i="101"/>
  <c r="AI11" i="101"/>
  <c r="AH11" i="101"/>
  <c r="AG11" i="101"/>
  <c r="AF11" i="101"/>
  <c r="AE11" i="101"/>
  <c r="AD11" i="101"/>
  <c r="AC11" i="101"/>
  <c r="AB11" i="101"/>
  <c r="AA11" i="101"/>
  <c r="Z11" i="101"/>
  <c r="Y11" i="101"/>
  <c r="X11" i="101"/>
  <c r="W11" i="101"/>
  <c r="V11" i="101"/>
  <c r="U11" i="101"/>
  <c r="T11" i="101"/>
  <c r="S11" i="101"/>
  <c r="R11" i="101"/>
  <c r="Q11" i="101"/>
  <c r="P11" i="101"/>
  <c r="O11" i="101"/>
  <c r="N11" i="101"/>
  <c r="AK10" i="101"/>
  <c r="AJ10" i="101"/>
  <c r="AI10" i="101"/>
  <c r="AH10" i="101"/>
  <c r="AG10" i="101"/>
  <c r="AF10" i="101"/>
  <c r="AE10" i="101"/>
  <c r="AD10" i="101"/>
  <c r="AC10" i="101"/>
  <c r="AB10" i="101"/>
  <c r="AA10" i="101"/>
  <c r="Z10" i="101"/>
  <c r="Y10" i="101"/>
  <c r="X10" i="101"/>
  <c r="W10" i="101"/>
  <c r="V10" i="101"/>
  <c r="U10" i="101"/>
  <c r="T10" i="101"/>
  <c r="S10" i="101"/>
  <c r="R10" i="101"/>
  <c r="Q10" i="101"/>
  <c r="P10" i="101"/>
  <c r="O10" i="101"/>
  <c r="N10" i="101"/>
  <c r="AK9" i="101"/>
  <c r="AJ9" i="101"/>
  <c r="AI9" i="101"/>
  <c r="AH9" i="101"/>
  <c r="AG9" i="101"/>
  <c r="AF9" i="101"/>
  <c r="AE9" i="101"/>
  <c r="AD9" i="101"/>
  <c r="AC9" i="101"/>
  <c r="AB9" i="101"/>
  <c r="AA9" i="101"/>
  <c r="Z9" i="101"/>
  <c r="Y9" i="101"/>
  <c r="X9" i="101"/>
  <c r="W9" i="101"/>
  <c r="V9" i="101"/>
  <c r="U9" i="101"/>
  <c r="T9" i="101"/>
  <c r="S9" i="101"/>
  <c r="R9" i="101"/>
  <c r="Q9" i="101"/>
  <c r="P9" i="101"/>
  <c r="O9" i="101"/>
  <c r="N9" i="101"/>
  <c r="AK8" i="101"/>
  <c r="AJ8" i="101"/>
  <c r="AI8" i="101"/>
  <c r="AH8" i="101"/>
  <c r="AG8" i="101"/>
  <c r="AF8" i="101"/>
  <c r="AE8" i="101"/>
  <c r="AD8" i="101"/>
  <c r="AC8" i="101"/>
  <c r="AB8" i="101"/>
  <c r="AA8" i="101"/>
  <c r="Z8" i="101"/>
  <c r="Y8" i="101"/>
  <c r="X8" i="101"/>
  <c r="W8" i="101"/>
  <c r="V8" i="101"/>
  <c r="U8" i="101"/>
  <c r="T8" i="101"/>
  <c r="S8" i="101"/>
  <c r="R8" i="101"/>
  <c r="Q8" i="101"/>
  <c r="P8" i="101"/>
  <c r="O8" i="101"/>
  <c r="N8" i="101"/>
  <c r="AK7" i="101"/>
  <c r="AJ7" i="101"/>
  <c r="AI7" i="101"/>
  <c r="AH7" i="101"/>
  <c r="AG7" i="101"/>
  <c r="AF7" i="101"/>
  <c r="AE7" i="101"/>
  <c r="AD7" i="101"/>
  <c r="AC7" i="101"/>
  <c r="AB7" i="101"/>
  <c r="AA7" i="101"/>
  <c r="Z7" i="101"/>
  <c r="Y7" i="101"/>
  <c r="X7" i="101"/>
  <c r="W7" i="101"/>
  <c r="V7" i="101"/>
  <c r="U7" i="101"/>
  <c r="T7" i="101"/>
  <c r="S7" i="101"/>
  <c r="R7" i="101"/>
  <c r="Q7" i="101"/>
  <c r="P7" i="101"/>
  <c r="O7" i="101"/>
  <c r="N7" i="101"/>
  <c r="AK6" i="101"/>
  <c r="AJ6" i="101"/>
  <c r="AI6" i="101"/>
  <c r="AH6" i="101"/>
  <c r="AG6" i="101"/>
  <c r="AF6" i="101"/>
  <c r="AE6" i="101"/>
  <c r="AD6" i="101"/>
  <c r="AC6" i="101"/>
  <c r="AB6" i="101"/>
  <c r="AA6" i="101"/>
  <c r="Z6" i="101"/>
  <c r="Y6" i="101"/>
  <c r="X6" i="101"/>
  <c r="W6" i="101"/>
  <c r="V6" i="101"/>
  <c r="U6" i="101"/>
  <c r="T6" i="101"/>
  <c r="S6" i="101"/>
  <c r="R6" i="101"/>
  <c r="Q6" i="101"/>
  <c r="P6" i="101"/>
  <c r="O6" i="101"/>
  <c r="N6" i="101"/>
  <c r="AK4" i="101"/>
  <c r="AJ4" i="101"/>
  <c r="AI4" i="101"/>
  <c r="AH4" i="101"/>
  <c r="AG4" i="101"/>
  <c r="AF4" i="101"/>
  <c r="AE4" i="101"/>
  <c r="AD4" i="101"/>
  <c r="AC4" i="101"/>
  <c r="AB4" i="101"/>
  <c r="AA4" i="101"/>
  <c r="Z4" i="101"/>
  <c r="Y4" i="101"/>
  <c r="X4" i="101"/>
  <c r="W4" i="101"/>
  <c r="V4" i="101"/>
  <c r="U4" i="101"/>
  <c r="T4" i="101"/>
  <c r="S4" i="101"/>
  <c r="R4" i="101"/>
  <c r="Q4" i="101"/>
  <c r="P4" i="101"/>
  <c r="L36" i="28"/>
  <c r="L37" i="28" s="1"/>
  <c r="K36" i="28"/>
  <c r="K37" i="28" s="1"/>
  <c r="J36" i="28"/>
  <c r="J37" i="28" s="1"/>
  <c r="I36" i="28"/>
  <c r="I37" i="28" s="1"/>
  <c r="H36" i="28"/>
  <c r="H37" i="28" s="1"/>
  <c r="G36" i="28"/>
  <c r="G37" i="28" s="1"/>
  <c r="F36" i="28"/>
  <c r="F37" i="28" s="1"/>
  <c r="E36" i="28"/>
  <c r="E37" i="28" s="1"/>
  <c r="D36" i="28"/>
  <c r="D37" i="28" s="1"/>
  <c r="C36" i="28"/>
  <c r="C37" i="28" s="1"/>
  <c r="B36" i="28"/>
  <c r="B37" i="28" s="1"/>
  <c r="H33" i="28"/>
  <c r="B33" i="28"/>
  <c r="L32" i="28"/>
  <c r="L33" i="28" s="1"/>
  <c r="K32" i="28"/>
  <c r="K33" i="28" s="1"/>
  <c r="J32" i="28"/>
  <c r="J33" i="28" s="1"/>
  <c r="I32" i="28"/>
  <c r="I33" i="28" s="1"/>
  <c r="H32" i="28"/>
  <c r="G32" i="28"/>
  <c r="G33" i="28" s="1"/>
  <c r="F32" i="28"/>
  <c r="F33" i="28" s="1"/>
  <c r="E32" i="28"/>
  <c r="E33" i="28" s="1"/>
  <c r="D32" i="28"/>
  <c r="D33" i="28" s="1"/>
  <c r="C32" i="28"/>
  <c r="C33" i="28" s="1"/>
  <c r="B32" i="28"/>
  <c r="L28" i="28"/>
  <c r="L29" i="28" s="1"/>
  <c r="K28" i="28"/>
  <c r="K29" i="28" s="1"/>
  <c r="J28" i="28"/>
  <c r="J29" i="28" s="1"/>
  <c r="I28" i="28"/>
  <c r="I29" i="28" s="1"/>
  <c r="H28" i="28"/>
  <c r="H29" i="28" s="1"/>
  <c r="G28" i="28"/>
  <c r="G29" i="28" s="1"/>
  <c r="F28" i="28"/>
  <c r="F29" i="28" s="1"/>
  <c r="E28" i="28"/>
  <c r="E29" i="28" s="1"/>
  <c r="D28" i="28"/>
  <c r="D29" i="28" s="1"/>
  <c r="C28" i="28"/>
  <c r="C29" i="28" s="1"/>
  <c r="B28" i="28"/>
  <c r="B29" i="28" s="1"/>
  <c r="G25" i="28"/>
  <c r="L24" i="28"/>
  <c r="L25" i="28" s="1"/>
  <c r="K24" i="28"/>
  <c r="K25" i="28" s="1"/>
  <c r="J24" i="28"/>
  <c r="J25" i="28" s="1"/>
  <c r="I24" i="28"/>
  <c r="I25" i="28" s="1"/>
  <c r="H24" i="28"/>
  <c r="H25" i="28" s="1"/>
  <c r="G24" i="28"/>
  <c r="F24" i="28"/>
  <c r="F25" i="28" s="1"/>
  <c r="E24" i="28"/>
  <c r="E25" i="28" s="1"/>
  <c r="D24" i="28"/>
  <c r="D25" i="28" s="1"/>
  <c r="C24" i="28"/>
  <c r="C25" i="28" s="1"/>
  <c r="B24" i="28"/>
  <c r="B25" i="28" s="1"/>
  <c r="H22" i="28"/>
  <c r="L21" i="28"/>
  <c r="L22" i="28" s="1"/>
  <c r="K21" i="28"/>
  <c r="K22" i="28" s="1"/>
  <c r="J21" i="28"/>
  <c r="J22" i="28" s="1"/>
  <c r="I21" i="28"/>
  <c r="I22" i="28" s="1"/>
  <c r="H21" i="28"/>
  <c r="G21" i="28"/>
  <c r="G22" i="28" s="1"/>
  <c r="F21" i="28"/>
  <c r="F22" i="28" s="1"/>
  <c r="E21" i="28"/>
  <c r="E22" i="28" s="1"/>
  <c r="D21" i="28"/>
  <c r="D22" i="28" s="1"/>
  <c r="C21" i="28"/>
  <c r="C22" i="28" s="1"/>
  <c r="B22" i="28"/>
  <c r="AC49" i="27"/>
  <c r="AB49" i="27"/>
  <c r="AA49" i="27"/>
  <c r="Z49" i="27"/>
  <c r="Y49" i="27"/>
  <c r="X49" i="27"/>
  <c r="W49" i="27"/>
  <c r="V49" i="27"/>
  <c r="U49" i="27"/>
  <c r="T49" i="27"/>
  <c r="S49" i="27"/>
  <c r="AC48" i="27"/>
  <c r="AB48" i="27"/>
  <c r="AA48" i="27"/>
  <c r="Z48" i="27"/>
  <c r="Y48" i="27"/>
  <c r="X48" i="27"/>
  <c r="W48" i="27"/>
  <c r="V48" i="27"/>
  <c r="U48" i="27"/>
  <c r="T48" i="27"/>
  <c r="S48" i="27"/>
  <c r="AC47" i="27"/>
  <c r="AB47" i="27"/>
  <c r="AA47" i="27"/>
  <c r="Z47" i="27"/>
  <c r="Y47" i="27"/>
  <c r="X47" i="27"/>
  <c r="W47" i="27"/>
  <c r="V47" i="27"/>
  <c r="U47" i="27"/>
  <c r="T47" i="27"/>
  <c r="S47" i="27"/>
  <c r="P47" i="27"/>
  <c r="O47" i="27"/>
  <c r="AC46" i="27"/>
  <c r="AB46" i="27"/>
  <c r="AA46" i="27"/>
  <c r="Z46" i="27"/>
  <c r="Y46" i="27"/>
  <c r="X46" i="27"/>
  <c r="W46" i="27"/>
  <c r="V46" i="27"/>
  <c r="U46" i="27"/>
  <c r="T46" i="27"/>
  <c r="S46" i="27"/>
  <c r="P46" i="27"/>
  <c r="O46" i="27"/>
  <c r="AC45" i="27"/>
  <c r="AB45" i="27"/>
  <c r="AA45" i="27"/>
  <c r="Z45" i="27"/>
  <c r="Y45" i="27"/>
  <c r="X45" i="27"/>
  <c r="W45" i="27"/>
  <c r="V45" i="27"/>
  <c r="U45" i="27"/>
  <c r="T45" i="27"/>
  <c r="S45" i="27"/>
  <c r="P45" i="27"/>
  <c r="O45" i="27"/>
  <c r="AC44" i="27"/>
  <c r="AB44" i="27"/>
  <c r="AM44" i="27" s="1"/>
  <c r="AA44" i="27"/>
  <c r="Z44" i="27"/>
  <c r="Y44" i="27"/>
  <c r="X44" i="27"/>
  <c r="W44" i="27"/>
  <c r="V44" i="27"/>
  <c r="U44" i="27"/>
  <c r="T44" i="27"/>
  <c r="S44" i="27"/>
  <c r="P44" i="27"/>
  <c r="O44" i="27"/>
  <c r="AC43" i="27"/>
  <c r="AB43" i="27"/>
  <c r="AA43" i="27"/>
  <c r="Z43" i="27"/>
  <c r="Y43" i="27"/>
  <c r="X43" i="27"/>
  <c r="W43" i="27"/>
  <c r="V43" i="27"/>
  <c r="U43" i="27"/>
  <c r="T43" i="27"/>
  <c r="S43" i="27"/>
  <c r="P43" i="27"/>
  <c r="O43" i="27"/>
  <c r="AC42" i="27"/>
  <c r="AB42" i="27"/>
  <c r="AA42" i="27"/>
  <c r="Z42" i="27"/>
  <c r="Y42" i="27"/>
  <c r="X42" i="27"/>
  <c r="W42" i="27"/>
  <c r="V42" i="27"/>
  <c r="U42" i="27"/>
  <c r="T42" i="27"/>
  <c r="S42" i="27"/>
  <c r="P42" i="27"/>
  <c r="O42" i="27"/>
  <c r="AC41" i="27"/>
  <c r="AB41" i="27"/>
  <c r="AA41" i="27"/>
  <c r="Z41" i="27"/>
  <c r="Y41" i="27"/>
  <c r="X41" i="27"/>
  <c r="W41" i="27"/>
  <c r="V41" i="27"/>
  <c r="AG41" i="27" s="1"/>
  <c r="U41" i="27"/>
  <c r="T41" i="27"/>
  <c r="S41" i="27"/>
  <c r="P41" i="27"/>
  <c r="O41" i="27"/>
  <c r="AC40" i="27"/>
  <c r="AB40" i="27"/>
  <c r="AA40" i="27"/>
  <c r="Z40" i="27"/>
  <c r="Y40" i="27"/>
  <c r="X40" i="27"/>
  <c r="W40" i="27"/>
  <c r="V40" i="27"/>
  <c r="U40" i="27"/>
  <c r="T40" i="27"/>
  <c r="S40" i="27"/>
  <c r="P40" i="27"/>
  <c r="O40" i="27"/>
  <c r="AC39" i="27"/>
  <c r="AB39" i="27"/>
  <c r="AA39" i="27"/>
  <c r="Z39" i="27"/>
  <c r="Y39" i="27"/>
  <c r="X39" i="27"/>
  <c r="W39" i="27"/>
  <c r="V39" i="27"/>
  <c r="U39" i="27"/>
  <c r="T39" i="27"/>
  <c r="S39" i="27"/>
  <c r="P39" i="27"/>
  <c r="O39" i="27"/>
  <c r="AC38" i="27"/>
  <c r="AB38" i="27"/>
  <c r="AA38" i="27"/>
  <c r="Z38" i="27"/>
  <c r="Y38" i="27"/>
  <c r="X38" i="27"/>
  <c r="W38" i="27"/>
  <c r="V38" i="27"/>
  <c r="U38" i="27"/>
  <c r="T38" i="27"/>
  <c r="S38" i="27"/>
  <c r="P38" i="27"/>
  <c r="O38" i="27"/>
  <c r="AC37" i="27"/>
  <c r="AB37" i="27"/>
  <c r="AA37" i="27"/>
  <c r="Z37" i="27"/>
  <c r="Y37" i="27"/>
  <c r="X37" i="27"/>
  <c r="W37" i="27"/>
  <c r="V37" i="27"/>
  <c r="U37" i="27"/>
  <c r="T37" i="27"/>
  <c r="S37" i="27"/>
  <c r="P37" i="27"/>
  <c r="O37" i="27"/>
  <c r="AC36" i="27"/>
  <c r="AB36" i="27"/>
  <c r="AA36" i="27"/>
  <c r="Z36" i="27"/>
  <c r="Y36" i="27"/>
  <c r="X36" i="27"/>
  <c r="W36" i="27"/>
  <c r="V36" i="27"/>
  <c r="U36" i="27"/>
  <c r="T36" i="27"/>
  <c r="S36" i="27"/>
  <c r="P36" i="27"/>
  <c r="O36" i="27"/>
  <c r="AC35" i="27"/>
  <c r="AB35" i="27"/>
  <c r="AA35" i="27"/>
  <c r="Z35" i="27"/>
  <c r="Y35" i="27"/>
  <c r="X35" i="27"/>
  <c r="W35" i="27"/>
  <c r="V35" i="27"/>
  <c r="AG35" i="27" s="1"/>
  <c r="U35" i="27"/>
  <c r="T35" i="27"/>
  <c r="S35" i="27"/>
  <c r="P35" i="27"/>
  <c r="O35" i="27"/>
  <c r="AC34" i="27"/>
  <c r="AB34" i="27"/>
  <c r="AA34" i="27"/>
  <c r="Z34" i="27"/>
  <c r="Y34" i="27"/>
  <c r="X34" i="27"/>
  <c r="W34" i="27"/>
  <c r="V34" i="27"/>
  <c r="U34" i="27"/>
  <c r="T34" i="27"/>
  <c r="S34" i="27"/>
  <c r="P34" i="27"/>
  <c r="O34" i="27"/>
  <c r="AC33" i="27"/>
  <c r="AB33" i="27"/>
  <c r="AA33" i="27"/>
  <c r="Z33" i="27"/>
  <c r="Y33" i="27"/>
  <c r="X33" i="27"/>
  <c r="W33" i="27"/>
  <c r="V33" i="27"/>
  <c r="U33" i="27"/>
  <c r="T33" i="27"/>
  <c r="S33" i="27"/>
  <c r="P33" i="27"/>
  <c r="O33" i="27"/>
  <c r="AC32" i="27"/>
  <c r="AB32" i="27"/>
  <c r="AA32" i="27"/>
  <c r="Z32" i="27"/>
  <c r="Y32" i="27"/>
  <c r="X32" i="27"/>
  <c r="W32" i="27"/>
  <c r="V32" i="27"/>
  <c r="AG32" i="27" s="1"/>
  <c r="U32" i="27"/>
  <c r="T32" i="27"/>
  <c r="S32" i="27"/>
  <c r="P32" i="27"/>
  <c r="O32" i="27"/>
  <c r="AC31" i="27"/>
  <c r="AB31" i="27"/>
  <c r="AA31" i="27"/>
  <c r="Z31" i="27"/>
  <c r="Y31" i="27"/>
  <c r="X31" i="27"/>
  <c r="W31" i="27"/>
  <c r="V31" i="27"/>
  <c r="U31" i="27"/>
  <c r="T31" i="27"/>
  <c r="S31" i="27"/>
  <c r="P31" i="27"/>
  <c r="O31" i="27"/>
  <c r="AC30" i="27"/>
  <c r="AB30" i="27"/>
  <c r="AA30" i="27"/>
  <c r="Z30" i="27"/>
  <c r="Y30" i="27"/>
  <c r="X30" i="27"/>
  <c r="W30" i="27"/>
  <c r="V30" i="27"/>
  <c r="U30" i="27"/>
  <c r="T30" i="27"/>
  <c r="S30" i="27"/>
  <c r="P30" i="27"/>
  <c r="O30" i="27"/>
  <c r="AC29" i="27"/>
  <c r="AB29" i="27"/>
  <c r="AA29" i="27"/>
  <c r="Z29" i="27"/>
  <c r="Y29" i="27"/>
  <c r="X29" i="27"/>
  <c r="W29" i="27"/>
  <c r="V29" i="27"/>
  <c r="AG29" i="27" s="1"/>
  <c r="U29" i="27"/>
  <c r="T29" i="27"/>
  <c r="S29" i="27"/>
  <c r="P29" i="27"/>
  <c r="O29" i="27"/>
  <c r="AC28" i="27"/>
  <c r="AB28" i="27"/>
  <c r="AA28" i="27"/>
  <c r="Z28" i="27"/>
  <c r="Y28" i="27"/>
  <c r="X28" i="27"/>
  <c r="W28" i="27"/>
  <c r="V28" i="27"/>
  <c r="U28" i="27"/>
  <c r="T28" i="27"/>
  <c r="S28" i="27"/>
  <c r="P28" i="27"/>
  <c r="O28" i="27"/>
  <c r="AC27" i="27"/>
  <c r="AB27" i="27"/>
  <c r="AA27" i="27"/>
  <c r="Z27" i="27"/>
  <c r="Y27" i="27"/>
  <c r="X27" i="27"/>
  <c r="W27" i="27"/>
  <c r="V27" i="27"/>
  <c r="U27" i="27"/>
  <c r="T27" i="27"/>
  <c r="S27" i="27"/>
  <c r="P27" i="27"/>
  <c r="O27" i="27"/>
  <c r="AC26" i="27"/>
  <c r="AB26" i="27"/>
  <c r="AA26" i="27"/>
  <c r="Z26" i="27"/>
  <c r="Y26" i="27"/>
  <c r="X26" i="27"/>
  <c r="W26" i="27"/>
  <c r="V26" i="27"/>
  <c r="AG26" i="27" s="1"/>
  <c r="U26" i="27"/>
  <c r="T26" i="27"/>
  <c r="S26" i="27"/>
  <c r="P26" i="27"/>
  <c r="O26" i="27"/>
  <c r="AC25" i="27"/>
  <c r="AB25" i="27"/>
  <c r="AA25" i="27"/>
  <c r="Z25" i="27"/>
  <c r="Y25" i="27"/>
  <c r="X25" i="27"/>
  <c r="W25" i="27"/>
  <c r="V25" i="27"/>
  <c r="U25" i="27"/>
  <c r="T25" i="27"/>
  <c r="S25" i="27"/>
  <c r="P25" i="27"/>
  <c r="O25" i="27"/>
  <c r="AC24" i="27"/>
  <c r="AB24" i="27"/>
  <c r="AA24" i="27"/>
  <c r="Z24" i="27"/>
  <c r="Y24" i="27"/>
  <c r="X24" i="27"/>
  <c r="W24" i="27"/>
  <c r="V24" i="27"/>
  <c r="U24" i="27"/>
  <c r="T24" i="27"/>
  <c r="S24" i="27"/>
  <c r="P24" i="27"/>
  <c r="O24" i="27"/>
  <c r="AC23" i="27"/>
  <c r="AB23" i="27"/>
  <c r="AA23" i="27"/>
  <c r="Z23" i="27"/>
  <c r="Y23" i="27"/>
  <c r="X23" i="27"/>
  <c r="W23" i="27"/>
  <c r="V23" i="27"/>
  <c r="U23" i="27"/>
  <c r="T23" i="27"/>
  <c r="S23" i="27"/>
  <c r="P23" i="27"/>
  <c r="O23" i="27"/>
  <c r="AC22" i="27"/>
  <c r="AB22" i="27"/>
  <c r="AA22" i="27"/>
  <c r="Z22" i="27"/>
  <c r="Y22" i="27"/>
  <c r="X22" i="27"/>
  <c r="W22" i="27"/>
  <c r="V22" i="27"/>
  <c r="U22" i="27"/>
  <c r="T22" i="27"/>
  <c r="S22" i="27"/>
  <c r="P22" i="27"/>
  <c r="O22" i="27"/>
  <c r="AC21" i="27"/>
  <c r="AB21" i="27"/>
  <c r="AM21" i="27" s="1"/>
  <c r="AA21" i="27"/>
  <c r="Z21" i="27"/>
  <c r="Y21" i="27"/>
  <c r="X21" i="27"/>
  <c r="W21" i="27"/>
  <c r="V21" i="27"/>
  <c r="U21" i="27"/>
  <c r="T21" i="27"/>
  <c r="S21" i="27"/>
  <c r="P21" i="27"/>
  <c r="O21" i="27"/>
  <c r="AC20" i="27"/>
  <c r="AB20" i="27"/>
  <c r="AA20" i="27"/>
  <c r="Z20" i="27"/>
  <c r="Y20" i="27"/>
  <c r="X20" i="27"/>
  <c r="W20" i="27"/>
  <c r="V20" i="27"/>
  <c r="U20" i="27"/>
  <c r="T20" i="27"/>
  <c r="S20" i="27"/>
  <c r="P20" i="27"/>
  <c r="O20" i="27"/>
  <c r="AC19" i="27"/>
  <c r="AB19" i="27"/>
  <c r="AA19" i="27"/>
  <c r="Z19" i="27"/>
  <c r="Y19" i="27"/>
  <c r="X19" i="27"/>
  <c r="W19" i="27"/>
  <c r="V19" i="27"/>
  <c r="U19" i="27"/>
  <c r="T19" i="27"/>
  <c r="S19" i="27"/>
  <c r="P19" i="27"/>
  <c r="O19" i="27"/>
  <c r="AC18" i="27"/>
  <c r="AB18" i="27"/>
  <c r="AA18" i="27"/>
  <c r="Z18" i="27"/>
  <c r="Y18" i="27"/>
  <c r="X18" i="27"/>
  <c r="W18" i="27"/>
  <c r="V18" i="27"/>
  <c r="U18" i="27"/>
  <c r="T18" i="27"/>
  <c r="S18" i="27"/>
  <c r="P18" i="27"/>
  <c r="O18" i="27"/>
  <c r="AH17" i="27"/>
  <c r="AC17" i="27"/>
  <c r="AB17" i="27"/>
  <c r="AA17" i="27"/>
  <c r="Z17" i="27"/>
  <c r="Y17" i="27"/>
  <c r="X17" i="27"/>
  <c r="W17" i="27"/>
  <c r="V17" i="27"/>
  <c r="U17" i="27"/>
  <c r="T17" i="27"/>
  <c r="S17" i="27"/>
  <c r="P17" i="27"/>
  <c r="O17" i="27"/>
  <c r="AC16" i="27"/>
  <c r="AN16" i="27" s="1"/>
  <c r="AB16" i="27"/>
  <c r="AA16" i="27"/>
  <c r="Z16" i="27"/>
  <c r="Y16" i="27"/>
  <c r="X16" i="27"/>
  <c r="W16" i="27"/>
  <c r="V16" i="27"/>
  <c r="U16" i="27"/>
  <c r="T16" i="27"/>
  <c r="S16" i="27"/>
  <c r="P16" i="27"/>
  <c r="O16" i="27"/>
  <c r="AC15" i="27"/>
  <c r="AB15" i="27"/>
  <c r="AM15" i="27" s="1"/>
  <c r="AA15" i="27"/>
  <c r="Z15" i="27"/>
  <c r="Y15" i="27"/>
  <c r="X15" i="27"/>
  <c r="W15" i="27"/>
  <c r="V15" i="27"/>
  <c r="U15" i="27"/>
  <c r="T15" i="27"/>
  <c r="S15" i="27"/>
  <c r="P15" i="27"/>
  <c r="O15" i="27"/>
  <c r="AC14" i="27"/>
  <c r="AB14" i="27"/>
  <c r="AA14" i="27"/>
  <c r="Z14" i="27"/>
  <c r="Y14" i="27"/>
  <c r="X14" i="27"/>
  <c r="W14" i="27"/>
  <c r="V14" i="27"/>
  <c r="AG14" i="27" s="1"/>
  <c r="U14" i="27"/>
  <c r="T14" i="27"/>
  <c r="S14" i="27"/>
  <c r="P14" i="27"/>
  <c r="O14" i="27"/>
  <c r="AC13" i="27"/>
  <c r="AB13" i="27"/>
  <c r="AA13" i="27"/>
  <c r="Z13" i="27"/>
  <c r="Y13" i="27"/>
  <c r="X13" i="27"/>
  <c r="W13" i="27"/>
  <c r="AH13" i="27" s="1"/>
  <c r="V13" i="27"/>
  <c r="U13" i="27"/>
  <c r="T13" i="27"/>
  <c r="S13" i="27"/>
  <c r="P13" i="27"/>
  <c r="O13" i="27"/>
  <c r="AC12" i="27"/>
  <c r="AB12" i="27"/>
  <c r="AA12" i="27"/>
  <c r="Z12" i="27"/>
  <c r="Y12" i="27"/>
  <c r="AJ12" i="27" s="1"/>
  <c r="X12" i="27"/>
  <c r="W12" i="27"/>
  <c r="V12" i="27"/>
  <c r="U12" i="27"/>
  <c r="T12" i="27"/>
  <c r="S12" i="27"/>
  <c r="AD12" i="27" s="1"/>
  <c r="P12" i="27"/>
  <c r="O12" i="27"/>
  <c r="AC11" i="27"/>
  <c r="AN11" i="27" s="1"/>
  <c r="AB11" i="27"/>
  <c r="AM11" i="27" s="1"/>
  <c r="AA11" i="27"/>
  <c r="Z11" i="27"/>
  <c r="Y11" i="27"/>
  <c r="X11" i="27"/>
  <c r="W11" i="27"/>
  <c r="V11" i="27"/>
  <c r="AG11" i="27" s="1"/>
  <c r="U11" i="27"/>
  <c r="T11" i="27"/>
  <c r="S11" i="27"/>
  <c r="P11" i="27"/>
  <c r="O11" i="27"/>
  <c r="AC10" i="27"/>
  <c r="AB10" i="27"/>
  <c r="AA10" i="27"/>
  <c r="Z10" i="27"/>
  <c r="Y10" i="27"/>
  <c r="X10" i="27"/>
  <c r="W10" i="27"/>
  <c r="V10" i="27"/>
  <c r="U10" i="27"/>
  <c r="T10" i="27"/>
  <c r="S10" i="27"/>
  <c r="P10" i="27"/>
  <c r="O10" i="27"/>
  <c r="AC9" i="27"/>
  <c r="AB9" i="27"/>
  <c r="AA9" i="27"/>
  <c r="Z9" i="27"/>
  <c r="Y9" i="27"/>
  <c r="X9" i="27"/>
  <c r="W9" i="27"/>
  <c r="V9" i="27"/>
  <c r="U9" i="27"/>
  <c r="T9" i="27"/>
  <c r="S9" i="27"/>
  <c r="P9" i="27"/>
  <c r="O9" i="27"/>
  <c r="AC8" i="27"/>
  <c r="AN8" i="27" s="1"/>
  <c r="AB8" i="27"/>
  <c r="AM8" i="27" s="1"/>
  <c r="AA8" i="27"/>
  <c r="Z8" i="27"/>
  <c r="Y8" i="27"/>
  <c r="X8" i="27"/>
  <c r="W8" i="27"/>
  <c r="V8" i="27"/>
  <c r="U8" i="27"/>
  <c r="T8" i="27"/>
  <c r="S8" i="27"/>
  <c r="P8" i="27"/>
  <c r="O8" i="27"/>
  <c r="AC7" i="27"/>
  <c r="AB7" i="27"/>
  <c r="AA7" i="27"/>
  <c r="AL5" i="27" s="1"/>
  <c r="Z7" i="27"/>
  <c r="Y7" i="27"/>
  <c r="AJ7" i="27" s="1"/>
  <c r="X7" i="27"/>
  <c r="W7" i="27"/>
  <c r="V7" i="27"/>
  <c r="U7" i="27"/>
  <c r="AF49" i="27" s="1"/>
  <c r="T7" i="27"/>
  <c r="S7" i="27"/>
  <c r="AD7" i="27" s="1"/>
  <c r="AC6" i="27"/>
  <c r="AN14" i="27" s="1"/>
  <c r="AB6" i="27"/>
  <c r="AM32" i="27" s="1"/>
  <c r="AA6" i="27"/>
  <c r="Z6" i="27"/>
  <c r="Y6" i="27"/>
  <c r="AJ48" i="27" s="1"/>
  <c r="X6" i="27"/>
  <c r="W6" i="27"/>
  <c r="AH23" i="27" s="1"/>
  <c r="V6" i="27"/>
  <c r="AG8" i="27" s="1"/>
  <c r="U6" i="27"/>
  <c r="T6" i="27"/>
  <c r="AE31" i="27" s="1"/>
  <c r="S6" i="27"/>
  <c r="AF5" i="27"/>
  <c r="AC5" i="27"/>
  <c r="AB5" i="27"/>
  <c r="AM5" i="27" s="1"/>
  <c r="AA5" i="27"/>
  <c r="Z5" i="27"/>
  <c r="Y5" i="27"/>
  <c r="X5" i="27"/>
  <c r="AI5" i="27" s="1"/>
  <c r="W5" i="27"/>
  <c r="AH5" i="27" s="1"/>
  <c r="V5" i="27"/>
  <c r="U5" i="27"/>
  <c r="T5" i="27"/>
  <c r="S5" i="27"/>
  <c r="Q5" i="27"/>
  <c r="P5" i="27"/>
  <c r="O5" i="27"/>
  <c r="AN4" i="27"/>
  <c r="AM4" i="27"/>
  <c r="AL4" i="27"/>
  <c r="AK4" i="27"/>
  <c r="AJ4" i="27"/>
  <c r="AI4" i="27"/>
  <c r="AH4" i="27"/>
  <c r="AG4" i="27"/>
  <c r="AF4" i="27"/>
  <c r="AE4" i="27"/>
  <c r="AD4" i="27"/>
  <c r="AC4" i="27"/>
  <c r="AB4" i="27"/>
  <c r="AA4" i="27"/>
  <c r="Z4" i="27"/>
  <c r="Y4" i="27"/>
  <c r="X4" i="27"/>
  <c r="W4" i="27"/>
  <c r="V4" i="27"/>
  <c r="U4" i="27"/>
  <c r="T4" i="27"/>
  <c r="S4" i="27"/>
  <c r="O50" i="23"/>
  <c r="O49" i="23"/>
  <c r="R49" i="23" s="1"/>
  <c r="N49" i="23"/>
  <c r="Q49" i="23" s="1"/>
  <c r="O48" i="23"/>
  <c r="R48" i="23" s="1"/>
  <c r="N48" i="23"/>
  <c r="Q48" i="23" s="1"/>
  <c r="O47" i="23"/>
  <c r="R47" i="23" s="1"/>
  <c r="N47" i="23"/>
  <c r="Q47" i="23" s="1"/>
  <c r="O46" i="23"/>
  <c r="R46" i="23" s="1"/>
  <c r="N46" i="23"/>
  <c r="Q46" i="23" s="1"/>
  <c r="O45" i="23"/>
  <c r="R45" i="23" s="1"/>
  <c r="N45" i="23"/>
  <c r="Q45" i="23" s="1"/>
  <c r="O44" i="23"/>
  <c r="R44" i="23" s="1"/>
  <c r="N44" i="23"/>
  <c r="Q44" i="23" s="1"/>
  <c r="O43" i="23"/>
  <c r="R43" i="23" s="1"/>
  <c r="N43" i="23"/>
  <c r="Q43" i="23" s="1"/>
  <c r="O42" i="23"/>
  <c r="R42" i="23" s="1"/>
  <c r="N42" i="23"/>
  <c r="Q42" i="23" s="1"/>
  <c r="O41" i="23"/>
  <c r="R41" i="23" s="1"/>
  <c r="N41" i="23"/>
  <c r="Q41" i="23" s="1"/>
  <c r="O40" i="23"/>
  <c r="R40" i="23" s="1"/>
  <c r="N40" i="23"/>
  <c r="Q40" i="23" s="1"/>
  <c r="O39" i="23"/>
  <c r="R39" i="23" s="1"/>
  <c r="N39" i="23"/>
  <c r="Q39" i="23" s="1"/>
  <c r="O38" i="23"/>
  <c r="R38" i="23" s="1"/>
  <c r="N38" i="23"/>
  <c r="Q38" i="23" s="1"/>
  <c r="O37" i="23"/>
  <c r="R37" i="23" s="1"/>
  <c r="N37" i="23"/>
  <c r="Q37" i="23" s="1"/>
  <c r="O36" i="23"/>
  <c r="R36" i="23" s="1"/>
  <c r="N36" i="23"/>
  <c r="Q36" i="23" s="1"/>
  <c r="O35" i="23"/>
  <c r="R35" i="23" s="1"/>
  <c r="N35" i="23"/>
  <c r="Q35" i="23" s="1"/>
  <c r="O34" i="23"/>
  <c r="R34" i="23" s="1"/>
  <c r="N34" i="23"/>
  <c r="Q34" i="23" s="1"/>
  <c r="O33" i="23"/>
  <c r="R33" i="23" s="1"/>
  <c r="N33" i="23"/>
  <c r="Q33" i="23" s="1"/>
  <c r="O32" i="23"/>
  <c r="R32" i="23" s="1"/>
  <c r="N32" i="23"/>
  <c r="Q32" i="23" s="1"/>
  <c r="O31" i="23"/>
  <c r="R31" i="23" s="1"/>
  <c r="N31" i="23"/>
  <c r="Q31" i="23" s="1"/>
  <c r="O30" i="23"/>
  <c r="R30" i="23" s="1"/>
  <c r="N30" i="23"/>
  <c r="Q30" i="23" s="1"/>
  <c r="O29" i="23"/>
  <c r="R29" i="23" s="1"/>
  <c r="N29" i="23"/>
  <c r="Q29" i="23" s="1"/>
  <c r="O28" i="23"/>
  <c r="R28" i="23" s="1"/>
  <c r="N28" i="23"/>
  <c r="Q28" i="23" s="1"/>
  <c r="O27" i="23"/>
  <c r="R27" i="23" s="1"/>
  <c r="N27" i="23"/>
  <c r="Q27" i="23" s="1"/>
  <c r="O26" i="23"/>
  <c r="R26" i="23" s="1"/>
  <c r="N26" i="23"/>
  <c r="Q26" i="23" s="1"/>
  <c r="O25" i="23"/>
  <c r="R25" i="23" s="1"/>
  <c r="N25" i="23"/>
  <c r="Q25" i="23" s="1"/>
  <c r="O24" i="23"/>
  <c r="R24" i="23" s="1"/>
  <c r="N24" i="23"/>
  <c r="Q24" i="23" s="1"/>
  <c r="O23" i="23"/>
  <c r="R23" i="23" s="1"/>
  <c r="N23" i="23"/>
  <c r="Q23" i="23" s="1"/>
  <c r="O22" i="23"/>
  <c r="R22" i="23" s="1"/>
  <c r="N22" i="23"/>
  <c r="Q22" i="23" s="1"/>
  <c r="O21" i="23"/>
  <c r="R21" i="23" s="1"/>
  <c r="N21" i="23"/>
  <c r="Q21" i="23" s="1"/>
  <c r="O20" i="23"/>
  <c r="R20" i="23" s="1"/>
  <c r="N20" i="23"/>
  <c r="Q20" i="23" s="1"/>
  <c r="O19" i="23"/>
  <c r="R19" i="23" s="1"/>
  <c r="N19" i="23"/>
  <c r="Q19" i="23" s="1"/>
  <c r="O18" i="23"/>
  <c r="R18" i="23" s="1"/>
  <c r="N18" i="23"/>
  <c r="Q18" i="23" s="1"/>
  <c r="O17" i="23"/>
  <c r="R17" i="23" s="1"/>
  <c r="N17" i="23"/>
  <c r="Q17" i="23" s="1"/>
  <c r="O16" i="23"/>
  <c r="R16" i="23" s="1"/>
  <c r="N16" i="23"/>
  <c r="Q16" i="23" s="1"/>
  <c r="O15" i="23"/>
  <c r="R15" i="23" s="1"/>
  <c r="N15" i="23"/>
  <c r="Q15" i="23" s="1"/>
  <c r="O14" i="23"/>
  <c r="R14" i="23" s="1"/>
  <c r="N14" i="23"/>
  <c r="Q14" i="23" s="1"/>
  <c r="O13" i="23"/>
  <c r="R13" i="23" s="1"/>
  <c r="N13" i="23"/>
  <c r="Q13" i="23" s="1"/>
  <c r="O12" i="23"/>
  <c r="R12" i="23" s="1"/>
  <c r="N12" i="23"/>
  <c r="Q12" i="23" s="1"/>
  <c r="O11" i="23"/>
  <c r="R11" i="23" s="1"/>
  <c r="N11" i="23"/>
  <c r="Q11" i="23" s="1"/>
  <c r="O10" i="23"/>
  <c r="R10" i="23" s="1"/>
  <c r="N10" i="23"/>
  <c r="Q10" i="23" s="1"/>
  <c r="O9" i="23"/>
  <c r="R9" i="23" s="1"/>
  <c r="N9" i="23"/>
  <c r="Q9" i="23" s="1"/>
  <c r="O8" i="23"/>
  <c r="R8" i="23" s="1"/>
  <c r="N8" i="23"/>
  <c r="Q8" i="23" s="1"/>
  <c r="O7" i="23"/>
  <c r="R7" i="23" s="1"/>
  <c r="N7" i="23"/>
  <c r="Q7" i="23" s="1"/>
  <c r="O6" i="23"/>
  <c r="R6" i="23" s="1"/>
  <c r="N6" i="23"/>
  <c r="Q6" i="23" s="1"/>
  <c r="O5" i="23"/>
  <c r="N5" i="23"/>
  <c r="AK33" i="99"/>
  <c r="AJ33" i="99"/>
  <c r="AI33" i="99"/>
  <c r="AH33" i="99"/>
  <c r="AG33" i="99"/>
  <c r="AF33" i="99"/>
  <c r="AE33" i="99"/>
  <c r="AD33" i="99"/>
  <c r="AC33" i="99"/>
  <c r="AB33" i="99"/>
  <c r="AA33" i="99"/>
  <c r="Z33" i="99"/>
  <c r="Y33" i="99"/>
  <c r="X33" i="99"/>
  <c r="W33" i="99"/>
  <c r="V33" i="99"/>
  <c r="U33" i="99"/>
  <c r="T33" i="99"/>
  <c r="S33" i="99"/>
  <c r="R33" i="99"/>
  <c r="Q33" i="99"/>
  <c r="P33" i="99"/>
  <c r="O33" i="99"/>
  <c r="N33" i="99"/>
  <c r="AK32" i="99"/>
  <c r="AJ32" i="99"/>
  <c r="AI32" i="99"/>
  <c r="AH32" i="99"/>
  <c r="AG32" i="99"/>
  <c r="AF32" i="99"/>
  <c r="AE32" i="99"/>
  <c r="AD32" i="99"/>
  <c r="AC32" i="99"/>
  <c r="AB32" i="99"/>
  <c r="AA32" i="99"/>
  <c r="Z32" i="99"/>
  <c r="Y32" i="99"/>
  <c r="X32" i="99"/>
  <c r="W32" i="99"/>
  <c r="V32" i="99"/>
  <c r="U32" i="99"/>
  <c r="T32" i="99"/>
  <c r="S32" i="99"/>
  <c r="R32" i="99"/>
  <c r="Q32" i="99"/>
  <c r="P32" i="99"/>
  <c r="O32" i="99"/>
  <c r="N32" i="99"/>
  <c r="AK31" i="99"/>
  <c r="AJ31" i="99"/>
  <c r="AI31" i="99"/>
  <c r="AH31" i="99"/>
  <c r="AG31" i="99"/>
  <c r="AF31" i="99"/>
  <c r="AE31" i="99"/>
  <c r="AD31" i="99"/>
  <c r="AC31" i="99"/>
  <c r="AB31" i="99"/>
  <c r="AA31" i="99"/>
  <c r="Z31" i="99"/>
  <c r="Y31" i="99"/>
  <c r="X31" i="99"/>
  <c r="W31" i="99"/>
  <c r="V31" i="99"/>
  <c r="U31" i="99"/>
  <c r="T31" i="99"/>
  <c r="S31" i="99"/>
  <c r="R31" i="99"/>
  <c r="Q31" i="99"/>
  <c r="P31" i="99"/>
  <c r="O31" i="99"/>
  <c r="N31" i="99"/>
  <c r="AK30" i="99"/>
  <c r="AJ30" i="99"/>
  <c r="AI30" i="99"/>
  <c r="AH30" i="99"/>
  <c r="AG30" i="99"/>
  <c r="AF30" i="99"/>
  <c r="AE30" i="99"/>
  <c r="AD30" i="99"/>
  <c r="AC30" i="99"/>
  <c r="AB30" i="99"/>
  <c r="AA30" i="99"/>
  <c r="Z30" i="99"/>
  <c r="Y30" i="99"/>
  <c r="X30" i="99"/>
  <c r="W30" i="99"/>
  <c r="V30" i="99"/>
  <c r="U30" i="99"/>
  <c r="T30" i="99"/>
  <c r="S30" i="99"/>
  <c r="R30" i="99"/>
  <c r="Q30" i="99"/>
  <c r="P30" i="99"/>
  <c r="O30" i="99"/>
  <c r="N30" i="99"/>
  <c r="AK29" i="99"/>
  <c r="AJ29" i="99"/>
  <c r="AI29" i="99"/>
  <c r="AH29" i="99"/>
  <c r="AG29" i="99"/>
  <c r="AF29" i="99"/>
  <c r="AE29" i="99"/>
  <c r="AD29" i="99"/>
  <c r="AC29" i="99"/>
  <c r="AB29" i="99"/>
  <c r="AA29" i="99"/>
  <c r="Z29" i="99"/>
  <c r="Y29" i="99"/>
  <c r="X29" i="99"/>
  <c r="W29" i="99"/>
  <c r="V29" i="99"/>
  <c r="U29" i="99"/>
  <c r="T29" i="99"/>
  <c r="S29" i="99"/>
  <c r="R29" i="99"/>
  <c r="Q29" i="99"/>
  <c r="P29" i="99"/>
  <c r="O29" i="99"/>
  <c r="N29" i="99"/>
  <c r="AK28" i="99"/>
  <c r="AJ28" i="99"/>
  <c r="AI28" i="99"/>
  <c r="AH28" i="99"/>
  <c r="AG28" i="99"/>
  <c r="AF28" i="99"/>
  <c r="AE28" i="99"/>
  <c r="AD28" i="99"/>
  <c r="AC28" i="99"/>
  <c r="AB28" i="99"/>
  <c r="AA28" i="99"/>
  <c r="Z28" i="99"/>
  <c r="Y28" i="99"/>
  <c r="X28" i="99"/>
  <c r="W28" i="99"/>
  <c r="V28" i="99"/>
  <c r="U28" i="99"/>
  <c r="T28" i="99"/>
  <c r="S28" i="99"/>
  <c r="R28" i="99"/>
  <c r="Q28" i="99"/>
  <c r="P28" i="99"/>
  <c r="O28" i="99"/>
  <c r="N28" i="99"/>
  <c r="AK27" i="99"/>
  <c r="AJ27" i="99"/>
  <c r="AI27" i="99"/>
  <c r="AH27" i="99"/>
  <c r="AG27" i="99"/>
  <c r="AF27" i="99"/>
  <c r="AE27" i="99"/>
  <c r="AD27" i="99"/>
  <c r="AC27" i="99"/>
  <c r="AB27" i="99"/>
  <c r="AA27" i="99"/>
  <c r="Z27" i="99"/>
  <c r="Y27" i="99"/>
  <c r="X27" i="99"/>
  <c r="W27" i="99"/>
  <c r="V27" i="99"/>
  <c r="U27" i="99"/>
  <c r="T27" i="99"/>
  <c r="S27" i="99"/>
  <c r="R27" i="99"/>
  <c r="Q27" i="99"/>
  <c r="P27" i="99"/>
  <c r="O27" i="99"/>
  <c r="N27" i="99"/>
  <c r="AK26" i="99"/>
  <c r="AJ26" i="99"/>
  <c r="AI26" i="99"/>
  <c r="AH26" i="99"/>
  <c r="AG26" i="99"/>
  <c r="AF26" i="99"/>
  <c r="AE26" i="99"/>
  <c r="AD26" i="99"/>
  <c r="AC26" i="99"/>
  <c r="AB26" i="99"/>
  <c r="AA26" i="99"/>
  <c r="Z26" i="99"/>
  <c r="Y26" i="99"/>
  <c r="X26" i="99"/>
  <c r="W26" i="99"/>
  <c r="V26" i="99"/>
  <c r="U26" i="99"/>
  <c r="T26" i="99"/>
  <c r="S26" i="99"/>
  <c r="R26" i="99"/>
  <c r="Q26" i="99"/>
  <c r="P26" i="99"/>
  <c r="O26" i="99"/>
  <c r="N26" i="99"/>
  <c r="AK25" i="99"/>
  <c r="AJ25" i="99"/>
  <c r="AI25" i="99"/>
  <c r="AH25" i="99"/>
  <c r="AG25" i="99"/>
  <c r="AF25" i="99"/>
  <c r="AE25" i="99"/>
  <c r="AD25" i="99"/>
  <c r="AC25" i="99"/>
  <c r="AB25" i="99"/>
  <c r="AA25" i="99"/>
  <c r="Z25" i="99"/>
  <c r="Y25" i="99"/>
  <c r="X25" i="99"/>
  <c r="W25" i="99"/>
  <c r="V25" i="99"/>
  <c r="U25" i="99"/>
  <c r="T25" i="99"/>
  <c r="S25" i="99"/>
  <c r="R25" i="99"/>
  <c r="Q25" i="99"/>
  <c r="P25" i="99"/>
  <c r="O25" i="99"/>
  <c r="N25" i="99"/>
  <c r="AK24" i="99"/>
  <c r="AJ24" i="99"/>
  <c r="AI24" i="99"/>
  <c r="AH24" i="99"/>
  <c r="AG24" i="99"/>
  <c r="AF24" i="99"/>
  <c r="AE24" i="99"/>
  <c r="AD24" i="99"/>
  <c r="AC24" i="99"/>
  <c r="AB24" i="99"/>
  <c r="AA24" i="99"/>
  <c r="Z24" i="99"/>
  <c r="Y24" i="99"/>
  <c r="X24" i="99"/>
  <c r="W24" i="99"/>
  <c r="V24" i="99"/>
  <c r="U24" i="99"/>
  <c r="T24" i="99"/>
  <c r="S24" i="99"/>
  <c r="R24" i="99"/>
  <c r="Q24" i="99"/>
  <c r="P24" i="99"/>
  <c r="O24" i="99"/>
  <c r="N24" i="99"/>
  <c r="AK23" i="99"/>
  <c r="AJ23" i="99"/>
  <c r="AI23" i="99"/>
  <c r="AH23" i="99"/>
  <c r="AG23" i="99"/>
  <c r="AF23" i="99"/>
  <c r="AE23" i="99"/>
  <c r="AD23" i="99"/>
  <c r="AC23" i="99"/>
  <c r="AB23" i="99"/>
  <c r="AA23" i="99"/>
  <c r="Z23" i="99"/>
  <c r="Y23" i="99"/>
  <c r="X23" i="99"/>
  <c r="W23" i="99"/>
  <c r="V23" i="99"/>
  <c r="U23" i="99"/>
  <c r="T23" i="99"/>
  <c r="S23" i="99"/>
  <c r="R23" i="99"/>
  <c r="Q23" i="99"/>
  <c r="P23" i="99"/>
  <c r="O23" i="99"/>
  <c r="N23" i="99"/>
  <c r="AK22" i="99"/>
  <c r="AJ22" i="99"/>
  <c r="AI22" i="99"/>
  <c r="AH22" i="99"/>
  <c r="AG22" i="99"/>
  <c r="AF22" i="99"/>
  <c r="AE22" i="99"/>
  <c r="AD22" i="99"/>
  <c r="AC22" i="99"/>
  <c r="AB22" i="99"/>
  <c r="AA22" i="99"/>
  <c r="Z22" i="99"/>
  <c r="Y22" i="99"/>
  <c r="X22" i="99"/>
  <c r="W22" i="99"/>
  <c r="V22" i="99"/>
  <c r="U22" i="99"/>
  <c r="T22" i="99"/>
  <c r="S22" i="99"/>
  <c r="R22" i="99"/>
  <c r="Q22" i="99"/>
  <c r="P22" i="99"/>
  <c r="O22" i="99"/>
  <c r="N22" i="99"/>
  <c r="AK21" i="99"/>
  <c r="AJ21" i="99"/>
  <c r="AI21" i="99"/>
  <c r="AH21" i="99"/>
  <c r="AG21" i="99"/>
  <c r="AF21" i="99"/>
  <c r="AE21" i="99"/>
  <c r="AD21" i="99"/>
  <c r="AC21" i="99"/>
  <c r="AB21" i="99"/>
  <c r="AA21" i="99"/>
  <c r="Z21" i="99"/>
  <c r="Y21" i="99"/>
  <c r="X21" i="99"/>
  <c r="W21" i="99"/>
  <c r="V21" i="99"/>
  <c r="U21" i="99"/>
  <c r="T21" i="99"/>
  <c r="S21" i="99"/>
  <c r="R21" i="99"/>
  <c r="Q21" i="99"/>
  <c r="P21" i="99"/>
  <c r="O21" i="99"/>
  <c r="N21" i="99"/>
  <c r="AK20" i="99"/>
  <c r="AJ20" i="99"/>
  <c r="AI20" i="99"/>
  <c r="AH20" i="99"/>
  <c r="AG20" i="99"/>
  <c r="AF20" i="99"/>
  <c r="AE20" i="99"/>
  <c r="AD20" i="99"/>
  <c r="AC20" i="99"/>
  <c r="AB20" i="99"/>
  <c r="AA20" i="99"/>
  <c r="Z20" i="99"/>
  <c r="Y20" i="99"/>
  <c r="X20" i="99"/>
  <c r="W20" i="99"/>
  <c r="V20" i="99"/>
  <c r="U20" i="99"/>
  <c r="T20" i="99"/>
  <c r="S20" i="99"/>
  <c r="R20" i="99"/>
  <c r="Q20" i="99"/>
  <c r="P20" i="99"/>
  <c r="O20" i="99"/>
  <c r="N20" i="99"/>
  <c r="AK19" i="99"/>
  <c r="AJ19" i="99"/>
  <c r="AI19" i="99"/>
  <c r="AH19" i="99"/>
  <c r="AG19" i="99"/>
  <c r="AF19" i="99"/>
  <c r="AE19" i="99"/>
  <c r="AD19" i="99"/>
  <c r="AC19" i="99"/>
  <c r="AB19" i="99"/>
  <c r="AA19" i="99"/>
  <c r="Z19" i="99"/>
  <c r="Y19" i="99"/>
  <c r="X19" i="99"/>
  <c r="W19" i="99"/>
  <c r="V19" i="99"/>
  <c r="U19" i="99"/>
  <c r="T19" i="99"/>
  <c r="S19" i="99"/>
  <c r="R19" i="99"/>
  <c r="Q19" i="99"/>
  <c r="P19" i="99"/>
  <c r="O19" i="99"/>
  <c r="N19" i="99"/>
  <c r="AK18" i="99"/>
  <c r="AJ18" i="99"/>
  <c r="AI18" i="99"/>
  <c r="AH18" i="99"/>
  <c r="AG18" i="99"/>
  <c r="AF18" i="99"/>
  <c r="AE18" i="99"/>
  <c r="AD18" i="99"/>
  <c r="AC18" i="99"/>
  <c r="AB18" i="99"/>
  <c r="AA18" i="99"/>
  <c r="Z18" i="99"/>
  <c r="Y18" i="99"/>
  <c r="X18" i="99"/>
  <c r="W18" i="99"/>
  <c r="V18" i="99"/>
  <c r="U18" i="99"/>
  <c r="T18" i="99"/>
  <c r="S18" i="99"/>
  <c r="R18" i="99"/>
  <c r="Q18" i="99"/>
  <c r="P18" i="99"/>
  <c r="O18" i="99"/>
  <c r="N18" i="99"/>
  <c r="AK17" i="99"/>
  <c r="AJ17" i="99"/>
  <c r="AI17" i="99"/>
  <c r="AH17" i="99"/>
  <c r="AG17" i="99"/>
  <c r="AF17" i="99"/>
  <c r="AE17" i="99"/>
  <c r="AD17" i="99"/>
  <c r="AC17" i="99"/>
  <c r="AB17" i="99"/>
  <c r="AA17" i="99"/>
  <c r="Z17" i="99"/>
  <c r="Y17" i="99"/>
  <c r="X17" i="99"/>
  <c r="W17" i="99"/>
  <c r="V17" i="99"/>
  <c r="U17" i="99"/>
  <c r="T17" i="99"/>
  <c r="S17" i="99"/>
  <c r="R17" i="99"/>
  <c r="Q17" i="99"/>
  <c r="P17" i="99"/>
  <c r="O17" i="99"/>
  <c r="N17" i="99"/>
  <c r="AK16" i="99"/>
  <c r="AJ16" i="99"/>
  <c r="AI16" i="99"/>
  <c r="AH16" i="99"/>
  <c r="AG16" i="99"/>
  <c r="AF16" i="99"/>
  <c r="AE16" i="99"/>
  <c r="AD16" i="99"/>
  <c r="AC16" i="99"/>
  <c r="AB16" i="99"/>
  <c r="AA16" i="99"/>
  <c r="Z16" i="99"/>
  <c r="Y16" i="99"/>
  <c r="X16" i="99"/>
  <c r="W16" i="99"/>
  <c r="V16" i="99"/>
  <c r="U16" i="99"/>
  <c r="T16" i="99"/>
  <c r="S16" i="99"/>
  <c r="R16" i="99"/>
  <c r="Q16" i="99"/>
  <c r="P16" i="99"/>
  <c r="O16" i="99"/>
  <c r="N16" i="99"/>
  <c r="AK15" i="99"/>
  <c r="AJ15" i="99"/>
  <c r="AI15" i="99"/>
  <c r="AH15" i="99"/>
  <c r="AG15" i="99"/>
  <c r="AF15" i="99"/>
  <c r="AE15" i="99"/>
  <c r="AD15" i="99"/>
  <c r="AC15" i="99"/>
  <c r="AB15" i="99"/>
  <c r="AA15" i="99"/>
  <c r="Z15" i="99"/>
  <c r="Y15" i="99"/>
  <c r="X15" i="99"/>
  <c r="W15" i="99"/>
  <c r="V15" i="99"/>
  <c r="U15" i="99"/>
  <c r="T15" i="99"/>
  <c r="S15" i="99"/>
  <c r="R15" i="99"/>
  <c r="Q15" i="99"/>
  <c r="P15" i="99"/>
  <c r="O15" i="99"/>
  <c r="N15" i="99"/>
  <c r="AK14" i="99"/>
  <c r="AJ14" i="99"/>
  <c r="AI14" i="99"/>
  <c r="AH14" i="99"/>
  <c r="AG14" i="99"/>
  <c r="AF14" i="99"/>
  <c r="AE14" i="99"/>
  <c r="AD14" i="99"/>
  <c r="AC14" i="99"/>
  <c r="AB14" i="99"/>
  <c r="AA14" i="99"/>
  <c r="Z14" i="99"/>
  <c r="Y14" i="99"/>
  <c r="X14" i="99"/>
  <c r="W14" i="99"/>
  <c r="V14" i="99"/>
  <c r="U14" i="99"/>
  <c r="T14" i="99"/>
  <c r="S14" i="99"/>
  <c r="R14" i="99"/>
  <c r="Q14" i="99"/>
  <c r="P14" i="99"/>
  <c r="O14" i="99"/>
  <c r="N14" i="99"/>
  <c r="AK13" i="99"/>
  <c r="AJ13" i="99"/>
  <c r="AI13" i="99"/>
  <c r="AH13" i="99"/>
  <c r="AG13" i="99"/>
  <c r="AF13" i="99"/>
  <c r="AE13" i="99"/>
  <c r="AD13" i="99"/>
  <c r="AC13" i="99"/>
  <c r="AB13" i="99"/>
  <c r="AA13" i="99"/>
  <c r="Z13" i="99"/>
  <c r="Y13" i="99"/>
  <c r="X13" i="99"/>
  <c r="W13" i="99"/>
  <c r="V13" i="99"/>
  <c r="U13" i="99"/>
  <c r="T13" i="99"/>
  <c r="S13" i="99"/>
  <c r="R13" i="99"/>
  <c r="Q13" i="99"/>
  <c r="P13" i="99"/>
  <c r="O13" i="99"/>
  <c r="N13" i="99"/>
  <c r="AK12" i="99"/>
  <c r="AJ12" i="99"/>
  <c r="AI12" i="99"/>
  <c r="AH12" i="99"/>
  <c r="AG12" i="99"/>
  <c r="AF12" i="99"/>
  <c r="AE12" i="99"/>
  <c r="AD12" i="99"/>
  <c r="AC12" i="99"/>
  <c r="AB12" i="99"/>
  <c r="AA12" i="99"/>
  <c r="Z12" i="99"/>
  <c r="Y12" i="99"/>
  <c r="X12" i="99"/>
  <c r="W12" i="99"/>
  <c r="V12" i="99"/>
  <c r="U12" i="99"/>
  <c r="T12" i="99"/>
  <c r="S12" i="99"/>
  <c r="R12" i="99"/>
  <c r="Q12" i="99"/>
  <c r="P12" i="99"/>
  <c r="O12" i="99"/>
  <c r="N12" i="99"/>
  <c r="AK11" i="99"/>
  <c r="AJ11" i="99"/>
  <c r="AI11" i="99"/>
  <c r="AH11" i="99"/>
  <c r="AG11" i="99"/>
  <c r="AF11" i="99"/>
  <c r="AE11" i="99"/>
  <c r="AD11" i="99"/>
  <c r="AC11" i="99"/>
  <c r="AB11" i="99"/>
  <c r="AA11" i="99"/>
  <c r="Z11" i="99"/>
  <c r="Y11" i="99"/>
  <c r="X11" i="99"/>
  <c r="W11" i="99"/>
  <c r="V11" i="99"/>
  <c r="U11" i="99"/>
  <c r="T11" i="99"/>
  <c r="S11" i="99"/>
  <c r="R11" i="99"/>
  <c r="Q11" i="99"/>
  <c r="P11" i="99"/>
  <c r="O11" i="99"/>
  <c r="N11" i="99"/>
  <c r="AK10" i="99"/>
  <c r="AJ10" i="99"/>
  <c r="AI10" i="99"/>
  <c r="AH10" i="99"/>
  <c r="AG10" i="99"/>
  <c r="AF10" i="99"/>
  <c r="AE10" i="99"/>
  <c r="AD10" i="99"/>
  <c r="AC10" i="99"/>
  <c r="AB10" i="99"/>
  <c r="AA10" i="99"/>
  <c r="Z10" i="99"/>
  <c r="Y10" i="99"/>
  <c r="X10" i="99"/>
  <c r="W10" i="99"/>
  <c r="V10" i="99"/>
  <c r="U10" i="99"/>
  <c r="T10" i="99"/>
  <c r="S10" i="99"/>
  <c r="R10" i="99"/>
  <c r="Q10" i="99"/>
  <c r="P10" i="99"/>
  <c r="O10" i="99"/>
  <c r="N10" i="99"/>
  <c r="AK9" i="99"/>
  <c r="AJ9" i="99"/>
  <c r="AI9" i="99"/>
  <c r="AH9" i="99"/>
  <c r="AG9" i="99"/>
  <c r="AF9" i="99"/>
  <c r="AE9" i="99"/>
  <c r="AD9" i="99"/>
  <c r="AC9" i="99"/>
  <c r="AB9" i="99"/>
  <c r="AA9" i="99"/>
  <c r="Z9" i="99"/>
  <c r="Y9" i="99"/>
  <c r="X9" i="99"/>
  <c r="W9" i="99"/>
  <c r="V9" i="99"/>
  <c r="U9" i="99"/>
  <c r="T9" i="99"/>
  <c r="S9" i="99"/>
  <c r="R9" i="99"/>
  <c r="Q9" i="99"/>
  <c r="P9" i="99"/>
  <c r="O9" i="99"/>
  <c r="N9" i="99"/>
  <c r="AK8" i="99"/>
  <c r="AJ8" i="99"/>
  <c r="AI8" i="99"/>
  <c r="AH8" i="99"/>
  <c r="AG8" i="99"/>
  <c r="AF8" i="99"/>
  <c r="AE8" i="99"/>
  <c r="AD8" i="99"/>
  <c r="AC8" i="99"/>
  <c r="AB8" i="99"/>
  <c r="AA8" i="99"/>
  <c r="Z8" i="99"/>
  <c r="Y8" i="99"/>
  <c r="X8" i="99"/>
  <c r="W8" i="99"/>
  <c r="V8" i="99"/>
  <c r="U8" i="99"/>
  <c r="T8" i="99"/>
  <c r="S8" i="99"/>
  <c r="R8" i="99"/>
  <c r="Q8" i="99"/>
  <c r="P8" i="99"/>
  <c r="O8" i="99"/>
  <c r="N8" i="99"/>
  <c r="AK7" i="99"/>
  <c r="AJ7" i="99"/>
  <c r="AI7" i="99"/>
  <c r="AH7" i="99"/>
  <c r="AG7" i="99"/>
  <c r="AF7" i="99"/>
  <c r="AE7" i="99"/>
  <c r="AD7" i="99"/>
  <c r="AC7" i="99"/>
  <c r="AB7" i="99"/>
  <c r="AA7" i="99"/>
  <c r="Z7" i="99"/>
  <c r="Y7" i="99"/>
  <c r="X7" i="99"/>
  <c r="W7" i="99"/>
  <c r="V7" i="99"/>
  <c r="U7" i="99"/>
  <c r="T7" i="99"/>
  <c r="S7" i="99"/>
  <c r="R7" i="99"/>
  <c r="Q7" i="99"/>
  <c r="P7" i="99"/>
  <c r="O7" i="99"/>
  <c r="N7" i="99"/>
  <c r="AK6" i="99"/>
  <c r="AJ6" i="99"/>
  <c r="AI6" i="99"/>
  <c r="AH6" i="99"/>
  <c r="AG6" i="99"/>
  <c r="AF6" i="99"/>
  <c r="AE6" i="99"/>
  <c r="AD6" i="99"/>
  <c r="AC6" i="99"/>
  <c r="AB6" i="99"/>
  <c r="AA6" i="99"/>
  <c r="Z6" i="99"/>
  <c r="Y6" i="99"/>
  <c r="X6" i="99"/>
  <c r="W6" i="99"/>
  <c r="V6" i="99"/>
  <c r="U6" i="99"/>
  <c r="T6" i="99"/>
  <c r="S6" i="99"/>
  <c r="R6" i="99"/>
  <c r="Q6" i="99"/>
  <c r="P6" i="99"/>
  <c r="O6" i="99"/>
  <c r="N6" i="99"/>
  <c r="AK4" i="99"/>
  <c r="AJ4" i="99"/>
  <c r="AI4" i="99"/>
  <c r="AH4" i="99"/>
  <c r="AG4" i="99"/>
  <c r="AF4" i="99"/>
  <c r="AE4" i="99"/>
  <c r="AD4" i="99"/>
  <c r="AC4" i="99"/>
  <c r="AB4" i="99"/>
  <c r="AA4" i="99"/>
  <c r="Z4" i="99"/>
  <c r="Y4" i="99"/>
  <c r="X4" i="99"/>
  <c r="W4" i="99"/>
  <c r="V4" i="99"/>
  <c r="U4" i="99"/>
  <c r="T4" i="99"/>
  <c r="S4" i="99"/>
  <c r="R4" i="99"/>
  <c r="Q4" i="99"/>
  <c r="P4" i="99"/>
  <c r="Q5" i="20"/>
  <c r="S5" i="20" s="1"/>
  <c r="P5" i="20"/>
  <c r="R5" i="20" s="1"/>
  <c r="Q10" i="20"/>
  <c r="P10" i="20"/>
  <c r="Q9" i="20"/>
  <c r="P9" i="20"/>
  <c r="R9" i="20" s="1"/>
  <c r="Q8" i="20"/>
  <c r="P8" i="20"/>
  <c r="R8" i="20" s="1"/>
  <c r="Q7" i="20"/>
  <c r="Q11" i="20" s="1"/>
  <c r="P7" i="20"/>
  <c r="P11" i="20" s="1"/>
  <c r="Q6" i="20"/>
  <c r="S6" i="20" s="1"/>
  <c r="P6" i="20"/>
  <c r="R6" i="20" s="1"/>
  <c r="O4" i="19"/>
  <c r="N4" i="19"/>
  <c r="Q4" i="19" s="1"/>
  <c r="O50" i="19"/>
  <c r="O49" i="19"/>
  <c r="R49" i="19" s="1"/>
  <c r="N49" i="19"/>
  <c r="Q49" i="19" s="1"/>
  <c r="O48" i="19"/>
  <c r="R48" i="19" s="1"/>
  <c r="N48" i="19"/>
  <c r="O47" i="19"/>
  <c r="R47" i="19" s="1"/>
  <c r="N47" i="19"/>
  <c r="Q47" i="19" s="1"/>
  <c r="O46" i="19"/>
  <c r="R46" i="19" s="1"/>
  <c r="N46" i="19"/>
  <c r="Q46" i="19" s="1"/>
  <c r="O45" i="19"/>
  <c r="R45" i="19" s="1"/>
  <c r="N45" i="19"/>
  <c r="Q45" i="19" s="1"/>
  <c r="O44" i="19"/>
  <c r="N44" i="19"/>
  <c r="Q44" i="19" s="1"/>
  <c r="O43" i="19"/>
  <c r="R43" i="19" s="1"/>
  <c r="N43" i="19"/>
  <c r="Q43" i="19" s="1"/>
  <c r="O42" i="19"/>
  <c r="R42" i="19" s="1"/>
  <c r="N42" i="19"/>
  <c r="O41" i="19"/>
  <c r="R41" i="19" s="1"/>
  <c r="N41" i="19"/>
  <c r="Q41" i="19" s="1"/>
  <c r="O40" i="19"/>
  <c r="R40" i="19" s="1"/>
  <c r="N40" i="19"/>
  <c r="Q40" i="19" s="1"/>
  <c r="O39" i="19"/>
  <c r="R39" i="19" s="1"/>
  <c r="N39" i="19"/>
  <c r="Q39" i="19" s="1"/>
  <c r="O38" i="19"/>
  <c r="N38" i="19"/>
  <c r="Q38" i="19" s="1"/>
  <c r="O37" i="19"/>
  <c r="R37" i="19" s="1"/>
  <c r="N37" i="19"/>
  <c r="Q37" i="19" s="1"/>
  <c r="O36" i="19"/>
  <c r="R36" i="19" s="1"/>
  <c r="N36" i="19"/>
  <c r="O35" i="19"/>
  <c r="R35" i="19" s="1"/>
  <c r="N35" i="19"/>
  <c r="Q35" i="19" s="1"/>
  <c r="O34" i="19"/>
  <c r="R34" i="19" s="1"/>
  <c r="N34" i="19"/>
  <c r="Q34" i="19" s="1"/>
  <c r="O33" i="19"/>
  <c r="R33" i="19" s="1"/>
  <c r="N33" i="19"/>
  <c r="Q33" i="19" s="1"/>
  <c r="O32" i="19"/>
  <c r="N32" i="19"/>
  <c r="Q32" i="19" s="1"/>
  <c r="O31" i="19"/>
  <c r="R31" i="19" s="1"/>
  <c r="N31" i="19"/>
  <c r="Q31" i="19" s="1"/>
  <c r="O30" i="19"/>
  <c r="R30" i="19" s="1"/>
  <c r="N30" i="19"/>
  <c r="O29" i="19"/>
  <c r="R29" i="19" s="1"/>
  <c r="N29" i="19"/>
  <c r="Q29" i="19" s="1"/>
  <c r="O28" i="19"/>
  <c r="R28" i="19" s="1"/>
  <c r="N28" i="19"/>
  <c r="Q28" i="19" s="1"/>
  <c r="O27" i="19"/>
  <c r="R27" i="19" s="1"/>
  <c r="N27" i="19"/>
  <c r="Q27" i="19" s="1"/>
  <c r="O26" i="19"/>
  <c r="N26" i="19"/>
  <c r="Q26" i="19" s="1"/>
  <c r="O25" i="19"/>
  <c r="R25" i="19" s="1"/>
  <c r="N25" i="19"/>
  <c r="Q25" i="19" s="1"/>
  <c r="O24" i="19"/>
  <c r="R24" i="19" s="1"/>
  <c r="N24" i="19"/>
  <c r="O23" i="19"/>
  <c r="R23" i="19" s="1"/>
  <c r="N23" i="19"/>
  <c r="Q23" i="19" s="1"/>
  <c r="O22" i="19"/>
  <c r="R22" i="19" s="1"/>
  <c r="N22" i="19"/>
  <c r="Q22" i="19" s="1"/>
  <c r="O21" i="19"/>
  <c r="R21" i="19" s="1"/>
  <c r="N21" i="19"/>
  <c r="Q21" i="19" s="1"/>
  <c r="O20" i="19"/>
  <c r="N20" i="19"/>
  <c r="Q20" i="19" s="1"/>
  <c r="O19" i="19"/>
  <c r="R19" i="19" s="1"/>
  <c r="N19" i="19"/>
  <c r="Q19" i="19" s="1"/>
  <c r="O18" i="19"/>
  <c r="R18" i="19" s="1"/>
  <c r="N18" i="19"/>
  <c r="O17" i="19"/>
  <c r="R17" i="19" s="1"/>
  <c r="N17" i="19"/>
  <c r="Q17" i="19" s="1"/>
  <c r="O16" i="19"/>
  <c r="R16" i="19" s="1"/>
  <c r="N16" i="19"/>
  <c r="Q16" i="19" s="1"/>
  <c r="O15" i="19"/>
  <c r="R15" i="19" s="1"/>
  <c r="N15" i="19"/>
  <c r="Q15" i="19" s="1"/>
  <c r="O14" i="19"/>
  <c r="N14" i="19"/>
  <c r="Q14" i="19" s="1"/>
  <c r="O13" i="19"/>
  <c r="R13" i="19" s="1"/>
  <c r="N13" i="19"/>
  <c r="Q13" i="19" s="1"/>
  <c r="O12" i="19"/>
  <c r="R12" i="19" s="1"/>
  <c r="N12" i="19"/>
  <c r="O11" i="19"/>
  <c r="R11" i="19" s="1"/>
  <c r="N11" i="19"/>
  <c r="Q11" i="19" s="1"/>
  <c r="O10" i="19"/>
  <c r="R10" i="19" s="1"/>
  <c r="N10" i="19"/>
  <c r="Q10" i="19" s="1"/>
  <c r="O9" i="19"/>
  <c r="R9" i="19" s="1"/>
  <c r="N9" i="19"/>
  <c r="Q9" i="19" s="1"/>
  <c r="O8" i="19"/>
  <c r="N8" i="19"/>
  <c r="Q8" i="19" s="1"/>
  <c r="O7" i="19"/>
  <c r="R7" i="19" s="1"/>
  <c r="N7" i="19"/>
  <c r="Q7" i="19" s="1"/>
  <c r="O6" i="19"/>
  <c r="R20" i="19" s="1"/>
  <c r="N6" i="19"/>
  <c r="Q6" i="19" s="1"/>
  <c r="O5" i="19"/>
  <c r="N5" i="19"/>
  <c r="AG18" i="31" l="1"/>
  <c r="AM18" i="31"/>
  <c r="AH20" i="31"/>
  <c r="AN20" i="31"/>
  <c r="AG24" i="31"/>
  <c r="AM24" i="31"/>
  <c r="AD5" i="31"/>
  <c r="AJ6" i="31"/>
  <c r="AI7" i="31"/>
  <c r="AL20" i="31"/>
  <c r="AF37" i="31"/>
  <c r="AL37" i="31"/>
  <c r="AF43" i="31"/>
  <c r="AL43" i="31"/>
  <c r="AH16" i="31"/>
  <c r="AN27" i="31"/>
  <c r="AH42" i="31"/>
  <c r="AD10" i="31"/>
  <c r="AJ10" i="31"/>
  <c r="AG22" i="31"/>
  <c r="AM22" i="31"/>
  <c r="AG26" i="31"/>
  <c r="AM26" i="31"/>
  <c r="AG9" i="31"/>
  <c r="AM9" i="31"/>
  <c r="AH11" i="31"/>
  <c r="AN11" i="31"/>
  <c r="AN14" i="31"/>
  <c r="AF34" i="31"/>
  <c r="AL34" i="31"/>
  <c r="AF40" i="31"/>
  <c r="AL40" i="31"/>
  <c r="AM7" i="31"/>
  <c r="AL11" i="31"/>
  <c r="AL14" i="31"/>
  <c r="AD19" i="31"/>
  <c r="AJ19" i="31"/>
  <c r="AH19" i="31"/>
  <c r="AH39" i="31"/>
  <c r="AM10" i="27"/>
  <c r="AM14" i="27"/>
  <c r="AG20" i="27"/>
  <c r="AG23" i="27"/>
  <c r="AD26" i="27"/>
  <c r="AJ26" i="27"/>
  <c r="AM26" i="27"/>
  <c r="AD29" i="27"/>
  <c r="AJ29" i="27"/>
  <c r="AH29" i="27"/>
  <c r="AG5" i="27"/>
  <c r="AM9" i="27"/>
  <c r="AG10" i="27"/>
  <c r="AD9" i="27"/>
  <c r="AJ9" i="27"/>
  <c r="AI12" i="27"/>
  <c r="AG12" i="27"/>
  <c r="AM13" i="27"/>
  <c r="AG15" i="27"/>
  <c r="AG17" i="27"/>
  <c r="AD20" i="27"/>
  <c r="AJ20" i="27"/>
  <c r="AM20" i="27"/>
  <c r="AD23" i="27"/>
  <c r="AJ23" i="27"/>
  <c r="AM31" i="27"/>
  <c r="AM38" i="27"/>
  <c r="AM39" i="27"/>
  <c r="AG47" i="27"/>
  <c r="AM28" i="27"/>
  <c r="AJ17" i="27"/>
  <c r="AG28" i="27"/>
  <c r="AD5" i="27"/>
  <c r="AH28" i="27"/>
  <c r="AN44" i="27"/>
  <c r="AM7" i="27"/>
  <c r="AG16" i="27"/>
  <c r="AM16" i="27"/>
  <c r="AM19" i="27"/>
  <c r="AG22" i="27"/>
  <c r="AM22" i="27"/>
  <c r="AM29" i="27"/>
  <c r="AM45" i="27"/>
  <c r="AM25" i="27"/>
  <c r="AM27" i="27"/>
  <c r="AI49" i="27"/>
  <c r="AI6" i="27"/>
  <c r="AG9" i="27"/>
  <c r="AD15" i="27"/>
  <c r="AJ15" i="27"/>
  <c r="AI18" i="27"/>
  <c r="AM23" i="27"/>
  <c r="AD17" i="27"/>
  <c r="AJ5" i="27"/>
  <c r="AJ6" i="27"/>
  <c r="AI7" i="27"/>
  <c r="AM12" i="27"/>
  <c r="AM17" i="27"/>
  <c r="AD32" i="27"/>
  <c r="AJ32" i="27"/>
  <c r="AM33" i="27"/>
  <c r="AG49" i="27"/>
  <c r="AM49" i="27"/>
  <c r="R8" i="24"/>
  <c r="R7" i="24"/>
  <c r="R9" i="24"/>
  <c r="S9" i="24"/>
  <c r="S8" i="20"/>
  <c r="R10" i="20"/>
  <c r="S9" i="20"/>
  <c r="S10" i="20"/>
  <c r="R32" i="19"/>
  <c r="R6" i="19"/>
  <c r="R38" i="19"/>
  <c r="R8" i="19"/>
  <c r="R14" i="19"/>
  <c r="R44" i="19"/>
  <c r="R26" i="19"/>
  <c r="R10" i="24"/>
  <c r="S7" i="24"/>
  <c r="S11" i="24" s="1"/>
  <c r="S10" i="24"/>
  <c r="R6" i="24"/>
  <c r="P11" i="24"/>
  <c r="S6" i="24"/>
  <c r="AK6" i="31"/>
  <c r="AK8" i="31"/>
  <c r="AK25" i="31"/>
  <c r="AE10" i="31"/>
  <c r="AK10" i="31"/>
  <c r="AK12" i="31"/>
  <c r="AE19" i="31"/>
  <c r="AK19" i="31"/>
  <c r="AG28" i="31"/>
  <c r="AM28" i="31"/>
  <c r="AK30" i="31"/>
  <c r="AK33" i="31"/>
  <c r="AK36" i="31"/>
  <c r="AK39" i="31"/>
  <c r="AK42" i="31"/>
  <c r="AH46" i="31"/>
  <c r="AN46" i="31"/>
  <c r="AD49" i="31"/>
  <c r="AJ49" i="31"/>
  <c r="AG6" i="31"/>
  <c r="AM6" i="31"/>
  <c r="AH7" i="31"/>
  <c r="AE11" i="31"/>
  <c r="AK14" i="31"/>
  <c r="AG15" i="31"/>
  <c r="AM15" i="31"/>
  <c r="AD16" i="31"/>
  <c r="AJ16" i="31"/>
  <c r="AE20" i="31"/>
  <c r="AF35" i="31"/>
  <c r="AL35" i="31"/>
  <c r="AF38" i="31"/>
  <c r="AL38" i="31"/>
  <c r="AH40" i="31"/>
  <c r="AF41" i="31"/>
  <c r="AL41" i="31"/>
  <c r="AH43" i="31"/>
  <c r="AF44" i="31"/>
  <c r="AL44" i="31"/>
  <c r="AF48" i="31"/>
  <c r="AL48" i="31"/>
  <c r="AK21" i="31"/>
  <c r="AH9" i="31"/>
  <c r="AH8" i="31"/>
  <c r="AH6" i="31"/>
  <c r="AK9" i="31"/>
  <c r="AK24" i="31"/>
  <c r="AK28" i="31"/>
  <c r="AK31" i="31"/>
  <c r="AK34" i="31"/>
  <c r="AK37" i="31"/>
  <c r="AK40" i="31"/>
  <c r="AK43" i="31"/>
  <c r="AE49" i="31"/>
  <c r="AE48" i="31"/>
  <c r="AE47" i="31"/>
  <c r="AE45" i="31"/>
  <c r="AE44" i="31"/>
  <c r="AE43" i="31"/>
  <c r="AE42" i="31"/>
  <c r="AE41" i="31"/>
  <c r="AE40" i="31"/>
  <c r="AE39" i="31"/>
  <c r="AE38" i="31"/>
  <c r="AE37" i="31"/>
  <c r="AE36" i="31"/>
  <c r="AE35" i="31"/>
  <c r="AE34" i="31"/>
  <c r="AE33" i="31"/>
  <c r="AE32" i="31"/>
  <c r="AE31" i="31"/>
  <c r="AE30" i="31"/>
  <c r="AE29" i="31"/>
  <c r="AE28" i="31"/>
  <c r="AE27" i="31"/>
  <c r="AE26" i="31"/>
  <c r="AE25" i="31"/>
  <c r="AE24" i="31"/>
  <c r="AE23" i="31"/>
  <c r="AE22" i="31"/>
  <c r="AE21" i="31"/>
  <c r="AE18" i="31"/>
  <c r="AE15" i="31"/>
  <c r="AE12" i="31"/>
  <c r="AE9" i="31"/>
  <c r="AE46" i="31"/>
  <c r="AK23" i="31"/>
  <c r="AE7" i="31"/>
  <c r="AN10" i="31"/>
  <c r="AN7" i="31"/>
  <c r="AN29" i="31"/>
  <c r="AN18" i="31"/>
  <c r="AN15" i="31"/>
  <c r="AN12" i="31"/>
  <c r="AN9" i="31"/>
  <c r="AN6" i="31"/>
  <c r="AN30" i="31"/>
  <c r="AN28" i="31"/>
  <c r="AN44" i="31"/>
  <c r="AN43" i="31"/>
  <c r="AN42" i="31"/>
  <c r="AN41" i="31"/>
  <c r="AN40" i="31"/>
  <c r="AN39" i="31"/>
  <c r="AN38" i="31"/>
  <c r="AN37" i="31"/>
  <c r="AN36" i="31"/>
  <c r="AN35" i="31"/>
  <c r="AN34" i="31"/>
  <c r="AN33" i="31"/>
  <c r="AN32" i="31"/>
  <c r="AN31" i="31"/>
  <c r="AE16" i="31"/>
  <c r="AK16" i="31"/>
  <c r="AH17" i="31"/>
  <c r="AK18" i="31"/>
  <c r="AK22" i="31"/>
  <c r="AG29" i="31"/>
  <c r="AE5" i="31"/>
  <c r="AK5" i="31"/>
  <c r="AJ5" i="31"/>
  <c r="AE6" i="31"/>
  <c r="AF7" i="31"/>
  <c r="AF18" i="31"/>
  <c r="AF15" i="31"/>
  <c r="AF12" i="31"/>
  <c r="AF9" i="31"/>
  <c r="AF5" i="31"/>
  <c r="AL19" i="31"/>
  <c r="AL16" i="31"/>
  <c r="AL13" i="31"/>
  <c r="AL10" i="31"/>
  <c r="AL7" i="31"/>
  <c r="AL5" i="31"/>
  <c r="AE8" i="31"/>
  <c r="AK11" i="31"/>
  <c r="AG12" i="31"/>
  <c r="AM12" i="31"/>
  <c r="AD13" i="31"/>
  <c r="AJ13" i="31"/>
  <c r="AH13" i="31"/>
  <c r="AE17" i="31"/>
  <c r="AK20" i="31"/>
  <c r="AG21" i="31"/>
  <c r="AM21" i="31"/>
  <c r="AN22" i="31"/>
  <c r="AG23" i="31"/>
  <c r="AM23" i="31"/>
  <c r="AN24" i="31"/>
  <c r="AG25" i="31"/>
  <c r="AM25" i="31"/>
  <c r="AN26" i="31"/>
  <c r="AG27" i="31"/>
  <c r="AM27" i="31"/>
  <c r="AF36" i="31"/>
  <c r="AL36" i="31"/>
  <c r="AF39" i="31"/>
  <c r="AL39" i="31"/>
  <c r="AH41" i="31"/>
  <c r="AF42" i="31"/>
  <c r="AL42" i="31"/>
  <c r="AH44" i="31"/>
  <c r="AF45" i="31"/>
  <c r="AL45" i="31"/>
  <c r="AD47" i="31"/>
  <c r="AJ47" i="31"/>
  <c r="AK49" i="31"/>
  <c r="AK48" i="31"/>
  <c r="AK45" i="31"/>
  <c r="AK46" i="31"/>
  <c r="AK7" i="31"/>
  <c r="AK47" i="31"/>
  <c r="AK17" i="31"/>
  <c r="AK27" i="31"/>
  <c r="AD6" i="31"/>
  <c r="AD7" i="31"/>
  <c r="AE13" i="31"/>
  <c r="AK13" i="31"/>
  <c r="AH14" i="31"/>
  <c r="AK15" i="31"/>
  <c r="AK29" i="31"/>
  <c r="AK32" i="31"/>
  <c r="AK35" i="31"/>
  <c r="AK38" i="31"/>
  <c r="AK41" i="31"/>
  <c r="AK44" i="31"/>
  <c r="AM29" i="31"/>
  <c r="AM30" i="31"/>
  <c r="AG31" i="31"/>
  <c r="AG32" i="31"/>
  <c r="AG33" i="31"/>
  <c r="AM33" i="31"/>
  <c r="AG34" i="31"/>
  <c r="AM34" i="31"/>
  <c r="AG35" i="31"/>
  <c r="AM35" i="31"/>
  <c r="AG36" i="31"/>
  <c r="AM36" i="31"/>
  <c r="AG37" i="31"/>
  <c r="AM37" i="31"/>
  <c r="AG38" i="31"/>
  <c r="AM39" i="31"/>
  <c r="AG40" i="31"/>
  <c r="AM40" i="31"/>
  <c r="AG41" i="31"/>
  <c r="AG42" i="31"/>
  <c r="AM42" i="31"/>
  <c r="AG43" i="31"/>
  <c r="AM43" i="31"/>
  <c r="AG44" i="31"/>
  <c r="AM44" i="31"/>
  <c r="AG45" i="31"/>
  <c r="AM45" i="31"/>
  <c r="AG48" i="31"/>
  <c r="AM48" i="31"/>
  <c r="AF33" i="31"/>
  <c r="AF32" i="31"/>
  <c r="AF31" i="31"/>
  <c r="AF30" i="31"/>
  <c r="AF29" i="31"/>
  <c r="AF28" i="31"/>
  <c r="AF27" i="31"/>
  <c r="AF26" i="31"/>
  <c r="AF25" i="31"/>
  <c r="AF24" i="31"/>
  <c r="AF23" i="31"/>
  <c r="AF22" i="31"/>
  <c r="AF21" i="31"/>
  <c r="AL33" i="31"/>
  <c r="AL32" i="31"/>
  <c r="AL31" i="31"/>
  <c r="AL30" i="31"/>
  <c r="AL29" i="31"/>
  <c r="AL28" i="31"/>
  <c r="AL27" i="31"/>
  <c r="AL26" i="31"/>
  <c r="AL25" i="31"/>
  <c r="AL24" i="31"/>
  <c r="AL23" i="31"/>
  <c r="AL22" i="31"/>
  <c r="AL21" i="31"/>
  <c r="AD8" i="31"/>
  <c r="AJ8" i="31"/>
  <c r="AF8" i="31"/>
  <c r="AL9" i="31"/>
  <c r="AI10" i="31"/>
  <c r="AD11" i="31"/>
  <c r="AJ11" i="31"/>
  <c r="AF11" i="31"/>
  <c r="AL12" i="31"/>
  <c r="AI13" i="31"/>
  <c r="AD14" i="31"/>
  <c r="AJ14" i="31"/>
  <c r="AF14" i="31"/>
  <c r="AL15" i="31"/>
  <c r="AI16" i="31"/>
  <c r="AD17" i="31"/>
  <c r="AJ17" i="31"/>
  <c r="AF17" i="31"/>
  <c r="AL18" i="31"/>
  <c r="AI19" i="31"/>
  <c r="AD20" i="31"/>
  <c r="AJ20" i="31"/>
  <c r="AF20" i="31"/>
  <c r="AH45" i="31"/>
  <c r="AN45" i="31"/>
  <c r="AD46" i="31"/>
  <c r="AJ46" i="31"/>
  <c r="AI46" i="31"/>
  <c r="AF47" i="31"/>
  <c r="AL47" i="31"/>
  <c r="AH48" i="31"/>
  <c r="AN48" i="31"/>
  <c r="AF49" i="31"/>
  <c r="AL49" i="31"/>
  <c r="AG30" i="31"/>
  <c r="AM31" i="31"/>
  <c r="AM32" i="31"/>
  <c r="AM41" i="31"/>
  <c r="AG10" i="31"/>
  <c r="AM10" i="31"/>
  <c r="AG13" i="31"/>
  <c r="AM13" i="31"/>
  <c r="AG16" i="31"/>
  <c r="AM16" i="31"/>
  <c r="AG19" i="31"/>
  <c r="AM19" i="31"/>
  <c r="AG47" i="31"/>
  <c r="AM47" i="31"/>
  <c r="AI48" i="31"/>
  <c r="AG49" i="31"/>
  <c r="AM49" i="31"/>
  <c r="AM38" i="31"/>
  <c r="AI6" i="31"/>
  <c r="AJ7" i="31"/>
  <c r="AI8" i="31"/>
  <c r="AD9" i="31"/>
  <c r="AJ9" i="31"/>
  <c r="AI11" i="31"/>
  <c r="AD12" i="31"/>
  <c r="AJ12" i="31"/>
  <c r="AI14" i="31"/>
  <c r="AD15" i="31"/>
  <c r="AJ15" i="31"/>
  <c r="AI17" i="31"/>
  <c r="AD18" i="31"/>
  <c r="AJ18" i="31"/>
  <c r="AI20" i="31"/>
  <c r="AD21" i="31"/>
  <c r="AJ21" i="31"/>
  <c r="AH21" i="31"/>
  <c r="AD22" i="31"/>
  <c r="AJ22" i="31"/>
  <c r="AH22" i="31"/>
  <c r="AD23" i="31"/>
  <c r="AJ23" i="31"/>
  <c r="AH23" i="31"/>
  <c r="AD24" i="31"/>
  <c r="AJ24" i="31"/>
  <c r="AH24" i="31"/>
  <c r="AD25" i="31"/>
  <c r="AJ25" i="31"/>
  <c r="AH25" i="31"/>
  <c r="AD26" i="31"/>
  <c r="AJ26" i="31"/>
  <c r="AH26" i="31"/>
  <c r="AD27" i="31"/>
  <c r="AJ27" i="31"/>
  <c r="AH27" i="31"/>
  <c r="AD28" i="31"/>
  <c r="AJ28" i="31"/>
  <c r="AH28" i="31"/>
  <c r="AD29" i="31"/>
  <c r="AJ29" i="31"/>
  <c r="AH29" i="31"/>
  <c r="AD30" i="31"/>
  <c r="AJ30" i="31"/>
  <c r="AH30" i="31"/>
  <c r="AD31" i="31"/>
  <c r="AJ31" i="31"/>
  <c r="AH31" i="31"/>
  <c r="AD32" i="31"/>
  <c r="AJ32" i="31"/>
  <c r="AH32" i="31"/>
  <c r="AD33" i="31"/>
  <c r="AJ33" i="31"/>
  <c r="AH33" i="31"/>
  <c r="AD34" i="31"/>
  <c r="AJ34" i="31"/>
  <c r="AH34" i="31"/>
  <c r="AD35" i="31"/>
  <c r="AJ35" i="31"/>
  <c r="AH35" i="31"/>
  <c r="AD36" i="31"/>
  <c r="AJ36" i="31"/>
  <c r="AH36" i="31"/>
  <c r="AD37" i="31"/>
  <c r="AJ37" i="31"/>
  <c r="AH37" i="31"/>
  <c r="AD38" i="31"/>
  <c r="AJ38" i="31"/>
  <c r="AH38" i="31"/>
  <c r="AD39" i="31"/>
  <c r="AJ39" i="31"/>
  <c r="AD40" i="31"/>
  <c r="AJ40" i="31"/>
  <c r="AD41" i="31"/>
  <c r="AJ41" i="31"/>
  <c r="AD42" i="31"/>
  <c r="AJ42" i="31"/>
  <c r="AD43" i="31"/>
  <c r="AJ43" i="31"/>
  <c r="AD44" i="31"/>
  <c r="AJ44" i="31"/>
  <c r="AD45" i="31"/>
  <c r="AJ45" i="31"/>
  <c r="AI45" i="31"/>
  <c r="AF46" i="31"/>
  <c r="AL46" i="31"/>
  <c r="AH47" i="31"/>
  <c r="AN47" i="31"/>
  <c r="AD48" i="31"/>
  <c r="AJ48" i="31"/>
  <c r="AH49" i="31"/>
  <c r="AN49" i="31"/>
  <c r="AG39" i="31"/>
  <c r="AG8" i="31"/>
  <c r="AM8" i="31"/>
  <c r="AG11" i="31"/>
  <c r="AM11" i="31"/>
  <c r="AH12" i="31"/>
  <c r="AN13" i="31"/>
  <c r="AG14" i="31"/>
  <c r="AM14" i="31"/>
  <c r="AH15" i="31"/>
  <c r="AN16" i="31"/>
  <c r="AG17" i="31"/>
  <c r="AM17" i="31"/>
  <c r="AG20" i="31"/>
  <c r="AM20" i="31"/>
  <c r="AI21" i="31"/>
  <c r="AI22" i="31"/>
  <c r="AI23" i="31"/>
  <c r="AI24" i="31"/>
  <c r="AI25" i="31"/>
  <c r="AI26" i="31"/>
  <c r="AI27" i="31"/>
  <c r="AI28" i="31"/>
  <c r="AI29" i="31"/>
  <c r="AI30" i="31"/>
  <c r="AI31" i="31"/>
  <c r="AI32" i="31"/>
  <c r="AI33" i="31"/>
  <c r="AI34" i="31"/>
  <c r="AI35" i="31"/>
  <c r="AI36" i="31"/>
  <c r="AI37" i="31"/>
  <c r="AI38" i="31"/>
  <c r="AI39" i="31"/>
  <c r="AI40" i="31"/>
  <c r="AI41" i="31"/>
  <c r="AI42" i="31"/>
  <c r="AI43" i="31"/>
  <c r="AI44" i="31"/>
  <c r="AG46" i="31"/>
  <c r="AM46" i="31"/>
  <c r="AK44" i="27"/>
  <c r="AK38" i="27"/>
  <c r="AK32" i="27"/>
  <c r="AK26" i="27"/>
  <c r="AK20" i="27"/>
  <c r="AK14" i="27"/>
  <c r="AK8" i="27"/>
  <c r="AK43" i="27"/>
  <c r="AK37" i="27"/>
  <c r="AK31" i="27"/>
  <c r="AK25" i="27"/>
  <c r="AK19" i="27"/>
  <c r="AK42" i="27"/>
  <c r="AK36" i="27"/>
  <c r="AK47" i="27"/>
  <c r="AK41" i="27"/>
  <c r="AK35" i="27"/>
  <c r="AK29" i="27"/>
  <c r="AK23" i="27"/>
  <c r="AK17" i="27"/>
  <c r="AK11" i="27"/>
  <c r="AK6" i="27"/>
  <c r="AF15" i="27"/>
  <c r="AK30" i="27"/>
  <c r="AL18" i="27"/>
  <c r="AF21" i="27"/>
  <c r="AL21" i="27"/>
  <c r="AF24" i="27"/>
  <c r="AL24" i="27"/>
  <c r="AF27" i="27"/>
  <c r="AL27" i="27"/>
  <c r="AF30" i="27"/>
  <c r="AL30" i="27"/>
  <c r="AF33" i="27"/>
  <c r="AL33" i="27"/>
  <c r="AH34" i="27"/>
  <c r="AI36" i="27"/>
  <c r="AE36" i="27"/>
  <c r="AF39" i="27"/>
  <c r="AL39" i="27"/>
  <c r="AH40" i="27"/>
  <c r="AI42" i="27"/>
  <c r="AE42" i="27"/>
  <c r="AF45" i="27"/>
  <c r="AL45" i="27"/>
  <c r="AH46" i="27"/>
  <c r="AE48" i="27"/>
  <c r="AK48" i="27"/>
  <c r="AG6" i="27"/>
  <c r="AG48" i="27"/>
  <c r="AG43" i="27"/>
  <c r="AG37" i="27"/>
  <c r="AG31" i="27"/>
  <c r="AG25" i="27"/>
  <c r="AG19" i="27"/>
  <c r="AG13" i="27"/>
  <c r="AM6" i="27"/>
  <c r="AM48" i="27"/>
  <c r="AL6" i="27"/>
  <c r="AN7" i="27"/>
  <c r="AI10" i="27"/>
  <c r="AE10" i="27"/>
  <c r="AD11" i="27"/>
  <c r="AJ11" i="27"/>
  <c r="AH11" i="27"/>
  <c r="AK12" i="27"/>
  <c r="AF13" i="27"/>
  <c r="AL13" i="27"/>
  <c r="AN13" i="27"/>
  <c r="AI16" i="27"/>
  <c r="AH16" i="27"/>
  <c r="AM18" i="27"/>
  <c r="AI19" i="27"/>
  <c r="AE19" i="27"/>
  <c r="AN20" i="27"/>
  <c r="AG21" i="27"/>
  <c r="AH22" i="27"/>
  <c r="AM24" i="27"/>
  <c r="AI25" i="27"/>
  <c r="AE25" i="27"/>
  <c r="AN26" i="27"/>
  <c r="AG27" i="27"/>
  <c r="AM30" i="27"/>
  <c r="AI31" i="27"/>
  <c r="AN32" i="27"/>
  <c r="AG33" i="27"/>
  <c r="AK34" i="27"/>
  <c r="AM35" i="27"/>
  <c r="AD36" i="27"/>
  <c r="AJ36" i="27"/>
  <c r="AG36" i="27"/>
  <c r="AM37" i="27"/>
  <c r="AN38" i="27"/>
  <c r="AG39" i="27"/>
  <c r="AK40" i="27"/>
  <c r="AM41" i="27"/>
  <c r="AD42" i="27"/>
  <c r="AJ42" i="27"/>
  <c r="AG42" i="27"/>
  <c r="AM43" i="27"/>
  <c r="AG45" i="27"/>
  <c r="AK46" i="27"/>
  <c r="AM47" i="27"/>
  <c r="AF48" i="27"/>
  <c r="AL48" i="27"/>
  <c r="AE49" i="27"/>
  <c r="AK49" i="27"/>
  <c r="AE47" i="27"/>
  <c r="AE41" i="27"/>
  <c r="AE35" i="27"/>
  <c r="AE29" i="27"/>
  <c r="AE23" i="27"/>
  <c r="AE17" i="27"/>
  <c r="AE11" i="27"/>
  <c r="AE46" i="27"/>
  <c r="AE40" i="27"/>
  <c r="AE34" i="27"/>
  <c r="AE28" i="27"/>
  <c r="AE22" i="27"/>
  <c r="AE16" i="27"/>
  <c r="AE45" i="27"/>
  <c r="AE39" i="27"/>
  <c r="AE33" i="27"/>
  <c r="AE44" i="27"/>
  <c r="AE38" i="27"/>
  <c r="AE32" i="27"/>
  <c r="AE26" i="27"/>
  <c r="AE20" i="27"/>
  <c r="AE14" i="27"/>
  <c r="AE8" i="27"/>
  <c r="AL9" i="27"/>
  <c r="AE12" i="27"/>
  <c r="AF18" i="27"/>
  <c r="AH45" i="27"/>
  <c r="AH39" i="27"/>
  <c r="AH33" i="27"/>
  <c r="AH27" i="27"/>
  <c r="AH21" i="27"/>
  <c r="AH15" i="27"/>
  <c r="AH9" i="27"/>
  <c r="AH6" i="27"/>
  <c r="AH20" i="27"/>
  <c r="AH44" i="27"/>
  <c r="AH38" i="27"/>
  <c r="AH32" i="27"/>
  <c r="AH26" i="27"/>
  <c r="AH43" i="27"/>
  <c r="AH37" i="27"/>
  <c r="AH42" i="27"/>
  <c r="AH36" i="27"/>
  <c r="AH30" i="27"/>
  <c r="AH24" i="27"/>
  <c r="AH18" i="27"/>
  <c r="AH12" i="27"/>
  <c r="AH7" i="27"/>
  <c r="AN42" i="27"/>
  <c r="AN36" i="27"/>
  <c r="AN30" i="27"/>
  <c r="AN24" i="27"/>
  <c r="AN18" i="27"/>
  <c r="AN12" i="27"/>
  <c r="AN17" i="27"/>
  <c r="AN47" i="27"/>
  <c r="AN41" i="27"/>
  <c r="AN35" i="27"/>
  <c r="AN29" i="27"/>
  <c r="AN23" i="27"/>
  <c r="AN46" i="27"/>
  <c r="AN40" i="27"/>
  <c r="AN34" i="27"/>
  <c r="AN45" i="27"/>
  <c r="AN39" i="27"/>
  <c r="AN33" i="27"/>
  <c r="AN27" i="27"/>
  <c r="AN21" i="27"/>
  <c r="AN15" i="27"/>
  <c r="AN9" i="27"/>
  <c r="AN5" i="27"/>
  <c r="AN6" i="27"/>
  <c r="AI9" i="27"/>
  <c r="AE9" i="27"/>
  <c r="AH10" i="27"/>
  <c r="AF12" i="27"/>
  <c r="AL12" i="27"/>
  <c r="AI15" i="27"/>
  <c r="AE15" i="27"/>
  <c r="AK16" i="27"/>
  <c r="AH19" i="27"/>
  <c r="AK22" i="27"/>
  <c r="AH25" i="27"/>
  <c r="AK28" i="27"/>
  <c r="AH31" i="27"/>
  <c r="AF9" i="27"/>
  <c r="AK7" i="27"/>
  <c r="AK13" i="27"/>
  <c r="AE6" i="27"/>
  <c r="AF7" i="27"/>
  <c r="AK10" i="27"/>
  <c r="AN19" i="27"/>
  <c r="AI21" i="27"/>
  <c r="AN22" i="27"/>
  <c r="AE24" i="27"/>
  <c r="AE27" i="27"/>
  <c r="AE30" i="27"/>
  <c r="AI33" i="27"/>
  <c r="AK33" i="27"/>
  <c r="AF34" i="27"/>
  <c r="AI37" i="27"/>
  <c r="AE37" i="27"/>
  <c r="AK39" i="27"/>
  <c r="AF40" i="27"/>
  <c r="AL40" i="27"/>
  <c r="AI43" i="27"/>
  <c r="AE43" i="27"/>
  <c r="AK45" i="27"/>
  <c r="AL46" i="27"/>
  <c r="AL49" i="27"/>
  <c r="AL7" i="27"/>
  <c r="AL15" i="27"/>
  <c r="AK18" i="27"/>
  <c r="AK24" i="27"/>
  <c r="AE18" i="27"/>
  <c r="AE21" i="27"/>
  <c r="AI24" i="27"/>
  <c r="AN25" i="27"/>
  <c r="AI27" i="27"/>
  <c r="AN28" i="27"/>
  <c r="AI30" i="27"/>
  <c r="AN31" i="27"/>
  <c r="AL34" i="27"/>
  <c r="AF46" i="27"/>
  <c r="AD48" i="27"/>
  <c r="AD6" i="27"/>
  <c r="AF6" i="27"/>
  <c r="AE7" i="27"/>
  <c r="AG7" i="27"/>
  <c r="AD8" i="27"/>
  <c r="AJ8" i="27"/>
  <c r="AH8" i="27"/>
  <c r="AK9" i="27"/>
  <c r="AF10" i="27"/>
  <c r="AL10" i="27"/>
  <c r="AN10" i="27"/>
  <c r="AI13" i="27"/>
  <c r="AE13" i="27"/>
  <c r="AD14" i="27"/>
  <c r="AJ14" i="27"/>
  <c r="AH14" i="27"/>
  <c r="AK15" i="27"/>
  <c r="AF16" i="27"/>
  <c r="AL16" i="27"/>
  <c r="AD18" i="27"/>
  <c r="AJ18" i="27"/>
  <c r="AG18" i="27"/>
  <c r="AK21" i="27"/>
  <c r="AF22" i="27"/>
  <c r="AL22" i="27"/>
  <c r="AD24" i="27"/>
  <c r="AJ24" i="27"/>
  <c r="AG24" i="27"/>
  <c r="AK27" i="27"/>
  <c r="AF28" i="27"/>
  <c r="AL28" i="27"/>
  <c r="AD30" i="27"/>
  <c r="AJ30" i="27"/>
  <c r="AG30" i="27"/>
  <c r="AG34" i="27"/>
  <c r="AM34" i="27"/>
  <c r="AD35" i="27"/>
  <c r="AJ35" i="27"/>
  <c r="AH35" i="27"/>
  <c r="AM36" i="27"/>
  <c r="AN37" i="27"/>
  <c r="AG38" i="27"/>
  <c r="AG40" i="27"/>
  <c r="AM40" i="27"/>
  <c r="AD41" i="27"/>
  <c r="AJ41" i="27"/>
  <c r="AH41" i="27"/>
  <c r="AM42" i="27"/>
  <c r="AN43" i="27"/>
  <c r="AG44" i="27"/>
  <c r="AG46" i="27"/>
  <c r="AM46" i="27"/>
  <c r="AD47" i="27"/>
  <c r="AJ47" i="27"/>
  <c r="AH47" i="27"/>
  <c r="AI48" i="27"/>
  <c r="AH49" i="27"/>
  <c r="AN49" i="27"/>
  <c r="AE5" i="27"/>
  <c r="AK5" i="27"/>
  <c r="AI8" i="27"/>
  <c r="AF11" i="27"/>
  <c r="AL11" i="27"/>
  <c r="AD13" i="27"/>
  <c r="AJ13" i="27"/>
  <c r="AI14" i="27"/>
  <c r="AF17" i="27"/>
  <c r="AL17" i="27"/>
  <c r="AD19" i="27"/>
  <c r="AJ19" i="27"/>
  <c r="AI20" i="27"/>
  <c r="AF23" i="27"/>
  <c r="AL23" i="27"/>
  <c r="AD25" i="27"/>
  <c r="AJ25" i="27"/>
  <c r="AI26" i="27"/>
  <c r="AF29" i="27"/>
  <c r="AL29" i="27"/>
  <c r="AD31" i="27"/>
  <c r="AJ31" i="27"/>
  <c r="AI32" i="27"/>
  <c r="AF35" i="27"/>
  <c r="AL35" i="27"/>
  <c r="AD37" i="27"/>
  <c r="AJ37" i="27"/>
  <c r="AI38" i="27"/>
  <c r="AF41" i="27"/>
  <c r="AL41" i="27"/>
  <c r="AD43" i="27"/>
  <c r="AJ43" i="27"/>
  <c r="AI44" i="27"/>
  <c r="AF47" i="27"/>
  <c r="AL47" i="27"/>
  <c r="AF36" i="27"/>
  <c r="AL36" i="27"/>
  <c r="AD38" i="27"/>
  <c r="AJ38" i="27"/>
  <c r="AI39" i="27"/>
  <c r="AF42" i="27"/>
  <c r="AL42" i="27"/>
  <c r="AD44" i="27"/>
  <c r="AJ44" i="27"/>
  <c r="AI45" i="27"/>
  <c r="AH48" i="27"/>
  <c r="AN48" i="27"/>
  <c r="AD49" i="27"/>
  <c r="AJ49" i="27"/>
  <c r="AF19" i="27"/>
  <c r="AD21" i="27"/>
  <c r="AJ21" i="27"/>
  <c r="AI22" i="27"/>
  <c r="AF25" i="27"/>
  <c r="AL25" i="27"/>
  <c r="AJ27" i="27"/>
  <c r="AI28" i="27"/>
  <c r="AF31" i="27"/>
  <c r="AL31" i="27"/>
  <c r="AD33" i="27"/>
  <c r="AJ33" i="27"/>
  <c r="AI34" i="27"/>
  <c r="AF37" i="27"/>
  <c r="AL37" i="27"/>
  <c r="AD39" i="27"/>
  <c r="AJ39" i="27"/>
  <c r="AI40" i="27"/>
  <c r="AF43" i="27"/>
  <c r="AL43" i="27"/>
  <c r="AD45" i="27"/>
  <c r="AJ45" i="27"/>
  <c r="AI46" i="27"/>
  <c r="AL19" i="27"/>
  <c r="AD27" i="27"/>
  <c r="AF8" i="27"/>
  <c r="AL8" i="27"/>
  <c r="AD10" i="27"/>
  <c r="AJ10" i="27"/>
  <c r="AI11" i="27"/>
  <c r="AF14" i="27"/>
  <c r="AL14" i="27"/>
  <c r="AD16" i="27"/>
  <c r="AJ16" i="27"/>
  <c r="AI17" i="27"/>
  <c r="AF20" i="27"/>
  <c r="AL20" i="27"/>
  <c r="AD22" i="27"/>
  <c r="AJ22" i="27"/>
  <c r="AI23" i="27"/>
  <c r="AF26" i="27"/>
  <c r="AL26" i="27"/>
  <c r="AD28" i="27"/>
  <c r="AJ28" i="27"/>
  <c r="AI29" i="27"/>
  <c r="AF32" i="27"/>
  <c r="AL32" i="27"/>
  <c r="AD34" i="27"/>
  <c r="AJ34" i="27"/>
  <c r="AI35" i="27"/>
  <c r="AF38" i="27"/>
  <c r="AL38" i="27"/>
  <c r="AD40" i="27"/>
  <c r="AJ40" i="27"/>
  <c r="AI41" i="27"/>
  <c r="AF44" i="27"/>
  <c r="AL44" i="27"/>
  <c r="AD46" i="27"/>
  <c r="AJ46" i="27"/>
  <c r="AI47" i="27"/>
  <c r="R7" i="20"/>
  <c r="R11" i="20" s="1"/>
  <c r="S7" i="20"/>
  <c r="S11" i="20" s="1"/>
  <c r="R11" i="24" l="1"/>
  <c r="T109" i="80"/>
  <c r="U109" i="80"/>
  <c r="V109" i="80"/>
  <c r="W109" i="80"/>
  <c r="X109" i="80"/>
  <c r="Y109" i="80"/>
  <c r="S109" i="80"/>
  <c r="A173" i="68" l="1"/>
  <c r="S269" i="80" l="1"/>
  <c r="S267" i="80"/>
  <c r="T269" i="80" l="1"/>
  <c r="T267" i="80"/>
  <c r="U267" i="80"/>
  <c r="U269" i="80"/>
  <c r="V269" i="80"/>
  <c r="V267" i="80" l="1"/>
  <c r="Z255" i="80"/>
  <c r="Z256" i="80"/>
  <c r="Z257" i="80"/>
  <c r="Z258" i="80"/>
  <c r="Z259" i="80"/>
  <c r="Z260" i="80"/>
  <c r="Z261" i="80"/>
  <c r="Z262" i="80"/>
  <c r="Z263" i="80"/>
  <c r="Z254" i="80"/>
  <c r="M308" i="80" l="1"/>
  <c r="L308" i="80"/>
  <c r="K308" i="80"/>
  <c r="J308" i="80"/>
  <c r="I308" i="80"/>
  <c r="H308" i="80"/>
  <c r="G308" i="80"/>
  <c r="F308" i="80"/>
  <c r="E308" i="80"/>
  <c r="D308" i="80"/>
  <c r="C308" i="80"/>
  <c r="M307" i="80"/>
  <c r="L307" i="80"/>
  <c r="K307" i="80"/>
  <c r="J307" i="80"/>
  <c r="I307" i="80"/>
  <c r="H307" i="80"/>
  <c r="G307" i="80"/>
  <c r="F307" i="80"/>
  <c r="E307" i="80"/>
  <c r="D307" i="80"/>
  <c r="C307" i="80"/>
  <c r="M306" i="80"/>
  <c r="L306" i="80"/>
  <c r="K306" i="80"/>
  <c r="J306" i="80"/>
  <c r="I306" i="80"/>
  <c r="H306" i="80"/>
  <c r="G306" i="80"/>
  <c r="F306" i="80"/>
  <c r="E306" i="80"/>
  <c r="D306" i="80"/>
  <c r="C306" i="80"/>
  <c r="M305" i="80"/>
  <c r="L305" i="80"/>
  <c r="K305" i="80"/>
  <c r="J305" i="80"/>
  <c r="I305" i="80"/>
  <c r="H305" i="80"/>
  <c r="G305" i="80"/>
  <c r="F305" i="80"/>
  <c r="E305" i="80"/>
  <c r="D305" i="80"/>
  <c r="C305" i="80"/>
  <c r="M304" i="80"/>
  <c r="L304" i="80"/>
  <c r="K304" i="80"/>
  <c r="J304" i="80"/>
  <c r="I304" i="80"/>
  <c r="H304" i="80"/>
  <c r="G304" i="80"/>
  <c r="F304" i="80"/>
  <c r="E304" i="80"/>
  <c r="D304" i="80"/>
  <c r="C304" i="80"/>
  <c r="M303" i="80"/>
  <c r="L303" i="80"/>
  <c r="K303" i="80"/>
  <c r="J303" i="80"/>
  <c r="I303" i="80"/>
  <c r="H303" i="80"/>
  <c r="G303" i="80"/>
  <c r="F303" i="80"/>
  <c r="E303" i="80"/>
  <c r="D303" i="80"/>
  <c r="C303" i="80"/>
  <c r="M302" i="80"/>
  <c r="L302" i="80"/>
  <c r="K302" i="80"/>
  <c r="J302" i="80"/>
  <c r="I302" i="80"/>
  <c r="H302" i="80"/>
  <c r="G302" i="80"/>
  <c r="F302" i="80"/>
  <c r="E302" i="80"/>
  <c r="D302" i="80"/>
  <c r="C302" i="80"/>
  <c r="M301" i="80"/>
  <c r="L301" i="80"/>
  <c r="K301" i="80"/>
  <c r="J301" i="80"/>
  <c r="I301" i="80"/>
  <c r="H301" i="80"/>
  <c r="G301" i="80"/>
  <c r="F301" i="80"/>
  <c r="E301" i="80"/>
  <c r="D301" i="80"/>
  <c r="C301" i="80"/>
  <c r="M300" i="80"/>
  <c r="L300" i="80"/>
  <c r="K300" i="80"/>
  <c r="J300" i="80"/>
  <c r="I300" i="80"/>
  <c r="H300" i="80"/>
  <c r="G300" i="80"/>
  <c r="F300" i="80"/>
  <c r="E300" i="80"/>
  <c r="D300" i="80"/>
  <c r="C300" i="80"/>
  <c r="M299" i="80"/>
  <c r="L299" i="80"/>
  <c r="K299" i="80"/>
  <c r="J299" i="80"/>
  <c r="I299" i="80"/>
  <c r="H299" i="80"/>
  <c r="G299" i="80"/>
  <c r="F299" i="80"/>
  <c r="E299" i="80"/>
  <c r="D299" i="80"/>
  <c r="C299" i="80"/>
  <c r="M298" i="80"/>
  <c r="L298" i="80"/>
  <c r="K298" i="80"/>
  <c r="J298" i="80"/>
  <c r="I298" i="80"/>
  <c r="H298" i="80"/>
  <c r="G298" i="80"/>
  <c r="F298" i="80"/>
  <c r="E298" i="80"/>
  <c r="D298" i="80"/>
  <c r="C298" i="80"/>
  <c r="M297" i="80"/>
  <c r="L297" i="80"/>
  <c r="K297" i="80"/>
  <c r="J297" i="80"/>
  <c r="I297" i="80"/>
  <c r="H297" i="80"/>
  <c r="G297" i="80"/>
  <c r="F297" i="80"/>
  <c r="E297" i="80"/>
  <c r="D297" i="80"/>
  <c r="C297" i="80"/>
  <c r="M293" i="80"/>
  <c r="L293" i="80"/>
  <c r="K293" i="80"/>
  <c r="J293" i="80"/>
  <c r="I293" i="80"/>
  <c r="H293" i="80"/>
  <c r="G293" i="80"/>
  <c r="F293" i="80"/>
  <c r="E293" i="80"/>
  <c r="D293" i="80"/>
  <c r="C293" i="80"/>
  <c r="M292" i="80"/>
  <c r="L292" i="80"/>
  <c r="K292" i="80"/>
  <c r="J292" i="80"/>
  <c r="I292" i="80"/>
  <c r="H292" i="80"/>
  <c r="G292" i="80"/>
  <c r="F292" i="80"/>
  <c r="E292" i="80"/>
  <c r="D292" i="80"/>
  <c r="C292" i="80"/>
  <c r="M291" i="80"/>
  <c r="L291" i="80"/>
  <c r="K291" i="80"/>
  <c r="J291" i="80"/>
  <c r="I291" i="80"/>
  <c r="H291" i="80"/>
  <c r="G291" i="80"/>
  <c r="F291" i="80"/>
  <c r="E291" i="80"/>
  <c r="D291" i="80"/>
  <c r="C291" i="80"/>
  <c r="M290" i="80"/>
  <c r="L290" i="80"/>
  <c r="K290" i="80"/>
  <c r="J290" i="80"/>
  <c r="I290" i="80"/>
  <c r="H290" i="80"/>
  <c r="G290" i="80"/>
  <c r="F290" i="80"/>
  <c r="E290" i="80"/>
  <c r="D290" i="80"/>
  <c r="C290" i="80"/>
  <c r="M289" i="80"/>
  <c r="L289" i="80"/>
  <c r="K289" i="80"/>
  <c r="J289" i="80"/>
  <c r="I289" i="80"/>
  <c r="H289" i="80"/>
  <c r="G289" i="80"/>
  <c r="F289" i="80"/>
  <c r="E289" i="80"/>
  <c r="D289" i="80"/>
  <c r="C289" i="80"/>
  <c r="M288" i="80"/>
  <c r="L288" i="80"/>
  <c r="K288" i="80"/>
  <c r="J288" i="80"/>
  <c r="I288" i="80"/>
  <c r="H288" i="80"/>
  <c r="G288" i="80"/>
  <c r="F288" i="80"/>
  <c r="E288" i="80"/>
  <c r="D288" i="80"/>
  <c r="C288" i="80"/>
  <c r="M287" i="80"/>
  <c r="L287" i="80"/>
  <c r="K287" i="80"/>
  <c r="J287" i="80"/>
  <c r="I287" i="80"/>
  <c r="H287" i="80"/>
  <c r="G287" i="80"/>
  <c r="F287" i="80"/>
  <c r="E287" i="80"/>
  <c r="D287" i="80"/>
  <c r="C287" i="80"/>
  <c r="M286" i="80"/>
  <c r="L286" i="80"/>
  <c r="K286" i="80"/>
  <c r="J286" i="80"/>
  <c r="I286" i="80"/>
  <c r="H286" i="80"/>
  <c r="G286" i="80"/>
  <c r="F286" i="80"/>
  <c r="E286" i="80"/>
  <c r="D286" i="80"/>
  <c r="C286" i="80"/>
  <c r="M285" i="80"/>
  <c r="L285" i="80"/>
  <c r="K285" i="80"/>
  <c r="J285" i="80"/>
  <c r="I285" i="80"/>
  <c r="H285" i="80"/>
  <c r="G285" i="80"/>
  <c r="F285" i="80"/>
  <c r="E285" i="80"/>
  <c r="D285" i="80"/>
  <c r="C285" i="80"/>
  <c r="M284" i="80"/>
  <c r="L284" i="80"/>
  <c r="K284" i="80"/>
  <c r="J284" i="80"/>
  <c r="I284" i="80"/>
  <c r="H284" i="80"/>
  <c r="G284" i="80"/>
  <c r="F284" i="80"/>
  <c r="E284" i="80"/>
  <c r="D284" i="80"/>
  <c r="C284" i="80"/>
  <c r="M283" i="80"/>
  <c r="L283" i="80"/>
  <c r="K283" i="80"/>
  <c r="J283" i="80"/>
  <c r="I283" i="80"/>
  <c r="H283" i="80"/>
  <c r="G283" i="80"/>
  <c r="F283" i="80"/>
  <c r="E283" i="80"/>
  <c r="D283" i="80"/>
  <c r="C283" i="80"/>
  <c r="M282" i="80"/>
  <c r="L282" i="80"/>
  <c r="K282" i="80"/>
  <c r="J282" i="80"/>
  <c r="I282" i="80"/>
  <c r="H282" i="80"/>
  <c r="G282" i="80"/>
  <c r="F282" i="80"/>
  <c r="E282" i="80"/>
  <c r="D282" i="80"/>
  <c r="C282" i="80"/>
  <c r="M279" i="80"/>
  <c r="L279" i="80"/>
  <c r="K279" i="80"/>
  <c r="J279" i="80"/>
  <c r="I279" i="80"/>
  <c r="H279" i="80"/>
  <c r="G279" i="80"/>
  <c r="F279" i="80"/>
  <c r="E279" i="80"/>
  <c r="D279" i="80"/>
  <c r="C279" i="80"/>
  <c r="M278" i="80"/>
  <c r="L278" i="80"/>
  <c r="K278" i="80"/>
  <c r="J278" i="80"/>
  <c r="I278" i="80"/>
  <c r="H278" i="80"/>
  <c r="G278" i="80"/>
  <c r="F278" i="80"/>
  <c r="E278" i="80"/>
  <c r="D278" i="80"/>
  <c r="C278" i="80"/>
  <c r="M277" i="80"/>
  <c r="L277" i="80"/>
  <c r="K277" i="80"/>
  <c r="J277" i="80"/>
  <c r="I277" i="80"/>
  <c r="H277" i="80"/>
  <c r="G277" i="80"/>
  <c r="F277" i="80"/>
  <c r="E277" i="80"/>
  <c r="D277" i="80"/>
  <c r="C277" i="80"/>
  <c r="M276" i="80"/>
  <c r="L276" i="80"/>
  <c r="K276" i="80"/>
  <c r="J276" i="80"/>
  <c r="I276" i="80"/>
  <c r="H276" i="80"/>
  <c r="G276" i="80"/>
  <c r="F276" i="80"/>
  <c r="E276" i="80"/>
  <c r="D276" i="80"/>
  <c r="C276" i="80"/>
  <c r="M275" i="80"/>
  <c r="L275" i="80"/>
  <c r="K275" i="80"/>
  <c r="J275" i="80"/>
  <c r="I275" i="80"/>
  <c r="H275" i="80"/>
  <c r="G275" i="80"/>
  <c r="F275" i="80"/>
  <c r="E275" i="80"/>
  <c r="D275" i="80"/>
  <c r="C275" i="80"/>
  <c r="M274" i="80"/>
  <c r="L274" i="80"/>
  <c r="K274" i="80"/>
  <c r="J274" i="80"/>
  <c r="I274" i="80"/>
  <c r="H274" i="80"/>
  <c r="G274" i="80"/>
  <c r="F274" i="80"/>
  <c r="E274" i="80"/>
  <c r="D274" i="80"/>
  <c r="C274" i="80"/>
  <c r="M273" i="80"/>
  <c r="L273" i="80"/>
  <c r="K273" i="80"/>
  <c r="J273" i="80"/>
  <c r="I273" i="80"/>
  <c r="H273" i="80"/>
  <c r="G273" i="80"/>
  <c r="F273" i="80"/>
  <c r="E273" i="80"/>
  <c r="D273" i="80"/>
  <c r="C273" i="80"/>
  <c r="M272" i="80"/>
  <c r="L272" i="80"/>
  <c r="K272" i="80"/>
  <c r="J272" i="80"/>
  <c r="I272" i="80"/>
  <c r="H272" i="80"/>
  <c r="G272" i="80"/>
  <c r="F272" i="80"/>
  <c r="E272" i="80"/>
  <c r="D272" i="80"/>
  <c r="C272" i="80"/>
  <c r="M271" i="80"/>
  <c r="L271" i="80"/>
  <c r="K271" i="80"/>
  <c r="J271" i="80"/>
  <c r="I271" i="80"/>
  <c r="H271" i="80"/>
  <c r="G271" i="80"/>
  <c r="F271" i="80"/>
  <c r="E271" i="80"/>
  <c r="D271" i="80"/>
  <c r="C271" i="80"/>
  <c r="M270" i="80"/>
  <c r="L270" i="80"/>
  <c r="K270" i="80"/>
  <c r="J270" i="80"/>
  <c r="I270" i="80"/>
  <c r="H270" i="80"/>
  <c r="G270" i="80"/>
  <c r="F270" i="80"/>
  <c r="E270" i="80"/>
  <c r="D270" i="80"/>
  <c r="C270" i="80"/>
  <c r="M269" i="80"/>
  <c r="L269" i="80"/>
  <c r="K269" i="80"/>
  <c r="J269" i="80"/>
  <c r="I269" i="80"/>
  <c r="H269" i="80"/>
  <c r="G269" i="80"/>
  <c r="F269" i="80"/>
  <c r="E269" i="80"/>
  <c r="D269" i="80"/>
  <c r="C269" i="80"/>
  <c r="M268" i="80"/>
  <c r="L268" i="80"/>
  <c r="K268" i="80"/>
  <c r="J268" i="80"/>
  <c r="I268" i="80"/>
  <c r="H268" i="80"/>
  <c r="G268" i="80"/>
  <c r="F268" i="80"/>
  <c r="E268" i="80"/>
  <c r="D268" i="80"/>
  <c r="C268" i="80"/>
  <c r="M264" i="80"/>
  <c r="L264" i="80"/>
  <c r="K264" i="80"/>
  <c r="J264" i="80"/>
  <c r="I264" i="80"/>
  <c r="H264" i="80"/>
  <c r="G264" i="80"/>
  <c r="F264" i="80"/>
  <c r="E264" i="80"/>
  <c r="D264" i="80"/>
  <c r="C264" i="80"/>
  <c r="M263" i="80"/>
  <c r="L263" i="80"/>
  <c r="K263" i="80"/>
  <c r="J263" i="80"/>
  <c r="I263" i="80"/>
  <c r="H263" i="80"/>
  <c r="G263" i="80"/>
  <c r="F263" i="80"/>
  <c r="E263" i="80"/>
  <c r="D263" i="80"/>
  <c r="C263" i="80"/>
  <c r="M262" i="80"/>
  <c r="L262" i="80"/>
  <c r="K262" i="80"/>
  <c r="J262" i="80"/>
  <c r="I262" i="80"/>
  <c r="H262" i="80"/>
  <c r="G262" i="80"/>
  <c r="F262" i="80"/>
  <c r="E262" i="80"/>
  <c r="D262" i="80"/>
  <c r="C262" i="80"/>
  <c r="M261" i="80"/>
  <c r="L261" i="80"/>
  <c r="K261" i="80"/>
  <c r="J261" i="80"/>
  <c r="I261" i="80"/>
  <c r="H261" i="80"/>
  <c r="G261" i="80"/>
  <c r="F261" i="80"/>
  <c r="E261" i="80"/>
  <c r="D261" i="80"/>
  <c r="C261" i="80"/>
  <c r="M260" i="80"/>
  <c r="L260" i="80"/>
  <c r="K260" i="80"/>
  <c r="J260" i="80"/>
  <c r="I260" i="80"/>
  <c r="H260" i="80"/>
  <c r="G260" i="80"/>
  <c r="F260" i="80"/>
  <c r="E260" i="80"/>
  <c r="D260" i="80"/>
  <c r="C260" i="80"/>
  <c r="M259" i="80"/>
  <c r="L259" i="80"/>
  <c r="K259" i="80"/>
  <c r="J259" i="80"/>
  <c r="I259" i="80"/>
  <c r="H259" i="80"/>
  <c r="G259" i="80"/>
  <c r="F259" i="80"/>
  <c r="E259" i="80"/>
  <c r="D259" i="80"/>
  <c r="C259" i="80"/>
  <c r="M258" i="80"/>
  <c r="L258" i="80"/>
  <c r="K258" i="80"/>
  <c r="J258" i="80"/>
  <c r="I258" i="80"/>
  <c r="H258" i="80"/>
  <c r="G258" i="80"/>
  <c r="F258" i="80"/>
  <c r="E258" i="80"/>
  <c r="D258" i="80"/>
  <c r="C258" i="80"/>
  <c r="M257" i="80"/>
  <c r="L257" i="80"/>
  <c r="K257" i="80"/>
  <c r="J257" i="80"/>
  <c r="I257" i="80"/>
  <c r="H257" i="80"/>
  <c r="G257" i="80"/>
  <c r="F257" i="80"/>
  <c r="E257" i="80"/>
  <c r="D257" i="80"/>
  <c r="C257" i="80"/>
  <c r="M256" i="80"/>
  <c r="L256" i="80"/>
  <c r="K256" i="80"/>
  <c r="J256" i="80"/>
  <c r="I256" i="80"/>
  <c r="H256" i="80"/>
  <c r="G256" i="80"/>
  <c r="F256" i="80"/>
  <c r="E256" i="80"/>
  <c r="D256" i="80"/>
  <c r="C256" i="80"/>
  <c r="M255" i="80"/>
  <c r="L255" i="80"/>
  <c r="K255" i="80"/>
  <c r="J255" i="80"/>
  <c r="I255" i="80"/>
  <c r="H255" i="80"/>
  <c r="G255" i="80"/>
  <c r="F255" i="80"/>
  <c r="E255" i="80"/>
  <c r="D255" i="80"/>
  <c r="C255" i="80"/>
  <c r="M254" i="80"/>
  <c r="L254" i="80"/>
  <c r="K254" i="80"/>
  <c r="J254" i="80"/>
  <c r="I254" i="80"/>
  <c r="H254" i="80"/>
  <c r="G254" i="80"/>
  <c r="F254" i="80"/>
  <c r="E254" i="80"/>
  <c r="D254" i="80"/>
  <c r="C254" i="80"/>
  <c r="M253" i="80"/>
  <c r="L253" i="80"/>
  <c r="K253" i="80"/>
  <c r="J253" i="80"/>
  <c r="I253" i="80"/>
  <c r="H253" i="80"/>
  <c r="G253" i="80"/>
  <c r="F253" i="80"/>
  <c r="E253" i="80"/>
  <c r="D253" i="80"/>
  <c r="C253" i="80"/>
  <c r="M71" i="112" l="1"/>
  <c r="L71" i="112"/>
  <c r="K71" i="112"/>
  <c r="J71" i="112"/>
  <c r="I71" i="112"/>
  <c r="H71" i="112"/>
  <c r="G71" i="112"/>
  <c r="F71" i="112"/>
  <c r="E71" i="112"/>
  <c r="D71" i="112"/>
  <c r="C71" i="112"/>
  <c r="M70" i="112"/>
  <c r="L70" i="112"/>
  <c r="K70" i="112"/>
  <c r="J70" i="112"/>
  <c r="I70" i="112"/>
  <c r="H70" i="112"/>
  <c r="G70" i="112"/>
  <c r="F70" i="112"/>
  <c r="E70" i="112"/>
  <c r="D70" i="112"/>
  <c r="C70" i="112"/>
  <c r="M69" i="112"/>
  <c r="L69" i="112"/>
  <c r="K69" i="112"/>
  <c r="J69" i="112"/>
  <c r="I69" i="112"/>
  <c r="H69" i="112"/>
  <c r="G69" i="112"/>
  <c r="F69" i="112"/>
  <c r="E69" i="112"/>
  <c r="D69" i="112"/>
  <c r="C69" i="112"/>
  <c r="M68" i="112"/>
  <c r="L68" i="112"/>
  <c r="K68" i="112"/>
  <c r="J68" i="112"/>
  <c r="I68" i="112"/>
  <c r="H68" i="112"/>
  <c r="G68" i="112"/>
  <c r="F68" i="112"/>
  <c r="E68" i="112"/>
  <c r="D68" i="112"/>
  <c r="C68" i="112"/>
  <c r="M67" i="112"/>
  <c r="L67" i="112"/>
  <c r="K67" i="112"/>
  <c r="J67" i="112"/>
  <c r="I67" i="112"/>
  <c r="H67" i="112"/>
  <c r="G67" i="112"/>
  <c r="F67" i="112"/>
  <c r="E67" i="112"/>
  <c r="D67" i="112"/>
  <c r="C67" i="112"/>
  <c r="M66" i="112"/>
  <c r="L66" i="112"/>
  <c r="K66" i="112"/>
  <c r="J66" i="112"/>
  <c r="I66" i="112"/>
  <c r="H66" i="112"/>
  <c r="G66" i="112"/>
  <c r="F66" i="112"/>
  <c r="E66" i="112"/>
  <c r="D66" i="112"/>
  <c r="C66" i="112"/>
  <c r="M65" i="112"/>
  <c r="L65" i="112"/>
  <c r="K65" i="112"/>
  <c r="J65" i="112"/>
  <c r="I65" i="112"/>
  <c r="H65" i="112"/>
  <c r="G65" i="112"/>
  <c r="F65" i="112"/>
  <c r="E65" i="112"/>
  <c r="D65" i="112"/>
  <c r="C65" i="112"/>
  <c r="M64" i="112"/>
  <c r="L64" i="112"/>
  <c r="K64" i="112"/>
  <c r="J64" i="112"/>
  <c r="I64" i="112"/>
  <c r="H64" i="112"/>
  <c r="G64" i="112"/>
  <c r="F64" i="112"/>
  <c r="E64" i="112"/>
  <c r="D64" i="112"/>
  <c r="C64" i="112"/>
  <c r="M63" i="112"/>
  <c r="L63" i="112"/>
  <c r="K63" i="112"/>
  <c r="J63" i="112"/>
  <c r="I63" i="112"/>
  <c r="H63" i="112"/>
  <c r="G63" i="112"/>
  <c r="F63" i="112"/>
  <c r="E63" i="112"/>
  <c r="D63" i="112"/>
  <c r="C63" i="112"/>
  <c r="M62" i="112"/>
  <c r="L62" i="112"/>
  <c r="K62" i="112"/>
  <c r="J62" i="112"/>
  <c r="I62" i="112"/>
  <c r="H62" i="112"/>
  <c r="G62" i="112"/>
  <c r="F62" i="112"/>
  <c r="E62" i="112"/>
  <c r="D62" i="112"/>
  <c r="C62" i="112"/>
  <c r="M61" i="112"/>
  <c r="L61" i="112"/>
  <c r="K61" i="112"/>
  <c r="J61" i="112"/>
  <c r="I61" i="112"/>
  <c r="H61" i="112"/>
  <c r="G61" i="112"/>
  <c r="F61" i="112"/>
  <c r="E61" i="112"/>
  <c r="D61" i="112"/>
  <c r="C61" i="112"/>
  <c r="M60" i="112"/>
  <c r="L60" i="112"/>
  <c r="K60" i="112"/>
  <c r="J60" i="112"/>
  <c r="I60" i="112"/>
  <c r="H60" i="112"/>
  <c r="G60" i="112"/>
  <c r="F60" i="112"/>
  <c r="E60" i="112"/>
  <c r="D60" i="112"/>
  <c r="C60" i="112"/>
  <c r="M56" i="112"/>
  <c r="L56" i="112"/>
  <c r="K56" i="112"/>
  <c r="J56" i="112"/>
  <c r="I56" i="112"/>
  <c r="H56" i="112"/>
  <c r="G56" i="112"/>
  <c r="F56" i="112"/>
  <c r="E56" i="112"/>
  <c r="D56" i="112"/>
  <c r="C56" i="112"/>
  <c r="M55" i="112"/>
  <c r="L55" i="112"/>
  <c r="K55" i="112"/>
  <c r="J55" i="112"/>
  <c r="I55" i="112"/>
  <c r="H55" i="112"/>
  <c r="G55" i="112"/>
  <c r="F55" i="112"/>
  <c r="E55" i="112"/>
  <c r="D55" i="112"/>
  <c r="C55" i="112"/>
  <c r="M54" i="112"/>
  <c r="L54" i="112"/>
  <c r="K54" i="112"/>
  <c r="J54" i="112"/>
  <c r="I54" i="112"/>
  <c r="H54" i="112"/>
  <c r="G54" i="112"/>
  <c r="F54" i="112"/>
  <c r="E54" i="112"/>
  <c r="D54" i="112"/>
  <c r="C54" i="112"/>
  <c r="M53" i="112"/>
  <c r="L53" i="112"/>
  <c r="K53" i="112"/>
  <c r="J53" i="112"/>
  <c r="I53" i="112"/>
  <c r="H53" i="112"/>
  <c r="G53" i="112"/>
  <c r="F53" i="112"/>
  <c r="E53" i="112"/>
  <c r="D53" i="112"/>
  <c r="C53" i="112"/>
  <c r="M52" i="112"/>
  <c r="L52" i="112"/>
  <c r="K52" i="112"/>
  <c r="J52" i="112"/>
  <c r="I52" i="112"/>
  <c r="H52" i="112"/>
  <c r="G52" i="112"/>
  <c r="F52" i="112"/>
  <c r="E52" i="112"/>
  <c r="D52" i="112"/>
  <c r="C52" i="112"/>
  <c r="M51" i="112"/>
  <c r="L51" i="112"/>
  <c r="K51" i="112"/>
  <c r="J51" i="112"/>
  <c r="I51" i="112"/>
  <c r="H51" i="112"/>
  <c r="G51" i="112"/>
  <c r="F51" i="112"/>
  <c r="E51" i="112"/>
  <c r="D51" i="112"/>
  <c r="C51" i="112"/>
  <c r="M50" i="112"/>
  <c r="L50" i="112"/>
  <c r="K50" i="112"/>
  <c r="J50" i="112"/>
  <c r="I50" i="112"/>
  <c r="H50" i="112"/>
  <c r="G50" i="112"/>
  <c r="F50" i="112"/>
  <c r="E50" i="112"/>
  <c r="D50" i="112"/>
  <c r="C50" i="112"/>
  <c r="M49" i="112"/>
  <c r="L49" i="112"/>
  <c r="K49" i="112"/>
  <c r="J49" i="112"/>
  <c r="I49" i="112"/>
  <c r="H49" i="112"/>
  <c r="G49" i="112"/>
  <c r="F49" i="112"/>
  <c r="E49" i="112"/>
  <c r="D49" i="112"/>
  <c r="C49" i="112"/>
  <c r="M48" i="112"/>
  <c r="L48" i="112"/>
  <c r="K48" i="112"/>
  <c r="J48" i="112"/>
  <c r="I48" i="112"/>
  <c r="H48" i="112"/>
  <c r="G48" i="112"/>
  <c r="F48" i="112"/>
  <c r="E48" i="112"/>
  <c r="D48" i="112"/>
  <c r="C48" i="112"/>
  <c r="M47" i="112"/>
  <c r="L47" i="112"/>
  <c r="K47" i="112"/>
  <c r="J47" i="112"/>
  <c r="I47" i="112"/>
  <c r="H47" i="112"/>
  <c r="G47" i="112"/>
  <c r="F47" i="112"/>
  <c r="E47" i="112"/>
  <c r="D47" i="112"/>
  <c r="C47" i="112"/>
  <c r="M46" i="112"/>
  <c r="L46" i="112"/>
  <c r="K46" i="112"/>
  <c r="J46" i="112"/>
  <c r="I46" i="112"/>
  <c r="H46" i="112"/>
  <c r="G46" i="112"/>
  <c r="F46" i="112"/>
  <c r="E46" i="112"/>
  <c r="D46" i="112"/>
  <c r="C46" i="112"/>
  <c r="M45" i="112"/>
  <c r="L45" i="112"/>
  <c r="K45" i="112"/>
  <c r="J45" i="112"/>
  <c r="I45" i="112"/>
  <c r="H45" i="112"/>
  <c r="G45" i="112"/>
  <c r="F45" i="112"/>
  <c r="E45" i="112"/>
  <c r="D45" i="112"/>
  <c r="C45" i="112"/>
  <c r="M42" i="112"/>
  <c r="L42" i="112"/>
  <c r="K42" i="112"/>
  <c r="J42" i="112"/>
  <c r="I42" i="112"/>
  <c r="H42" i="112"/>
  <c r="G42" i="112"/>
  <c r="F42" i="112"/>
  <c r="E42" i="112"/>
  <c r="D42" i="112"/>
  <c r="C42" i="112"/>
  <c r="M41" i="112"/>
  <c r="L41" i="112"/>
  <c r="K41" i="112"/>
  <c r="J41" i="112"/>
  <c r="I41" i="112"/>
  <c r="H41" i="112"/>
  <c r="G41" i="112"/>
  <c r="F41" i="112"/>
  <c r="E41" i="112"/>
  <c r="D41" i="112"/>
  <c r="C41" i="112"/>
  <c r="M40" i="112"/>
  <c r="L40" i="112"/>
  <c r="K40" i="112"/>
  <c r="J40" i="112"/>
  <c r="I40" i="112"/>
  <c r="H40" i="112"/>
  <c r="G40" i="112"/>
  <c r="F40" i="112"/>
  <c r="E40" i="112"/>
  <c r="D40" i="112"/>
  <c r="C40" i="112"/>
  <c r="M39" i="112"/>
  <c r="L39" i="112"/>
  <c r="K39" i="112"/>
  <c r="J39" i="112"/>
  <c r="I39" i="112"/>
  <c r="H39" i="112"/>
  <c r="G39" i="112"/>
  <c r="F39" i="112"/>
  <c r="E39" i="112"/>
  <c r="D39" i="112"/>
  <c r="C39" i="112"/>
  <c r="M38" i="112"/>
  <c r="L38" i="112"/>
  <c r="K38" i="112"/>
  <c r="J38" i="112"/>
  <c r="I38" i="112"/>
  <c r="H38" i="112"/>
  <c r="G38" i="112"/>
  <c r="F38" i="112"/>
  <c r="E38" i="112"/>
  <c r="D38" i="112"/>
  <c r="C38" i="112"/>
  <c r="M37" i="112"/>
  <c r="L37" i="112"/>
  <c r="K37" i="112"/>
  <c r="J37" i="112"/>
  <c r="I37" i="112"/>
  <c r="H37" i="112"/>
  <c r="G37" i="112"/>
  <c r="F37" i="112"/>
  <c r="E37" i="112"/>
  <c r="D37" i="112"/>
  <c r="C37" i="112"/>
  <c r="M36" i="112"/>
  <c r="L36" i="112"/>
  <c r="K36" i="112"/>
  <c r="J36" i="112"/>
  <c r="I36" i="112"/>
  <c r="H36" i="112"/>
  <c r="G36" i="112"/>
  <c r="F36" i="112"/>
  <c r="E36" i="112"/>
  <c r="D36" i="112"/>
  <c r="C36" i="112"/>
  <c r="M35" i="112"/>
  <c r="L35" i="112"/>
  <c r="K35" i="112"/>
  <c r="J35" i="112"/>
  <c r="I35" i="112"/>
  <c r="H35" i="112"/>
  <c r="G35" i="112"/>
  <c r="F35" i="112"/>
  <c r="E35" i="112"/>
  <c r="D35" i="112"/>
  <c r="C35" i="112"/>
  <c r="M34" i="112"/>
  <c r="L34" i="112"/>
  <c r="K34" i="112"/>
  <c r="J34" i="112"/>
  <c r="I34" i="112"/>
  <c r="H34" i="112"/>
  <c r="G34" i="112"/>
  <c r="F34" i="112"/>
  <c r="E34" i="112"/>
  <c r="D34" i="112"/>
  <c r="C34" i="112"/>
  <c r="M33" i="112"/>
  <c r="L33" i="112"/>
  <c r="K33" i="112"/>
  <c r="J33" i="112"/>
  <c r="I33" i="112"/>
  <c r="H33" i="112"/>
  <c r="G33" i="112"/>
  <c r="F33" i="112"/>
  <c r="E33" i="112"/>
  <c r="D33" i="112"/>
  <c r="C33" i="112"/>
  <c r="M32" i="112"/>
  <c r="L32" i="112"/>
  <c r="K32" i="112"/>
  <c r="J32" i="112"/>
  <c r="I32" i="112"/>
  <c r="H32" i="112"/>
  <c r="G32" i="112"/>
  <c r="F32" i="112"/>
  <c r="E32" i="112"/>
  <c r="D32" i="112"/>
  <c r="C32" i="112"/>
  <c r="M31" i="112"/>
  <c r="L31" i="112"/>
  <c r="K31" i="112"/>
  <c r="J31" i="112"/>
  <c r="I31" i="112"/>
  <c r="H31" i="112"/>
  <c r="G31" i="112"/>
  <c r="F31" i="112"/>
  <c r="E31" i="112"/>
  <c r="D31" i="112"/>
  <c r="C31" i="112"/>
  <c r="M16" i="112"/>
  <c r="A12" i="112" s="1"/>
  <c r="L16" i="112"/>
  <c r="A11" i="112" s="1"/>
  <c r="K16" i="112"/>
  <c r="A10" i="112" s="1"/>
  <c r="J16" i="112"/>
  <c r="A9" i="112" s="1"/>
  <c r="I16" i="112"/>
  <c r="A8" i="112" s="1"/>
  <c r="H16" i="112"/>
  <c r="A7" i="112" s="1"/>
  <c r="G16" i="112"/>
  <c r="A6" i="112" s="1"/>
  <c r="F16" i="112"/>
  <c r="A5" i="112" s="1"/>
  <c r="E16" i="112"/>
  <c r="A4" i="112" s="1"/>
  <c r="D16" i="112"/>
  <c r="A3" i="112" s="1"/>
  <c r="C16" i="112"/>
  <c r="M27" i="112"/>
  <c r="M26" i="112"/>
  <c r="M25" i="112"/>
  <c r="M24" i="112"/>
  <c r="M23" i="112"/>
  <c r="M22" i="112"/>
  <c r="M21" i="112"/>
  <c r="M20" i="112"/>
  <c r="M19" i="112"/>
  <c r="M18" i="112"/>
  <c r="M17" i="112"/>
  <c r="L27" i="112"/>
  <c r="L26" i="112"/>
  <c r="L25" i="112"/>
  <c r="L24" i="112"/>
  <c r="L23" i="112"/>
  <c r="L22" i="112"/>
  <c r="L21" i="112"/>
  <c r="L20" i="112"/>
  <c r="L19" i="112"/>
  <c r="L18" i="112"/>
  <c r="L17" i="112"/>
  <c r="K27" i="112"/>
  <c r="K26" i="112"/>
  <c r="K25" i="112"/>
  <c r="K24" i="112"/>
  <c r="K23" i="112"/>
  <c r="K22" i="112"/>
  <c r="K21" i="112"/>
  <c r="K20" i="112"/>
  <c r="K19" i="112"/>
  <c r="K18" i="112"/>
  <c r="K17" i="112"/>
  <c r="J27" i="112"/>
  <c r="J26" i="112"/>
  <c r="J25" i="112"/>
  <c r="J24" i="112"/>
  <c r="J23" i="112"/>
  <c r="J22" i="112"/>
  <c r="J21" i="112"/>
  <c r="J20" i="112"/>
  <c r="J19" i="112"/>
  <c r="J18" i="112"/>
  <c r="J17" i="112"/>
  <c r="I27" i="112"/>
  <c r="I26" i="112"/>
  <c r="I25" i="112"/>
  <c r="I24" i="112"/>
  <c r="I23" i="112"/>
  <c r="I22" i="112"/>
  <c r="I21" i="112"/>
  <c r="I20" i="112"/>
  <c r="I19" i="112"/>
  <c r="I18" i="112"/>
  <c r="I17" i="112"/>
  <c r="H27" i="112"/>
  <c r="H26" i="112"/>
  <c r="H25" i="112"/>
  <c r="H24" i="112"/>
  <c r="H23" i="112"/>
  <c r="H22" i="112"/>
  <c r="H21" i="112"/>
  <c r="H20" i="112"/>
  <c r="H19" i="112"/>
  <c r="H18" i="112"/>
  <c r="H17" i="112"/>
  <c r="G27" i="112"/>
  <c r="G26" i="112"/>
  <c r="G25" i="112"/>
  <c r="G24" i="112"/>
  <c r="G23" i="112"/>
  <c r="G22" i="112"/>
  <c r="G21" i="112"/>
  <c r="G20" i="112"/>
  <c r="G19" i="112"/>
  <c r="G18" i="112"/>
  <c r="G17" i="112"/>
  <c r="F27" i="112"/>
  <c r="F26" i="112"/>
  <c r="F25" i="112"/>
  <c r="F24" i="112"/>
  <c r="F23" i="112"/>
  <c r="F22" i="112"/>
  <c r="F21" i="112"/>
  <c r="F20" i="112"/>
  <c r="F19" i="112"/>
  <c r="F18" i="112"/>
  <c r="F17" i="112"/>
  <c r="E27" i="112"/>
  <c r="E26" i="112"/>
  <c r="E25" i="112"/>
  <c r="E24" i="112"/>
  <c r="E23" i="112"/>
  <c r="E22" i="112"/>
  <c r="E21" i="112"/>
  <c r="E20" i="112"/>
  <c r="E19" i="112"/>
  <c r="E18" i="112"/>
  <c r="E17" i="112"/>
  <c r="D27" i="112"/>
  <c r="D26" i="112"/>
  <c r="D25" i="112"/>
  <c r="D24" i="112"/>
  <c r="D23" i="112"/>
  <c r="D22" i="112"/>
  <c r="D21" i="112"/>
  <c r="D20" i="112"/>
  <c r="D19" i="112"/>
  <c r="D18" i="112"/>
  <c r="D17" i="112"/>
  <c r="C27" i="112"/>
  <c r="C26" i="112"/>
  <c r="C25" i="112"/>
  <c r="C24" i="112"/>
  <c r="C23" i="112"/>
  <c r="C22" i="112"/>
  <c r="C21" i="112"/>
  <c r="C20" i="112"/>
  <c r="C19" i="112"/>
  <c r="C18" i="112"/>
  <c r="C17" i="112"/>
  <c r="A2" i="112" l="1"/>
  <c r="C172" i="68"/>
  <c r="C171" i="68"/>
  <c r="C170" i="68"/>
  <c r="C169" i="68"/>
  <c r="C168" i="68"/>
  <c r="C167" i="68"/>
  <c r="C166" i="68"/>
  <c r="C165" i="68"/>
  <c r="C164" i="68"/>
  <c r="C173" i="68"/>
  <c r="B172" i="68"/>
  <c r="A172" i="68" s="1"/>
  <c r="B171" i="68"/>
  <c r="A171" i="68" s="1"/>
  <c r="B170" i="68"/>
  <c r="A170" i="68" s="1"/>
  <c r="B169" i="68"/>
  <c r="A169" i="68" s="1"/>
  <c r="B168" i="68"/>
  <c r="A168" i="68" s="1"/>
  <c r="B167" i="68"/>
  <c r="A167" i="68" s="1"/>
  <c r="B166" i="68"/>
  <c r="A166" i="68" s="1"/>
  <c r="B165" i="68"/>
  <c r="A165" i="68" s="1"/>
  <c r="B164" i="68"/>
  <c r="A164" i="68" s="1"/>
  <c r="B271" i="80" l="1"/>
  <c r="B285" i="80"/>
  <c r="B256" i="80"/>
  <c r="B300" i="80"/>
  <c r="B63" i="112"/>
  <c r="B19" i="112"/>
  <c r="B48" i="112"/>
  <c r="B34" i="112"/>
  <c r="B277" i="80"/>
  <c r="B291" i="80"/>
  <c r="B306" i="80"/>
  <c r="B262" i="80"/>
  <c r="B69" i="112"/>
  <c r="B25" i="112"/>
  <c r="B40" i="112"/>
  <c r="B54" i="112"/>
  <c r="B272" i="80"/>
  <c r="B286" i="80"/>
  <c r="B301" i="80"/>
  <c r="B257" i="80"/>
  <c r="B35" i="112"/>
  <c r="B49" i="112"/>
  <c r="B64" i="112"/>
  <c r="B20" i="112"/>
  <c r="B273" i="80"/>
  <c r="B287" i="80"/>
  <c r="B302" i="80"/>
  <c r="B258" i="80"/>
  <c r="B36" i="112"/>
  <c r="B50" i="112"/>
  <c r="B21" i="112"/>
  <c r="B65" i="112"/>
  <c r="A179" i="68"/>
  <c r="B278" i="80"/>
  <c r="B292" i="80"/>
  <c r="B307" i="80"/>
  <c r="B263" i="80"/>
  <c r="B41" i="112"/>
  <c r="B55" i="112"/>
  <c r="B70" i="112"/>
  <c r="B26" i="112"/>
  <c r="B274" i="80"/>
  <c r="B288" i="80"/>
  <c r="B303" i="80"/>
  <c r="B259" i="80"/>
  <c r="B51" i="112"/>
  <c r="B66" i="112"/>
  <c r="B22" i="112"/>
  <c r="B37" i="112"/>
  <c r="B269" i="80"/>
  <c r="B283" i="80"/>
  <c r="B254" i="80"/>
  <c r="B298" i="80"/>
  <c r="B46" i="112"/>
  <c r="B61" i="112"/>
  <c r="B17" i="112"/>
  <c r="B32" i="112"/>
  <c r="B275" i="80"/>
  <c r="B289" i="80"/>
  <c r="B260" i="80"/>
  <c r="B304" i="80"/>
  <c r="B52" i="112"/>
  <c r="B67" i="112"/>
  <c r="B23" i="112"/>
  <c r="B38" i="112"/>
  <c r="B270" i="80"/>
  <c r="B284" i="80"/>
  <c r="B299" i="80"/>
  <c r="B255" i="80"/>
  <c r="B62" i="112"/>
  <c r="B18" i="112"/>
  <c r="B33" i="112"/>
  <c r="B47" i="112"/>
  <c r="B276" i="80"/>
  <c r="B290" i="80"/>
  <c r="B305" i="80"/>
  <c r="B261" i="80"/>
  <c r="B68" i="112"/>
  <c r="B24" i="112"/>
  <c r="B39" i="112"/>
  <c r="B53" i="112"/>
  <c r="N19" i="43" l="1"/>
  <c r="AU146" i="105" l="1"/>
  <c r="CP31" i="105"/>
  <c r="CF31" i="105"/>
  <c r="CF26" i="105"/>
  <c r="CF25" i="105"/>
  <c r="BL31" i="105"/>
  <c r="BL26" i="105"/>
  <c r="BL25" i="105"/>
  <c r="CP9" i="105"/>
  <c r="CP10" i="105"/>
  <c r="CP11" i="105"/>
  <c r="CP12" i="105"/>
  <c r="CP13" i="105"/>
  <c r="CP14" i="105"/>
  <c r="CP15" i="105"/>
  <c r="CP16" i="105"/>
  <c r="CP17" i="105"/>
  <c r="CP18" i="105"/>
  <c r="CP19" i="105"/>
  <c r="CP20" i="105"/>
  <c r="CP21" i="105"/>
  <c r="CP22" i="105"/>
  <c r="CP23" i="105"/>
  <c r="CP24" i="105"/>
  <c r="CP25" i="105"/>
  <c r="CP26" i="105"/>
  <c r="CP27" i="105"/>
  <c r="CP28" i="105"/>
  <c r="CP29" i="105"/>
  <c r="CP30" i="105"/>
  <c r="CP8" i="105"/>
  <c r="BT9" i="105"/>
  <c r="BT10" i="105"/>
  <c r="BT11" i="105"/>
  <c r="BT12" i="105"/>
  <c r="BT13" i="105"/>
  <c r="BT14" i="105"/>
  <c r="BT15" i="105"/>
  <c r="BT16" i="105"/>
  <c r="BT17" i="105"/>
  <c r="BT18" i="105"/>
  <c r="BT19" i="105"/>
  <c r="BT20" i="105"/>
  <c r="BT21" i="105"/>
  <c r="BT22" i="105"/>
  <c r="BT23" i="105"/>
  <c r="BT24" i="105"/>
  <c r="BT25" i="105"/>
  <c r="BT26" i="105"/>
  <c r="BT27" i="105"/>
  <c r="BT28" i="105"/>
  <c r="BT29" i="105"/>
  <c r="BT30" i="105"/>
  <c r="BT31" i="105"/>
  <c r="BT8" i="105"/>
  <c r="AY9" i="105" l="1"/>
  <c r="AY10" i="105"/>
  <c r="AY11" i="105"/>
  <c r="AY12" i="105"/>
  <c r="AY13" i="105"/>
  <c r="AY14" i="105"/>
  <c r="AY15" i="105"/>
  <c r="AY16" i="105"/>
  <c r="AY17" i="105"/>
  <c r="AY18" i="105"/>
  <c r="AY19" i="105"/>
  <c r="AY20" i="105"/>
  <c r="AY21" i="105"/>
  <c r="AY22" i="105"/>
  <c r="AY23" i="105"/>
  <c r="AY24" i="105"/>
  <c r="AY25" i="105"/>
  <c r="AY26" i="105"/>
  <c r="AY27" i="105"/>
  <c r="AY28" i="105"/>
  <c r="AY29" i="105"/>
  <c r="AY30" i="105"/>
  <c r="AY31" i="105"/>
  <c r="AY8" i="105"/>
  <c r="AQ26" i="105" l="1"/>
  <c r="AQ25" i="105"/>
  <c r="AQ31" i="105"/>
  <c r="M265" i="105" l="1"/>
  <c r="L265" i="105"/>
  <c r="K265" i="105"/>
  <c r="J265" i="105"/>
  <c r="I265" i="105"/>
  <c r="H265" i="105"/>
  <c r="G265" i="105"/>
  <c r="F265" i="105"/>
  <c r="E265" i="105"/>
  <c r="D265" i="105"/>
  <c r="C265" i="105"/>
  <c r="M225" i="105"/>
  <c r="L225" i="105"/>
  <c r="K225" i="105"/>
  <c r="J225" i="105"/>
  <c r="I225" i="105"/>
  <c r="H225" i="105"/>
  <c r="G225" i="105"/>
  <c r="F225" i="105"/>
  <c r="E225" i="105"/>
  <c r="D225" i="105"/>
  <c r="C225" i="105"/>
  <c r="M185" i="105"/>
  <c r="L185" i="105"/>
  <c r="K185" i="105"/>
  <c r="J185" i="105"/>
  <c r="I185" i="105"/>
  <c r="H185" i="105"/>
  <c r="G185" i="105"/>
  <c r="F185" i="105"/>
  <c r="E185" i="105"/>
  <c r="D185" i="105"/>
  <c r="C185" i="105"/>
  <c r="M145" i="105"/>
  <c r="L145" i="105"/>
  <c r="K145" i="105"/>
  <c r="J145" i="105"/>
  <c r="I145" i="105"/>
  <c r="H145" i="105"/>
  <c r="G145" i="105"/>
  <c r="F145" i="105"/>
  <c r="E145" i="105"/>
  <c r="D145" i="105"/>
  <c r="C145" i="105"/>
  <c r="M105" i="105"/>
  <c r="L105" i="105"/>
  <c r="K105" i="105"/>
  <c r="J105" i="105"/>
  <c r="I105" i="105"/>
  <c r="H105" i="105"/>
  <c r="G105" i="105"/>
  <c r="F105" i="105"/>
  <c r="E105" i="105"/>
  <c r="D105" i="105"/>
  <c r="C105" i="105"/>
  <c r="M65" i="105"/>
  <c r="L65" i="105"/>
  <c r="K65" i="105"/>
  <c r="J65" i="105"/>
  <c r="I65" i="105"/>
  <c r="H65" i="105"/>
  <c r="G65" i="105"/>
  <c r="F65" i="105"/>
  <c r="E65" i="105"/>
  <c r="D65" i="105"/>
  <c r="C65" i="105"/>
  <c r="R70" i="105"/>
  <c r="R36" i="105"/>
  <c r="R4" i="105"/>
  <c r="S6" i="105" s="1"/>
  <c r="M264" i="105"/>
  <c r="L264" i="105"/>
  <c r="K264" i="105"/>
  <c r="J264" i="105"/>
  <c r="I264" i="105"/>
  <c r="H264" i="105"/>
  <c r="G264" i="105"/>
  <c r="F264" i="105"/>
  <c r="E264" i="105"/>
  <c r="D264" i="105"/>
  <c r="C264" i="105"/>
  <c r="B264" i="105"/>
  <c r="M263" i="105"/>
  <c r="L263" i="105"/>
  <c r="K263" i="105"/>
  <c r="J263" i="105"/>
  <c r="I263" i="105"/>
  <c r="H263" i="105"/>
  <c r="G263" i="105"/>
  <c r="F263" i="105"/>
  <c r="E263" i="105"/>
  <c r="D263" i="105"/>
  <c r="C263" i="105"/>
  <c r="B263" i="105"/>
  <c r="M262" i="105"/>
  <c r="L262" i="105"/>
  <c r="K262" i="105"/>
  <c r="J262" i="105"/>
  <c r="I262" i="105"/>
  <c r="H262" i="105"/>
  <c r="G262" i="105"/>
  <c r="F262" i="105"/>
  <c r="E262" i="105"/>
  <c r="D262" i="105"/>
  <c r="C262" i="105"/>
  <c r="B262" i="105"/>
  <c r="M261" i="105"/>
  <c r="L261" i="105"/>
  <c r="K261" i="105"/>
  <c r="J261" i="105"/>
  <c r="I261" i="105"/>
  <c r="H261" i="105"/>
  <c r="G261" i="105"/>
  <c r="F261" i="105"/>
  <c r="E261" i="105"/>
  <c r="D261" i="105"/>
  <c r="C261" i="105"/>
  <c r="B261" i="105"/>
  <c r="M260" i="105"/>
  <c r="L260" i="105"/>
  <c r="K260" i="105"/>
  <c r="J260" i="105"/>
  <c r="I260" i="105"/>
  <c r="H260" i="105"/>
  <c r="G260" i="105"/>
  <c r="F260" i="105"/>
  <c r="E260" i="105"/>
  <c r="D260" i="105"/>
  <c r="C260" i="105"/>
  <c r="B260" i="105"/>
  <c r="M259" i="105"/>
  <c r="L259" i="105"/>
  <c r="K259" i="105"/>
  <c r="J259" i="105"/>
  <c r="I259" i="105"/>
  <c r="H259" i="105"/>
  <c r="G259" i="105"/>
  <c r="F259" i="105"/>
  <c r="E259" i="105"/>
  <c r="D259" i="105"/>
  <c r="C259" i="105"/>
  <c r="B259" i="105"/>
  <c r="M258" i="105"/>
  <c r="L258" i="105"/>
  <c r="K258" i="105"/>
  <c r="J258" i="105"/>
  <c r="I258" i="105"/>
  <c r="H258" i="105"/>
  <c r="G258" i="105"/>
  <c r="F258" i="105"/>
  <c r="E258" i="105"/>
  <c r="D258" i="105"/>
  <c r="C258" i="105"/>
  <c r="B258" i="105"/>
  <c r="M257" i="105"/>
  <c r="L257" i="105"/>
  <c r="K257" i="105"/>
  <c r="J257" i="105"/>
  <c r="I257" i="105"/>
  <c r="H257" i="105"/>
  <c r="G257" i="105"/>
  <c r="F257" i="105"/>
  <c r="E257" i="105"/>
  <c r="D257" i="105"/>
  <c r="C257" i="105"/>
  <c r="B257" i="105"/>
  <c r="M256" i="105"/>
  <c r="L256" i="105"/>
  <c r="K256" i="105"/>
  <c r="J256" i="105"/>
  <c r="I256" i="105"/>
  <c r="H256" i="105"/>
  <c r="G256" i="105"/>
  <c r="F256" i="105"/>
  <c r="E256" i="105"/>
  <c r="D256" i="105"/>
  <c r="C256" i="105"/>
  <c r="B256" i="105"/>
  <c r="M255" i="105"/>
  <c r="L255" i="105"/>
  <c r="K255" i="105"/>
  <c r="J255" i="105"/>
  <c r="I255" i="105"/>
  <c r="H255" i="105"/>
  <c r="G255" i="105"/>
  <c r="F255" i="105"/>
  <c r="E255" i="105"/>
  <c r="D255" i="105"/>
  <c r="C255" i="105"/>
  <c r="B255" i="105"/>
  <c r="M254" i="105"/>
  <c r="L254" i="105"/>
  <c r="K254" i="105"/>
  <c r="J254" i="105"/>
  <c r="I254" i="105"/>
  <c r="H254" i="105"/>
  <c r="G254" i="105"/>
  <c r="F254" i="105"/>
  <c r="E254" i="105"/>
  <c r="D254" i="105"/>
  <c r="C254" i="105"/>
  <c r="B254" i="105"/>
  <c r="M253" i="105"/>
  <c r="L253" i="105"/>
  <c r="K253" i="105"/>
  <c r="J253" i="105"/>
  <c r="I253" i="105"/>
  <c r="H253" i="105"/>
  <c r="G253" i="105"/>
  <c r="F253" i="105"/>
  <c r="E253" i="105"/>
  <c r="D253" i="105"/>
  <c r="C253" i="105"/>
  <c r="B253" i="105"/>
  <c r="M252" i="105"/>
  <c r="L252" i="105"/>
  <c r="K252" i="105"/>
  <c r="J252" i="105"/>
  <c r="I252" i="105"/>
  <c r="H252" i="105"/>
  <c r="G252" i="105"/>
  <c r="F252" i="105"/>
  <c r="E252" i="105"/>
  <c r="D252" i="105"/>
  <c r="C252" i="105"/>
  <c r="B252" i="105"/>
  <c r="M251" i="105"/>
  <c r="L251" i="105"/>
  <c r="K251" i="105"/>
  <c r="J251" i="105"/>
  <c r="I251" i="105"/>
  <c r="H251" i="105"/>
  <c r="G251" i="105"/>
  <c r="F251" i="105"/>
  <c r="E251" i="105"/>
  <c r="D251" i="105"/>
  <c r="C251" i="105"/>
  <c r="B251" i="105"/>
  <c r="M250" i="105"/>
  <c r="L250" i="105"/>
  <c r="K250" i="105"/>
  <c r="J250" i="105"/>
  <c r="I250" i="105"/>
  <c r="H250" i="105"/>
  <c r="G250" i="105"/>
  <c r="F250" i="105"/>
  <c r="E250" i="105"/>
  <c r="D250" i="105"/>
  <c r="C250" i="105"/>
  <c r="B250" i="105"/>
  <c r="M249" i="105"/>
  <c r="L249" i="105"/>
  <c r="K249" i="105"/>
  <c r="J249" i="105"/>
  <c r="I249" i="105"/>
  <c r="H249" i="105"/>
  <c r="G249" i="105"/>
  <c r="F249" i="105"/>
  <c r="E249" i="105"/>
  <c r="D249" i="105"/>
  <c r="C249" i="105"/>
  <c r="B249" i="105"/>
  <c r="M248" i="105"/>
  <c r="L248" i="105"/>
  <c r="K248" i="105"/>
  <c r="J248" i="105"/>
  <c r="I248" i="105"/>
  <c r="H248" i="105"/>
  <c r="G248" i="105"/>
  <c r="F248" i="105"/>
  <c r="E248" i="105"/>
  <c r="D248" i="105"/>
  <c r="C248" i="105"/>
  <c r="B248" i="105"/>
  <c r="M247" i="105"/>
  <c r="L247" i="105"/>
  <c r="K247" i="105"/>
  <c r="J247" i="105"/>
  <c r="I247" i="105"/>
  <c r="H247" i="105"/>
  <c r="G247" i="105"/>
  <c r="F247" i="105"/>
  <c r="E247" i="105"/>
  <c r="D247" i="105"/>
  <c r="C247" i="105"/>
  <c r="B247" i="105"/>
  <c r="M246" i="105"/>
  <c r="L246" i="105"/>
  <c r="K246" i="105"/>
  <c r="J246" i="105"/>
  <c r="I246" i="105"/>
  <c r="H246" i="105"/>
  <c r="G246" i="105"/>
  <c r="F246" i="105"/>
  <c r="E246" i="105"/>
  <c r="D246" i="105"/>
  <c r="C246" i="105"/>
  <c r="B246" i="105"/>
  <c r="M245" i="105"/>
  <c r="L245" i="105"/>
  <c r="K245" i="105"/>
  <c r="J245" i="105"/>
  <c r="I245" i="105"/>
  <c r="H245" i="105"/>
  <c r="G245" i="105"/>
  <c r="F245" i="105"/>
  <c r="E245" i="105"/>
  <c r="D245" i="105"/>
  <c r="C245" i="105"/>
  <c r="B245" i="105"/>
  <c r="M244" i="105"/>
  <c r="L244" i="105"/>
  <c r="K244" i="105"/>
  <c r="J244" i="105"/>
  <c r="I244" i="105"/>
  <c r="H244" i="105"/>
  <c r="G244" i="105"/>
  <c r="F244" i="105"/>
  <c r="E244" i="105"/>
  <c r="D244" i="105"/>
  <c r="C244" i="105"/>
  <c r="B244" i="105"/>
  <c r="M243" i="105"/>
  <c r="L243" i="105"/>
  <c r="K243" i="105"/>
  <c r="J243" i="105"/>
  <c r="I243" i="105"/>
  <c r="H243" i="105"/>
  <c r="G243" i="105"/>
  <c r="F243" i="105"/>
  <c r="E243" i="105"/>
  <c r="D243" i="105"/>
  <c r="C243" i="105"/>
  <c r="B243" i="105"/>
  <c r="M242" i="105"/>
  <c r="L242" i="105"/>
  <c r="K242" i="105"/>
  <c r="J242" i="105"/>
  <c r="I242" i="105"/>
  <c r="H242" i="105"/>
  <c r="G242" i="105"/>
  <c r="F242" i="105"/>
  <c r="E242" i="105"/>
  <c r="D242" i="105"/>
  <c r="C242" i="105"/>
  <c r="B242" i="105"/>
  <c r="M241" i="105"/>
  <c r="L241" i="105"/>
  <c r="K241" i="105"/>
  <c r="J241" i="105"/>
  <c r="I241" i="105"/>
  <c r="H241" i="105"/>
  <c r="G241" i="105"/>
  <c r="F241" i="105"/>
  <c r="E241" i="105"/>
  <c r="D241" i="105"/>
  <c r="C241" i="105"/>
  <c r="B241" i="105"/>
  <c r="M238" i="105"/>
  <c r="L238" i="105"/>
  <c r="K238" i="105"/>
  <c r="J238" i="105"/>
  <c r="I238" i="105"/>
  <c r="H238" i="105"/>
  <c r="G238" i="105"/>
  <c r="F238" i="105"/>
  <c r="E238" i="105"/>
  <c r="D238" i="105"/>
  <c r="C238" i="105"/>
  <c r="M237" i="105"/>
  <c r="L237" i="105"/>
  <c r="K237" i="105"/>
  <c r="J237" i="105"/>
  <c r="I237" i="105"/>
  <c r="H237" i="105"/>
  <c r="G237" i="105"/>
  <c r="F237" i="105"/>
  <c r="E237" i="105"/>
  <c r="D237" i="105"/>
  <c r="C237" i="105"/>
  <c r="B237" i="105"/>
  <c r="M236" i="105"/>
  <c r="L236" i="105"/>
  <c r="K236" i="105"/>
  <c r="J236" i="105"/>
  <c r="I236" i="105"/>
  <c r="H236" i="105"/>
  <c r="G236" i="105"/>
  <c r="F236" i="105"/>
  <c r="E236" i="105"/>
  <c r="D236" i="105"/>
  <c r="C236" i="105"/>
  <c r="B236" i="105"/>
  <c r="M235" i="105"/>
  <c r="L235" i="105"/>
  <c r="K235" i="105"/>
  <c r="J235" i="105"/>
  <c r="I235" i="105"/>
  <c r="H235" i="105"/>
  <c r="G235" i="105"/>
  <c r="F235" i="105"/>
  <c r="E235" i="105"/>
  <c r="D235" i="105"/>
  <c r="C235" i="105"/>
  <c r="B235" i="105"/>
  <c r="M234" i="105"/>
  <c r="L234" i="105"/>
  <c r="K234" i="105"/>
  <c r="J234" i="105"/>
  <c r="I234" i="105"/>
  <c r="H234" i="105"/>
  <c r="G234" i="105"/>
  <c r="F234" i="105"/>
  <c r="E234" i="105"/>
  <c r="D234" i="105"/>
  <c r="C234" i="105"/>
  <c r="B234" i="105"/>
  <c r="M233" i="105"/>
  <c r="L233" i="105"/>
  <c r="K233" i="105"/>
  <c r="J233" i="105"/>
  <c r="I233" i="105"/>
  <c r="H233" i="105"/>
  <c r="G233" i="105"/>
  <c r="F233" i="105"/>
  <c r="E233" i="105"/>
  <c r="D233" i="105"/>
  <c r="C233" i="105"/>
  <c r="B233" i="105"/>
  <c r="M232" i="105"/>
  <c r="L232" i="105"/>
  <c r="K232" i="105"/>
  <c r="J232" i="105"/>
  <c r="I232" i="105"/>
  <c r="H232" i="105"/>
  <c r="G232" i="105"/>
  <c r="F232" i="105"/>
  <c r="E232" i="105"/>
  <c r="D232" i="105"/>
  <c r="C232" i="105"/>
  <c r="B232" i="105"/>
  <c r="M231" i="105"/>
  <c r="L231" i="105"/>
  <c r="K231" i="105"/>
  <c r="J231" i="105"/>
  <c r="I231" i="105"/>
  <c r="H231" i="105"/>
  <c r="G231" i="105"/>
  <c r="F231" i="105"/>
  <c r="E231" i="105"/>
  <c r="D231" i="105"/>
  <c r="C231" i="105"/>
  <c r="B231" i="105"/>
  <c r="M230" i="105"/>
  <c r="M240" i="105" s="1"/>
  <c r="L230" i="105"/>
  <c r="L240" i="105" s="1"/>
  <c r="K230" i="105"/>
  <c r="K240" i="105" s="1"/>
  <c r="J230" i="105"/>
  <c r="J240" i="105" s="1"/>
  <c r="I230" i="105"/>
  <c r="I240" i="105" s="1"/>
  <c r="H230" i="105"/>
  <c r="G230" i="105"/>
  <c r="G240" i="105" s="1"/>
  <c r="F230" i="105"/>
  <c r="F240" i="105" s="1"/>
  <c r="E230" i="105"/>
  <c r="E240" i="105" s="1"/>
  <c r="D230" i="105"/>
  <c r="D240" i="105" s="1"/>
  <c r="C230" i="105"/>
  <c r="C240" i="105" s="1"/>
  <c r="H240" i="105"/>
  <c r="M224" i="105"/>
  <c r="L224" i="105"/>
  <c r="K224" i="105"/>
  <c r="J224" i="105"/>
  <c r="I224" i="105"/>
  <c r="H224" i="105"/>
  <c r="G224" i="105"/>
  <c r="F224" i="105"/>
  <c r="E224" i="105"/>
  <c r="D224" i="105"/>
  <c r="C224" i="105"/>
  <c r="B224" i="105"/>
  <c r="M223" i="105"/>
  <c r="L223" i="105"/>
  <c r="K223" i="105"/>
  <c r="J223" i="105"/>
  <c r="I223" i="105"/>
  <c r="H223" i="105"/>
  <c r="G223" i="105"/>
  <c r="F223" i="105"/>
  <c r="E223" i="105"/>
  <c r="D223" i="105"/>
  <c r="C223" i="105"/>
  <c r="B223" i="105"/>
  <c r="M222" i="105"/>
  <c r="L222" i="105"/>
  <c r="K222" i="105"/>
  <c r="J222" i="105"/>
  <c r="I222" i="105"/>
  <c r="H222" i="105"/>
  <c r="G222" i="105"/>
  <c r="F222" i="105"/>
  <c r="E222" i="105"/>
  <c r="D222" i="105"/>
  <c r="C222" i="105"/>
  <c r="B222" i="105"/>
  <c r="M221" i="105"/>
  <c r="L221" i="105"/>
  <c r="K221" i="105"/>
  <c r="J221" i="105"/>
  <c r="I221" i="105"/>
  <c r="H221" i="105"/>
  <c r="G221" i="105"/>
  <c r="F221" i="105"/>
  <c r="E221" i="105"/>
  <c r="D221" i="105"/>
  <c r="C221" i="105"/>
  <c r="B221" i="105"/>
  <c r="M220" i="105"/>
  <c r="L220" i="105"/>
  <c r="K220" i="105"/>
  <c r="J220" i="105"/>
  <c r="I220" i="105"/>
  <c r="H220" i="105"/>
  <c r="G220" i="105"/>
  <c r="F220" i="105"/>
  <c r="E220" i="105"/>
  <c r="D220" i="105"/>
  <c r="C220" i="105"/>
  <c r="B220" i="105"/>
  <c r="M219" i="105"/>
  <c r="L219" i="105"/>
  <c r="K219" i="105"/>
  <c r="J219" i="105"/>
  <c r="I219" i="105"/>
  <c r="H219" i="105"/>
  <c r="G219" i="105"/>
  <c r="F219" i="105"/>
  <c r="E219" i="105"/>
  <c r="D219" i="105"/>
  <c r="C219" i="105"/>
  <c r="B219" i="105"/>
  <c r="M218" i="105"/>
  <c r="L218" i="105"/>
  <c r="K218" i="105"/>
  <c r="J218" i="105"/>
  <c r="I218" i="105"/>
  <c r="H218" i="105"/>
  <c r="G218" i="105"/>
  <c r="F218" i="105"/>
  <c r="E218" i="105"/>
  <c r="D218" i="105"/>
  <c r="C218" i="105"/>
  <c r="B218" i="105"/>
  <c r="M217" i="105"/>
  <c r="L217" i="105"/>
  <c r="K217" i="105"/>
  <c r="J217" i="105"/>
  <c r="I217" i="105"/>
  <c r="H217" i="105"/>
  <c r="G217" i="105"/>
  <c r="F217" i="105"/>
  <c r="E217" i="105"/>
  <c r="D217" i="105"/>
  <c r="C217" i="105"/>
  <c r="B217" i="105"/>
  <c r="M216" i="105"/>
  <c r="L216" i="105"/>
  <c r="K216" i="105"/>
  <c r="J216" i="105"/>
  <c r="I216" i="105"/>
  <c r="H216" i="105"/>
  <c r="G216" i="105"/>
  <c r="F216" i="105"/>
  <c r="E216" i="105"/>
  <c r="D216" i="105"/>
  <c r="C216" i="105"/>
  <c r="B216" i="105"/>
  <c r="M215" i="105"/>
  <c r="L215" i="105"/>
  <c r="K215" i="105"/>
  <c r="J215" i="105"/>
  <c r="I215" i="105"/>
  <c r="H215" i="105"/>
  <c r="G215" i="105"/>
  <c r="F215" i="105"/>
  <c r="E215" i="105"/>
  <c r="D215" i="105"/>
  <c r="C215" i="105"/>
  <c r="B215" i="105"/>
  <c r="M214" i="105"/>
  <c r="L214" i="105"/>
  <c r="K214" i="105"/>
  <c r="J214" i="105"/>
  <c r="I214" i="105"/>
  <c r="H214" i="105"/>
  <c r="G214" i="105"/>
  <c r="F214" i="105"/>
  <c r="E214" i="105"/>
  <c r="D214" i="105"/>
  <c r="C214" i="105"/>
  <c r="B214" i="105"/>
  <c r="M213" i="105"/>
  <c r="L213" i="105"/>
  <c r="K213" i="105"/>
  <c r="J213" i="105"/>
  <c r="I213" i="105"/>
  <c r="H213" i="105"/>
  <c r="G213" i="105"/>
  <c r="F213" i="105"/>
  <c r="E213" i="105"/>
  <c r="D213" i="105"/>
  <c r="C213" i="105"/>
  <c r="B213" i="105"/>
  <c r="M212" i="105"/>
  <c r="L212" i="105"/>
  <c r="K212" i="105"/>
  <c r="J212" i="105"/>
  <c r="I212" i="105"/>
  <c r="H212" i="105"/>
  <c r="G212" i="105"/>
  <c r="F212" i="105"/>
  <c r="E212" i="105"/>
  <c r="D212" i="105"/>
  <c r="C212" i="105"/>
  <c r="B212" i="105"/>
  <c r="M211" i="105"/>
  <c r="L211" i="105"/>
  <c r="K211" i="105"/>
  <c r="J211" i="105"/>
  <c r="I211" i="105"/>
  <c r="H211" i="105"/>
  <c r="G211" i="105"/>
  <c r="F211" i="105"/>
  <c r="E211" i="105"/>
  <c r="D211" i="105"/>
  <c r="C211" i="105"/>
  <c r="B211" i="105"/>
  <c r="M210" i="105"/>
  <c r="L210" i="105"/>
  <c r="K210" i="105"/>
  <c r="J210" i="105"/>
  <c r="I210" i="105"/>
  <c r="H210" i="105"/>
  <c r="G210" i="105"/>
  <c r="F210" i="105"/>
  <c r="E210" i="105"/>
  <c r="D210" i="105"/>
  <c r="C210" i="105"/>
  <c r="B210" i="105"/>
  <c r="M209" i="105"/>
  <c r="L209" i="105"/>
  <c r="K209" i="105"/>
  <c r="J209" i="105"/>
  <c r="I209" i="105"/>
  <c r="H209" i="105"/>
  <c r="G209" i="105"/>
  <c r="F209" i="105"/>
  <c r="E209" i="105"/>
  <c r="D209" i="105"/>
  <c r="C209" i="105"/>
  <c r="B209" i="105"/>
  <c r="M208" i="105"/>
  <c r="L208" i="105"/>
  <c r="K208" i="105"/>
  <c r="J208" i="105"/>
  <c r="I208" i="105"/>
  <c r="H208" i="105"/>
  <c r="G208" i="105"/>
  <c r="F208" i="105"/>
  <c r="E208" i="105"/>
  <c r="D208" i="105"/>
  <c r="C208" i="105"/>
  <c r="B208" i="105"/>
  <c r="M207" i="105"/>
  <c r="L207" i="105"/>
  <c r="K207" i="105"/>
  <c r="J207" i="105"/>
  <c r="I207" i="105"/>
  <c r="H207" i="105"/>
  <c r="G207" i="105"/>
  <c r="F207" i="105"/>
  <c r="E207" i="105"/>
  <c r="D207" i="105"/>
  <c r="C207" i="105"/>
  <c r="B207" i="105"/>
  <c r="M206" i="105"/>
  <c r="L206" i="105"/>
  <c r="K206" i="105"/>
  <c r="J206" i="105"/>
  <c r="I206" i="105"/>
  <c r="H206" i="105"/>
  <c r="G206" i="105"/>
  <c r="F206" i="105"/>
  <c r="E206" i="105"/>
  <c r="D206" i="105"/>
  <c r="C206" i="105"/>
  <c r="B206" i="105"/>
  <c r="M205" i="105"/>
  <c r="L205" i="105"/>
  <c r="K205" i="105"/>
  <c r="J205" i="105"/>
  <c r="I205" i="105"/>
  <c r="H205" i="105"/>
  <c r="G205" i="105"/>
  <c r="F205" i="105"/>
  <c r="E205" i="105"/>
  <c r="D205" i="105"/>
  <c r="C205" i="105"/>
  <c r="B205" i="105"/>
  <c r="M204" i="105"/>
  <c r="L204" i="105"/>
  <c r="K204" i="105"/>
  <c r="J204" i="105"/>
  <c r="I204" i="105"/>
  <c r="H204" i="105"/>
  <c r="G204" i="105"/>
  <c r="F204" i="105"/>
  <c r="E204" i="105"/>
  <c r="D204" i="105"/>
  <c r="C204" i="105"/>
  <c r="B204" i="105"/>
  <c r="M203" i="105"/>
  <c r="L203" i="105"/>
  <c r="K203" i="105"/>
  <c r="J203" i="105"/>
  <c r="I203" i="105"/>
  <c r="H203" i="105"/>
  <c r="G203" i="105"/>
  <c r="F203" i="105"/>
  <c r="E203" i="105"/>
  <c r="D203" i="105"/>
  <c r="C203" i="105"/>
  <c r="B203" i="105"/>
  <c r="M202" i="105"/>
  <c r="L202" i="105"/>
  <c r="K202" i="105"/>
  <c r="J202" i="105"/>
  <c r="I202" i="105"/>
  <c r="H202" i="105"/>
  <c r="G202" i="105"/>
  <c r="F202" i="105"/>
  <c r="E202" i="105"/>
  <c r="D202" i="105"/>
  <c r="C202" i="105"/>
  <c r="B202" i="105"/>
  <c r="M201" i="105"/>
  <c r="L201" i="105"/>
  <c r="K201" i="105"/>
  <c r="J201" i="105"/>
  <c r="I201" i="105"/>
  <c r="H201" i="105"/>
  <c r="G201" i="105"/>
  <c r="F201" i="105"/>
  <c r="E201" i="105"/>
  <c r="D201" i="105"/>
  <c r="C201" i="105"/>
  <c r="B201" i="105"/>
  <c r="M198" i="105"/>
  <c r="L198" i="105"/>
  <c r="K198" i="105"/>
  <c r="J198" i="105"/>
  <c r="I198" i="105"/>
  <c r="H198" i="105"/>
  <c r="G198" i="105"/>
  <c r="F198" i="105"/>
  <c r="E198" i="105"/>
  <c r="D198" i="105"/>
  <c r="C198" i="105"/>
  <c r="M197" i="105"/>
  <c r="L197" i="105"/>
  <c r="K197" i="105"/>
  <c r="J197" i="105"/>
  <c r="I197" i="105"/>
  <c r="H197" i="105"/>
  <c r="G197" i="105"/>
  <c r="F197" i="105"/>
  <c r="E197" i="105"/>
  <c r="D197" i="105"/>
  <c r="C197" i="105"/>
  <c r="B197" i="105"/>
  <c r="M196" i="105"/>
  <c r="L196" i="105"/>
  <c r="K196" i="105"/>
  <c r="J196" i="105"/>
  <c r="I196" i="105"/>
  <c r="H196" i="105"/>
  <c r="G196" i="105"/>
  <c r="F196" i="105"/>
  <c r="E196" i="105"/>
  <c r="D196" i="105"/>
  <c r="C196" i="105"/>
  <c r="B196" i="105"/>
  <c r="M195" i="105"/>
  <c r="L195" i="105"/>
  <c r="K195" i="105"/>
  <c r="J195" i="105"/>
  <c r="I195" i="105"/>
  <c r="H195" i="105"/>
  <c r="G195" i="105"/>
  <c r="F195" i="105"/>
  <c r="E195" i="105"/>
  <c r="D195" i="105"/>
  <c r="C195" i="105"/>
  <c r="B195" i="105"/>
  <c r="M194" i="105"/>
  <c r="L194" i="105"/>
  <c r="K194" i="105"/>
  <c r="J194" i="105"/>
  <c r="I194" i="105"/>
  <c r="H194" i="105"/>
  <c r="G194" i="105"/>
  <c r="F194" i="105"/>
  <c r="E194" i="105"/>
  <c r="D194" i="105"/>
  <c r="C194" i="105"/>
  <c r="B194" i="105"/>
  <c r="M193" i="105"/>
  <c r="L193" i="105"/>
  <c r="K193" i="105"/>
  <c r="J193" i="105"/>
  <c r="I193" i="105"/>
  <c r="H193" i="105"/>
  <c r="G193" i="105"/>
  <c r="F193" i="105"/>
  <c r="E193" i="105"/>
  <c r="D193" i="105"/>
  <c r="C193" i="105"/>
  <c r="B193" i="105"/>
  <c r="M192" i="105"/>
  <c r="L192" i="105"/>
  <c r="K192" i="105"/>
  <c r="J192" i="105"/>
  <c r="I192" i="105"/>
  <c r="H192" i="105"/>
  <c r="G192" i="105"/>
  <c r="F192" i="105"/>
  <c r="E192" i="105"/>
  <c r="D192" i="105"/>
  <c r="C192" i="105"/>
  <c r="B192" i="105"/>
  <c r="M191" i="105"/>
  <c r="L191" i="105"/>
  <c r="K191" i="105"/>
  <c r="J191" i="105"/>
  <c r="I191" i="105"/>
  <c r="H191" i="105"/>
  <c r="G191" i="105"/>
  <c r="F191" i="105"/>
  <c r="E191" i="105"/>
  <c r="D191" i="105"/>
  <c r="C191" i="105"/>
  <c r="B191" i="105"/>
  <c r="M190" i="105"/>
  <c r="M200" i="105" s="1"/>
  <c r="L190" i="105"/>
  <c r="L200" i="105" s="1"/>
  <c r="K190" i="105"/>
  <c r="K200" i="105" s="1"/>
  <c r="J190" i="105"/>
  <c r="J200" i="105" s="1"/>
  <c r="I190" i="105"/>
  <c r="I200" i="105" s="1"/>
  <c r="H190" i="105"/>
  <c r="G190" i="105"/>
  <c r="G200" i="105" s="1"/>
  <c r="F190" i="105"/>
  <c r="F200" i="105" s="1"/>
  <c r="E190" i="105"/>
  <c r="E200" i="105" s="1"/>
  <c r="D190" i="105"/>
  <c r="D200" i="105" s="1"/>
  <c r="C190" i="105"/>
  <c r="C200" i="105" s="1"/>
  <c r="H200" i="105"/>
  <c r="M184" i="105"/>
  <c r="L184" i="105"/>
  <c r="K184" i="105"/>
  <c r="J184" i="105"/>
  <c r="I184" i="105"/>
  <c r="H184" i="105"/>
  <c r="G184" i="105"/>
  <c r="F184" i="105"/>
  <c r="E184" i="105"/>
  <c r="D184" i="105"/>
  <c r="C184" i="105"/>
  <c r="B184" i="105"/>
  <c r="M183" i="105"/>
  <c r="L183" i="105"/>
  <c r="K183" i="105"/>
  <c r="J183" i="105"/>
  <c r="I183" i="105"/>
  <c r="H183" i="105"/>
  <c r="G183" i="105"/>
  <c r="F183" i="105"/>
  <c r="E183" i="105"/>
  <c r="D183" i="105"/>
  <c r="C183" i="105"/>
  <c r="B183" i="105"/>
  <c r="M182" i="105"/>
  <c r="L182" i="105"/>
  <c r="K182" i="105"/>
  <c r="J182" i="105"/>
  <c r="I182" i="105"/>
  <c r="H182" i="105"/>
  <c r="G182" i="105"/>
  <c r="F182" i="105"/>
  <c r="E182" i="105"/>
  <c r="D182" i="105"/>
  <c r="C182" i="105"/>
  <c r="B182" i="105"/>
  <c r="M181" i="105"/>
  <c r="L181" i="105"/>
  <c r="K181" i="105"/>
  <c r="J181" i="105"/>
  <c r="I181" i="105"/>
  <c r="H181" i="105"/>
  <c r="G181" i="105"/>
  <c r="F181" i="105"/>
  <c r="E181" i="105"/>
  <c r="D181" i="105"/>
  <c r="C181" i="105"/>
  <c r="B181" i="105"/>
  <c r="M180" i="105"/>
  <c r="L180" i="105"/>
  <c r="K180" i="105"/>
  <c r="J180" i="105"/>
  <c r="I180" i="105"/>
  <c r="H180" i="105"/>
  <c r="G180" i="105"/>
  <c r="F180" i="105"/>
  <c r="E180" i="105"/>
  <c r="D180" i="105"/>
  <c r="C180" i="105"/>
  <c r="B180" i="105"/>
  <c r="M179" i="105"/>
  <c r="L179" i="105"/>
  <c r="K179" i="105"/>
  <c r="J179" i="105"/>
  <c r="I179" i="105"/>
  <c r="H179" i="105"/>
  <c r="G179" i="105"/>
  <c r="F179" i="105"/>
  <c r="E179" i="105"/>
  <c r="D179" i="105"/>
  <c r="C179" i="105"/>
  <c r="B179" i="105"/>
  <c r="M178" i="105"/>
  <c r="L178" i="105"/>
  <c r="K178" i="105"/>
  <c r="J178" i="105"/>
  <c r="I178" i="105"/>
  <c r="H178" i="105"/>
  <c r="G178" i="105"/>
  <c r="F178" i="105"/>
  <c r="E178" i="105"/>
  <c r="D178" i="105"/>
  <c r="C178" i="105"/>
  <c r="B178" i="105"/>
  <c r="M177" i="105"/>
  <c r="L177" i="105"/>
  <c r="K177" i="105"/>
  <c r="J177" i="105"/>
  <c r="I177" i="105"/>
  <c r="H177" i="105"/>
  <c r="G177" i="105"/>
  <c r="F177" i="105"/>
  <c r="E177" i="105"/>
  <c r="D177" i="105"/>
  <c r="C177" i="105"/>
  <c r="B177" i="105"/>
  <c r="M176" i="105"/>
  <c r="L176" i="105"/>
  <c r="K176" i="105"/>
  <c r="J176" i="105"/>
  <c r="I176" i="105"/>
  <c r="H176" i="105"/>
  <c r="G176" i="105"/>
  <c r="F176" i="105"/>
  <c r="E176" i="105"/>
  <c r="D176" i="105"/>
  <c r="C176" i="105"/>
  <c r="B176" i="105"/>
  <c r="M175" i="105"/>
  <c r="L175" i="105"/>
  <c r="K175" i="105"/>
  <c r="J175" i="105"/>
  <c r="I175" i="105"/>
  <c r="H175" i="105"/>
  <c r="G175" i="105"/>
  <c r="F175" i="105"/>
  <c r="E175" i="105"/>
  <c r="D175" i="105"/>
  <c r="C175" i="105"/>
  <c r="B175" i="105"/>
  <c r="M174" i="105"/>
  <c r="L174" i="105"/>
  <c r="K174" i="105"/>
  <c r="J174" i="105"/>
  <c r="I174" i="105"/>
  <c r="H174" i="105"/>
  <c r="G174" i="105"/>
  <c r="F174" i="105"/>
  <c r="E174" i="105"/>
  <c r="D174" i="105"/>
  <c r="C174" i="105"/>
  <c r="B174" i="105"/>
  <c r="M173" i="105"/>
  <c r="L173" i="105"/>
  <c r="K173" i="105"/>
  <c r="J173" i="105"/>
  <c r="I173" i="105"/>
  <c r="H173" i="105"/>
  <c r="G173" i="105"/>
  <c r="F173" i="105"/>
  <c r="E173" i="105"/>
  <c r="D173" i="105"/>
  <c r="C173" i="105"/>
  <c r="B173" i="105"/>
  <c r="M172" i="105"/>
  <c r="L172" i="105"/>
  <c r="K172" i="105"/>
  <c r="J172" i="105"/>
  <c r="I172" i="105"/>
  <c r="H172" i="105"/>
  <c r="G172" i="105"/>
  <c r="F172" i="105"/>
  <c r="E172" i="105"/>
  <c r="D172" i="105"/>
  <c r="C172" i="105"/>
  <c r="B172" i="105"/>
  <c r="M171" i="105"/>
  <c r="L171" i="105"/>
  <c r="K171" i="105"/>
  <c r="J171" i="105"/>
  <c r="I171" i="105"/>
  <c r="H171" i="105"/>
  <c r="G171" i="105"/>
  <c r="F171" i="105"/>
  <c r="E171" i="105"/>
  <c r="D171" i="105"/>
  <c r="C171" i="105"/>
  <c r="B171" i="105"/>
  <c r="M170" i="105"/>
  <c r="L170" i="105"/>
  <c r="K170" i="105"/>
  <c r="J170" i="105"/>
  <c r="I170" i="105"/>
  <c r="H170" i="105"/>
  <c r="G170" i="105"/>
  <c r="F170" i="105"/>
  <c r="E170" i="105"/>
  <c r="D170" i="105"/>
  <c r="C170" i="105"/>
  <c r="B170" i="105"/>
  <c r="M169" i="105"/>
  <c r="L169" i="105"/>
  <c r="K169" i="105"/>
  <c r="J169" i="105"/>
  <c r="I169" i="105"/>
  <c r="H169" i="105"/>
  <c r="G169" i="105"/>
  <c r="F169" i="105"/>
  <c r="E169" i="105"/>
  <c r="D169" i="105"/>
  <c r="C169" i="105"/>
  <c r="B169" i="105"/>
  <c r="M168" i="105"/>
  <c r="L168" i="105"/>
  <c r="K168" i="105"/>
  <c r="J168" i="105"/>
  <c r="I168" i="105"/>
  <c r="H168" i="105"/>
  <c r="G168" i="105"/>
  <c r="F168" i="105"/>
  <c r="E168" i="105"/>
  <c r="D168" i="105"/>
  <c r="C168" i="105"/>
  <c r="B168" i="105"/>
  <c r="M167" i="105"/>
  <c r="L167" i="105"/>
  <c r="K167" i="105"/>
  <c r="J167" i="105"/>
  <c r="I167" i="105"/>
  <c r="H167" i="105"/>
  <c r="G167" i="105"/>
  <c r="F167" i="105"/>
  <c r="E167" i="105"/>
  <c r="D167" i="105"/>
  <c r="C167" i="105"/>
  <c r="B167" i="105"/>
  <c r="M166" i="105"/>
  <c r="L166" i="105"/>
  <c r="K166" i="105"/>
  <c r="J166" i="105"/>
  <c r="I166" i="105"/>
  <c r="H166" i="105"/>
  <c r="G166" i="105"/>
  <c r="F166" i="105"/>
  <c r="E166" i="105"/>
  <c r="D166" i="105"/>
  <c r="C166" i="105"/>
  <c r="B166" i="105"/>
  <c r="M165" i="105"/>
  <c r="L165" i="105"/>
  <c r="K165" i="105"/>
  <c r="J165" i="105"/>
  <c r="I165" i="105"/>
  <c r="H165" i="105"/>
  <c r="G165" i="105"/>
  <c r="F165" i="105"/>
  <c r="E165" i="105"/>
  <c r="D165" i="105"/>
  <c r="C165" i="105"/>
  <c r="B165" i="105"/>
  <c r="M164" i="105"/>
  <c r="L164" i="105"/>
  <c r="K164" i="105"/>
  <c r="J164" i="105"/>
  <c r="I164" i="105"/>
  <c r="H164" i="105"/>
  <c r="G164" i="105"/>
  <c r="F164" i="105"/>
  <c r="E164" i="105"/>
  <c r="D164" i="105"/>
  <c r="C164" i="105"/>
  <c r="B164" i="105"/>
  <c r="M163" i="105"/>
  <c r="L163" i="105"/>
  <c r="K163" i="105"/>
  <c r="J163" i="105"/>
  <c r="I163" i="105"/>
  <c r="H163" i="105"/>
  <c r="G163" i="105"/>
  <c r="F163" i="105"/>
  <c r="E163" i="105"/>
  <c r="D163" i="105"/>
  <c r="C163" i="105"/>
  <c r="B163" i="105"/>
  <c r="M162" i="105"/>
  <c r="L162" i="105"/>
  <c r="K162" i="105"/>
  <c r="J162" i="105"/>
  <c r="I162" i="105"/>
  <c r="H162" i="105"/>
  <c r="G162" i="105"/>
  <c r="F162" i="105"/>
  <c r="E162" i="105"/>
  <c r="D162" i="105"/>
  <c r="C162" i="105"/>
  <c r="B162" i="105"/>
  <c r="M161" i="105"/>
  <c r="L161" i="105"/>
  <c r="K161" i="105"/>
  <c r="J161" i="105"/>
  <c r="I161" i="105"/>
  <c r="H161" i="105"/>
  <c r="G161" i="105"/>
  <c r="F161" i="105"/>
  <c r="E161" i="105"/>
  <c r="D161" i="105"/>
  <c r="C161" i="105"/>
  <c r="B161" i="105"/>
  <c r="M158" i="105"/>
  <c r="L158" i="105"/>
  <c r="K158" i="105"/>
  <c r="J158" i="105"/>
  <c r="I158" i="105"/>
  <c r="H158" i="105"/>
  <c r="G158" i="105"/>
  <c r="F158" i="105"/>
  <c r="E158" i="105"/>
  <c r="D158" i="105"/>
  <c r="C158" i="105"/>
  <c r="M157" i="105"/>
  <c r="L157" i="105"/>
  <c r="K157" i="105"/>
  <c r="J157" i="105"/>
  <c r="I157" i="105"/>
  <c r="H157" i="105"/>
  <c r="G157" i="105"/>
  <c r="F157" i="105"/>
  <c r="E157" i="105"/>
  <c r="D157" i="105"/>
  <c r="C157" i="105"/>
  <c r="B157" i="105"/>
  <c r="M156" i="105"/>
  <c r="L156" i="105"/>
  <c r="K156" i="105"/>
  <c r="J156" i="105"/>
  <c r="I156" i="105"/>
  <c r="H156" i="105"/>
  <c r="G156" i="105"/>
  <c r="F156" i="105"/>
  <c r="E156" i="105"/>
  <c r="D156" i="105"/>
  <c r="C156" i="105"/>
  <c r="B156" i="105"/>
  <c r="M155" i="105"/>
  <c r="L155" i="105"/>
  <c r="K155" i="105"/>
  <c r="J155" i="105"/>
  <c r="I155" i="105"/>
  <c r="H155" i="105"/>
  <c r="G155" i="105"/>
  <c r="F155" i="105"/>
  <c r="E155" i="105"/>
  <c r="D155" i="105"/>
  <c r="C155" i="105"/>
  <c r="B155" i="105"/>
  <c r="M154" i="105"/>
  <c r="L154" i="105"/>
  <c r="K154" i="105"/>
  <c r="J154" i="105"/>
  <c r="I154" i="105"/>
  <c r="H154" i="105"/>
  <c r="G154" i="105"/>
  <c r="F154" i="105"/>
  <c r="E154" i="105"/>
  <c r="D154" i="105"/>
  <c r="C154" i="105"/>
  <c r="B154" i="105"/>
  <c r="M153" i="105"/>
  <c r="L153" i="105"/>
  <c r="K153" i="105"/>
  <c r="J153" i="105"/>
  <c r="I153" i="105"/>
  <c r="H153" i="105"/>
  <c r="G153" i="105"/>
  <c r="F153" i="105"/>
  <c r="E153" i="105"/>
  <c r="D153" i="105"/>
  <c r="C153" i="105"/>
  <c r="B153" i="105"/>
  <c r="M152" i="105"/>
  <c r="L152" i="105"/>
  <c r="K152" i="105"/>
  <c r="J152" i="105"/>
  <c r="I152" i="105"/>
  <c r="H152" i="105"/>
  <c r="G152" i="105"/>
  <c r="F152" i="105"/>
  <c r="E152" i="105"/>
  <c r="D152" i="105"/>
  <c r="C152" i="105"/>
  <c r="B152" i="105"/>
  <c r="M151" i="105"/>
  <c r="L151" i="105"/>
  <c r="K151" i="105"/>
  <c r="J151" i="105"/>
  <c r="I151" i="105"/>
  <c r="H151" i="105"/>
  <c r="G151" i="105"/>
  <c r="F151" i="105"/>
  <c r="E151" i="105"/>
  <c r="D151" i="105"/>
  <c r="C151" i="105"/>
  <c r="B151" i="105"/>
  <c r="M150" i="105"/>
  <c r="M160" i="105" s="1"/>
  <c r="L150" i="105"/>
  <c r="L160" i="105" s="1"/>
  <c r="K150" i="105"/>
  <c r="K160" i="105" s="1"/>
  <c r="J150" i="105"/>
  <c r="J160" i="105" s="1"/>
  <c r="I150" i="105"/>
  <c r="I160" i="105" s="1"/>
  <c r="H150" i="105"/>
  <c r="H160" i="105" s="1"/>
  <c r="G150" i="105"/>
  <c r="G160" i="105" s="1"/>
  <c r="F150" i="105"/>
  <c r="F160" i="105" s="1"/>
  <c r="E150" i="105"/>
  <c r="E160" i="105" s="1"/>
  <c r="D150" i="105"/>
  <c r="D160" i="105" s="1"/>
  <c r="C150" i="105"/>
  <c r="C160" i="105" s="1"/>
  <c r="M144" i="105"/>
  <c r="L144" i="105"/>
  <c r="K144" i="105"/>
  <c r="J144" i="105"/>
  <c r="I144" i="105"/>
  <c r="H144" i="105"/>
  <c r="G144" i="105"/>
  <c r="F144" i="105"/>
  <c r="E144" i="105"/>
  <c r="D144" i="105"/>
  <c r="C144" i="105"/>
  <c r="B144" i="105"/>
  <c r="M143" i="105"/>
  <c r="L143" i="105"/>
  <c r="K143" i="105"/>
  <c r="J143" i="105"/>
  <c r="I143" i="105"/>
  <c r="H143" i="105"/>
  <c r="G143" i="105"/>
  <c r="F143" i="105"/>
  <c r="E143" i="105"/>
  <c r="D143" i="105"/>
  <c r="C143" i="105"/>
  <c r="B143" i="105"/>
  <c r="M142" i="105"/>
  <c r="L142" i="105"/>
  <c r="K142" i="105"/>
  <c r="J142" i="105"/>
  <c r="I142" i="105"/>
  <c r="H142" i="105"/>
  <c r="G142" i="105"/>
  <c r="F142" i="105"/>
  <c r="E142" i="105"/>
  <c r="D142" i="105"/>
  <c r="C142" i="105"/>
  <c r="B142" i="105"/>
  <c r="M141" i="105"/>
  <c r="L141" i="105"/>
  <c r="K141" i="105"/>
  <c r="J141" i="105"/>
  <c r="I141" i="105"/>
  <c r="H141" i="105"/>
  <c r="G141" i="105"/>
  <c r="F141" i="105"/>
  <c r="E141" i="105"/>
  <c r="D141" i="105"/>
  <c r="C141" i="105"/>
  <c r="B141" i="105"/>
  <c r="M140" i="105"/>
  <c r="L140" i="105"/>
  <c r="K140" i="105"/>
  <c r="J140" i="105"/>
  <c r="I140" i="105"/>
  <c r="H140" i="105"/>
  <c r="G140" i="105"/>
  <c r="F140" i="105"/>
  <c r="E140" i="105"/>
  <c r="D140" i="105"/>
  <c r="C140" i="105"/>
  <c r="B140" i="105"/>
  <c r="M139" i="105"/>
  <c r="L139" i="105"/>
  <c r="K139" i="105"/>
  <c r="J139" i="105"/>
  <c r="I139" i="105"/>
  <c r="H139" i="105"/>
  <c r="G139" i="105"/>
  <c r="F139" i="105"/>
  <c r="E139" i="105"/>
  <c r="D139" i="105"/>
  <c r="C139" i="105"/>
  <c r="B139" i="105"/>
  <c r="M138" i="105"/>
  <c r="L138" i="105"/>
  <c r="K138" i="105"/>
  <c r="J138" i="105"/>
  <c r="I138" i="105"/>
  <c r="H138" i="105"/>
  <c r="G138" i="105"/>
  <c r="F138" i="105"/>
  <c r="E138" i="105"/>
  <c r="D138" i="105"/>
  <c r="C138" i="105"/>
  <c r="B138" i="105"/>
  <c r="M137" i="105"/>
  <c r="L137" i="105"/>
  <c r="K137" i="105"/>
  <c r="J137" i="105"/>
  <c r="I137" i="105"/>
  <c r="H137" i="105"/>
  <c r="G137" i="105"/>
  <c r="F137" i="105"/>
  <c r="E137" i="105"/>
  <c r="D137" i="105"/>
  <c r="C137" i="105"/>
  <c r="B137" i="105"/>
  <c r="M136" i="105"/>
  <c r="L136" i="105"/>
  <c r="K136" i="105"/>
  <c r="J136" i="105"/>
  <c r="I136" i="105"/>
  <c r="H136" i="105"/>
  <c r="G136" i="105"/>
  <c r="F136" i="105"/>
  <c r="E136" i="105"/>
  <c r="D136" i="105"/>
  <c r="C136" i="105"/>
  <c r="B136" i="105"/>
  <c r="M135" i="105"/>
  <c r="L135" i="105"/>
  <c r="K135" i="105"/>
  <c r="J135" i="105"/>
  <c r="I135" i="105"/>
  <c r="H135" i="105"/>
  <c r="G135" i="105"/>
  <c r="F135" i="105"/>
  <c r="E135" i="105"/>
  <c r="D135" i="105"/>
  <c r="C135" i="105"/>
  <c r="B135" i="105"/>
  <c r="M134" i="105"/>
  <c r="L134" i="105"/>
  <c r="K134" i="105"/>
  <c r="J134" i="105"/>
  <c r="I134" i="105"/>
  <c r="H134" i="105"/>
  <c r="G134" i="105"/>
  <c r="F134" i="105"/>
  <c r="E134" i="105"/>
  <c r="D134" i="105"/>
  <c r="C134" i="105"/>
  <c r="B134" i="105"/>
  <c r="M133" i="105"/>
  <c r="L133" i="105"/>
  <c r="K133" i="105"/>
  <c r="J133" i="105"/>
  <c r="I133" i="105"/>
  <c r="H133" i="105"/>
  <c r="G133" i="105"/>
  <c r="F133" i="105"/>
  <c r="E133" i="105"/>
  <c r="D133" i="105"/>
  <c r="C133" i="105"/>
  <c r="B133" i="105"/>
  <c r="M132" i="105"/>
  <c r="L132" i="105"/>
  <c r="K132" i="105"/>
  <c r="J132" i="105"/>
  <c r="I132" i="105"/>
  <c r="H132" i="105"/>
  <c r="G132" i="105"/>
  <c r="F132" i="105"/>
  <c r="E132" i="105"/>
  <c r="D132" i="105"/>
  <c r="C132" i="105"/>
  <c r="B132" i="105"/>
  <c r="M131" i="105"/>
  <c r="L131" i="105"/>
  <c r="K131" i="105"/>
  <c r="J131" i="105"/>
  <c r="I131" i="105"/>
  <c r="H131" i="105"/>
  <c r="G131" i="105"/>
  <c r="F131" i="105"/>
  <c r="E131" i="105"/>
  <c r="D131" i="105"/>
  <c r="C131" i="105"/>
  <c r="B131" i="105"/>
  <c r="M130" i="105"/>
  <c r="L130" i="105"/>
  <c r="K130" i="105"/>
  <c r="J130" i="105"/>
  <c r="I130" i="105"/>
  <c r="H130" i="105"/>
  <c r="G130" i="105"/>
  <c r="F130" i="105"/>
  <c r="E130" i="105"/>
  <c r="D130" i="105"/>
  <c r="C130" i="105"/>
  <c r="B130" i="105"/>
  <c r="M129" i="105"/>
  <c r="L129" i="105"/>
  <c r="K129" i="105"/>
  <c r="J129" i="105"/>
  <c r="I129" i="105"/>
  <c r="H129" i="105"/>
  <c r="G129" i="105"/>
  <c r="F129" i="105"/>
  <c r="E129" i="105"/>
  <c r="D129" i="105"/>
  <c r="C129" i="105"/>
  <c r="B129" i="105"/>
  <c r="M128" i="105"/>
  <c r="L128" i="105"/>
  <c r="K128" i="105"/>
  <c r="J128" i="105"/>
  <c r="I128" i="105"/>
  <c r="H128" i="105"/>
  <c r="G128" i="105"/>
  <c r="F128" i="105"/>
  <c r="E128" i="105"/>
  <c r="D128" i="105"/>
  <c r="C128" i="105"/>
  <c r="B128" i="105"/>
  <c r="M127" i="105"/>
  <c r="L127" i="105"/>
  <c r="K127" i="105"/>
  <c r="J127" i="105"/>
  <c r="I127" i="105"/>
  <c r="H127" i="105"/>
  <c r="G127" i="105"/>
  <c r="F127" i="105"/>
  <c r="E127" i="105"/>
  <c r="D127" i="105"/>
  <c r="C127" i="105"/>
  <c r="B127" i="105"/>
  <c r="M126" i="105"/>
  <c r="L126" i="105"/>
  <c r="K126" i="105"/>
  <c r="J126" i="105"/>
  <c r="I126" i="105"/>
  <c r="H126" i="105"/>
  <c r="G126" i="105"/>
  <c r="F126" i="105"/>
  <c r="E126" i="105"/>
  <c r="D126" i="105"/>
  <c r="C126" i="105"/>
  <c r="B126" i="105"/>
  <c r="M125" i="105"/>
  <c r="L125" i="105"/>
  <c r="K125" i="105"/>
  <c r="J125" i="105"/>
  <c r="I125" i="105"/>
  <c r="H125" i="105"/>
  <c r="G125" i="105"/>
  <c r="F125" i="105"/>
  <c r="E125" i="105"/>
  <c r="D125" i="105"/>
  <c r="C125" i="105"/>
  <c r="B125" i="105"/>
  <c r="M124" i="105"/>
  <c r="L124" i="105"/>
  <c r="K124" i="105"/>
  <c r="J124" i="105"/>
  <c r="I124" i="105"/>
  <c r="H124" i="105"/>
  <c r="G124" i="105"/>
  <c r="F124" i="105"/>
  <c r="E124" i="105"/>
  <c r="D124" i="105"/>
  <c r="C124" i="105"/>
  <c r="B124" i="105"/>
  <c r="M123" i="105"/>
  <c r="L123" i="105"/>
  <c r="K123" i="105"/>
  <c r="J123" i="105"/>
  <c r="I123" i="105"/>
  <c r="H123" i="105"/>
  <c r="G123" i="105"/>
  <c r="F123" i="105"/>
  <c r="E123" i="105"/>
  <c r="D123" i="105"/>
  <c r="C123" i="105"/>
  <c r="B123" i="105"/>
  <c r="M122" i="105"/>
  <c r="L122" i="105"/>
  <c r="K122" i="105"/>
  <c r="J122" i="105"/>
  <c r="I122" i="105"/>
  <c r="H122" i="105"/>
  <c r="G122" i="105"/>
  <c r="F122" i="105"/>
  <c r="E122" i="105"/>
  <c r="D122" i="105"/>
  <c r="C122" i="105"/>
  <c r="B122" i="105"/>
  <c r="M121" i="105"/>
  <c r="L121" i="105"/>
  <c r="K121" i="105"/>
  <c r="J121" i="105"/>
  <c r="I121" i="105"/>
  <c r="H121" i="105"/>
  <c r="G121" i="105"/>
  <c r="F121" i="105"/>
  <c r="E121" i="105"/>
  <c r="D121" i="105"/>
  <c r="C121" i="105"/>
  <c r="B121" i="105"/>
  <c r="M118" i="105"/>
  <c r="L118" i="105"/>
  <c r="K118" i="105"/>
  <c r="J118" i="105"/>
  <c r="I118" i="105"/>
  <c r="H118" i="105"/>
  <c r="G118" i="105"/>
  <c r="F118" i="105"/>
  <c r="E118" i="105"/>
  <c r="D118" i="105"/>
  <c r="C118" i="105"/>
  <c r="M117" i="105"/>
  <c r="L117" i="105"/>
  <c r="K117" i="105"/>
  <c r="J117" i="105"/>
  <c r="I117" i="105"/>
  <c r="H117" i="105"/>
  <c r="G117" i="105"/>
  <c r="F117" i="105"/>
  <c r="E117" i="105"/>
  <c r="D117" i="105"/>
  <c r="C117" i="105"/>
  <c r="B117" i="105"/>
  <c r="M116" i="105"/>
  <c r="L116" i="105"/>
  <c r="K116" i="105"/>
  <c r="J116" i="105"/>
  <c r="I116" i="105"/>
  <c r="H116" i="105"/>
  <c r="G116" i="105"/>
  <c r="F116" i="105"/>
  <c r="E116" i="105"/>
  <c r="D116" i="105"/>
  <c r="C116" i="105"/>
  <c r="B116" i="105"/>
  <c r="M115" i="105"/>
  <c r="L115" i="105"/>
  <c r="K115" i="105"/>
  <c r="J115" i="105"/>
  <c r="I115" i="105"/>
  <c r="H115" i="105"/>
  <c r="G115" i="105"/>
  <c r="F115" i="105"/>
  <c r="E115" i="105"/>
  <c r="D115" i="105"/>
  <c r="C115" i="105"/>
  <c r="B115" i="105"/>
  <c r="M114" i="105"/>
  <c r="L114" i="105"/>
  <c r="K114" i="105"/>
  <c r="J114" i="105"/>
  <c r="I114" i="105"/>
  <c r="H114" i="105"/>
  <c r="G114" i="105"/>
  <c r="F114" i="105"/>
  <c r="E114" i="105"/>
  <c r="D114" i="105"/>
  <c r="C114" i="105"/>
  <c r="B114" i="105"/>
  <c r="M113" i="105"/>
  <c r="L113" i="105"/>
  <c r="K113" i="105"/>
  <c r="J113" i="105"/>
  <c r="I113" i="105"/>
  <c r="H113" i="105"/>
  <c r="G113" i="105"/>
  <c r="F113" i="105"/>
  <c r="E113" i="105"/>
  <c r="D113" i="105"/>
  <c r="C113" i="105"/>
  <c r="B113" i="105"/>
  <c r="M112" i="105"/>
  <c r="L112" i="105"/>
  <c r="K112" i="105"/>
  <c r="J112" i="105"/>
  <c r="I112" i="105"/>
  <c r="H112" i="105"/>
  <c r="G112" i="105"/>
  <c r="F112" i="105"/>
  <c r="E112" i="105"/>
  <c r="D112" i="105"/>
  <c r="C112" i="105"/>
  <c r="B112" i="105"/>
  <c r="M111" i="105"/>
  <c r="L111" i="105"/>
  <c r="K111" i="105"/>
  <c r="J111" i="105"/>
  <c r="I111" i="105"/>
  <c r="H111" i="105"/>
  <c r="G111" i="105"/>
  <c r="F111" i="105"/>
  <c r="E111" i="105"/>
  <c r="D111" i="105"/>
  <c r="C111" i="105"/>
  <c r="B111" i="105"/>
  <c r="M110" i="105"/>
  <c r="M120" i="105" s="1"/>
  <c r="L110" i="105"/>
  <c r="L120" i="105" s="1"/>
  <c r="K110" i="105"/>
  <c r="K120" i="105" s="1"/>
  <c r="J110" i="105"/>
  <c r="J120" i="105" s="1"/>
  <c r="I110" i="105"/>
  <c r="I120" i="105" s="1"/>
  <c r="H110" i="105"/>
  <c r="H120" i="105" s="1"/>
  <c r="G110" i="105"/>
  <c r="G120" i="105" s="1"/>
  <c r="F110" i="105"/>
  <c r="F120" i="105" s="1"/>
  <c r="E110" i="105"/>
  <c r="E120" i="105" s="1"/>
  <c r="D110" i="105"/>
  <c r="D120" i="105" s="1"/>
  <c r="C110" i="105"/>
  <c r="C120" i="105" s="1"/>
  <c r="M104" i="105"/>
  <c r="L104" i="105"/>
  <c r="K104" i="105"/>
  <c r="J104" i="105"/>
  <c r="I104" i="105"/>
  <c r="H104" i="105"/>
  <c r="G104" i="105"/>
  <c r="F104" i="105"/>
  <c r="E104" i="105"/>
  <c r="D104" i="105"/>
  <c r="C104" i="105"/>
  <c r="B104" i="105"/>
  <c r="M103" i="105"/>
  <c r="L103" i="105"/>
  <c r="K103" i="105"/>
  <c r="J103" i="105"/>
  <c r="I103" i="105"/>
  <c r="H103" i="105"/>
  <c r="G103" i="105"/>
  <c r="F103" i="105"/>
  <c r="E103" i="105"/>
  <c r="D103" i="105"/>
  <c r="C103" i="105"/>
  <c r="B103" i="105"/>
  <c r="M102" i="105"/>
  <c r="L102" i="105"/>
  <c r="K102" i="105"/>
  <c r="J102" i="105"/>
  <c r="I102" i="105"/>
  <c r="H102" i="105"/>
  <c r="G102" i="105"/>
  <c r="F102" i="105"/>
  <c r="E102" i="105"/>
  <c r="D102" i="105"/>
  <c r="C102" i="105"/>
  <c r="B102" i="105"/>
  <c r="M101" i="105"/>
  <c r="L101" i="105"/>
  <c r="K101" i="105"/>
  <c r="J101" i="105"/>
  <c r="I101" i="105"/>
  <c r="H101" i="105"/>
  <c r="G101" i="105"/>
  <c r="F101" i="105"/>
  <c r="E101" i="105"/>
  <c r="D101" i="105"/>
  <c r="C101" i="105"/>
  <c r="B101" i="105"/>
  <c r="M100" i="105"/>
  <c r="L100" i="105"/>
  <c r="K100" i="105"/>
  <c r="J100" i="105"/>
  <c r="I100" i="105"/>
  <c r="H100" i="105"/>
  <c r="G100" i="105"/>
  <c r="F100" i="105"/>
  <c r="E100" i="105"/>
  <c r="D100" i="105"/>
  <c r="C100" i="105"/>
  <c r="B100" i="105"/>
  <c r="M99" i="105"/>
  <c r="L99" i="105"/>
  <c r="K99" i="105"/>
  <c r="J99" i="105"/>
  <c r="I99" i="105"/>
  <c r="H99" i="105"/>
  <c r="G99" i="105"/>
  <c r="F99" i="105"/>
  <c r="E99" i="105"/>
  <c r="D99" i="105"/>
  <c r="C99" i="105"/>
  <c r="B99" i="105"/>
  <c r="M98" i="105"/>
  <c r="L98" i="105"/>
  <c r="K98" i="105"/>
  <c r="J98" i="105"/>
  <c r="I98" i="105"/>
  <c r="H98" i="105"/>
  <c r="G98" i="105"/>
  <c r="F98" i="105"/>
  <c r="E98" i="105"/>
  <c r="D98" i="105"/>
  <c r="C98" i="105"/>
  <c r="B98" i="105"/>
  <c r="M97" i="105"/>
  <c r="L97" i="105"/>
  <c r="K97" i="105"/>
  <c r="J97" i="105"/>
  <c r="I97" i="105"/>
  <c r="H97" i="105"/>
  <c r="G97" i="105"/>
  <c r="F97" i="105"/>
  <c r="E97" i="105"/>
  <c r="D97" i="105"/>
  <c r="C97" i="105"/>
  <c r="B97" i="105"/>
  <c r="M96" i="105"/>
  <c r="L96" i="105"/>
  <c r="K96" i="105"/>
  <c r="J96" i="105"/>
  <c r="I96" i="105"/>
  <c r="H96" i="105"/>
  <c r="G96" i="105"/>
  <c r="F96" i="105"/>
  <c r="E96" i="105"/>
  <c r="D96" i="105"/>
  <c r="C96" i="105"/>
  <c r="B96" i="105"/>
  <c r="M95" i="105"/>
  <c r="L95" i="105"/>
  <c r="K95" i="105"/>
  <c r="J95" i="105"/>
  <c r="I95" i="105"/>
  <c r="H95" i="105"/>
  <c r="G95" i="105"/>
  <c r="F95" i="105"/>
  <c r="E95" i="105"/>
  <c r="D95" i="105"/>
  <c r="C95" i="105"/>
  <c r="B95" i="105"/>
  <c r="M94" i="105"/>
  <c r="L94" i="105"/>
  <c r="K94" i="105"/>
  <c r="J94" i="105"/>
  <c r="I94" i="105"/>
  <c r="H94" i="105"/>
  <c r="G94" i="105"/>
  <c r="F94" i="105"/>
  <c r="E94" i="105"/>
  <c r="D94" i="105"/>
  <c r="C94" i="105"/>
  <c r="B94" i="105"/>
  <c r="M93" i="105"/>
  <c r="L93" i="105"/>
  <c r="K93" i="105"/>
  <c r="J93" i="105"/>
  <c r="I93" i="105"/>
  <c r="H93" i="105"/>
  <c r="G93" i="105"/>
  <c r="F93" i="105"/>
  <c r="E93" i="105"/>
  <c r="D93" i="105"/>
  <c r="C93" i="105"/>
  <c r="B93" i="105"/>
  <c r="M92" i="105"/>
  <c r="L92" i="105"/>
  <c r="K92" i="105"/>
  <c r="J92" i="105"/>
  <c r="I92" i="105"/>
  <c r="H92" i="105"/>
  <c r="G92" i="105"/>
  <c r="F92" i="105"/>
  <c r="E92" i="105"/>
  <c r="D92" i="105"/>
  <c r="C92" i="105"/>
  <c r="B92" i="105"/>
  <c r="M91" i="105"/>
  <c r="L91" i="105"/>
  <c r="K91" i="105"/>
  <c r="J91" i="105"/>
  <c r="I91" i="105"/>
  <c r="H91" i="105"/>
  <c r="G91" i="105"/>
  <c r="F91" i="105"/>
  <c r="E91" i="105"/>
  <c r="D91" i="105"/>
  <c r="C91" i="105"/>
  <c r="B91" i="105"/>
  <c r="M90" i="105"/>
  <c r="L90" i="105"/>
  <c r="K90" i="105"/>
  <c r="J90" i="105"/>
  <c r="I90" i="105"/>
  <c r="H90" i="105"/>
  <c r="G90" i="105"/>
  <c r="F90" i="105"/>
  <c r="E90" i="105"/>
  <c r="D90" i="105"/>
  <c r="C90" i="105"/>
  <c r="B90" i="105"/>
  <c r="M89" i="105"/>
  <c r="L89" i="105"/>
  <c r="K89" i="105"/>
  <c r="J89" i="105"/>
  <c r="I89" i="105"/>
  <c r="H89" i="105"/>
  <c r="G89" i="105"/>
  <c r="F89" i="105"/>
  <c r="E89" i="105"/>
  <c r="D89" i="105"/>
  <c r="C89" i="105"/>
  <c r="B89" i="105"/>
  <c r="M88" i="105"/>
  <c r="L88" i="105"/>
  <c r="K88" i="105"/>
  <c r="J88" i="105"/>
  <c r="I88" i="105"/>
  <c r="H88" i="105"/>
  <c r="G88" i="105"/>
  <c r="F88" i="105"/>
  <c r="E88" i="105"/>
  <c r="D88" i="105"/>
  <c r="C88" i="105"/>
  <c r="B88" i="105"/>
  <c r="M87" i="105"/>
  <c r="L87" i="105"/>
  <c r="K87" i="105"/>
  <c r="J87" i="105"/>
  <c r="I87" i="105"/>
  <c r="H87" i="105"/>
  <c r="G87" i="105"/>
  <c r="F87" i="105"/>
  <c r="E87" i="105"/>
  <c r="D87" i="105"/>
  <c r="C87" i="105"/>
  <c r="B87" i="105"/>
  <c r="M86" i="105"/>
  <c r="L86" i="105"/>
  <c r="K86" i="105"/>
  <c r="J86" i="105"/>
  <c r="I86" i="105"/>
  <c r="H86" i="105"/>
  <c r="G86" i="105"/>
  <c r="F86" i="105"/>
  <c r="E86" i="105"/>
  <c r="D86" i="105"/>
  <c r="C86" i="105"/>
  <c r="B86" i="105"/>
  <c r="M85" i="105"/>
  <c r="L85" i="105"/>
  <c r="K85" i="105"/>
  <c r="J85" i="105"/>
  <c r="I85" i="105"/>
  <c r="H85" i="105"/>
  <c r="G85" i="105"/>
  <c r="F85" i="105"/>
  <c r="E85" i="105"/>
  <c r="D85" i="105"/>
  <c r="C85" i="105"/>
  <c r="B85" i="105"/>
  <c r="M84" i="105"/>
  <c r="L84" i="105"/>
  <c r="K84" i="105"/>
  <c r="J84" i="105"/>
  <c r="I84" i="105"/>
  <c r="H84" i="105"/>
  <c r="G84" i="105"/>
  <c r="F84" i="105"/>
  <c r="E84" i="105"/>
  <c r="D84" i="105"/>
  <c r="C84" i="105"/>
  <c r="B84" i="105"/>
  <c r="M83" i="105"/>
  <c r="L83" i="105"/>
  <c r="K83" i="105"/>
  <c r="J83" i="105"/>
  <c r="I83" i="105"/>
  <c r="H83" i="105"/>
  <c r="G83" i="105"/>
  <c r="F83" i="105"/>
  <c r="E83" i="105"/>
  <c r="D83" i="105"/>
  <c r="C83" i="105"/>
  <c r="B83" i="105"/>
  <c r="M82" i="105"/>
  <c r="L82" i="105"/>
  <c r="K82" i="105"/>
  <c r="J82" i="105"/>
  <c r="I82" i="105"/>
  <c r="H82" i="105"/>
  <c r="G82" i="105"/>
  <c r="F82" i="105"/>
  <c r="E82" i="105"/>
  <c r="D82" i="105"/>
  <c r="C82" i="105"/>
  <c r="B82" i="105"/>
  <c r="M81" i="105"/>
  <c r="L81" i="105"/>
  <c r="K81" i="105"/>
  <c r="J81" i="105"/>
  <c r="I81" i="105"/>
  <c r="H81" i="105"/>
  <c r="G81" i="105"/>
  <c r="F81" i="105"/>
  <c r="E81" i="105"/>
  <c r="D81" i="105"/>
  <c r="C81" i="105"/>
  <c r="B81" i="105"/>
  <c r="M78" i="105"/>
  <c r="L78" i="105"/>
  <c r="K78" i="105"/>
  <c r="J78" i="105"/>
  <c r="I78" i="105"/>
  <c r="H78" i="105"/>
  <c r="G78" i="105"/>
  <c r="F78" i="105"/>
  <c r="E78" i="105"/>
  <c r="D78" i="105"/>
  <c r="C78" i="105"/>
  <c r="M77" i="105"/>
  <c r="L77" i="105"/>
  <c r="K77" i="105"/>
  <c r="J77" i="105"/>
  <c r="I77" i="105"/>
  <c r="H77" i="105"/>
  <c r="G77" i="105"/>
  <c r="F77" i="105"/>
  <c r="E77" i="105"/>
  <c r="D77" i="105"/>
  <c r="C77" i="105"/>
  <c r="B77" i="105"/>
  <c r="M76" i="105"/>
  <c r="L76" i="105"/>
  <c r="K76" i="105"/>
  <c r="J76" i="105"/>
  <c r="I76" i="105"/>
  <c r="H76" i="105"/>
  <c r="G76" i="105"/>
  <c r="F76" i="105"/>
  <c r="E76" i="105"/>
  <c r="D76" i="105"/>
  <c r="C76" i="105"/>
  <c r="B76" i="105"/>
  <c r="M75" i="105"/>
  <c r="L75" i="105"/>
  <c r="K75" i="105"/>
  <c r="J75" i="105"/>
  <c r="I75" i="105"/>
  <c r="H75" i="105"/>
  <c r="G75" i="105"/>
  <c r="F75" i="105"/>
  <c r="E75" i="105"/>
  <c r="D75" i="105"/>
  <c r="C75" i="105"/>
  <c r="B75" i="105"/>
  <c r="M74" i="105"/>
  <c r="L74" i="105"/>
  <c r="K74" i="105"/>
  <c r="J74" i="105"/>
  <c r="I74" i="105"/>
  <c r="H74" i="105"/>
  <c r="G74" i="105"/>
  <c r="F74" i="105"/>
  <c r="E74" i="105"/>
  <c r="D74" i="105"/>
  <c r="C74" i="105"/>
  <c r="B74" i="105"/>
  <c r="M73" i="105"/>
  <c r="L73" i="105"/>
  <c r="K73" i="105"/>
  <c r="J73" i="105"/>
  <c r="I73" i="105"/>
  <c r="H73" i="105"/>
  <c r="G73" i="105"/>
  <c r="F73" i="105"/>
  <c r="E73" i="105"/>
  <c r="D73" i="105"/>
  <c r="C73" i="105"/>
  <c r="B73" i="105"/>
  <c r="M72" i="105"/>
  <c r="L72" i="105"/>
  <c r="K72" i="105"/>
  <c r="J72" i="105"/>
  <c r="I72" i="105"/>
  <c r="H72" i="105"/>
  <c r="G72" i="105"/>
  <c r="F72" i="105"/>
  <c r="E72" i="105"/>
  <c r="D72" i="105"/>
  <c r="C72" i="105"/>
  <c r="B72" i="105"/>
  <c r="M71" i="105"/>
  <c r="L71" i="105"/>
  <c r="K71" i="105"/>
  <c r="J71" i="105"/>
  <c r="I71" i="105"/>
  <c r="H71" i="105"/>
  <c r="G71" i="105"/>
  <c r="F71" i="105"/>
  <c r="E71" i="105"/>
  <c r="D71" i="105"/>
  <c r="C71" i="105"/>
  <c r="B71" i="105"/>
  <c r="M70" i="105"/>
  <c r="M80" i="105" s="1"/>
  <c r="L70" i="105"/>
  <c r="L80" i="105" s="1"/>
  <c r="K70" i="105"/>
  <c r="K80" i="105" s="1"/>
  <c r="J70" i="105"/>
  <c r="J80" i="105" s="1"/>
  <c r="I70" i="105"/>
  <c r="I80" i="105" s="1"/>
  <c r="H70" i="105"/>
  <c r="H80" i="105" s="1"/>
  <c r="G70" i="105"/>
  <c r="G80" i="105" s="1"/>
  <c r="F70" i="105"/>
  <c r="F80" i="105" s="1"/>
  <c r="E70" i="105"/>
  <c r="E80" i="105" s="1"/>
  <c r="D70" i="105"/>
  <c r="D80" i="105" s="1"/>
  <c r="C70" i="105"/>
  <c r="C80" i="105" s="1"/>
  <c r="M64" i="105"/>
  <c r="M63" i="105"/>
  <c r="M62" i="105"/>
  <c r="M61" i="105"/>
  <c r="M60" i="105"/>
  <c r="M59" i="105"/>
  <c r="M58" i="105"/>
  <c r="M57" i="105"/>
  <c r="M56" i="105"/>
  <c r="M55" i="105"/>
  <c r="M54" i="105"/>
  <c r="M53" i="105"/>
  <c r="M52" i="105"/>
  <c r="M51" i="105"/>
  <c r="M50" i="105"/>
  <c r="M49" i="105"/>
  <c r="M48" i="105"/>
  <c r="M47" i="105"/>
  <c r="M46" i="105"/>
  <c r="M45" i="105"/>
  <c r="M44" i="105"/>
  <c r="M43" i="105"/>
  <c r="M42" i="105"/>
  <c r="M41" i="105"/>
  <c r="L64" i="105"/>
  <c r="L63" i="105"/>
  <c r="L62" i="105"/>
  <c r="L61" i="105"/>
  <c r="L60" i="105"/>
  <c r="L59" i="105"/>
  <c r="L58" i="105"/>
  <c r="L57" i="105"/>
  <c r="L56" i="105"/>
  <c r="L55" i="105"/>
  <c r="L54" i="105"/>
  <c r="L53" i="105"/>
  <c r="L52" i="105"/>
  <c r="L51" i="105"/>
  <c r="L50" i="105"/>
  <c r="L49" i="105"/>
  <c r="L48" i="105"/>
  <c r="L47" i="105"/>
  <c r="L46" i="105"/>
  <c r="L45" i="105"/>
  <c r="L44" i="105"/>
  <c r="L43" i="105"/>
  <c r="L42" i="105"/>
  <c r="L41" i="105"/>
  <c r="K64" i="105"/>
  <c r="K63" i="105"/>
  <c r="K62" i="105"/>
  <c r="K61" i="105"/>
  <c r="K60" i="105"/>
  <c r="K59" i="105"/>
  <c r="K58" i="105"/>
  <c r="K57" i="105"/>
  <c r="K56" i="105"/>
  <c r="K55" i="105"/>
  <c r="K54" i="105"/>
  <c r="K53" i="105"/>
  <c r="K52" i="105"/>
  <c r="K51" i="105"/>
  <c r="K50" i="105"/>
  <c r="K49" i="105"/>
  <c r="K48" i="105"/>
  <c r="K47" i="105"/>
  <c r="K46" i="105"/>
  <c r="K45" i="105"/>
  <c r="K44" i="105"/>
  <c r="K43" i="105"/>
  <c r="K42" i="105"/>
  <c r="K41" i="105"/>
  <c r="J64" i="105"/>
  <c r="J63" i="105"/>
  <c r="J62" i="105"/>
  <c r="J61" i="105"/>
  <c r="J60" i="105"/>
  <c r="J59" i="105"/>
  <c r="J58" i="105"/>
  <c r="J57" i="105"/>
  <c r="J56" i="105"/>
  <c r="J55" i="105"/>
  <c r="J54" i="105"/>
  <c r="J53" i="105"/>
  <c r="J52" i="105"/>
  <c r="J51" i="105"/>
  <c r="J50" i="105"/>
  <c r="J49" i="105"/>
  <c r="J48" i="105"/>
  <c r="J47" i="105"/>
  <c r="J46" i="105"/>
  <c r="J45" i="105"/>
  <c r="J44" i="105"/>
  <c r="J43" i="105"/>
  <c r="J42" i="105"/>
  <c r="J41" i="105"/>
  <c r="I64" i="105"/>
  <c r="I63" i="105"/>
  <c r="I62" i="105"/>
  <c r="I61" i="105"/>
  <c r="I60" i="105"/>
  <c r="I59" i="105"/>
  <c r="I58" i="105"/>
  <c r="I57" i="105"/>
  <c r="I56" i="105"/>
  <c r="I55" i="105"/>
  <c r="I54" i="105"/>
  <c r="I53" i="105"/>
  <c r="I52" i="105"/>
  <c r="I51" i="105"/>
  <c r="I50" i="105"/>
  <c r="I49" i="105"/>
  <c r="I48" i="105"/>
  <c r="I47" i="105"/>
  <c r="I46" i="105"/>
  <c r="I45" i="105"/>
  <c r="I44" i="105"/>
  <c r="I43" i="105"/>
  <c r="I42" i="105"/>
  <c r="I41" i="105"/>
  <c r="H64" i="105"/>
  <c r="H63" i="105"/>
  <c r="H62" i="105"/>
  <c r="H61" i="105"/>
  <c r="H60" i="105"/>
  <c r="H59" i="105"/>
  <c r="H58" i="105"/>
  <c r="H57" i="105"/>
  <c r="H56" i="105"/>
  <c r="H55" i="105"/>
  <c r="H54" i="105"/>
  <c r="H53" i="105"/>
  <c r="H52" i="105"/>
  <c r="H51" i="105"/>
  <c r="H50" i="105"/>
  <c r="H49" i="105"/>
  <c r="H48" i="105"/>
  <c r="H47" i="105"/>
  <c r="H46" i="105"/>
  <c r="H45" i="105"/>
  <c r="H44" i="105"/>
  <c r="H43" i="105"/>
  <c r="H42" i="105"/>
  <c r="H41" i="105"/>
  <c r="G64" i="105"/>
  <c r="G63" i="105"/>
  <c r="G62" i="105"/>
  <c r="G61" i="105"/>
  <c r="G60" i="105"/>
  <c r="G59" i="105"/>
  <c r="G58" i="105"/>
  <c r="G57" i="105"/>
  <c r="G56" i="105"/>
  <c r="G55" i="105"/>
  <c r="G54" i="105"/>
  <c r="G53" i="105"/>
  <c r="G52" i="105"/>
  <c r="G51" i="105"/>
  <c r="G50" i="105"/>
  <c r="G49" i="105"/>
  <c r="G48" i="105"/>
  <c r="G47" i="105"/>
  <c r="G46" i="105"/>
  <c r="G45" i="105"/>
  <c r="G44" i="105"/>
  <c r="G43" i="105"/>
  <c r="G42" i="105"/>
  <c r="G41" i="105"/>
  <c r="F64" i="105"/>
  <c r="F63" i="105"/>
  <c r="F62" i="105"/>
  <c r="F61" i="105"/>
  <c r="F60" i="105"/>
  <c r="F59" i="105"/>
  <c r="F58" i="105"/>
  <c r="F57" i="105"/>
  <c r="F56" i="105"/>
  <c r="F55" i="105"/>
  <c r="F54" i="105"/>
  <c r="F53" i="105"/>
  <c r="F52" i="105"/>
  <c r="F51" i="105"/>
  <c r="F50" i="105"/>
  <c r="F49" i="105"/>
  <c r="F48" i="105"/>
  <c r="F47" i="105"/>
  <c r="F46" i="105"/>
  <c r="F45" i="105"/>
  <c r="F44" i="105"/>
  <c r="F43" i="105"/>
  <c r="F42" i="105"/>
  <c r="F41" i="105"/>
  <c r="E64" i="105"/>
  <c r="E63" i="105"/>
  <c r="E62" i="105"/>
  <c r="E61" i="105"/>
  <c r="E60" i="105"/>
  <c r="E59" i="105"/>
  <c r="E58" i="105"/>
  <c r="E57" i="105"/>
  <c r="E56" i="105"/>
  <c r="E55" i="105"/>
  <c r="E54" i="105"/>
  <c r="E53" i="105"/>
  <c r="E52" i="105"/>
  <c r="E51" i="105"/>
  <c r="E50" i="105"/>
  <c r="E49" i="105"/>
  <c r="E48" i="105"/>
  <c r="E47" i="105"/>
  <c r="E46" i="105"/>
  <c r="E45" i="105"/>
  <c r="E44" i="105"/>
  <c r="E43" i="105"/>
  <c r="E42" i="105"/>
  <c r="E41" i="105"/>
  <c r="D64" i="105"/>
  <c r="D63" i="105"/>
  <c r="D62" i="105"/>
  <c r="D61" i="105"/>
  <c r="D60" i="105"/>
  <c r="D59" i="105"/>
  <c r="D58" i="105"/>
  <c r="D57" i="105"/>
  <c r="D56" i="105"/>
  <c r="D55" i="105"/>
  <c r="D54" i="105"/>
  <c r="D53" i="105"/>
  <c r="D52" i="105"/>
  <c r="D51" i="105"/>
  <c r="D50" i="105"/>
  <c r="D49" i="105"/>
  <c r="D48" i="105"/>
  <c r="D47" i="105"/>
  <c r="D46" i="105"/>
  <c r="D45" i="105"/>
  <c r="D44" i="105"/>
  <c r="D43" i="105"/>
  <c r="D42" i="105"/>
  <c r="D41" i="105"/>
  <c r="C64" i="105"/>
  <c r="C63" i="105"/>
  <c r="C62" i="105"/>
  <c r="C61" i="105"/>
  <c r="C60" i="105"/>
  <c r="C59" i="105"/>
  <c r="C58" i="105"/>
  <c r="C57" i="105"/>
  <c r="C56" i="105"/>
  <c r="C55" i="105"/>
  <c r="C54" i="105"/>
  <c r="C53" i="105"/>
  <c r="C52" i="105"/>
  <c r="C51" i="105"/>
  <c r="C50" i="105"/>
  <c r="C49" i="105"/>
  <c r="C48" i="105"/>
  <c r="C47" i="105"/>
  <c r="C46" i="105"/>
  <c r="C45" i="105"/>
  <c r="C44" i="105"/>
  <c r="C43" i="105"/>
  <c r="C42" i="105"/>
  <c r="C41" i="105"/>
  <c r="M38" i="105"/>
  <c r="M37" i="105"/>
  <c r="M36" i="105"/>
  <c r="M35" i="105"/>
  <c r="M34" i="105"/>
  <c r="M33" i="105"/>
  <c r="M32" i="105"/>
  <c r="M31" i="105"/>
  <c r="M30" i="105"/>
  <c r="M40" i="105" s="1"/>
  <c r="L38" i="105"/>
  <c r="L37" i="105"/>
  <c r="L36" i="105"/>
  <c r="L35" i="105"/>
  <c r="L34" i="105"/>
  <c r="L33" i="105"/>
  <c r="L32" i="105"/>
  <c r="L31" i="105"/>
  <c r="L30" i="105"/>
  <c r="L40" i="105" s="1"/>
  <c r="K38" i="105"/>
  <c r="K37" i="105"/>
  <c r="K36" i="105"/>
  <c r="K35" i="105"/>
  <c r="K34" i="105"/>
  <c r="K33" i="105"/>
  <c r="K32" i="105"/>
  <c r="K31" i="105"/>
  <c r="K30" i="105"/>
  <c r="K40" i="105" s="1"/>
  <c r="J38" i="105"/>
  <c r="J37" i="105"/>
  <c r="J36" i="105"/>
  <c r="J35" i="105"/>
  <c r="J34" i="105"/>
  <c r="J33" i="105"/>
  <c r="J32" i="105"/>
  <c r="J31" i="105"/>
  <c r="J30" i="105"/>
  <c r="J40" i="105" s="1"/>
  <c r="I38" i="105"/>
  <c r="I37" i="105"/>
  <c r="I36" i="105"/>
  <c r="I35" i="105"/>
  <c r="I34" i="105"/>
  <c r="I33" i="105"/>
  <c r="I32" i="105"/>
  <c r="I31" i="105"/>
  <c r="I30" i="105"/>
  <c r="I40" i="105" s="1"/>
  <c r="H38" i="105"/>
  <c r="H37" i="105"/>
  <c r="H36" i="105"/>
  <c r="H35" i="105"/>
  <c r="H34" i="105"/>
  <c r="H33" i="105"/>
  <c r="H32" i="105"/>
  <c r="H31" i="105"/>
  <c r="H30" i="105"/>
  <c r="H40" i="105" s="1"/>
  <c r="G38" i="105"/>
  <c r="G37" i="105"/>
  <c r="G36" i="105"/>
  <c r="G35" i="105"/>
  <c r="G34" i="105"/>
  <c r="G33" i="105"/>
  <c r="G32" i="105"/>
  <c r="G31" i="105"/>
  <c r="G30" i="105"/>
  <c r="G40" i="105" s="1"/>
  <c r="F38" i="105"/>
  <c r="F37" i="105"/>
  <c r="F36" i="105"/>
  <c r="F35" i="105"/>
  <c r="F34" i="105"/>
  <c r="F33" i="105"/>
  <c r="F32" i="105"/>
  <c r="F31" i="105"/>
  <c r="F30" i="105"/>
  <c r="F40" i="105" s="1"/>
  <c r="E38" i="105"/>
  <c r="E37" i="105"/>
  <c r="E36" i="105"/>
  <c r="E35" i="105"/>
  <c r="E34" i="105"/>
  <c r="E33" i="105"/>
  <c r="E32" i="105"/>
  <c r="E31" i="105"/>
  <c r="E30" i="105"/>
  <c r="U37" i="105" s="1"/>
  <c r="D38" i="105"/>
  <c r="D37" i="105"/>
  <c r="D36" i="105"/>
  <c r="D35" i="105"/>
  <c r="D34" i="105"/>
  <c r="D33" i="105"/>
  <c r="D32" i="105"/>
  <c r="D31" i="105"/>
  <c r="D30" i="105"/>
  <c r="D40" i="105" s="1"/>
  <c r="C38" i="105"/>
  <c r="C37" i="105"/>
  <c r="C36" i="105"/>
  <c r="C35" i="105"/>
  <c r="C34" i="105"/>
  <c r="C33" i="105"/>
  <c r="C32" i="105"/>
  <c r="C31" i="105"/>
  <c r="C30" i="105"/>
  <c r="C40" i="105" s="1"/>
  <c r="B64" i="105"/>
  <c r="B63" i="105"/>
  <c r="B62" i="105"/>
  <c r="B61" i="105"/>
  <c r="B60" i="105"/>
  <c r="B59" i="105"/>
  <c r="B58" i="105"/>
  <c r="B57" i="105"/>
  <c r="B56" i="105"/>
  <c r="B55" i="105"/>
  <c r="B54" i="105"/>
  <c r="B53" i="105"/>
  <c r="B52" i="105"/>
  <c r="B51" i="105"/>
  <c r="B50" i="105"/>
  <c r="B49" i="105"/>
  <c r="B48" i="105"/>
  <c r="B47" i="105"/>
  <c r="B46" i="105"/>
  <c r="B45" i="105"/>
  <c r="B44" i="105"/>
  <c r="B43" i="105"/>
  <c r="B42" i="105"/>
  <c r="B41" i="105"/>
  <c r="B37" i="105"/>
  <c r="B36" i="105"/>
  <c r="B35" i="105"/>
  <c r="B34" i="105"/>
  <c r="B33" i="105"/>
  <c r="B32" i="105"/>
  <c r="B31" i="105"/>
  <c r="CH77" i="105" l="1"/>
  <c r="CH96" i="105"/>
  <c r="AR96" i="105"/>
  <c r="BN96" i="105"/>
  <c r="BN77" i="105"/>
  <c r="G10" i="105"/>
  <c r="AR77" i="105"/>
  <c r="Z5" i="105"/>
  <c r="T5" i="105"/>
  <c r="G4" i="105"/>
  <c r="G12" i="105"/>
  <c r="E40" i="105"/>
  <c r="G6" i="105"/>
  <c r="U39" i="105"/>
  <c r="G5" i="105"/>
  <c r="G11" i="105"/>
  <c r="S5" i="105"/>
  <c r="U5" i="105"/>
  <c r="Z37" i="105"/>
  <c r="T37" i="105"/>
  <c r="AA71" i="105"/>
  <c r="U71" i="105"/>
  <c r="Y37" i="105"/>
  <c r="Z71" i="105"/>
  <c r="T71" i="105"/>
  <c r="G7" i="105"/>
  <c r="Y5" i="105"/>
  <c r="AB5" i="105"/>
  <c r="S37" i="105"/>
  <c r="AF37" i="105" s="1"/>
  <c r="X37" i="105"/>
  <c r="T73" i="105"/>
  <c r="Y71" i="105"/>
  <c r="X72" i="105"/>
  <c r="G2" i="105"/>
  <c r="G8" i="105"/>
  <c r="X5" i="105"/>
  <c r="AA5" i="105"/>
  <c r="AC37" i="105"/>
  <c r="W37" i="105"/>
  <c r="S71" i="105"/>
  <c r="AF71" i="105" s="1"/>
  <c r="X71" i="105"/>
  <c r="W73" i="105"/>
  <c r="G3" i="105"/>
  <c r="G9" i="105"/>
  <c r="W5" i="105"/>
  <c r="AC5" i="105"/>
  <c r="AB37" i="105"/>
  <c r="V37" i="105"/>
  <c r="AC71" i="105"/>
  <c r="W71" i="105"/>
  <c r="V5" i="105"/>
  <c r="T7" i="105"/>
  <c r="AA37" i="105"/>
  <c r="AB71" i="105"/>
  <c r="V71" i="105"/>
  <c r="T72" i="105"/>
  <c r="S73" i="105"/>
  <c r="U73" i="105"/>
  <c r="Z72" i="105"/>
  <c r="AB73" i="105"/>
  <c r="AB72" i="105"/>
  <c r="X73" i="105"/>
  <c r="Y72" i="105"/>
  <c r="AC73" i="105"/>
  <c r="V73" i="105"/>
  <c r="S72" i="105"/>
  <c r="W72" i="105"/>
  <c r="AA73" i="105"/>
  <c r="AC72" i="105"/>
  <c r="V72" i="105"/>
  <c r="Y73" i="105"/>
  <c r="AA79" i="105"/>
  <c r="AA72" i="105"/>
  <c r="U72" i="105"/>
  <c r="Z73" i="105"/>
  <c r="AA45" i="105"/>
  <c r="T39" i="105"/>
  <c r="Z38" i="105"/>
  <c r="T38" i="105"/>
  <c r="Y39" i="105"/>
  <c r="U38" i="105"/>
  <c r="AA13" i="105"/>
  <c r="Y38" i="105"/>
  <c r="S39" i="105"/>
  <c r="X39" i="105"/>
  <c r="Z39" i="105"/>
  <c r="S38" i="105"/>
  <c r="X38" i="105"/>
  <c r="AC39" i="105"/>
  <c r="W39" i="105"/>
  <c r="AA38" i="105"/>
  <c r="AC38" i="105"/>
  <c r="W38" i="105"/>
  <c r="AB39" i="105"/>
  <c r="V39" i="105"/>
  <c r="AB38" i="105"/>
  <c r="V38" i="105"/>
  <c r="AA39" i="105"/>
  <c r="Z6" i="105"/>
  <c r="T6" i="105"/>
  <c r="Y7" i="105"/>
  <c r="Y6" i="105"/>
  <c r="S7" i="105"/>
  <c r="X7" i="105"/>
  <c r="X6" i="105"/>
  <c r="AC7" i="105"/>
  <c r="W7" i="105"/>
  <c r="AC6" i="105"/>
  <c r="W6" i="105"/>
  <c r="AB7" i="105"/>
  <c r="V7" i="105"/>
  <c r="AB6" i="105"/>
  <c r="V6" i="105"/>
  <c r="AA7" i="105"/>
  <c r="U7" i="105"/>
  <c r="AA6" i="105"/>
  <c r="U6" i="105"/>
  <c r="Z7" i="105"/>
  <c r="AD72" i="105" l="1"/>
  <c r="AA81" i="105" s="1"/>
  <c r="AF5" i="105"/>
  <c r="Z12" i="105"/>
  <c r="AE5" i="105"/>
  <c r="Z44" i="105"/>
  <c r="AE37" i="105"/>
  <c r="Z78" i="105"/>
  <c r="AE71" i="105"/>
  <c r="AT105" i="105"/>
  <c r="AT109" i="105"/>
  <c r="BP90" i="105"/>
  <c r="BP86" i="105"/>
  <c r="BP109" i="105"/>
  <c r="BP105" i="105"/>
  <c r="AR6" i="105"/>
  <c r="AT90" i="105"/>
  <c r="BM6" i="105"/>
  <c r="AT86" i="105"/>
  <c r="CG6" i="105"/>
  <c r="CH12" i="105" s="1"/>
  <c r="AE73" i="105"/>
  <c r="AF39" i="105"/>
  <c r="AF72" i="105"/>
  <c r="AF76" i="105"/>
  <c r="AA90" i="105" s="1"/>
  <c r="AD73" i="105"/>
  <c r="AA88" i="105" s="1"/>
  <c r="AG72" i="105"/>
  <c r="AE72" i="105"/>
  <c r="AF75" i="105"/>
  <c r="AA83" i="105" s="1"/>
  <c r="AG73" i="105"/>
  <c r="AF41" i="105"/>
  <c r="AA49" i="105" s="1"/>
  <c r="AF73" i="105"/>
  <c r="AF42" i="105"/>
  <c r="AA56" i="105" s="1"/>
  <c r="AD39" i="105"/>
  <c r="AA54" i="105" s="1"/>
  <c r="AD38" i="105"/>
  <c r="AF38" i="105"/>
  <c r="AG38" i="105"/>
  <c r="AG39" i="105"/>
  <c r="AE38" i="105"/>
  <c r="AE39" i="105"/>
  <c r="AF9" i="105"/>
  <c r="AA17" i="105" s="1"/>
  <c r="AD6" i="105"/>
  <c r="AG6" i="105"/>
  <c r="AF6" i="105"/>
  <c r="AE6" i="105"/>
  <c r="AD7" i="105"/>
  <c r="AA22" i="105" s="1"/>
  <c r="AF10" i="105"/>
  <c r="AA24" i="105" s="1"/>
  <c r="AG7" i="105"/>
  <c r="AE7" i="105"/>
  <c r="AF7" i="105"/>
  <c r="AR95" i="105" l="1"/>
  <c r="AS38" i="105"/>
  <c r="AS8" i="105"/>
  <c r="AS9" i="105"/>
  <c r="AT19" i="105"/>
  <c r="AS24" i="105"/>
  <c r="AT22" i="105"/>
  <c r="AS20" i="105"/>
  <c r="AS21" i="105"/>
  <c r="AT41" i="105"/>
  <c r="AS25" i="105"/>
  <c r="BB41" i="105" s="1"/>
  <c r="AS10" i="105"/>
  <c r="AS29" i="105"/>
  <c r="AT44" i="105"/>
  <c r="AS41" i="105"/>
  <c r="AS23" i="105"/>
  <c r="AT12" i="105"/>
  <c r="AT42" i="105"/>
  <c r="AS18" i="105"/>
  <c r="AT29" i="105"/>
  <c r="AS27" i="105"/>
  <c r="AT40" i="105"/>
  <c r="AS22" i="105"/>
  <c r="AS32" i="105"/>
  <c r="AU32" i="105" s="1"/>
  <c r="AS28" i="105"/>
  <c r="AT31" i="105"/>
  <c r="BH44" i="105" s="1"/>
  <c r="AT24" i="105"/>
  <c r="AS19" i="105"/>
  <c r="AT21" i="105"/>
  <c r="AT25" i="105"/>
  <c r="BH41" i="105" s="1"/>
  <c r="AT18" i="105"/>
  <c r="AS26" i="105"/>
  <c r="AY42" i="105" s="1"/>
  <c r="AS31" i="105"/>
  <c r="AT16" i="105"/>
  <c r="AS44" i="105"/>
  <c r="AT15" i="105"/>
  <c r="AT10" i="105"/>
  <c r="AS11" i="105"/>
  <c r="AT23" i="105"/>
  <c r="AS42" i="105"/>
  <c r="AS14" i="105"/>
  <c r="AS15" i="105"/>
  <c r="AU15" i="105" s="1"/>
  <c r="AT8" i="105"/>
  <c r="AT43" i="105"/>
  <c r="AS39" i="105"/>
  <c r="AT27" i="105"/>
  <c r="AS40" i="105"/>
  <c r="AQ78" i="105" s="1"/>
  <c r="AR78" i="105" s="1"/>
  <c r="AT11" i="105"/>
  <c r="AV11" i="105" s="1"/>
  <c r="AS43" i="105"/>
  <c r="AT17" i="105"/>
  <c r="AI72" i="105"/>
  <c r="AA86" i="105" s="1"/>
  <c r="AH72" i="105"/>
  <c r="AA85" i="105" s="1"/>
  <c r="AI73" i="105"/>
  <c r="AA93" i="105" s="1"/>
  <c r="AH73" i="105"/>
  <c r="AA92" i="105" s="1"/>
  <c r="BN44" i="105"/>
  <c r="AT28" i="105"/>
  <c r="AS16" i="105"/>
  <c r="AS17" i="105"/>
  <c r="AT26" i="105"/>
  <c r="AS13" i="105"/>
  <c r="AT9" i="105"/>
  <c r="AS12" i="105"/>
  <c r="AT32" i="105"/>
  <c r="AV32" i="105" s="1"/>
  <c r="AT20" i="105"/>
  <c r="AS30" i="105"/>
  <c r="BB43" i="105" s="1"/>
  <c r="AT13" i="105"/>
  <c r="AT30" i="105"/>
  <c r="AT38" i="105"/>
  <c r="AQ97" i="105" s="1"/>
  <c r="AR97" i="105" s="1"/>
  <c r="AT14" i="105"/>
  <c r="CH28" i="105"/>
  <c r="CH31" i="105"/>
  <c r="CS44" i="105" s="1"/>
  <c r="CI16" i="105"/>
  <c r="CH15" i="105"/>
  <c r="CI17" i="105"/>
  <c r="BN21" i="105"/>
  <c r="BO14" i="105"/>
  <c r="BN28" i="105"/>
  <c r="BN41" i="105"/>
  <c r="BO21" i="105"/>
  <c r="BN25" i="105"/>
  <c r="BT41" i="105" s="1"/>
  <c r="CI27" i="105"/>
  <c r="CH76" i="105"/>
  <c r="CH95" i="105"/>
  <c r="BO42" i="105"/>
  <c r="BN31" i="105"/>
  <c r="BW44" i="105" s="1"/>
  <c r="BN15" i="105"/>
  <c r="BN32" i="105"/>
  <c r="BP32" i="105" s="1"/>
  <c r="BO24" i="105"/>
  <c r="BO29" i="105"/>
  <c r="BN8" i="105"/>
  <c r="BN26" i="105"/>
  <c r="BO16" i="105"/>
  <c r="BO9" i="105"/>
  <c r="BN95" i="105"/>
  <c r="BN76" i="105"/>
  <c r="BN20" i="105"/>
  <c r="BN27" i="105"/>
  <c r="BN18" i="105"/>
  <c r="CH11" i="105"/>
  <c r="CH26" i="105"/>
  <c r="CI39" i="105"/>
  <c r="CI41" i="105"/>
  <c r="CH38" i="105"/>
  <c r="CI42" i="105"/>
  <c r="CH39" i="105"/>
  <c r="CH44" i="105"/>
  <c r="CI38" i="105"/>
  <c r="CI44" i="105"/>
  <c r="CH41" i="105"/>
  <c r="CI40" i="105"/>
  <c r="CH40" i="105"/>
  <c r="CI43" i="105"/>
  <c r="CH43" i="105"/>
  <c r="CH42" i="105"/>
  <c r="CI11" i="105"/>
  <c r="CI8" i="105"/>
  <c r="CH20" i="105"/>
  <c r="CH10" i="105"/>
  <c r="CH21" i="105"/>
  <c r="CI22" i="105"/>
  <c r="CI18" i="105"/>
  <c r="BO17" i="105"/>
  <c r="BO28" i="105"/>
  <c r="BN17" i="105"/>
  <c r="BO20" i="105"/>
  <c r="BO23" i="105"/>
  <c r="BO13" i="105"/>
  <c r="BO10" i="105"/>
  <c r="BN42" i="105"/>
  <c r="BP42" i="105" s="1"/>
  <c r="BO12" i="105"/>
  <c r="BO31" i="105"/>
  <c r="BN40" i="105"/>
  <c r="BO22" i="105"/>
  <c r="BN16" i="105"/>
  <c r="BN10" i="105"/>
  <c r="BP10" i="105" s="1"/>
  <c r="BN13" i="105"/>
  <c r="BO43" i="105"/>
  <c r="BN9" i="105"/>
  <c r="BN22" i="105"/>
  <c r="BO25" i="105"/>
  <c r="AT39" i="105"/>
  <c r="BN11" i="105"/>
  <c r="BN38" i="105"/>
  <c r="AR76" i="105"/>
  <c r="BO32" i="105"/>
  <c r="BQ32" i="105" s="1"/>
  <c r="BN29" i="105"/>
  <c r="BO40" i="105"/>
  <c r="BN14" i="105"/>
  <c r="BO15" i="105"/>
  <c r="BN39" i="105"/>
  <c r="BO18" i="105"/>
  <c r="BN24" i="105"/>
  <c r="BO11" i="105"/>
  <c r="BN43" i="105"/>
  <c r="BO44" i="105"/>
  <c r="BO39" i="105"/>
  <c r="BN30" i="105"/>
  <c r="BO27" i="105"/>
  <c r="BO41" i="105"/>
  <c r="BO30" i="105"/>
  <c r="BB42" i="105"/>
  <c r="BH40" i="105"/>
  <c r="BE40" i="105"/>
  <c r="BB44" i="105"/>
  <c r="AY44" i="105"/>
  <c r="BN23" i="105"/>
  <c r="BN12" i="105"/>
  <c r="BN19" i="105"/>
  <c r="BP19" i="105" s="1"/>
  <c r="BO19" i="105"/>
  <c r="BO26" i="105"/>
  <c r="CH9" i="105"/>
  <c r="CH14" i="105"/>
  <c r="CI10" i="105"/>
  <c r="CH25" i="105"/>
  <c r="CI21" i="105"/>
  <c r="CI32" i="105"/>
  <c r="CK32" i="105" s="1"/>
  <c r="CI24" i="105"/>
  <c r="CI31" i="105"/>
  <c r="CI30" i="105"/>
  <c r="CH16" i="105"/>
  <c r="CH19" i="105"/>
  <c r="CI15" i="105"/>
  <c r="CH30" i="105"/>
  <c r="CI26" i="105"/>
  <c r="CH29" i="105"/>
  <c r="CI25" i="105"/>
  <c r="CH8" i="105"/>
  <c r="CI29" i="105"/>
  <c r="CI12" i="105"/>
  <c r="CH22" i="105"/>
  <c r="CH13" i="105"/>
  <c r="CI9" i="105"/>
  <c r="CH24" i="105"/>
  <c r="CI20" i="105"/>
  <c r="CH23" i="105"/>
  <c r="CI19" i="105"/>
  <c r="CH27" i="105"/>
  <c r="CJ27" i="105" s="1"/>
  <c r="CI23" i="105"/>
  <c r="CH32" i="105"/>
  <c r="CJ32" i="105" s="1"/>
  <c r="CI28" i="105"/>
  <c r="CH18" i="105"/>
  <c r="CI14" i="105"/>
  <c r="CH17" i="105"/>
  <c r="CI13" i="105"/>
  <c r="AV8" i="105"/>
  <c r="AA47" i="105"/>
  <c r="AH39" i="105"/>
  <c r="AA58" i="105" s="1"/>
  <c r="AI39" i="105"/>
  <c r="AA59" i="105" s="1"/>
  <c r="AH38" i="105"/>
  <c r="AA51" i="105" s="1"/>
  <c r="AI38" i="105"/>
  <c r="AA52" i="105" s="1"/>
  <c r="AA15" i="105"/>
  <c r="AI7" i="105"/>
  <c r="AA27" i="105" s="1"/>
  <c r="AH7" i="105"/>
  <c r="AA26" i="105" s="1"/>
  <c r="AH6" i="105"/>
  <c r="AA19" i="105" s="1"/>
  <c r="AI6" i="105"/>
  <c r="AA20" i="105" s="1"/>
  <c r="BB40" i="105" l="1"/>
  <c r="AV21" i="105"/>
  <c r="AU8" i="105"/>
  <c r="AU29" i="105"/>
  <c r="CJ26" i="105"/>
  <c r="CL8" i="105"/>
  <c r="CJ25" i="105"/>
  <c r="AU19" i="105"/>
  <c r="AW38" i="105"/>
  <c r="AV44" i="105"/>
  <c r="AY41" i="105"/>
  <c r="AU10" i="105"/>
  <c r="AV31" i="105"/>
  <c r="AU43" i="105"/>
  <c r="AV38" i="105"/>
  <c r="AU27" i="105"/>
  <c r="AU44" i="105"/>
  <c r="AU39" i="105"/>
  <c r="AU28" i="105"/>
  <c r="AU24" i="105"/>
  <c r="AY40" i="105"/>
  <c r="AU17" i="105"/>
  <c r="AU12" i="105"/>
  <c r="AU16" i="105"/>
  <c r="AU9" i="105"/>
  <c r="AU18" i="105"/>
  <c r="AU23" i="105"/>
  <c r="AU25" i="105"/>
  <c r="AU20" i="105"/>
  <c r="BE41" i="105"/>
  <c r="BF41" i="105" s="1"/>
  <c r="AW8" i="105"/>
  <c r="AV43" i="105"/>
  <c r="AU11" i="105"/>
  <c r="AU42" i="105"/>
  <c r="AU22" i="105"/>
  <c r="AU31" i="105"/>
  <c r="AU13" i="105"/>
  <c r="AU14" i="105"/>
  <c r="AU40" i="105"/>
  <c r="AU38" i="105"/>
  <c r="AU41" i="105"/>
  <c r="AW42" i="105"/>
  <c r="AW39" i="105"/>
  <c r="AW44" i="105"/>
  <c r="AX39" i="105"/>
  <c r="AW43" i="105"/>
  <c r="AW41" i="105"/>
  <c r="AQ81" i="105" s="1"/>
  <c r="AW40" i="105"/>
  <c r="AU26" i="105"/>
  <c r="AV29" i="105"/>
  <c r="AU21" i="105"/>
  <c r="AV26" i="105"/>
  <c r="BE44" i="105"/>
  <c r="BF44" i="105" s="1"/>
  <c r="AV20" i="105"/>
  <c r="AU30" i="105"/>
  <c r="CK28" i="105"/>
  <c r="CK29" i="105"/>
  <c r="BE42" i="105"/>
  <c r="BG42" i="105" s="1"/>
  <c r="AY43" i="105"/>
  <c r="BA43" i="105" s="1"/>
  <c r="AW11" i="105"/>
  <c r="CK20" i="105"/>
  <c r="CK15" i="105"/>
  <c r="BH42" i="105"/>
  <c r="BI42" i="105" s="1"/>
  <c r="BE43" i="105"/>
  <c r="BG43" i="105" s="1"/>
  <c r="AD79" i="105"/>
  <c r="AD45" i="105"/>
  <c r="AD13" i="105"/>
  <c r="BP28" i="105"/>
  <c r="AX27" i="105"/>
  <c r="BH43" i="105"/>
  <c r="BJ43" i="105" s="1"/>
  <c r="AX13" i="105"/>
  <c r="BP44" i="105"/>
  <c r="AW31" i="105"/>
  <c r="AW20" i="105"/>
  <c r="BP12" i="105"/>
  <c r="BP24" i="105"/>
  <c r="BP29" i="105"/>
  <c r="BQ25" i="105"/>
  <c r="BP16" i="105"/>
  <c r="BP18" i="105"/>
  <c r="BP21" i="105"/>
  <c r="BB39" i="105"/>
  <c r="BC39" i="105" s="1"/>
  <c r="AW16" i="105"/>
  <c r="BP17" i="105"/>
  <c r="AW29" i="105"/>
  <c r="AW24" i="105"/>
  <c r="AY39" i="105"/>
  <c r="BA39" i="105" s="1"/>
  <c r="BP39" i="105"/>
  <c r="BP9" i="105"/>
  <c r="BP40" i="105"/>
  <c r="BP20" i="105"/>
  <c r="AV30" i="105"/>
  <c r="BP26" i="105"/>
  <c r="AW28" i="105"/>
  <c r="AW14" i="105"/>
  <c r="AW19" i="105"/>
  <c r="CJ28" i="105"/>
  <c r="AV13" i="105"/>
  <c r="AW17" i="105"/>
  <c r="BP23" i="105"/>
  <c r="AW15" i="105"/>
  <c r="AW26" i="105"/>
  <c r="AW10" i="105"/>
  <c r="AY38" i="105"/>
  <c r="BA38" i="105" s="1"/>
  <c r="BP11" i="105"/>
  <c r="BP13" i="105"/>
  <c r="CK13" i="105"/>
  <c r="CK23" i="105"/>
  <c r="CK9" i="105"/>
  <c r="BP31" i="105"/>
  <c r="BQ24" i="105"/>
  <c r="BW41" i="105"/>
  <c r="BY41" i="105" s="1"/>
  <c r="BP41" i="105"/>
  <c r="BM97" i="105"/>
  <c r="BN97" i="105" s="1"/>
  <c r="AV27" i="105"/>
  <c r="AX15" i="105"/>
  <c r="AV10" i="105"/>
  <c r="AX38" i="105"/>
  <c r="AV25" i="105"/>
  <c r="AV12" i="105"/>
  <c r="AW12" i="105"/>
  <c r="AW23" i="105"/>
  <c r="AV28" i="105"/>
  <c r="AW22" i="105"/>
  <c r="AV18" i="105"/>
  <c r="BB38" i="105"/>
  <c r="BC38" i="105" s="1"/>
  <c r="BE39" i="105"/>
  <c r="BG39" i="105" s="1"/>
  <c r="AV42" i="105"/>
  <c r="AV41" i="105"/>
  <c r="AV16" i="105"/>
  <c r="AX17" i="105"/>
  <c r="AW9" i="105"/>
  <c r="AX43" i="105"/>
  <c r="AX42" i="105"/>
  <c r="AV24" i="105"/>
  <c r="AW13" i="105"/>
  <c r="AV23" i="105"/>
  <c r="AV9" i="105"/>
  <c r="BH39" i="105"/>
  <c r="BJ39" i="105" s="1"/>
  <c r="AV15" i="105"/>
  <c r="AW25" i="105"/>
  <c r="AW30" i="105"/>
  <c r="AW21" i="105"/>
  <c r="AX40" i="105"/>
  <c r="AX18" i="105"/>
  <c r="AW18" i="105"/>
  <c r="AW27" i="105"/>
  <c r="AV17" i="105"/>
  <c r="AV19" i="105"/>
  <c r="AX12" i="105"/>
  <c r="AV22" i="105"/>
  <c r="AV40" i="105"/>
  <c r="AQ79" i="105"/>
  <c r="AR79" i="105" s="1"/>
  <c r="AX26" i="105"/>
  <c r="AV14" i="105"/>
  <c r="AX24" i="105"/>
  <c r="AX21" i="105"/>
  <c r="AX23" i="105"/>
  <c r="AX28" i="105"/>
  <c r="AX10" i="105"/>
  <c r="AX16" i="105"/>
  <c r="AX31" i="105"/>
  <c r="AX25" i="105"/>
  <c r="AX19" i="105"/>
  <c r="AX30" i="105"/>
  <c r="AX9" i="105"/>
  <c r="AX11" i="105"/>
  <c r="AX8" i="105"/>
  <c r="BE38" i="105"/>
  <c r="BF38" i="105" s="1"/>
  <c r="AX20" i="105"/>
  <c r="BH38" i="105"/>
  <c r="BJ38" i="105" s="1"/>
  <c r="AX22" i="105"/>
  <c r="AX14" i="105"/>
  <c r="AX29" i="105"/>
  <c r="CJ21" i="105"/>
  <c r="CG97" i="105"/>
  <c r="CH97" i="105" s="1"/>
  <c r="CP44" i="105"/>
  <c r="CQ44" i="105" s="1"/>
  <c r="CK10" i="105"/>
  <c r="CK14" i="105"/>
  <c r="CK19" i="105"/>
  <c r="CJ15" i="105"/>
  <c r="CK17" i="105"/>
  <c r="CU44" i="105"/>
  <c r="CK12" i="105"/>
  <c r="CK24" i="105"/>
  <c r="CJ24" i="105"/>
  <c r="CJ19" i="105"/>
  <c r="CK21" i="105"/>
  <c r="CK16" i="105"/>
  <c r="CK11" i="105"/>
  <c r="AQ89" i="105"/>
  <c r="AR89" i="105" s="1"/>
  <c r="CJ17" i="105"/>
  <c r="CJ29" i="105"/>
  <c r="CK30" i="105"/>
  <c r="CJ18" i="105"/>
  <c r="CJ23" i="105"/>
  <c r="CJ30" i="105"/>
  <c r="CJ9" i="105"/>
  <c r="BU41" i="105"/>
  <c r="BV41" i="105"/>
  <c r="CY39" i="105"/>
  <c r="DA39" i="105" s="1"/>
  <c r="CT44" i="105"/>
  <c r="CS38" i="105"/>
  <c r="CU38" i="105" s="1"/>
  <c r="CJ8" i="105"/>
  <c r="CP38" i="105"/>
  <c r="CR38" i="105" s="1"/>
  <c r="CJ10" i="105"/>
  <c r="CV41" i="105"/>
  <c r="CX41" i="105" s="1"/>
  <c r="CY41" i="105"/>
  <c r="DA41" i="105" s="1"/>
  <c r="CJ16" i="105"/>
  <c r="CP39" i="105"/>
  <c r="CR39" i="105" s="1"/>
  <c r="CS39" i="105"/>
  <c r="CU39" i="105" s="1"/>
  <c r="CS41" i="105"/>
  <c r="CU41" i="105" s="1"/>
  <c r="CP41" i="105"/>
  <c r="CR41" i="105" s="1"/>
  <c r="CJ20" i="105"/>
  <c r="BP15" i="105"/>
  <c r="CV40" i="105"/>
  <c r="CX40" i="105" s="1"/>
  <c r="CY40" i="105"/>
  <c r="DA40" i="105" s="1"/>
  <c r="CK22" i="105"/>
  <c r="CG78" i="105"/>
  <c r="CH78" i="105" s="1"/>
  <c r="CS43" i="105"/>
  <c r="CU43" i="105" s="1"/>
  <c r="CP43" i="105"/>
  <c r="CR43" i="105" s="1"/>
  <c r="CJ13" i="105"/>
  <c r="CV38" i="105"/>
  <c r="CX38" i="105" s="1"/>
  <c r="CK8" i="105"/>
  <c r="CY38" i="105"/>
  <c r="DA38" i="105" s="1"/>
  <c r="CP42" i="105"/>
  <c r="CR42" i="105" s="1"/>
  <c r="CS42" i="105"/>
  <c r="CU42" i="105" s="1"/>
  <c r="BX44" i="105"/>
  <c r="BY44" i="105"/>
  <c r="CY43" i="105"/>
  <c r="DA43" i="105" s="1"/>
  <c r="CK27" i="105"/>
  <c r="CV43" i="105"/>
  <c r="CX43" i="105" s="1"/>
  <c r="CJ12" i="105"/>
  <c r="CJ22" i="105"/>
  <c r="CP40" i="105"/>
  <c r="CR40" i="105" s="1"/>
  <c r="CS40" i="105"/>
  <c r="CU40" i="105" s="1"/>
  <c r="CY42" i="105"/>
  <c r="DA42" i="105" s="1"/>
  <c r="CV42" i="105"/>
  <c r="CX42" i="105" s="1"/>
  <c r="CV44" i="105"/>
  <c r="CX44" i="105" s="1"/>
  <c r="CY44" i="105"/>
  <c r="DA44" i="105" s="1"/>
  <c r="CJ14" i="105"/>
  <c r="CK18" i="105"/>
  <c r="BP25" i="105"/>
  <c r="CJ11" i="105"/>
  <c r="BT44" i="105"/>
  <c r="CV39" i="105"/>
  <c r="CX39" i="105" s="1"/>
  <c r="BQ18" i="105"/>
  <c r="BQ21" i="105"/>
  <c r="BQ44" i="105"/>
  <c r="BQ20" i="105"/>
  <c r="BQ30" i="105"/>
  <c r="BS41" i="105"/>
  <c r="BR31" i="105"/>
  <c r="BQ11" i="105"/>
  <c r="CC38" i="105"/>
  <c r="BR11" i="105"/>
  <c r="BS40" i="105"/>
  <c r="BZ43" i="105"/>
  <c r="CA43" i="105" s="1"/>
  <c r="CC43" i="105"/>
  <c r="CD43" i="105" s="1"/>
  <c r="CC41" i="105"/>
  <c r="CD41" i="105" s="1"/>
  <c r="BZ41" i="105"/>
  <c r="CA41" i="105" s="1"/>
  <c r="BT39" i="105"/>
  <c r="BW39" i="105"/>
  <c r="BZ39" i="105"/>
  <c r="CA39" i="105" s="1"/>
  <c r="CC39" i="105"/>
  <c r="CD39" i="105" s="1"/>
  <c r="BP8" i="105"/>
  <c r="BW40" i="105"/>
  <c r="BT40" i="105"/>
  <c r="CC40" i="105"/>
  <c r="CD40" i="105" s="1"/>
  <c r="BZ40" i="105"/>
  <c r="CA40" i="105" s="1"/>
  <c r="BW42" i="105"/>
  <c r="BT42" i="105"/>
  <c r="BS38" i="105"/>
  <c r="BT38" i="105"/>
  <c r="BS43" i="105"/>
  <c r="BS39" i="105"/>
  <c r="BQ26" i="105"/>
  <c r="CC42" i="105"/>
  <c r="CD42" i="105" s="1"/>
  <c r="BZ42" i="105"/>
  <c r="CA42" i="105" s="1"/>
  <c r="BP38" i="105"/>
  <c r="BM78" i="105"/>
  <c r="BN78" i="105" s="1"/>
  <c r="BS31" i="105"/>
  <c r="CC44" i="105"/>
  <c r="CD44" i="105" s="1"/>
  <c r="BZ44" i="105"/>
  <c r="CA44" i="105" s="1"/>
  <c r="BT43" i="105"/>
  <c r="BW43" i="105"/>
  <c r="BP27" i="105"/>
  <c r="BQ12" i="105"/>
  <c r="BS44" i="105"/>
  <c r="BR42" i="105"/>
  <c r="AX41" i="105"/>
  <c r="BR40" i="105"/>
  <c r="BR18" i="105"/>
  <c r="BR20" i="105"/>
  <c r="BS42" i="105"/>
  <c r="BR41" i="105"/>
  <c r="BR16" i="105"/>
  <c r="BR14" i="105"/>
  <c r="BR25" i="105"/>
  <c r="BR28" i="105"/>
  <c r="BR43" i="105"/>
  <c r="AV39" i="105"/>
  <c r="AX44" i="105"/>
  <c r="CO19" i="105"/>
  <c r="BR30" i="105"/>
  <c r="BR13" i="105"/>
  <c r="BQ22" i="105"/>
  <c r="BQ13" i="105"/>
  <c r="BR9" i="105"/>
  <c r="BR10" i="105"/>
  <c r="BR29" i="105"/>
  <c r="BQ41" i="105"/>
  <c r="BQ40" i="105"/>
  <c r="BP22" i="105"/>
  <c r="BQ31" i="105"/>
  <c r="BS15" i="105"/>
  <c r="BR15" i="105"/>
  <c r="BR22" i="105"/>
  <c r="BR23" i="105"/>
  <c r="BR27" i="105"/>
  <c r="BR17" i="105"/>
  <c r="CN41" i="105"/>
  <c r="BR19" i="105"/>
  <c r="BR39" i="105"/>
  <c r="BP43" i="105"/>
  <c r="BR24" i="105"/>
  <c r="BQ10" i="105"/>
  <c r="CN14" i="105"/>
  <c r="BQ39" i="105"/>
  <c r="CN17" i="105"/>
  <c r="BP30" i="105"/>
  <c r="BQ14" i="105"/>
  <c r="BR21" i="105"/>
  <c r="BR8" i="105"/>
  <c r="BP14" i="105"/>
  <c r="BQ9" i="105"/>
  <c r="BQ28" i="105"/>
  <c r="BQ15" i="105"/>
  <c r="BS10" i="105"/>
  <c r="BS22" i="105"/>
  <c r="BR12" i="105"/>
  <c r="BQ17" i="105"/>
  <c r="BQ29" i="105"/>
  <c r="BQ43" i="105"/>
  <c r="BQ27" i="105"/>
  <c r="BS11" i="105"/>
  <c r="BQ23" i="105"/>
  <c r="BR38" i="105"/>
  <c r="BR26" i="105"/>
  <c r="BR44" i="105"/>
  <c r="BQ42" i="105"/>
  <c r="BQ16" i="105"/>
  <c r="BA44" i="105"/>
  <c r="AZ44" i="105"/>
  <c r="BA41" i="105"/>
  <c r="AZ41" i="105"/>
  <c r="BG41" i="105"/>
  <c r="BD44" i="105"/>
  <c r="BC44" i="105"/>
  <c r="BD41" i="105"/>
  <c r="BC41" i="105"/>
  <c r="BI41" i="105"/>
  <c r="BJ41" i="105"/>
  <c r="BJ42" i="105"/>
  <c r="BG40" i="105"/>
  <c r="BF40" i="105"/>
  <c r="BA40" i="105"/>
  <c r="AZ40" i="105"/>
  <c r="BA42" i="105"/>
  <c r="AZ42" i="105"/>
  <c r="BJ40" i="105"/>
  <c r="BI40" i="105"/>
  <c r="BC40" i="105"/>
  <c r="BD40" i="105"/>
  <c r="BD42" i="105"/>
  <c r="BC42" i="105"/>
  <c r="AQ104" i="105"/>
  <c r="AR104" i="105" s="1"/>
  <c r="BJ44" i="105"/>
  <c r="BI44" i="105"/>
  <c r="AQ108" i="105"/>
  <c r="AR108" i="105" s="1"/>
  <c r="BD43" i="105"/>
  <c r="BC43" i="105"/>
  <c r="CL43" i="105"/>
  <c r="CL9" i="105"/>
  <c r="CN30" i="105"/>
  <c r="CL40" i="105"/>
  <c r="BQ19" i="105"/>
  <c r="BS16" i="105"/>
  <c r="CM17" i="105"/>
  <c r="CM29" i="105"/>
  <c r="BS14" i="105"/>
  <c r="BS20" i="105"/>
  <c r="BS18" i="105"/>
  <c r="BS28" i="105"/>
  <c r="BS21" i="105"/>
  <c r="BS30" i="105"/>
  <c r="BS13" i="105"/>
  <c r="BS27" i="105"/>
  <c r="BS12" i="105"/>
  <c r="BS29" i="105"/>
  <c r="BS9" i="105"/>
  <c r="BS25" i="105"/>
  <c r="BS17" i="105"/>
  <c r="BS23" i="105"/>
  <c r="BS19" i="105"/>
  <c r="BS26" i="105"/>
  <c r="BS24" i="105"/>
  <c r="CL44" i="105"/>
  <c r="CL31" i="105"/>
  <c r="CM42" i="105"/>
  <c r="CO39" i="105"/>
  <c r="CK40" i="105"/>
  <c r="CM41" i="105"/>
  <c r="CO38" i="105"/>
  <c r="CL38" i="105"/>
  <c r="CO20" i="105"/>
  <c r="CO12" i="105"/>
  <c r="CN40" i="105"/>
  <c r="CN16" i="105"/>
  <c r="CM39" i="105"/>
  <c r="CO44" i="105"/>
  <c r="CK41" i="105"/>
  <c r="CJ39" i="105"/>
  <c r="CO41" i="105"/>
  <c r="CM38" i="105"/>
  <c r="CO17" i="105"/>
  <c r="CO13" i="105"/>
  <c r="CL41" i="105"/>
  <c r="CK31" i="105"/>
  <c r="CM44" i="105"/>
  <c r="CO18" i="105"/>
  <c r="CK38" i="105"/>
  <c r="CO40" i="105"/>
  <c r="CO23" i="105"/>
  <c r="CO43" i="105"/>
  <c r="CO26" i="105"/>
  <c r="CO16" i="105"/>
  <c r="CO31" i="105"/>
  <c r="CO21" i="105"/>
  <c r="CL20" i="105"/>
  <c r="CO15" i="105"/>
  <c r="CO30" i="105"/>
  <c r="CO11" i="105"/>
  <c r="CK42" i="105"/>
  <c r="CM12" i="105"/>
  <c r="CM8" i="105"/>
  <c r="CM22" i="105"/>
  <c r="CM43" i="105"/>
  <c r="CN18" i="105"/>
  <c r="CM26" i="105"/>
  <c r="CK25" i="105"/>
  <c r="CL25" i="105"/>
  <c r="CL42" i="105"/>
  <c r="CO27" i="105"/>
  <c r="CK39" i="105"/>
  <c r="CL18" i="105"/>
  <c r="CM23" i="105"/>
  <c r="CM24" i="105"/>
  <c r="CL28" i="105"/>
  <c r="CM31" i="105"/>
  <c r="CO10" i="105"/>
  <c r="CO42" i="105"/>
  <c r="CM40" i="105"/>
  <c r="CO8" i="105"/>
  <c r="CO22" i="105"/>
  <c r="CO28" i="105"/>
  <c r="CL39" i="105"/>
  <c r="CK26" i="105"/>
  <c r="CO25" i="105"/>
  <c r="CO24" i="105"/>
  <c r="CN28" i="105"/>
  <c r="CK43" i="105"/>
  <c r="CL12" i="105"/>
  <c r="CN31" i="105"/>
  <c r="CL13" i="105"/>
  <c r="CO29" i="105"/>
  <c r="CN25" i="105"/>
  <c r="CM27" i="105"/>
  <c r="CL23" i="105"/>
  <c r="CL24" i="105"/>
  <c r="CN39" i="105"/>
  <c r="CL14" i="105"/>
  <c r="CN9" i="105"/>
  <c r="CN43" i="105"/>
  <c r="CL15" i="105"/>
  <c r="CL11" i="105"/>
  <c r="CN12" i="105"/>
  <c r="CN26" i="105"/>
  <c r="CM30" i="105"/>
  <c r="CM13" i="105"/>
  <c r="CM14" i="105"/>
  <c r="CM28" i="105"/>
  <c r="CL27" i="105"/>
  <c r="CJ31" i="105"/>
  <c r="CN23" i="105"/>
  <c r="CN24" i="105"/>
  <c r="CN13" i="105"/>
  <c r="CL19" i="105"/>
  <c r="CM16" i="105"/>
  <c r="CL29" i="105"/>
  <c r="CM15" i="105"/>
  <c r="CN42" i="105"/>
  <c r="CN15" i="105"/>
  <c r="CJ42" i="105"/>
  <c r="AQ85" i="105"/>
  <c r="AR85" i="105" s="1"/>
  <c r="CJ44" i="105"/>
  <c r="CJ38" i="105"/>
  <c r="CK44" i="105"/>
  <c r="CN11" i="105"/>
  <c r="CL26" i="105"/>
  <c r="CO14" i="105"/>
  <c r="CM20" i="105"/>
  <c r="CN29" i="105"/>
  <c r="CL10" i="105"/>
  <c r="CN21" i="105"/>
  <c r="CM19" i="105"/>
  <c r="CM9" i="105"/>
  <c r="CL22" i="105"/>
  <c r="CN8" i="105"/>
  <c r="CM21" i="105"/>
  <c r="CM10" i="105"/>
  <c r="CM18" i="105"/>
  <c r="CN20" i="105"/>
  <c r="CJ43" i="105"/>
  <c r="CJ41" i="105"/>
  <c r="CL21" i="105"/>
  <c r="CN44" i="105"/>
  <c r="CN27" i="105"/>
  <c r="CN19" i="105"/>
  <c r="CN10" i="105"/>
  <c r="CM11" i="105"/>
  <c r="CL17" i="105"/>
  <c r="CN38" i="105"/>
  <c r="CO9" i="105"/>
  <c r="CN22" i="105"/>
  <c r="CM25" i="105"/>
  <c r="CL30" i="105"/>
  <c r="CL16" i="105"/>
  <c r="CJ40" i="105"/>
  <c r="AQ98" i="105" l="1"/>
  <c r="AR98" i="105" s="1"/>
  <c r="BD38" i="105"/>
  <c r="BI43" i="105"/>
  <c r="BG44" i="105"/>
  <c r="BF43" i="105"/>
  <c r="BF42" i="105"/>
  <c r="AQ100" i="105"/>
  <c r="AZ38" i="105"/>
  <c r="AQ84" i="105" s="1"/>
  <c r="BF39" i="105"/>
  <c r="AZ43" i="105"/>
  <c r="CR44" i="105"/>
  <c r="AV88" i="105"/>
  <c r="BD39" i="105"/>
  <c r="BI39" i="105"/>
  <c r="BM100" i="105"/>
  <c r="BX41" i="105"/>
  <c r="BI38" i="105"/>
  <c r="AQ90" i="105"/>
  <c r="AR90" i="105" s="1"/>
  <c r="AZ39" i="105"/>
  <c r="BG38" i="105"/>
  <c r="AQ105" i="105" s="1"/>
  <c r="AR105" i="105" s="1"/>
  <c r="BM81" i="105"/>
  <c r="CG79" i="105"/>
  <c r="CH79" i="105" s="1"/>
  <c r="BM79" i="105"/>
  <c r="BN79" i="105" s="1"/>
  <c r="BM98" i="105"/>
  <c r="BN98" i="105" s="1"/>
  <c r="BM108" i="105"/>
  <c r="BN108" i="105" s="1"/>
  <c r="BM104" i="105"/>
  <c r="BN104" i="105" s="1"/>
  <c r="BM103" i="105"/>
  <c r="AQ107" i="105"/>
  <c r="AV107" i="105"/>
  <c r="AQ103" i="105"/>
  <c r="CG100" i="105"/>
  <c r="AQ109" i="105"/>
  <c r="AR109" i="105" s="1"/>
  <c r="AQ88" i="105"/>
  <c r="CG98" i="105"/>
  <c r="CH98" i="105" s="1"/>
  <c r="BU43" i="105"/>
  <c r="BV43" i="105"/>
  <c r="BY38" i="105"/>
  <c r="BM90" i="105" s="1"/>
  <c r="BN90" i="105" s="1"/>
  <c r="BM89" i="105"/>
  <c r="BN89" i="105" s="1"/>
  <c r="BV40" i="105"/>
  <c r="BU40" i="105"/>
  <c r="BV39" i="105"/>
  <c r="BU39" i="105"/>
  <c r="BV44" i="105"/>
  <c r="BU44" i="105"/>
  <c r="CW44" i="105"/>
  <c r="CG109" i="105"/>
  <c r="CH109" i="105" s="1"/>
  <c r="CZ38" i="105"/>
  <c r="CG108" i="105"/>
  <c r="CH108" i="105" s="1"/>
  <c r="CT43" i="105"/>
  <c r="CQ39" i="105"/>
  <c r="CZ39" i="105"/>
  <c r="BX40" i="105"/>
  <c r="BY40" i="105"/>
  <c r="CW42" i="105"/>
  <c r="CZ43" i="105"/>
  <c r="CQ38" i="105"/>
  <c r="CG85" i="105"/>
  <c r="CH85" i="105" s="1"/>
  <c r="BV42" i="105"/>
  <c r="BU42" i="105"/>
  <c r="CZ42" i="105"/>
  <c r="CW38" i="105"/>
  <c r="CG104" i="105"/>
  <c r="CH104" i="105" s="1"/>
  <c r="CZ41" i="105"/>
  <c r="BY42" i="105"/>
  <c r="BX42" i="105"/>
  <c r="CW39" i="105"/>
  <c r="CT40" i="105"/>
  <c r="CQ41" i="105"/>
  <c r="CW41" i="105"/>
  <c r="CT38" i="105"/>
  <c r="CG89" i="105"/>
  <c r="CH89" i="105" s="1"/>
  <c r="BM107" i="105"/>
  <c r="CD38" i="105"/>
  <c r="CQ40" i="105"/>
  <c r="CT42" i="105"/>
  <c r="CQ43" i="105"/>
  <c r="CZ40" i="105"/>
  <c r="CT41" i="105"/>
  <c r="CG81" i="105"/>
  <c r="BX43" i="105"/>
  <c r="BY43" i="105"/>
  <c r="BV38" i="105"/>
  <c r="BU38" i="105"/>
  <c r="BM85" i="105"/>
  <c r="BN85" i="105" s="1"/>
  <c r="BX39" i="105"/>
  <c r="BY39" i="105"/>
  <c r="CZ44" i="105"/>
  <c r="CW43" i="105"/>
  <c r="CQ42" i="105"/>
  <c r="CW40" i="105"/>
  <c r="CT39" i="105"/>
  <c r="CE38" i="105"/>
  <c r="CB43" i="105"/>
  <c r="CE44" i="105"/>
  <c r="CB41" i="105"/>
  <c r="CE41" i="105"/>
  <c r="CE39" i="105"/>
  <c r="CE43" i="105"/>
  <c r="CB42" i="105"/>
  <c r="CB40" i="105"/>
  <c r="CB39" i="105"/>
  <c r="CB44" i="105"/>
  <c r="CE42" i="105"/>
  <c r="CE40" i="105"/>
  <c r="AQ86" i="105"/>
  <c r="AR86" i="105" s="1"/>
  <c r="BM84" i="105" l="1"/>
  <c r="CL88" i="105"/>
  <c r="BR88" i="105"/>
  <c r="BR107" i="105"/>
  <c r="BM88" i="105"/>
  <c r="CG84" i="105"/>
  <c r="CG103" i="105"/>
  <c r="BM109" i="105"/>
  <c r="BN109" i="105" s="1"/>
  <c r="CL107" i="105"/>
  <c r="AV100" i="105"/>
  <c r="AW112" i="105" s="1"/>
  <c r="AV82" i="105"/>
  <c r="AW92" i="105" s="1"/>
  <c r="CG90" i="105"/>
  <c r="CH90" i="105" s="1"/>
  <c r="CG88" i="105"/>
  <c r="CG107" i="105"/>
  <c r="CG105" i="105"/>
  <c r="CH105" i="105" s="1"/>
  <c r="CG86" i="105"/>
  <c r="CH86" i="105" s="1"/>
  <c r="BM86" i="105"/>
  <c r="BN86" i="105" s="1"/>
  <c r="BM105" i="105"/>
  <c r="BN105" i="105" s="1"/>
  <c r="BR82" i="105" l="1"/>
  <c r="BS92" i="105" s="1"/>
  <c r="CL100" i="105"/>
  <c r="CM112" i="105" s="1"/>
  <c r="CL82" i="105"/>
  <c r="CM92" i="105" s="1"/>
  <c r="BR100" i="105"/>
  <c r="BS112" i="105" l="1"/>
  <c r="Y92" i="74"/>
  <c r="R92" i="74"/>
  <c r="AQ4" i="94"/>
  <c r="AP4" i="94"/>
  <c r="AO4" i="94"/>
  <c r="AN4" i="94"/>
  <c r="AM4" i="94"/>
  <c r="AL4" i="94"/>
  <c r="AK4" i="94"/>
  <c r="AJ4" i="94"/>
  <c r="AI4" i="94"/>
  <c r="AH4" i="94"/>
  <c r="AG4" i="94"/>
  <c r="O10" i="35" l="1"/>
  <c r="N10" i="35"/>
  <c r="P10" i="35" s="1"/>
  <c r="O9" i="35"/>
  <c r="N9" i="35"/>
  <c r="O8" i="35"/>
  <c r="N8" i="35"/>
  <c r="P8" i="35" s="1"/>
  <c r="O7" i="35"/>
  <c r="N7" i="35"/>
  <c r="P7" i="35" s="1"/>
  <c r="O6" i="35"/>
  <c r="N6" i="35"/>
  <c r="O10" i="55"/>
  <c r="N10" i="55"/>
  <c r="O9" i="55"/>
  <c r="P9" i="55" s="1"/>
  <c r="N9" i="55"/>
  <c r="O8" i="55"/>
  <c r="N8" i="55"/>
  <c r="O7" i="55"/>
  <c r="N7" i="55"/>
  <c r="O6" i="55"/>
  <c r="P6" i="55" s="1"/>
  <c r="N6" i="55"/>
  <c r="N7" i="5"/>
  <c r="O7" i="5"/>
  <c r="N8" i="5"/>
  <c r="O8" i="5"/>
  <c r="N9" i="5"/>
  <c r="O9" i="5"/>
  <c r="N10" i="5"/>
  <c r="O10" i="5"/>
  <c r="O6" i="5"/>
  <c r="N21" i="43"/>
  <c r="N20" i="43"/>
  <c r="O19" i="43"/>
  <c r="P20" i="43" s="1"/>
  <c r="M20" i="48"/>
  <c r="N19" i="48"/>
  <c r="O19" i="48"/>
  <c r="M18" i="48"/>
  <c r="P6" i="56"/>
  <c r="O24" i="56"/>
  <c r="P24" i="56" s="1"/>
  <c r="O30" i="34"/>
  <c r="O11" i="34"/>
  <c r="O12" i="34"/>
  <c r="O13" i="34"/>
  <c r="O14" i="34"/>
  <c r="O15" i="34"/>
  <c r="O16" i="34"/>
  <c r="O17" i="34"/>
  <c r="O18" i="34"/>
  <c r="O19" i="34"/>
  <c r="O20" i="34"/>
  <c r="O21" i="34"/>
  <c r="O22" i="34"/>
  <c r="O23" i="34"/>
  <c r="O24" i="34"/>
  <c r="O25" i="34"/>
  <c r="O26" i="34"/>
  <c r="O27" i="34"/>
  <c r="O28" i="34"/>
  <c r="O29" i="34"/>
  <c r="O9" i="34"/>
  <c r="O8" i="34"/>
  <c r="O10" i="34"/>
  <c r="Z20" i="2"/>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Q23" i="16"/>
  <c r="P23" i="16"/>
  <c r="O23" i="16"/>
  <c r="N23"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Q21" i="16"/>
  <c r="P21" i="16"/>
  <c r="O21" i="16"/>
  <c r="N21" i="16"/>
  <c r="AV20" i="16"/>
  <c r="AU20" i="16"/>
  <c r="AT20" i="16"/>
  <c r="AS20" i="16"/>
  <c r="AR20" i="16"/>
  <c r="AQ20" i="16"/>
  <c r="AP20" i="16"/>
  <c r="AO20" i="16"/>
  <c r="AN20" i="16"/>
  <c r="AM20" i="16"/>
  <c r="AL20" i="16"/>
  <c r="AK20" i="16"/>
  <c r="AJ20" i="16"/>
  <c r="AI20" i="16"/>
  <c r="AH20" i="16"/>
  <c r="AG20" i="16"/>
  <c r="AF20" i="16"/>
  <c r="AE20" i="16"/>
  <c r="AD20" i="16"/>
  <c r="AC20" i="16"/>
  <c r="AB20" i="16"/>
  <c r="AA20" i="16"/>
  <c r="Z20" i="16"/>
  <c r="Y20" i="16"/>
  <c r="X20" i="16"/>
  <c r="W20" i="16"/>
  <c r="V20" i="16"/>
  <c r="U20" i="16"/>
  <c r="T20" i="16"/>
  <c r="S20" i="16"/>
  <c r="R20" i="16"/>
  <c r="Q20" i="16"/>
  <c r="P20" i="16"/>
  <c r="O20" i="16"/>
  <c r="N20" i="16"/>
  <c r="AV19" i="16"/>
  <c r="AU19" i="16"/>
  <c r="AT19" i="16"/>
  <c r="AS19" i="16"/>
  <c r="AR19" i="16"/>
  <c r="AQ19" i="16"/>
  <c r="AP19" i="16"/>
  <c r="AO19" i="16"/>
  <c r="AN19" i="16"/>
  <c r="AM19" i="16"/>
  <c r="AL19" i="16"/>
  <c r="AK19" i="16"/>
  <c r="AJ19" i="16"/>
  <c r="AI19" i="16"/>
  <c r="AH19" i="16"/>
  <c r="AG19" i="16"/>
  <c r="AF19" i="16"/>
  <c r="AE19" i="16"/>
  <c r="AD19" i="16"/>
  <c r="AC19" i="16"/>
  <c r="AB19" i="16"/>
  <c r="AA19" i="16"/>
  <c r="Z19" i="16"/>
  <c r="Y19" i="16"/>
  <c r="X19" i="16"/>
  <c r="W19" i="16"/>
  <c r="V19" i="16"/>
  <c r="U19" i="16"/>
  <c r="T19" i="16"/>
  <c r="S19" i="16"/>
  <c r="R19" i="16"/>
  <c r="Q19" i="16"/>
  <c r="P19" i="16"/>
  <c r="O19" i="16"/>
  <c r="N19" i="16"/>
  <c r="AV18" i="16"/>
  <c r="AU18" i="16"/>
  <c r="AT18" i="16"/>
  <c r="AS18" i="16"/>
  <c r="AR18" i="16"/>
  <c r="AQ18" i="16"/>
  <c r="AP18" i="16"/>
  <c r="AO18" i="16"/>
  <c r="AN18" i="16"/>
  <c r="AM18" i="16"/>
  <c r="AL18" i="16"/>
  <c r="AK18" i="16"/>
  <c r="AJ18" i="16"/>
  <c r="AI18" i="16"/>
  <c r="AH18" i="16"/>
  <c r="AG18" i="16"/>
  <c r="AF18" i="16"/>
  <c r="AE18" i="16"/>
  <c r="AD18" i="16"/>
  <c r="AC18" i="16"/>
  <c r="AB18" i="16"/>
  <c r="AA18" i="16"/>
  <c r="Z18" i="16"/>
  <c r="Y18" i="16"/>
  <c r="X18" i="16"/>
  <c r="W18" i="16"/>
  <c r="V18" i="16"/>
  <c r="U18" i="16"/>
  <c r="T18" i="16"/>
  <c r="S18" i="16"/>
  <c r="R18" i="16"/>
  <c r="Q18" i="16"/>
  <c r="P18" i="16"/>
  <c r="O18" i="16"/>
  <c r="N18" i="16"/>
  <c r="AV17" i="16"/>
  <c r="AU17" i="16"/>
  <c r="AT17" i="16"/>
  <c r="AS17" i="16"/>
  <c r="AR17" i="16"/>
  <c r="AQ17" i="16"/>
  <c r="AP17" i="16"/>
  <c r="AO17" i="16"/>
  <c r="AN17" i="16"/>
  <c r="AM17" i="16"/>
  <c r="AL17" i="16"/>
  <c r="AK17" i="16"/>
  <c r="AJ17" i="16"/>
  <c r="AI17" i="16"/>
  <c r="AH17" i="16"/>
  <c r="AG17" i="16"/>
  <c r="AF17" i="16"/>
  <c r="AE17" i="16"/>
  <c r="AD17" i="16"/>
  <c r="AC17" i="16"/>
  <c r="AB17" i="16"/>
  <c r="AA17" i="16"/>
  <c r="Z17" i="16"/>
  <c r="Y17" i="16"/>
  <c r="X17" i="16"/>
  <c r="W17" i="16"/>
  <c r="V17" i="16"/>
  <c r="U17" i="16"/>
  <c r="T17" i="16"/>
  <c r="S17" i="16"/>
  <c r="R17" i="16"/>
  <c r="Q17" i="16"/>
  <c r="P17" i="16"/>
  <c r="O17" i="16"/>
  <c r="N17" i="16"/>
  <c r="AV16" i="16"/>
  <c r="AU16" i="16"/>
  <c r="AT16" i="16"/>
  <c r="AS16" i="16"/>
  <c r="AR16" i="16"/>
  <c r="AQ16" i="16"/>
  <c r="AP16" i="16"/>
  <c r="AO16" i="16"/>
  <c r="AN16" i="16"/>
  <c r="AM16" i="16"/>
  <c r="AL16" i="16"/>
  <c r="AK16" i="16"/>
  <c r="AJ16" i="16"/>
  <c r="AI16" i="16"/>
  <c r="AH16" i="16"/>
  <c r="AG16" i="16"/>
  <c r="AF16" i="16"/>
  <c r="AE16" i="16"/>
  <c r="AD16" i="16"/>
  <c r="AC16" i="16"/>
  <c r="AB16" i="16"/>
  <c r="AA16" i="16"/>
  <c r="Z16" i="16"/>
  <c r="Y16" i="16"/>
  <c r="X16" i="16"/>
  <c r="W16" i="16"/>
  <c r="V16" i="16"/>
  <c r="U16" i="16"/>
  <c r="T16" i="16"/>
  <c r="S16" i="16"/>
  <c r="R16" i="16"/>
  <c r="Q16" i="16"/>
  <c r="P16" i="16"/>
  <c r="O16" i="16"/>
  <c r="N16"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AV14" i="16"/>
  <c r="AU14" i="16"/>
  <c r="AT14" i="16"/>
  <c r="AS14" i="16"/>
  <c r="AR14" i="16"/>
  <c r="AQ14" i="16"/>
  <c r="AP14" i="16"/>
  <c r="AO14" i="16"/>
  <c r="AN14" i="16"/>
  <c r="AM14" i="16"/>
  <c r="AL14" i="16"/>
  <c r="AK14" i="16"/>
  <c r="AJ14" i="16"/>
  <c r="AI14" i="16"/>
  <c r="AH14" i="16"/>
  <c r="AG14" i="16"/>
  <c r="AF14" i="16"/>
  <c r="AE14" i="16"/>
  <c r="AD14" i="16"/>
  <c r="AC14" i="16"/>
  <c r="AB14" i="16"/>
  <c r="AA14" i="16"/>
  <c r="Z14" i="16"/>
  <c r="Y14" i="16"/>
  <c r="X14" i="16"/>
  <c r="W14" i="16"/>
  <c r="V14" i="16"/>
  <c r="U14" i="16"/>
  <c r="T14" i="16"/>
  <c r="S14" i="16"/>
  <c r="R14" i="16"/>
  <c r="Q14" i="16"/>
  <c r="P14" i="16"/>
  <c r="O14" i="16"/>
  <c r="N14" i="16"/>
  <c r="AV13" i="16"/>
  <c r="AU13" i="16"/>
  <c r="AT13" i="16"/>
  <c r="AS13" i="16"/>
  <c r="AR13" i="16"/>
  <c r="AQ13" i="16"/>
  <c r="AP13" i="16"/>
  <c r="AO13" i="16"/>
  <c r="AN13" i="16"/>
  <c r="AM13" i="16"/>
  <c r="AL13" i="16"/>
  <c r="AK13" i="16"/>
  <c r="AJ13" i="16"/>
  <c r="AI13" i="16"/>
  <c r="AH13" i="16"/>
  <c r="AG13" i="16"/>
  <c r="AF13" i="16"/>
  <c r="AE13" i="16"/>
  <c r="AD13" i="16"/>
  <c r="AC13" i="16"/>
  <c r="AB13" i="16"/>
  <c r="AA13" i="16"/>
  <c r="Z13" i="16"/>
  <c r="Y13" i="16"/>
  <c r="X13" i="16"/>
  <c r="W13" i="16"/>
  <c r="V13" i="16"/>
  <c r="U13" i="16"/>
  <c r="T13" i="16"/>
  <c r="S13" i="16"/>
  <c r="R13" i="16"/>
  <c r="Q13" i="16"/>
  <c r="P13" i="16"/>
  <c r="O13" i="16"/>
  <c r="N13" i="16"/>
  <c r="AV12" i="16"/>
  <c r="AU12" i="16"/>
  <c r="AT12" i="16"/>
  <c r="AS12" i="16"/>
  <c r="AR12" i="16"/>
  <c r="AQ12" i="16"/>
  <c r="AP12" i="16"/>
  <c r="AO12" i="16"/>
  <c r="AN12" i="16"/>
  <c r="AM12" i="16"/>
  <c r="AL12" i="16"/>
  <c r="AK12" i="16"/>
  <c r="AJ12" i="16"/>
  <c r="AI12" i="16"/>
  <c r="AH12" i="16"/>
  <c r="AG12" i="16"/>
  <c r="AF12" i="16"/>
  <c r="AE12" i="16"/>
  <c r="AD12" i="16"/>
  <c r="AC12" i="16"/>
  <c r="AB12" i="16"/>
  <c r="AA12" i="16"/>
  <c r="Z12" i="16"/>
  <c r="Y12" i="16"/>
  <c r="X12" i="16"/>
  <c r="W12" i="16"/>
  <c r="V12" i="16"/>
  <c r="U12" i="16"/>
  <c r="T12" i="16"/>
  <c r="S12" i="16"/>
  <c r="R12" i="16"/>
  <c r="Q12" i="16"/>
  <c r="P12" i="16"/>
  <c r="O12" i="16"/>
  <c r="N12" i="16"/>
  <c r="AV11" i="16"/>
  <c r="AU11" i="16"/>
  <c r="AT11" i="16"/>
  <c r="AS11" i="16"/>
  <c r="AR11" i="16"/>
  <c r="AQ11" i="16"/>
  <c r="AP11" i="16"/>
  <c r="AO11" i="16"/>
  <c r="AN11" i="16"/>
  <c r="AM11" i="16"/>
  <c r="AL11" i="16"/>
  <c r="AK11" i="16"/>
  <c r="AJ11" i="16"/>
  <c r="AI11" i="16"/>
  <c r="AH11" i="16"/>
  <c r="AG11" i="16"/>
  <c r="AF11" i="16"/>
  <c r="AE11" i="16"/>
  <c r="AD11" i="16"/>
  <c r="AC11" i="16"/>
  <c r="AB11" i="16"/>
  <c r="AA11" i="16"/>
  <c r="Z11" i="16"/>
  <c r="Y11" i="16"/>
  <c r="X11" i="16"/>
  <c r="W11" i="16"/>
  <c r="V11" i="16"/>
  <c r="U11" i="16"/>
  <c r="T11" i="16"/>
  <c r="S11" i="16"/>
  <c r="R11" i="16"/>
  <c r="Q11" i="16"/>
  <c r="P11" i="16"/>
  <c r="O11" i="16"/>
  <c r="N11" i="16"/>
  <c r="AV10" i="16"/>
  <c r="AU10" i="16"/>
  <c r="AT10" i="16"/>
  <c r="AS10" i="16"/>
  <c r="AR10" i="16"/>
  <c r="AQ10" i="16"/>
  <c r="AP10" i="16"/>
  <c r="AO10" i="16"/>
  <c r="AN10" i="16"/>
  <c r="AM10" i="16"/>
  <c r="AL10" i="16"/>
  <c r="AK10" i="16"/>
  <c r="AJ10" i="16"/>
  <c r="AI10" i="16"/>
  <c r="AH10" i="16"/>
  <c r="AG10" i="16"/>
  <c r="AF10" i="16"/>
  <c r="AE10" i="16"/>
  <c r="AD10" i="16"/>
  <c r="AC10" i="16"/>
  <c r="AB10" i="16"/>
  <c r="AA10" i="16"/>
  <c r="Z10" i="16"/>
  <c r="Y10" i="16"/>
  <c r="X10" i="16"/>
  <c r="W10" i="16"/>
  <c r="V10" i="16"/>
  <c r="U10" i="16"/>
  <c r="T10" i="16"/>
  <c r="S10" i="16"/>
  <c r="R10" i="16"/>
  <c r="Q10" i="16"/>
  <c r="P10" i="16"/>
  <c r="O10" i="16"/>
  <c r="N10" i="16"/>
  <c r="AV9" i="16"/>
  <c r="AU9" i="16"/>
  <c r="AT9" i="16"/>
  <c r="AS9" i="16"/>
  <c r="AR9" i="16"/>
  <c r="AQ9" i="16"/>
  <c r="AP9" i="16"/>
  <c r="AO9" i="16"/>
  <c r="AN9" i="16"/>
  <c r="AM9" i="16"/>
  <c r="AL9" i="16"/>
  <c r="AK9" i="16"/>
  <c r="AJ9" i="16"/>
  <c r="AI9" i="16"/>
  <c r="AH9" i="16"/>
  <c r="AG9" i="16"/>
  <c r="AF9" i="16"/>
  <c r="AE9" i="16"/>
  <c r="AD9" i="16"/>
  <c r="AC9" i="16"/>
  <c r="AB9" i="16"/>
  <c r="AA9" i="16"/>
  <c r="Z9" i="16"/>
  <c r="Y9" i="16"/>
  <c r="X9" i="16"/>
  <c r="W9" i="16"/>
  <c r="V9" i="16"/>
  <c r="U9" i="16"/>
  <c r="T9" i="16"/>
  <c r="S9" i="16"/>
  <c r="R9" i="16"/>
  <c r="Q9" i="16"/>
  <c r="P9" i="16"/>
  <c r="O9" i="16"/>
  <c r="N9" i="16"/>
  <c r="AV8" i="16"/>
  <c r="AU8" i="16"/>
  <c r="AT8" i="16"/>
  <c r="AS8" i="16"/>
  <c r="AR8" i="16"/>
  <c r="AQ8"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AV7" i="16"/>
  <c r="AU7" i="16"/>
  <c r="AT7" i="16"/>
  <c r="AS7" i="16"/>
  <c r="AR7" i="16"/>
  <c r="AQ7" i="16"/>
  <c r="AP7" i="16"/>
  <c r="AO7" i="16"/>
  <c r="AN7" i="16"/>
  <c r="AM7" i="16"/>
  <c r="AL7" i="16"/>
  <c r="AK7" i="16"/>
  <c r="AJ7" i="16"/>
  <c r="AI7" i="16"/>
  <c r="AH7" i="16"/>
  <c r="AG7" i="16"/>
  <c r="AF7" i="16"/>
  <c r="AE7" i="16"/>
  <c r="AD7" i="16"/>
  <c r="AC7" i="16"/>
  <c r="AB7" i="16"/>
  <c r="AA7" i="16"/>
  <c r="Z7" i="16"/>
  <c r="Y7" i="16"/>
  <c r="X7" i="16"/>
  <c r="W7" i="16"/>
  <c r="V7" i="16"/>
  <c r="U7" i="16"/>
  <c r="T7" i="16"/>
  <c r="S7" i="16"/>
  <c r="R7" i="16"/>
  <c r="Q7" i="16"/>
  <c r="P7" i="16"/>
  <c r="O7" i="16"/>
  <c r="N7" i="16"/>
  <c r="AV6" i="16"/>
  <c r="AU6" i="16"/>
  <c r="AT6" i="16"/>
  <c r="AS6" i="16"/>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AV4" i="16"/>
  <c r="AU4" i="16"/>
  <c r="AT4" i="16"/>
  <c r="AS4" i="16"/>
  <c r="AR4" i="16"/>
  <c r="AQ4" i="16"/>
  <c r="AP4" i="16"/>
  <c r="AO4" i="16"/>
  <c r="AN4" i="16"/>
  <c r="AM4" i="16"/>
  <c r="AL4" i="16"/>
  <c r="AK4" i="16"/>
  <c r="AJ4" i="16"/>
  <c r="AI4" i="16"/>
  <c r="AH4" i="16"/>
  <c r="AG4" i="16"/>
  <c r="AF4" i="16"/>
  <c r="AE4" i="16"/>
  <c r="AD4" i="16"/>
  <c r="AC4" i="16"/>
  <c r="AB4" i="16"/>
  <c r="AA4" i="16"/>
  <c r="Z4" i="16"/>
  <c r="Y4" i="16"/>
  <c r="X4" i="16"/>
  <c r="W4" i="16"/>
  <c r="V4" i="16"/>
  <c r="U4" i="16"/>
  <c r="T4" i="16"/>
  <c r="S4" i="16"/>
  <c r="R4" i="16"/>
  <c r="Q4" i="16"/>
  <c r="P4" i="16"/>
  <c r="AL7" i="52"/>
  <c r="AM7" i="52"/>
  <c r="AN7" i="52"/>
  <c r="AO7" i="52"/>
  <c r="AP7" i="52"/>
  <c r="AQ7" i="52"/>
  <c r="AR7" i="52"/>
  <c r="AS7" i="52"/>
  <c r="AT7" i="52"/>
  <c r="AU7" i="52"/>
  <c r="AV7" i="52"/>
  <c r="AL8" i="52"/>
  <c r="AM8" i="52"/>
  <c r="AN8" i="52"/>
  <c r="AO8" i="52"/>
  <c r="AP8" i="52"/>
  <c r="AQ8" i="52"/>
  <c r="AR8" i="52"/>
  <c r="AS8" i="52"/>
  <c r="AT8" i="52"/>
  <c r="AU8" i="52"/>
  <c r="AV8" i="52"/>
  <c r="AL9" i="52"/>
  <c r="AM9" i="52"/>
  <c r="AN9" i="52"/>
  <c r="AO9" i="52"/>
  <c r="AP9" i="52"/>
  <c r="AQ9" i="52"/>
  <c r="AR9" i="52"/>
  <c r="AS9" i="52"/>
  <c r="AT9" i="52"/>
  <c r="AU9" i="52"/>
  <c r="AV9" i="52"/>
  <c r="AL10" i="52"/>
  <c r="AM10" i="52"/>
  <c r="AN10" i="52"/>
  <c r="AO10" i="52"/>
  <c r="AP10" i="52"/>
  <c r="AQ10" i="52"/>
  <c r="AR10" i="52"/>
  <c r="AS10" i="52"/>
  <c r="AT10" i="52"/>
  <c r="AU10" i="52"/>
  <c r="AV10" i="52"/>
  <c r="AL11" i="52"/>
  <c r="AM11" i="52"/>
  <c r="AN11" i="52"/>
  <c r="AO11" i="52"/>
  <c r="AP11" i="52"/>
  <c r="AQ11" i="52"/>
  <c r="AR11" i="52"/>
  <c r="AS11" i="52"/>
  <c r="AT11" i="52"/>
  <c r="AU11" i="52"/>
  <c r="AV11" i="52"/>
  <c r="AL12" i="52"/>
  <c r="AM12" i="52"/>
  <c r="AN12" i="52"/>
  <c r="AO12" i="52"/>
  <c r="AP12" i="52"/>
  <c r="AQ12" i="52"/>
  <c r="AR12" i="52"/>
  <c r="AS12" i="52"/>
  <c r="AT12" i="52"/>
  <c r="AU12" i="52"/>
  <c r="AV12" i="52"/>
  <c r="AL13" i="52"/>
  <c r="AM13" i="52"/>
  <c r="AN13" i="52"/>
  <c r="AO13" i="52"/>
  <c r="AP13" i="52"/>
  <c r="AQ13" i="52"/>
  <c r="AR13" i="52"/>
  <c r="AS13" i="52"/>
  <c r="AT13" i="52"/>
  <c r="AU13" i="52"/>
  <c r="AV13" i="52"/>
  <c r="AL14" i="52"/>
  <c r="AM14" i="52"/>
  <c r="AN14" i="52"/>
  <c r="AO14" i="52"/>
  <c r="AP14" i="52"/>
  <c r="AQ14" i="52"/>
  <c r="AR14" i="52"/>
  <c r="AS14" i="52"/>
  <c r="AT14" i="52"/>
  <c r="AU14" i="52"/>
  <c r="AV14" i="52"/>
  <c r="AL15" i="52"/>
  <c r="AM15" i="52"/>
  <c r="AN15" i="52"/>
  <c r="AO15" i="52"/>
  <c r="AP15" i="52"/>
  <c r="AQ15" i="52"/>
  <c r="AR15" i="52"/>
  <c r="AS15" i="52"/>
  <c r="AT15" i="52"/>
  <c r="AU15" i="52"/>
  <c r="AV15" i="52"/>
  <c r="AL16" i="52"/>
  <c r="AM16" i="52"/>
  <c r="AN16" i="52"/>
  <c r="AO16" i="52"/>
  <c r="AP16" i="52"/>
  <c r="AQ16" i="52"/>
  <c r="AR16" i="52"/>
  <c r="AS16" i="52"/>
  <c r="AT16" i="52"/>
  <c r="AU16" i="52"/>
  <c r="AV16" i="52"/>
  <c r="AL17" i="52"/>
  <c r="AM17" i="52"/>
  <c r="AN17" i="52"/>
  <c r="AO17" i="52"/>
  <c r="AP17" i="52"/>
  <c r="AQ17" i="52"/>
  <c r="AR17" i="52"/>
  <c r="AS17" i="52"/>
  <c r="AT17" i="52"/>
  <c r="AU17" i="52"/>
  <c r="AV17" i="52"/>
  <c r="AL18" i="52"/>
  <c r="AM18" i="52"/>
  <c r="AN18" i="52"/>
  <c r="AO18" i="52"/>
  <c r="AP18" i="52"/>
  <c r="AQ18" i="52"/>
  <c r="AR18" i="52"/>
  <c r="AS18" i="52"/>
  <c r="AT18" i="52"/>
  <c r="AU18" i="52"/>
  <c r="AV18" i="52"/>
  <c r="AL19" i="52"/>
  <c r="AM19" i="52"/>
  <c r="AN19" i="52"/>
  <c r="AO19" i="52"/>
  <c r="AP19" i="52"/>
  <c r="AQ19" i="52"/>
  <c r="AR19" i="52"/>
  <c r="AS19" i="52"/>
  <c r="AT19" i="52"/>
  <c r="AU19" i="52"/>
  <c r="AV19" i="52"/>
  <c r="AL20" i="52"/>
  <c r="AM20" i="52"/>
  <c r="AN20" i="52"/>
  <c r="AO20" i="52"/>
  <c r="AP20" i="52"/>
  <c r="AQ20" i="52"/>
  <c r="AR20" i="52"/>
  <c r="AS20" i="52"/>
  <c r="AT20" i="52"/>
  <c r="AU20" i="52"/>
  <c r="AV20" i="52"/>
  <c r="AL21" i="52"/>
  <c r="AM21" i="52"/>
  <c r="AN21" i="52"/>
  <c r="AO21" i="52"/>
  <c r="AP21" i="52"/>
  <c r="AQ21" i="52"/>
  <c r="AR21" i="52"/>
  <c r="AS21" i="52"/>
  <c r="AT21" i="52"/>
  <c r="AU21" i="52"/>
  <c r="AV21" i="52"/>
  <c r="AL22" i="52"/>
  <c r="AM22" i="52"/>
  <c r="AN22" i="52"/>
  <c r="AO22" i="52"/>
  <c r="AP22" i="52"/>
  <c r="AQ22" i="52"/>
  <c r="AR22" i="52"/>
  <c r="AS22" i="52"/>
  <c r="AT22" i="52"/>
  <c r="AU22" i="52"/>
  <c r="AV22" i="52"/>
  <c r="AL23" i="52"/>
  <c r="AM23" i="52"/>
  <c r="AN23" i="52"/>
  <c r="AO23" i="52"/>
  <c r="AP23" i="52"/>
  <c r="AQ23" i="52"/>
  <c r="AR23" i="52"/>
  <c r="AS23" i="52"/>
  <c r="AT23" i="52"/>
  <c r="AU23" i="52"/>
  <c r="AV23" i="52"/>
  <c r="AM6" i="52"/>
  <c r="AN6" i="52"/>
  <c r="AO6" i="52"/>
  <c r="AP6" i="52"/>
  <c r="AQ6" i="52"/>
  <c r="AR6" i="52"/>
  <c r="AS6" i="52"/>
  <c r="AT6" i="52"/>
  <c r="AU6" i="52"/>
  <c r="AV6" i="52"/>
  <c r="AL6" i="52"/>
  <c r="AV4" i="52"/>
  <c r="AU4" i="52"/>
  <c r="AT4" i="52"/>
  <c r="AS4" i="52"/>
  <c r="AR4" i="52"/>
  <c r="AQ4" i="52"/>
  <c r="AP4" i="52"/>
  <c r="AO4" i="52"/>
  <c r="AN4" i="52"/>
  <c r="AM4" i="52"/>
  <c r="AL4" i="52"/>
  <c r="AK23" i="52"/>
  <c r="AJ23" i="52"/>
  <c r="AI23" i="52"/>
  <c r="AH23" i="52"/>
  <c r="AG23" i="52"/>
  <c r="AF23" i="52"/>
  <c r="AE23" i="52"/>
  <c r="AD23" i="52"/>
  <c r="AC23" i="52"/>
  <c r="AB23" i="52"/>
  <c r="AA23" i="52"/>
  <c r="Z23" i="52"/>
  <c r="Y23" i="52"/>
  <c r="X23" i="52"/>
  <c r="W23" i="52"/>
  <c r="V23" i="52"/>
  <c r="U23" i="52"/>
  <c r="T23" i="52"/>
  <c r="S23" i="52"/>
  <c r="R23" i="52"/>
  <c r="Q23" i="52"/>
  <c r="P23" i="52"/>
  <c r="O23" i="52"/>
  <c r="N23" i="52"/>
  <c r="AK22" i="52"/>
  <c r="AJ22" i="52"/>
  <c r="AI22" i="52"/>
  <c r="AH22" i="52"/>
  <c r="AG22" i="52"/>
  <c r="AF22" i="52"/>
  <c r="AE22" i="52"/>
  <c r="AD22" i="52"/>
  <c r="AC22" i="52"/>
  <c r="AB22" i="52"/>
  <c r="AA22" i="52"/>
  <c r="Z22" i="52"/>
  <c r="Y22" i="52"/>
  <c r="X22" i="52"/>
  <c r="W22" i="52"/>
  <c r="V22" i="52"/>
  <c r="U22" i="52"/>
  <c r="T22" i="52"/>
  <c r="S22" i="52"/>
  <c r="R22" i="52"/>
  <c r="Q22" i="52"/>
  <c r="P22" i="52"/>
  <c r="O22" i="52"/>
  <c r="N22" i="52"/>
  <c r="AK21" i="52"/>
  <c r="AJ21" i="52"/>
  <c r="AI21" i="52"/>
  <c r="AH21" i="52"/>
  <c r="AG21" i="52"/>
  <c r="AF21" i="52"/>
  <c r="AE21" i="52"/>
  <c r="AD21" i="52"/>
  <c r="AC21" i="52"/>
  <c r="AB21" i="52"/>
  <c r="AA21" i="52"/>
  <c r="Z21" i="52"/>
  <c r="Y21" i="52"/>
  <c r="X21" i="52"/>
  <c r="W21" i="52"/>
  <c r="V21" i="52"/>
  <c r="U21" i="52"/>
  <c r="T21" i="52"/>
  <c r="S21" i="52"/>
  <c r="R21" i="52"/>
  <c r="Q21" i="52"/>
  <c r="P21" i="52"/>
  <c r="O21" i="52"/>
  <c r="N21" i="52"/>
  <c r="AK20" i="52"/>
  <c r="AJ20" i="52"/>
  <c r="AI20" i="52"/>
  <c r="AH20" i="52"/>
  <c r="AG20" i="52"/>
  <c r="AF20" i="52"/>
  <c r="AE20" i="52"/>
  <c r="AD20" i="52"/>
  <c r="AC20" i="52"/>
  <c r="AB20" i="52"/>
  <c r="AA20" i="52"/>
  <c r="Z20" i="52"/>
  <c r="Y20" i="52"/>
  <c r="X20" i="52"/>
  <c r="W20" i="52"/>
  <c r="V20" i="52"/>
  <c r="U20" i="52"/>
  <c r="T20" i="52"/>
  <c r="S20" i="52"/>
  <c r="R20" i="52"/>
  <c r="Q20" i="52"/>
  <c r="P20" i="52"/>
  <c r="O20" i="52"/>
  <c r="N20" i="52"/>
  <c r="AK19" i="52"/>
  <c r="AJ19" i="52"/>
  <c r="AI19" i="52"/>
  <c r="AH19" i="52"/>
  <c r="AG19" i="52"/>
  <c r="AF19" i="52"/>
  <c r="AE19" i="52"/>
  <c r="AD19" i="52"/>
  <c r="AC19" i="52"/>
  <c r="AB19" i="52"/>
  <c r="AA19" i="52"/>
  <c r="Z19" i="52"/>
  <c r="Y19" i="52"/>
  <c r="X19" i="52"/>
  <c r="W19" i="52"/>
  <c r="V19" i="52"/>
  <c r="U19" i="52"/>
  <c r="T19" i="52"/>
  <c r="S19" i="52"/>
  <c r="R19" i="52"/>
  <c r="Q19" i="52"/>
  <c r="P19" i="52"/>
  <c r="O19" i="52"/>
  <c r="N19" i="52"/>
  <c r="AK18" i="52"/>
  <c r="AJ18" i="52"/>
  <c r="AI18" i="52"/>
  <c r="AH18" i="52"/>
  <c r="AG18" i="52"/>
  <c r="AF18" i="52"/>
  <c r="AE18" i="52"/>
  <c r="AD18" i="52"/>
  <c r="AC18" i="52"/>
  <c r="AB18" i="52"/>
  <c r="AA18" i="52"/>
  <c r="Z18" i="52"/>
  <c r="Y18" i="52"/>
  <c r="X18" i="52"/>
  <c r="W18" i="52"/>
  <c r="V18" i="52"/>
  <c r="U18" i="52"/>
  <c r="T18" i="52"/>
  <c r="S18" i="52"/>
  <c r="R18" i="52"/>
  <c r="Q18" i="52"/>
  <c r="P18" i="52"/>
  <c r="O18" i="52"/>
  <c r="N18" i="52"/>
  <c r="AK17" i="52"/>
  <c r="AJ17" i="52"/>
  <c r="AI17" i="52"/>
  <c r="AH17" i="52"/>
  <c r="AG17" i="52"/>
  <c r="AF17" i="52"/>
  <c r="AE17" i="52"/>
  <c r="AD17" i="52"/>
  <c r="AC17" i="52"/>
  <c r="AB17" i="52"/>
  <c r="AA17" i="52"/>
  <c r="Z17" i="52"/>
  <c r="Y17" i="52"/>
  <c r="X17" i="52"/>
  <c r="W17" i="52"/>
  <c r="V17" i="52"/>
  <c r="U17" i="52"/>
  <c r="T17" i="52"/>
  <c r="S17" i="52"/>
  <c r="R17" i="52"/>
  <c r="Q17" i="52"/>
  <c r="P17" i="52"/>
  <c r="O17" i="52"/>
  <c r="N17" i="52"/>
  <c r="AK16" i="52"/>
  <c r="AJ16" i="52"/>
  <c r="AI16" i="52"/>
  <c r="AH16" i="52"/>
  <c r="AG16" i="52"/>
  <c r="AF16" i="52"/>
  <c r="AE16" i="52"/>
  <c r="AD16" i="52"/>
  <c r="AC16" i="52"/>
  <c r="AB16" i="52"/>
  <c r="AA16" i="52"/>
  <c r="Z16" i="52"/>
  <c r="Y16" i="52"/>
  <c r="X16" i="52"/>
  <c r="W16" i="52"/>
  <c r="V16" i="52"/>
  <c r="U16" i="52"/>
  <c r="T16" i="52"/>
  <c r="S16" i="52"/>
  <c r="R16" i="52"/>
  <c r="Q16" i="52"/>
  <c r="P16" i="52"/>
  <c r="O16" i="52"/>
  <c r="N16" i="52"/>
  <c r="AK15" i="52"/>
  <c r="AJ15" i="52"/>
  <c r="AI15" i="52"/>
  <c r="AH15" i="52"/>
  <c r="AG15" i="52"/>
  <c r="AF15" i="52"/>
  <c r="AE15" i="52"/>
  <c r="AD15" i="52"/>
  <c r="AC15" i="52"/>
  <c r="AB15" i="52"/>
  <c r="AA15" i="52"/>
  <c r="Z15" i="52"/>
  <c r="Y15" i="52"/>
  <c r="X15" i="52"/>
  <c r="W15" i="52"/>
  <c r="V15" i="52"/>
  <c r="U15" i="52"/>
  <c r="T15" i="52"/>
  <c r="S15" i="52"/>
  <c r="R15" i="52"/>
  <c r="Q15" i="52"/>
  <c r="P15" i="52"/>
  <c r="O15" i="52"/>
  <c r="N15" i="52"/>
  <c r="AK14" i="52"/>
  <c r="AJ14" i="52"/>
  <c r="AI14" i="52"/>
  <c r="AH14" i="52"/>
  <c r="AG14" i="52"/>
  <c r="AF14" i="52"/>
  <c r="AE14" i="52"/>
  <c r="AD14" i="52"/>
  <c r="AC14" i="52"/>
  <c r="AB14" i="52"/>
  <c r="AA14" i="52"/>
  <c r="Z14" i="52"/>
  <c r="Y14" i="52"/>
  <c r="X14" i="52"/>
  <c r="W14" i="52"/>
  <c r="V14" i="52"/>
  <c r="U14" i="52"/>
  <c r="T14" i="52"/>
  <c r="S14" i="52"/>
  <c r="R14" i="52"/>
  <c r="Q14" i="52"/>
  <c r="P14" i="52"/>
  <c r="O14" i="52"/>
  <c r="N14" i="52"/>
  <c r="AK13" i="52"/>
  <c r="AJ13" i="52"/>
  <c r="AI13" i="52"/>
  <c r="AH13" i="52"/>
  <c r="AG13" i="52"/>
  <c r="AF13" i="52"/>
  <c r="AE13" i="52"/>
  <c r="AD13" i="52"/>
  <c r="AC13" i="52"/>
  <c r="AB13" i="52"/>
  <c r="AA13" i="52"/>
  <c r="Z13" i="52"/>
  <c r="Y13" i="52"/>
  <c r="X13" i="52"/>
  <c r="W13" i="52"/>
  <c r="V13" i="52"/>
  <c r="U13" i="52"/>
  <c r="T13" i="52"/>
  <c r="S13" i="52"/>
  <c r="R13" i="52"/>
  <c r="Q13" i="52"/>
  <c r="P13" i="52"/>
  <c r="O13" i="52"/>
  <c r="N13" i="52"/>
  <c r="AK12" i="52"/>
  <c r="AJ12" i="52"/>
  <c r="AI12" i="52"/>
  <c r="AH12" i="52"/>
  <c r="AG12" i="52"/>
  <c r="AF12" i="52"/>
  <c r="AE12" i="52"/>
  <c r="AD12" i="52"/>
  <c r="AC12" i="52"/>
  <c r="AB12" i="52"/>
  <c r="AA12" i="52"/>
  <c r="Z12" i="52"/>
  <c r="Y12" i="52"/>
  <c r="X12" i="52"/>
  <c r="W12" i="52"/>
  <c r="V12" i="52"/>
  <c r="U12" i="52"/>
  <c r="T12" i="52"/>
  <c r="S12" i="52"/>
  <c r="R12" i="52"/>
  <c r="Q12" i="52"/>
  <c r="P12" i="52"/>
  <c r="O12" i="52"/>
  <c r="N12" i="52"/>
  <c r="AK11" i="52"/>
  <c r="AJ11" i="52"/>
  <c r="AI11" i="52"/>
  <c r="AH11" i="52"/>
  <c r="AG11" i="52"/>
  <c r="AF11" i="52"/>
  <c r="AE11" i="52"/>
  <c r="AD11" i="52"/>
  <c r="AC11" i="52"/>
  <c r="AB11" i="52"/>
  <c r="AA11" i="52"/>
  <c r="Z11" i="52"/>
  <c r="Y11" i="52"/>
  <c r="X11" i="52"/>
  <c r="W11" i="52"/>
  <c r="V11" i="52"/>
  <c r="U11" i="52"/>
  <c r="T11" i="52"/>
  <c r="S11" i="52"/>
  <c r="R11" i="52"/>
  <c r="Q11" i="52"/>
  <c r="P11" i="52"/>
  <c r="O11" i="52"/>
  <c r="N11" i="52"/>
  <c r="AK10" i="52"/>
  <c r="AJ10" i="52"/>
  <c r="AI10" i="52"/>
  <c r="AH10" i="52"/>
  <c r="AG10" i="52"/>
  <c r="AF10" i="52"/>
  <c r="AE10" i="52"/>
  <c r="AD10" i="52"/>
  <c r="AC10" i="52"/>
  <c r="AB10" i="52"/>
  <c r="AA10" i="52"/>
  <c r="Z10" i="52"/>
  <c r="Y10" i="52"/>
  <c r="X10" i="52"/>
  <c r="W10" i="52"/>
  <c r="V10" i="52"/>
  <c r="U10" i="52"/>
  <c r="T10" i="52"/>
  <c r="S10" i="52"/>
  <c r="R10" i="52"/>
  <c r="Q10" i="52"/>
  <c r="P10" i="52"/>
  <c r="O10" i="52"/>
  <c r="N10" i="52"/>
  <c r="AK9" i="52"/>
  <c r="AJ9" i="52"/>
  <c r="AI9" i="52"/>
  <c r="AH9" i="52"/>
  <c r="AG9" i="52"/>
  <c r="AF9" i="52"/>
  <c r="AE9" i="52"/>
  <c r="AD9" i="52"/>
  <c r="AC9" i="52"/>
  <c r="AB9" i="52"/>
  <c r="AA9" i="52"/>
  <c r="Z9" i="52"/>
  <c r="Y9" i="52"/>
  <c r="X9" i="52"/>
  <c r="W9" i="52"/>
  <c r="V9" i="52"/>
  <c r="U9" i="52"/>
  <c r="T9" i="52"/>
  <c r="S9" i="52"/>
  <c r="R9" i="52"/>
  <c r="Q9" i="52"/>
  <c r="P9" i="52"/>
  <c r="O9" i="52"/>
  <c r="N9" i="52"/>
  <c r="AK8" i="52"/>
  <c r="AJ8" i="52"/>
  <c r="AI8" i="52"/>
  <c r="AH8" i="52"/>
  <c r="AG8" i="52"/>
  <c r="AF8" i="52"/>
  <c r="AE8" i="52"/>
  <c r="AD8" i="52"/>
  <c r="AC8" i="52"/>
  <c r="AB8" i="52"/>
  <c r="AA8" i="52"/>
  <c r="Z8" i="52"/>
  <c r="Y8" i="52"/>
  <c r="X8" i="52"/>
  <c r="W8" i="52"/>
  <c r="V8" i="52"/>
  <c r="U8" i="52"/>
  <c r="T8" i="52"/>
  <c r="S8" i="52"/>
  <c r="R8" i="52"/>
  <c r="Q8" i="52"/>
  <c r="P8" i="52"/>
  <c r="O8" i="52"/>
  <c r="N8" i="52"/>
  <c r="AK7" i="52"/>
  <c r="AJ7" i="52"/>
  <c r="AI7" i="52"/>
  <c r="AH7" i="52"/>
  <c r="AG7" i="52"/>
  <c r="AF7" i="52"/>
  <c r="AE7" i="52"/>
  <c r="AD7" i="52"/>
  <c r="AC7" i="52"/>
  <c r="AB7" i="52"/>
  <c r="AA7" i="52"/>
  <c r="Z7" i="52"/>
  <c r="Y7" i="52"/>
  <c r="X7" i="52"/>
  <c r="W7" i="52"/>
  <c r="V7" i="52"/>
  <c r="U7" i="52"/>
  <c r="T7" i="52"/>
  <c r="S7" i="52"/>
  <c r="R7" i="52"/>
  <c r="Q7" i="52"/>
  <c r="P7" i="52"/>
  <c r="O7" i="52"/>
  <c r="N7" i="52"/>
  <c r="AK6" i="52"/>
  <c r="AJ6" i="52"/>
  <c r="AI6" i="52"/>
  <c r="AH6" i="52"/>
  <c r="AG6" i="52"/>
  <c r="AF6" i="52"/>
  <c r="AE6" i="52"/>
  <c r="AD6" i="52"/>
  <c r="AC6" i="52"/>
  <c r="AB6" i="52"/>
  <c r="AA6" i="52"/>
  <c r="Z6" i="52"/>
  <c r="Y6" i="52"/>
  <c r="X6" i="52"/>
  <c r="W6" i="52"/>
  <c r="V6" i="52"/>
  <c r="U6" i="52"/>
  <c r="T6" i="52"/>
  <c r="S6" i="52"/>
  <c r="R6" i="52"/>
  <c r="Q6" i="52"/>
  <c r="P6" i="52"/>
  <c r="O6" i="52"/>
  <c r="N6" i="52"/>
  <c r="AK4" i="52"/>
  <c r="AJ4" i="52"/>
  <c r="AI4" i="52"/>
  <c r="AH4" i="52"/>
  <c r="AG4" i="52"/>
  <c r="AF4" i="52"/>
  <c r="AE4" i="52"/>
  <c r="AD4" i="52"/>
  <c r="AC4" i="52"/>
  <c r="AB4" i="52"/>
  <c r="AA4" i="52"/>
  <c r="Z4" i="52"/>
  <c r="Y4" i="52"/>
  <c r="X4" i="52"/>
  <c r="W4" i="52"/>
  <c r="V4" i="52"/>
  <c r="U4" i="52"/>
  <c r="T4" i="52"/>
  <c r="S4" i="52"/>
  <c r="R4" i="52"/>
  <c r="Q4" i="52"/>
  <c r="P4" i="52"/>
  <c r="AK23" i="4"/>
  <c r="AJ23" i="4"/>
  <c r="AI23" i="4"/>
  <c r="AH23" i="4"/>
  <c r="AG23" i="4"/>
  <c r="AF23" i="4"/>
  <c r="AE23" i="4"/>
  <c r="AD23" i="4"/>
  <c r="AC23" i="4"/>
  <c r="AB23" i="4"/>
  <c r="AA23" i="4"/>
  <c r="Z23" i="4"/>
  <c r="Y23" i="4"/>
  <c r="X23" i="4"/>
  <c r="W23" i="4"/>
  <c r="V23" i="4"/>
  <c r="U23" i="4"/>
  <c r="T23" i="4"/>
  <c r="S23" i="4"/>
  <c r="R23" i="4"/>
  <c r="Q23" i="4"/>
  <c r="P23" i="4"/>
  <c r="O23" i="4"/>
  <c r="N23" i="4"/>
  <c r="AK22" i="4"/>
  <c r="AJ22" i="4"/>
  <c r="AI22" i="4"/>
  <c r="AH22" i="4"/>
  <c r="AG22" i="4"/>
  <c r="AF22" i="4"/>
  <c r="AE22" i="4"/>
  <c r="AD22" i="4"/>
  <c r="AC22" i="4"/>
  <c r="AB22" i="4"/>
  <c r="AA22" i="4"/>
  <c r="Z22" i="4"/>
  <c r="Y22" i="4"/>
  <c r="X22" i="4"/>
  <c r="W22" i="4"/>
  <c r="V22" i="4"/>
  <c r="U22" i="4"/>
  <c r="T22" i="4"/>
  <c r="S22" i="4"/>
  <c r="R22" i="4"/>
  <c r="Q22" i="4"/>
  <c r="P22" i="4"/>
  <c r="O22" i="4"/>
  <c r="N22" i="4"/>
  <c r="AK21" i="4"/>
  <c r="AJ21" i="4"/>
  <c r="AI21" i="4"/>
  <c r="AH21" i="4"/>
  <c r="AG21" i="4"/>
  <c r="AF21" i="4"/>
  <c r="AE21" i="4"/>
  <c r="AD21" i="4"/>
  <c r="AC21" i="4"/>
  <c r="AB21" i="4"/>
  <c r="AA21" i="4"/>
  <c r="Z21" i="4"/>
  <c r="Y21" i="4"/>
  <c r="X21" i="4"/>
  <c r="W21" i="4"/>
  <c r="V21" i="4"/>
  <c r="U21" i="4"/>
  <c r="T21" i="4"/>
  <c r="S21" i="4"/>
  <c r="R21" i="4"/>
  <c r="Q21" i="4"/>
  <c r="P21" i="4"/>
  <c r="O21" i="4"/>
  <c r="N21" i="4"/>
  <c r="AK20" i="4"/>
  <c r="AJ20" i="4"/>
  <c r="AI20" i="4"/>
  <c r="AH20" i="4"/>
  <c r="AG20" i="4"/>
  <c r="AF20" i="4"/>
  <c r="AE20" i="4"/>
  <c r="AD20" i="4"/>
  <c r="AC20" i="4"/>
  <c r="AB20" i="4"/>
  <c r="AA20" i="4"/>
  <c r="Z20" i="4"/>
  <c r="Y20" i="4"/>
  <c r="X20" i="4"/>
  <c r="W20" i="4"/>
  <c r="V20" i="4"/>
  <c r="U20" i="4"/>
  <c r="T20" i="4"/>
  <c r="S20" i="4"/>
  <c r="R20" i="4"/>
  <c r="Q20" i="4"/>
  <c r="P20" i="4"/>
  <c r="O20" i="4"/>
  <c r="N20" i="4"/>
  <c r="AK19" i="4"/>
  <c r="AJ19" i="4"/>
  <c r="AI19" i="4"/>
  <c r="AH19" i="4"/>
  <c r="AG19" i="4"/>
  <c r="AF19" i="4"/>
  <c r="AE19" i="4"/>
  <c r="AD19" i="4"/>
  <c r="AC19" i="4"/>
  <c r="AB19" i="4"/>
  <c r="AA19" i="4"/>
  <c r="Z19" i="4"/>
  <c r="Y19" i="4"/>
  <c r="X19" i="4"/>
  <c r="W19" i="4"/>
  <c r="V19" i="4"/>
  <c r="U19" i="4"/>
  <c r="T19" i="4"/>
  <c r="S19" i="4"/>
  <c r="R19" i="4"/>
  <c r="Q19" i="4"/>
  <c r="P19" i="4"/>
  <c r="O19" i="4"/>
  <c r="N19" i="4"/>
  <c r="AK18" i="4"/>
  <c r="AJ18" i="4"/>
  <c r="AI18" i="4"/>
  <c r="AH18" i="4"/>
  <c r="AG18" i="4"/>
  <c r="AF18" i="4"/>
  <c r="AE18" i="4"/>
  <c r="AD18" i="4"/>
  <c r="AC18" i="4"/>
  <c r="AB18" i="4"/>
  <c r="AA18" i="4"/>
  <c r="Z18" i="4"/>
  <c r="Y18" i="4"/>
  <c r="X18" i="4"/>
  <c r="W18" i="4"/>
  <c r="V18" i="4"/>
  <c r="U18" i="4"/>
  <c r="T18" i="4"/>
  <c r="S18" i="4"/>
  <c r="R18" i="4"/>
  <c r="Q18" i="4"/>
  <c r="P18" i="4"/>
  <c r="O18" i="4"/>
  <c r="N18" i="4"/>
  <c r="AK17" i="4"/>
  <c r="AJ17" i="4"/>
  <c r="AI17" i="4"/>
  <c r="AH17" i="4"/>
  <c r="AG17" i="4"/>
  <c r="AF17" i="4"/>
  <c r="AE17" i="4"/>
  <c r="AD17" i="4"/>
  <c r="AC17" i="4"/>
  <c r="AB17" i="4"/>
  <c r="AA17" i="4"/>
  <c r="Z17" i="4"/>
  <c r="Y17" i="4"/>
  <c r="X17" i="4"/>
  <c r="W17" i="4"/>
  <c r="V17" i="4"/>
  <c r="U17" i="4"/>
  <c r="T17" i="4"/>
  <c r="S17" i="4"/>
  <c r="R17" i="4"/>
  <c r="Q17" i="4"/>
  <c r="P17" i="4"/>
  <c r="O17" i="4"/>
  <c r="N17" i="4"/>
  <c r="AK16" i="4"/>
  <c r="AJ16" i="4"/>
  <c r="AI16" i="4"/>
  <c r="AH16" i="4"/>
  <c r="AG16" i="4"/>
  <c r="AF16" i="4"/>
  <c r="AE16" i="4"/>
  <c r="AD16" i="4"/>
  <c r="AC16" i="4"/>
  <c r="AB16" i="4"/>
  <c r="AA16" i="4"/>
  <c r="Z16" i="4"/>
  <c r="Y16" i="4"/>
  <c r="X16" i="4"/>
  <c r="W16" i="4"/>
  <c r="V16" i="4"/>
  <c r="U16" i="4"/>
  <c r="T16" i="4"/>
  <c r="S16" i="4"/>
  <c r="R16" i="4"/>
  <c r="Q16" i="4"/>
  <c r="P16" i="4"/>
  <c r="O16" i="4"/>
  <c r="N16" i="4"/>
  <c r="AK15" i="4"/>
  <c r="AJ15" i="4"/>
  <c r="AI15" i="4"/>
  <c r="AH15" i="4"/>
  <c r="AG15" i="4"/>
  <c r="AF15" i="4"/>
  <c r="AE15" i="4"/>
  <c r="AD15" i="4"/>
  <c r="AC15" i="4"/>
  <c r="AB15" i="4"/>
  <c r="AA15" i="4"/>
  <c r="Z15" i="4"/>
  <c r="Y15" i="4"/>
  <c r="X15" i="4"/>
  <c r="W15" i="4"/>
  <c r="V15" i="4"/>
  <c r="U15" i="4"/>
  <c r="T15" i="4"/>
  <c r="S15" i="4"/>
  <c r="R15" i="4"/>
  <c r="Q15" i="4"/>
  <c r="P15" i="4"/>
  <c r="O15" i="4"/>
  <c r="N15" i="4"/>
  <c r="AK14" i="4"/>
  <c r="AJ14" i="4"/>
  <c r="AI14" i="4"/>
  <c r="AH14" i="4"/>
  <c r="AG14" i="4"/>
  <c r="AF14" i="4"/>
  <c r="AE14" i="4"/>
  <c r="AD14" i="4"/>
  <c r="AC14" i="4"/>
  <c r="AB14" i="4"/>
  <c r="AA14" i="4"/>
  <c r="Z14" i="4"/>
  <c r="Y14" i="4"/>
  <c r="X14" i="4"/>
  <c r="W14" i="4"/>
  <c r="V14" i="4"/>
  <c r="U14" i="4"/>
  <c r="T14" i="4"/>
  <c r="S14" i="4"/>
  <c r="R14" i="4"/>
  <c r="Q14" i="4"/>
  <c r="P14" i="4"/>
  <c r="O14" i="4"/>
  <c r="N14" i="4"/>
  <c r="AK13" i="4"/>
  <c r="AJ13" i="4"/>
  <c r="AI13" i="4"/>
  <c r="AH13" i="4"/>
  <c r="AG13" i="4"/>
  <c r="AF13" i="4"/>
  <c r="AE13" i="4"/>
  <c r="AD13" i="4"/>
  <c r="AC13" i="4"/>
  <c r="AB13" i="4"/>
  <c r="AA13" i="4"/>
  <c r="Z13" i="4"/>
  <c r="Y13" i="4"/>
  <c r="X13" i="4"/>
  <c r="W13" i="4"/>
  <c r="V13" i="4"/>
  <c r="U13" i="4"/>
  <c r="T13" i="4"/>
  <c r="S13" i="4"/>
  <c r="R13" i="4"/>
  <c r="Q13" i="4"/>
  <c r="P13" i="4"/>
  <c r="O13" i="4"/>
  <c r="N13" i="4"/>
  <c r="AK12" i="4"/>
  <c r="AJ12" i="4"/>
  <c r="AI12" i="4"/>
  <c r="AH12" i="4"/>
  <c r="AG12" i="4"/>
  <c r="AF12" i="4"/>
  <c r="AE12" i="4"/>
  <c r="AD12" i="4"/>
  <c r="AC12" i="4"/>
  <c r="AB12" i="4"/>
  <c r="AA12" i="4"/>
  <c r="Z12" i="4"/>
  <c r="Y12" i="4"/>
  <c r="X12" i="4"/>
  <c r="W12" i="4"/>
  <c r="V12" i="4"/>
  <c r="U12" i="4"/>
  <c r="T12" i="4"/>
  <c r="S12" i="4"/>
  <c r="R12" i="4"/>
  <c r="Q12" i="4"/>
  <c r="P12" i="4"/>
  <c r="O12" i="4"/>
  <c r="N12" i="4"/>
  <c r="AK11" i="4"/>
  <c r="AJ11" i="4"/>
  <c r="AI11" i="4"/>
  <c r="AH11" i="4"/>
  <c r="AG11" i="4"/>
  <c r="AF11" i="4"/>
  <c r="AE11" i="4"/>
  <c r="AD11" i="4"/>
  <c r="AC11" i="4"/>
  <c r="AB11" i="4"/>
  <c r="AA11" i="4"/>
  <c r="Z11" i="4"/>
  <c r="Y11" i="4"/>
  <c r="X11" i="4"/>
  <c r="W11" i="4"/>
  <c r="V11" i="4"/>
  <c r="U11" i="4"/>
  <c r="T11" i="4"/>
  <c r="S11" i="4"/>
  <c r="R11" i="4"/>
  <c r="Q11" i="4"/>
  <c r="P11" i="4"/>
  <c r="O11" i="4"/>
  <c r="N11" i="4"/>
  <c r="AK10" i="4"/>
  <c r="AJ10" i="4"/>
  <c r="AI10" i="4"/>
  <c r="AH10" i="4"/>
  <c r="AG10" i="4"/>
  <c r="AF10" i="4"/>
  <c r="AE10" i="4"/>
  <c r="AD10" i="4"/>
  <c r="AC10" i="4"/>
  <c r="AB10" i="4"/>
  <c r="AA10" i="4"/>
  <c r="Z10" i="4"/>
  <c r="Y10" i="4"/>
  <c r="X10" i="4"/>
  <c r="W10" i="4"/>
  <c r="V10" i="4"/>
  <c r="U10" i="4"/>
  <c r="T10" i="4"/>
  <c r="S10" i="4"/>
  <c r="R10" i="4"/>
  <c r="Q10" i="4"/>
  <c r="P10" i="4"/>
  <c r="O10" i="4"/>
  <c r="N10" i="4"/>
  <c r="AK9" i="4"/>
  <c r="AJ9" i="4"/>
  <c r="AI9" i="4"/>
  <c r="AH9" i="4"/>
  <c r="AG9" i="4"/>
  <c r="AF9" i="4"/>
  <c r="AE9" i="4"/>
  <c r="AD9" i="4"/>
  <c r="AC9" i="4"/>
  <c r="AB9" i="4"/>
  <c r="AA9" i="4"/>
  <c r="Z9" i="4"/>
  <c r="Y9" i="4"/>
  <c r="X9" i="4"/>
  <c r="W9" i="4"/>
  <c r="V9" i="4"/>
  <c r="U9" i="4"/>
  <c r="T9" i="4"/>
  <c r="S9" i="4"/>
  <c r="R9" i="4"/>
  <c r="Q9" i="4"/>
  <c r="P9" i="4"/>
  <c r="O9" i="4"/>
  <c r="N9" i="4"/>
  <c r="AK8" i="4"/>
  <c r="AJ8" i="4"/>
  <c r="AI8" i="4"/>
  <c r="AH8" i="4"/>
  <c r="AG8" i="4"/>
  <c r="AF8" i="4"/>
  <c r="AE8" i="4"/>
  <c r="AD8" i="4"/>
  <c r="AC8" i="4"/>
  <c r="AB8" i="4"/>
  <c r="AA8" i="4"/>
  <c r="Z8" i="4"/>
  <c r="Y8" i="4"/>
  <c r="X8" i="4"/>
  <c r="W8" i="4"/>
  <c r="V8" i="4"/>
  <c r="U8" i="4"/>
  <c r="T8" i="4"/>
  <c r="S8" i="4"/>
  <c r="R8" i="4"/>
  <c r="Q8" i="4"/>
  <c r="P8" i="4"/>
  <c r="O8" i="4"/>
  <c r="N8" i="4"/>
  <c r="AK7" i="4"/>
  <c r="AJ7" i="4"/>
  <c r="AI7" i="4"/>
  <c r="AH7" i="4"/>
  <c r="AG7" i="4"/>
  <c r="AF7" i="4"/>
  <c r="AE7" i="4"/>
  <c r="AD7" i="4"/>
  <c r="AC7" i="4"/>
  <c r="AB7" i="4"/>
  <c r="AA7" i="4"/>
  <c r="Z7" i="4"/>
  <c r="Y7" i="4"/>
  <c r="X7" i="4"/>
  <c r="W7" i="4"/>
  <c r="V7" i="4"/>
  <c r="U7" i="4"/>
  <c r="T7" i="4"/>
  <c r="S7" i="4"/>
  <c r="R7" i="4"/>
  <c r="Q7" i="4"/>
  <c r="P7" i="4"/>
  <c r="O7" i="4"/>
  <c r="N7" i="4"/>
  <c r="AK6" i="4"/>
  <c r="AJ6" i="4"/>
  <c r="AI6" i="4"/>
  <c r="AH6" i="4"/>
  <c r="AG6" i="4"/>
  <c r="AF6" i="4"/>
  <c r="AE6" i="4"/>
  <c r="AD6" i="4"/>
  <c r="AC6" i="4"/>
  <c r="AB6" i="4"/>
  <c r="AA6" i="4"/>
  <c r="Z6" i="4"/>
  <c r="Y6" i="4"/>
  <c r="X6" i="4"/>
  <c r="W6" i="4"/>
  <c r="V6" i="4"/>
  <c r="U6" i="4"/>
  <c r="T6" i="4"/>
  <c r="S6" i="4"/>
  <c r="R6" i="4"/>
  <c r="Q6" i="4"/>
  <c r="P6" i="4"/>
  <c r="O6" i="4"/>
  <c r="N6" i="4"/>
  <c r="AK4" i="4"/>
  <c r="AJ4" i="4"/>
  <c r="AI4" i="4"/>
  <c r="AH4" i="4"/>
  <c r="AG4" i="4"/>
  <c r="AF4" i="4"/>
  <c r="AE4" i="4"/>
  <c r="AD4" i="4"/>
  <c r="AC4" i="4"/>
  <c r="AB4" i="4"/>
  <c r="AA4" i="4"/>
  <c r="Z4" i="4"/>
  <c r="Y4" i="4"/>
  <c r="X4" i="4"/>
  <c r="W4" i="4"/>
  <c r="V4" i="4"/>
  <c r="U4" i="4"/>
  <c r="T4" i="4"/>
  <c r="S4" i="4"/>
  <c r="R4" i="4"/>
  <c r="Q4" i="4"/>
  <c r="P4" i="4"/>
  <c r="AK23" i="29"/>
  <c r="AJ23" i="29"/>
  <c r="AI23" i="29"/>
  <c r="AH23" i="29"/>
  <c r="AG23" i="29"/>
  <c r="AF23" i="29"/>
  <c r="AE23" i="29"/>
  <c r="AD23" i="29"/>
  <c r="AC23" i="29"/>
  <c r="AB23" i="29"/>
  <c r="AA23" i="29"/>
  <c r="Z23" i="29"/>
  <c r="Y23" i="29"/>
  <c r="X23" i="29"/>
  <c r="W23" i="29"/>
  <c r="V23" i="29"/>
  <c r="U23" i="29"/>
  <c r="T23" i="29"/>
  <c r="S23" i="29"/>
  <c r="R23" i="29"/>
  <c r="Q23" i="29"/>
  <c r="P23" i="29"/>
  <c r="O23" i="29"/>
  <c r="N23" i="29"/>
  <c r="AK22" i="29"/>
  <c r="AJ22" i="29"/>
  <c r="AI22" i="29"/>
  <c r="AH22" i="29"/>
  <c r="AG22" i="29"/>
  <c r="AF22" i="29"/>
  <c r="AE22" i="29"/>
  <c r="AD22" i="29"/>
  <c r="AC22" i="29"/>
  <c r="AB22" i="29"/>
  <c r="AA22" i="29"/>
  <c r="Z22" i="29"/>
  <c r="Y22" i="29"/>
  <c r="X22" i="29"/>
  <c r="W22" i="29"/>
  <c r="V22" i="29"/>
  <c r="U22" i="29"/>
  <c r="T22" i="29"/>
  <c r="S22" i="29"/>
  <c r="R22" i="29"/>
  <c r="Q22" i="29"/>
  <c r="P22" i="29"/>
  <c r="O22" i="29"/>
  <c r="N22" i="29"/>
  <c r="AK21" i="29"/>
  <c r="AJ21" i="29"/>
  <c r="AI21" i="29"/>
  <c r="AH21" i="29"/>
  <c r="AG21" i="29"/>
  <c r="AF21" i="29"/>
  <c r="AE21" i="29"/>
  <c r="AD21" i="29"/>
  <c r="AC21" i="29"/>
  <c r="AB21" i="29"/>
  <c r="AA21" i="29"/>
  <c r="Z21" i="29"/>
  <c r="Y21" i="29"/>
  <c r="X21" i="29"/>
  <c r="W21" i="29"/>
  <c r="V21" i="29"/>
  <c r="U21" i="29"/>
  <c r="T21" i="29"/>
  <c r="S21" i="29"/>
  <c r="R21" i="29"/>
  <c r="Q21" i="29"/>
  <c r="P21" i="29"/>
  <c r="O21" i="29"/>
  <c r="N21" i="29"/>
  <c r="AK20" i="29"/>
  <c r="AJ20" i="29"/>
  <c r="AI20" i="29"/>
  <c r="AH20" i="29"/>
  <c r="AG20" i="29"/>
  <c r="AF20" i="29"/>
  <c r="AE20" i="29"/>
  <c r="AD20" i="29"/>
  <c r="AC20" i="29"/>
  <c r="AB20" i="29"/>
  <c r="AA20" i="29"/>
  <c r="Z20" i="29"/>
  <c r="Y20" i="29"/>
  <c r="X20" i="29"/>
  <c r="W20" i="29"/>
  <c r="V20" i="29"/>
  <c r="U20" i="29"/>
  <c r="T20" i="29"/>
  <c r="S20" i="29"/>
  <c r="R20" i="29"/>
  <c r="Q20" i="29"/>
  <c r="P20" i="29"/>
  <c r="O20" i="29"/>
  <c r="N20" i="29"/>
  <c r="AK19" i="29"/>
  <c r="AJ19" i="29"/>
  <c r="AI19" i="29"/>
  <c r="AH19" i="29"/>
  <c r="AG19" i="29"/>
  <c r="AF19" i="29"/>
  <c r="AE19" i="29"/>
  <c r="AD19" i="29"/>
  <c r="AC19" i="29"/>
  <c r="AB19" i="29"/>
  <c r="AA19" i="29"/>
  <c r="Z19" i="29"/>
  <c r="Y19" i="29"/>
  <c r="X19" i="29"/>
  <c r="W19" i="29"/>
  <c r="V19" i="29"/>
  <c r="U19" i="29"/>
  <c r="T19" i="29"/>
  <c r="S19" i="29"/>
  <c r="R19" i="29"/>
  <c r="Q19" i="29"/>
  <c r="P19" i="29"/>
  <c r="O19" i="29"/>
  <c r="N19" i="29"/>
  <c r="AK18" i="29"/>
  <c r="AJ18" i="29"/>
  <c r="AI18" i="29"/>
  <c r="AH18" i="29"/>
  <c r="AG18" i="29"/>
  <c r="AF18" i="29"/>
  <c r="AE18" i="29"/>
  <c r="AD18" i="29"/>
  <c r="AC18" i="29"/>
  <c r="AB18" i="29"/>
  <c r="AA18" i="29"/>
  <c r="Z18" i="29"/>
  <c r="Y18" i="29"/>
  <c r="X18" i="29"/>
  <c r="W18" i="29"/>
  <c r="V18" i="29"/>
  <c r="U18" i="29"/>
  <c r="T18" i="29"/>
  <c r="S18" i="29"/>
  <c r="R18" i="29"/>
  <c r="Q18" i="29"/>
  <c r="P18" i="29"/>
  <c r="O18" i="29"/>
  <c r="N18" i="29"/>
  <c r="AK17" i="29"/>
  <c r="AJ17" i="29"/>
  <c r="AI17" i="29"/>
  <c r="AH17" i="29"/>
  <c r="AG17" i="29"/>
  <c r="AF17" i="29"/>
  <c r="AE17" i="29"/>
  <c r="AD17" i="29"/>
  <c r="AC17" i="29"/>
  <c r="AB17" i="29"/>
  <c r="AA17" i="29"/>
  <c r="Z17" i="29"/>
  <c r="Y17" i="29"/>
  <c r="X17" i="29"/>
  <c r="W17" i="29"/>
  <c r="V17" i="29"/>
  <c r="U17" i="29"/>
  <c r="T17" i="29"/>
  <c r="S17" i="29"/>
  <c r="R17" i="29"/>
  <c r="Q17" i="29"/>
  <c r="P17" i="29"/>
  <c r="O17" i="29"/>
  <c r="N17" i="29"/>
  <c r="AK16" i="29"/>
  <c r="AJ16" i="29"/>
  <c r="AI16" i="29"/>
  <c r="AH16" i="29"/>
  <c r="AG16" i="29"/>
  <c r="AF16" i="29"/>
  <c r="AE16" i="29"/>
  <c r="AD16" i="29"/>
  <c r="AC16" i="29"/>
  <c r="AB16" i="29"/>
  <c r="AA16" i="29"/>
  <c r="Z16" i="29"/>
  <c r="Y16" i="29"/>
  <c r="X16" i="29"/>
  <c r="W16" i="29"/>
  <c r="V16" i="29"/>
  <c r="U16" i="29"/>
  <c r="T16" i="29"/>
  <c r="S16" i="29"/>
  <c r="R16" i="29"/>
  <c r="Q16" i="29"/>
  <c r="P16" i="29"/>
  <c r="O16" i="29"/>
  <c r="N16" i="29"/>
  <c r="AK15" i="29"/>
  <c r="AJ15" i="29"/>
  <c r="AI15" i="29"/>
  <c r="AH15" i="29"/>
  <c r="AG15" i="29"/>
  <c r="AF15" i="29"/>
  <c r="AE15" i="29"/>
  <c r="AD15" i="29"/>
  <c r="AC15" i="29"/>
  <c r="AB15" i="29"/>
  <c r="AA15" i="29"/>
  <c r="Z15" i="29"/>
  <c r="Y15" i="29"/>
  <c r="X15" i="29"/>
  <c r="W15" i="29"/>
  <c r="V15" i="29"/>
  <c r="U15" i="29"/>
  <c r="T15" i="29"/>
  <c r="S15" i="29"/>
  <c r="R15" i="29"/>
  <c r="Q15" i="29"/>
  <c r="P15" i="29"/>
  <c r="O15" i="29"/>
  <c r="N15" i="29"/>
  <c r="AK14" i="29"/>
  <c r="AJ14" i="29"/>
  <c r="AI14" i="29"/>
  <c r="AH14" i="29"/>
  <c r="AG14" i="29"/>
  <c r="AF14" i="29"/>
  <c r="AE14" i="29"/>
  <c r="AD14" i="29"/>
  <c r="AC14" i="29"/>
  <c r="AB14" i="29"/>
  <c r="AA14" i="29"/>
  <c r="Z14" i="29"/>
  <c r="Y14" i="29"/>
  <c r="X14" i="29"/>
  <c r="W14" i="29"/>
  <c r="V14" i="29"/>
  <c r="U14" i="29"/>
  <c r="T14" i="29"/>
  <c r="S14" i="29"/>
  <c r="R14" i="29"/>
  <c r="Q14" i="29"/>
  <c r="P14" i="29"/>
  <c r="O14" i="29"/>
  <c r="N14" i="29"/>
  <c r="AK13" i="29"/>
  <c r="AJ13" i="29"/>
  <c r="AI13" i="29"/>
  <c r="AH13" i="29"/>
  <c r="AG13" i="29"/>
  <c r="AF13" i="29"/>
  <c r="AE13" i="29"/>
  <c r="AD13" i="29"/>
  <c r="AC13" i="29"/>
  <c r="AB13" i="29"/>
  <c r="AA13" i="29"/>
  <c r="Z13" i="29"/>
  <c r="Y13" i="29"/>
  <c r="X13" i="29"/>
  <c r="W13" i="29"/>
  <c r="V13" i="29"/>
  <c r="U13" i="29"/>
  <c r="T13" i="29"/>
  <c r="S13" i="29"/>
  <c r="R13" i="29"/>
  <c r="Q13" i="29"/>
  <c r="P13" i="29"/>
  <c r="O13" i="29"/>
  <c r="N13" i="29"/>
  <c r="AK12" i="29"/>
  <c r="AJ12" i="29"/>
  <c r="AI12" i="29"/>
  <c r="AH12" i="29"/>
  <c r="AG12" i="29"/>
  <c r="AF12" i="29"/>
  <c r="AE12" i="29"/>
  <c r="AD12" i="29"/>
  <c r="AC12" i="29"/>
  <c r="AB12" i="29"/>
  <c r="AA12" i="29"/>
  <c r="Z12" i="29"/>
  <c r="Y12" i="29"/>
  <c r="X12" i="29"/>
  <c r="W12" i="29"/>
  <c r="V12" i="29"/>
  <c r="U12" i="29"/>
  <c r="T12" i="29"/>
  <c r="S12" i="29"/>
  <c r="R12" i="29"/>
  <c r="Q12" i="29"/>
  <c r="P12" i="29"/>
  <c r="O12" i="29"/>
  <c r="N12" i="29"/>
  <c r="AK11" i="29"/>
  <c r="AJ11" i="29"/>
  <c r="AI11" i="29"/>
  <c r="AH11" i="29"/>
  <c r="AG11" i="29"/>
  <c r="AF11" i="29"/>
  <c r="AE11" i="29"/>
  <c r="AD11" i="29"/>
  <c r="AC11" i="29"/>
  <c r="AB11" i="29"/>
  <c r="AA11" i="29"/>
  <c r="Z11" i="29"/>
  <c r="Y11" i="29"/>
  <c r="X11" i="29"/>
  <c r="W11" i="29"/>
  <c r="V11" i="29"/>
  <c r="U11" i="29"/>
  <c r="T11" i="29"/>
  <c r="S11" i="29"/>
  <c r="R11" i="29"/>
  <c r="Q11" i="29"/>
  <c r="P11" i="29"/>
  <c r="O11" i="29"/>
  <c r="N11" i="29"/>
  <c r="AK10" i="29"/>
  <c r="AJ10" i="29"/>
  <c r="AI10" i="29"/>
  <c r="AH10" i="29"/>
  <c r="AG10" i="29"/>
  <c r="AF10" i="29"/>
  <c r="AE10" i="29"/>
  <c r="AD10" i="29"/>
  <c r="AC10" i="29"/>
  <c r="AB10" i="29"/>
  <c r="AA10" i="29"/>
  <c r="Z10" i="29"/>
  <c r="Y10" i="29"/>
  <c r="X10" i="29"/>
  <c r="W10" i="29"/>
  <c r="V10" i="29"/>
  <c r="U10" i="29"/>
  <c r="T10" i="29"/>
  <c r="S10" i="29"/>
  <c r="R10" i="29"/>
  <c r="Q10" i="29"/>
  <c r="P10" i="29"/>
  <c r="O10" i="29"/>
  <c r="N10" i="29"/>
  <c r="AK9" i="29"/>
  <c r="AJ9" i="29"/>
  <c r="AI9" i="29"/>
  <c r="AH9" i="29"/>
  <c r="AG9" i="29"/>
  <c r="AF9" i="29"/>
  <c r="AE9" i="29"/>
  <c r="AD9" i="29"/>
  <c r="AC9" i="29"/>
  <c r="AB9" i="29"/>
  <c r="AA9" i="29"/>
  <c r="Z9" i="29"/>
  <c r="Y9" i="29"/>
  <c r="X9" i="29"/>
  <c r="W9" i="29"/>
  <c r="V9" i="29"/>
  <c r="U9" i="29"/>
  <c r="T9" i="29"/>
  <c r="S9" i="29"/>
  <c r="R9" i="29"/>
  <c r="Q9" i="29"/>
  <c r="P9" i="29"/>
  <c r="O9" i="29"/>
  <c r="N9" i="29"/>
  <c r="AK8" i="29"/>
  <c r="AJ8" i="29"/>
  <c r="AI8" i="29"/>
  <c r="AH8" i="29"/>
  <c r="AG8" i="29"/>
  <c r="AF8" i="29"/>
  <c r="AE8" i="29"/>
  <c r="AD8" i="29"/>
  <c r="AC8" i="29"/>
  <c r="AB8" i="29"/>
  <c r="AA8" i="29"/>
  <c r="Z8" i="29"/>
  <c r="Y8" i="29"/>
  <c r="X8" i="29"/>
  <c r="W8" i="29"/>
  <c r="V8" i="29"/>
  <c r="U8" i="29"/>
  <c r="T8" i="29"/>
  <c r="S8" i="29"/>
  <c r="R8" i="29"/>
  <c r="Q8" i="29"/>
  <c r="P8" i="29"/>
  <c r="O8" i="29"/>
  <c r="N8" i="29"/>
  <c r="AK7" i="29"/>
  <c r="AJ7" i="29"/>
  <c r="AI7" i="29"/>
  <c r="AH7" i="29"/>
  <c r="AG7" i="29"/>
  <c r="AF7" i="29"/>
  <c r="AE7" i="29"/>
  <c r="AD7" i="29"/>
  <c r="AC7" i="29"/>
  <c r="AB7" i="29"/>
  <c r="AA7" i="29"/>
  <c r="Z7" i="29"/>
  <c r="Y7" i="29"/>
  <c r="X7" i="29"/>
  <c r="W7" i="29"/>
  <c r="V7" i="29"/>
  <c r="U7" i="29"/>
  <c r="T7" i="29"/>
  <c r="S7" i="29"/>
  <c r="R7" i="29"/>
  <c r="Q7" i="29"/>
  <c r="P7" i="29"/>
  <c r="O7" i="29"/>
  <c r="N7" i="29"/>
  <c r="AK6" i="29"/>
  <c r="AJ6" i="29"/>
  <c r="AI6" i="29"/>
  <c r="AH6" i="29"/>
  <c r="AG6" i="29"/>
  <c r="AF6" i="29"/>
  <c r="AE6" i="29"/>
  <c r="AD6" i="29"/>
  <c r="AC6" i="29"/>
  <c r="AB6" i="29"/>
  <c r="AA6" i="29"/>
  <c r="Z6" i="29"/>
  <c r="Y6" i="29"/>
  <c r="X6" i="29"/>
  <c r="W6" i="29"/>
  <c r="V6" i="29"/>
  <c r="U6" i="29"/>
  <c r="T6" i="29"/>
  <c r="S6" i="29"/>
  <c r="R6" i="29"/>
  <c r="Q6" i="29"/>
  <c r="P6" i="29"/>
  <c r="O6" i="29"/>
  <c r="N6" i="29"/>
  <c r="AK4" i="29"/>
  <c r="AJ4" i="29"/>
  <c r="AI4" i="29"/>
  <c r="AH4" i="29"/>
  <c r="AG4" i="29"/>
  <c r="AF4" i="29"/>
  <c r="AE4" i="29"/>
  <c r="AD4" i="29"/>
  <c r="AC4" i="29"/>
  <c r="AB4" i="29"/>
  <c r="AA4" i="29"/>
  <c r="Z4" i="29"/>
  <c r="Y4" i="29"/>
  <c r="X4" i="29"/>
  <c r="W4" i="29"/>
  <c r="V4" i="29"/>
  <c r="U4" i="29"/>
  <c r="T4" i="29"/>
  <c r="S4" i="29"/>
  <c r="R4" i="29"/>
  <c r="Q4" i="29"/>
  <c r="P4" i="29"/>
  <c r="AK23" i="25"/>
  <c r="AJ23" i="25"/>
  <c r="AI23" i="25"/>
  <c r="AH23" i="25"/>
  <c r="AG23" i="25"/>
  <c r="AF23" i="25"/>
  <c r="AE23" i="25"/>
  <c r="AD23" i="25"/>
  <c r="AC23" i="25"/>
  <c r="AB23" i="25"/>
  <c r="AA23" i="25"/>
  <c r="Z23" i="25"/>
  <c r="Y23" i="25"/>
  <c r="X23" i="25"/>
  <c r="W23" i="25"/>
  <c r="V23" i="25"/>
  <c r="U23" i="25"/>
  <c r="T23" i="25"/>
  <c r="S23" i="25"/>
  <c r="R23" i="25"/>
  <c r="Q23" i="25"/>
  <c r="P23" i="25"/>
  <c r="O23" i="25"/>
  <c r="N23"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AK21" i="25"/>
  <c r="AJ21" i="25"/>
  <c r="AI21" i="25"/>
  <c r="AH21" i="25"/>
  <c r="AG21" i="25"/>
  <c r="AF21" i="25"/>
  <c r="AE21" i="25"/>
  <c r="AD21" i="25"/>
  <c r="AC21" i="25"/>
  <c r="AB21" i="25"/>
  <c r="AA21" i="25"/>
  <c r="Z21" i="25"/>
  <c r="Y21" i="25"/>
  <c r="X21" i="25"/>
  <c r="W21" i="25"/>
  <c r="V21" i="25"/>
  <c r="U21" i="25"/>
  <c r="T21" i="25"/>
  <c r="S21" i="25"/>
  <c r="R21" i="25"/>
  <c r="Q21" i="25"/>
  <c r="P21" i="25"/>
  <c r="O21" i="25"/>
  <c r="N21" i="25"/>
  <c r="AK20" i="25"/>
  <c r="AJ20" i="25"/>
  <c r="AI20" i="25"/>
  <c r="AH20" i="25"/>
  <c r="AG20" i="25"/>
  <c r="AF20" i="25"/>
  <c r="AE20" i="25"/>
  <c r="AD20" i="25"/>
  <c r="AC20" i="25"/>
  <c r="AB20" i="25"/>
  <c r="AA20" i="25"/>
  <c r="Z20" i="25"/>
  <c r="Y20" i="25"/>
  <c r="X20" i="25"/>
  <c r="W20" i="25"/>
  <c r="V20" i="25"/>
  <c r="U20" i="25"/>
  <c r="T20" i="25"/>
  <c r="S20" i="25"/>
  <c r="R20" i="25"/>
  <c r="Q20" i="25"/>
  <c r="P20" i="25"/>
  <c r="O20" i="25"/>
  <c r="N20" i="25"/>
  <c r="AK19" i="25"/>
  <c r="AJ19" i="25"/>
  <c r="AI19" i="25"/>
  <c r="AH19" i="25"/>
  <c r="AG19" i="25"/>
  <c r="AF19" i="25"/>
  <c r="AE19" i="25"/>
  <c r="AD19" i="25"/>
  <c r="AC19" i="25"/>
  <c r="AB19" i="25"/>
  <c r="AA19" i="25"/>
  <c r="Z19" i="25"/>
  <c r="Y19" i="25"/>
  <c r="X19" i="25"/>
  <c r="W19" i="25"/>
  <c r="V19" i="25"/>
  <c r="U19" i="25"/>
  <c r="T19" i="25"/>
  <c r="S19" i="25"/>
  <c r="R19" i="25"/>
  <c r="Q19" i="25"/>
  <c r="P19" i="25"/>
  <c r="O19" i="25"/>
  <c r="N19" i="25"/>
  <c r="AK18" i="25"/>
  <c r="AJ18" i="25"/>
  <c r="AI18" i="25"/>
  <c r="AH18" i="25"/>
  <c r="AG18" i="25"/>
  <c r="AF18" i="25"/>
  <c r="AE18" i="25"/>
  <c r="AD18" i="25"/>
  <c r="AC18" i="25"/>
  <c r="AB18" i="25"/>
  <c r="AA18" i="25"/>
  <c r="Z18" i="25"/>
  <c r="Y18" i="25"/>
  <c r="X18" i="25"/>
  <c r="W18" i="25"/>
  <c r="V18" i="25"/>
  <c r="U18" i="25"/>
  <c r="T18" i="25"/>
  <c r="S18" i="25"/>
  <c r="R18" i="25"/>
  <c r="Q18" i="25"/>
  <c r="P18" i="25"/>
  <c r="O18" i="25"/>
  <c r="N18" i="25"/>
  <c r="AK17" i="25"/>
  <c r="AJ17" i="25"/>
  <c r="AI17" i="25"/>
  <c r="AH17" i="25"/>
  <c r="AG17" i="25"/>
  <c r="AF17" i="25"/>
  <c r="AE17" i="25"/>
  <c r="AD17" i="25"/>
  <c r="AC17" i="25"/>
  <c r="AB17" i="25"/>
  <c r="AA17" i="25"/>
  <c r="Z17" i="25"/>
  <c r="Y17" i="25"/>
  <c r="X17" i="25"/>
  <c r="W17" i="25"/>
  <c r="V17" i="25"/>
  <c r="U17" i="25"/>
  <c r="T17" i="25"/>
  <c r="S17" i="25"/>
  <c r="R17" i="25"/>
  <c r="Q17" i="25"/>
  <c r="P17" i="25"/>
  <c r="O17" i="25"/>
  <c r="N17" i="25"/>
  <c r="AK16" i="25"/>
  <c r="AJ16" i="25"/>
  <c r="AI16" i="25"/>
  <c r="AH16" i="25"/>
  <c r="AG16" i="25"/>
  <c r="AF16" i="25"/>
  <c r="AE16" i="25"/>
  <c r="AD16" i="25"/>
  <c r="AC16" i="25"/>
  <c r="AB16" i="25"/>
  <c r="AA16" i="25"/>
  <c r="Z16" i="25"/>
  <c r="Y16" i="25"/>
  <c r="X16" i="25"/>
  <c r="W16" i="25"/>
  <c r="V16" i="25"/>
  <c r="U16" i="25"/>
  <c r="T16" i="25"/>
  <c r="S16" i="25"/>
  <c r="R16" i="25"/>
  <c r="Q16" i="25"/>
  <c r="P16" i="25"/>
  <c r="O16" i="25"/>
  <c r="N16" i="25"/>
  <c r="AK15" i="25"/>
  <c r="AJ15" i="25"/>
  <c r="AI15" i="25"/>
  <c r="AH15" i="25"/>
  <c r="AG15" i="25"/>
  <c r="AF15" i="25"/>
  <c r="AE15" i="25"/>
  <c r="AD15" i="25"/>
  <c r="AC15" i="25"/>
  <c r="AB15" i="25"/>
  <c r="AA15" i="25"/>
  <c r="Z15" i="25"/>
  <c r="Y15" i="25"/>
  <c r="X15" i="25"/>
  <c r="W15" i="25"/>
  <c r="V15" i="25"/>
  <c r="U15" i="25"/>
  <c r="T15" i="25"/>
  <c r="S15" i="25"/>
  <c r="R15" i="25"/>
  <c r="Q15" i="25"/>
  <c r="P15" i="25"/>
  <c r="O15" i="25"/>
  <c r="N15" i="25"/>
  <c r="AK14" i="25"/>
  <c r="AJ14" i="25"/>
  <c r="AI14" i="25"/>
  <c r="AH14" i="25"/>
  <c r="AG14" i="25"/>
  <c r="AF14" i="25"/>
  <c r="AE14" i="25"/>
  <c r="AD14" i="25"/>
  <c r="AC14" i="25"/>
  <c r="AB14" i="25"/>
  <c r="AA14" i="25"/>
  <c r="Z14" i="25"/>
  <c r="Y14" i="25"/>
  <c r="X14" i="25"/>
  <c r="W14" i="25"/>
  <c r="V14" i="25"/>
  <c r="U14" i="25"/>
  <c r="T14" i="25"/>
  <c r="S14" i="25"/>
  <c r="R14" i="25"/>
  <c r="Q14" i="25"/>
  <c r="P14" i="25"/>
  <c r="O14" i="25"/>
  <c r="N14" i="25"/>
  <c r="AK13" i="25"/>
  <c r="AJ13" i="25"/>
  <c r="AI13" i="25"/>
  <c r="AH13" i="25"/>
  <c r="AG13" i="25"/>
  <c r="AF13" i="25"/>
  <c r="AE13" i="25"/>
  <c r="AD13" i="25"/>
  <c r="AC13" i="25"/>
  <c r="AB13" i="25"/>
  <c r="AA13" i="25"/>
  <c r="Z13" i="25"/>
  <c r="Y13" i="25"/>
  <c r="X13" i="25"/>
  <c r="W13" i="25"/>
  <c r="V13" i="25"/>
  <c r="U13" i="25"/>
  <c r="T13" i="25"/>
  <c r="S13" i="25"/>
  <c r="R13" i="25"/>
  <c r="Q13" i="25"/>
  <c r="P13" i="25"/>
  <c r="O13" i="25"/>
  <c r="N13" i="25"/>
  <c r="AK12" i="25"/>
  <c r="AJ12" i="25"/>
  <c r="AI12" i="25"/>
  <c r="AH12" i="25"/>
  <c r="AG12" i="25"/>
  <c r="AF12" i="25"/>
  <c r="AE12" i="25"/>
  <c r="AD12" i="25"/>
  <c r="AC12" i="25"/>
  <c r="AB12" i="25"/>
  <c r="AA12" i="25"/>
  <c r="Z12" i="25"/>
  <c r="Y12" i="25"/>
  <c r="X12" i="25"/>
  <c r="W12" i="25"/>
  <c r="V12" i="25"/>
  <c r="U12" i="25"/>
  <c r="T12" i="25"/>
  <c r="S12" i="25"/>
  <c r="R12" i="25"/>
  <c r="Q12" i="25"/>
  <c r="P12" i="25"/>
  <c r="O12" i="25"/>
  <c r="N12" i="25"/>
  <c r="AK11" i="25"/>
  <c r="AJ11" i="25"/>
  <c r="AI11" i="25"/>
  <c r="AH11" i="25"/>
  <c r="AG11" i="25"/>
  <c r="AF11" i="25"/>
  <c r="AE11" i="25"/>
  <c r="AD11" i="25"/>
  <c r="AC11" i="25"/>
  <c r="AB11" i="25"/>
  <c r="AA11" i="25"/>
  <c r="Z11" i="25"/>
  <c r="Y11" i="25"/>
  <c r="X11" i="25"/>
  <c r="W11" i="25"/>
  <c r="V11" i="25"/>
  <c r="U11" i="25"/>
  <c r="T11" i="25"/>
  <c r="S11" i="25"/>
  <c r="R11" i="25"/>
  <c r="Q11" i="25"/>
  <c r="P11" i="25"/>
  <c r="O11" i="25"/>
  <c r="N11" i="25"/>
  <c r="AK10" i="25"/>
  <c r="AJ10" i="25"/>
  <c r="AI10" i="25"/>
  <c r="AH10" i="25"/>
  <c r="AG10" i="25"/>
  <c r="AF10" i="25"/>
  <c r="AE10" i="25"/>
  <c r="AD10" i="25"/>
  <c r="AC10" i="25"/>
  <c r="AB10" i="25"/>
  <c r="AA10" i="25"/>
  <c r="Z10" i="25"/>
  <c r="Y10" i="25"/>
  <c r="X10" i="25"/>
  <c r="W10" i="25"/>
  <c r="V10" i="25"/>
  <c r="U10" i="25"/>
  <c r="T10" i="25"/>
  <c r="S10" i="25"/>
  <c r="R10" i="25"/>
  <c r="Q10" i="25"/>
  <c r="P10" i="25"/>
  <c r="O10" i="25"/>
  <c r="N10" i="25"/>
  <c r="AK9" i="25"/>
  <c r="AJ9" i="25"/>
  <c r="AI9" i="25"/>
  <c r="AH9" i="25"/>
  <c r="AG9" i="25"/>
  <c r="AF9" i="25"/>
  <c r="AE9" i="25"/>
  <c r="AD9" i="25"/>
  <c r="AC9" i="25"/>
  <c r="AB9" i="25"/>
  <c r="AA9" i="25"/>
  <c r="Z9" i="25"/>
  <c r="Y9" i="25"/>
  <c r="X9" i="25"/>
  <c r="W9" i="25"/>
  <c r="V9" i="25"/>
  <c r="U9" i="25"/>
  <c r="T9" i="25"/>
  <c r="S9" i="25"/>
  <c r="R9" i="25"/>
  <c r="Q9" i="25"/>
  <c r="P9" i="25"/>
  <c r="O9" i="25"/>
  <c r="N9" i="25"/>
  <c r="AK8" i="25"/>
  <c r="AJ8" i="25"/>
  <c r="AI8" i="25"/>
  <c r="AH8" i="25"/>
  <c r="AG8" i="25"/>
  <c r="AF8" i="25"/>
  <c r="AE8" i="25"/>
  <c r="AD8" i="25"/>
  <c r="AC8" i="25"/>
  <c r="AB8" i="25"/>
  <c r="AA8" i="25"/>
  <c r="Z8" i="25"/>
  <c r="Y8" i="25"/>
  <c r="X8" i="25"/>
  <c r="W8" i="25"/>
  <c r="V8" i="25"/>
  <c r="U8" i="25"/>
  <c r="T8" i="25"/>
  <c r="S8" i="25"/>
  <c r="R8" i="25"/>
  <c r="Q8" i="25"/>
  <c r="P8" i="25"/>
  <c r="O8" i="25"/>
  <c r="N8" i="25"/>
  <c r="AK7" i="25"/>
  <c r="AJ7" i="25"/>
  <c r="AI7" i="25"/>
  <c r="AH7" i="25"/>
  <c r="AG7" i="25"/>
  <c r="AF7" i="25"/>
  <c r="AE7" i="25"/>
  <c r="AD7" i="25"/>
  <c r="AC7" i="25"/>
  <c r="AB7" i="25"/>
  <c r="AA7" i="25"/>
  <c r="Z7" i="25"/>
  <c r="Y7" i="25"/>
  <c r="X7" i="25"/>
  <c r="W7" i="25"/>
  <c r="V7" i="25"/>
  <c r="U7" i="25"/>
  <c r="T7" i="25"/>
  <c r="S7" i="25"/>
  <c r="R7" i="25"/>
  <c r="Q7" i="25"/>
  <c r="P7" i="25"/>
  <c r="O7" i="25"/>
  <c r="N7" i="25"/>
  <c r="AK6" i="25"/>
  <c r="AJ6" i="25"/>
  <c r="AI6" i="25"/>
  <c r="AH6" i="25"/>
  <c r="AG6" i="25"/>
  <c r="AF6" i="25"/>
  <c r="AE6" i="25"/>
  <c r="AD6" i="25"/>
  <c r="AC6" i="25"/>
  <c r="AB6" i="25"/>
  <c r="AA6" i="25"/>
  <c r="Z6" i="25"/>
  <c r="Y6" i="25"/>
  <c r="X6" i="25"/>
  <c r="W6" i="25"/>
  <c r="V6" i="25"/>
  <c r="U6" i="25"/>
  <c r="T6" i="25"/>
  <c r="S6" i="25"/>
  <c r="R6" i="25"/>
  <c r="Q6" i="25"/>
  <c r="P6" i="25"/>
  <c r="O6" i="25"/>
  <c r="N6" i="25"/>
  <c r="AK4" i="25"/>
  <c r="AJ4" i="25"/>
  <c r="AI4" i="25"/>
  <c r="AH4" i="25"/>
  <c r="AG4" i="25"/>
  <c r="AF4" i="25"/>
  <c r="AE4" i="25"/>
  <c r="AD4" i="25"/>
  <c r="AC4" i="25"/>
  <c r="AB4" i="25"/>
  <c r="AA4" i="25"/>
  <c r="Z4" i="25"/>
  <c r="Y4" i="25"/>
  <c r="X4" i="25"/>
  <c r="W4" i="25"/>
  <c r="V4" i="25"/>
  <c r="U4" i="25"/>
  <c r="T4" i="25"/>
  <c r="S4" i="25"/>
  <c r="R4" i="25"/>
  <c r="Q4" i="25"/>
  <c r="P4" i="25"/>
  <c r="AK4" i="21"/>
  <c r="AK6" i="21"/>
  <c r="AK7" i="21"/>
  <c r="AK8" i="21"/>
  <c r="AK9" i="21"/>
  <c r="AK10" i="21"/>
  <c r="AK11" i="21"/>
  <c r="AK12" i="21"/>
  <c r="AK13" i="21"/>
  <c r="AK14" i="21"/>
  <c r="AK15" i="21"/>
  <c r="AK16" i="21"/>
  <c r="AK17" i="21"/>
  <c r="AK18" i="21"/>
  <c r="AK19" i="21"/>
  <c r="AK20" i="21"/>
  <c r="AK21" i="21"/>
  <c r="AK22" i="21"/>
  <c r="AK23" i="21"/>
  <c r="AB4" i="21"/>
  <c r="AC4" i="21"/>
  <c r="AD4" i="21"/>
  <c r="AE4" i="21"/>
  <c r="AF4" i="21"/>
  <c r="AG4" i="21"/>
  <c r="AH4" i="21"/>
  <c r="AI4" i="21"/>
  <c r="AJ4" i="21"/>
  <c r="AB6" i="21"/>
  <c r="AC6" i="21"/>
  <c r="AD6" i="21"/>
  <c r="AE6" i="21"/>
  <c r="AF6" i="21"/>
  <c r="AG6" i="21"/>
  <c r="AH6" i="21"/>
  <c r="AI6" i="21"/>
  <c r="AJ6" i="21"/>
  <c r="AB7" i="21"/>
  <c r="AC7" i="21"/>
  <c r="AD7" i="21"/>
  <c r="AE7" i="21"/>
  <c r="AF7" i="21"/>
  <c r="AG7" i="21"/>
  <c r="AH7" i="21"/>
  <c r="AI7" i="21"/>
  <c r="AJ7" i="21"/>
  <c r="AB8" i="21"/>
  <c r="AC8" i="21"/>
  <c r="AD8" i="21"/>
  <c r="AE8" i="21"/>
  <c r="AF8" i="21"/>
  <c r="AG8" i="21"/>
  <c r="AH8" i="21"/>
  <c r="AI8" i="21"/>
  <c r="AJ8" i="21"/>
  <c r="AB9" i="21"/>
  <c r="AC9" i="21"/>
  <c r="AD9" i="21"/>
  <c r="AE9" i="21"/>
  <c r="AF9" i="21"/>
  <c r="AG9" i="21"/>
  <c r="AH9" i="21"/>
  <c r="AI9" i="21"/>
  <c r="AJ9" i="21"/>
  <c r="AB10" i="21"/>
  <c r="AC10" i="21"/>
  <c r="AD10" i="21"/>
  <c r="AE10" i="21"/>
  <c r="AF10" i="21"/>
  <c r="AG10" i="21"/>
  <c r="AH10" i="21"/>
  <c r="AI10" i="21"/>
  <c r="AJ10" i="21"/>
  <c r="AB11" i="21"/>
  <c r="AC11" i="21"/>
  <c r="AD11" i="21"/>
  <c r="AE11" i="21"/>
  <c r="AF11" i="21"/>
  <c r="AG11" i="21"/>
  <c r="AH11" i="21"/>
  <c r="AI11" i="21"/>
  <c r="AJ11" i="21"/>
  <c r="AB12" i="21"/>
  <c r="AC12" i="21"/>
  <c r="AD12" i="21"/>
  <c r="AE12" i="21"/>
  <c r="AF12" i="21"/>
  <c r="AG12" i="21"/>
  <c r="AH12" i="21"/>
  <c r="AI12" i="21"/>
  <c r="AJ12" i="21"/>
  <c r="AB13" i="21"/>
  <c r="AC13" i="21"/>
  <c r="AD13" i="21"/>
  <c r="AE13" i="21"/>
  <c r="AF13" i="21"/>
  <c r="AG13" i="21"/>
  <c r="AH13" i="21"/>
  <c r="AI13" i="21"/>
  <c r="AJ13" i="21"/>
  <c r="AB14" i="21"/>
  <c r="AC14" i="21"/>
  <c r="AD14" i="21"/>
  <c r="AE14" i="21"/>
  <c r="AF14" i="21"/>
  <c r="AG14" i="21"/>
  <c r="AH14" i="21"/>
  <c r="AI14" i="21"/>
  <c r="AJ14" i="21"/>
  <c r="AB15" i="21"/>
  <c r="AC15" i="21"/>
  <c r="AD15" i="21"/>
  <c r="AE15" i="21"/>
  <c r="AF15" i="21"/>
  <c r="AG15" i="21"/>
  <c r="AH15" i="21"/>
  <c r="AI15" i="21"/>
  <c r="AJ15" i="21"/>
  <c r="AB16" i="21"/>
  <c r="AC16" i="21"/>
  <c r="AD16" i="21"/>
  <c r="AE16" i="21"/>
  <c r="AF16" i="21"/>
  <c r="AG16" i="21"/>
  <c r="AH16" i="21"/>
  <c r="AI16" i="21"/>
  <c r="AJ16" i="21"/>
  <c r="AB17" i="21"/>
  <c r="AC17" i="21"/>
  <c r="AD17" i="21"/>
  <c r="AE17" i="21"/>
  <c r="AF17" i="21"/>
  <c r="AG17" i="21"/>
  <c r="AH17" i="21"/>
  <c r="AI17" i="21"/>
  <c r="AJ17" i="21"/>
  <c r="AB18" i="21"/>
  <c r="AC18" i="21"/>
  <c r="AD18" i="21"/>
  <c r="AE18" i="21"/>
  <c r="AF18" i="21"/>
  <c r="AG18" i="21"/>
  <c r="AH18" i="21"/>
  <c r="AI18" i="21"/>
  <c r="AJ18" i="21"/>
  <c r="AB19" i="21"/>
  <c r="AC19" i="21"/>
  <c r="AD19" i="21"/>
  <c r="AE19" i="21"/>
  <c r="AF19" i="21"/>
  <c r="AG19" i="21"/>
  <c r="AH19" i="21"/>
  <c r="AI19" i="21"/>
  <c r="AJ19" i="21"/>
  <c r="AB20" i="21"/>
  <c r="AC20" i="21"/>
  <c r="AD20" i="21"/>
  <c r="AE20" i="21"/>
  <c r="AF20" i="21"/>
  <c r="AG20" i="21"/>
  <c r="AH20" i="21"/>
  <c r="AI20" i="21"/>
  <c r="AJ20" i="21"/>
  <c r="AB21" i="21"/>
  <c r="AC21" i="21"/>
  <c r="AD21" i="21"/>
  <c r="AE21" i="21"/>
  <c r="AF21" i="21"/>
  <c r="AG21" i="21"/>
  <c r="AH21" i="21"/>
  <c r="AI21" i="21"/>
  <c r="AJ21" i="21"/>
  <c r="AB22" i="21"/>
  <c r="AC22" i="21"/>
  <c r="AD22" i="21"/>
  <c r="AE22" i="21"/>
  <c r="AF22" i="21"/>
  <c r="AG22" i="21"/>
  <c r="AH22" i="21"/>
  <c r="AI22" i="21"/>
  <c r="AJ22" i="21"/>
  <c r="AB23" i="21"/>
  <c r="AC23" i="21"/>
  <c r="AD23" i="21"/>
  <c r="AE23" i="21"/>
  <c r="AF23" i="21"/>
  <c r="AG23" i="21"/>
  <c r="AH23" i="21"/>
  <c r="AI23" i="21"/>
  <c r="AJ23" i="21"/>
  <c r="AA4" i="21"/>
  <c r="AA7" i="21"/>
  <c r="AA8" i="21"/>
  <c r="AA9" i="21"/>
  <c r="AA10" i="21"/>
  <c r="AA11" i="21"/>
  <c r="AA12" i="21"/>
  <c r="AA13" i="21"/>
  <c r="AA14" i="21"/>
  <c r="AA15" i="21"/>
  <c r="AA16" i="21"/>
  <c r="AA17" i="21"/>
  <c r="AA18" i="21"/>
  <c r="AA19" i="21"/>
  <c r="AA20" i="21"/>
  <c r="AA21" i="21"/>
  <c r="AA22" i="21"/>
  <c r="AA23" i="21"/>
  <c r="AA6" i="21"/>
  <c r="P7" i="21"/>
  <c r="Q7" i="21"/>
  <c r="R7" i="21"/>
  <c r="S7" i="21"/>
  <c r="T7" i="21"/>
  <c r="U7" i="21"/>
  <c r="V7" i="21"/>
  <c r="W7" i="21"/>
  <c r="X7" i="21"/>
  <c r="Y7" i="21"/>
  <c r="Z7" i="21"/>
  <c r="P8" i="21"/>
  <c r="Q8" i="21"/>
  <c r="R8" i="21"/>
  <c r="S8" i="21"/>
  <c r="T8" i="21"/>
  <c r="U8" i="21"/>
  <c r="V8" i="21"/>
  <c r="W8" i="21"/>
  <c r="X8" i="21"/>
  <c r="Y8" i="21"/>
  <c r="Z8" i="21"/>
  <c r="P9" i="21"/>
  <c r="Q9" i="21"/>
  <c r="R9" i="21"/>
  <c r="S9" i="21"/>
  <c r="T9" i="21"/>
  <c r="U9" i="21"/>
  <c r="V9" i="21"/>
  <c r="W9" i="21"/>
  <c r="X9" i="21"/>
  <c r="Y9" i="21"/>
  <c r="Z9" i="21"/>
  <c r="P10" i="21"/>
  <c r="Q10" i="21"/>
  <c r="R10" i="21"/>
  <c r="S10" i="21"/>
  <c r="T10" i="21"/>
  <c r="U10" i="21"/>
  <c r="V10" i="21"/>
  <c r="W10" i="21"/>
  <c r="X10" i="21"/>
  <c r="Y10" i="21"/>
  <c r="Z10" i="21"/>
  <c r="P11" i="21"/>
  <c r="Q11" i="21"/>
  <c r="R11" i="21"/>
  <c r="S11" i="21"/>
  <c r="T11" i="21"/>
  <c r="U11" i="21"/>
  <c r="V11" i="21"/>
  <c r="W11" i="21"/>
  <c r="X11" i="21"/>
  <c r="Y11" i="21"/>
  <c r="Z11" i="21"/>
  <c r="P12" i="21"/>
  <c r="Q12" i="21"/>
  <c r="R12" i="21"/>
  <c r="S12" i="21"/>
  <c r="T12" i="21"/>
  <c r="U12" i="21"/>
  <c r="V12" i="21"/>
  <c r="W12" i="21"/>
  <c r="X12" i="21"/>
  <c r="Y12" i="21"/>
  <c r="Z12" i="21"/>
  <c r="P13" i="21"/>
  <c r="Q13" i="21"/>
  <c r="R13" i="21"/>
  <c r="S13" i="21"/>
  <c r="T13" i="21"/>
  <c r="U13" i="21"/>
  <c r="V13" i="21"/>
  <c r="W13" i="21"/>
  <c r="X13" i="21"/>
  <c r="Y13" i="21"/>
  <c r="Z13" i="21"/>
  <c r="P14" i="21"/>
  <c r="Q14" i="21"/>
  <c r="R14" i="21"/>
  <c r="S14" i="21"/>
  <c r="T14" i="21"/>
  <c r="U14" i="21"/>
  <c r="V14" i="21"/>
  <c r="W14" i="21"/>
  <c r="X14" i="21"/>
  <c r="Y14" i="21"/>
  <c r="Z14" i="21"/>
  <c r="P15" i="21"/>
  <c r="Q15" i="21"/>
  <c r="R15" i="21"/>
  <c r="S15" i="21"/>
  <c r="T15" i="21"/>
  <c r="U15" i="21"/>
  <c r="V15" i="21"/>
  <c r="W15" i="21"/>
  <c r="X15" i="21"/>
  <c r="Y15" i="21"/>
  <c r="Z15" i="21"/>
  <c r="P16" i="21"/>
  <c r="Q16" i="21"/>
  <c r="R16" i="21"/>
  <c r="S16" i="21"/>
  <c r="T16" i="21"/>
  <c r="U16" i="21"/>
  <c r="V16" i="21"/>
  <c r="W16" i="21"/>
  <c r="X16" i="21"/>
  <c r="Y16" i="21"/>
  <c r="Z16" i="21"/>
  <c r="P17" i="21"/>
  <c r="Q17" i="21"/>
  <c r="R17" i="21"/>
  <c r="S17" i="21"/>
  <c r="T17" i="21"/>
  <c r="U17" i="21"/>
  <c r="V17" i="21"/>
  <c r="W17" i="21"/>
  <c r="X17" i="21"/>
  <c r="Y17" i="21"/>
  <c r="Z17" i="21"/>
  <c r="P18" i="21"/>
  <c r="Q18" i="21"/>
  <c r="R18" i="21"/>
  <c r="S18" i="21"/>
  <c r="T18" i="21"/>
  <c r="U18" i="21"/>
  <c r="V18" i="21"/>
  <c r="W18" i="21"/>
  <c r="X18" i="21"/>
  <c r="Y18" i="21"/>
  <c r="Z18" i="21"/>
  <c r="P19" i="21"/>
  <c r="Q19" i="21"/>
  <c r="R19" i="21"/>
  <c r="S19" i="21"/>
  <c r="T19" i="21"/>
  <c r="U19" i="21"/>
  <c r="V19" i="21"/>
  <c r="W19" i="21"/>
  <c r="X19" i="21"/>
  <c r="Y19" i="21"/>
  <c r="Z19" i="21"/>
  <c r="P20" i="21"/>
  <c r="Q20" i="21"/>
  <c r="R20" i="21"/>
  <c r="S20" i="21"/>
  <c r="T20" i="21"/>
  <c r="U20" i="21"/>
  <c r="V20" i="21"/>
  <c r="W20" i="21"/>
  <c r="X20" i="21"/>
  <c r="Y20" i="21"/>
  <c r="Z20" i="21"/>
  <c r="P21" i="21"/>
  <c r="Q21" i="21"/>
  <c r="R21" i="21"/>
  <c r="S21" i="21"/>
  <c r="T21" i="21"/>
  <c r="U21" i="21"/>
  <c r="V21" i="21"/>
  <c r="W21" i="21"/>
  <c r="X21" i="21"/>
  <c r="Y21" i="21"/>
  <c r="Z21" i="21"/>
  <c r="P22" i="21"/>
  <c r="Q22" i="21"/>
  <c r="R22" i="21"/>
  <c r="S22" i="21"/>
  <c r="T22" i="21"/>
  <c r="U22" i="21"/>
  <c r="V22" i="21"/>
  <c r="W22" i="21"/>
  <c r="X22" i="21"/>
  <c r="Y22" i="21"/>
  <c r="Z22" i="21"/>
  <c r="P23" i="21"/>
  <c r="Q23" i="21"/>
  <c r="R23" i="21"/>
  <c r="S23" i="21"/>
  <c r="T23" i="21"/>
  <c r="U23" i="21"/>
  <c r="V23" i="21"/>
  <c r="W23" i="21"/>
  <c r="X23" i="21"/>
  <c r="Y23" i="21"/>
  <c r="Z23" i="21"/>
  <c r="Q6" i="21"/>
  <c r="R6" i="21"/>
  <c r="S6" i="21"/>
  <c r="T6" i="21"/>
  <c r="U6" i="21"/>
  <c r="V6" i="21"/>
  <c r="W6" i="21"/>
  <c r="X6" i="21"/>
  <c r="Y6" i="21"/>
  <c r="Z6" i="21"/>
  <c r="X4" i="21"/>
  <c r="Y4" i="21"/>
  <c r="Z4" i="21"/>
  <c r="Q4" i="21"/>
  <c r="R4" i="21"/>
  <c r="S4" i="21"/>
  <c r="T4" i="21"/>
  <c r="U4" i="21"/>
  <c r="V4" i="21"/>
  <c r="W4" i="21"/>
  <c r="P4" i="21"/>
  <c r="P6" i="21"/>
  <c r="O6" i="21"/>
  <c r="O7" i="21"/>
  <c r="O8" i="21"/>
  <c r="O9" i="21"/>
  <c r="O10" i="21"/>
  <c r="O23" i="21"/>
  <c r="O12" i="21"/>
  <c r="O13" i="21"/>
  <c r="O14" i="21"/>
  <c r="O15" i="21"/>
  <c r="O16" i="21"/>
  <c r="O17" i="21"/>
  <c r="O18" i="21"/>
  <c r="O19" i="21"/>
  <c r="O20" i="21"/>
  <c r="O21" i="21"/>
  <c r="O22" i="21"/>
  <c r="O11" i="21"/>
  <c r="N7" i="21"/>
  <c r="N8" i="21"/>
  <c r="N9" i="21"/>
  <c r="N10" i="21"/>
  <c r="N11" i="21"/>
  <c r="N12" i="21"/>
  <c r="N13" i="21"/>
  <c r="N14" i="21"/>
  <c r="N15" i="21"/>
  <c r="N16" i="21"/>
  <c r="N17" i="21"/>
  <c r="N18" i="21"/>
  <c r="N19" i="21"/>
  <c r="N20" i="21"/>
  <c r="N21" i="21"/>
  <c r="N22" i="21"/>
  <c r="N23" i="21"/>
  <c r="N6" i="21"/>
  <c r="P10" i="5" l="1"/>
  <c r="P7" i="5"/>
  <c r="P9" i="5"/>
  <c r="P7" i="55"/>
  <c r="P10" i="55"/>
  <c r="P8" i="55"/>
  <c r="P6" i="5"/>
  <c r="P8" i="5"/>
  <c r="P6" i="35"/>
  <c r="P9" i="35"/>
  <c r="Y97" i="74"/>
  <c r="Y94" i="74"/>
  <c r="R97" i="74"/>
  <c r="R94" i="74"/>
  <c r="L29" i="24"/>
  <c r="L28" i="24"/>
  <c r="K28" i="24"/>
  <c r="K29" i="24" s="1"/>
  <c r="J28" i="24"/>
  <c r="J29" i="24" s="1"/>
  <c r="I28" i="24"/>
  <c r="I29" i="24" s="1"/>
  <c r="H28" i="24"/>
  <c r="H29" i="24" s="1"/>
  <c r="G28" i="24"/>
  <c r="G29" i="24" s="1"/>
  <c r="F28" i="24"/>
  <c r="F29" i="24" s="1"/>
  <c r="E28" i="24"/>
  <c r="E29" i="24" s="1"/>
  <c r="D28" i="24"/>
  <c r="D29" i="24" s="1"/>
  <c r="C28" i="24"/>
  <c r="C29" i="24" s="1"/>
  <c r="B28" i="24"/>
  <c r="B29" i="24" s="1"/>
  <c r="L24" i="24"/>
  <c r="L25" i="24" s="1"/>
  <c r="K24" i="24"/>
  <c r="K25" i="24" s="1"/>
  <c r="J24" i="24"/>
  <c r="J25" i="24" s="1"/>
  <c r="I24" i="24"/>
  <c r="I25" i="24" s="1"/>
  <c r="H24" i="24"/>
  <c r="H25" i="24" s="1"/>
  <c r="G24" i="24"/>
  <c r="G25" i="24" s="1"/>
  <c r="F24" i="24"/>
  <c r="F25" i="24" s="1"/>
  <c r="E24" i="24"/>
  <c r="E25" i="24" s="1"/>
  <c r="D24" i="24"/>
  <c r="D25" i="24" s="1"/>
  <c r="C24" i="24"/>
  <c r="C25" i="24" s="1"/>
  <c r="B24" i="24"/>
  <c r="B25" i="24" s="1"/>
  <c r="L21" i="24"/>
  <c r="L22" i="24" s="1"/>
  <c r="K21" i="24"/>
  <c r="K22" i="24" s="1"/>
  <c r="J21" i="24"/>
  <c r="J22" i="24" s="1"/>
  <c r="I21" i="24"/>
  <c r="I22" i="24" s="1"/>
  <c r="H21" i="24"/>
  <c r="H22" i="24" s="1"/>
  <c r="G21" i="24"/>
  <c r="G22" i="24" s="1"/>
  <c r="F21" i="24"/>
  <c r="F22" i="24" s="1"/>
  <c r="E21" i="24"/>
  <c r="E22" i="24" s="1"/>
  <c r="D21" i="24"/>
  <c r="D22" i="24" s="1"/>
  <c r="C21" i="24"/>
  <c r="C22" i="24" s="1"/>
  <c r="B21" i="24"/>
  <c r="B22" i="24" s="1"/>
  <c r="C28" i="20"/>
  <c r="C29" i="20" s="1"/>
  <c r="D28" i="20"/>
  <c r="D29" i="20" s="1"/>
  <c r="E28" i="20"/>
  <c r="E29" i="20" s="1"/>
  <c r="F28" i="20"/>
  <c r="F29" i="20" s="1"/>
  <c r="G28" i="20"/>
  <c r="G29" i="20" s="1"/>
  <c r="H28" i="20"/>
  <c r="H29" i="20" s="1"/>
  <c r="I28" i="20"/>
  <c r="I29" i="20" s="1"/>
  <c r="J28" i="20"/>
  <c r="J29" i="20" s="1"/>
  <c r="K28" i="20"/>
  <c r="K29" i="20" s="1"/>
  <c r="L28" i="20"/>
  <c r="L29" i="20" s="1"/>
  <c r="B28" i="20"/>
  <c r="B29" i="20" s="1"/>
  <c r="H25" i="20"/>
  <c r="B22" i="20"/>
  <c r="C21" i="20"/>
  <c r="C22" i="20" s="1"/>
  <c r="D21" i="20"/>
  <c r="D22" i="20" s="1"/>
  <c r="E21" i="20"/>
  <c r="E22" i="20" s="1"/>
  <c r="F21" i="20"/>
  <c r="F22" i="20" s="1"/>
  <c r="G21" i="20"/>
  <c r="G22" i="20" s="1"/>
  <c r="H21" i="20"/>
  <c r="H22" i="20" s="1"/>
  <c r="I21" i="20"/>
  <c r="I22" i="20" s="1"/>
  <c r="J21" i="20"/>
  <c r="J22" i="20" s="1"/>
  <c r="K21" i="20"/>
  <c r="K22" i="20" s="1"/>
  <c r="L21" i="20"/>
  <c r="L22" i="20" s="1"/>
  <c r="C24" i="20"/>
  <c r="C25" i="20" s="1"/>
  <c r="D24" i="20"/>
  <c r="D25" i="20" s="1"/>
  <c r="E24" i="20"/>
  <c r="E25" i="20" s="1"/>
  <c r="F24" i="20"/>
  <c r="F25" i="20" s="1"/>
  <c r="G24" i="20"/>
  <c r="G25" i="20" s="1"/>
  <c r="H24" i="20"/>
  <c r="I24" i="20"/>
  <c r="I25" i="20" s="1"/>
  <c r="J24" i="20"/>
  <c r="J25" i="20" s="1"/>
  <c r="K24" i="20"/>
  <c r="K25" i="20" s="1"/>
  <c r="L24" i="20"/>
  <c r="L25" i="20" s="1"/>
  <c r="B24" i="20"/>
  <c r="B25" i="20" s="1"/>
  <c r="B21" i="20"/>
  <c r="N71" i="84" l="1"/>
  <c r="N70" i="84"/>
  <c r="N69" i="84"/>
  <c r="N68" i="84"/>
  <c r="N67" i="84"/>
  <c r="N60" i="84"/>
  <c r="N59" i="84"/>
  <c r="N58" i="84"/>
  <c r="N57" i="84"/>
  <c r="N56" i="84"/>
  <c r="N49" i="84"/>
  <c r="N48" i="84"/>
  <c r="N47" i="84"/>
  <c r="N46" i="84"/>
  <c r="N45" i="84"/>
  <c r="P7" i="84"/>
  <c r="P8" i="84"/>
  <c r="P9" i="84"/>
  <c r="P10" i="84"/>
  <c r="P6" i="84"/>
  <c r="U101" i="79" l="1"/>
  <c r="V101" i="79"/>
  <c r="W101" i="79"/>
  <c r="X101" i="79"/>
  <c r="Y101" i="79"/>
  <c r="Z101" i="79"/>
  <c r="AA101" i="79"/>
  <c r="AB101" i="79"/>
  <c r="AC101" i="79"/>
  <c r="AD101" i="79"/>
  <c r="AA108" i="79" s="1"/>
  <c r="T101" i="79"/>
  <c r="U61" i="79"/>
  <c r="V61" i="79"/>
  <c r="W61" i="79"/>
  <c r="X61" i="79"/>
  <c r="Y61" i="79"/>
  <c r="Z61" i="79"/>
  <c r="AA61" i="79"/>
  <c r="AB61" i="79"/>
  <c r="AC61" i="79"/>
  <c r="AD61" i="79"/>
  <c r="AA68" i="79" s="1"/>
  <c r="T61" i="79"/>
  <c r="U21" i="79"/>
  <c r="V21" i="79"/>
  <c r="W21" i="79"/>
  <c r="X21" i="79"/>
  <c r="Y21" i="79"/>
  <c r="Z21" i="79"/>
  <c r="AA21" i="79"/>
  <c r="AB21" i="79"/>
  <c r="AC21" i="79"/>
  <c r="AD21" i="79"/>
  <c r="AA28" i="79" s="1"/>
  <c r="T21" i="79"/>
  <c r="CF24" i="75"/>
  <c r="CE24" i="75"/>
  <c r="CD24" i="75"/>
  <c r="CC24" i="75"/>
  <c r="CB24" i="75"/>
  <c r="CA24" i="75"/>
  <c r="BZ24" i="75"/>
  <c r="BY24" i="75"/>
  <c r="BX24" i="75"/>
  <c r="BW24" i="75"/>
  <c r="BV24" i="75"/>
  <c r="CF17" i="75"/>
  <c r="CE17" i="75"/>
  <c r="CD17" i="75"/>
  <c r="CC17" i="75"/>
  <c r="CB17" i="75"/>
  <c r="CA17" i="75"/>
  <c r="BZ17" i="75"/>
  <c r="BY17" i="75"/>
  <c r="BX17" i="75"/>
  <c r="BW17" i="75"/>
  <c r="BV17" i="75"/>
  <c r="CF10" i="75"/>
  <c r="CE10" i="75"/>
  <c r="CD10" i="75"/>
  <c r="CC10" i="75"/>
  <c r="CB10" i="75"/>
  <c r="CA10" i="75"/>
  <c r="BZ10" i="75"/>
  <c r="BY10" i="75"/>
  <c r="BX10" i="75"/>
  <c r="BW10" i="75"/>
  <c r="BV10" i="75"/>
  <c r="CF3" i="75"/>
  <c r="CE3" i="75"/>
  <c r="CD3" i="75"/>
  <c r="CC3" i="75"/>
  <c r="CB3" i="75"/>
  <c r="CA3" i="75"/>
  <c r="BZ3" i="75"/>
  <c r="BY3" i="75"/>
  <c r="BX3" i="75"/>
  <c r="BW3" i="75"/>
  <c r="BV3" i="75"/>
  <c r="R60" i="75"/>
  <c r="R61" i="75"/>
  <c r="R62" i="75"/>
  <c r="R59" i="75"/>
  <c r="R52" i="75"/>
  <c r="R53" i="75"/>
  <c r="R54" i="75"/>
  <c r="R51" i="75"/>
  <c r="X93" i="74" l="1"/>
  <c r="X92" i="74"/>
  <c r="Q93" i="74"/>
  <c r="Q96" i="74"/>
  <c r="Q95" i="74"/>
  <c r="Q92" i="74"/>
  <c r="V96" i="74"/>
  <c r="V95" i="74"/>
  <c r="C4" i="94"/>
  <c r="AR4" i="94" s="1"/>
  <c r="D4" i="94"/>
  <c r="AS4" i="94" s="1"/>
  <c r="E4" i="94"/>
  <c r="AT4" i="94" s="1"/>
  <c r="F4" i="94"/>
  <c r="AU4" i="94" s="1"/>
  <c r="G4" i="94"/>
  <c r="AV4" i="94" s="1"/>
  <c r="H4" i="94"/>
  <c r="AW4" i="94" s="1"/>
  <c r="I4" i="94"/>
  <c r="AX4" i="94" s="1"/>
  <c r="J4" i="94"/>
  <c r="AY4" i="94" s="1"/>
  <c r="K4" i="94"/>
  <c r="AZ4" i="94" s="1"/>
  <c r="L4" i="94"/>
  <c r="BA4" i="94" s="1"/>
  <c r="M4" i="94"/>
  <c r="BB4" i="94" s="1"/>
  <c r="A5" i="94"/>
  <c r="B5" i="94"/>
  <c r="C5" i="94"/>
  <c r="C89" i="80" s="1"/>
  <c r="D5" i="94"/>
  <c r="D89" i="80" s="1"/>
  <c r="E5" i="94"/>
  <c r="E89" i="80" s="1"/>
  <c r="F5" i="94"/>
  <c r="F89" i="80" s="1"/>
  <c r="G5" i="94"/>
  <c r="G89" i="80" s="1"/>
  <c r="H5" i="94"/>
  <c r="H89" i="80" s="1"/>
  <c r="I5" i="94"/>
  <c r="I89" i="80" s="1"/>
  <c r="J5" i="94"/>
  <c r="J89" i="80" s="1"/>
  <c r="K5" i="94"/>
  <c r="K89" i="80" s="1"/>
  <c r="L5" i="94"/>
  <c r="L89" i="80" s="1"/>
  <c r="M5" i="94"/>
  <c r="M89" i="80" s="1"/>
  <c r="B6" i="94"/>
  <c r="C6" i="94"/>
  <c r="C71" i="80" s="1"/>
  <c r="D6" i="94"/>
  <c r="D71" i="80" s="1"/>
  <c r="E6" i="94"/>
  <c r="E71" i="80" s="1"/>
  <c r="F6" i="94"/>
  <c r="F71" i="80" s="1"/>
  <c r="G6" i="94"/>
  <c r="G71" i="80" s="1"/>
  <c r="H6" i="94"/>
  <c r="H71" i="80" s="1"/>
  <c r="I6" i="94"/>
  <c r="I71" i="80" s="1"/>
  <c r="J6" i="94"/>
  <c r="J71" i="80" s="1"/>
  <c r="K6" i="94"/>
  <c r="K71" i="80" s="1"/>
  <c r="L6" i="94"/>
  <c r="L71" i="80" s="1"/>
  <c r="M6" i="94"/>
  <c r="M71" i="80" s="1"/>
  <c r="B7" i="94"/>
  <c r="C7" i="94"/>
  <c r="C80" i="80" s="1"/>
  <c r="D7" i="94"/>
  <c r="D80" i="80" s="1"/>
  <c r="E7" i="94"/>
  <c r="E80" i="80" s="1"/>
  <c r="F7" i="94"/>
  <c r="F80" i="80" s="1"/>
  <c r="G7" i="94"/>
  <c r="G80" i="80" s="1"/>
  <c r="H7" i="94"/>
  <c r="H80" i="80" s="1"/>
  <c r="I7" i="94"/>
  <c r="I80" i="80" s="1"/>
  <c r="J7" i="94"/>
  <c r="J80" i="80" s="1"/>
  <c r="K7" i="94"/>
  <c r="K80" i="80" s="1"/>
  <c r="L7" i="94"/>
  <c r="L80" i="80" s="1"/>
  <c r="M7" i="94"/>
  <c r="M80" i="80" s="1"/>
  <c r="A8" i="94"/>
  <c r="B8" i="94"/>
  <c r="C8" i="94"/>
  <c r="AG8" i="94" s="1"/>
  <c r="D8" i="94"/>
  <c r="AH8" i="94" s="1"/>
  <c r="E8" i="94"/>
  <c r="F8" i="94"/>
  <c r="G8" i="94"/>
  <c r="AK8" i="94" s="1"/>
  <c r="H8" i="94"/>
  <c r="AL8" i="94" s="1"/>
  <c r="I8" i="94"/>
  <c r="AM8" i="94" s="1"/>
  <c r="J8" i="94"/>
  <c r="AN8" i="94" s="1"/>
  <c r="K8" i="94"/>
  <c r="L8" i="94"/>
  <c r="M8" i="94"/>
  <c r="AQ8" i="94" s="1"/>
  <c r="B9" i="94"/>
  <c r="C9" i="94"/>
  <c r="AG9" i="94" s="1"/>
  <c r="D9" i="94"/>
  <c r="AH9" i="94" s="1"/>
  <c r="E9" i="94"/>
  <c r="F9" i="94"/>
  <c r="G9" i="94"/>
  <c r="H9" i="94"/>
  <c r="AL9" i="94" s="1"/>
  <c r="I9" i="94"/>
  <c r="AM9" i="94" s="1"/>
  <c r="J9" i="94"/>
  <c r="AN9" i="94" s="1"/>
  <c r="K9" i="94"/>
  <c r="AO9" i="94" s="1"/>
  <c r="L9" i="94"/>
  <c r="M9" i="94"/>
  <c r="B10" i="94"/>
  <c r="C10" i="94"/>
  <c r="AG10" i="94" s="1"/>
  <c r="D10" i="94"/>
  <c r="AH10" i="94" s="1"/>
  <c r="E10" i="94"/>
  <c r="F10" i="94"/>
  <c r="G10" i="94"/>
  <c r="AK10" i="94" s="1"/>
  <c r="H10" i="94"/>
  <c r="AL10" i="94" s="1"/>
  <c r="I10" i="94"/>
  <c r="AM10" i="94" s="1"/>
  <c r="J10" i="94"/>
  <c r="AN10" i="94" s="1"/>
  <c r="K10" i="94"/>
  <c r="L10" i="94"/>
  <c r="M10" i="94"/>
  <c r="AQ10" i="94" s="1"/>
  <c r="A11" i="94"/>
  <c r="B11" i="94"/>
  <c r="C11" i="94"/>
  <c r="AG11" i="94" s="1"/>
  <c r="D11" i="94"/>
  <c r="AH11" i="94" s="1"/>
  <c r="E11" i="94"/>
  <c r="F11" i="94"/>
  <c r="AJ11" i="94" s="1"/>
  <c r="G11" i="94"/>
  <c r="AK11" i="94" s="1"/>
  <c r="H11" i="94"/>
  <c r="AL11" i="94" s="1"/>
  <c r="I11" i="94"/>
  <c r="AM11" i="94" s="1"/>
  <c r="J11" i="94"/>
  <c r="AN11" i="94" s="1"/>
  <c r="K11" i="94"/>
  <c r="L11" i="94"/>
  <c r="AP11" i="94" s="1"/>
  <c r="M11" i="94"/>
  <c r="AQ11" i="94" s="1"/>
  <c r="B12" i="94"/>
  <c r="C12" i="94"/>
  <c r="AG12" i="94" s="1"/>
  <c r="D12" i="94"/>
  <c r="E12" i="94"/>
  <c r="F12" i="94"/>
  <c r="AJ12" i="94" s="1"/>
  <c r="G12" i="94"/>
  <c r="AK12" i="94" s="1"/>
  <c r="H12" i="94"/>
  <c r="AL12" i="94" s="1"/>
  <c r="I12" i="94"/>
  <c r="AM12" i="94" s="1"/>
  <c r="J12" i="94"/>
  <c r="K12" i="94"/>
  <c r="L12" i="94"/>
  <c r="AP12" i="94" s="1"/>
  <c r="M12" i="94"/>
  <c r="AQ12" i="94" s="1"/>
  <c r="B13" i="94"/>
  <c r="C13" i="94"/>
  <c r="D13" i="94"/>
  <c r="AH13" i="94" s="1"/>
  <c r="E13" i="94"/>
  <c r="F13" i="94"/>
  <c r="AJ13" i="94" s="1"/>
  <c r="G13" i="94"/>
  <c r="AK13" i="94" s="1"/>
  <c r="H13" i="94"/>
  <c r="AL13" i="94" s="1"/>
  <c r="I13" i="94"/>
  <c r="J13" i="94"/>
  <c r="K13" i="94"/>
  <c r="AO13" i="94" s="1"/>
  <c r="L13" i="94"/>
  <c r="AP13" i="94" s="1"/>
  <c r="M13" i="94"/>
  <c r="AQ13" i="94" s="1"/>
  <c r="A14" i="94"/>
  <c r="B14" i="94"/>
  <c r="C14" i="94"/>
  <c r="D14" i="94"/>
  <c r="E14" i="94"/>
  <c r="F14" i="94"/>
  <c r="G14" i="94"/>
  <c r="H14" i="94"/>
  <c r="I14" i="94"/>
  <c r="J14" i="94"/>
  <c r="K14" i="94"/>
  <c r="L14" i="94"/>
  <c r="M14" i="94"/>
  <c r="B15" i="94"/>
  <c r="C15" i="94"/>
  <c r="D15" i="94"/>
  <c r="E15" i="94"/>
  <c r="F15" i="94"/>
  <c r="G15" i="94"/>
  <c r="H15" i="94"/>
  <c r="I15" i="94"/>
  <c r="J15" i="94"/>
  <c r="K15" i="94"/>
  <c r="L15" i="94"/>
  <c r="M15" i="94"/>
  <c r="B16" i="94"/>
  <c r="C16" i="94"/>
  <c r="D16" i="94"/>
  <c r="E16" i="94"/>
  <c r="F16" i="94"/>
  <c r="G16" i="94"/>
  <c r="H16" i="94"/>
  <c r="I16" i="94"/>
  <c r="J16" i="94"/>
  <c r="K16" i="94"/>
  <c r="L16" i="94"/>
  <c r="M16" i="94"/>
  <c r="A17" i="94"/>
  <c r="B17" i="94"/>
  <c r="C17" i="94"/>
  <c r="D17" i="94"/>
  <c r="E17" i="94"/>
  <c r="F17" i="94"/>
  <c r="G17" i="94"/>
  <c r="H17" i="94"/>
  <c r="I17" i="94"/>
  <c r="J17" i="94"/>
  <c r="K17" i="94"/>
  <c r="L17" i="94"/>
  <c r="M17" i="94"/>
  <c r="B18" i="94"/>
  <c r="C18" i="94"/>
  <c r="D18" i="94"/>
  <c r="E18" i="94"/>
  <c r="F18" i="94"/>
  <c r="G18" i="94"/>
  <c r="H18" i="94"/>
  <c r="I18" i="94"/>
  <c r="J18" i="94"/>
  <c r="K18" i="94"/>
  <c r="L18" i="94"/>
  <c r="M18" i="94"/>
  <c r="B19" i="94"/>
  <c r="C19" i="94"/>
  <c r="D19" i="94"/>
  <c r="E19" i="94"/>
  <c r="F19" i="94"/>
  <c r="G19" i="94"/>
  <c r="H19" i="94"/>
  <c r="I19" i="94"/>
  <c r="J19" i="94"/>
  <c r="K19" i="94"/>
  <c r="L19" i="94"/>
  <c r="M19" i="94"/>
  <c r="A20" i="94"/>
  <c r="B20" i="94"/>
  <c r="C20" i="94"/>
  <c r="D20" i="94"/>
  <c r="E20" i="94"/>
  <c r="F20" i="94"/>
  <c r="G20" i="94"/>
  <c r="H20" i="94"/>
  <c r="I20" i="94"/>
  <c r="J20" i="94"/>
  <c r="K20" i="94"/>
  <c r="L20" i="94"/>
  <c r="M20" i="94"/>
  <c r="B21" i="94"/>
  <c r="C21" i="94"/>
  <c r="D21" i="94"/>
  <c r="E21" i="94"/>
  <c r="F21" i="94"/>
  <c r="G21" i="94"/>
  <c r="H21" i="94"/>
  <c r="I21" i="94"/>
  <c r="J21" i="94"/>
  <c r="K21" i="94"/>
  <c r="L21" i="94"/>
  <c r="M21" i="94"/>
  <c r="B22" i="94"/>
  <c r="C22" i="94"/>
  <c r="D22" i="94"/>
  <c r="E22" i="94"/>
  <c r="F22" i="94"/>
  <c r="G22" i="94"/>
  <c r="H22" i="94"/>
  <c r="I22" i="94"/>
  <c r="J22" i="94"/>
  <c r="K22" i="94"/>
  <c r="L22" i="94"/>
  <c r="M22" i="94"/>
  <c r="A23" i="94"/>
  <c r="B23" i="94"/>
  <c r="C23" i="94"/>
  <c r="D23" i="94"/>
  <c r="E23" i="94"/>
  <c r="F23" i="94"/>
  <c r="G23" i="94"/>
  <c r="H23" i="94"/>
  <c r="I23" i="94"/>
  <c r="J23" i="94"/>
  <c r="K23" i="94"/>
  <c r="L23" i="94"/>
  <c r="M23" i="94"/>
  <c r="B24" i="94"/>
  <c r="C24" i="94"/>
  <c r="D24" i="94"/>
  <c r="E24" i="94"/>
  <c r="F24" i="94"/>
  <c r="G24" i="94"/>
  <c r="H24" i="94"/>
  <c r="I24" i="94"/>
  <c r="J24" i="94"/>
  <c r="K24" i="94"/>
  <c r="L24" i="94"/>
  <c r="M24" i="94"/>
  <c r="B25" i="94"/>
  <c r="C25" i="94"/>
  <c r="D25" i="94"/>
  <c r="E25" i="94"/>
  <c r="F25" i="94"/>
  <c r="G25" i="94"/>
  <c r="H25" i="94"/>
  <c r="I25" i="94"/>
  <c r="J25" i="94"/>
  <c r="K25" i="94"/>
  <c r="L25" i="94"/>
  <c r="M25" i="94"/>
  <c r="A26" i="94"/>
  <c r="B26" i="94"/>
  <c r="C26" i="94"/>
  <c r="D26" i="94"/>
  <c r="E26" i="94"/>
  <c r="F26" i="94"/>
  <c r="G26" i="94"/>
  <c r="H26" i="94"/>
  <c r="I26" i="94"/>
  <c r="J26" i="94"/>
  <c r="K26" i="94"/>
  <c r="L26" i="94"/>
  <c r="M26" i="94"/>
  <c r="B27" i="94"/>
  <c r="C27" i="94"/>
  <c r="D27" i="94"/>
  <c r="E27" i="94"/>
  <c r="F27" i="94"/>
  <c r="G27" i="94"/>
  <c r="H27" i="94"/>
  <c r="I27" i="94"/>
  <c r="J27" i="94"/>
  <c r="K27" i="94"/>
  <c r="L27" i="94"/>
  <c r="M27" i="94"/>
  <c r="B28" i="94"/>
  <c r="C28" i="94"/>
  <c r="D28" i="94"/>
  <c r="E28" i="94"/>
  <c r="F28" i="94"/>
  <c r="G28" i="94"/>
  <c r="H28" i="94"/>
  <c r="I28" i="94"/>
  <c r="J28" i="94"/>
  <c r="K28" i="94"/>
  <c r="L28" i="94"/>
  <c r="M28" i="94"/>
  <c r="A29" i="94"/>
  <c r="B29" i="94"/>
  <c r="C29" i="94"/>
  <c r="D29" i="94"/>
  <c r="E29" i="94"/>
  <c r="F29" i="94"/>
  <c r="G29" i="94"/>
  <c r="H29" i="94"/>
  <c r="I29" i="94"/>
  <c r="J29" i="94"/>
  <c r="K29" i="94"/>
  <c r="L29" i="94"/>
  <c r="M29" i="94"/>
  <c r="B30" i="94"/>
  <c r="C30" i="94"/>
  <c r="D30" i="94"/>
  <c r="E30" i="94"/>
  <c r="F30" i="94"/>
  <c r="G30" i="94"/>
  <c r="H30" i="94"/>
  <c r="I30" i="94"/>
  <c r="J30" i="94"/>
  <c r="K30" i="94"/>
  <c r="L30" i="94"/>
  <c r="M30" i="94"/>
  <c r="B31" i="94"/>
  <c r="C31" i="94"/>
  <c r="D31" i="94"/>
  <c r="E31" i="94"/>
  <c r="F31" i="94"/>
  <c r="G31" i="94"/>
  <c r="H31" i="94"/>
  <c r="I31" i="94"/>
  <c r="J31" i="94"/>
  <c r="K31" i="94"/>
  <c r="L31" i="94"/>
  <c r="M31" i="94"/>
  <c r="A32" i="94"/>
  <c r="B32" i="94"/>
  <c r="C32" i="94"/>
  <c r="D32" i="94"/>
  <c r="E32" i="94"/>
  <c r="F32" i="94"/>
  <c r="G32" i="94"/>
  <c r="H32" i="94"/>
  <c r="I32" i="94"/>
  <c r="J32" i="94"/>
  <c r="K32" i="94"/>
  <c r="L32" i="94"/>
  <c r="M32" i="94"/>
  <c r="B33" i="94"/>
  <c r="C33" i="94"/>
  <c r="D33" i="94"/>
  <c r="E33" i="94"/>
  <c r="F33" i="94"/>
  <c r="G33" i="94"/>
  <c r="H33" i="94"/>
  <c r="I33" i="94"/>
  <c r="J33" i="94"/>
  <c r="K33" i="94"/>
  <c r="L33" i="94"/>
  <c r="M33" i="94"/>
  <c r="B34" i="94"/>
  <c r="C34" i="94"/>
  <c r="D34" i="94"/>
  <c r="E34" i="94"/>
  <c r="F34" i="94"/>
  <c r="G34" i="94"/>
  <c r="H34" i="94"/>
  <c r="I34" i="94"/>
  <c r="J34" i="94"/>
  <c r="K34" i="94"/>
  <c r="L34" i="94"/>
  <c r="M34" i="94"/>
  <c r="A35" i="94"/>
  <c r="B35" i="94"/>
  <c r="C35" i="94"/>
  <c r="D35" i="94"/>
  <c r="E35" i="94"/>
  <c r="F35" i="94"/>
  <c r="G35" i="94"/>
  <c r="H35" i="94"/>
  <c r="I35" i="94"/>
  <c r="J35" i="94"/>
  <c r="K35" i="94"/>
  <c r="L35" i="94"/>
  <c r="M35" i="94"/>
  <c r="B36" i="94"/>
  <c r="C36" i="94"/>
  <c r="D36" i="94"/>
  <c r="E36" i="94"/>
  <c r="F36" i="94"/>
  <c r="G36" i="94"/>
  <c r="H36" i="94"/>
  <c r="I36" i="94"/>
  <c r="J36" i="94"/>
  <c r="K36" i="94"/>
  <c r="L36" i="94"/>
  <c r="M36" i="94"/>
  <c r="B37" i="94"/>
  <c r="C37" i="94"/>
  <c r="D37" i="94"/>
  <c r="E37" i="94"/>
  <c r="F37" i="94"/>
  <c r="G37" i="94"/>
  <c r="H37" i="94"/>
  <c r="I37" i="94"/>
  <c r="J37" i="94"/>
  <c r="K37" i="94"/>
  <c r="L37" i="94"/>
  <c r="M37" i="94"/>
  <c r="A38" i="94"/>
  <c r="B38" i="94"/>
  <c r="C38" i="94"/>
  <c r="AG38" i="94" s="1"/>
  <c r="D38" i="94"/>
  <c r="AH38" i="94" s="1"/>
  <c r="E38" i="94"/>
  <c r="AI38" i="94" s="1"/>
  <c r="F38" i="94"/>
  <c r="AJ38" i="94" s="1"/>
  <c r="G38" i="94"/>
  <c r="AK38" i="94" s="1"/>
  <c r="H38" i="94"/>
  <c r="I38" i="94"/>
  <c r="AM38" i="94" s="1"/>
  <c r="J38" i="94"/>
  <c r="K38" i="94"/>
  <c r="L38" i="94"/>
  <c r="AP38" i="94" s="1"/>
  <c r="M38" i="94"/>
  <c r="B39" i="94"/>
  <c r="C39" i="94"/>
  <c r="AG39" i="94" s="1"/>
  <c r="D39" i="94"/>
  <c r="AH39" i="94" s="1"/>
  <c r="E39" i="94"/>
  <c r="AI39" i="94" s="1"/>
  <c r="F39" i="94"/>
  <c r="AJ39" i="94" s="1"/>
  <c r="G39" i="94"/>
  <c r="H39" i="94"/>
  <c r="I39" i="94"/>
  <c r="AM39" i="94" s="1"/>
  <c r="J39" i="94"/>
  <c r="AN39" i="94" s="1"/>
  <c r="K39" i="94"/>
  <c r="AO39" i="94" s="1"/>
  <c r="L39" i="94"/>
  <c r="AP39" i="94" s="1"/>
  <c r="M39" i="94"/>
  <c r="B40" i="94"/>
  <c r="C40" i="94"/>
  <c r="AG40" i="94" s="1"/>
  <c r="D40" i="94"/>
  <c r="AH40" i="94" s="1"/>
  <c r="E40" i="94"/>
  <c r="AI40" i="94" s="1"/>
  <c r="F40" i="94"/>
  <c r="G40" i="94"/>
  <c r="H40" i="94"/>
  <c r="I40" i="94"/>
  <c r="AM40" i="94" s="1"/>
  <c r="J40" i="94"/>
  <c r="AN40" i="94" s="1"/>
  <c r="K40" i="94"/>
  <c r="AO40" i="94" s="1"/>
  <c r="L40" i="94"/>
  <c r="M40" i="94"/>
  <c r="A41" i="94"/>
  <c r="B41" i="94"/>
  <c r="C41" i="94"/>
  <c r="AG41" i="94" s="1"/>
  <c r="D41" i="94"/>
  <c r="AH41" i="94" s="1"/>
  <c r="E41" i="94"/>
  <c r="AI41" i="94" s="1"/>
  <c r="F41" i="94"/>
  <c r="G41" i="94"/>
  <c r="H41" i="94"/>
  <c r="AL41" i="94" s="1"/>
  <c r="I41" i="94"/>
  <c r="AM41" i="94" s="1"/>
  <c r="J41" i="94"/>
  <c r="AN41" i="94" s="1"/>
  <c r="K41" i="94"/>
  <c r="L41" i="94"/>
  <c r="AP41" i="94" s="1"/>
  <c r="M41" i="94"/>
  <c r="B42" i="94"/>
  <c r="C42" i="94"/>
  <c r="AG42" i="94" s="1"/>
  <c r="D42" i="94"/>
  <c r="E42" i="94"/>
  <c r="AI42" i="94" s="1"/>
  <c r="F42" i="94"/>
  <c r="G42" i="94"/>
  <c r="H42" i="94"/>
  <c r="I42" i="94"/>
  <c r="AM42" i="94" s="1"/>
  <c r="J42" i="94"/>
  <c r="K42" i="94"/>
  <c r="AO42" i="94" s="1"/>
  <c r="L42" i="94"/>
  <c r="AP42" i="94" s="1"/>
  <c r="M42" i="94"/>
  <c r="AQ42" i="94" s="1"/>
  <c r="B43" i="94"/>
  <c r="C43" i="94"/>
  <c r="D43" i="94"/>
  <c r="AH43" i="94" s="1"/>
  <c r="E43" i="94"/>
  <c r="AI43" i="94" s="1"/>
  <c r="F43" i="94"/>
  <c r="G43" i="94"/>
  <c r="H43" i="94"/>
  <c r="AL43" i="94" s="1"/>
  <c r="I43" i="94"/>
  <c r="J43" i="94"/>
  <c r="AN43" i="94" s="1"/>
  <c r="K43" i="94"/>
  <c r="AO43" i="94" s="1"/>
  <c r="L43" i="94"/>
  <c r="AP43" i="94" s="1"/>
  <c r="M43" i="94"/>
  <c r="A44" i="94"/>
  <c r="W8" i="94"/>
  <c r="H82" i="80" s="1"/>
  <c r="T38" i="94"/>
  <c r="E88" i="80" s="1"/>
  <c r="W41" i="94"/>
  <c r="AB42" i="94"/>
  <c r="M3" i="94"/>
  <c r="A3" i="94"/>
  <c r="A1" i="94"/>
  <c r="AA43" i="94"/>
  <c r="AA41" i="94"/>
  <c r="S41" i="94"/>
  <c r="R41" i="94"/>
  <c r="Z40" i="94"/>
  <c r="K79" i="80" s="1"/>
  <c r="T40" i="94"/>
  <c r="E79" i="80" s="1"/>
  <c r="Z39" i="94"/>
  <c r="K70" i="80" s="1"/>
  <c r="T39" i="94"/>
  <c r="E70" i="80" s="1"/>
  <c r="V38" i="94"/>
  <c r="G88" i="80" s="1"/>
  <c r="AB13" i="94"/>
  <c r="M74" i="80" s="1"/>
  <c r="Z13" i="94"/>
  <c r="K74" i="80" s="1"/>
  <c r="W13" i="94"/>
  <c r="H74" i="80" s="1"/>
  <c r="S13" i="94"/>
  <c r="D74" i="80" s="1"/>
  <c r="W12" i="94"/>
  <c r="H65" i="80" s="1"/>
  <c r="AA11" i="94"/>
  <c r="L83" i="80" s="1"/>
  <c r="Y11" i="94"/>
  <c r="J83" i="80" s="1"/>
  <c r="W11" i="94"/>
  <c r="H83" i="80" s="1"/>
  <c r="S11" i="94"/>
  <c r="D83" i="80" s="1"/>
  <c r="X10" i="94"/>
  <c r="I73" i="80" s="1"/>
  <c r="V10" i="94"/>
  <c r="G73" i="80" s="1"/>
  <c r="R10" i="94"/>
  <c r="C73" i="80" s="1"/>
  <c r="Z9" i="94"/>
  <c r="K64" i="80" s="1"/>
  <c r="X9" i="94"/>
  <c r="I64" i="80" s="1"/>
  <c r="R9" i="94"/>
  <c r="C64" i="80" s="1"/>
  <c r="X8" i="94"/>
  <c r="I82" i="80" s="1"/>
  <c r="V8" i="94"/>
  <c r="G82" i="80" s="1"/>
  <c r="S8" i="94"/>
  <c r="D82" i="80" s="1"/>
  <c r="R8" i="94"/>
  <c r="C82" i="80" s="1"/>
  <c r="C4" i="93"/>
  <c r="D4" i="93"/>
  <c r="E4" i="93"/>
  <c r="F4" i="93"/>
  <c r="G4" i="93"/>
  <c r="H4" i="93"/>
  <c r="I4" i="93"/>
  <c r="J4" i="93"/>
  <c r="K4" i="93"/>
  <c r="L4" i="93"/>
  <c r="M4" i="93"/>
  <c r="A5" i="93"/>
  <c r="B5" i="93"/>
  <c r="C5" i="93"/>
  <c r="C61" i="80" s="1"/>
  <c r="D5" i="93"/>
  <c r="D61" i="80" s="1"/>
  <c r="E5" i="93"/>
  <c r="E61" i="80" s="1"/>
  <c r="F5" i="93"/>
  <c r="F61" i="80" s="1"/>
  <c r="G5" i="93"/>
  <c r="G61" i="80" s="1"/>
  <c r="H5" i="93"/>
  <c r="H61" i="80" s="1"/>
  <c r="I5" i="93"/>
  <c r="I61" i="80" s="1"/>
  <c r="J5" i="93"/>
  <c r="J61" i="80" s="1"/>
  <c r="K5" i="93"/>
  <c r="K61" i="80" s="1"/>
  <c r="L5" i="93"/>
  <c r="L61" i="80" s="1"/>
  <c r="M5" i="93"/>
  <c r="M61" i="80" s="1"/>
  <c r="B6" i="93"/>
  <c r="C6" i="93"/>
  <c r="C43" i="80" s="1"/>
  <c r="D6" i="93"/>
  <c r="D43" i="80" s="1"/>
  <c r="E6" i="93"/>
  <c r="E43" i="80" s="1"/>
  <c r="F6" i="93"/>
  <c r="F43" i="80" s="1"/>
  <c r="G6" i="93"/>
  <c r="G43" i="80" s="1"/>
  <c r="H6" i="93"/>
  <c r="H43" i="80" s="1"/>
  <c r="I6" i="93"/>
  <c r="I43" i="80" s="1"/>
  <c r="J6" i="93"/>
  <c r="J43" i="80" s="1"/>
  <c r="K6" i="93"/>
  <c r="K43" i="80" s="1"/>
  <c r="L6" i="93"/>
  <c r="L43" i="80" s="1"/>
  <c r="M6" i="93"/>
  <c r="M43" i="80" s="1"/>
  <c r="B7" i="93"/>
  <c r="C7" i="93"/>
  <c r="C52" i="80" s="1"/>
  <c r="D7" i="93"/>
  <c r="D52" i="80" s="1"/>
  <c r="E7" i="93"/>
  <c r="E52" i="80" s="1"/>
  <c r="F7" i="93"/>
  <c r="F52" i="80" s="1"/>
  <c r="G7" i="93"/>
  <c r="G52" i="80" s="1"/>
  <c r="H7" i="93"/>
  <c r="H52" i="80" s="1"/>
  <c r="I7" i="93"/>
  <c r="I52" i="80" s="1"/>
  <c r="J7" i="93"/>
  <c r="J52" i="80" s="1"/>
  <c r="K7" i="93"/>
  <c r="K52" i="80" s="1"/>
  <c r="L7" i="93"/>
  <c r="L52" i="80" s="1"/>
  <c r="M7" i="93"/>
  <c r="M52" i="80" s="1"/>
  <c r="A8" i="93"/>
  <c r="B8" i="93"/>
  <c r="C8" i="93"/>
  <c r="AG8" i="93" s="1"/>
  <c r="D8" i="93"/>
  <c r="AH8" i="93" s="1"/>
  <c r="E8" i="93"/>
  <c r="AI8" i="93" s="1"/>
  <c r="F8" i="93"/>
  <c r="G8" i="93"/>
  <c r="AK8" i="93" s="1"/>
  <c r="H8" i="93"/>
  <c r="AL8" i="93" s="1"/>
  <c r="I8" i="93"/>
  <c r="AM8" i="93" s="1"/>
  <c r="J8" i="93"/>
  <c r="AN8" i="93" s="1"/>
  <c r="K8" i="93"/>
  <c r="AO8" i="93" s="1"/>
  <c r="L8" i="93"/>
  <c r="M8" i="93"/>
  <c r="AQ8" i="93" s="1"/>
  <c r="B9" i="93"/>
  <c r="C9" i="93"/>
  <c r="AG9" i="93" s="1"/>
  <c r="D9" i="93"/>
  <c r="AH9" i="93" s="1"/>
  <c r="E9" i="93"/>
  <c r="AI9" i="93" s="1"/>
  <c r="F9" i="93"/>
  <c r="G9" i="93"/>
  <c r="H9" i="93"/>
  <c r="AL9" i="93" s="1"/>
  <c r="I9" i="93"/>
  <c r="AM9" i="93" s="1"/>
  <c r="J9" i="93"/>
  <c r="AN9" i="93" s="1"/>
  <c r="K9" i="93"/>
  <c r="AO9" i="93" s="1"/>
  <c r="L9" i="93"/>
  <c r="M9" i="93"/>
  <c r="B10" i="93"/>
  <c r="C10" i="93"/>
  <c r="AG10" i="93" s="1"/>
  <c r="D10" i="93"/>
  <c r="AH10" i="93" s="1"/>
  <c r="E10" i="93"/>
  <c r="AI10" i="93" s="1"/>
  <c r="F10" i="93"/>
  <c r="G10" i="93"/>
  <c r="AK10" i="93" s="1"/>
  <c r="H10" i="93"/>
  <c r="AL10" i="93" s="1"/>
  <c r="I10" i="93"/>
  <c r="AM10" i="93" s="1"/>
  <c r="J10" i="93"/>
  <c r="AN10" i="93" s="1"/>
  <c r="K10" i="93"/>
  <c r="AO10" i="93" s="1"/>
  <c r="L10" i="93"/>
  <c r="M10" i="93"/>
  <c r="AQ10" i="93" s="1"/>
  <c r="A11" i="93"/>
  <c r="B11" i="93"/>
  <c r="C11" i="93"/>
  <c r="AG11" i="93" s="1"/>
  <c r="D11" i="93"/>
  <c r="AH11" i="93" s="1"/>
  <c r="E11" i="93"/>
  <c r="F11" i="93"/>
  <c r="AJ11" i="93" s="1"/>
  <c r="G11" i="93"/>
  <c r="AK11" i="93" s="1"/>
  <c r="H11" i="93"/>
  <c r="AL11" i="93" s="1"/>
  <c r="I11" i="93"/>
  <c r="AM11" i="93" s="1"/>
  <c r="J11" i="93"/>
  <c r="AN11" i="93" s="1"/>
  <c r="K11" i="93"/>
  <c r="L11" i="93"/>
  <c r="AP11" i="93" s="1"/>
  <c r="M11" i="93"/>
  <c r="AQ11" i="93" s="1"/>
  <c r="B12" i="93"/>
  <c r="C12" i="93"/>
  <c r="AG12" i="93" s="1"/>
  <c r="D12" i="93"/>
  <c r="AH12" i="93" s="1"/>
  <c r="E12" i="93"/>
  <c r="F12" i="93"/>
  <c r="AJ12" i="93" s="1"/>
  <c r="G12" i="93"/>
  <c r="AK12" i="93" s="1"/>
  <c r="H12" i="93"/>
  <c r="AL12" i="93" s="1"/>
  <c r="I12" i="93"/>
  <c r="AM12" i="93" s="1"/>
  <c r="J12" i="93"/>
  <c r="K12" i="93"/>
  <c r="L12" i="93"/>
  <c r="AP12" i="93" s="1"/>
  <c r="M12" i="93"/>
  <c r="AQ12" i="93" s="1"/>
  <c r="B13" i="93"/>
  <c r="C13" i="93"/>
  <c r="D13" i="93"/>
  <c r="AH13" i="93" s="1"/>
  <c r="E13" i="93"/>
  <c r="AI13" i="93" s="1"/>
  <c r="F13" i="93"/>
  <c r="AJ13" i="93" s="1"/>
  <c r="G13" i="93"/>
  <c r="AK13" i="93" s="1"/>
  <c r="H13" i="93"/>
  <c r="AL13" i="93" s="1"/>
  <c r="I13" i="93"/>
  <c r="J13" i="93"/>
  <c r="AN13" i="93" s="1"/>
  <c r="K13" i="93"/>
  <c r="L13" i="93"/>
  <c r="AP13" i="93" s="1"/>
  <c r="M13" i="93"/>
  <c r="AQ13" i="93" s="1"/>
  <c r="A14" i="93"/>
  <c r="B14" i="93"/>
  <c r="C14" i="93"/>
  <c r="D14" i="93"/>
  <c r="E14" i="93"/>
  <c r="F14" i="93"/>
  <c r="G14" i="93"/>
  <c r="H14" i="93"/>
  <c r="I14" i="93"/>
  <c r="J14" i="93"/>
  <c r="K14" i="93"/>
  <c r="L14" i="93"/>
  <c r="M14" i="93"/>
  <c r="B15" i="93"/>
  <c r="C15" i="93"/>
  <c r="D15" i="93"/>
  <c r="E15" i="93"/>
  <c r="F15" i="93"/>
  <c r="G15" i="93"/>
  <c r="H15" i="93"/>
  <c r="I15" i="93"/>
  <c r="J15" i="93"/>
  <c r="K15" i="93"/>
  <c r="L15" i="93"/>
  <c r="M15" i="93"/>
  <c r="B16" i="93"/>
  <c r="C16" i="93"/>
  <c r="D16" i="93"/>
  <c r="E16" i="93"/>
  <c r="F16" i="93"/>
  <c r="G16" i="93"/>
  <c r="H16" i="93"/>
  <c r="I16" i="93"/>
  <c r="J16" i="93"/>
  <c r="K16" i="93"/>
  <c r="L16" i="93"/>
  <c r="M16" i="93"/>
  <c r="A17" i="93"/>
  <c r="B17" i="93"/>
  <c r="C17" i="93"/>
  <c r="D17" i="93"/>
  <c r="E17" i="93"/>
  <c r="F17" i="93"/>
  <c r="G17" i="93"/>
  <c r="H17" i="93"/>
  <c r="I17" i="93"/>
  <c r="J17" i="93"/>
  <c r="K17" i="93"/>
  <c r="L17" i="93"/>
  <c r="M17" i="93"/>
  <c r="B18" i="93"/>
  <c r="C18" i="93"/>
  <c r="D18" i="93"/>
  <c r="E18" i="93"/>
  <c r="F18" i="93"/>
  <c r="G18" i="93"/>
  <c r="H18" i="93"/>
  <c r="I18" i="93"/>
  <c r="J18" i="93"/>
  <c r="K18" i="93"/>
  <c r="L18" i="93"/>
  <c r="M18" i="93"/>
  <c r="B19" i="93"/>
  <c r="C19" i="93"/>
  <c r="D19" i="93"/>
  <c r="E19" i="93"/>
  <c r="F19" i="93"/>
  <c r="G19" i="93"/>
  <c r="H19" i="93"/>
  <c r="I19" i="93"/>
  <c r="J19" i="93"/>
  <c r="K19" i="93"/>
  <c r="L19" i="93"/>
  <c r="M19" i="93"/>
  <c r="A20" i="93"/>
  <c r="B20" i="93"/>
  <c r="C20" i="93"/>
  <c r="D20" i="93"/>
  <c r="E20" i="93"/>
  <c r="F20" i="93"/>
  <c r="G20" i="93"/>
  <c r="H20" i="93"/>
  <c r="I20" i="93"/>
  <c r="J20" i="93"/>
  <c r="K20" i="93"/>
  <c r="L20" i="93"/>
  <c r="M20" i="93"/>
  <c r="B21" i="93"/>
  <c r="C21" i="93"/>
  <c r="D21" i="93"/>
  <c r="E21" i="93"/>
  <c r="F21" i="93"/>
  <c r="G21" i="93"/>
  <c r="H21" i="93"/>
  <c r="I21" i="93"/>
  <c r="J21" i="93"/>
  <c r="K21" i="93"/>
  <c r="L21" i="93"/>
  <c r="M21" i="93"/>
  <c r="B22" i="93"/>
  <c r="C22" i="93"/>
  <c r="D22" i="93"/>
  <c r="E22" i="93"/>
  <c r="F22" i="93"/>
  <c r="G22" i="93"/>
  <c r="H22" i="93"/>
  <c r="I22" i="93"/>
  <c r="J22" i="93"/>
  <c r="K22" i="93"/>
  <c r="L22" i="93"/>
  <c r="M22" i="93"/>
  <c r="A23" i="93"/>
  <c r="B23" i="93"/>
  <c r="C23" i="93"/>
  <c r="D23" i="93"/>
  <c r="E23" i="93"/>
  <c r="F23" i="93"/>
  <c r="G23" i="93"/>
  <c r="H23" i="93"/>
  <c r="I23" i="93"/>
  <c r="J23" i="93"/>
  <c r="K23" i="93"/>
  <c r="L23" i="93"/>
  <c r="M23" i="93"/>
  <c r="B24" i="93"/>
  <c r="C24" i="93"/>
  <c r="D24" i="93"/>
  <c r="E24" i="93"/>
  <c r="F24" i="93"/>
  <c r="G24" i="93"/>
  <c r="H24" i="93"/>
  <c r="I24" i="93"/>
  <c r="J24" i="93"/>
  <c r="K24" i="93"/>
  <c r="L24" i="93"/>
  <c r="M24" i="93"/>
  <c r="B25" i="93"/>
  <c r="C25" i="93"/>
  <c r="D25" i="93"/>
  <c r="E25" i="93"/>
  <c r="F25" i="93"/>
  <c r="G25" i="93"/>
  <c r="H25" i="93"/>
  <c r="I25" i="93"/>
  <c r="J25" i="93"/>
  <c r="K25" i="93"/>
  <c r="L25" i="93"/>
  <c r="M25" i="93"/>
  <c r="A26" i="93"/>
  <c r="B26" i="93"/>
  <c r="C26" i="93"/>
  <c r="D26" i="93"/>
  <c r="E26" i="93"/>
  <c r="F26" i="93"/>
  <c r="G26" i="93"/>
  <c r="H26" i="93"/>
  <c r="I26" i="93"/>
  <c r="J26" i="93"/>
  <c r="K26" i="93"/>
  <c r="L26" i="93"/>
  <c r="M26" i="93"/>
  <c r="B27" i="93"/>
  <c r="C27" i="93"/>
  <c r="D27" i="93"/>
  <c r="E27" i="93"/>
  <c r="F27" i="93"/>
  <c r="G27" i="93"/>
  <c r="H27" i="93"/>
  <c r="I27" i="93"/>
  <c r="J27" i="93"/>
  <c r="K27" i="93"/>
  <c r="L27" i="93"/>
  <c r="M27" i="93"/>
  <c r="B28" i="93"/>
  <c r="C28" i="93"/>
  <c r="D28" i="93"/>
  <c r="E28" i="93"/>
  <c r="F28" i="93"/>
  <c r="G28" i="93"/>
  <c r="H28" i="93"/>
  <c r="I28" i="93"/>
  <c r="J28" i="93"/>
  <c r="K28" i="93"/>
  <c r="L28" i="93"/>
  <c r="M28" i="93"/>
  <c r="A29" i="93"/>
  <c r="B29" i="93"/>
  <c r="C29" i="93"/>
  <c r="D29" i="93"/>
  <c r="E29" i="93"/>
  <c r="F29" i="93"/>
  <c r="G29" i="93"/>
  <c r="H29" i="93"/>
  <c r="I29" i="93"/>
  <c r="J29" i="93"/>
  <c r="K29" i="93"/>
  <c r="L29" i="93"/>
  <c r="M29" i="93"/>
  <c r="B30" i="93"/>
  <c r="C30" i="93"/>
  <c r="D30" i="93"/>
  <c r="E30" i="93"/>
  <c r="F30" i="93"/>
  <c r="G30" i="93"/>
  <c r="H30" i="93"/>
  <c r="I30" i="93"/>
  <c r="J30" i="93"/>
  <c r="K30" i="93"/>
  <c r="L30" i="93"/>
  <c r="M30" i="93"/>
  <c r="B31" i="93"/>
  <c r="C31" i="93"/>
  <c r="D31" i="93"/>
  <c r="E31" i="93"/>
  <c r="F31" i="93"/>
  <c r="G31" i="93"/>
  <c r="H31" i="93"/>
  <c r="I31" i="93"/>
  <c r="J31" i="93"/>
  <c r="K31" i="93"/>
  <c r="L31" i="93"/>
  <c r="M31" i="93"/>
  <c r="A32" i="93"/>
  <c r="B32" i="93"/>
  <c r="C32" i="93"/>
  <c r="D32" i="93"/>
  <c r="E32" i="93"/>
  <c r="F32" i="93"/>
  <c r="G32" i="93"/>
  <c r="H32" i="93"/>
  <c r="I32" i="93"/>
  <c r="J32" i="93"/>
  <c r="K32" i="93"/>
  <c r="L32" i="93"/>
  <c r="M32" i="93"/>
  <c r="B33" i="93"/>
  <c r="C33" i="93"/>
  <c r="D33" i="93"/>
  <c r="E33" i="93"/>
  <c r="F33" i="93"/>
  <c r="G33" i="93"/>
  <c r="H33" i="93"/>
  <c r="I33" i="93"/>
  <c r="J33" i="93"/>
  <c r="K33" i="93"/>
  <c r="L33" i="93"/>
  <c r="M33" i="93"/>
  <c r="B34" i="93"/>
  <c r="C34" i="93"/>
  <c r="D34" i="93"/>
  <c r="E34" i="93"/>
  <c r="F34" i="93"/>
  <c r="G34" i="93"/>
  <c r="H34" i="93"/>
  <c r="I34" i="93"/>
  <c r="J34" i="93"/>
  <c r="K34" i="93"/>
  <c r="L34" i="93"/>
  <c r="M34" i="93"/>
  <c r="A35" i="93"/>
  <c r="B35" i="93"/>
  <c r="C35" i="93"/>
  <c r="D35" i="93"/>
  <c r="E35" i="93"/>
  <c r="F35" i="93"/>
  <c r="G35" i="93"/>
  <c r="H35" i="93"/>
  <c r="I35" i="93"/>
  <c r="J35" i="93"/>
  <c r="K35" i="93"/>
  <c r="L35" i="93"/>
  <c r="M35" i="93"/>
  <c r="B36" i="93"/>
  <c r="C36" i="93"/>
  <c r="D36" i="93"/>
  <c r="E36" i="93"/>
  <c r="F36" i="93"/>
  <c r="G36" i="93"/>
  <c r="H36" i="93"/>
  <c r="I36" i="93"/>
  <c r="J36" i="93"/>
  <c r="K36" i="93"/>
  <c r="L36" i="93"/>
  <c r="M36" i="93"/>
  <c r="B37" i="93"/>
  <c r="C37" i="93"/>
  <c r="D37" i="93"/>
  <c r="E37" i="93"/>
  <c r="F37" i="93"/>
  <c r="G37" i="93"/>
  <c r="H37" i="93"/>
  <c r="I37" i="93"/>
  <c r="J37" i="93"/>
  <c r="K37" i="93"/>
  <c r="L37" i="93"/>
  <c r="M37" i="93"/>
  <c r="A38" i="93"/>
  <c r="B38" i="93"/>
  <c r="C38" i="93"/>
  <c r="AG38" i="93" s="1"/>
  <c r="D38" i="93"/>
  <c r="AH38" i="93" s="1"/>
  <c r="E38" i="93"/>
  <c r="F38" i="93"/>
  <c r="G38" i="93"/>
  <c r="AK38" i="93" s="1"/>
  <c r="H38" i="93"/>
  <c r="I38" i="93"/>
  <c r="AM38" i="93" s="1"/>
  <c r="J38" i="93"/>
  <c r="AN38" i="93" s="1"/>
  <c r="K38" i="93"/>
  <c r="AO38" i="93" s="1"/>
  <c r="L38" i="93"/>
  <c r="M38" i="93"/>
  <c r="AQ38" i="93" s="1"/>
  <c r="B39" i="93"/>
  <c r="C39" i="93"/>
  <c r="AG39" i="93" s="1"/>
  <c r="D39" i="93"/>
  <c r="E39" i="93"/>
  <c r="AI39" i="93" s="1"/>
  <c r="F39" i="93"/>
  <c r="AJ39" i="93" s="1"/>
  <c r="G39" i="93"/>
  <c r="H39" i="93"/>
  <c r="I39" i="93"/>
  <c r="AM39" i="93" s="1"/>
  <c r="J39" i="93"/>
  <c r="AN39" i="93" s="1"/>
  <c r="K39" i="93"/>
  <c r="AO39" i="93" s="1"/>
  <c r="L39" i="93"/>
  <c r="AP39" i="93" s="1"/>
  <c r="M39" i="93"/>
  <c r="B40" i="93"/>
  <c r="C40" i="93"/>
  <c r="D40" i="93"/>
  <c r="AH40" i="93" s="1"/>
  <c r="E40" i="93"/>
  <c r="AI40" i="93" s="1"/>
  <c r="F40" i="93"/>
  <c r="G40" i="93"/>
  <c r="AK40" i="93" s="1"/>
  <c r="H40" i="93"/>
  <c r="I40" i="93"/>
  <c r="J40" i="93"/>
  <c r="AN40" i="93" s="1"/>
  <c r="K40" i="93"/>
  <c r="AO40" i="93" s="1"/>
  <c r="L40" i="93"/>
  <c r="M40" i="93"/>
  <c r="AQ40" i="93" s="1"/>
  <c r="A41" i="93"/>
  <c r="B41" i="93"/>
  <c r="C41" i="93"/>
  <c r="AG41" i="93" s="1"/>
  <c r="D41" i="93"/>
  <c r="AH41" i="93" s="1"/>
  <c r="E41" i="93"/>
  <c r="F41" i="93"/>
  <c r="AJ41" i="93" s="1"/>
  <c r="G41" i="93"/>
  <c r="H41" i="93"/>
  <c r="I41" i="93"/>
  <c r="AM41" i="93" s="1"/>
  <c r="J41" i="93"/>
  <c r="AN41" i="93" s="1"/>
  <c r="K41" i="93"/>
  <c r="L41" i="93"/>
  <c r="AP41" i="93" s="1"/>
  <c r="M41" i="93"/>
  <c r="B42" i="93"/>
  <c r="C42" i="93"/>
  <c r="AG42" i="93" s="1"/>
  <c r="D42" i="93"/>
  <c r="AH42" i="93" s="1"/>
  <c r="E42" i="93"/>
  <c r="AI42" i="93" s="1"/>
  <c r="F42" i="93"/>
  <c r="AJ42" i="93" s="1"/>
  <c r="G42" i="93"/>
  <c r="H42" i="93"/>
  <c r="AL42" i="93" s="1"/>
  <c r="I42" i="93"/>
  <c r="AM42" i="93" s="1"/>
  <c r="J42" i="93"/>
  <c r="K42" i="93"/>
  <c r="AO42" i="93" s="1"/>
  <c r="L42" i="93"/>
  <c r="AP42" i="93" s="1"/>
  <c r="M42" i="93"/>
  <c r="B43" i="93"/>
  <c r="C43" i="93"/>
  <c r="D43" i="93"/>
  <c r="AH43" i="93" s="1"/>
  <c r="E43" i="93"/>
  <c r="AI43" i="93" s="1"/>
  <c r="F43" i="93"/>
  <c r="AJ43" i="93" s="1"/>
  <c r="G43" i="93"/>
  <c r="H43" i="93"/>
  <c r="AL43" i="93" s="1"/>
  <c r="I43" i="93"/>
  <c r="J43" i="93"/>
  <c r="AN43" i="93" s="1"/>
  <c r="K43" i="93"/>
  <c r="AO43" i="93" s="1"/>
  <c r="L43" i="93"/>
  <c r="AP43" i="93" s="1"/>
  <c r="M43" i="93"/>
  <c r="A44" i="93"/>
  <c r="B44" i="93"/>
  <c r="W8" i="93"/>
  <c r="H54" i="80" s="1"/>
  <c r="S42" i="93"/>
  <c r="M3" i="93"/>
  <c r="A3" i="93"/>
  <c r="A1" i="93"/>
  <c r="Z38" i="93"/>
  <c r="K60" i="80" s="1"/>
  <c r="T43" i="93"/>
  <c r="AA43" i="93"/>
  <c r="S43" i="93"/>
  <c r="Y43" i="93"/>
  <c r="W43" i="93"/>
  <c r="Y41" i="93"/>
  <c r="S41" i="93"/>
  <c r="Z40" i="93"/>
  <c r="K51" i="80" s="1"/>
  <c r="T40" i="93"/>
  <c r="E51" i="80" s="1"/>
  <c r="S40" i="93"/>
  <c r="D51" i="80" s="1"/>
  <c r="Z39" i="93"/>
  <c r="K42" i="80" s="1"/>
  <c r="T39" i="93"/>
  <c r="E42" i="80" s="1"/>
  <c r="AB13" i="93"/>
  <c r="M46" i="80" s="1"/>
  <c r="W13" i="93"/>
  <c r="H46" i="80" s="1"/>
  <c r="V13" i="93"/>
  <c r="G46" i="80" s="1"/>
  <c r="T13" i="93"/>
  <c r="E46" i="80" s="1"/>
  <c r="AB12" i="93"/>
  <c r="M37" i="80" s="1"/>
  <c r="W12" i="93"/>
  <c r="H37" i="80" s="1"/>
  <c r="V12" i="93"/>
  <c r="G37" i="80" s="1"/>
  <c r="AB11" i="93"/>
  <c r="M55" i="80" s="1"/>
  <c r="X11" i="93"/>
  <c r="I55" i="80" s="1"/>
  <c r="W11" i="93"/>
  <c r="H55" i="80" s="1"/>
  <c r="V11" i="93"/>
  <c r="G55" i="80" s="1"/>
  <c r="AB10" i="93"/>
  <c r="M45" i="80" s="1"/>
  <c r="X10" i="93"/>
  <c r="I45" i="80" s="1"/>
  <c r="W10" i="93"/>
  <c r="H45" i="80" s="1"/>
  <c r="R10" i="93"/>
  <c r="C45" i="80" s="1"/>
  <c r="Y9" i="93"/>
  <c r="J36" i="80" s="1"/>
  <c r="X9" i="93"/>
  <c r="I36" i="80" s="1"/>
  <c r="W9" i="93"/>
  <c r="H36" i="80" s="1"/>
  <c r="R9" i="93"/>
  <c r="C36" i="80" s="1"/>
  <c r="AB8" i="93"/>
  <c r="M54" i="80" s="1"/>
  <c r="Y8" i="93"/>
  <c r="J54" i="80" s="1"/>
  <c r="X8" i="93"/>
  <c r="I54" i="80" s="1"/>
  <c r="R8" i="93"/>
  <c r="C54" i="80" s="1"/>
  <c r="A32" i="92"/>
  <c r="A5" i="92"/>
  <c r="B5" i="92"/>
  <c r="C5" i="92"/>
  <c r="D5" i="92"/>
  <c r="E5" i="92"/>
  <c r="F5" i="92"/>
  <c r="G5" i="92"/>
  <c r="H5" i="92"/>
  <c r="I5" i="92"/>
  <c r="J5" i="92"/>
  <c r="K5" i="92"/>
  <c r="L5" i="92"/>
  <c r="M5" i="92"/>
  <c r="B6" i="92"/>
  <c r="C6" i="92"/>
  <c r="BV22" i="75" s="1"/>
  <c r="D6" i="92"/>
  <c r="BW22" i="75" s="1"/>
  <c r="E6" i="92"/>
  <c r="BX22" i="75" s="1"/>
  <c r="F6" i="92"/>
  <c r="BY22" i="75" s="1"/>
  <c r="G6" i="92"/>
  <c r="BZ22" i="75" s="1"/>
  <c r="H6" i="92"/>
  <c r="CA22" i="75" s="1"/>
  <c r="I6" i="92"/>
  <c r="CB22" i="75" s="1"/>
  <c r="J6" i="92"/>
  <c r="CC22" i="75" s="1"/>
  <c r="K6" i="92"/>
  <c r="CD22" i="75" s="1"/>
  <c r="L6" i="92"/>
  <c r="CE22" i="75" s="1"/>
  <c r="M6" i="92"/>
  <c r="CF22" i="75" s="1"/>
  <c r="B7" i="92"/>
  <c r="C7" i="92"/>
  <c r="BV29" i="75" s="1"/>
  <c r="D7" i="92"/>
  <c r="BW29" i="75" s="1"/>
  <c r="E7" i="92"/>
  <c r="BX29" i="75" s="1"/>
  <c r="F7" i="92"/>
  <c r="BY29" i="75" s="1"/>
  <c r="G7" i="92"/>
  <c r="BZ29" i="75" s="1"/>
  <c r="H7" i="92"/>
  <c r="CA29" i="75" s="1"/>
  <c r="I7" i="92"/>
  <c r="CB29" i="75" s="1"/>
  <c r="J7" i="92"/>
  <c r="CC29" i="75" s="1"/>
  <c r="K7" i="92"/>
  <c r="CD29" i="75" s="1"/>
  <c r="L7" i="92"/>
  <c r="CE29" i="75" s="1"/>
  <c r="M7" i="92"/>
  <c r="CF29" i="75" s="1"/>
  <c r="A8" i="92"/>
  <c r="B8" i="92"/>
  <c r="C8" i="92"/>
  <c r="R8" i="92" s="1"/>
  <c r="D8" i="92"/>
  <c r="S8" i="92" s="1"/>
  <c r="E8" i="92"/>
  <c r="T8" i="92" s="1"/>
  <c r="F8" i="92"/>
  <c r="U8" i="92" s="1"/>
  <c r="G8" i="92"/>
  <c r="V8" i="92" s="1"/>
  <c r="H8" i="92"/>
  <c r="W8" i="92" s="1"/>
  <c r="I8" i="92"/>
  <c r="X8" i="92" s="1"/>
  <c r="J8" i="92"/>
  <c r="Y8" i="92" s="1"/>
  <c r="K8" i="92"/>
  <c r="Z8" i="92" s="1"/>
  <c r="L8" i="92"/>
  <c r="AA8" i="92" s="1"/>
  <c r="M8" i="92"/>
  <c r="AB8" i="92" s="1"/>
  <c r="B9" i="92"/>
  <c r="C9" i="92"/>
  <c r="R9" i="92" s="1"/>
  <c r="D9" i="92"/>
  <c r="S9" i="92" s="1"/>
  <c r="E9" i="92"/>
  <c r="T9" i="92" s="1"/>
  <c r="F9" i="92"/>
  <c r="U9" i="92" s="1"/>
  <c r="G9" i="92"/>
  <c r="V9" i="92" s="1"/>
  <c r="H9" i="92"/>
  <c r="W9" i="92" s="1"/>
  <c r="I9" i="92"/>
  <c r="X9" i="92" s="1"/>
  <c r="J9" i="92"/>
  <c r="Y9" i="92" s="1"/>
  <c r="K9" i="92"/>
  <c r="Z9" i="92" s="1"/>
  <c r="L9" i="92"/>
  <c r="AA9" i="92" s="1"/>
  <c r="M9" i="92"/>
  <c r="AB9" i="92" s="1"/>
  <c r="B10" i="92"/>
  <c r="C10" i="92"/>
  <c r="R10" i="92" s="1"/>
  <c r="D10" i="92"/>
  <c r="S10" i="92" s="1"/>
  <c r="E10" i="92"/>
  <c r="T10" i="92" s="1"/>
  <c r="F10" i="92"/>
  <c r="U10" i="92" s="1"/>
  <c r="G10" i="92"/>
  <c r="V10" i="92" s="1"/>
  <c r="H10" i="92"/>
  <c r="W10" i="92" s="1"/>
  <c r="I10" i="92"/>
  <c r="X10" i="92" s="1"/>
  <c r="J10" i="92"/>
  <c r="Y10" i="92" s="1"/>
  <c r="K10" i="92"/>
  <c r="Z10" i="92" s="1"/>
  <c r="L10" i="92"/>
  <c r="AA10" i="92" s="1"/>
  <c r="M10" i="92"/>
  <c r="AB10" i="92" s="1"/>
  <c r="A11" i="92"/>
  <c r="B11" i="92"/>
  <c r="C11" i="92"/>
  <c r="R11" i="92" s="1"/>
  <c r="D11" i="92"/>
  <c r="S11" i="92" s="1"/>
  <c r="E11" i="92"/>
  <c r="T11" i="92" s="1"/>
  <c r="F11" i="92"/>
  <c r="U11" i="92" s="1"/>
  <c r="G11" i="92"/>
  <c r="V11" i="92" s="1"/>
  <c r="H11" i="92"/>
  <c r="W11" i="92" s="1"/>
  <c r="I11" i="92"/>
  <c r="X11" i="92" s="1"/>
  <c r="J11" i="92"/>
  <c r="Y11" i="92" s="1"/>
  <c r="K11" i="92"/>
  <c r="Z11" i="92" s="1"/>
  <c r="L11" i="92"/>
  <c r="AA11" i="92" s="1"/>
  <c r="M11" i="92"/>
  <c r="AB11" i="92" s="1"/>
  <c r="B12" i="92"/>
  <c r="C12" i="92"/>
  <c r="R12" i="92" s="1"/>
  <c r="D12" i="92"/>
  <c r="S12" i="92" s="1"/>
  <c r="E12" i="92"/>
  <c r="T12" i="92" s="1"/>
  <c r="F12" i="92"/>
  <c r="U12" i="92" s="1"/>
  <c r="G12" i="92"/>
  <c r="V12" i="92" s="1"/>
  <c r="H12" i="92"/>
  <c r="W12" i="92" s="1"/>
  <c r="I12" i="92"/>
  <c r="X12" i="92" s="1"/>
  <c r="J12" i="92"/>
  <c r="Y12" i="92" s="1"/>
  <c r="K12" i="92"/>
  <c r="Z12" i="92" s="1"/>
  <c r="L12" i="92"/>
  <c r="AA12" i="92" s="1"/>
  <c r="M12" i="92"/>
  <c r="AB12" i="92" s="1"/>
  <c r="B13" i="92"/>
  <c r="C13" i="92"/>
  <c r="R13" i="92" s="1"/>
  <c r="D13" i="92"/>
  <c r="S13" i="92" s="1"/>
  <c r="E13" i="92"/>
  <c r="T13" i="92" s="1"/>
  <c r="F13" i="92"/>
  <c r="U13" i="92" s="1"/>
  <c r="G13" i="92"/>
  <c r="V13" i="92" s="1"/>
  <c r="H13" i="92"/>
  <c r="W13" i="92" s="1"/>
  <c r="I13" i="92"/>
  <c r="X13" i="92" s="1"/>
  <c r="J13" i="92"/>
  <c r="Y13" i="92" s="1"/>
  <c r="K13" i="92"/>
  <c r="Z13" i="92" s="1"/>
  <c r="L13" i="92"/>
  <c r="AA13" i="92" s="1"/>
  <c r="M13" i="92"/>
  <c r="AB13" i="92" s="1"/>
  <c r="A14" i="92"/>
  <c r="B14" i="92"/>
  <c r="C14" i="92"/>
  <c r="R14" i="92" s="1"/>
  <c r="D14" i="92"/>
  <c r="S14" i="92" s="1"/>
  <c r="E14" i="92"/>
  <c r="T14" i="92" s="1"/>
  <c r="F14" i="92"/>
  <c r="U14" i="92" s="1"/>
  <c r="G14" i="92"/>
  <c r="V14" i="92" s="1"/>
  <c r="H14" i="92"/>
  <c r="W14" i="92" s="1"/>
  <c r="I14" i="92"/>
  <c r="X14" i="92" s="1"/>
  <c r="J14" i="92"/>
  <c r="Y14" i="92" s="1"/>
  <c r="K14" i="92"/>
  <c r="Z14" i="92" s="1"/>
  <c r="L14" i="92"/>
  <c r="AA14" i="92" s="1"/>
  <c r="M14" i="92"/>
  <c r="AB14" i="92" s="1"/>
  <c r="B15" i="92"/>
  <c r="C15" i="92"/>
  <c r="R15" i="92" s="1"/>
  <c r="D15" i="92"/>
  <c r="S15" i="92" s="1"/>
  <c r="E15" i="92"/>
  <c r="T15" i="92" s="1"/>
  <c r="F15" i="92"/>
  <c r="U15" i="92" s="1"/>
  <c r="G15" i="92"/>
  <c r="V15" i="92" s="1"/>
  <c r="H15" i="92"/>
  <c r="W15" i="92" s="1"/>
  <c r="I15" i="92"/>
  <c r="X15" i="92" s="1"/>
  <c r="J15" i="92"/>
  <c r="Y15" i="92" s="1"/>
  <c r="K15" i="92"/>
  <c r="Z15" i="92" s="1"/>
  <c r="L15" i="92"/>
  <c r="AA15" i="92" s="1"/>
  <c r="M15" i="92"/>
  <c r="AB15" i="92" s="1"/>
  <c r="B16" i="92"/>
  <c r="C16" i="92"/>
  <c r="R16" i="92" s="1"/>
  <c r="D16" i="92"/>
  <c r="S16" i="92" s="1"/>
  <c r="E16" i="92"/>
  <c r="T16" i="92" s="1"/>
  <c r="F16" i="92"/>
  <c r="U16" i="92" s="1"/>
  <c r="G16" i="92"/>
  <c r="V16" i="92" s="1"/>
  <c r="H16" i="92"/>
  <c r="W16" i="92" s="1"/>
  <c r="I16" i="92"/>
  <c r="X16" i="92" s="1"/>
  <c r="J16" i="92"/>
  <c r="Y16" i="92" s="1"/>
  <c r="K16" i="92"/>
  <c r="Z16" i="92" s="1"/>
  <c r="L16" i="92"/>
  <c r="AA16" i="92" s="1"/>
  <c r="M16" i="92"/>
  <c r="AB16" i="92" s="1"/>
  <c r="A17" i="92"/>
  <c r="B17" i="92"/>
  <c r="C17" i="92"/>
  <c r="R17" i="92" s="1"/>
  <c r="D17" i="92"/>
  <c r="S17" i="92" s="1"/>
  <c r="E17" i="92"/>
  <c r="T17" i="92" s="1"/>
  <c r="F17" i="92"/>
  <c r="U17" i="92" s="1"/>
  <c r="G17" i="92"/>
  <c r="V17" i="92" s="1"/>
  <c r="H17" i="92"/>
  <c r="W17" i="92" s="1"/>
  <c r="I17" i="92"/>
  <c r="X17" i="92" s="1"/>
  <c r="J17" i="92"/>
  <c r="Y17" i="92" s="1"/>
  <c r="K17" i="92"/>
  <c r="Z17" i="92" s="1"/>
  <c r="L17" i="92"/>
  <c r="AA17" i="92" s="1"/>
  <c r="M17" i="92"/>
  <c r="AB17" i="92" s="1"/>
  <c r="B18" i="92"/>
  <c r="C18" i="92"/>
  <c r="R18" i="92" s="1"/>
  <c r="D18" i="92"/>
  <c r="S18" i="92" s="1"/>
  <c r="E18" i="92"/>
  <c r="T18" i="92" s="1"/>
  <c r="F18" i="92"/>
  <c r="U18" i="92" s="1"/>
  <c r="G18" i="92"/>
  <c r="V18" i="92" s="1"/>
  <c r="H18" i="92"/>
  <c r="W18" i="92" s="1"/>
  <c r="I18" i="92"/>
  <c r="X18" i="92" s="1"/>
  <c r="J18" i="92"/>
  <c r="Y18" i="92" s="1"/>
  <c r="K18" i="92"/>
  <c r="Z18" i="92" s="1"/>
  <c r="L18" i="92"/>
  <c r="AA18" i="92" s="1"/>
  <c r="M18" i="92"/>
  <c r="AB18" i="92" s="1"/>
  <c r="B19" i="92"/>
  <c r="C19" i="92"/>
  <c r="R19" i="92" s="1"/>
  <c r="D19" i="92"/>
  <c r="S19" i="92" s="1"/>
  <c r="E19" i="92"/>
  <c r="T19" i="92" s="1"/>
  <c r="F19" i="92"/>
  <c r="U19" i="92" s="1"/>
  <c r="G19" i="92"/>
  <c r="V19" i="92" s="1"/>
  <c r="H19" i="92"/>
  <c r="W19" i="92" s="1"/>
  <c r="I19" i="92"/>
  <c r="X19" i="92" s="1"/>
  <c r="J19" i="92"/>
  <c r="Y19" i="92" s="1"/>
  <c r="K19" i="92"/>
  <c r="Z19" i="92" s="1"/>
  <c r="L19" i="92"/>
  <c r="AA19" i="92" s="1"/>
  <c r="M19" i="92"/>
  <c r="AB19" i="92" s="1"/>
  <c r="A20" i="92"/>
  <c r="B20" i="92"/>
  <c r="C20" i="92"/>
  <c r="R20" i="92" s="1"/>
  <c r="D20" i="92"/>
  <c r="S20" i="92" s="1"/>
  <c r="E20" i="92"/>
  <c r="T20" i="92" s="1"/>
  <c r="F20" i="92"/>
  <c r="U20" i="92" s="1"/>
  <c r="G20" i="92"/>
  <c r="V20" i="92" s="1"/>
  <c r="H20" i="92"/>
  <c r="W20" i="92" s="1"/>
  <c r="I20" i="92"/>
  <c r="X20" i="92" s="1"/>
  <c r="J20" i="92"/>
  <c r="Y20" i="92" s="1"/>
  <c r="K20" i="92"/>
  <c r="Z20" i="92" s="1"/>
  <c r="L20" i="92"/>
  <c r="AA20" i="92" s="1"/>
  <c r="M20" i="92"/>
  <c r="AB20" i="92" s="1"/>
  <c r="B21" i="92"/>
  <c r="C21" i="92"/>
  <c r="R21" i="92" s="1"/>
  <c r="D21" i="92"/>
  <c r="S21" i="92" s="1"/>
  <c r="E21" i="92"/>
  <c r="T21" i="92" s="1"/>
  <c r="F21" i="92"/>
  <c r="U21" i="92" s="1"/>
  <c r="G21" i="92"/>
  <c r="V21" i="92" s="1"/>
  <c r="H21" i="92"/>
  <c r="W21" i="92" s="1"/>
  <c r="I21" i="92"/>
  <c r="X21" i="92" s="1"/>
  <c r="J21" i="92"/>
  <c r="Y21" i="92" s="1"/>
  <c r="K21" i="92"/>
  <c r="Z21" i="92" s="1"/>
  <c r="L21" i="92"/>
  <c r="AA21" i="92" s="1"/>
  <c r="M21" i="92"/>
  <c r="AB21" i="92" s="1"/>
  <c r="B22" i="92"/>
  <c r="C22" i="92"/>
  <c r="R22" i="92" s="1"/>
  <c r="D22" i="92"/>
  <c r="S22" i="92" s="1"/>
  <c r="E22" i="92"/>
  <c r="T22" i="92" s="1"/>
  <c r="F22" i="92"/>
  <c r="U22" i="92" s="1"/>
  <c r="G22" i="92"/>
  <c r="V22" i="92" s="1"/>
  <c r="H22" i="92"/>
  <c r="W22" i="92" s="1"/>
  <c r="I22" i="92"/>
  <c r="X22" i="92" s="1"/>
  <c r="J22" i="92"/>
  <c r="Y22" i="92" s="1"/>
  <c r="K22" i="92"/>
  <c r="Z22" i="92" s="1"/>
  <c r="L22" i="92"/>
  <c r="AA22" i="92" s="1"/>
  <c r="M22" i="92"/>
  <c r="AB22" i="92" s="1"/>
  <c r="A23" i="92"/>
  <c r="B23" i="92"/>
  <c r="C23" i="92"/>
  <c r="R23" i="92" s="1"/>
  <c r="D23" i="92"/>
  <c r="S23" i="92" s="1"/>
  <c r="E23" i="92"/>
  <c r="T23" i="92" s="1"/>
  <c r="F23" i="92"/>
  <c r="U23" i="92" s="1"/>
  <c r="G23" i="92"/>
  <c r="V23" i="92" s="1"/>
  <c r="H23" i="92"/>
  <c r="W23" i="92" s="1"/>
  <c r="I23" i="92"/>
  <c r="X23" i="92" s="1"/>
  <c r="J23" i="92"/>
  <c r="Y23" i="92" s="1"/>
  <c r="K23" i="92"/>
  <c r="Z23" i="92" s="1"/>
  <c r="L23" i="92"/>
  <c r="AA23" i="92" s="1"/>
  <c r="M23" i="92"/>
  <c r="AB23" i="92" s="1"/>
  <c r="B24" i="92"/>
  <c r="C24" i="92"/>
  <c r="R24" i="92" s="1"/>
  <c r="D24" i="92"/>
  <c r="S24" i="92" s="1"/>
  <c r="E24" i="92"/>
  <c r="T24" i="92" s="1"/>
  <c r="F24" i="92"/>
  <c r="U24" i="92" s="1"/>
  <c r="G24" i="92"/>
  <c r="V24" i="92" s="1"/>
  <c r="H24" i="92"/>
  <c r="W24" i="92" s="1"/>
  <c r="I24" i="92"/>
  <c r="X24" i="92" s="1"/>
  <c r="J24" i="92"/>
  <c r="Y24" i="92" s="1"/>
  <c r="K24" i="92"/>
  <c r="Z24" i="92" s="1"/>
  <c r="L24" i="92"/>
  <c r="AA24" i="92" s="1"/>
  <c r="M24" i="92"/>
  <c r="AB24" i="92" s="1"/>
  <c r="B25" i="92"/>
  <c r="C25" i="92"/>
  <c r="R25" i="92" s="1"/>
  <c r="D25" i="92"/>
  <c r="S25" i="92" s="1"/>
  <c r="E25" i="92"/>
  <c r="T25" i="92" s="1"/>
  <c r="F25" i="92"/>
  <c r="U25" i="92" s="1"/>
  <c r="G25" i="92"/>
  <c r="V25" i="92" s="1"/>
  <c r="H25" i="92"/>
  <c r="W25" i="92" s="1"/>
  <c r="I25" i="92"/>
  <c r="X25" i="92" s="1"/>
  <c r="J25" i="92"/>
  <c r="Y25" i="92" s="1"/>
  <c r="K25" i="92"/>
  <c r="Z25" i="92" s="1"/>
  <c r="L25" i="92"/>
  <c r="AA25" i="92" s="1"/>
  <c r="M25" i="92"/>
  <c r="AB25" i="92" s="1"/>
  <c r="A26" i="92"/>
  <c r="B26" i="92"/>
  <c r="C26" i="92"/>
  <c r="R26" i="92" s="1"/>
  <c r="D26" i="92"/>
  <c r="S26" i="92" s="1"/>
  <c r="E26" i="92"/>
  <c r="T26" i="92" s="1"/>
  <c r="F26" i="92"/>
  <c r="U26" i="92" s="1"/>
  <c r="G26" i="92"/>
  <c r="V26" i="92" s="1"/>
  <c r="H26" i="92"/>
  <c r="W26" i="92" s="1"/>
  <c r="I26" i="92"/>
  <c r="X26" i="92" s="1"/>
  <c r="J26" i="92"/>
  <c r="Y26" i="92" s="1"/>
  <c r="K26" i="92"/>
  <c r="Z26" i="92" s="1"/>
  <c r="L26" i="92"/>
  <c r="AA26" i="92" s="1"/>
  <c r="M26" i="92"/>
  <c r="AB26" i="92" s="1"/>
  <c r="B27" i="92"/>
  <c r="C27" i="92"/>
  <c r="R27" i="92" s="1"/>
  <c r="D27" i="92"/>
  <c r="S27" i="92" s="1"/>
  <c r="E27" i="92"/>
  <c r="T27" i="92" s="1"/>
  <c r="F27" i="92"/>
  <c r="U27" i="92" s="1"/>
  <c r="G27" i="92"/>
  <c r="V27" i="92" s="1"/>
  <c r="H27" i="92"/>
  <c r="W27" i="92" s="1"/>
  <c r="I27" i="92"/>
  <c r="X27" i="92" s="1"/>
  <c r="J27" i="92"/>
  <c r="Y27" i="92" s="1"/>
  <c r="K27" i="92"/>
  <c r="Z27" i="92" s="1"/>
  <c r="L27" i="92"/>
  <c r="AA27" i="92" s="1"/>
  <c r="M27" i="92"/>
  <c r="AB27" i="92" s="1"/>
  <c r="B28" i="92"/>
  <c r="C28" i="92"/>
  <c r="R28" i="92" s="1"/>
  <c r="D28" i="92"/>
  <c r="S28" i="92" s="1"/>
  <c r="E28" i="92"/>
  <c r="T28" i="92" s="1"/>
  <c r="F28" i="92"/>
  <c r="U28" i="92" s="1"/>
  <c r="G28" i="92"/>
  <c r="V28" i="92" s="1"/>
  <c r="H28" i="92"/>
  <c r="W28" i="92" s="1"/>
  <c r="I28" i="92"/>
  <c r="X28" i="92" s="1"/>
  <c r="J28" i="92"/>
  <c r="Y28" i="92" s="1"/>
  <c r="K28" i="92"/>
  <c r="Z28" i="92" s="1"/>
  <c r="L28" i="92"/>
  <c r="AA28" i="92" s="1"/>
  <c r="M28" i="92"/>
  <c r="AB28" i="92" s="1"/>
  <c r="A29" i="92"/>
  <c r="B29" i="92"/>
  <c r="C29" i="92"/>
  <c r="R29" i="92" s="1"/>
  <c r="D29" i="92"/>
  <c r="S29" i="92" s="1"/>
  <c r="E29" i="92"/>
  <c r="T29" i="92" s="1"/>
  <c r="F29" i="92"/>
  <c r="U29" i="92" s="1"/>
  <c r="G29" i="92"/>
  <c r="V29" i="92" s="1"/>
  <c r="H29" i="92"/>
  <c r="W29" i="92" s="1"/>
  <c r="I29" i="92"/>
  <c r="X29" i="92" s="1"/>
  <c r="J29" i="92"/>
  <c r="Y29" i="92" s="1"/>
  <c r="K29" i="92"/>
  <c r="Z29" i="92" s="1"/>
  <c r="L29" i="92"/>
  <c r="AA29" i="92" s="1"/>
  <c r="M29" i="92"/>
  <c r="AB29" i="92" s="1"/>
  <c r="B30" i="92"/>
  <c r="C30" i="92"/>
  <c r="R30" i="92" s="1"/>
  <c r="D30" i="92"/>
  <c r="S30" i="92" s="1"/>
  <c r="E30" i="92"/>
  <c r="T30" i="92" s="1"/>
  <c r="F30" i="92"/>
  <c r="U30" i="92" s="1"/>
  <c r="G30" i="92"/>
  <c r="V30" i="92" s="1"/>
  <c r="H30" i="92"/>
  <c r="W30" i="92" s="1"/>
  <c r="I30" i="92"/>
  <c r="X30" i="92" s="1"/>
  <c r="J30" i="92"/>
  <c r="Y30" i="92" s="1"/>
  <c r="K30" i="92"/>
  <c r="Z30" i="92" s="1"/>
  <c r="L30" i="92"/>
  <c r="AA30" i="92" s="1"/>
  <c r="M30" i="92"/>
  <c r="AB30" i="92" s="1"/>
  <c r="B31" i="92"/>
  <c r="C31" i="92"/>
  <c r="R31" i="92" s="1"/>
  <c r="D31" i="92"/>
  <c r="S31" i="92" s="1"/>
  <c r="E31" i="92"/>
  <c r="T31" i="92" s="1"/>
  <c r="F31" i="92"/>
  <c r="U31" i="92" s="1"/>
  <c r="G31" i="92"/>
  <c r="V31" i="92" s="1"/>
  <c r="H31" i="92"/>
  <c r="W31" i="92" s="1"/>
  <c r="I31" i="92"/>
  <c r="X31" i="92" s="1"/>
  <c r="J31" i="92"/>
  <c r="Y31" i="92" s="1"/>
  <c r="K31" i="92"/>
  <c r="Z31" i="92" s="1"/>
  <c r="L31" i="92"/>
  <c r="AA31" i="92" s="1"/>
  <c r="M31" i="92"/>
  <c r="AB31" i="92" s="1"/>
  <c r="B32" i="92"/>
  <c r="C32" i="92"/>
  <c r="R32" i="92" s="1"/>
  <c r="D32" i="92"/>
  <c r="S32" i="92" s="1"/>
  <c r="E32" i="92"/>
  <c r="T32" i="92" s="1"/>
  <c r="F32" i="92"/>
  <c r="U32" i="92" s="1"/>
  <c r="G32" i="92"/>
  <c r="V32" i="92" s="1"/>
  <c r="H32" i="92"/>
  <c r="W32" i="92" s="1"/>
  <c r="I32" i="92"/>
  <c r="X32" i="92" s="1"/>
  <c r="J32" i="92"/>
  <c r="Y32" i="92" s="1"/>
  <c r="K32" i="92"/>
  <c r="Z32" i="92" s="1"/>
  <c r="L32" i="92"/>
  <c r="AA32" i="92" s="1"/>
  <c r="M32" i="92"/>
  <c r="AB32" i="92" s="1"/>
  <c r="B33" i="92"/>
  <c r="C33" i="92"/>
  <c r="R33" i="92" s="1"/>
  <c r="D33" i="92"/>
  <c r="S33" i="92" s="1"/>
  <c r="E33" i="92"/>
  <c r="T33" i="92" s="1"/>
  <c r="F33" i="92"/>
  <c r="U33" i="92" s="1"/>
  <c r="G33" i="92"/>
  <c r="V33" i="92" s="1"/>
  <c r="H33" i="92"/>
  <c r="W33" i="92" s="1"/>
  <c r="I33" i="92"/>
  <c r="X33" i="92" s="1"/>
  <c r="J33" i="92"/>
  <c r="Y33" i="92" s="1"/>
  <c r="K33" i="92"/>
  <c r="Z33" i="92" s="1"/>
  <c r="L33" i="92"/>
  <c r="AA33" i="92" s="1"/>
  <c r="M33" i="92"/>
  <c r="AB33" i="92" s="1"/>
  <c r="B34" i="92"/>
  <c r="C34" i="92"/>
  <c r="R34" i="92" s="1"/>
  <c r="D34" i="92"/>
  <c r="S34" i="92" s="1"/>
  <c r="E34" i="92"/>
  <c r="T34" i="92" s="1"/>
  <c r="F34" i="92"/>
  <c r="U34" i="92" s="1"/>
  <c r="G34" i="92"/>
  <c r="V34" i="92" s="1"/>
  <c r="H34" i="92"/>
  <c r="W34" i="92" s="1"/>
  <c r="I34" i="92"/>
  <c r="X34" i="92" s="1"/>
  <c r="J34" i="92"/>
  <c r="Y34" i="92" s="1"/>
  <c r="K34" i="92"/>
  <c r="Z34" i="92" s="1"/>
  <c r="L34" i="92"/>
  <c r="AA34" i="92" s="1"/>
  <c r="M34" i="92"/>
  <c r="AB34" i="92" s="1"/>
  <c r="A35" i="92"/>
  <c r="B35" i="92"/>
  <c r="C35" i="92"/>
  <c r="R35" i="92" s="1"/>
  <c r="D35" i="92"/>
  <c r="S35" i="92" s="1"/>
  <c r="E35" i="92"/>
  <c r="T35" i="92" s="1"/>
  <c r="F35" i="92"/>
  <c r="U35" i="92" s="1"/>
  <c r="G35" i="92"/>
  <c r="V35" i="92" s="1"/>
  <c r="H35" i="92"/>
  <c r="W35" i="92" s="1"/>
  <c r="I35" i="92"/>
  <c r="X35" i="92" s="1"/>
  <c r="J35" i="92"/>
  <c r="Y35" i="92" s="1"/>
  <c r="K35" i="92"/>
  <c r="Z35" i="92" s="1"/>
  <c r="L35" i="92"/>
  <c r="AA35" i="92" s="1"/>
  <c r="M35" i="92"/>
  <c r="AB35" i="92" s="1"/>
  <c r="B36" i="92"/>
  <c r="C36" i="92"/>
  <c r="R36" i="92" s="1"/>
  <c r="D36" i="92"/>
  <c r="S36" i="92" s="1"/>
  <c r="E36" i="92"/>
  <c r="T36" i="92" s="1"/>
  <c r="F36" i="92"/>
  <c r="U36" i="92" s="1"/>
  <c r="G36" i="92"/>
  <c r="V36" i="92" s="1"/>
  <c r="H36" i="92"/>
  <c r="W36" i="92" s="1"/>
  <c r="I36" i="92"/>
  <c r="X36" i="92" s="1"/>
  <c r="J36" i="92"/>
  <c r="Y36" i="92" s="1"/>
  <c r="K36" i="92"/>
  <c r="Z36" i="92" s="1"/>
  <c r="L36" i="92"/>
  <c r="AA36" i="92" s="1"/>
  <c r="M36" i="92"/>
  <c r="AB36" i="92" s="1"/>
  <c r="B37" i="92"/>
  <c r="C37" i="92"/>
  <c r="R37" i="92" s="1"/>
  <c r="D37" i="92"/>
  <c r="S37" i="92" s="1"/>
  <c r="E37" i="92"/>
  <c r="T37" i="92" s="1"/>
  <c r="F37" i="92"/>
  <c r="U37" i="92" s="1"/>
  <c r="G37" i="92"/>
  <c r="V37" i="92" s="1"/>
  <c r="H37" i="92"/>
  <c r="W37" i="92" s="1"/>
  <c r="I37" i="92"/>
  <c r="X37" i="92" s="1"/>
  <c r="J37" i="92"/>
  <c r="Y37" i="92" s="1"/>
  <c r="K37" i="92"/>
  <c r="Z37" i="92" s="1"/>
  <c r="L37" i="92"/>
  <c r="AA37" i="92" s="1"/>
  <c r="M37" i="92"/>
  <c r="AB37" i="92" s="1"/>
  <c r="A38" i="92"/>
  <c r="B38" i="92"/>
  <c r="C38" i="92"/>
  <c r="R38" i="92" s="1"/>
  <c r="D38" i="92"/>
  <c r="S38" i="92" s="1"/>
  <c r="E38" i="92"/>
  <c r="T38" i="92" s="1"/>
  <c r="F38" i="92"/>
  <c r="U38" i="92" s="1"/>
  <c r="G38" i="92"/>
  <c r="V38" i="92" s="1"/>
  <c r="H38" i="92"/>
  <c r="W38" i="92" s="1"/>
  <c r="I38" i="92"/>
  <c r="X38" i="92" s="1"/>
  <c r="J38" i="92"/>
  <c r="Y38" i="92" s="1"/>
  <c r="K38" i="92"/>
  <c r="Z38" i="92" s="1"/>
  <c r="L38" i="92"/>
  <c r="AA38" i="92" s="1"/>
  <c r="M38" i="92"/>
  <c r="AB38" i="92" s="1"/>
  <c r="B39" i="92"/>
  <c r="C39" i="92"/>
  <c r="R39" i="92" s="1"/>
  <c r="D39" i="92"/>
  <c r="S39" i="92" s="1"/>
  <c r="E39" i="92"/>
  <c r="T39" i="92" s="1"/>
  <c r="F39" i="92"/>
  <c r="U39" i="92" s="1"/>
  <c r="G39" i="92"/>
  <c r="V39" i="92" s="1"/>
  <c r="H39" i="92"/>
  <c r="W39" i="92" s="1"/>
  <c r="I39" i="92"/>
  <c r="X39" i="92" s="1"/>
  <c r="J39" i="92"/>
  <c r="Y39" i="92" s="1"/>
  <c r="K39" i="92"/>
  <c r="Z39" i="92" s="1"/>
  <c r="L39" i="92"/>
  <c r="AA39" i="92" s="1"/>
  <c r="M39" i="92"/>
  <c r="AB39" i="92" s="1"/>
  <c r="B40" i="92"/>
  <c r="C40" i="92"/>
  <c r="R40" i="92" s="1"/>
  <c r="D40" i="92"/>
  <c r="S40" i="92" s="1"/>
  <c r="E40" i="92"/>
  <c r="T40" i="92" s="1"/>
  <c r="F40" i="92"/>
  <c r="U40" i="92" s="1"/>
  <c r="G40" i="92"/>
  <c r="V40" i="92" s="1"/>
  <c r="H40" i="92"/>
  <c r="W40" i="92" s="1"/>
  <c r="I40" i="92"/>
  <c r="X40" i="92" s="1"/>
  <c r="J40" i="92"/>
  <c r="Y40" i="92" s="1"/>
  <c r="K40" i="92"/>
  <c r="Z40" i="92" s="1"/>
  <c r="L40" i="92"/>
  <c r="AA40" i="92" s="1"/>
  <c r="M40" i="92"/>
  <c r="AB40" i="92" s="1"/>
  <c r="A41" i="92"/>
  <c r="C4" i="92"/>
  <c r="AD4" i="92" s="1"/>
  <c r="D4" i="92"/>
  <c r="AE4" i="92" s="1"/>
  <c r="E4" i="92"/>
  <c r="AF4" i="92" s="1"/>
  <c r="F4" i="92"/>
  <c r="AG4" i="92" s="1"/>
  <c r="G4" i="92"/>
  <c r="AH4" i="92" s="1"/>
  <c r="H4" i="92"/>
  <c r="AI4" i="92" s="1"/>
  <c r="I4" i="92"/>
  <c r="AJ4" i="92" s="1"/>
  <c r="J4" i="92"/>
  <c r="AK4" i="92" s="1"/>
  <c r="K4" i="92"/>
  <c r="AL4" i="92" s="1"/>
  <c r="L4" i="92"/>
  <c r="AM4" i="92" s="1"/>
  <c r="M4" i="92"/>
  <c r="AN4" i="92" s="1"/>
  <c r="A1" i="92"/>
  <c r="A1" i="91"/>
  <c r="A42" i="91"/>
  <c r="A41" i="91"/>
  <c r="B6" i="91"/>
  <c r="B7" i="91"/>
  <c r="A8" i="91"/>
  <c r="B8" i="91"/>
  <c r="B9" i="91"/>
  <c r="B10" i="91"/>
  <c r="A11" i="91"/>
  <c r="B11" i="91"/>
  <c r="B12" i="91"/>
  <c r="B13" i="91"/>
  <c r="A14" i="91"/>
  <c r="B14" i="91"/>
  <c r="B15" i="91"/>
  <c r="B16" i="91"/>
  <c r="A17" i="91"/>
  <c r="B17" i="91"/>
  <c r="B18" i="91"/>
  <c r="B19" i="91"/>
  <c r="A20" i="91"/>
  <c r="B20" i="91"/>
  <c r="B21" i="91"/>
  <c r="B22" i="91"/>
  <c r="A23" i="91"/>
  <c r="B23" i="91"/>
  <c r="B24" i="91"/>
  <c r="B25" i="91"/>
  <c r="A26" i="91"/>
  <c r="B26" i="91"/>
  <c r="B27" i="91"/>
  <c r="B28" i="91"/>
  <c r="A29" i="91"/>
  <c r="B29" i="91"/>
  <c r="B30" i="91"/>
  <c r="B31" i="91"/>
  <c r="A32" i="91"/>
  <c r="B32" i="91"/>
  <c r="B33" i="91"/>
  <c r="B34" i="91"/>
  <c r="A35" i="91"/>
  <c r="B35" i="91"/>
  <c r="B36" i="91"/>
  <c r="B37" i="91"/>
  <c r="A38" i="91"/>
  <c r="B38" i="91"/>
  <c r="B39" i="91"/>
  <c r="B40" i="91"/>
  <c r="B5" i="91"/>
  <c r="A5" i="91"/>
  <c r="C5" i="91"/>
  <c r="D5" i="91"/>
  <c r="E5" i="91"/>
  <c r="F5" i="91"/>
  <c r="G5" i="91"/>
  <c r="H5" i="91"/>
  <c r="I5" i="91"/>
  <c r="J5" i="91"/>
  <c r="K5" i="91"/>
  <c r="L5" i="91"/>
  <c r="M5" i="91"/>
  <c r="C6" i="91"/>
  <c r="BV8" i="75" s="1"/>
  <c r="D6" i="91"/>
  <c r="BW8" i="75" s="1"/>
  <c r="E6" i="91"/>
  <c r="BX8" i="75" s="1"/>
  <c r="F6" i="91"/>
  <c r="BY8" i="75" s="1"/>
  <c r="G6" i="91"/>
  <c r="BZ8" i="75" s="1"/>
  <c r="H6" i="91"/>
  <c r="CA8" i="75" s="1"/>
  <c r="I6" i="91"/>
  <c r="CB8" i="75" s="1"/>
  <c r="J6" i="91"/>
  <c r="CC8" i="75" s="1"/>
  <c r="K6" i="91"/>
  <c r="CD8" i="75" s="1"/>
  <c r="L6" i="91"/>
  <c r="CE8" i="75" s="1"/>
  <c r="M6" i="91"/>
  <c r="CF8" i="75" s="1"/>
  <c r="C7" i="91"/>
  <c r="BV15" i="75" s="1"/>
  <c r="D7" i="91"/>
  <c r="BW15" i="75" s="1"/>
  <c r="E7" i="91"/>
  <c r="BX15" i="75" s="1"/>
  <c r="F7" i="91"/>
  <c r="BY15" i="75" s="1"/>
  <c r="G7" i="91"/>
  <c r="BZ15" i="75" s="1"/>
  <c r="H7" i="91"/>
  <c r="CA15" i="75" s="1"/>
  <c r="I7" i="91"/>
  <c r="CB15" i="75" s="1"/>
  <c r="J7" i="91"/>
  <c r="CC15" i="75" s="1"/>
  <c r="K7" i="91"/>
  <c r="CD15" i="75" s="1"/>
  <c r="L7" i="91"/>
  <c r="CE15" i="75" s="1"/>
  <c r="M7" i="91"/>
  <c r="CF15" i="75" s="1"/>
  <c r="C8" i="91"/>
  <c r="R8" i="91" s="1"/>
  <c r="D8" i="91"/>
  <c r="S8" i="91" s="1"/>
  <c r="E8" i="91"/>
  <c r="T8" i="91" s="1"/>
  <c r="F8" i="91"/>
  <c r="U8" i="91" s="1"/>
  <c r="G8" i="91"/>
  <c r="V8" i="91" s="1"/>
  <c r="H8" i="91"/>
  <c r="W8" i="91" s="1"/>
  <c r="I8" i="91"/>
  <c r="X8" i="91" s="1"/>
  <c r="J8" i="91"/>
  <c r="Y8" i="91" s="1"/>
  <c r="K8" i="91"/>
  <c r="Z8" i="91" s="1"/>
  <c r="L8" i="91"/>
  <c r="AA8" i="91" s="1"/>
  <c r="M8" i="91"/>
  <c r="AB8" i="91" s="1"/>
  <c r="C9" i="91"/>
  <c r="R9" i="91" s="1"/>
  <c r="D9" i="91"/>
  <c r="S9" i="91" s="1"/>
  <c r="E9" i="91"/>
  <c r="T9" i="91" s="1"/>
  <c r="F9" i="91"/>
  <c r="U9" i="91" s="1"/>
  <c r="G9" i="91"/>
  <c r="V9" i="91" s="1"/>
  <c r="H9" i="91"/>
  <c r="W9" i="91" s="1"/>
  <c r="I9" i="91"/>
  <c r="X9" i="91" s="1"/>
  <c r="J9" i="91"/>
  <c r="Y9" i="91" s="1"/>
  <c r="K9" i="91"/>
  <c r="Z9" i="91" s="1"/>
  <c r="L9" i="91"/>
  <c r="AA9" i="91" s="1"/>
  <c r="M9" i="91"/>
  <c r="AB9" i="91" s="1"/>
  <c r="C10" i="91"/>
  <c r="R10" i="91" s="1"/>
  <c r="D10" i="91"/>
  <c r="S10" i="91" s="1"/>
  <c r="E10" i="91"/>
  <c r="T10" i="91" s="1"/>
  <c r="F10" i="91"/>
  <c r="U10" i="91" s="1"/>
  <c r="G10" i="91"/>
  <c r="V10" i="91" s="1"/>
  <c r="H10" i="91"/>
  <c r="W10" i="91" s="1"/>
  <c r="I10" i="91"/>
  <c r="X10" i="91" s="1"/>
  <c r="J10" i="91"/>
  <c r="Y10" i="91" s="1"/>
  <c r="K10" i="91"/>
  <c r="Z10" i="91" s="1"/>
  <c r="L10" i="91"/>
  <c r="AA10" i="91" s="1"/>
  <c r="M10" i="91"/>
  <c r="AB10" i="91" s="1"/>
  <c r="C11" i="91"/>
  <c r="R11" i="91" s="1"/>
  <c r="D11" i="91"/>
  <c r="S11" i="91" s="1"/>
  <c r="E11" i="91"/>
  <c r="T11" i="91" s="1"/>
  <c r="F11" i="91"/>
  <c r="U11" i="91" s="1"/>
  <c r="G11" i="91"/>
  <c r="V11" i="91" s="1"/>
  <c r="H11" i="91"/>
  <c r="W11" i="91" s="1"/>
  <c r="I11" i="91"/>
  <c r="X11" i="91" s="1"/>
  <c r="J11" i="91"/>
  <c r="Y11" i="91" s="1"/>
  <c r="K11" i="91"/>
  <c r="Z11" i="91" s="1"/>
  <c r="L11" i="91"/>
  <c r="AA11" i="91" s="1"/>
  <c r="M11" i="91"/>
  <c r="AB11" i="91" s="1"/>
  <c r="C12" i="91"/>
  <c r="R12" i="91" s="1"/>
  <c r="D12" i="91"/>
  <c r="S12" i="91" s="1"/>
  <c r="E12" i="91"/>
  <c r="T12" i="91" s="1"/>
  <c r="F12" i="91"/>
  <c r="U12" i="91" s="1"/>
  <c r="G12" i="91"/>
  <c r="V12" i="91" s="1"/>
  <c r="H12" i="91"/>
  <c r="W12" i="91" s="1"/>
  <c r="I12" i="91"/>
  <c r="X12" i="91" s="1"/>
  <c r="J12" i="91"/>
  <c r="Y12" i="91" s="1"/>
  <c r="K12" i="91"/>
  <c r="Z12" i="91" s="1"/>
  <c r="L12" i="91"/>
  <c r="AA12" i="91" s="1"/>
  <c r="M12" i="91"/>
  <c r="AB12" i="91" s="1"/>
  <c r="C13" i="91"/>
  <c r="R13" i="91" s="1"/>
  <c r="D13" i="91"/>
  <c r="S13" i="91" s="1"/>
  <c r="E13" i="91"/>
  <c r="T13" i="91" s="1"/>
  <c r="F13" i="91"/>
  <c r="U13" i="91" s="1"/>
  <c r="G13" i="91"/>
  <c r="V13" i="91" s="1"/>
  <c r="H13" i="91"/>
  <c r="W13" i="91" s="1"/>
  <c r="I13" i="91"/>
  <c r="X13" i="91" s="1"/>
  <c r="J13" i="91"/>
  <c r="Y13" i="91" s="1"/>
  <c r="K13" i="91"/>
  <c r="Z13" i="91" s="1"/>
  <c r="L13" i="91"/>
  <c r="AA13" i="91" s="1"/>
  <c r="M13" i="91"/>
  <c r="AB13" i="91" s="1"/>
  <c r="C14" i="91"/>
  <c r="R14" i="91" s="1"/>
  <c r="D14" i="91"/>
  <c r="S14" i="91" s="1"/>
  <c r="E14" i="91"/>
  <c r="T14" i="91" s="1"/>
  <c r="F14" i="91"/>
  <c r="U14" i="91" s="1"/>
  <c r="G14" i="91"/>
  <c r="V14" i="91" s="1"/>
  <c r="H14" i="91"/>
  <c r="W14" i="91" s="1"/>
  <c r="I14" i="91"/>
  <c r="X14" i="91" s="1"/>
  <c r="J14" i="91"/>
  <c r="Y14" i="91" s="1"/>
  <c r="K14" i="91"/>
  <c r="Z14" i="91" s="1"/>
  <c r="L14" i="91"/>
  <c r="AA14" i="91" s="1"/>
  <c r="M14" i="91"/>
  <c r="AB14" i="91" s="1"/>
  <c r="C15" i="91"/>
  <c r="R15" i="91" s="1"/>
  <c r="D15" i="91"/>
  <c r="S15" i="91" s="1"/>
  <c r="E15" i="91"/>
  <c r="T15" i="91" s="1"/>
  <c r="F15" i="91"/>
  <c r="U15" i="91" s="1"/>
  <c r="G15" i="91"/>
  <c r="V15" i="91" s="1"/>
  <c r="H15" i="91"/>
  <c r="W15" i="91" s="1"/>
  <c r="I15" i="91"/>
  <c r="X15" i="91" s="1"/>
  <c r="J15" i="91"/>
  <c r="Y15" i="91" s="1"/>
  <c r="K15" i="91"/>
  <c r="Z15" i="91" s="1"/>
  <c r="L15" i="91"/>
  <c r="AA15" i="91" s="1"/>
  <c r="M15" i="91"/>
  <c r="AB15" i="91" s="1"/>
  <c r="C16" i="91"/>
  <c r="R16" i="91" s="1"/>
  <c r="D16" i="91"/>
  <c r="S16" i="91" s="1"/>
  <c r="E16" i="91"/>
  <c r="T16" i="91" s="1"/>
  <c r="F16" i="91"/>
  <c r="U16" i="91" s="1"/>
  <c r="G16" i="91"/>
  <c r="V16" i="91" s="1"/>
  <c r="H16" i="91"/>
  <c r="W16" i="91" s="1"/>
  <c r="I16" i="91"/>
  <c r="X16" i="91" s="1"/>
  <c r="J16" i="91"/>
  <c r="Y16" i="91" s="1"/>
  <c r="K16" i="91"/>
  <c r="Z16" i="91" s="1"/>
  <c r="L16" i="91"/>
  <c r="AA16" i="91" s="1"/>
  <c r="M16" i="91"/>
  <c r="AB16" i="91" s="1"/>
  <c r="C17" i="91"/>
  <c r="R17" i="91" s="1"/>
  <c r="D17" i="91"/>
  <c r="S17" i="91" s="1"/>
  <c r="E17" i="91"/>
  <c r="T17" i="91" s="1"/>
  <c r="F17" i="91"/>
  <c r="U17" i="91" s="1"/>
  <c r="G17" i="91"/>
  <c r="V17" i="91" s="1"/>
  <c r="H17" i="91"/>
  <c r="W17" i="91" s="1"/>
  <c r="I17" i="91"/>
  <c r="X17" i="91" s="1"/>
  <c r="J17" i="91"/>
  <c r="Y17" i="91" s="1"/>
  <c r="K17" i="91"/>
  <c r="Z17" i="91" s="1"/>
  <c r="L17" i="91"/>
  <c r="AA17" i="91" s="1"/>
  <c r="M17" i="91"/>
  <c r="AB17" i="91" s="1"/>
  <c r="C18" i="91"/>
  <c r="R18" i="91" s="1"/>
  <c r="D18" i="91"/>
  <c r="S18" i="91" s="1"/>
  <c r="E18" i="91"/>
  <c r="T18" i="91" s="1"/>
  <c r="F18" i="91"/>
  <c r="U18" i="91" s="1"/>
  <c r="G18" i="91"/>
  <c r="V18" i="91" s="1"/>
  <c r="H18" i="91"/>
  <c r="W18" i="91" s="1"/>
  <c r="I18" i="91"/>
  <c r="X18" i="91" s="1"/>
  <c r="J18" i="91"/>
  <c r="Y18" i="91" s="1"/>
  <c r="K18" i="91"/>
  <c r="Z18" i="91" s="1"/>
  <c r="L18" i="91"/>
  <c r="AA18" i="91" s="1"/>
  <c r="M18" i="91"/>
  <c r="AB18" i="91" s="1"/>
  <c r="C19" i="91"/>
  <c r="R19" i="91" s="1"/>
  <c r="D19" i="91"/>
  <c r="S19" i="91" s="1"/>
  <c r="E19" i="91"/>
  <c r="T19" i="91" s="1"/>
  <c r="F19" i="91"/>
  <c r="U19" i="91" s="1"/>
  <c r="G19" i="91"/>
  <c r="V19" i="91" s="1"/>
  <c r="H19" i="91"/>
  <c r="W19" i="91" s="1"/>
  <c r="I19" i="91"/>
  <c r="X19" i="91" s="1"/>
  <c r="J19" i="91"/>
  <c r="Y19" i="91" s="1"/>
  <c r="K19" i="91"/>
  <c r="Z19" i="91" s="1"/>
  <c r="L19" i="91"/>
  <c r="AA19" i="91" s="1"/>
  <c r="M19" i="91"/>
  <c r="AB19" i="91" s="1"/>
  <c r="C20" i="91"/>
  <c r="R20" i="91" s="1"/>
  <c r="D20" i="91"/>
  <c r="S20" i="91" s="1"/>
  <c r="E20" i="91"/>
  <c r="T20" i="91" s="1"/>
  <c r="F20" i="91"/>
  <c r="U20" i="91" s="1"/>
  <c r="G20" i="91"/>
  <c r="V20" i="91" s="1"/>
  <c r="H20" i="91"/>
  <c r="W20" i="91" s="1"/>
  <c r="I20" i="91"/>
  <c r="X20" i="91" s="1"/>
  <c r="J20" i="91"/>
  <c r="Y20" i="91" s="1"/>
  <c r="K20" i="91"/>
  <c r="Z20" i="91" s="1"/>
  <c r="L20" i="91"/>
  <c r="AA20" i="91" s="1"/>
  <c r="M20" i="91"/>
  <c r="AB20" i="91" s="1"/>
  <c r="C21" i="91"/>
  <c r="R21" i="91" s="1"/>
  <c r="D21" i="91"/>
  <c r="S21" i="91" s="1"/>
  <c r="E21" i="91"/>
  <c r="T21" i="91" s="1"/>
  <c r="F21" i="91"/>
  <c r="U21" i="91" s="1"/>
  <c r="G21" i="91"/>
  <c r="V21" i="91" s="1"/>
  <c r="H21" i="91"/>
  <c r="W21" i="91" s="1"/>
  <c r="I21" i="91"/>
  <c r="X21" i="91" s="1"/>
  <c r="J21" i="91"/>
  <c r="Y21" i="91" s="1"/>
  <c r="K21" i="91"/>
  <c r="Z21" i="91" s="1"/>
  <c r="L21" i="91"/>
  <c r="AA21" i="91" s="1"/>
  <c r="M21" i="91"/>
  <c r="AB21" i="91" s="1"/>
  <c r="C22" i="91"/>
  <c r="R22" i="91" s="1"/>
  <c r="D22" i="91"/>
  <c r="S22" i="91" s="1"/>
  <c r="E22" i="91"/>
  <c r="T22" i="91" s="1"/>
  <c r="F22" i="91"/>
  <c r="U22" i="91" s="1"/>
  <c r="G22" i="91"/>
  <c r="V22" i="91" s="1"/>
  <c r="H22" i="91"/>
  <c r="W22" i="91" s="1"/>
  <c r="I22" i="91"/>
  <c r="X22" i="91" s="1"/>
  <c r="J22" i="91"/>
  <c r="Y22" i="91" s="1"/>
  <c r="K22" i="91"/>
  <c r="Z22" i="91" s="1"/>
  <c r="L22" i="91"/>
  <c r="AA22" i="91" s="1"/>
  <c r="M22" i="91"/>
  <c r="AB22" i="91" s="1"/>
  <c r="C23" i="91"/>
  <c r="R23" i="91" s="1"/>
  <c r="D23" i="91"/>
  <c r="S23" i="91" s="1"/>
  <c r="E23" i="91"/>
  <c r="T23" i="91" s="1"/>
  <c r="F23" i="91"/>
  <c r="U23" i="91" s="1"/>
  <c r="G23" i="91"/>
  <c r="V23" i="91" s="1"/>
  <c r="H23" i="91"/>
  <c r="W23" i="91" s="1"/>
  <c r="I23" i="91"/>
  <c r="X23" i="91" s="1"/>
  <c r="J23" i="91"/>
  <c r="Y23" i="91" s="1"/>
  <c r="K23" i="91"/>
  <c r="Z23" i="91" s="1"/>
  <c r="L23" i="91"/>
  <c r="AA23" i="91" s="1"/>
  <c r="M23" i="91"/>
  <c r="AB23" i="91" s="1"/>
  <c r="C24" i="91"/>
  <c r="R24" i="91" s="1"/>
  <c r="D24" i="91"/>
  <c r="S24" i="91" s="1"/>
  <c r="E24" i="91"/>
  <c r="T24" i="91" s="1"/>
  <c r="F24" i="91"/>
  <c r="U24" i="91" s="1"/>
  <c r="G24" i="91"/>
  <c r="V24" i="91" s="1"/>
  <c r="H24" i="91"/>
  <c r="W24" i="91" s="1"/>
  <c r="I24" i="91"/>
  <c r="X24" i="91" s="1"/>
  <c r="J24" i="91"/>
  <c r="Y24" i="91" s="1"/>
  <c r="K24" i="91"/>
  <c r="Z24" i="91" s="1"/>
  <c r="L24" i="91"/>
  <c r="AA24" i="91" s="1"/>
  <c r="M24" i="91"/>
  <c r="AB24" i="91" s="1"/>
  <c r="C25" i="91"/>
  <c r="R25" i="91" s="1"/>
  <c r="D25" i="91"/>
  <c r="S25" i="91" s="1"/>
  <c r="E25" i="91"/>
  <c r="T25" i="91" s="1"/>
  <c r="F25" i="91"/>
  <c r="U25" i="91" s="1"/>
  <c r="G25" i="91"/>
  <c r="V25" i="91" s="1"/>
  <c r="H25" i="91"/>
  <c r="W25" i="91" s="1"/>
  <c r="I25" i="91"/>
  <c r="X25" i="91" s="1"/>
  <c r="J25" i="91"/>
  <c r="Y25" i="91" s="1"/>
  <c r="K25" i="91"/>
  <c r="Z25" i="91" s="1"/>
  <c r="L25" i="91"/>
  <c r="AA25" i="91" s="1"/>
  <c r="M25" i="91"/>
  <c r="AB25" i="91" s="1"/>
  <c r="C26" i="91"/>
  <c r="R26" i="91" s="1"/>
  <c r="D26" i="91"/>
  <c r="S26" i="91" s="1"/>
  <c r="E26" i="91"/>
  <c r="T26" i="91" s="1"/>
  <c r="F26" i="91"/>
  <c r="U26" i="91" s="1"/>
  <c r="G26" i="91"/>
  <c r="V26" i="91" s="1"/>
  <c r="H26" i="91"/>
  <c r="W26" i="91" s="1"/>
  <c r="I26" i="91"/>
  <c r="X26" i="91" s="1"/>
  <c r="J26" i="91"/>
  <c r="Y26" i="91" s="1"/>
  <c r="K26" i="91"/>
  <c r="Z26" i="91" s="1"/>
  <c r="L26" i="91"/>
  <c r="AA26" i="91" s="1"/>
  <c r="M26" i="91"/>
  <c r="AB26" i="91" s="1"/>
  <c r="C27" i="91"/>
  <c r="R27" i="91" s="1"/>
  <c r="D27" i="91"/>
  <c r="S27" i="91" s="1"/>
  <c r="E27" i="91"/>
  <c r="T27" i="91" s="1"/>
  <c r="F27" i="91"/>
  <c r="U27" i="91" s="1"/>
  <c r="G27" i="91"/>
  <c r="V27" i="91" s="1"/>
  <c r="H27" i="91"/>
  <c r="W27" i="91" s="1"/>
  <c r="I27" i="91"/>
  <c r="X27" i="91" s="1"/>
  <c r="J27" i="91"/>
  <c r="Y27" i="91" s="1"/>
  <c r="K27" i="91"/>
  <c r="Z27" i="91" s="1"/>
  <c r="L27" i="91"/>
  <c r="AA27" i="91" s="1"/>
  <c r="M27" i="91"/>
  <c r="AB27" i="91" s="1"/>
  <c r="C28" i="91"/>
  <c r="R28" i="91" s="1"/>
  <c r="D28" i="91"/>
  <c r="S28" i="91" s="1"/>
  <c r="E28" i="91"/>
  <c r="T28" i="91" s="1"/>
  <c r="F28" i="91"/>
  <c r="U28" i="91" s="1"/>
  <c r="G28" i="91"/>
  <c r="V28" i="91" s="1"/>
  <c r="H28" i="91"/>
  <c r="W28" i="91" s="1"/>
  <c r="I28" i="91"/>
  <c r="X28" i="91" s="1"/>
  <c r="J28" i="91"/>
  <c r="Y28" i="91" s="1"/>
  <c r="K28" i="91"/>
  <c r="Z28" i="91" s="1"/>
  <c r="L28" i="91"/>
  <c r="AA28" i="91" s="1"/>
  <c r="M28" i="91"/>
  <c r="AB28" i="91" s="1"/>
  <c r="C29" i="91"/>
  <c r="R29" i="91" s="1"/>
  <c r="D29" i="91"/>
  <c r="S29" i="91" s="1"/>
  <c r="E29" i="91"/>
  <c r="T29" i="91" s="1"/>
  <c r="F29" i="91"/>
  <c r="U29" i="91" s="1"/>
  <c r="G29" i="91"/>
  <c r="V29" i="91" s="1"/>
  <c r="H29" i="91"/>
  <c r="W29" i="91" s="1"/>
  <c r="I29" i="91"/>
  <c r="X29" i="91" s="1"/>
  <c r="J29" i="91"/>
  <c r="Y29" i="91" s="1"/>
  <c r="K29" i="91"/>
  <c r="Z29" i="91" s="1"/>
  <c r="L29" i="91"/>
  <c r="AA29" i="91" s="1"/>
  <c r="M29" i="91"/>
  <c r="AB29" i="91" s="1"/>
  <c r="C30" i="91"/>
  <c r="R30" i="91" s="1"/>
  <c r="D30" i="91"/>
  <c r="S30" i="91" s="1"/>
  <c r="E30" i="91"/>
  <c r="T30" i="91" s="1"/>
  <c r="F30" i="91"/>
  <c r="U30" i="91" s="1"/>
  <c r="G30" i="91"/>
  <c r="V30" i="91" s="1"/>
  <c r="H30" i="91"/>
  <c r="W30" i="91" s="1"/>
  <c r="I30" i="91"/>
  <c r="X30" i="91" s="1"/>
  <c r="J30" i="91"/>
  <c r="Y30" i="91" s="1"/>
  <c r="K30" i="91"/>
  <c r="Z30" i="91" s="1"/>
  <c r="L30" i="91"/>
  <c r="AA30" i="91" s="1"/>
  <c r="M30" i="91"/>
  <c r="AB30" i="91" s="1"/>
  <c r="C31" i="91"/>
  <c r="R31" i="91" s="1"/>
  <c r="D31" i="91"/>
  <c r="S31" i="91" s="1"/>
  <c r="E31" i="91"/>
  <c r="T31" i="91" s="1"/>
  <c r="F31" i="91"/>
  <c r="U31" i="91" s="1"/>
  <c r="G31" i="91"/>
  <c r="V31" i="91" s="1"/>
  <c r="H31" i="91"/>
  <c r="W31" i="91" s="1"/>
  <c r="I31" i="91"/>
  <c r="X31" i="91" s="1"/>
  <c r="J31" i="91"/>
  <c r="Y31" i="91" s="1"/>
  <c r="K31" i="91"/>
  <c r="Z31" i="91" s="1"/>
  <c r="L31" i="91"/>
  <c r="AA31" i="91" s="1"/>
  <c r="M31" i="91"/>
  <c r="AB31" i="91" s="1"/>
  <c r="C32" i="91"/>
  <c r="R32" i="91" s="1"/>
  <c r="D32" i="91"/>
  <c r="S32" i="91" s="1"/>
  <c r="E32" i="91"/>
  <c r="T32" i="91" s="1"/>
  <c r="F32" i="91"/>
  <c r="U32" i="91" s="1"/>
  <c r="G32" i="91"/>
  <c r="V32" i="91" s="1"/>
  <c r="H32" i="91"/>
  <c r="W32" i="91" s="1"/>
  <c r="I32" i="91"/>
  <c r="X32" i="91" s="1"/>
  <c r="J32" i="91"/>
  <c r="Y32" i="91" s="1"/>
  <c r="K32" i="91"/>
  <c r="Z32" i="91" s="1"/>
  <c r="L32" i="91"/>
  <c r="AA32" i="91" s="1"/>
  <c r="M32" i="91"/>
  <c r="AB32" i="91" s="1"/>
  <c r="C33" i="91"/>
  <c r="R33" i="91" s="1"/>
  <c r="D33" i="91"/>
  <c r="S33" i="91" s="1"/>
  <c r="E33" i="91"/>
  <c r="T33" i="91" s="1"/>
  <c r="F33" i="91"/>
  <c r="U33" i="91" s="1"/>
  <c r="G33" i="91"/>
  <c r="V33" i="91" s="1"/>
  <c r="H33" i="91"/>
  <c r="W33" i="91" s="1"/>
  <c r="I33" i="91"/>
  <c r="X33" i="91" s="1"/>
  <c r="J33" i="91"/>
  <c r="Y33" i="91" s="1"/>
  <c r="K33" i="91"/>
  <c r="Z33" i="91" s="1"/>
  <c r="L33" i="91"/>
  <c r="AA33" i="91" s="1"/>
  <c r="M33" i="91"/>
  <c r="AB33" i="91" s="1"/>
  <c r="C34" i="91"/>
  <c r="R34" i="91" s="1"/>
  <c r="D34" i="91"/>
  <c r="S34" i="91" s="1"/>
  <c r="E34" i="91"/>
  <c r="T34" i="91" s="1"/>
  <c r="F34" i="91"/>
  <c r="U34" i="91" s="1"/>
  <c r="G34" i="91"/>
  <c r="V34" i="91" s="1"/>
  <c r="H34" i="91"/>
  <c r="W34" i="91" s="1"/>
  <c r="I34" i="91"/>
  <c r="X34" i="91" s="1"/>
  <c r="J34" i="91"/>
  <c r="Y34" i="91" s="1"/>
  <c r="K34" i="91"/>
  <c r="Z34" i="91" s="1"/>
  <c r="L34" i="91"/>
  <c r="AA34" i="91" s="1"/>
  <c r="M34" i="91"/>
  <c r="AB34" i="91" s="1"/>
  <c r="C35" i="91"/>
  <c r="R35" i="91" s="1"/>
  <c r="D35" i="91"/>
  <c r="S35" i="91" s="1"/>
  <c r="E35" i="91"/>
  <c r="T35" i="91" s="1"/>
  <c r="F35" i="91"/>
  <c r="U35" i="91" s="1"/>
  <c r="G35" i="91"/>
  <c r="V35" i="91" s="1"/>
  <c r="H35" i="91"/>
  <c r="W35" i="91" s="1"/>
  <c r="I35" i="91"/>
  <c r="X35" i="91" s="1"/>
  <c r="J35" i="91"/>
  <c r="Y35" i="91" s="1"/>
  <c r="K35" i="91"/>
  <c r="Z35" i="91" s="1"/>
  <c r="L35" i="91"/>
  <c r="AA35" i="91" s="1"/>
  <c r="M35" i="91"/>
  <c r="AB35" i="91" s="1"/>
  <c r="C36" i="91"/>
  <c r="R36" i="91" s="1"/>
  <c r="D36" i="91"/>
  <c r="S36" i="91" s="1"/>
  <c r="E36" i="91"/>
  <c r="T36" i="91" s="1"/>
  <c r="F36" i="91"/>
  <c r="U36" i="91" s="1"/>
  <c r="G36" i="91"/>
  <c r="V36" i="91" s="1"/>
  <c r="H36" i="91"/>
  <c r="W36" i="91" s="1"/>
  <c r="I36" i="91"/>
  <c r="X36" i="91" s="1"/>
  <c r="J36" i="91"/>
  <c r="Y36" i="91" s="1"/>
  <c r="K36" i="91"/>
  <c r="Z36" i="91" s="1"/>
  <c r="L36" i="91"/>
  <c r="AA36" i="91" s="1"/>
  <c r="M36" i="91"/>
  <c r="AB36" i="91" s="1"/>
  <c r="C37" i="91"/>
  <c r="R37" i="91" s="1"/>
  <c r="D37" i="91"/>
  <c r="S37" i="91" s="1"/>
  <c r="E37" i="91"/>
  <c r="T37" i="91" s="1"/>
  <c r="F37" i="91"/>
  <c r="U37" i="91" s="1"/>
  <c r="G37" i="91"/>
  <c r="V37" i="91" s="1"/>
  <c r="H37" i="91"/>
  <c r="W37" i="91" s="1"/>
  <c r="I37" i="91"/>
  <c r="X37" i="91" s="1"/>
  <c r="J37" i="91"/>
  <c r="Y37" i="91" s="1"/>
  <c r="K37" i="91"/>
  <c r="Z37" i="91" s="1"/>
  <c r="L37" i="91"/>
  <c r="AA37" i="91" s="1"/>
  <c r="M37" i="91"/>
  <c r="AB37" i="91" s="1"/>
  <c r="C38" i="91"/>
  <c r="R38" i="91" s="1"/>
  <c r="D38" i="91"/>
  <c r="S38" i="91" s="1"/>
  <c r="E38" i="91"/>
  <c r="T38" i="91" s="1"/>
  <c r="F38" i="91"/>
  <c r="U38" i="91" s="1"/>
  <c r="G38" i="91"/>
  <c r="V38" i="91" s="1"/>
  <c r="H38" i="91"/>
  <c r="W38" i="91" s="1"/>
  <c r="I38" i="91"/>
  <c r="X38" i="91" s="1"/>
  <c r="J38" i="91"/>
  <c r="Y38" i="91" s="1"/>
  <c r="K38" i="91"/>
  <c r="Z38" i="91" s="1"/>
  <c r="L38" i="91"/>
  <c r="AA38" i="91" s="1"/>
  <c r="M38" i="91"/>
  <c r="AB38" i="91" s="1"/>
  <c r="C39" i="91"/>
  <c r="R39" i="91" s="1"/>
  <c r="D39" i="91"/>
  <c r="S39" i="91" s="1"/>
  <c r="E39" i="91"/>
  <c r="T39" i="91" s="1"/>
  <c r="F39" i="91"/>
  <c r="U39" i="91" s="1"/>
  <c r="G39" i="91"/>
  <c r="V39" i="91" s="1"/>
  <c r="H39" i="91"/>
  <c r="W39" i="91" s="1"/>
  <c r="I39" i="91"/>
  <c r="X39" i="91" s="1"/>
  <c r="J39" i="91"/>
  <c r="Y39" i="91" s="1"/>
  <c r="K39" i="91"/>
  <c r="Z39" i="91" s="1"/>
  <c r="L39" i="91"/>
  <c r="AA39" i="91" s="1"/>
  <c r="M39" i="91"/>
  <c r="AB39" i="91" s="1"/>
  <c r="C40" i="91"/>
  <c r="R40" i="91" s="1"/>
  <c r="D40" i="91"/>
  <c r="S40" i="91" s="1"/>
  <c r="E40" i="91"/>
  <c r="T40" i="91" s="1"/>
  <c r="F40" i="91"/>
  <c r="U40" i="91" s="1"/>
  <c r="G40" i="91"/>
  <c r="V40" i="91" s="1"/>
  <c r="H40" i="91"/>
  <c r="W40" i="91" s="1"/>
  <c r="I40" i="91"/>
  <c r="X40" i="91" s="1"/>
  <c r="J40" i="91"/>
  <c r="Y40" i="91" s="1"/>
  <c r="K40" i="91"/>
  <c r="Z40" i="91" s="1"/>
  <c r="L40" i="91"/>
  <c r="AA40" i="91" s="1"/>
  <c r="M40" i="91"/>
  <c r="AB40" i="91" s="1"/>
  <c r="D4" i="91"/>
  <c r="E4" i="91"/>
  <c r="F4" i="91"/>
  <c r="G4" i="91"/>
  <c r="H4" i="91"/>
  <c r="I4" i="91"/>
  <c r="J4" i="91"/>
  <c r="K4" i="91"/>
  <c r="L4" i="91"/>
  <c r="M4" i="91"/>
  <c r="C4" i="91"/>
  <c r="Y9" i="94" l="1"/>
  <c r="J64" i="80" s="1"/>
  <c r="Y10" i="94"/>
  <c r="J73" i="80" s="1"/>
  <c r="U39" i="94"/>
  <c r="F70" i="80" s="1"/>
  <c r="R11" i="94"/>
  <c r="C83" i="80" s="1"/>
  <c r="R12" i="94"/>
  <c r="C65" i="80" s="1"/>
  <c r="Y8" i="94"/>
  <c r="J82" i="80" s="1"/>
  <c r="U38" i="94"/>
  <c r="F88" i="80" s="1"/>
  <c r="AA39" i="94"/>
  <c r="L70" i="80" s="1"/>
  <c r="T42" i="94"/>
  <c r="S10" i="94"/>
  <c r="D73" i="80" s="1"/>
  <c r="X12" i="94"/>
  <c r="I65" i="80" s="1"/>
  <c r="Z42" i="94"/>
  <c r="S43" i="94"/>
  <c r="S9" i="94"/>
  <c r="D64" i="80" s="1"/>
  <c r="X11" i="94"/>
  <c r="I83" i="80" s="1"/>
  <c r="AA38" i="94"/>
  <c r="L88" i="80" s="1"/>
  <c r="Z43" i="94"/>
  <c r="Z9" i="93"/>
  <c r="K36" i="80" s="1"/>
  <c r="Y10" i="93"/>
  <c r="J45" i="80" s="1"/>
  <c r="T42" i="93"/>
  <c r="S8" i="93"/>
  <c r="D54" i="80" s="1"/>
  <c r="S9" i="93"/>
  <c r="D36" i="80" s="1"/>
  <c r="T8" i="93"/>
  <c r="E54" i="80" s="1"/>
  <c r="T9" i="93"/>
  <c r="E36" i="80" s="1"/>
  <c r="S10" i="93"/>
  <c r="D45" i="80" s="1"/>
  <c r="S11" i="93"/>
  <c r="D55" i="80" s="1"/>
  <c r="AA41" i="93"/>
  <c r="S12" i="93"/>
  <c r="D37" i="80" s="1"/>
  <c r="T10" i="93"/>
  <c r="E45" i="80" s="1"/>
  <c r="X12" i="93"/>
  <c r="I37" i="80" s="1"/>
  <c r="V38" i="93"/>
  <c r="G60" i="80" s="1"/>
  <c r="AB12" i="94"/>
  <c r="M65" i="80" s="1"/>
  <c r="S38" i="94"/>
  <c r="D88" i="80" s="1"/>
  <c r="AB11" i="94"/>
  <c r="M83" i="80" s="1"/>
  <c r="X41" i="94"/>
  <c r="W9" i="94"/>
  <c r="H64" i="80" s="1"/>
  <c r="V11" i="94"/>
  <c r="G83" i="80" s="1"/>
  <c r="V13" i="94"/>
  <c r="G74" i="80" s="1"/>
  <c r="S40" i="94"/>
  <c r="D79" i="80" s="1"/>
  <c r="Y39" i="94"/>
  <c r="J70" i="80" s="1"/>
  <c r="W10" i="94"/>
  <c r="H73" i="80" s="1"/>
  <c r="V12" i="94"/>
  <c r="G65" i="80" s="1"/>
  <c r="S39" i="94"/>
  <c r="D70" i="80" s="1"/>
  <c r="X42" i="94"/>
  <c r="CD28" i="75"/>
  <c r="BX28" i="75"/>
  <c r="CD21" i="75"/>
  <c r="CF27" i="75"/>
  <c r="BZ27" i="75"/>
  <c r="CF20" i="75"/>
  <c r="BZ20" i="75"/>
  <c r="N53" i="75"/>
  <c r="H53" i="75"/>
  <c r="CB26" i="75"/>
  <c r="BV26" i="75"/>
  <c r="CB19" i="75"/>
  <c r="BV19" i="75"/>
  <c r="J52" i="75"/>
  <c r="D52" i="75"/>
  <c r="Y39" i="93"/>
  <c r="J42" i="80" s="1"/>
  <c r="Y38" i="93"/>
  <c r="J60" i="80" s="1"/>
  <c r="S38" i="93"/>
  <c r="D60" i="80" s="1"/>
  <c r="X42" i="93"/>
  <c r="X41" i="93"/>
  <c r="R41" i="93"/>
  <c r="CE12" i="75"/>
  <c r="BY12" i="75"/>
  <c r="CD5" i="75"/>
  <c r="BX5" i="75"/>
  <c r="K28" i="75"/>
  <c r="E28" i="75"/>
  <c r="BX21" i="75"/>
  <c r="L54" i="75"/>
  <c r="F54" i="75"/>
  <c r="AN37" i="94"/>
  <c r="Y37" i="94"/>
  <c r="AO34" i="94"/>
  <c r="Z34" i="94"/>
  <c r="AP31" i="94"/>
  <c r="AA31" i="94"/>
  <c r="AJ30" i="94"/>
  <c r="U30" i="94"/>
  <c r="AK28" i="94"/>
  <c r="V28" i="94"/>
  <c r="AL25" i="94"/>
  <c r="W25" i="94"/>
  <c r="AG20" i="94"/>
  <c r="R20" i="94"/>
  <c r="AH17" i="94"/>
  <c r="S17" i="94"/>
  <c r="AO14" i="94"/>
  <c r="Z14" i="94"/>
  <c r="U11" i="94"/>
  <c r="F83" i="80" s="1"/>
  <c r="AA12" i="94"/>
  <c r="L65" i="80" s="1"/>
  <c r="X39" i="94"/>
  <c r="I70" i="80" s="1"/>
  <c r="X40" i="94"/>
  <c r="I79" i="80" s="1"/>
  <c r="Y41" i="94"/>
  <c r="AA42" i="94"/>
  <c r="T41" i="94"/>
  <c r="AB43" i="94"/>
  <c r="AQ43" i="94"/>
  <c r="V43" i="94"/>
  <c r="AK43" i="94"/>
  <c r="V42" i="94"/>
  <c r="AK42" i="94"/>
  <c r="AB41" i="94"/>
  <c r="AQ41" i="94"/>
  <c r="V41" i="94"/>
  <c r="AK41" i="94"/>
  <c r="W40" i="94"/>
  <c r="H79" i="80" s="1"/>
  <c r="AL40" i="94"/>
  <c r="W39" i="94"/>
  <c r="H70" i="80" s="1"/>
  <c r="AL39" i="94"/>
  <c r="W38" i="94"/>
  <c r="H88" i="80" s="1"/>
  <c r="AL38" i="94"/>
  <c r="AM37" i="94"/>
  <c r="X37" i="94"/>
  <c r="AG37" i="94"/>
  <c r="R37" i="94"/>
  <c r="AM36" i="94"/>
  <c r="X36" i="94"/>
  <c r="AG36" i="94"/>
  <c r="R36" i="94"/>
  <c r="AM35" i="94"/>
  <c r="X35" i="94"/>
  <c r="AG35" i="94"/>
  <c r="R35" i="94"/>
  <c r="AN34" i="94"/>
  <c r="Y34" i="94"/>
  <c r="AH34" i="94"/>
  <c r="S34" i="94"/>
  <c r="AN33" i="94"/>
  <c r="Y33" i="94"/>
  <c r="AH33" i="94"/>
  <c r="S33" i="94"/>
  <c r="AN32" i="94"/>
  <c r="Y32" i="94"/>
  <c r="AH32" i="94"/>
  <c r="S32" i="94"/>
  <c r="AO31" i="94"/>
  <c r="Z31" i="94"/>
  <c r="AI31" i="94"/>
  <c r="T31" i="94"/>
  <c r="AO30" i="94"/>
  <c r="Z30" i="94"/>
  <c r="AI30" i="94"/>
  <c r="T30" i="94"/>
  <c r="AO29" i="94"/>
  <c r="Z29" i="94"/>
  <c r="AI29" i="94"/>
  <c r="T29" i="94"/>
  <c r="AP28" i="94"/>
  <c r="AA28" i="94"/>
  <c r="AJ28" i="94"/>
  <c r="U28" i="94"/>
  <c r="AP27" i="94"/>
  <c r="AA27" i="94"/>
  <c r="AJ27" i="94"/>
  <c r="U27" i="94"/>
  <c r="AP26" i="94"/>
  <c r="AA26" i="94"/>
  <c r="AJ26" i="94"/>
  <c r="U26" i="94"/>
  <c r="AQ25" i="94"/>
  <c r="AB25" i="94"/>
  <c r="AK25" i="94"/>
  <c r="V25" i="94"/>
  <c r="AQ24" i="94"/>
  <c r="AB24" i="94"/>
  <c r="AK24" i="94"/>
  <c r="V24" i="94"/>
  <c r="AQ23" i="94"/>
  <c r="AB23" i="94"/>
  <c r="AK23" i="94"/>
  <c r="V23" i="94"/>
  <c r="AL22" i="94"/>
  <c r="W22" i="94"/>
  <c r="AL21" i="94"/>
  <c r="W21" i="94"/>
  <c r="AL20" i="94"/>
  <c r="W20" i="94"/>
  <c r="AM19" i="94"/>
  <c r="X19" i="94"/>
  <c r="AG19" i="94"/>
  <c r="R19" i="94"/>
  <c r="AM18" i="94"/>
  <c r="X18" i="94"/>
  <c r="AG18" i="94"/>
  <c r="R18" i="94"/>
  <c r="AM17" i="94"/>
  <c r="X17" i="94"/>
  <c r="AG17" i="94"/>
  <c r="R17" i="94"/>
  <c r="AN16" i="94"/>
  <c r="Y16" i="94"/>
  <c r="AH16" i="94"/>
  <c r="S16" i="94"/>
  <c r="AN15" i="94"/>
  <c r="Y15" i="94"/>
  <c r="AH15" i="94"/>
  <c r="S15" i="94"/>
  <c r="AN14" i="94"/>
  <c r="Y14" i="94"/>
  <c r="AH14" i="94"/>
  <c r="S14" i="94"/>
  <c r="T13" i="94"/>
  <c r="E74" i="80" s="1"/>
  <c r="AI13" i="94"/>
  <c r="Z12" i="94"/>
  <c r="K65" i="80" s="1"/>
  <c r="AO12" i="94"/>
  <c r="T12" i="94"/>
  <c r="E65" i="80" s="1"/>
  <c r="AI12" i="94"/>
  <c r="Z11" i="94"/>
  <c r="K83" i="80" s="1"/>
  <c r="AO11" i="94"/>
  <c r="T11" i="94"/>
  <c r="E83" i="80" s="1"/>
  <c r="AI11" i="94"/>
  <c r="AA10" i="94"/>
  <c r="L73" i="80" s="1"/>
  <c r="AP10" i="94"/>
  <c r="U10" i="94"/>
  <c r="F73" i="80" s="1"/>
  <c r="AJ10" i="94"/>
  <c r="AA9" i="94"/>
  <c r="L64" i="80" s="1"/>
  <c r="AP9" i="94"/>
  <c r="U9" i="94"/>
  <c r="F64" i="80" s="1"/>
  <c r="AJ9" i="94"/>
  <c r="AA8" i="94"/>
  <c r="L82" i="80" s="1"/>
  <c r="AP8" i="94"/>
  <c r="U8" i="94"/>
  <c r="F82" i="80" s="1"/>
  <c r="AJ8" i="94"/>
  <c r="W42" i="94"/>
  <c r="AL42" i="94"/>
  <c r="AN36" i="94"/>
  <c r="Y36" i="94"/>
  <c r="AO33" i="94"/>
  <c r="Z33" i="94"/>
  <c r="AJ31" i="94"/>
  <c r="U31" i="94"/>
  <c r="AQ27" i="94"/>
  <c r="AB27" i="94"/>
  <c r="AN19" i="94"/>
  <c r="Y19" i="94"/>
  <c r="AA13" i="94"/>
  <c r="L74" i="80" s="1"/>
  <c r="X38" i="94"/>
  <c r="I88" i="80" s="1"/>
  <c r="Y40" i="94"/>
  <c r="J79" i="80" s="1"/>
  <c r="T43" i="94"/>
  <c r="U43" i="94"/>
  <c r="AJ43" i="94"/>
  <c r="U42" i="94"/>
  <c r="AJ42" i="94"/>
  <c r="U41" i="94"/>
  <c r="AJ41" i="94"/>
  <c r="AB40" i="94"/>
  <c r="M79" i="80" s="1"/>
  <c r="AQ40" i="94"/>
  <c r="V40" i="94"/>
  <c r="G79" i="80" s="1"/>
  <c r="AK40" i="94"/>
  <c r="AB39" i="94"/>
  <c r="M70" i="80" s="1"/>
  <c r="AQ39" i="94"/>
  <c r="V39" i="94"/>
  <c r="G70" i="80" s="1"/>
  <c r="AK39" i="94"/>
  <c r="AB38" i="94"/>
  <c r="M88" i="80" s="1"/>
  <c r="AQ38" i="94"/>
  <c r="AL37" i="94"/>
  <c r="W37" i="94"/>
  <c r="AL36" i="94"/>
  <c r="W36" i="94"/>
  <c r="AL35" i="94"/>
  <c r="W35" i="94"/>
  <c r="AM34" i="94"/>
  <c r="X34" i="94"/>
  <c r="AG34" i="94"/>
  <c r="R34" i="94"/>
  <c r="C78" i="80" s="1"/>
  <c r="AM33" i="94"/>
  <c r="X33" i="94"/>
  <c r="AG33" i="94"/>
  <c r="R33" i="94"/>
  <c r="AM32" i="94"/>
  <c r="X32" i="94"/>
  <c r="I87" i="80" s="1"/>
  <c r="AG32" i="94"/>
  <c r="R32" i="94"/>
  <c r="AN31" i="94"/>
  <c r="Y31" i="94"/>
  <c r="AH31" i="94"/>
  <c r="S31" i="94"/>
  <c r="AN30" i="94"/>
  <c r="Y30" i="94"/>
  <c r="AH30" i="94"/>
  <c r="S30" i="94"/>
  <c r="AN29" i="94"/>
  <c r="Y29" i="94"/>
  <c r="AH29" i="94"/>
  <c r="S29" i="94"/>
  <c r="AO28" i="94"/>
  <c r="Z28" i="94"/>
  <c r="AI28" i="94"/>
  <c r="T28" i="94"/>
  <c r="E77" i="80" s="1"/>
  <c r="AO27" i="94"/>
  <c r="Z27" i="94"/>
  <c r="AI27" i="94"/>
  <c r="T27" i="94"/>
  <c r="AO26" i="94"/>
  <c r="Z26" i="94"/>
  <c r="K86" i="80" s="1"/>
  <c r="AI26" i="94"/>
  <c r="T26" i="94"/>
  <c r="AP25" i="94"/>
  <c r="AA25" i="94"/>
  <c r="AJ25" i="94"/>
  <c r="U25" i="94"/>
  <c r="AP24" i="94"/>
  <c r="AA24" i="94"/>
  <c r="AJ24" i="94"/>
  <c r="U24" i="94"/>
  <c r="AP23" i="94"/>
  <c r="AA23" i="94"/>
  <c r="AJ23" i="94"/>
  <c r="U23" i="94"/>
  <c r="AQ22" i="94"/>
  <c r="AB22" i="94"/>
  <c r="AK22" i="94"/>
  <c r="V22" i="94"/>
  <c r="G76" i="80" s="1"/>
  <c r="AQ21" i="94"/>
  <c r="AB21" i="94"/>
  <c r="AK21" i="94"/>
  <c r="V21" i="94"/>
  <c r="AQ20" i="94"/>
  <c r="AB20" i="94"/>
  <c r="M85" i="80" s="1"/>
  <c r="AK20" i="94"/>
  <c r="V20" i="94"/>
  <c r="AL19" i="94"/>
  <c r="W19" i="94"/>
  <c r="AL18" i="94"/>
  <c r="W18" i="94"/>
  <c r="AL17" i="94"/>
  <c r="W17" i="94"/>
  <c r="AM16" i="94"/>
  <c r="X16" i="94"/>
  <c r="AG16" i="94"/>
  <c r="R16" i="94"/>
  <c r="C75" i="80" s="1"/>
  <c r="AM15" i="94"/>
  <c r="X15" i="94"/>
  <c r="AG15" i="94"/>
  <c r="R15" i="94"/>
  <c r="AM14" i="94"/>
  <c r="X14" i="94"/>
  <c r="I84" i="80" s="1"/>
  <c r="AG14" i="94"/>
  <c r="R14" i="94"/>
  <c r="Y13" i="94"/>
  <c r="J74" i="80" s="1"/>
  <c r="AN13" i="94"/>
  <c r="Y12" i="94"/>
  <c r="J65" i="80" s="1"/>
  <c r="AN12" i="94"/>
  <c r="S12" i="94"/>
  <c r="D65" i="80" s="1"/>
  <c r="AH12" i="94"/>
  <c r="Z10" i="94"/>
  <c r="K73" i="80" s="1"/>
  <c r="AO10" i="94"/>
  <c r="T10" i="94"/>
  <c r="E73" i="80" s="1"/>
  <c r="AI10" i="94"/>
  <c r="T9" i="94"/>
  <c r="E64" i="80" s="1"/>
  <c r="AI9" i="94"/>
  <c r="Z8" i="94"/>
  <c r="K82" i="80" s="1"/>
  <c r="AO8" i="94"/>
  <c r="T8" i="94"/>
  <c r="E82" i="80" s="1"/>
  <c r="AI8" i="94"/>
  <c r="AH37" i="94"/>
  <c r="S37" i="94"/>
  <c r="AH35" i="94"/>
  <c r="S35" i="94"/>
  <c r="AI33" i="94"/>
  <c r="T33" i="94"/>
  <c r="AP30" i="94"/>
  <c r="AA30" i="94"/>
  <c r="AQ28" i="94"/>
  <c r="AB28" i="94"/>
  <c r="AK27" i="94"/>
  <c r="V27" i="94"/>
  <c r="AL24" i="94"/>
  <c r="W24" i="94"/>
  <c r="AG22" i="94"/>
  <c r="R22" i="94"/>
  <c r="AM21" i="94"/>
  <c r="X21" i="94"/>
  <c r="AM20" i="94"/>
  <c r="X20" i="94"/>
  <c r="AH18" i="94"/>
  <c r="S18" i="94"/>
  <c r="AN17" i="94"/>
  <c r="Y17" i="94"/>
  <c r="AO15" i="94"/>
  <c r="Z15" i="94"/>
  <c r="AI15" i="94"/>
  <c r="T15" i="94"/>
  <c r="AB9" i="94"/>
  <c r="M64" i="80" s="1"/>
  <c r="AQ9" i="94"/>
  <c r="V9" i="94"/>
  <c r="G64" i="80" s="1"/>
  <c r="AK9" i="94"/>
  <c r="AB8" i="94"/>
  <c r="M82" i="80" s="1"/>
  <c r="U12" i="94"/>
  <c r="F65" i="80" s="1"/>
  <c r="R42" i="94"/>
  <c r="W43" i="94"/>
  <c r="Y43" i="94"/>
  <c r="Z41" i="94"/>
  <c r="AO41" i="94"/>
  <c r="AA40" i="94"/>
  <c r="L79" i="80" s="1"/>
  <c r="AP40" i="94"/>
  <c r="U40" i="94"/>
  <c r="F79" i="80" s="1"/>
  <c r="AJ40" i="94"/>
  <c r="AQ37" i="94"/>
  <c r="AB37" i="94"/>
  <c r="AK37" i="94"/>
  <c r="V37" i="94"/>
  <c r="AQ36" i="94"/>
  <c r="AB36" i="94"/>
  <c r="AK36" i="94"/>
  <c r="V36" i="94"/>
  <c r="AQ35" i="94"/>
  <c r="AB35" i="94"/>
  <c r="AK35" i="94"/>
  <c r="V35" i="94"/>
  <c r="AL34" i="94"/>
  <c r="W34" i="94"/>
  <c r="AL33" i="94"/>
  <c r="W33" i="94"/>
  <c r="AL32" i="94"/>
  <c r="W32" i="94"/>
  <c r="AM31" i="94"/>
  <c r="X31" i="94"/>
  <c r="AG31" i="94"/>
  <c r="R31" i="94"/>
  <c r="AM30" i="94"/>
  <c r="X30" i="94"/>
  <c r="AG30" i="94"/>
  <c r="R30" i="94"/>
  <c r="AM29" i="94"/>
  <c r="X29" i="94"/>
  <c r="AG29" i="94"/>
  <c r="R29" i="94"/>
  <c r="AN28" i="94"/>
  <c r="Y28" i="94"/>
  <c r="AH28" i="94"/>
  <c r="S28" i="94"/>
  <c r="AN27" i="94"/>
  <c r="Y27" i="94"/>
  <c r="AH27" i="94"/>
  <c r="S27" i="94"/>
  <c r="AN26" i="94"/>
  <c r="Y26" i="94"/>
  <c r="AH26" i="94"/>
  <c r="S26" i="94"/>
  <c r="AO25" i="94"/>
  <c r="Z25" i="94"/>
  <c r="AI25" i="94"/>
  <c r="T25" i="94"/>
  <c r="AO24" i="94"/>
  <c r="Z24" i="94"/>
  <c r="AI24" i="94"/>
  <c r="T24" i="94"/>
  <c r="AO23" i="94"/>
  <c r="Z23" i="94"/>
  <c r="AI23" i="94"/>
  <c r="T23" i="94"/>
  <c r="AP22" i="94"/>
  <c r="AA22" i="94"/>
  <c r="AJ22" i="94"/>
  <c r="U22" i="94"/>
  <c r="AP21" i="94"/>
  <c r="AA21" i="94"/>
  <c r="AJ21" i="94"/>
  <c r="U21" i="94"/>
  <c r="AP20" i="94"/>
  <c r="AA20" i="94"/>
  <c r="AJ20" i="94"/>
  <c r="U20" i="94"/>
  <c r="AQ19" i="94"/>
  <c r="AB19" i="94"/>
  <c r="AK19" i="94"/>
  <c r="V19" i="94"/>
  <c r="AQ18" i="94"/>
  <c r="AB18" i="94"/>
  <c r="AK18" i="94"/>
  <c r="V18" i="94"/>
  <c r="AQ17" i="94"/>
  <c r="AB17" i="94"/>
  <c r="AK17" i="94"/>
  <c r="V17" i="94"/>
  <c r="AL16" i="94"/>
  <c r="W16" i="94"/>
  <c r="AL15" i="94"/>
  <c r="W15" i="94"/>
  <c r="AL14" i="94"/>
  <c r="W14" i="94"/>
  <c r="X13" i="94"/>
  <c r="I74" i="80" s="1"/>
  <c r="AM13" i="94"/>
  <c r="R13" i="94"/>
  <c r="C74" i="80" s="1"/>
  <c r="AG13" i="94"/>
  <c r="AN35" i="94"/>
  <c r="Y35" i="94"/>
  <c r="AI32" i="94"/>
  <c r="T32" i="94"/>
  <c r="AJ29" i="94"/>
  <c r="U29" i="94"/>
  <c r="AK26" i="94"/>
  <c r="V26" i="94"/>
  <c r="AL23" i="94"/>
  <c r="W23" i="94"/>
  <c r="AG21" i="94"/>
  <c r="R21" i="94"/>
  <c r="AN18" i="94"/>
  <c r="Y18" i="94"/>
  <c r="AO16" i="94"/>
  <c r="Z16" i="94"/>
  <c r="AB10" i="94"/>
  <c r="M73" i="80" s="1"/>
  <c r="U13" i="94"/>
  <c r="F74" i="80" s="1"/>
  <c r="R38" i="94"/>
  <c r="C88" i="80" s="1"/>
  <c r="R39" i="94"/>
  <c r="C70" i="80" s="1"/>
  <c r="R40" i="94"/>
  <c r="C79" i="80" s="1"/>
  <c r="Y42" i="94"/>
  <c r="AN42" i="94"/>
  <c r="S42" i="94"/>
  <c r="AH42" i="94"/>
  <c r="Z38" i="94"/>
  <c r="K88" i="80" s="1"/>
  <c r="AO38" i="94"/>
  <c r="AP37" i="94"/>
  <c r="AA37" i="94"/>
  <c r="AJ37" i="94"/>
  <c r="U37" i="94"/>
  <c r="AP36" i="94"/>
  <c r="AA36" i="94"/>
  <c r="AJ36" i="94"/>
  <c r="U36" i="94"/>
  <c r="AP35" i="94"/>
  <c r="AA35" i="94"/>
  <c r="AJ35" i="94"/>
  <c r="U35" i="94"/>
  <c r="AQ34" i="94"/>
  <c r="AB34" i="94"/>
  <c r="AK34" i="94"/>
  <c r="V34" i="94"/>
  <c r="AQ33" i="94"/>
  <c r="AB33" i="94"/>
  <c r="AK33" i="94"/>
  <c r="V33" i="94"/>
  <c r="AQ32" i="94"/>
  <c r="AB32" i="94"/>
  <c r="AK32" i="94"/>
  <c r="V32" i="94"/>
  <c r="AL31" i="94"/>
  <c r="W31" i="94"/>
  <c r="AL30" i="94"/>
  <c r="W30" i="94"/>
  <c r="AL29" i="94"/>
  <c r="W29" i="94"/>
  <c r="AM28" i="94"/>
  <c r="X28" i="94"/>
  <c r="AG28" i="94"/>
  <c r="R28" i="94"/>
  <c r="AM27" i="94"/>
  <c r="X27" i="94"/>
  <c r="AG27" i="94"/>
  <c r="R27" i="94"/>
  <c r="AM26" i="94"/>
  <c r="X26" i="94"/>
  <c r="AG26" i="94"/>
  <c r="R26" i="94"/>
  <c r="AN25" i="94"/>
  <c r="Y25" i="94"/>
  <c r="AH25" i="94"/>
  <c r="S25" i="94"/>
  <c r="AN24" i="94"/>
  <c r="Y24" i="94"/>
  <c r="AH24" i="94"/>
  <c r="S24" i="94"/>
  <c r="AN23" i="94"/>
  <c r="Y23" i="94"/>
  <c r="AH23" i="94"/>
  <c r="S23" i="94"/>
  <c r="AO22" i="94"/>
  <c r="Z22" i="94"/>
  <c r="AI22" i="94"/>
  <c r="T22" i="94"/>
  <c r="AO21" i="94"/>
  <c r="Z21" i="94"/>
  <c r="AI21" i="94"/>
  <c r="T21" i="94"/>
  <c r="AO20" i="94"/>
  <c r="Z20" i="94"/>
  <c r="AI20" i="94"/>
  <c r="T20" i="94"/>
  <c r="AP19" i="94"/>
  <c r="AA19" i="94"/>
  <c r="AJ19" i="94"/>
  <c r="U19" i="94"/>
  <c r="AP18" i="94"/>
  <c r="AA18" i="94"/>
  <c r="AJ18" i="94"/>
  <c r="U18" i="94"/>
  <c r="AP17" i="94"/>
  <c r="AA17" i="94"/>
  <c r="AJ17" i="94"/>
  <c r="U17" i="94"/>
  <c r="AQ16" i="94"/>
  <c r="AB16" i="94"/>
  <c r="AK16" i="94"/>
  <c r="V16" i="94"/>
  <c r="AQ15" i="94"/>
  <c r="AB15" i="94"/>
  <c r="AK15" i="94"/>
  <c r="V15" i="94"/>
  <c r="AQ14" i="94"/>
  <c r="AB14" i="94"/>
  <c r="AK14" i="94"/>
  <c r="V14" i="94"/>
  <c r="AH36" i="94"/>
  <c r="S36" i="94"/>
  <c r="AI34" i="94"/>
  <c r="T34" i="94"/>
  <c r="AO32" i="94"/>
  <c r="Z32" i="94"/>
  <c r="AP29" i="94"/>
  <c r="AA29" i="94"/>
  <c r="AQ26" i="94"/>
  <c r="AB26" i="94"/>
  <c r="AM22" i="94"/>
  <c r="X22" i="94"/>
  <c r="AH19" i="94"/>
  <c r="S19" i="94"/>
  <c r="AI16" i="94"/>
  <c r="T16" i="94"/>
  <c r="AI14" i="94"/>
  <c r="T14" i="94"/>
  <c r="X43" i="94"/>
  <c r="AM43" i="94"/>
  <c r="R43" i="94"/>
  <c r="AG43" i="94"/>
  <c r="Y38" i="94"/>
  <c r="J88" i="80" s="1"/>
  <c r="AN38" i="94"/>
  <c r="AO37" i="94"/>
  <c r="Z37" i="94"/>
  <c r="AI37" i="94"/>
  <c r="T37" i="94"/>
  <c r="AO36" i="94"/>
  <c r="Z36" i="94"/>
  <c r="AI36" i="94"/>
  <c r="T36" i="94"/>
  <c r="AO35" i="94"/>
  <c r="Z35" i="94"/>
  <c r="AI35" i="94"/>
  <c r="T35" i="94"/>
  <c r="AP34" i="94"/>
  <c r="AA34" i="94"/>
  <c r="AJ34" i="94"/>
  <c r="U34" i="94"/>
  <c r="F78" i="80" s="1"/>
  <c r="AP33" i="94"/>
  <c r="AA33" i="94"/>
  <c r="AJ33" i="94"/>
  <c r="U33" i="94"/>
  <c r="AP32" i="94"/>
  <c r="AA32" i="94"/>
  <c r="L87" i="80" s="1"/>
  <c r="AJ32" i="94"/>
  <c r="U32" i="94"/>
  <c r="AQ31" i="94"/>
  <c r="AB31" i="94"/>
  <c r="AK31" i="94"/>
  <c r="V31" i="94"/>
  <c r="AQ30" i="94"/>
  <c r="AB30" i="94"/>
  <c r="AK30" i="94"/>
  <c r="V30" i="94"/>
  <c r="AQ29" i="94"/>
  <c r="AB29" i="94"/>
  <c r="AK29" i="94"/>
  <c r="V29" i="94"/>
  <c r="AL28" i="94"/>
  <c r="W28" i="94"/>
  <c r="AL27" i="94"/>
  <c r="W27" i="94"/>
  <c r="H68" i="80" s="1"/>
  <c r="AL26" i="94"/>
  <c r="W26" i="94"/>
  <c r="AM25" i="94"/>
  <c r="X25" i="94"/>
  <c r="AG25" i="94"/>
  <c r="R25" i="94"/>
  <c r="AM24" i="94"/>
  <c r="X24" i="94"/>
  <c r="AG24" i="94"/>
  <c r="R24" i="94"/>
  <c r="AM23" i="94"/>
  <c r="X23" i="94"/>
  <c r="AG23" i="94"/>
  <c r="R23" i="94"/>
  <c r="AN22" i="94"/>
  <c r="Y22" i="94"/>
  <c r="AH22" i="94"/>
  <c r="S22" i="94"/>
  <c r="D76" i="80" s="1"/>
  <c r="AN21" i="94"/>
  <c r="Y21" i="94"/>
  <c r="AH21" i="94"/>
  <c r="S21" i="94"/>
  <c r="AN20" i="94"/>
  <c r="Y20" i="94"/>
  <c r="J85" i="80" s="1"/>
  <c r="AH20" i="94"/>
  <c r="S20" i="94"/>
  <c r="AO19" i="94"/>
  <c r="Z19" i="94"/>
  <c r="AI19" i="94"/>
  <c r="T19" i="94"/>
  <c r="AO18" i="94"/>
  <c r="Z18" i="94"/>
  <c r="AI18" i="94"/>
  <c r="T18" i="94"/>
  <c r="AO17" i="94"/>
  <c r="Z17" i="94"/>
  <c r="AI17" i="94"/>
  <c r="T17" i="94"/>
  <c r="AP16" i="94"/>
  <c r="AA16" i="94"/>
  <c r="AJ16" i="94"/>
  <c r="U16" i="94"/>
  <c r="F75" i="80" s="1"/>
  <c r="AP15" i="94"/>
  <c r="AA15" i="94"/>
  <c r="AJ15" i="94"/>
  <c r="U15" i="94"/>
  <c r="AP14" i="94"/>
  <c r="AA14" i="94"/>
  <c r="L84" i="80" s="1"/>
  <c r="AJ14" i="94"/>
  <c r="U14" i="94"/>
  <c r="CC21" i="75"/>
  <c r="E54" i="75"/>
  <c r="BX25" i="75"/>
  <c r="T7" i="92"/>
  <c r="AF7" i="92" s="1"/>
  <c r="CD18" i="75"/>
  <c r="Z6" i="92"/>
  <c r="AL6" i="92" s="1"/>
  <c r="L51" i="75"/>
  <c r="Z5" i="92"/>
  <c r="AL5" i="92" s="1"/>
  <c r="CB28" i="75"/>
  <c r="BV28" i="75"/>
  <c r="CB21" i="75"/>
  <c r="BV21" i="75"/>
  <c r="J54" i="75"/>
  <c r="D54" i="75"/>
  <c r="CE27" i="75"/>
  <c r="BY27" i="75"/>
  <c r="CE20" i="75"/>
  <c r="BY20" i="75"/>
  <c r="M53" i="75"/>
  <c r="G53" i="75"/>
  <c r="CA26" i="75"/>
  <c r="CA19" i="75"/>
  <c r="I52" i="75"/>
  <c r="CC25" i="75"/>
  <c r="Y7" i="92"/>
  <c r="AK7" i="92" s="1"/>
  <c r="BW25" i="75"/>
  <c r="S7" i="92"/>
  <c r="AE7" i="92" s="1"/>
  <c r="CC18" i="75"/>
  <c r="Y6" i="92"/>
  <c r="AK6" i="92" s="1"/>
  <c r="BW18" i="75"/>
  <c r="S6" i="92"/>
  <c r="AE6" i="92" s="1"/>
  <c r="K51" i="75"/>
  <c r="Y5" i="92"/>
  <c r="AK5" i="92" s="1"/>
  <c r="E51" i="75"/>
  <c r="S5" i="92"/>
  <c r="AE5" i="92" s="1"/>
  <c r="CC28" i="75"/>
  <c r="BW21" i="75"/>
  <c r="CD25" i="75"/>
  <c r="Z7" i="92"/>
  <c r="AL7" i="92" s="1"/>
  <c r="BX18" i="75"/>
  <c r="T6" i="92"/>
  <c r="AF6" i="92" s="1"/>
  <c r="F51" i="75"/>
  <c r="T5" i="92"/>
  <c r="AF5" i="92" s="1"/>
  <c r="CA28" i="75"/>
  <c r="CA21" i="75"/>
  <c r="I54" i="75"/>
  <c r="CD27" i="75"/>
  <c r="BX27" i="75"/>
  <c r="CD20" i="75"/>
  <c r="BX20" i="75"/>
  <c r="L53" i="75"/>
  <c r="F53" i="75"/>
  <c r="CF26" i="75"/>
  <c r="BZ26" i="75"/>
  <c r="CF19" i="75"/>
  <c r="BZ19" i="75"/>
  <c r="N52" i="75"/>
  <c r="H52" i="75"/>
  <c r="CB25" i="75"/>
  <c r="X7" i="92"/>
  <c r="AJ7" i="92" s="1"/>
  <c r="BV25" i="75"/>
  <c r="R7" i="92"/>
  <c r="AD7" i="92" s="1"/>
  <c r="CB18" i="75"/>
  <c r="X6" i="92"/>
  <c r="AJ6" i="92" s="1"/>
  <c r="BV18" i="75"/>
  <c r="R6" i="92"/>
  <c r="AD6" i="92" s="1"/>
  <c r="J51" i="75"/>
  <c r="X5" i="92"/>
  <c r="AJ5" i="92" s="1"/>
  <c r="D51" i="75"/>
  <c r="R5" i="92"/>
  <c r="AD5" i="92" s="1"/>
  <c r="CF28" i="75"/>
  <c r="BZ28" i="75"/>
  <c r="CF21" i="75"/>
  <c r="BZ21" i="75"/>
  <c r="N54" i="75"/>
  <c r="H54" i="75"/>
  <c r="CC27" i="75"/>
  <c r="BW27" i="75"/>
  <c r="CC20" i="75"/>
  <c r="BW20" i="75"/>
  <c r="K53" i="75"/>
  <c r="E53" i="75"/>
  <c r="CE26" i="75"/>
  <c r="BY26" i="75"/>
  <c r="CE19" i="75"/>
  <c r="BY19" i="75"/>
  <c r="M52" i="75"/>
  <c r="G52" i="75"/>
  <c r="CA25" i="75"/>
  <c r="W7" i="92"/>
  <c r="AI7" i="92" s="1"/>
  <c r="CA18" i="75"/>
  <c r="W6" i="92"/>
  <c r="AI6" i="92" s="1"/>
  <c r="I51" i="75"/>
  <c r="W5" i="92"/>
  <c r="AI5" i="92" s="1"/>
  <c r="BW28" i="75"/>
  <c r="K54" i="75"/>
  <c r="CE28" i="75"/>
  <c r="BY28" i="75"/>
  <c r="CE21" i="75"/>
  <c r="BY21" i="75"/>
  <c r="M54" i="75"/>
  <c r="G54" i="75"/>
  <c r="CB27" i="75"/>
  <c r="BV27" i="75"/>
  <c r="CB20" i="75"/>
  <c r="BV20" i="75"/>
  <c r="J53" i="75"/>
  <c r="D53" i="75"/>
  <c r="D79" i="75" s="1"/>
  <c r="CD26" i="75"/>
  <c r="BX26" i="75"/>
  <c r="CD19" i="75"/>
  <c r="BX19" i="75"/>
  <c r="L52" i="75"/>
  <c r="F52" i="75"/>
  <c r="CF25" i="75"/>
  <c r="AB7" i="92"/>
  <c r="AN7" i="92" s="1"/>
  <c r="BZ25" i="75"/>
  <c r="V7" i="92"/>
  <c r="AH7" i="92" s="1"/>
  <c r="CF18" i="75"/>
  <c r="AB6" i="92"/>
  <c r="AN6" i="92" s="1"/>
  <c r="BZ18" i="75"/>
  <c r="V6" i="92"/>
  <c r="AH6" i="92" s="1"/>
  <c r="N51" i="75"/>
  <c r="D77" i="75" s="1"/>
  <c r="AB5" i="92"/>
  <c r="AN5" i="92" s="1"/>
  <c r="H51" i="75"/>
  <c r="V5" i="92"/>
  <c r="AH5" i="92" s="1"/>
  <c r="CA27" i="75"/>
  <c r="CA20" i="75"/>
  <c r="I53" i="75"/>
  <c r="CC26" i="75"/>
  <c r="BW26" i="75"/>
  <c r="CC19" i="75"/>
  <c r="BW19" i="75"/>
  <c r="K52" i="75"/>
  <c r="E52" i="75"/>
  <c r="CE25" i="75"/>
  <c r="AA7" i="92"/>
  <c r="AM7" i="92" s="1"/>
  <c r="BY25" i="75"/>
  <c r="U7" i="92"/>
  <c r="AG7" i="92" s="1"/>
  <c r="CE18" i="75"/>
  <c r="AA6" i="92"/>
  <c r="AM6" i="92" s="1"/>
  <c r="BY18" i="75"/>
  <c r="U6" i="92"/>
  <c r="AG6" i="92" s="1"/>
  <c r="M51" i="75"/>
  <c r="AA5" i="92"/>
  <c r="AM5" i="92" s="1"/>
  <c r="G51" i="75"/>
  <c r="U5" i="92"/>
  <c r="AG5" i="92" s="1"/>
  <c r="U11" i="93"/>
  <c r="F55" i="80" s="1"/>
  <c r="Z41" i="93"/>
  <c r="AO41" i="93"/>
  <c r="V8" i="93"/>
  <c r="G54" i="80" s="1"/>
  <c r="R12" i="93"/>
  <c r="C37" i="80" s="1"/>
  <c r="Y13" i="93"/>
  <c r="J46" i="80" s="1"/>
  <c r="AB38" i="93"/>
  <c r="M60" i="80" s="1"/>
  <c r="AA39" i="93"/>
  <c r="L42" i="80" s="1"/>
  <c r="U41" i="93"/>
  <c r="Z42" i="93"/>
  <c r="AB40" i="93"/>
  <c r="M51" i="80" s="1"/>
  <c r="U42" i="93"/>
  <c r="Y42" i="93"/>
  <c r="AN42" i="93"/>
  <c r="T38" i="93"/>
  <c r="E60" i="80" s="1"/>
  <c r="AI38" i="93"/>
  <c r="AP37" i="93"/>
  <c r="AA37" i="93"/>
  <c r="AJ37" i="93"/>
  <c r="U37" i="93"/>
  <c r="AP36" i="93"/>
  <c r="AA36" i="93"/>
  <c r="AJ36" i="93"/>
  <c r="U36" i="93"/>
  <c r="AP35" i="93"/>
  <c r="AA35" i="93"/>
  <c r="AJ35" i="93"/>
  <c r="U35" i="93"/>
  <c r="AQ34" i="93"/>
  <c r="AB34" i="93"/>
  <c r="AK34" i="93"/>
  <c r="V34" i="93"/>
  <c r="AQ33" i="93"/>
  <c r="AB33" i="93"/>
  <c r="AK33" i="93"/>
  <c r="V33" i="93"/>
  <c r="AQ32" i="93"/>
  <c r="AB32" i="93"/>
  <c r="AK32" i="93"/>
  <c r="V32" i="93"/>
  <c r="AL31" i="93"/>
  <c r="W31" i="93"/>
  <c r="AL30" i="93"/>
  <c r="W30" i="93"/>
  <c r="AL29" i="93"/>
  <c r="W29" i="93"/>
  <c r="AM28" i="93"/>
  <c r="X28" i="93"/>
  <c r="AG28" i="93"/>
  <c r="R28" i="93"/>
  <c r="AM27" i="93"/>
  <c r="X27" i="93"/>
  <c r="AG27" i="93"/>
  <c r="R27" i="93"/>
  <c r="AM26" i="93"/>
  <c r="X26" i="93"/>
  <c r="AG26" i="93"/>
  <c r="R26" i="93"/>
  <c r="AN25" i="93"/>
  <c r="Y25" i="93"/>
  <c r="AH25" i="93"/>
  <c r="S25" i="93"/>
  <c r="AN24" i="93"/>
  <c r="Y24" i="93"/>
  <c r="AH24" i="93"/>
  <c r="S24" i="93"/>
  <c r="AN23" i="93"/>
  <c r="Y23" i="93"/>
  <c r="AH23" i="93"/>
  <c r="S23" i="93"/>
  <c r="AO22" i="93"/>
  <c r="Z22" i="93"/>
  <c r="AI22" i="93"/>
  <c r="T22" i="93"/>
  <c r="AO21" i="93"/>
  <c r="Z21" i="93"/>
  <c r="AI21" i="93"/>
  <c r="T21" i="93"/>
  <c r="AO20" i="93"/>
  <c r="Z20" i="93"/>
  <c r="AI20" i="93"/>
  <c r="T20" i="93"/>
  <c r="AP19" i="93"/>
  <c r="AA19" i="93"/>
  <c r="AJ19" i="93"/>
  <c r="U19" i="93"/>
  <c r="AP18" i="93"/>
  <c r="AA18" i="93"/>
  <c r="AJ18" i="93"/>
  <c r="U18" i="93"/>
  <c r="AP17" i="93"/>
  <c r="AA17" i="93"/>
  <c r="AJ17" i="93"/>
  <c r="U17" i="93"/>
  <c r="AQ16" i="93"/>
  <c r="AB16" i="93"/>
  <c r="AK16" i="93"/>
  <c r="V16" i="93"/>
  <c r="AQ15" i="93"/>
  <c r="AB15" i="93"/>
  <c r="AK15" i="93"/>
  <c r="V15" i="93"/>
  <c r="AQ14" i="93"/>
  <c r="AB14" i="93"/>
  <c r="AK14" i="93"/>
  <c r="V14" i="93"/>
  <c r="AZ4" i="93"/>
  <c r="Z4" i="93"/>
  <c r="AO4" i="93" s="1"/>
  <c r="AT4" i="93"/>
  <c r="T4" i="93"/>
  <c r="AI4" i="93" s="1"/>
  <c r="Z10" i="93"/>
  <c r="K45" i="80" s="1"/>
  <c r="U12" i="93"/>
  <c r="F37" i="80" s="1"/>
  <c r="S13" i="93"/>
  <c r="D46" i="80" s="1"/>
  <c r="AA13" i="93"/>
  <c r="L46" i="80" s="1"/>
  <c r="R39" i="93"/>
  <c r="C42" i="80" s="1"/>
  <c r="AA42" i="93"/>
  <c r="V40" i="93"/>
  <c r="G51" i="80" s="1"/>
  <c r="X43" i="93"/>
  <c r="AM43" i="93"/>
  <c r="R43" i="93"/>
  <c r="AG43" i="93"/>
  <c r="S39" i="93"/>
  <c r="D42" i="80" s="1"/>
  <c r="AH39" i="93"/>
  <c r="AO37" i="93"/>
  <c r="Z37" i="93"/>
  <c r="AI37" i="93"/>
  <c r="T37" i="93"/>
  <c r="AO36" i="93"/>
  <c r="Z36" i="93"/>
  <c r="AI36" i="93"/>
  <c r="T36" i="93"/>
  <c r="AO35" i="93"/>
  <c r="Z35" i="93"/>
  <c r="AI35" i="93"/>
  <c r="T35" i="93"/>
  <c r="AP34" i="93"/>
  <c r="AA34" i="93"/>
  <c r="AJ34" i="93"/>
  <c r="U34" i="93"/>
  <c r="AP33" i="93"/>
  <c r="AA33" i="93"/>
  <c r="AJ33" i="93"/>
  <c r="U33" i="93"/>
  <c r="AP32" i="93"/>
  <c r="AA32" i="93"/>
  <c r="AJ32" i="93"/>
  <c r="U32" i="93"/>
  <c r="AQ31" i="93"/>
  <c r="AB31" i="93"/>
  <c r="AK31" i="93"/>
  <c r="V31" i="93"/>
  <c r="AQ30" i="93"/>
  <c r="AB30" i="93"/>
  <c r="AK30" i="93"/>
  <c r="V30" i="93"/>
  <c r="AQ29" i="93"/>
  <c r="AB29" i="93"/>
  <c r="AK29" i="93"/>
  <c r="V29" i="93"/>
  <c r="AL28" i="93"/>
  <c r="W28" i="93"/>
  <c r="AL27" i="93"/>
  <c r="W27" i="93"/>
  <c r="AL26" i="93"/>
  <c r="W26" i="93"/>
  <c r="AM25" i="93"/>
  <c r="X25" i="93"/>
  <c r="AG25" i="93"/>
  <c r="R25" i="93"/>
  <c r="AM24" i="93"/>
  <c r="X24" i="93"/>
  <c r="AG24" i="93"/>
  <c r="R24" i="93"/>
  <c r="AM23" i="93"/>
  <c r="X23" i="93"/>
  <c r="AG23" i="93"/>
  <c r="R23" i="93"/>
  <c r="AN22" i="93"/>
  <c r="Y22" i="93"/>
  <c r="AH22" i="93"/>
  <c r="S22" i="93"/>
  <c r="AN21" i="93"/>
  <c r="Y21" i="93"/>
  <c r="AH21" i="93"/>
  <c r="S21" i="93"/>
  <c r="AN20" i="93"/>
  <c r="Y20" i="93"/>
  <c r="AH20" i="93"/>
  <c r="S20" i="93"/>
  <c r="AO19" i="93"/>
  <c r="Z19" i="93"/>
  <c r="AI19" i="93"/>
  <c r="T19" i="93"/>
  <c r="AO18" i="93"/>
  <c r="Z18" i="93"/>
  <c r="AI18" i="93"/>
  <c r="T18" i="93"/>
  <c r="AO17" i="93"/>
  <c r="Z17" i="93"/>
  <c r="AI17" i="93"/>
  <c r="T17" i="93"/>
  <c r="AP16" i="93"/>
  <c r="AA16" i="93"/>
  <c r="AJ16" i="93"/>
  <c r="U16" i="93"/>
  <c r="AP15" i="93"/>
  <c r="AA15" i="93"/>
  <c r="AJ15" i="93"/>
  <c r="U15" i="93"/>
  <c r="AP14" i="93"/>
  <c r="AA14" i="93"/>
  <c r="AJ14" i="93"/>
  <c r="U14" i="93"/>
  <c r="Y4" i="93"/>
  <c r="AN4" i="93" s="1"/>
  <c r="AY4" i="93"/>
  <c r="AS4" i="93"/>
  <c r="S4" i="93"/>
  <c r="AH4" i="93" s="1"/>
  <c r="W41" i="93"/>
  <c r="AL41" i="93"/>
  <c r="R40" i="93"/>
  <c r="C51" i="80" s="1"/>
  <c r="AG40" i="93"/>
  <c r="AN37" i="93"/>
  <c r="Y37" i="93"/>
  <c r="AH36" i="93"/>
  <c r="S36" i="93"/>
  <c r="AI34" i="93"/>
  <c r="T34" i="93"/>
  <c r="AO32" i="93"/>
  <c r="Z32" i="93"/>
  <c r="K59" i="80" s="1"/>
  <c r="AJ31" i="93"/>
  <c r="U31" i="93"/>
  <c r="AJ30" i="93"/>
  <c r="U30" i="93"/>
  <c r="AJ29" i="93"/>
  <c r="U29" i="93"/>
  <c r="AK28" i="93"/>
  <c r="V28" i="93"/>
  <c r="AK27" i="93"/>
  <c r="V27" i="93"/>
  <c r="AK26" i="93"/>
  <c r="V26" i="93"/>
  <c r="AL23" i="93"/>
  <c r="W23" i="93"/>
  <c r="AG22" i="93"/>
  <c r="R22" i="93"/>
  <c r="AG21" i="93"/>
  <c r="R21" i="93"/>
  <c r="AG20" i="93"/>
  <c r="R20" i="93"/>
  <c r="C57" i="80" s="1"/>
  <c r="AH19" i="93"/>
  <c r="S19" i="93"/>
  <c r="AN18" i="93"/>
  <c r="Y18" i="93"/>
  <c r="AN17" i="93"/>
  <c r="Y17" i="93"/>
  <c r="AH17" i="93"/>
  <c r="S17" i="93"/>
  <c r="AI16" i="93"/>
  <c r="T16" i="93"/>
  <c r="E47" i="80" s="1"/>
  <c r="AO15" i="93"/>
  <c r="Z15" i="93"/>
  <c r="K38" i="80" s="1"/>
  <c r="AI15" i="93"/>
  <c r="T15" i="93"/>
  <c r="AO14" i="93"/>
  <c r="Z14" i="93"/>
  <c r="K56" i="80" s="1"/>
  <c r="AI14" i="93"/>
  <c r="T14" i="93"/>
  <c r="E56" i="80" s="1"/>
  <c r="AB9" i="93"/>
  <c r="M36" i="80" s="1"/>
  <c r="AQ9" i="93"/>
  <c r="V9" i="93"/>
  <c r="G36" i="80" s="1"/>
  <c r="AK9" i="93"/>
  <c r="X4" i="93"/>
  <c r="AM4" i="93" s="1"/>
  <c r="AX4" i="93"/>
  <c r="AR4" i="93"/>
  <c r="R4" i="93"/>
  <c r="AG4" i="93" s="1"/>
  <c r="AH37" i="93"/>
  <c r="S37" i="93"/>
  <c r="AN36" i="93"/>
  <c r="Y36" i="93"/>
  <c r="AN35" i="93"/>
  <c r="Y35" i="93"/>
  <c r="AH35" i="93"/>
  <c r="S35" i="93"/>
  <c r="AO34" i="93"/>
  <c r="Z34" i="93"/>
  <c r="AO33" i="93"/>
  <c r="Z33" i="93"/>
  <c r="AI33" i="93"/>
  <c r="T33" i="93"/>
  <c r="AI32" i="93"/>
  <c r="T32" i="93"/>
  <c r="E59" i="80" s="1"/>
  <c r="AP31" i="93"/>
  <c r="AA31" i="93"/>
  <c r="AP30" i="93"/>
  <c r="AA30" i="93"/>
  <c r="AP29" i="93"/>
  <c r="AA29" i="93"/>
  <c r="AQ28" i="93"/>
  <c r="AB28" i="93"/>
  <c r="AQ27" i="93"/>
  <c r="AB27" i="93"/>
  <c r="AQ26" i="93"/>
  <c r="AB26" i="93"/>
  <c r="AL25" i="93"/>
  <c r="W25" i="93"/>
  <c r="AL24" i="93"/>
  <c r="W24" i="93"/>
  <c r="AM22" i="93"/>
  <c r="X22" i="93"/>
  <c r="AM21" i="93"/>
  <c r="X21" i="93"/>
  <c r="AM20" i="93"/>
  <c r="X20" i="93"/>
  <c r="I57" i="80" s="1"/>
  <c r="AN19" i="93"/>
  <c r="Y19" i="93"/>
  <c r="AH18" i="93"/>
  <c r="S18" i="93"/>
  <c r="AO16" i="93"/>
  <c r="Z16" i="93"/>
  <c r="Z8" i="93"/>
  <c r="K54" i="80" s="1"/>
  <c r="V10" i="93"/>
  <c r="G45" i="80" s="1"/>
  <c r="R11" i="93"/>
  <c r="C55" i="80" s="1"/>
  <c r="Y11" i="93"/>
  <c r="J55" i="80" s="1"/>
  <c r="U13" i="93"/>
  <c r="F46" i="80" s="1"/>
  <c r="R38" i="93"/>
  <c r="C60" i="80" s="1"/>
  <c r="U39" i="93"/>
  <c r="F42" i="80" s="1"/>
  <c r="Y40" i="93"/>
  <c r="J51" i="80" s="1"/>
  <c r="R42" i="93"/>
  <c r="Z43" i="93"/>
  <c r="U43" i="93"/>
  <c r="X39" i="93"/>
  <c r="I42" i="80" s="1"/>
  <c r="AB43" i="93"/>
  <c r="AQ43" i="93"/>
  <c r="V43" i="93"/>
  <c r="AK43" i="93"/>
  <c r="AB42" i="93"/>
  <c r="AQ42" i="93"/>
  <c r="V42" i="93"/>
  <c r="AK42" i="93"/>
  <c r="AB41" i="93"/>
  <c r="AQ41" i="93"/>
  <c r="V41" i="93"/>
  <c r="AK41" i="93"/>
  <c r="W40" i="93"/>
  <c r="H51" i="80" s="1"/>
  <c r="AL40" i="93"/>
  <c r="W39" i="93"/>
  <c r="H42" i="80" s="1"/>
  <c r="AL39" i="93"/>
  <c r="W38" i="93"/>
  <c r="H60" i="80" s="1"/>
  <c r="AL38" i="93"/>
  <c r="AM37" i="93"/>
  <c r="X37" i="93"/>
  <c r="AG37" i="93"/>
  <c r="R37" i="93"/>
  <c r="AM36" i="93"/>
  <c r="X36" i="93"/>
  <c r="AG36" i="93"/>
  <c r="R36" i="93"/>
  <c r="AM35" i="93"/>
  <c r="X35" i="93"/>
  <c r="AG35" i="93"/>
  <c r="R35" i="93"/>
  <c r="AN34" i="93"/>
  <c r="Y34" i="93"/>
  <c r="AH34" i="93"/>
  <c r="S34" i="93"/>
  <c r="AN33" i="93"/>
  <c r="Y33" i="93"/>
  <c r="AH33" i="93"/>
  <c r="S33" i="93"/>
  <c r="D41" i="80" s="1"/>
  <c r="AN32" i="93"/>
  <c r="Y32" i="93"/>
  <c r="J59" i="80" s="1"/>
  <c r="AH32" i="93"/>
  <c r="S32" i="93"/>
  <c r="D59" i="80" s="1"/>
  <c r="AO31" i="93"/>
  <c r="Z31" i="93"/>
  <c r="AI31" i="93"/>
  <c r="T31" i="93"/>
  <c r="AO30" i="93"/>
  <c r="Z30" i="93"/>
  <c r="AI30" i="93"/>
  <c r="T30" i="93"/>
  <c r="AO29" i="93"/>
  <c r="Z29" i="93"/>
  <c r="AI29" i="93"/>
  <c r="T29" i="93"/>
  <c r="AP28" i="93"/>
  <c r="AA28" i="93"/>
  <c r="AJ28" i="93"/>
  <c r="U28" i="93"/>
  <c r="AP27" i="93"/>
  <c r="AA27" i="93"/>
  <c r="L40" i="80" s="1"/>
  <c r="AJ27" i="93"/>
  <c r="U27" i="93"/>
  <c r="AP26" i="93"/>
  <c r="AA26" i="93"/>
  <c r="AJ26" i="93"/>
  <c r="U26" i="93"/>
  <c r="AQ25" i="93"/>
  <c r="AB25" i="93"/>
  <c r="AK25" i="93"/>
  <c r="V25" i="93"/>
  <c r="AQ24" i="93"/>
  <c r="AB24" i="93"/>
  <c r="AK24" i="93"/>
  <c r="V24" i="93"/>
  <c r="AQ23" i="93"/>
  <c r="AB23" i="93"/>
  <c r="AK23" i="93"/>
  <c r="V23" i="93"/>
  <c r="AL22" i="93"/>
  <c r="W22" i="93"/>
  <c r="AL21" i="93"/>
  <c r="W21" i="93"/>
  <c r="AL20" i="93"/>
  <c r="W20" i="93"/>
  <c r="AM19" i="93"/>
  <c r="X19" i="93"/>
  <c r="AG19" i="93"/>
  <c r="R19" i="93"/>
  <c r="AM18" i="93"/>
  <c r="X18" i="93"/>
  <c r="AG18" i="93"/>
  <c r="R18" i="93"/>
  <c r="AM17" i="93"/>
  <c r="X17" i="93"/>
  <c r="AG17" i="93"/>
  <c r="R17" i="93"/>
  <c r="AN16" i="93"/>
  <c r="Y16" i="93"/>
  <c r="J47" i="80" s="1"/>
  <c r="AH16" i="93"/>
  <c r="S16" i="93"/>
  <c r="D47" i="80" s="1"/>
  <c r="AN15" i="93"/>
  <c r="Y15" i="93"/>
  <c r="AH15" i="93"/>
  <c r="S15" i="93"/>
  <c r="AN14" i="93"/>
  <c r="Y14" i="93"/>
  <c r="AH14" i="93"/>
  <c r="S14" i="93"/>
  <c r="Z13" i="93"/>
  <c r="K46" i="80" s="1"/>
  <c r="AO13" i="93"/>
  <c r="Z12" i="93"/>
  <c r="K37" i="80" s="1"/>
  <c r="AO12" i="93"/>
  <c r="T12" i="93"/>
  <c r="E37" i="80" s="1"/>
  <c r="AI12" i="93"/>
  <c r="Z11" i="93"/>
  <c r="K55" i="80" s="1"/>
  <c r="AO11" i="93"/>
  <c r="T11" i="93"/>
  <c r="E55" i="80" s="1"/>
  <c r="AI11" i="93"/>
  <c r="AA10" i="93"/>
  <c r="L45" i="80" s="1"/>
  <c r="AP10" i="93"/>
  <c r="U10" i="93"/>
  <c r="F45" i="80" s="1"/>
  <c r="AJ10" i="93"/>
  <c r="AA9" i="93"/>
  <c r="L36" i="80" s="1"/>
  <c r="AP9" i="93"/>
  <c r="U9" i="93"/>
  <c r="F36" i="80" s="1"/>
  <c r="AJ9" i="93"/>
  <c r="AA8" i="93"/>
  <c r="L54" i="80" s="1"/>
  <c r="AP8" i="93"/>
  <c r="U8" i="93"/>
  <c r="F54" i="80" s="1"/>
  <c r="AJ8" i="93"/>
  <c r="W4" i="93"/>
  <c r="AL4" i="93" s="1"/>
  <c r="AW4" i="93"/>
  <c r="X40" i="93"/>
  <c r="I51" i="80" s="1"/>
  <c r="AM40" i="93"/>
  <c r="AA11" i="93"/>
  <c r="L55" i="80" s="1"/>
  <c r="AB39" i="93"/>
  <c r="M42" i="80" s="1"/>
  <c r="AQ39" i="93"/>
  <c r="V39" i="93"/>
  <c r="G42" i="80" s="1"/>
  <c r="AK39" i="93"/>
  <c r="AL37" i="93"/>
  <c r="W37" i="93"/>
  <c r="AL36" i="93"/>
  <c r="W36" i="93"/>
  <c r="AL35" i="93"/>
  <c r="W35" i="93"/>
  <c r="AM34" i="93"/>
  <c r="X34" i="93"/>
  <c r="AG34" i="93"/>
  <c r="R34" i="93"/>
  <c r="AM33" i="93"/>
  <c r="X33" i="93"/>
  <c r="AG33" i="93"/>
  <c r="R33" i="93"/>
  <c r="AM32" i="93"/>
  <c r="X32" i="93"/>
  <c r="AG32" i="93"/>
  <c r="R32" i="93"/>
  <c r="AN31" i="93"/>
  <c r="Y31" i="93"/>
  <c r="AH31" i="93"/>
  <c r="S31" i="93"/>
  <c r="AN30" i="93"/>
  <c r="Y30" i="93"/>
  <c r="AH30" i="93"/>
  <c r="S30" i="93"/>
  <c r="AN29" i="93"/>
  <c r="Y29" i="93"/>
  <c r="AH29" i="93"/>
  <c r="S29" i="93"/>
  <c r="AO28" i="93"/>
  <c r="Z28" i="93"/>
  <c r="AI28" i="93"/>
  <c r="T28" i="93"/>
  <c r="AO27" i="93"/>
  <c r="Z27" i="93"/>
  <c r="AI27" i="93"/>
  <c r="T27" i="93"/>
  <c r="AO26" i="93"/>
  <c r="Z26" i="93"/>
  <c r="AI26" i="93"/>
  <c r="T26" i="93"/>
  <c r="AP25" i="93"/>
  <c r="AA25" i="93"/>
  <c r="AJ25" i="93"/>
  <c r="U25" i="93"/>
  <c r="AP24" i="93"/>
  <c r="AA24" i="93"/>
  <c r="AJ24" i="93"/>
  <c r="U24" i="93"/>
  <c r="AP23" i="93"/>
  <c r="AA23" i="93"/>
  <c r="AJ23" i="93"/>
  <c r="U23" i="93"/>
  <c r="AQ22" i="93"/>
  <c r="AB22" i="93"/>
  <c r="AK22" i="93"/>
  <c r="V22" i="93"/>
  <c r="AQ21" i="93"/>
  <c r="AB21" i="93"/>
  <c r="AK21" i="93"/>
  <c r="V21" i="93"/>
  <c r="AQ20" i="93"/>
  <c r="AB20" i="93"/>
  <c r="AK20" i="93"/>
  <c r="V20" i="93"/>
  <c r="AL19" i="93"/>
  <c r="W19" i="93"/>
  <c r="AL18" i="93"/>
  <c r="W18" i="93"/>
  <c r="AL17" i="93"/>
  <c r="W17" i="93"/>
  <c r="AM16" i="93"/>
  <c r="X16" i="93"/>
  <c r="AG16" i="93"/>
  <c r="R16" i="93"/>
  <c r="AM15" i="93"/>
  <c r="X15" i="93"/>
  <c r="AG15" i="93"/>
  <c r="R15" i="93"/>
  <c r="AM14" i="93"/>
  <c r="X14" i="93"/>
  <c r="AG14" i="93"/>
  <c r="R14" i="93"/>
  <c r="Y12" i="93"/>
  <c r="J37" i="80" s="1"/>
  <c r="AN12" i="93"/>
  <c r="BB4" i="93"/>
  <c r="AB4" i="93"/>
  <c r="AQ4" i="93" s="1"/>
  <c r="AV4" i="93"/>
  <c r="V4" i="93"/>
  <c r="AK4" i="93" s="1"/>
  <c r="AA12" i="93"/>
  <c r="L37" i="80" s="1"/>
  <c r="X38" i="93"/>
  <c r="I60" i="80" s="1"/>
  <c r="W42" i="93"/>
  <c r="T41" i="93"/>
  <c r="AI41" i="93"/>
  <c r="AA40" i="93"/>
  <c r="L51" i="80" s="1"/>
  <c r="AP40" i="93"/>
  <c r="U40" i="93"/>
  <c r="F51" i="80" s="1"/>
  <c r="AJ40" i="93"/>
  <c r="AA38" i="93"/>
  <c r="L60" i="80" s="1"/>
  <c r="AP38" i="93"/>
  <c r="U38" i="93"/>
  <c r="F60" i="80" s="1"/>
  <c r="AJ38" i="93"/>
  <c r="AQ37" i="93"/>
  <c r="AB37" i="93"/>
  <c r="AK37" i="93"/>
  <c r="V37" i="93"/>
  <c r="AQ36" i="93"/>
  <c r="AB36" i="93"/>
  <c r="AK36" i="93"/>
  <c r="V36" i="93"/>
  <c r="AQ35" i="93"/>
  <c r="AB35" i="93"/>
  <c r="AK35" i="93"/>
  <c r="V35" i="93"/>
  <c r="AL34" i="93"/>
  <c r="W34" i="93"/>
  <c r="AL33" i="93"/>
  <c r="W33" i="93"/>
  <c r="AL32" i="93"/>
  <c r="W32" i="93"/>
  <c r="AM31" i="93"/>
  <c r="X31" i="93"/>
  <c r="AG31" i="93"/>
  <c r="R31" i="93"/>
  <c r="AM30" i="93"/>
  <c r="X30" i="93"/>
  <c r="AG30" i="93"/>
  <c r="R30" i="93"/>
  <c r="AM29" i="93"/>
  <c r="X29" i="93"/>
  <c r="AG29" i="93"/>
  <c r="R29" i="93"/>
  <c r="AN28" i="93"/>
  <c r="Y28" i="93"/>
  <c r="AH28" i="93"/>
  <c r="S28" i="93"/>
  <c r="AN27" i="93"/>
  <c r="Y27" i="93"/>
  <c r="AH27" i="93"/>
  <c r="S27" i="93"/>
  <c r="AN26" i="93"/>
  <c r="Y26" i="93"/>
  <c r="AH26" i="93"/>
  <c r="S26" i="93"/>
  <c r="AO25" i="93"/>
  <c r="Z25" i="93"/>
  <c r="AI25" i="93"/>
  <c r="T25" i="93"/>
  <c r="AO24" i="93"/>
  <c r="Z24" i="93"/>
  <c r="AI24" i="93"/>
  <c r="T24" i="93"/>
  <c r="AO23" i="93"/>
  <c r="Z23" i="93"/>
  <c r="AI23" i="93"/>
  <c r="T23" i="93"/>
  <c r="AP22" i="93"/>
  <c r="AA22" i="93"/>
  <c r="AJ22" i="93"/>
  <c r="U22" i="93"/>
  <c r="AP21" i="93"/>
  <c r="AA21" i="93"/>
  <c r="AJ21" i="93"/>
  <c r="U21" i="93"/>
  <c r="AP20" i="93"/>
  <c r="AA20" i="93"/>
  <c r="AJ20" i="93"/>
  <c r="U20" i="93"/>
  <c r="AQ19" i="93"/>
  <c r="AB19" i="93"/>
  <c r="AK19" i="93"/>
  <c r="V19" i="93"/>
  <c r="AQ18" i="93"/>
  <c r="AB18" i="93"/>
  <c r="AK18" i="93"/>
  <c r="V18" i="93"/>
  <c r="AQ17" i="93"/>
  <c r="AB17" i="93"/>
  <c r="AK17" i="93"/>
  <c r="V17" i="93"/>
  <c r="AL16" i="93"/>
  <c r="W16" i="93"/>
  <c r="AL15" i="93"/>
  <c r="W15" i="93"/>
  <c r="AL14" i="93"/>
  <c r="W14" i="93"/>
  <c r="X13" i="93"/>
  <c r="I46" i="80" s="1"/>
  <c r="AM13" i="93"/>
  <c r="R13" i="93"/>
  <c r="C46" i="80" s="1"/>
  <c r="AG13" i="93"/>
  <c r="AA4" i="93"/>
  <c r="AP4" i="93" s="1"/>
  <c r="BA4" i="93"/>
  <c r="U4" i="93"/>
  <c r="AJ4" i="93" s="1"/>
  <c r="AU4" i="93"/>
  <c r="AE4" i="91"/>
  <c r="S4" i="91"/>
  <c r="CA14" i="75"/>
  <c r="CF7" i="75"/>
  <c r="BZ7" i="75"/>
  <c r="M30" i="75"/>
  <c r="G30" i="75"/>
  <c r="CA13" i="75"/>
  <c r="CF6" i="75"/>
  <c r="BZ6" i="75"/>
  <c r="M29" i="75"/>
  <c r="G29" i="75"/>
  <c r="CA12" i="75"/>
  <c r="CF5" i="75"/>
  <c r="BZ5" i="75"/>
  <c r="M28" i="75"/>
  <c r="G28" i="75"/>
  <c r="CA11" i="75"/>
  <c r="W7" i="91"/>
  <c r="AI7" i="91" s="1"/>
  <c r="CF4" i="75"/>
  <c r="AB6" i="91"/>
  <c r="AN6" i="91" s="1"/>
  <c r="BZ4" i="75"/>
  <c r="V6" i="91"/>
  <c r="AH6" i="91" s="1"/>
  <c r="M27" i="75"/>
  <c r="AA5" i="91"/>
  <c r="AM5" i="91" s="1"/>
  <c r="G27" i="75"/>
  <c r="U5" i="91"/>
  <c r="AG5" i="91" s="1"/>
  <c r="AJ4" i="91"/>
  <c r="X4" i="91"/>
  <c r="CF14" i="75"/>
  <c r="BZ14" i="75"/>
  <c r="CE7" i="75"/>
  <c r="BY7" i="75"/>
  <c r="L30" i="75"/>
  <c r="F30" i="75"/>
  <c r="CF13" i="75"/>
  <c r="BZ13" i="75"/>
  <c r="CE6" i="75"/>
  <c r="BY6" i="75"/>
  <c r="L29" i="75"/>
  <c r="F29" i="75"/>
  <c r="CF12" i="75"/>
  <c r="BZ12" i="75"/>
  <c r="CE5" i="75"/>
  <c r="BY5" i="75"/>
  <c r="L28" i="75"/>
  <c r="F28" i="75"/>
  <c r="CF11" i="75"/>
  <c r="AB7" i="91"/>
  <c r="AN7" i="91" s="1"/>
  <c r="BZ11" i="75"/>
  <c r="V7" i="91"/>
  <c r="AH7" i="91" s="1"/>
  <c r="CE4" i="75"/>
  <c r="AA6" i="91"/>
  <c r="AM6" i="91" s="1"/>
  <c r="BY4" i="75"/>
  <c r="U6" i="91"/>
  <c r="AG6" i="91" s="1"/>
  <c r="L27" i="75"/>
  <c r="Z5" i="91"/>
  <c r="AL5" i="91" s="1"/>
  <c r="F27" i="75"/>
  <c r="T5" i="91"/>
  <c r="AF5" i="91" s="1"/>
  <c r="Y4" i="91"/>
  <c r="AK4" i="91"/>
  <c r="CE14" i="75"/>
  <c r="E30" i="75"/>
  <c r="BX6" i="75"/>
  <c r="K29" i="75"/>
  <c r="E29" i="75"/>
  <c r="CE11" i="75"/>
  <c r="AA7" i="91"/>
  <c r="AM7" i="91" s="1"/>
  <c r="BY11" i="75"/>
  <c r="U7" i="91"/>
  <c r="AG7" i="91" s="1"/>
  <c r="CD4" i="75"/>
  <c r="Z6" i="91"/>
  <c r="AL6" i="91" s="1"/>
  <c r="BX4" i="75"/>
  <c r="T6" i="91"/>
  <c r="AF6" i="91" s="1"/>
  <c r="K27" i="75"/>
  <c r="Y5" i="91"/>
  <c r="AK5" i="91" s="1"/>
  <c r="E27" i="75"/>
  <c r="S5" i="91"/>
  <c r="AE5" i="91" s="1"/>
  <c r="R4" i="91"/>
  <c r="AD4" i="91"/>
  <c r="BY14" i="75"/>
  <c r="K30" i="75"/>
  <c r="BY13" i="75"/>
  <c r="V4" i="91"/>
  <c r="AH4" i="91"/>
  <c r="CD14" i="75"/>
  <c r="BW7" i="75"/>
  <c r="CD13" i="75"/>
  <c r="BW6" i="75"/>
  <c r="J28" i="75"/>
  <c r="CC4" i="75"/>
  <c r="Y6" i="91"/>
  <c r="AK6" i="91" s="1"/>
  <c r="BX7" i="75"/>
  <c r="CD6" i="75"/>
  <c r="CC7" i="75"/>
  <c r="D30" i="75"/>
  <c r="BX13" i="75"/>
  <c r="J29" i="75"/>
  <c r="BX12" i="75"/>
  <c r="BW5" i="75"/>
  <c r="CD11" i="75"/>
  <c r="Z7" i="91"/>
  <c r="AL7" i="91" s="1"/>
  <c r="BW4" i="75"/>
  <c r="S6" i="91"/>
  <c r="AE6" i="91" s="1"/>
  <c r="J27" i="75"/>
  <c r="X5" i="91"/>
  <c r="AJ5" i="91" s="1"/>
  <c r="D27" i="75"/>
  <c r="R5" i="91"/>
  <c r="AD5" i="91" s="1"/>
  <c r="AM4" i="91"/>
  <c r="AA4" i="91"/>
  <c r="U4" i="91"/>
  <c r="AG4" i="91"/>
  <c r="CC14" i="75"/>
  <c r="BW14" i="75"/>
  <c r="CB7" i="75"/>
  <c r="BV7" i="75"/>
  <c r="I30" i="75"/>
  <c r="CC13" i="75"/>
  <c r="BW13" i="75"/>
  <c r="CB6" i="75"/>
  <c r="BV6" i="75"/>
  <c r="I29" i="75"/>
  <c r="CC12" i="75"/>
  <c r="BW12" i="75"/>
  <c r="CB5" i="75"/>
  <c r="BV5" i="75"/>
  <c r="I28" i="75"/>
  <c r="CC11" i="75"/>
  <c r="Y7" i="91"/>
  <c r="AK7" i="91" s="1"/>
  <c r="BW11" i="75"/>
  <c r="S7" i="91"/>
  <c r="AE7" i="91" s="1"/>
  <c r="CB4" i="75"/>
  <c r="X6" i="91"/>
  <c r="AJ6" i="91" s="1"/>
  <c r="BV4" i="75"/>
  <c r="R6" i="91"/>
  <c r="AD6" i="91" s="1"/>
  <c r="I27" i="75"/>
  <c r="W5" i="91"/>
  <c r="AI5" i="91" s="1"/>
  <c r="AI4" i="91"/>
  <c r="W4" i="91"/>
  <c r="CD7" i="75"/>
  <c r="CE13" i="75"/>
  <c r="AN4" i="91"/>
  <c r="AB4" i="91"/>
  <c r="BX14" i="75"/>
  <c r="J30" i="75"/>
  <c r="CC6" i="75"/>
  <c r="D29" i="75"/>
  <c r="CD12" i="75"/>
  <c r="CC5" i="75"/>
  <c r="D28" i="75"/>
  <c r="BX11" i="75"/>
  <c r="T7" i="91"/>
  <c r="AF7" i="91" s="1"/>
  <c r="Z4" i="91"/>
  <c r="AL4" i="91"/>
  <c r="T4" i="91"/>
  <c r="AF4" i="91"/>
  <c r="CB14" i="75"/>
  <c r="BV14" i="75"/>
  <c r="CA7" i="75"/>
  <c r="N30" i="75"/>
  <c r="H30" i="75"/>
  <c r="CB13" i="75"/>
  <c r="BV13" i="75"/>
  <c r="CA6" i="75"/>
  <c r="N29" i="75"/>
  <c r="D73" i="75" s="1"/>
  <c r="H29" i="75"/>
  <c r="CB12" i="75"/>
  <c r="BV12" i="75"/>
  <c r="CA5" i="75"/>
  <c r="N28" i="75"/>
  <c r="H28" i="75"/>
  <c r="CB11" i="75"/>
  <c r="X7" i="91"/>
  <c r="AJ7" i="91" s="1"/>
  <c r="BV11" i="75"/>
  <c r="R7" i="91"/>
  <c r="AD7" i="91" s="1"/>
  <c r="CA4" i="75"/>
  <c r="W6" i="91"/>
  <c r="AI6" i="91" s="1"/>
  <c r="N27" i="75"/>
  <c r="AB5" i="91"/>
  <c r="AN5" i="91" s="1"/>
  <c r="H27" i="75"/>
  <c r="V5" i="91"/>
  <c r="AH5" i="91" s="1"/>
  <c r="R32" i="74"/>
  <c r="R33" i="74"/>
  <c r="R34" i="74"/>
  <c r="R31" i="74"/>
  <c r="W95" i="72"/>
  <c r="B106" i="72"/>
  <c r="W93" i="72" s="1"/>
  <c r="B107" i="72"/>
  <c r="B108" i="72"/>
  <c r="B105" i="72"/>
  <c r="W92" i="72" s="1"/>
  <c r="B91" i="72"/>
  <c r="Q96" i="72" s="1"/>
  <c r="B92" i="72"/>
  <c r="B93" i="72"/>
  <c r="B90" i="72"/>
  <c r="Q95" i="72" s="1"/>
  <c r="F40" i="80" l="1"/>
  <c r="D71" i="75"/>
  <c r="G84" i="80"/>
  <c r="M66" i="80"/>
  <c r="E85" i="80"/>
  <c r="K67" i="80"/>
  <c r="C86" i="80"/>
  <c r="I68" i="80"/>
  <c r="G87" i="80"/>
  <c r="M69" i="80"/>
  <c r="D84" i="80"/>
  <c r="D78" i="75"/>
  <c r="F38" i="80"/>
  <c r="L47" i="80"/>
  <c r="D39" i="80"/>
  <c r="J48" i="80"/>
  <c r="H49" i="80"/>
  <c r="F41" i="80"/>
  <c r="L50" i="80"/>
  <c r="X92" i="72"/>
  <c r="X94" i="72"/>
  <c r="Q92" i="72"/>
  <c r="W96" i="72"/>
  <c r="X97" i="72" s="1"/>
  <c r="Q93" i="72"/>
  <c r="R97" i="72" s="1"/>
  <c r="D56" i="80"/>
  <c r="H57" i="80"/>
  <c r="J41" i="80"/>
  <c r="M40" i="80"/>
  <c r="G58" i="80"/>
  <c r="H75" i="80"/>
  <c r="F67" i="80"/>
  <c r="L76" i="80"/>
  <c r="D68" i="80"/>
  <c r="J77" i="80"/>
  <c r="H78" i="80"/>
  <c r="I76" i="80"/>
  <c r="AJ5" i="94"/>
  <c r="AU5" i="94" s="1"/>
  <c r="AO6" i="94"/>
  <c r="AZ6" i="94" s="1"/>
  <c r="AG5" i="94"/>
  <c r="AR5" i="94" s="1"/>
  <c r="AO5" i="93"/>
  <c r="AZ5" i="93" s="1"/>
  <c r="AM7" i="94"/>
  <c r="AX7" i="94" s="1"/>
  <c r="AL6" i="94"/>
  <c r="AW6" i="94" s="1"/>
  <c r="E66" i="80"/>
  <c r="M77" i="80"/>
  <c r="J75" i="80"/>
  <c r="AP7" i="94"/>
  <c r="BA7" i="94" s="1"/>
  <c r="AH6" i="94"/>
  <c r="AS6" i="94" s="1"/>
  <c r="AG6" i="94"/>
  <c r="AR6" i="94" s="1"/>
  <c r="H47" i="80"/>
  <c r="F39" i="80"/>
  <c r="L48" i="80"/>
  <c r="D40" i="80"/>
  <c r="J49" i="80"/>
  <c r="H50" i="80"/>
  <c r="AH5" i="93"/>
  <c r="AS5" i="93" s="1"/>
  <c r="AH7" i="93"/>
  <c r="AS7" i="93" s="1"/>
  <c r="AL7" i="93"/>
  <c r="AW7" i="93" s="1"/>
  <c r="AM5" i="93"/>
  <c r="AX5" i="93" s="1"/>
  <c r="AP5" i="93"/>
  <c r="BA5" i="93" s="1"/>
  <c r="AG7" i="93"/>
  <c r="AR7" i="93" s="1"/>
  <c r="AN7" i="93"/>
  <c r="AY7" i="93" s="1"/>
  <c r="D74" i="75"/>
  <c r="H56" i="80"/>
  <c r="L39" i="80"/>
  <c r="J40" i="80"/>
  <c r="AP7" i="93"/>
  <c r="BA7" i="93" s="1"/>
  <c r="AJ5" i="93"/>
  <c r="AU5" i="93" s="1"/>
  <c r="AI5" i="93"/>
  <c r="AT5" i="93" s="1"/>
  <c r="AO6" i="93"/>
  <c r="AZ6" i="93" s="1"/>
  <c r="J56" i="80"/>
  <c r="H39" i="80"/>
  <c r="L58" i="80"/>
  <c r="F49" i="80"/>
  <c r="D50" i="80"/>
  <c r="I39" i="80"/>
  <c r="K41" i="80"/>
  <c r="C48" i="80"/>
  <c r="E50" i="80"/>
  <c r="E75" i="80"/>
  <c r="M86" i="80"/>
  <c r="E78" i="80"/>
  <c r="AK5" i="94"/>
  <c r="AV5" i="94" s="1"/>
  <c r="AQ6" i="94"/>
  <c r="BB6" i="94" s="1"/>
  <c r="AN6" i="94"/>
  <c r="AY6" i="94" s="1"/>
  <c r="AL5" i="94"/>
  <c r="AW5" i="94" s="1"/>
  <c r="AL7" i="94"/>
  <c r="AW7" i="94" s="1"/>
  <c r="AQ7" i="94"/>
  <c r="BB7" i="94" s="1"/>
  <c r="AK6" i="94"/>
  <c r="AV6" i="94" s="1"/>
  <c r="J66" i="80"/>
  <c r="H85" i="80"/>
  <c r="F86" i="80"/>
  <c r="L68" i="80"/>
  <c r="D87" i="80"/>
  <c r="J69" i="80"/>
  <c r="AL6" i="93"/>
  <c r="AW6" i="93" s="1"/>
  <c r="AN7" i="94"/>
  <c r="AY7" i="94" s="1"/>
  <c r="F57" i="80"/>
  <c r="D58" i="80"/>
  <c r="H59" i="80"/>
  <c r="AL5" i="93"/>
  <c r="AW5" i="93" s="1"/>
  <c r="AP6" i="93"/>
  <c r="BA6" i="93" s="1"/>
  <c r="AG6" i="93"/>
  <c r="AR6" i="93" s="1"/>
  <c r="AQ7" i="93"/>
  <c r="BB7" i="93" s="1"/>
  <c r="AI6" i="93"/>
  <c r="AT6" i="93" s="1"/>
  <c r="AH6" i="93"/>
  <c r="AS6" i="93" s="1"/>
  <c r="AP5" i="94"/>
  <c r="BA5" i="94" s="1"/>
  <c r="AM5" i="94"/>
  <c r="AX5" i="94" s="1"/>
  <c r="AK7" i="94"/>
  <c r="AV7" i="94" s="1"/>
  <c r="AM6" i="94"/>
  <c r="AX6" i="94" s="1"/>
  <c r="L57" i="80"/>
  <c r="J58" i="80"/>
  <c r="H41" i="80"/>
  <c r="I38" i="80"/>
  <c r="G57" i="80"/>
  <c r="E58" i="80"/>
  <c r="C59" i="80"/>
  <c r="M58" i="80"/>
  <c r="AQ5" i="94"/>
  <c r="BB5" i="94" s="1"/>
  <c r="G68" i="80"/>
  <c r="E69" i="80"/>
  <c r="AH5" i="94"/>
  <c r="AS5" i="94" s="1"/>
  <c r="H38" i="80"/>
  <c r="F48" i="80"/>
  <c r="D49" i="80"/>
  <c r="C56" i="80"/>
  <c r="M39" i="80"/>
  <c r="K40" i="80"/>
  <c r="I41" i="80"/>
  <c r="AO7" i="93"/>
  <c r="AZ7" i="93" s="1"/>
  <c r="G49" i="80"/>
  <c r="AQ5" i="93"/>
  <c r="BB5" i="93" s="1"/>
  <c r="AK7" i="93"/>
  <c r="AV7" i="93" s="1"/>
  <c r="AI7" i="93"/>
  <c r="AT7" i="93" s="1"/>
  <c r="AG5" i="93"/>
  <c r="AR5" i="93" s="1"/>
  <c r="AM6" i="93"/>
  <c r="AX6" i="93" s="1"/>
  <c r="AN5" i="93"/>
  <c r="AY5" i="93" s="1"/>
  <c r="G66" i="80"/>
  <c r="M75" i="80"/>
  <c r="E67" i="80"/>
  <c r="K76" i="80"/>
  <c r="C68" i="80"/>
  <c r="I77" i="80"/>
  <c r="G69" i="80"/>
  <c r="M78" i="80"/>
  <c r="C67" i="80"/>
  <c r="AG7" i="94"/>
  <c r="AR7" i="94" s="1"/>
  <c r="AN5" i="94"/>
  <c r="AY5" i="94" s="1"/>
  <c r="AH7" i="94"/>
  <c r="AS7" i="94" s="1"/>
  <c r="F84" i="80"/>
  <c r="L66" i="80"/>
  <c r="D85" i="80"/>
  <c r="J67" i="80"/>
  <c r="H86" i="80"/>
  <c r="F87" i="80"/>
  <c r="L69" i="80"/>
  <c r="AJ7" i="94"/>
  <c r="AU7" i="94" s="1"/>
  <c r="F68" i="80"/>
  <c r="J78" i="80"/>
  <c r="AO7" i="94"/>
  <c r="AZ7" i="94" s="1"/>
  <c r="F66" i="80"/>
  <c r="L75" i="80"/>
  <c r="D67" i="80"/>
  <c r="J76" i="80"/>
  <c r="H77" i="80"/>
  <c r="F69" i="80"/>
  <c r="L78" i="80"/>
  <c r="M84" i="80"/>
  <c r="G75" i="80"/>
  <c r="K85" i="80"/>
  <c r="E76" i="80"/>
  <c r="I86" i="80"/>
  <c r="C77" i="80"/>
  <c r="M87" i="80"/>
  <c r="G78" i="80"/>
  <c r="K75" i="80"/>
  <c r="E87" i="80"/>
  <c r="H84" i="80"/>
  <c r="F85" i="80"/>
  <c r="L67" i="80"/>
  <c r="D86" i="80"/>
  <c r="J68" i="80"/>
  <c r="H87" i="80"/>
  <c r="K66" i="80"/>
  <c r="I85" i="80"/>
  <c r="AI6" i="94"/>
  <c r="AT6" i="94" s="1"/>
  <c r="AJ6" i="94"/>
  <c r="AU6" i="94" s="1"/>
  <c r="K84" i="80"/>
  <c r="C66" i="80"/>
  <c r="I75" i="80"/>
  <c r="G67" i="80"/>
  <c r="M76" i="80"/>
  <c r="E68" i="80"/>
  <c r="K77" i="80"/>
  <c r="C69" i="80"/>
  <c r="I78" i="80"/>
  <c r="K69" i="80"/>
  <c r="AP6" i="94"/>
  <c r="BA6" i="94" s="1"/>
  <c r="J84" i="80"/>
  <c r="D75" i="80"/>
  <c r="H67" i="80"/>
  <c r="L86" i="80"/>
  <c r="F77" i="80"/>
  <c r="J87" i="80"/>
  <c r="D78" i="80"/>
  <c r="G77" i="80"/>
  <c r="K78" i="80"/>
  <c r="G86" i="80"/>
  <c r="H66" i="80"/>
  <c r="L85" i="80"/>
  <c r="F76" i="80"/>
  <c r="J86" i="80"/>
  <c r="D77" i="80"/>
  <c r="H69" i="80"/>
  <c r="I67" i="80"/>
  <c r="AI5" i="94"/>
  <c r="AT5" i="94" s="1"/>
  <c r="E84" i="80"/>
  <c r="K87" i="80"/>
  <c r="AI7" i="94"/>
  <c r="AT7" i="94" s="1"/>
  <c r="C84" i="80"/>
  <c r="I66" i="80"/>
  <c r="G85" i="80"/>
  <c r="M67" i="80"/>
  <c r="E86" i="80"/>
  <c r="K68" i="80"/>
  <c r="C87" i="80"/>
  <c r="I69" i="80"/>
  <c r="M68" i="80"/>
  <c r="D66" i="80"/>
  <c r="H76" i="80"/>
  <c r="L77" i="80"/>
  <c r="D69" i="80"/>
  <c r="C85" i="80"/>
  <c r="C76" i="80"/>
  <c r="AO5" i="94"/>
  <c r="AZ5" i="94" s="1"/>
  <c r="D80" i="75"/>
  <c r="G80" i="75" s="1"/>
  <c r="H80" i="75" s="1"/>
  <c r="M49" i="80"/>
  <c r="C39" i="80"/>
  <c r="G56" i="80"/>
  <c r="M38" i="80"/>
  <c r="E57" i="80"/>
  <c r="K39" i="80"/>
  <c r="C58" i="80"/>
  <c r="I40" i="80"/>
  <c r="G59" i="80"/>
  <c r="M41" i="80"/>
  <c r="I56" i="80"/>
  <c r="C47" i="80"/>
  <c r="M57" i="80"/>
  <c r="G48" i="80"/>
  <c r="K58" i="80"/>
  <c r="E49" i="80"/>
  <c r="I59" i="80"/>
  <c r="C50" i="80"/>
  <c r="F56" i="80"/>
  <c r="L38" i="80"/>
  <c r="D57" i="80"/>
  <c r="J39" i="80"/>
  <c r="H58" i="80"/>
  <c r="F59" i="80"/>
  <c r="L41" i="80"/>
  <c r="AM7" i="93"/>
  <c r="AX7" i="93" s="1"/>
  <c r="AJ7" i="93"/>
  <c r="AU7" i="93" s="1"/>
  <c r="D38" i="80"/>
  <c r="H48" i="80"/>
  <c r="L49" i="80"/>
  <c r="J50" i="80"/>
  <c r="AK6" i="93"/>
  <c r="AV6" i="93" s="1"/>
  <c r="I48" i="80"/>
  <c r="K50" i="80"/>
  <c r="E38" i="80"/>
  <c r="G40" i="80"/>
  <c r="M56" i="80"/>
  <c r="G47" i="80"/>
  <c r="K57" i="80"/>
  <c r="E48" i="80"/>
  <c r="I58" i="80"/>
  <c r="C49" i="80"/>
  <c r="M59" i="80"/>
  <c r="G50" i="80"/>
  <c r="C38" i="80"/>
  <c r="I47" i="80"/>
  <c r="G39" i="80"/>
  <c r="M48" i="80"/>
  <c r="E40" i="80"/>
  <c r="K49" i="80"/>
  <c r="C41" i="80"/>
  <c r="I50" i="80"/>
  <c r="L56" i="80"/>
  <c r="F47" i="80"/>
  <c r="J57" i="80"/>
  <c r="D48" i="80"/>
  <c r="H40" i="80"/>
  <c r="L59" i="80"/>
  <c r="F50" i="80"/>
  <c r="AN6" i="93"/>
  <c r="AY6" i="93" s="1"/>
  <c r="AJ6" i="93"/>
  <c r="AU6" i="93" s="1"/>
  <c r="J38" i="80"/>
  <c r="F58" i="80"/>
  <c r="AK5" i="93"/>
  <c r="AV5" i="93" s="1"/>
  <c r="AQ6" i="93"/>
  <c r="BB6" i="93" s="1"/>
  <c r="K47" i="80"/>
  <c r="E41" i="80"/>
  <c r="G38" i="80"/>
  <c r="M47" i="80"/>
  <c r="E39" i="80"/>
  <c r="K48" i="80"/>
  <c r="C40" i="80"/>
  <c r="I49" i="80"/>
  <c r="G41" i="80"/>
  <c r="M50" i="80"/>
  <c r="D72" i="75"/>
  <c r="L73" i="75" s="1"/>
  <c r="I80" i="75"/>
  <c r="J80" i="75" s="1"/>
  <c r="M80" i="75" l="1"/>
  <c r="L81" i="75"/>
  <c r="M73" i="75"/>
  <c r="I73" i="75"/>
  <c r="G81" i="75"/>
  <c r="H81" i="75" s="1"/>
  <c r="R92" i="72"/>
  <c r="R94" i="72"/>
  <c r="L80" i="75"/>
  <c r="L65" i="84"/>
  <c r="K65" i="84"/>
  <c r="J65" i="84"/>
  <c r="I65" i="84"/>
  <c r="H65" i="84"/>
  <c r="G65" i="84"/>
  <c r="F65" i="84"/>
  <c r="E65" i="84"/>
  <c r="D65" i="84"/>
  <c r="C65" i="84"/>
  <c r="B65" i="84"/>
  <c r="L54" i="84"/>
  <c r="K54" i="84"/>
  <c r="J54" i="84"/>
  <c r="I54" i="84"/>
  <c r="H54" i="84"/>
  <c r="G54" i="84"/>
  <c r="F54" i="84"/>
  <c r="E54" i="84"/>
  <c r="D54" i="84"/>
  <c r="C54" i="84"/>
  <c r="B54" i="84"/>
  <c r="L43" i="84"/>
  <c r="K43" i="84"/>
  <c r="J43" i="84"/>
  <c r="I43" i="84"/>
  <c r="H43" i="84"/>
  <c r="G43" i="84"/>
  <c r="F43" i="84"/>
  <c r="E43" i="84"/>
  <c r="D43" i="84"/>
  <c r="C43" i="84"/>
  <c r="B43" i="84"/>
  <c r="W48" i="84" s="1"/>
  <c r="M66" i="84" l="1"/>
  <c r="U76" i="84"/>
  <c r="M55" i="84"/>
  <c r="U60" i="84"/>
  <c r="U45" i="84"/>
  <c r="M44" i="84"/>
  <c r="Z144" i="80"/>
  <c r="Z149" i="80"/>
  <c r="Z150" i="80"/>
  <c r="Z151" i="80"/>
  <c r="Z152" i="80"/>
  <c r="Z148" i="80"/>
  <c r="AN120" i="80"/>
  <c r="AD122" i="80"/>
  <c r="AD123" i="80"/>
  <c r="AD124" i="80"/>
  <c r="AD125" i="80"/>
  <c r="AD126" i="80"/>
  <c r="AD127" i="80"/>
  <c r="AD128" i="80"/>
  <c r="AD121" i="80"/>
  <c r="AK87" i="80"/>
  <c r="AK88" i="80"/>
  <c r="AK89" i="80"/>
  <c r="AC98" i="80"/>
  <c r="AC99" i="80"/>
  <c r="AC100" i="80"/>
  <c r="AC101" i="80"/>
  <c r="AC102" i="80"/>
  <c r="AC103" i="80"/>
  <c r="AC104" i="80"/>
  <c r="AC97" i="80"/>
  <c r="BS40" i="75"/>
  <c r="BS25" i="75"/>
  <c r="D68" i="88"/>
  <c r="D65" i="88"/>
  <c r="D62" i="88"/>
  <c r="D59" i="88"/>
  <c r="D56" i="88"/>
  <c r="D53" i="88"/>
  <c r="D50" i="88"/>
  <c r="D47" i="88"/>
  <c r="D44" i="88"/>
  <c r="A68" i="88"/>
  <c r="A65" i="88"/>
  <c r="A62" i="88"/>
  <c r="A59" i="88"/>
  <c r="A56" i="88"/>
  <c r="A53" i="88"/>
  <c r="A50" i="88"/>
  <c r="A47" i="88"/>
  <c r="A44" i="88"/>
  <c r="D41" i="88"/>
  <c r="D38" i="88"/>
  <c r="A38" i="88"/>
  <c r="A41" i="88"/>
  <c r="D35" i="88"/>
  <c r="A35" i="88"/>
  <c r="D32" i="88"/>
  <c r="A32" i="88"/>
  <c r="A33" i="88"/>
  <c r="D33" i="88"/>
  <c r="D29" i="88"/>
  <c r="A29" i="88"/>
  <c r="D26" i="88"/>
  <c r="A26" i="88"/>
  <c r="D23" i="88"/>
  <c r="A23" i="88"/>
  <c r="D20" i="88"/>
  <c r="A20" i="88"/>
  <c r="D17" i="88"/>
  <c r="A17" i="88"/>
  <c r="D14" i="88"/>
  <c r="A14" i="88"/>
  <c r="D11" i="88"/>
  <c r="A11" i="88"/>
  <c r="D8" i="88"/>
  <c r="A8" i="88"/>
  <c r="D5" i="88"/>
  <c r="A5" i="88"/>
  <c r="D70" i="88" l="1"/>
  <c r="D69" i="88"/>
  <c r="D67" i="88"/>
  <c r="D66" i="88"/>
  <c r="D64" i="88"/>
  <c r="D63" i="88"/>
  <c r="D61" i="88"/>
  <c r="D60" i="88"/>
  <c r="D58" i="88"/>
  <c r="D57" i="88"/>
  <c r="D55" i="88"/>
  <c r="D54" i="88"/>
  <c r="D52" i="88"/>
  <c r="D51" i="88"/>
  <c r="D49" i="88"/>
  <c r="D48" i="88"/>
  <c r="D46" i="88"/>
  <c r="D45" i="88"/>
  <c r="D43" i="88"/>
  <c r="D42" i="88"/>
  <c r="D40" i="88"/>
  <c r="D39" i="88"/>
  <c r="D37" i="88"/>
  <c r="D36" i="88"/>
  <c r="D34" i="88"/>
  <c r="D31" i="88"/>
  <c r="D30" i="88"/>
  <c r="D28" i="88"/>
  <c r="D27" i="88"/>
  <c r="D25" i="88"/>
  <c r="D24" i="88"/>
  <c r="D22" i="88"/>
  <c r="D21" i="88"/>
  <c r="D19" i="88"/>
  <c r="D18" i="88"/>
  <c r="D16" i="88"/>
  <c r="D15" i="88"/>
  <c r="D13" i="88"/>
  <c r="D12" i="88"/>
  <c r="D10" i="88"/>
  <c r="D9" i="88"/>
  <c r="D7" i="88"/>
  <c r="D6" i="88"/>
  <c r="A69" i="88"/>
  <c r="A70" i="88"/>
  <c r="A67" i="88"/>
  <c r="A66" i="88"/>
  <c r="A63" i="88"/>
  <c r="A64" i="88"/>
  <c r="A60" i="88"/>
  <c r="A61" i="88"/>
  <c r="A57" i="88"/>
  <c r="A58" i="88"/>
  <c r="A54" i="88"/>
  <c r="A55" i="88"/>
  <c r="A51" i="88"/>
  <c r="A52" i="88"/>
  <c r="A48" i="88"/>
  <c r="A49" i="88"/>
  <c r="A45" i="88"/>
  <c r="A46" i="88"/>
  <c r="A42" i="88"/>
  <c r="A43" i="88"/>
  <c r="A39" i="88"/>
  <c r="A40" i="88"/>
  <c r="A36" i="88"/>
  <c r="A37" i="88"/>
  <c r="A34" i="88"/>
  <c r="A30" i="88"/>
  <c r="A31" i="88"/>
  <c r="A27" i="88"/>
  <c r="A28" i="88"/>
  <c r="A24" i="88"/>
  <c r="A25" i="88"/>
  <c r="A22" i="88"/>
  <c r="A21" i="88"/>
  <c r="A18" i="88"/>
  <c r="A19" i="88"/>
  <c r="A15" i="88"/>
  <c r="A16" i="88"/>
  <c r="A12" i="88"/>
  <c r="A13" i="88"/>
  <c r="A9" i="88"/>
  <c r="A10" i="88"/>
  <c r="A6" i="88"/>
  <c r="A7" i="88"/>
  <c r="U113" i="80" l="1"/>
  <c r="A155" i="68" l="1"/>
  <c r="A154" i="68"/>
  <c r="A153" i="68"/>
  <c r="A152" i="68"/>
  <c r="A151" i="68"/>
  <c r="A150" i="68"/>
  <c r="A140" i="68"/>
  <c r="A139" i="68"/>
  <c r="A138" i="68"/>
  <c r="A137" i="68"/>
  <c r="A136" i="68"/>
  <c r="A135" i="68"/>
  <c r="A134" i="68"/>
  <c r="A133" i="68"/>
  <c r="A126" i="68"/>
  <c r="A125" i="68"/>
  <c r="A124" i="68"/>
  <c r="A123" i="68"/>
  <c r="A122" i="68"/>
  <c r="A121" i="68"/>
  <c r="A114" i="68"/>
  <c r="A113" i="68"/>
  <c r="A112" i="68"/>
  <c r="A111" i="68"/>
  <c r="A110" i="68"/>
  <c r="A109" i="68"/>
  <c r="A108" i="68"/>
  <c r="A107" i="68"/>
  <c r="A98" i="68"/>
  <c r="A97" i="68"/>
  <c r="A96" i="68"/>
  <c r="A95" i="68"/>
  <c r="A94" i="68"/>
  <c r="A93" i="68"/>
  <c r="A92" i="68"/>
  <c r="A91" i="68"/>
  <c r="A90" i="68"/>
  <c r="A89" i="68"/>
  <c r="A88" i="68"/>
  <c r="A81" i="68"/>
  <c r="A80" i="68"/>
  <c r="A79" i="68"/>
  <c r="A78" i="68"/>
  <c r="A77" i="68"/>
  <c r="A76" i="68"/>
  <c r="A75" i="68"/>
  <c r="A74" i="68"/>
  <c r="A73" i="68"/>
  <c r="A72" i="68"/>
  <c r="A71" i="68"/>
  <c r="A70" i="68"/>
  <c r="A69" i="68"/>
  <c r="A68" i="68"/>
  <c r="A67" i="68"/>
  <c r="A66" i="68"/>
  <c r="A65" i="68"/>
  <c r="A64" i="68"/>
  <c r="A52" i="68"/>
  <c r="B52" i="68" s="1"/>
  <c r="A51" i="68"/>
  <c r="B51" i="68" s="1"/>
  <c r="A50" i="68"/>
  <c r="B50" i="68" s="1"/>
  <c r="C33" i="68"/>
  <c r="B33" i="68"/>
  <c r="A33" i="68" s="1"/>
  <c r="C32" i="68"/>
  <c r="B32" i="68"/>
  <c r="A32" i="68"/>
  <c r="C31" i="68"/>
  <c r="B31" i="68"/>
  <c r="A31" i="68" s="1"/>
  <c r="C30" i="68"/>
  <c r="B30" i="68"/>
  <c r="A30" i="68"/>
  <c r="C29" i="68"/>
  <c r="B29" i="68"/>
  <c r="A29" i="68" s="1"/>
  <c r="C28" i="68"/>
  <c r="B28" i="68"/>
  <c r="A28" i="68"/>
  <c r="C27" i="68"/>
  <c r="B27" i="68"/>
  <c r="A27" i="68" s="1"/>
  <c r="C26" i="68"/>
  <c r="B26" i="68"/>
  <c r="A26" i="68"/>
  <c r="C25" i="68"/>
  <c r="B25" i="68"/>
  <c r="A25" i="68" s="1"/>
  <c r="C24" i="68"/>
  <c r="B24" i="68"/>
  <c r="A24" i="68"/>
  <c r="C23" i="68"/>
  <c r="B23" i="68"/>
  <c r="C22" i="68"/>
  <c r="B22" i="68"/>
  <c r="A22" i="68"/>
  <c r="C21" i="68"/>
  <c r="B21" i="68"/>
  <c r="A21" i="68" s="1"/>
  <c r="C20" i="68"/>
  <c r="B20" i="68"/>
  <c r="A20" i="68"/>
  <c r="B411" i="76" s="1"/>
  <c r="C411" i="76" s="1"/>
  <c r="C19" i="68"/>
  <c r="B19" i="68"/>
  <c r="A19" i="68" s="1"/>
  <c r="C18" i="68"/>
  <c r="B18" i="68"/>
  <c r="A18" i="68"/>
  <c r="C17" i="68"/>
  <c r="B17" i="68"/>
  <c r="A17" i="68" s="1"/>
  <c r="C16" i="68"/>
  <c r="B16" i="68"/>
  <c r="A16" i="68"/>
  <c r="B327" i="76" s="1"/>
  <c r="C327" i="76" s="1"/>
  <c r="C15" i="68"/>
  <c r="B15" i="68"/>
  <c r="A15" i="68" s="1"/>
  <c r="C14" i="68"/>
  <c r="B14" i="68"/>
  <c r="A14" i="68"/>
  <c r="L7" i="68"/>
  <c r="K7" i="68"/>
  <c r="J7" i="68"/>
  <c r="I7" i="68"/>
  <c r="H7" i="68"/>
  <c r="G7" i="68"/>
  <c r="F7" i="68"/>
  <c r="E7" i="68"/>
  <c r="D7" i="68"/>
  <c r="C7" i="68"/>
  <c r="B7" i="68"/>
  <c r="L6" i="68"/>
  <c r="K6" i="68"/>
  <c r="J6" i="68"/>
  <c r="I6" i="68"/>
  <c r="H6" i="68"/>
  <c r="G6" i="68"/>
  <c r="F6" i="68"/>
  <c r="E6" i="68"/>
  <c r="D6" i="68"/>
  <c r="C6" i="68"/>
  <c r="B6" i="68"/>
  <c r="L5" i="68"/>
  <c r="K5" i="68"/>
  <c r="J5" i="68"/>
  <c r="I5" i="68"/>
  <c r="H5" i="68"/>
  <c r="G5" i="68"/>
  <c r="F5" i="68"/>
  <c r="E5" i="68"/>
  <c r="D5" i="68"/>
  <c r="C5" i="68"/>
  <c r="B5" i="68"/>
  <c r="L4" i="68"/>
  <c r="K4" i="68"/>
  <c r="J4" i="68"/>
  <c r="I4" i="68"/>
  <c r="H4" i="68"/>
  <c r="G4" i="68"/>
  <c r="F4" i="68"/>
  <c r="E4" i="68"/>
  <c r="D4" i="68"/>
  <c r="C4" i="68"/>
  <c r="B4" i="68"/>
  <c r="L3" i="68"/>
  <c r="K3" i="68"/>
  <c r="J3" i="68"/>
  <c r="I3" i="68"/>
  <c r="H3" i="68"/>
  <c r="G3" i="68"/>
  <c r="F3" i="68"/>
  <c r="E3" i="68"/>
  <c r="D3" i="68"/>
  <c r="C3" i="68"/>
  <c r="B3" i="68"/>
  <c r="L31" i="84"/>
  <c r="K31" i="84"/>
  <c r="J31" i="84"/>
  <c r="I31" i="84"/>
  <c r="H31" i="84"/>
  <c r="G31" i="84"/>
  <c r="F31" i="84"/>
  <c r="E31" i="84"/>
  <c r="D31" i="84"/>
  <c r="C31" i="84"/>
  <c r="B31" i="84"/>
  <c r="L30" i="84"/>
  <c r="K30" i="84"/>
  <c r="J30" i="84"/>
  <c r="I30" i="84"/>
  <c r="H30" i="84"/>
  <c r="G30" i="84"/>
  <c r="F30" i="84"/>
  <c r="E30" i="84"/>
  <c r="D30" i="84"/>
  <c r="C30" i="84"/>
  <c r="B30" i="84"/>
  <c r="L29" i="84"/>
  <c r="K29" i="84"/>
  <c r="J29" i="84"/>
  <c r="I29" i="84"/>
  <c r="H29" i="84"/>
  <c r="G29" i="84"/>
  <c r="F29" i="84"/>
  <c r="E29" i="84"/>
  <c r="D29" i="84"/>
  <c r="C29" i="84"/>
  <c r="B29" i="84"/>
  <c r="L28" i="84"/>
  <c r="K28" i="84"/>
  <c r="J28" i="84"/>
  <c r="I28" i="84"/>
  <c r="H28" i="84"/>
  <c r="G28" i="84"/>
  <c r="F28" i="84"/>
  <c r="E28" i="84"/>
  <c r="D28" i="84"/>
  <c r="C28" i="84"/>
  <c r="B28" i="84"/>
  <c r="L27" i="84"/>
  <c r="K27" i="84"/>
  <c r="J27" i="84"/>
  <c r="I27" i="84"/>
  <c r="H27" i="84"/>
  <c r="H67" i="84" s="1"/>
  <c r="G27" i="84"/>
  <c r="F27" i="84"/>
  <c r="E27" i="84"/>
  <c r="D27" i="84"/>
  <c r="C27" i="84"/>
  <c r="B27" i="84"/>
  <c r="L26" i="84"/>
  <c r="L66" i="84" s="1"/>
  <c r="K26" i="84"/>
  <c r="K66" i="84" s="1"/>
  <c r="J26" i="84"/>
  <c r="J66" i="84" s="1"/>
  <c r="I26" i="84"/>
  <c r="I66" i="84" s="1"/>
  <c r="H26" i="84"/>
  <c r="H66" i="84" s="1"/>
  <c r="G26" i="84"/>
  <c r="G66" i="84" s="1"/>
  <c r="F26" i="84"/>
  <c r="F66" i="84" s="1"/>
  <c r="E26" i="84"/>
  <c r="E66" i="84" s="1"/>
  <c r="D26" i="84"/>
  <c r="D66" i="84" s="1"/>
  <c r="C26" i="84"/>
  <c r="C66" i="84" s="1"/>
  <c r="B26" i="84"/>
  <c r="B66" i="84" s="1"/>
  <c r="L25" i="84"/>
  <c r="K25" i="84"/>
  <c r="J25" i="84"/>
  <c r="I25" i="84"/>
  <c r="H25" i="84"/>
  <c r="G25" i="84"/>
  <c r="F25" i="84"/>
  <c r="E25" i="84"/>
  <c r="D25" i="84"/>
  <c r="C25" i="84"/>
  <c r="B25" i="84"/>
  <c r="L20" i="84"/>
  <c r="K20" i="84"/>
  <c r="J20" i="84"/>
  <c r="I20" i="84"/>
  <c r="H20" i="84"/>
  <c r="G20" i="84"/>
  <c r="F20" i="84"/>
  <c r="E20" i="84"/>
  <c r="D20" i="84"/>
  <c r="C20" i="84"/>
  <c r="B20" i="84"/>
  <c r="L19" i="84"/>
  <c r="K19" i="84"/>
  <c r="J19" i="84"/>
  <c r="I19" i="84"/>
  <c r="H19" i="84"/>
  <c r="G19" i="84"/>
  <c r="F19" i="84"/>
  <c r="E19" i="84"/>
  <c r="D19" i="84"/>
  <c r="C19" i="84"/>
  <c r="B19" i="84"/>
  <c r="L18" i="84"/>
  <c r="K18" i="84"/>
  <c r="J18" i="84"/>
  <c r="I18" i="84"/>
  <c r="H18" i="84"/>
  <c r="G18" i="84"/>
  <c r="F18" i="84"/>
  <c r="E18" i="84"/>
  <c r="D18" i="84"/>
  <c r="C18" i="84"/>
  <c r="B18" i="84"/>
  <c r="L17" i="84"/>
  <c r="K17" i="84"/>
  <c r="J17" i="84"/>
  <c r="J57" i="84" s="1"/>
  <c r="I17" i="84"/>
  <c r="H17" i="84"/>
  <c r="G17" i="84"/>
  <c r="F17" i="84"/>
  <c r="E17" i="84"/>
  <c r="D17" i="84"/>
  <c r="D57" i="84" s="1"/>
  <c r="C17" i="84"/>
  <c r="B17" i="84"/>
  <c r="L16" i="84"/>
  <c r="K16" i="84"/>
  <c r="J16" i="84"/>
  <c r="J56" i="84" s="1"/>
  <c r="I16" i="84"/>
  <c r="I56" i="84" s="1"/>
  <c r="H16" i="84"/>
  <c r="G16" i="84"/>
  <c r="F16" i="84"/>
  <c r="E16" i="84"/>
  <c r="D16" i="84"/>
  <c r="C16" i="84"/>
  <c r="C56" i="84" s="1"/>
  <c r="B16" i="84"/>
  <c r="L15" i="84"/>
  <c r="L55" i="84" s="1"/>
  <c r="K15" i="84"/>
  <c r="K55" i="84" s="1"/>
  <c r="J15" i="84"/>
  <c r="J55" i="84" s="1"/>
  <c r="I15" i="84"/>
  <c r="I55" i="84" s="1"/>
  <c r="H15" i="84"/>
  <c r="H55" i="84" s="1"/>
  <c r="G15" i="84"/>
  <c r="G55" i="84" s="1"/>
  <c r="F15" i="84"/>
  <c r="F55" i="84" s="1"/>
  <c r="E15" i="84"/>
  <c r="E55" i="84" s="1"/>
  <c r="D15" i="84"/>
  <c r="D55" i="84" s="1"/>
  <c r="C15" i="84"/>
  <c r="C55" i="84" s="1"/>
  <c r="B15" i="84"/>
  <c r="B55" i="84" s="1"/>
  <c r="L14" i="84"/>
  <c r="K14" i="84"/>
  <c r="J14" i="84"/>
  <c r="I14" i="84"/>
  <c r="H14" i="84"/>
  <c r="G14" i="84"/>
  <c r="F14" i="84"/>
  <c r="E14" i="84"/>
  <c r="D14" i="84"/>
  <c r="C14" i="84"/>
  <c r="B14" i="84"/>
  <c r="L10" i="84"/>
  <c r="K10" i="84"/>
  <c r="J10" i="84"/>
  <c r="I10" i="84"/>
  <c r="H10" i="84"/>
  <c r="G10" i="84"/>
  <c r="F10" i="84"/>
  <c r="E10" i="84"/>
  <c r="D10" i="84"/>
  <c r="C10" i="84"/>
  <c r="B10" i="84"/>
  <c r="L9" i="84"/>
  <c r="K9" i="84"/>
  <c r="J9" i="84"/>
  <c r="I9" i="84"/>
  <c r="H9" i="84"/>
  <c r="G9" i="84"/>
  <c r="F9" i="84"/>
  <c r="E9" i="84"/>
  <c r="D9" i="84"/>
  <c r="C9" i="84"/>
  <c r="B9" i="84"/>
  <c r="L8" i="84"/>
  <c r="K8" i="84"/>
  <c r="J8" i="84"/>
  <c r="I8" i="84"/>
  <c r="H8" i="84"/>
  <c r="G8" i="84"/>
  <c r="F8" i="84"/>
  <c r="E8" i="84"/>
  <c r="D8" i="84"/>
  <c r="C8" i="84"/>
  <c r="B8" i="84"/>
  <c r="L7" i="84"/>
  <c r="K7" i="84"/>
  <c r="J7" i="84"/>
  <c r="I7" i="84"/>
  <c r="H7" i="84"/>
  <c r="G7" i="84"/>
  <c r="F7" i="84"/>
  <c r="E7" i="84"/>
  <c r="D7" i="84"/>
  <c r="C7" i="84"/>
  <c r="B7" i="84"/>
  <c r="L6" i="84"/>
  <c r="K6" i="84"/>
  <c r="J6" i="84"/>
  <c r="I6" i="84"/>
  <c r="H6" i="84"/>
  <c r="G6" i="84"/>
  <c r="F6" i="84"/>
  <c r="E6" i="84"/>
  <c r="D6" i="84"/>
  <c r="C6" i="84"/>
  <c r="B6" i="84"/>
  <c r="L5" i="84"/>
  <c r="L44" i="84" s="1"/>
  <c r="K5" i="84"/>
  <c r="K44" i="84" s="1"/>
  <c r="J5" i="84"/>
  <c r="J44" i="84" s="1"/>
  <c r="I5" i="84"/>
  <c r="I44" i="84" s="1"/>
  <c r="H5" i="84"/>
  <c r="H44" i="84" s="1"/>
  <c r="G5" i="84"/>
  <c r="G44" i="84" s="1"/>
  <c r="F5" i="84"/>
  <c r="F44" i="84" s="1"/>
  <c r="E5" i="84"/>
  <c r="E44" i="84" s="1"/>
  <c r="D5" i="84"/>
  <c r="D44" i="84" s="1"/>
  <c r="C5" i="84"/>
  <c r="C44" i="84" s="1"/>
  <c r="B5" i="84"/>
  <c r="B44" i="84" s="1"/>
  <c r="L4" i="84"/>
  <c r="K4" i="84"/>
  <c r="J4" i="84"/>
  <c r="I4" i="84"/>
  <c r="H4" i="84"/>
  <c r="G4" i="84"/>
  <c r="F4" i="84"/>
  <c r="E4" i="84"/>
  <c r="D4" i="84"/>
  <c r="C4" i="84"/>
  <c r="B4" i="84"/>
  <c r="N5" i="84" s="1"/>
  <c r="L29" i="82"/>
  <c r="K29" i="82"/>
  <c r="J29" i="82"/>
  <c r="I29" i="82"/>
  <c r="H29" i="82"/>
  <c r="G29" i="82"/>
  <c r="F29" i="82"/>
  <c r="E29" i="82"/>
  <c r="D29" i="82"/>
  <c r="C29" i="82"/>
  <c r="B29" i="82"/>
  <c r="L28" i="82"/>
  <c r="K28" i="82"/>
  <c r="J28" i="82"/>
  <c r="I28" i="82"/>
  <c r="H28" i="82"/>
  <c r="G28" i="82"/>
  <c r="F28" i="82"/>
  <c r="E28" i="82"/>
  <c r="D28" i="82"/>
  <c r="C28" i="82"/>
  <c r="B28" i="82"/>
  <c r="L27" i="82"/>
  <c r="K27" i="82"/>
  <c r="J27" i="82"/>
  <c r="I27" i="82"/>
  <c r="H27" i="82"/>
  <c r="G27" i="82"/>
  <c r="F27" i="82"/>
  <c r="E27" i="82"/>
  <c r="D27" i="82"/>
  <c r="C27" i="82"/>
  <c r="B27" i="82"/>
  <c r="L26" i="82"/>
  <c r="K26" i="82"/>
  <c r="J26" i="82"/>
  <c r="I26" i="82"/>
  <c r="H26" i="82"/>
  <c r="G26" i="82"/>
  <c r="F26" i="82"/>
  <c r="E26" i="82"/>
  <c r="D26" i="82"/>
  <c r="C26" i="82"/>
  <c r="B26" i="82"/>
  <c r="L25" i="82"/>
  <c r="K25" i="82"/>
  <c r="J25" i="82"/>
  <c r="I25" i="82"/>
  <c r="H25" i="82"/>
  <c r="G25" i="82"/>
  <c r="F25" i="82"/>
  <c r="E25" i="82"/>
  <c r="D25" i="82"/>
  <c r="C25" i="82"/>
  <c r="B25" i="82"/>
  <c r="L24" i="82"/>
  <c r="K24" i="82"/>
  <c r="J24" i="82"/>
  <c r="I24" i="82"/>
  <c r="H24" i="82"/>
  <c r="G24" i="82"/>
  <c r="F24" i="82"/>
  <c r="E24" i="82"/>
  <c r="D24" i="82"/>
  <c r="C24" i="82"/>
  <c r="B24" i="82"/>
  <c r="L23" i="82"/>
  <c r="K23" i="82"/>
  <c r="J23" i="82"/>
  <c r="I23" i="82"/>
  <c r="H23" i="82"/>
  <c r="G23" i="82"/>
  <c r="F23" i="82"/>
  <c r="E23" i="82"/>
  <c r="D23" i="82"/>
  <c r="C23" i="82"/>
  <c r="B23" i="82"/>
  <c r="L22" i="82"/>
  <c r="K22" i="82"/>
  <c r="J22" i="82"/>
  <c r="I22" i="82"/>
  <c r="H22" i="82"/>
  <c r="G22" i="82"/>
  <c r="F22" i="82"/>
  <c r="E22" i="82"/>
  <c r="D22" i="82"/>
  <c r="C22" i="82"/>
  <c r="B22" i="82"/>
  <c r="L21" i="82"/>
  <c r="K21" i="82"/>
  <c r="J21" i="82"/>
  <c r="I21" i="82"/>
  <c r="H21" i="82"/>
  <c r="G21" i="82"/>
  <c r="F21" i="82"/>
  <c r="E21" i="82"/>
  <c r="D21" i="82"/>
  <c r="C21" i="82"/>
  <c r="B21" i="82"/>
  <c r="L20" i="82"/>
  <c r="W30" i="82" s="1"/>
  <c r="K20" i="82"/>
  <c r="J20" i="82"/>
  <c r="I20" i="82"/>
  <c r="H20" i="82"/>
  <c r="G20" i="82"/>
  <c r="F20" i="82"/>
  <c r="E20" i="82"/>
  <c r="D20" i="82"/>
  <c r="C20" i="82"/>
  <c r="B20" i="82"/>
  <c r="W36" i="82" s="1"/>
  <c r="L14" i="82"/>
  <c r="K14" i="82"/>
  <c r="J14" i="82"/>
  <c r="I14" i="82"/>
  <c r="H14" i="82"/>
  <c r="G14" i="82"/>
  <c r="F14" i="82"/>
  <c r="E14" i="82"/>
  <c r="D14" i="82"/>
  <c r="C14" i="82"/>
  <c r="B14" i="82"/>
  <c r="L13" i="82"/>
  <c r="K13" i="82"/>
  <c r="J13" i="82"/>
  <c r="I13" i="82"/>
  <c r="H13" i="82"/>
  <c r="G13" i="82"/>
  <c r="F13" i="82"/>
  <c r="E13" i="82"/>
  <c r="D13" i="82"/>
  <c r="C13" i="82"/>
  <c r="B13" i="82"/>
  <c r="L12" i="82"/>
  <c r="K12" i="82"/>
  <c r="J12" i="82"/>
  <c r="I12" i="82"/>
  <c r="H12" i="82"/>
  <c r="G12" i="82"/>
  <c r="F12" i="82"/>
  <c r="E12" i="82"/>
  <c r="D12" i="82"/>
  <c r="C12" i="82"/>
  <c r="B12" i="82"/>
  <c r="L11" i="82"/>
  <c r="K11" i="82"/>
  <c r="J11" i="82"/>
  <c r="I11" i="82"/>
  <c r="H11" i="82"/>
  <c r="G11" i="82"/>
  <c r="F11" i="82"/>
  <c r="E11" i="82"/>
  <c r="D11" i="82"/>
  <c r="C11" i="82"/>
  <c r="B11" i="82"/>
  <c r="L10" i="82"/>
  <c r="K10" i="82"/>
  <c r="J10" i="82"/>
  <c r="I10" i="82"/>
  <c r="H10" i="82"/>
  <c r="G10" i="82"/>
  <c r="F10" i="82"/>
  <c r="E10" i="82"/>
  <c r="D10" i="82"/>
  <c r="C10" i="82"/>
  <c r="B10" i="82"/>
  <c r="L9" i="82"/>
  <c r="K9" i="82"/>
  <c r="J9" i="82"/>
  <c r="I9" i="82"/>
  <c r="H9" i="82"/>
  <c r="G9" i="82"/>
  <c r="F9" i="82"/>
  <c r="E9" i="82"/>
  <c r="D9" i="82"/>
  <c r="C9" i="82"/>
  <c r="B9" i="82"/>
  <c r="L8" i="82"/>
  <c r="K8" i="82"/>
  <c r="J8" i="82"/>
  <c r="I8" i="82"/>
  <c r="H8" i="82"/>
  <c r="G8" i="82"/>
  <c r="F8" i="82"/>
  <c r="E8" i="82"/>
  <c r="D8" i="82"/>
  <c r="C8" i="82"/>
  <c r="B8" i="82"/>
  <c r="L7" i="82"/>
  <c r="K7" i="82"/>
  <c r="J7" i="82"/>
  <c r="I7" i="82"/>
  <c r="H7" i="82"/>
  <c r="G7" i="82"/>
  <c r="F7" i="82"/>
  <c r="E7" i="82"/>
  <c r="D7" i="82"/>
  <c r="C7" i="82"/>
  <c r="B7" i="82"/>
  <c r="L6" i="82"/>
  <c r="K6" i="82"/>
  <c r="J6" i="82"/>
  <c r="I6" i="82"/>
  <c r="H6" i="82"/>
  <c r="G6" i="82"/>
  <c r="F6" i="82"/>
  <c r="E6" i="82"/>
  <c r="D6" i="82"/>
  <c r="C6" i="82"/>
  <c r="B6" i="82"/>
  <c r="L5" i="82"/>
  <c r="R30" i="82" s="1"/>
  <c r="K5" i="82"/>
  <c r="J5" i="82"/>
  <c r="I5" i="82"/>
  <c r="H5" i="82"/>
  <c r="G5" i="82"/>
  <c r="F5" i="82"/>
  <c r="E5" i="82"/>
  <c r="D5" i="82"/>
  <c r="C5" i="82"/>
  <c r="B5" i="82"/>
  <c r="R36" i="82" s="1"/>
  <c r="M248" i="80"/>
  <c r="L248" i="80"/>
  <c r="K248" i="80"/>
  <c r="J248" i="80"/>
  <c r="I248" i="80"/>
  <c r="H248" i="80"/>
  <c r="G248" i="80"/>
  <c r="F248" i="80"/>
  <c r="E248" i="80"/>
  <c r="D248" i="80"/>
  <c r="C248" i="80"/>
  <c r="B248" i="80"/>
  <c r="M247" i="80"/>
  <c r="L247" i="80"/>
  <c r="K247" i="80"/>
  <c r="J247" i="80"/>
  <c r="I247" i="80"/>
  <c r="H247" i="80"/>
  <c r="G247" i="80"/>
  <c r="F247" i="80"/>
  <c r="E247" i="80"/>
  <c r="D247" i="80"/>
  <c r="C247" i="80"/>
  <c r="B247" i="80"/>
  <c r="M246" i="80"/>
  <c r="L246" i="80"/>
  <c r="K246" i="80"/>
  <c r="J246" i="80"/>
  <c r="I246" i="80"/>
  <c r="H246" i="80"/>
  <c r="G246" i="80"/>
  <c r="F246" i="80"/>
  <c r="E246" i="80"/>
  <c r="D246" i="80"/>
  <c r="C246" i="80"/>
  <c r="B246" i="80"/>
  <c r="M245" i="80"/>
  <c r="L245" i="80"/>
  <c r="K245" i="80"/>
  <c r="J245" i="80"/>
  <c r="I245" i="80"/>
  <c r="H245" i="80"/>
  <c r="G245" i="80"/>
  <c r="F245" i="80"/>
  <c r="E245" i="80"/>
  <c r="D245" i="80"/>
  <c r="C245" i="80"/>
  <c r="B245" i="80"/>
  <c r="M244" i="80"/>
  <c r="L244" i="80"/>
  <c r="K244" i="80"/>
  <c r="J244" i="80"/>
  <c r="I244" i="80"/>
  <c r="H244" i="80"/>
  <c r="G244" i="80"/>
  <c r="F244" i="80"/>
  <c r="E244" i="80"/>
  <c r="D244" i="80"/>
  <c r="C244" i="80"/>
  <c r="B244" i="80"/>
  <c r="M243" i="80"/>
  <c r="L243" i="80"/>
  <c r="K243" i="80"/>
  <c r="J243" i="80"/>
  <c r="I243" i="80"/>
  <c r="H243" i="80"/>
  <c r="G243" i="80"/>
  <c r="F243" i="80"/>
  <c r="E243" i="80"/>
  <c r="D243" i="80"/>
  <c r="C243" i="80"/>
  <c r="B243" i="80"/>
  <c r="M242" i="80"/>
  <c r="L242" i="80"/>
  <c r="K242" i="80"/>
  <c r="J242" i="80"/>
  <c r="I242" i="80"/>
  <c r="H242" i="80"/>
  <c r="G242" i="80"/>
  <c r="F242" i="80"/>
  <c r="E242" i="80"/>
  <c r="D242" i="80"/>
  <c r="C242" i="80"/>
  <c r="M238" i="80"/>
  <c r="L238" i="80"/>
  <c r="K238" i="80"/>
  <c r="J238" i="80"/>
  <c r="I238" i="80"/>
  <c r="H238" i="80"/>
  <c r="G238" i="80"/>
  <c r="F238" i="80"/>
  <c r="E238" i="80"/>
  <c r="D238" i="80"/>
  <c r="C238" i="80"/>
  <c r="B238" i="80"/>
  <c r="M237" i="80"/>
  <c r="L237" i="80"/>
  <c r="K237" i="80"/>
  <c r="J237" i="80"/>
  <c r="I237" i="80"/>
  <c r="H237" i="80"/>
  <c r="G237" i="80"/>
  <c r="F237" i="80"/>
  <c r="E237" i="80"/>
  <c r="D237" i="80"/>
  <c r="C237" i="80"/>
  <c r="B237" i="80"/>
  <c r="M236" i="80"/>
  <c r="L236" i="80"/>
  <c r="K236" i="80"/>
  <c r="J236" i="80"/>
  <c r="I236" i="80"/>
  <c r="H236" i="80"/>
  <c r="G236" i="80"/>
  <c r="F236" i="80"/>
  <c r="E236" i="80"/>
  <c r="D236" i="80"/>
  <c r="C236" i="80"/>
  <c r="B236" i="80"/>
  <c r="M235" i="80"/>
  <c r="L235" i="80"/>
  <c r="K235" i="80"/>
  <c r="J235" i="80"/>
  <c r="I235" i="80"/>
  <c r="H235" i="80"/>
  <c r="G235" i="80"/>
  <c r="F235" i="80"/>
  <c r="E235" i="80"/>
  <c r="D235" i="80"/>
  <c r="C235" i="80"/>
  <c r="B235" i="80"/>
  <c r="M234" i="80"/>
  <c r="L234" i="80"/>
  <c r="K234" i="80"/>
  <c r="J234" i="80"/>
  <c r="I234" i="80"/>
  <c r="H234" i="80"/>
  <c r="G234" i="80"/>
  <c r="F234" i="80"/>
  <c r="E234" i="80"/>
  <c r="D234" i="80"/>
  <c r="C234" i="80"/>
  <c r="B234" i="80"/>
  <c r="M233" i="80"/>
  <c r="L233" i="80"/>
  <c r="K233" i="80"/>
  <c r="J233" i="80"/>
  <c r="I233" i="80"/>
  <c r="H233" i="80"/>
  <c r="G233" i="80"/>
  <c r="F233" i="80"/>
  <c r="E233" i="80"/>
  <c r="D233" i="80"/>
  <c r="C233" i="80"/>
  <c r="B233" i="80"/>
  <c r="M232" i="80"/>
  <c r="L232" i="80"/>
  <c r="K232" i="80"/>
  <c r="J232" i="80"/>
  <c r="I232" i="80"/>
  <c r="H232" i="80"/>
  <c r="G232" i="80"/>
  <c r="F232" i="80"/>
  <c r="E232" i="80"/>
  <c r="D232" i="80"/>
  <c r="C232" i="80"/>
  <c r="M228" i="80"/>
  <c r="L228" i="80"/>
  <c r="K228" i="80"/>
  <c r="J228" i="80"/>
  <c r="I228" i="80"/>
  <c r="H228" i="80"/>
  <c r="G228" i="80"/>
  <c r="F228" i="80"/>
  <c r="E228" i="80"/>
  <c r="D228" i="80"/>
  <c r="C228" i="80"/>
  <c r="B228" i="80"/>
  <c r="M227" i="80"/>
  <c r="L227" i="80"/>
  <c r="K227" i="80"/>
  <c r="J227" i="80"/>
  <c r="I227" i="80"/>
  <c r="H227" i="80"/>
  <c r="G227" i="80"/>
  <c r="F227" i="80"/>
  <c r="E227" i="80"/>
  <c r="D227" i="80"/>
  <c r="C227" i="80"/>
  <c r="B227" i="80"/>
  <c r="M226" i="80"/>
  <c r="L226" i="80"/>
  <c r="K226" i="80"/>
  <c r="J226" i="80"/>
  <c r="I226" i="80"/>
  <c r="H226" i="80"/>
  <c r="G226" i="80"/>
  <c r="F226" i="80"/>
  <c r="E226" i="80"/>
  <c r="D226" i="80"/>
  <c r="C226" i="80"/>
  <c r="B226" i="80"/>
  <c r="M225" i="80"/>
  <c r="L225" i="80"/>
  <c r="K225" i="80"/>
  <c r="J225" i="80"/>
  <c r="I225" i="80"/>
  <c r="H225" i="80"/>
  <c r="G225" i="80"/>
  <c r="F225" i="80"/>
  <c r="E225" i="80"/>
  <c r="D225" i="80"/>
  <c r="C225" i="80"/>
  <c r="B225" i="80"/>
  <c r="M224" i="80"/>
  <c r="L224" i="80"/>
  <c r="K224" i="80"/>
  <c r="J224" i="80"/>
  <c r="I224" i="80"/>
  <c r="H224" i="80"/>
  <c r="G224" i="80"/>
  <c r="F224" i="80"/>
  <c r="E224" i="80"/>
  <c r="D224" i="80"/>
  <c r="C224" i="80"/>
  <c r="B224" i="80"/>
  <c r="M223" i="80"/>
  <c r="L223" i="80"/>
  <c r="K223" i="80"/>
  <c r="J223" i="80"/>
  <c r="I223" i="80"/>
  <c r="H223" i="80"/>
  <c r="G223" i="80"/>
  <c r="F223" i="80"/>
  <c r="E223" i="80"/>
  <c r="D223" i="80"/>
  <c r="C223" i="80"/>
  <c r="B223" i="80"/>
  <c r="M222" i="80"/>
  <c r="L222" i="80"/>
  <c r="K222" i="80"/>
  <c r="J222" i="80"/>
  <c r="I222" i="80"/>
  <c r="H222" i="80"/>
  <c r="G222" i="80"/>
  <c r="F222" i="80"/>
  <c r="E222" i="80"/>
  <c r="D222" i="80"/>
  <c r="C222" i="80"/>
  <c r="M218" i="80"/>
  <c r="L218" i="80"/>
  <c r="K218" i="80"/>
  <c r="J218" i="80"/>
  <c r="I218" i="80"/>
  <c r="H218" i="80"/>
  <c r="G218" i="80"/>
  <c r="F218" i="80"/>
  <c r="E218" i="80"/>
  <c r="D218" i="80"/>
  <c r="C218" i="80"/>
  <c r="B218" i="80"/>
  <c r="M217" i="80"/>
  <c r="L217" i="80"/>
  <c r="K217" i="80"/>
  <c r="J217" i="80"/>
  <c r="I217" i="80"/>
  <c r="H217" i="80"/>
  <c r="G217" i="80"/>
  <c r="F217" i="80"/>
  <c r="E217" i="80"/>
  <c r="D217" i="80"/>
  <c r="C217" i="80"/>
  <c r="B217" i="80"/>
  <c r="M216" i="80"/>
  <c r="L216" i="80"/>
  <c r="K216" i="80"/>
  <c r="J216" i="80"/>
  <c r="I216" i="80"/>
  <c r="H216" i="80"/>
  <c r="G216" i="80"/>
  <c r="F216" i="80"/>
  <c r="E216" i="80"/>
  <c r="D216" i="80"/>
  <c r="C216" i="80"/>
  <c r="B216" i="80"/>
  <c r="M215" i="80"/>
  <c r="L215" i="80"/>
  <c r="K215" i="80"/>
  <c r="J215" i="80"/>
  <c r="I215" i="80"/>
  <c r="H215" i="80"/>
  <c r="G215" i="80"/>
  <c r="F215" i="80"/>
  <c r="E215" i="80"/>
  <c r="D215" i="80"/>
  <c r="C215" i="80"/>
  <c r="B215" i="80"/>
  <c r="M214" i="80"/>
  <c r="L214" i="80"/>
  <c r="K214" i="80"/>
  <c r="J214" i="80"/>
  <c r="I214" i="80"/>
  <c r="H214" i="80"/>
  <c r="G214" i="80"/>
  <c r="F214" i="80"/>
  <c r="E214" i="80"/>
  <c r="D214" i="80"/>
  <c r="C214" i="80"/>
  <c r="B214" i="80"/>
  <c r="M213" i="80"/>
  <c r="L213" i="80"/>
  <c r="K213" i="80"/>
  <c r="J213" i="80"/>
  <c r="I213" i="80"/>
  <c r="H213" i="80"/>
  <c r="G213" i="80"/>
  <c r="F213" i="80"/>
  <c r="E213" i="80"/>
  <c r="D213" i="80"/>
  <c r="C213" i="80"/>
  <c r="B213" i="80"/>
  <c r="M212" i="80"/>
  <c r="L212" i="80"/>
  <c r="K212" i="80"/>
  <c r="J212" i="80"/>
  <c r="I212" i="80"/>
  <c r="H212" i="80"/>
  <c r="G212" i="80"/>
  <c r="F212" i="80"/>
  <c r="E212" i="80"/>
  <c r="D212" i="80"/>
  <c r="C212" i="80"/>
  <c r="M208" i="80"/>
  <c r="L208" i="80"/>
  <c r="K208" i="80"/>
  <c r="J208" i="80"/>
  <c r="I208" i="80"/>
  <c r="H208" i="80"/>
  <c r="G208" i="80"/>
  <c r="F208" i="80"/>
  <c r="E208" i="80"/>
  <c r="D208" i="80"/>
  <c r="C208" i="80"/>
  <c r="B208" i="80"/>
  <c r="M207" i="80"/>
  <c r="L207" i="80"/>
  <c r="K207" i="80"/>
  <c r="J207" i="80"/>
  <c r="I207" i="80"/>
  <c r="H207" i="80"/>
  <c r="G207" i="80"/>
  <c r="F207" i="80"/>
  <c r="E207" i="80"/>
  <c r="D207" i="80"/>
  <c r="C207" i="80"/>
  <c r="B207" i="80"/>
  <c r="M206" i="80"/>
  <c r="L206" i="80"/>
  <c r="K206" i="80"/>
  <c r="J206" i="80"/>
  <c r="I206" i="80"/>
  <c r="H206" i="80"/>
  <c r="G206" i="80"/>
  <c r="F206" i="80"/>
  <c r="E206" i="80"/>
  <c r="D206" i="80"/>
  <c r="C206" i="80"/>
  <c r="B206" i="80"/>
  <c r="M205" i="80"/>
  <c r="L205" i="80"/>
  <c r="K205" i="80"/>
  <c r="J205" i="80"/>
  <c r="I205" i="80"/>
  <c r="H205" i="80"/>
  <c r="G205" i="80"/>
  <c r="F205" i="80"/>
  <c r="E205" i="80"/>
  <c r="D205" i="80"/>
  <c r="C205" i="80"/>
  <c r="B205" i="80"/>
  <c r="M204" i="80"/>
  <c r="L204" i="80"/>
  <c r="K204" i="80"/>
  <c r="J204" i="80"/>
  <c r="I204" i="80"/>
  <c r="H204" i="80"/>
  <c r="G204" i="80"/>
  <c r="F204" i="80"/>
  <c r="E204" i="80"/>
  <c r="D204" i="80"/>
  <c r="C204" i="80"/>
  <c r="B204" i="80"/>
  <c r="M203" i="80"/>
  <c r="L203" i="80"/>
  <c r="K203" i="80"/>
  <c r="J203" i="80"/>
  <c r="I203" i="80"/>
  <c r="H203" i="80"/>
  <c r="G203" i="80"/>
  <c r="F203" i="80"/>
  <c r="E203" i="80"/>
  <c r="D203" i="80"/>
  <c r="C203" i="80"/>
  <c r="B203" i="80"/>
  <c r="M202" i="80"/>
  <c r="L202" i="80"/>
  <c r="K202" i="80"/>
  <c r="J202" i="80"/>
  <c r="I202" i="80"/>
  <c r="H202" i="80"/>
  <c r="G202" i="80"/>
  <c r="F202" i="80"/>
  <c r="E202" i="80"/>
  <c r="D202" i="80"/>
  <c r="C202" i="80"/>
  <c r="M195" i="80"/>
  <c r="L195" i="80"/>
  <c r="K195" i="80"/>
  <c r="J195" i="80"/>
  <c r="I195" i="80"/>
  <c r="H195" i="80"/>
  <c r="G195" i="80"/>
  <c r="F195" i="80"/>
  <c r="E195" i="80"/>
  <c r="D195" i="80"/>
  <c r="C195" i="80"/>
  <c r="B195" i="80"/>
  <c r="M194" i="80"/>
  <c r="L194" i="80"/>
  <c r="K194" i="80"/>
  <c r="J194" i="80"/>
  <c r="I194" i="80"/>
  <c r="H194" i="80"/>
  <c r="G194" i="80"/>
  <c r="F194" i="80"/>
  <c r="E194" i="80"/>
  <c r="D194" i="80"/>
  <c r="C194" i="80"/>
  <c r="B194" i="80"/>
  <c r="M193" i="80"/>
  <c r="L193" i="80"/>
  <c r="K193" i="80"/>
  <c r="J193" i="80"/>
  <c r="I193" i="80"/>
  <c r="H193" i="80"/>
  <c r="G193" i="80"/>
  <c r="F193" i="80"/>
  <c r="E193" i="80"/>
  <c r="D193" i="80"/>
  <c r="C193" i="80"/>
  <c r="B193" i="80"/>
  <c r="M192" i="80"/>
  <c r="L192" i="80"/>
  <c r="K192" i="80"/>
  <c r="J192" i="80"/>
  <c r="I192" i="80"/>
  <c r="H192" i="80"/>
  <c r="G192" i="80"/>
  <c r="F192" i="80"/>
  <c r="E192" i="80"/>
  <c r="D192" i="80"/>
  <c r="C192" i="80"/>
  <c r="B192" i="80"/>
  <c r="M191" i="80"/>
  <c r="L191" i="80"/>
  <c r="K191" i="80"/>
  <c r="J191" i="80"/>
  <c r="I191" i="80"/>
  <c r="H191" i="80"/>
  <c r="G191" i="80"/>
  <c r="F191" i="80"/>
  <c r="E191" i="80"/>
  <c r="D191" i="80"/>
  <c r="C191" i="80"/>
  <c r="B191" i="80"/>
  <c r="M190" i="80"/>
  <c r="L190" i="80"/>
  <c r="K190" i="80"/>
  <c r="J190" i="80"/>
  <c r="I190" i="80"/>
  <c r="H190" i="80"/>
  <c r="G190" i="80"/>
  <c r="F190" i="80"/>
  <c r="E190" i="80"/>
  <c r="D190" i="80"/>
  <c r="C190" i="80"/>
  <c r="B190" i="80"/>
  <c r="M189" i="80"/>
  <c r="L189" i="80"/>
  <c r="K189" i="80"/>
  <c r="J189" i="80"/>
  <c r="I189" i="80"/>
  <c r="H189" i="80"/>
  <c r="G189" i="80"/>
  <c r="F189" i="80"/>
  <c r="E189" i="80"/>
  <c r="D189" i="80"/>
  <c r="C189" i="80"/>
  <c r="B189" i="80"/>
  <c r="M188" i="80"/>
  <c r="L188" i="80"/>
  <c r="K188" i="80"/>
  <c r="J188" i="80"/>
  <c r="I188" i="80"/>
  <c r="H188" i="80"/>
  <c r="G188" i="80"/>
  <c r="F188" i="80"/>
  <c r="E188" i="80"/>
  <c r="D188" i="80"/>
  <c r="C188" i="80"/>
  <c r="B188" i="80"/>
  <c r="M187" i="80"/>
  <c r="L187" i="80"/>
  <c r="K187" i="80"/>
  <c r="J187" i="80"/>
  <c r="I187" i="80"/>
  <c r="H187" i="80"/>
  <c r="G187" i="80"/>
  <c r="F187" i="80"/>
  <c r="E187" i="80"/>
  <c r="D187" i="80"/>
  <c r="C187" i="80"/>
  <c r="B187" i="80"/>
  <c r="M186" i="80"/>
  <c r="L186" i="80"/>
  <c r="K186" i="80"/>
  <c r="J186" i="80"/>
  <c r="I186" i="80"/>
  <c r="H186" i="80"/>
  <c r="G186" i="80"/>
  <c r="F186" i="80"/>
  <c r="E186" i="80"/>
  <c r="D186" i="80"/>
  <c r="C186" i="80"/>
  <c r="M184" i="80"/>
  <c r="L184" i="80"/>
  <c r="K184" i="80"/>
  <c r="J184" i="80"/>
  <c r="I184" i="80"/>
  <c r="H184" i="80"/>
  <c r="G184" i="80"/>
  <c r="F184" i="80"/>
  <c r="E184" i="80"/>
  <c r="D184" i="80"/>
  <c r="C184" i="80"/>
  <c r="B184" i="80"/>
  <c r="M183" i="80"/>
  <c r="L183" i="80"/>
  <c r="K183" i="80"/>
  <c r="J183" i="80"/>
  <c r="I183" i="80"/>
  <c r="H183" i="80"/>
  <c r="G183" i="80"/>
  <c r="F183" i="80"/>
  <c r="E183" i="80"/>
  <c r="D183" i="80"/>
  <c r="C183" i="80"/>
  <c r="B183" i="80"/>
  <c r="M182" i="80"/>
  <c r="L182" i="80"/>
  <c r="K182" i="80"/>
  <c r="J182" i="80"/>
  <c r="I182" i="80"/>
  <c r="H182" i="80"/>
  <c r="G182" i="80"/>
  <c r="F182" i="80"/>
  <c r="E182" i="80"/>
  <c r="D182" i="80"/>
  <c r="C182" i="80"/>
  <c r="B182" i="80"/>
  <c r="M181" i="80"/>
  <c r="L181" i="80"/>
  <c r="K181" i="80"/>
  <c r="J181" i="80"/>
  <c r="I181" i="80"/>
  <c r="H181" i="80"/>
  <c r="G181" i="80"/>
  <c r="F181" i="80"/>
  <c r="E181" i="80"/>
  <c r="D181" i="80"/>
  <c r="C181" i="80"/>
  <c r="B181" i="80"/>
  <c r="M180" i="80"/>
  <c r="L180" i="80"/>
  <c r="K180" i="80"/>
  <c r="J180" i="80"/>
  <c r="I180" i="80"/>
  <c r="H180" i="80"/>
  <c r="G180" i="80"/>
  <c r="F180" i="80"/>
  <c r="E180" i="80"/>
  <c r="D180" i="80"/>
  <c r="C180" i="80"/>
  <c r="B180" i="80"/>
  <c r="M179" i="80"/>
  <c r="L179" i="80"/>
  <c r="K179" i="80"/>
  <c r="J179" i="80"/>
  <c r="I179" i="80"/>
  <c r="H179" i="80"/>
  <c r="G179" i="80"/>
  <c r="F179" i="80"/>
  <c r="E179" i="80"/>
  <c r="D179" i="80"/>
  <c r="C179" i="80"/>
  <c r="B179" i="80"/>
  <c r="M178" i="80"/>
  <c r="L178" i="80"/>
  <c r="K178" i="80"/>
  <c r="J178" i="80"/>
  <c r="I178" i="80"/>
  <c r="H178" i="80"/>
  <c r="G178" i="80"/>
  <c r="F178" i="80"/>
  <c r="E178" i="80"/>
  <c r="D178" i="80"/>
  <c r="C178" i="80"/>
  <c r="B178" i="80"/>
  <c r="M177" i="80"/>
  <c r="L177" i="80"/>
  <c r="K177" i="80"/>
  <c r="J177" i="80"/>
  <c r="I177" i="80"/>
  <c r="H177" i="80"/>
  <c r="G177" i="80"/>
  <c r="F177" i="80"/>
  <c r="E177" i="80"/>
  <c r="D177" i="80"/>
  <c r="C177" i="80"/>
  <c r="B177" i="80"/>
  <c r="M176" i="80"/>
  <c r="L176" i="80"/>
  <c r="K176" i="80"/>
  <c r="J176" i="80"/>
  <c r="I176" i="80"/>
  <c r="H176" i="80"/>
  <c r="G176" i="80"/>
  <c r="F176" i="80"/>
  <c r="E176" i="80"/>
  <c r="D176" i="80"/>
  <c r="C176" i="80"/>
  <c r="B176" i="80"/>
  <c r="M175" i="80"/>
  <c r="L175" i="80"/>
  <c r="K175" i="80"/>
  <c r="J175" i="80"/>
  <c r="I175" i="80"/>
  <c r="H175" i="80"/>
  <c r="G175" i="80"/>
  <c r="F175" i="80"/>
  <c r="E175" i="80"/>
  <c r="D175" i="80"/>
  <c r="C175" i="80"/>
  <c r="M173" i="80"/>
  <c r="L173" i="80"/>
  <c r="K173" i="80"/>
  <c r="J173" i="80"/>
  <c r="I173" i="80"/>
  <c r="H173" i="80"/>
  <c r="G173" i="80"/>
  <c r="F173" i="80"/>
  <c r="E173" i="80"/>
  <c r="D173" i="80"/>
  <c r="C173" i="80"/>
  <c r="B173" i="80"/>
  <c r="M172" i="80"/>
  <c r="L172" i="80"/>
  <c r="K172" i="80"/>
  <c r="J172" i="80"/>
  <c r="I172" i="80"/>
  <c r="H172" i="80"/>
  <c r="G172" i="80"/>
  <c r="F172" i="80"/>
  <c r="E172" i="80"/>
  <c r="D172" i="80"/>
  <c r="C172" i="80"/>
  <c r="B172" i="80"/>
  <c r="M171" i="80"/>
  <c r="L171" i="80"/>
  <c r="K171" i="80"/>
  <c r="J171" i="80"/>
  <c r="I171" i="80"/>
  <c r="H171" i="80"/>
  <c r="G171" i="80"/>
  <c r="F171" i="80"/>
  <c r="E171" i="80"/>
  <c r="D171" i="80"/>
  <c r="C171" i="80"/>
  <c r="B171" i="80"/>
  <c r="M170" i="80"/>
  <c r="L170" i="80"/>
  <c r="K170" i="80"/>
  <c r="J170" i="80"/>
  <c r="I170" i="80"/>
  <c r="H170" i="80"/>
  <c r="G170" i="80"/>
  <c r="F170" i="80"/>
  <c r="E170" i="80"/>
  <c r="D170" i="80"/>
  <c r="C170" i="80"/>
  <c r="B170" i="80"/>
  <c r="M169" i="80"/>
  <c r="L169" i="80"/>
  <c r="K169" i="80"/>
  <c r="J169" i="80"/>
  <c r="I169" i="80"/>
  <c r="H169" i="80"/>
  <c r="G169" i="80"/>
  <c r="F169" i="80"/>
  <c r="E169" i="80"/>
  <c r="D169" i="80"/>
  <c r="C169" i="80"/>
  <c r="B169" i="80"/>
  <c r="M168" i="80"/>
  <c r="L168" i="80"/>
  <c r="K168" i="80"/>
  <c r="J168" i="80"/>
  <c r="I168" i="80"/>
  <c r="H168" i="80"/>
  <c r="G168" i="80"/>
  <c r="F168" i="80"/>
  <c r="E168" i="80"/>
  <c r="D168" i="80"/>
  <c r="C168" i="80"/>
  <c r="B168" i="80"/>
  <c r="M167" i="80"/>
  <c r="L167" i="80"/>
  <c r="K167" i="80"/>
  <c r="J167" i="80"/>
  <c r="I167" i="80"/>
  <c r="H167" i="80"/>
  <c r="G167" i="80"/>
  <c r="F167" i="80"/>
  <c r="E167" i="80"/>
  <c r="D167" i="80"/>
  <c r="C167" i="80"/>
  <c r="B167" i="80"/>
  <c r="M166" i="80"/>
  <c r="L166" i="80"/>
  <c r="K166" i="80"/>
  <c r="J166" i="80"/>
  <c r="I166" i="80"/>
  <c r="H166" i="80"/>
  <c r="G166" i="80"/>
  <c r="F166" i="80"/>
  <c r="E166" i="80"/>
  <c r="D166" i="80"/>
  <c r="C166" i="80"/>
  <c r="B166" i="80"/>
  <c r="M165" i="80"/>
  <c r="L165" i="80"/>
  <c r="K165" i="80"/>
  <c r="J165" i="80"/>
  <c r="I165" i="80"/>
  <c r="H165" i="80"/>
  <c r="G165" i="80"/>
  <c r="F165" i="80"/>
  <c r="E165" i="80"/>
  <c r="D165" i="80"/>
  <c r="C165" i="80"/>
  <c r="B165" i="80"/>
  <c r="M164" i="80"/>
  <c r="L164" i="80"/>
  <c r="K164" i="80"/>
  <c r="J164" i="80"/>
  <c r="I164" i="80"/>
  <c r="H164" i="80"/>
  <c r="G164" i="80"/>
  <c r="F164" i="80"/>
  <c r="E164" i="80"/>
  <c r="D164" i="80"/>
  <c r="C164" i="80"/>
  <c r="M162" i="80"/>
  <c r="L162" i="80"/>
  <c r="K162" i="80"/>
  <c r="J162" i="80"/>
  <c r="I162" i="80"/>
  <c r="H162" i="80"/>
  <c r="G162" i="80"/>
  <c r="F162" i="80"/>
  <c r="E162" i="80"/>
  <c r="D162" i="80"/>
  <c r="C162" i="80"/>
  <c r="B162" i="80"/>
  <c r="M161" i="80"/>
  <c r="L161" i="80"/>
  <c r="K161" i="80"/>
  <c r="J161" i="80"/>
  <c r="I161" i="80"/>
  <c r="H161" i="80"/>
  <c r="G161" i="80"/>
  <c r="F161" i="80"/>
  <c r="E161" i="80"/>
  <c r="D161" i="80"/>
  <c r="C161" i="80"/>
  <c r="B161" i="80"/>
  <c r="M160" i="80"/>
  <c r="L160" i="80"/>
  <c r="K160" i="80"/>
  <c r="J160" i="80"/>
  <c r="I160" i="80"/>
  <c r="H160" i="80"/>
  <c r="G160" i="80"/>
  <c r="F160" i="80"/>
  <c r="E160" i="80"/>
  <c r="D160" i="80"/>
  <c r="C160" i="80"/>
  <c r="B160" i="80"/>
  <c r="M159" i="80"/>
  <c r="L159" i="80"/>
  <c r="K159" i="80"/>
  <c r="J159" i="80"/>
  <c r="I159" i="80"/>
  <c r="H159" i="80"/>
  <c r="G159" i="80"/>
  <c r="F159" i="80"/>
  <c r="E159" i="80"/>
  <c r="D159" i="80"/>
  <c r="C159" i="80"/>
  <c r="B159" i="80"/>
  <c r="M158" i="80"/>
  <c r="L158" i="80"/>
  <c r="K158" i="80"/>
  <c r="J158" i="80"/>
  <c r="I158" i="80"/>
  <c r="H158" i="80"/>
  <c r="G158" i="80"/>
  <c r="F158" i="80"/>
  <c r="E158" i="80"/>
  <c r="D158" i="80"/>
  <c r="C158" i="80"/>
  <c r="B158" i="80"/>
  <c r="M157" i="80"/>
  <c r="L157" i="80"/>
  <c r="K157" i="80"/>
  <c r="J157" i="80"/>
  <c r="I157" i="80"/>
  <c r="H157" i="80"/>
  <c r="G157" i="80"/>
  <c r="F157" i="80"/>
  <c r="E157" i="80"/>
  <c r="D157" i="80"/>
  <c r="C157" i="80"/>
  <c r="B157" i="80"/>
  <c r="M156" i="80"/>
  <c r="L156" i="80"/>
  <c r="K156" i="80"/>
  <c r="J156" i="80"/>
  <c r="I156" i="80"/>
  <c r="H156" i="80"/>
  <c r="G156" i="80"/>
  <c r="F156" i="80"/>
  <c r="E156" i="80"/>
  <c r="D156" i="80"/>
  <c r="C156" i="80"/>
  <c r="B156" i="80"/>
  <c r="M155" i="80"/>
  <c r="L155" i="80"/>
  <c r="K155" i="80"/>
  <c r="J155" i="80"/>
  <c r="I155" i="80"/>
  <c r="H155" i="80"/>
  <c r="G155" i="80"/>
  <c r="F155" i="80"/>
  <c r="E155" i="80"/>
  <c r="D155" i="80"/>
  <c r="C155" i="80"/>
  <c r="B155" i="80"/>
  <c r="M154" i="80"/>
  <c r="L154" i="80"/>
  <c r="K154" i="80"/>
  <c r="J154" i="80"/>
  <c r="I154" i="80"/>
  <c r="H154" i="80"/>
  <c r="G154" i="80"/>
  <c r="F154" i="80"/>
  <c r="E154" i="80"/>
  <c r="D154" i="80"/>
  <c r="C154" i="80"/>
  <c r="B154" i="80"/>
  <c r="M153" i="80"/>
  <c r="L153" i="80"/>
  <c r="K153" i="80"/>
  <c r="J153" i="80"/>
  <c r="I153" i="80"/>
  <c r="H153" i="80"/>
  <c r="G153" i="80"/>
  <c r="F153" i="80"/>
  <c r="E153" i="80"/>
  <c r="D153" i="80"/>
  <c r="C153" i="80"/>
  <c r="M151" i="80"/>
  <c r="L151" i="80"/>
  <c r="K151" i="80"/>
  <c r="J151" i="80"/>
  <c r="I151" i="80"/>
  <c r="H151" i="80"/>
  <c r="G151" i="80"/>
  <c r="F151" i="80"/>
  <c r="E151" i="80"/>
  <c r="D151" i="80"/>
  <c r="C151" i="80"/>
  <c r="B151" i="80"/>
  <c r="M150" i="80"/>
  <c r="L150" i="80"/>
  <c r="K150" i="80"/>
  <c r="J150" i="80"/>
  <c r="I150" i="80"/>
  <c r="H150" i="80"/>
  <c r="G150" i="80"/>
  <c r="F150" i="80"/>
  <c r="E150" i="80"/>
  <c r="D150" i="80"/>
  <c r="C150" i="80"/>
  <c r="B150" i="80"/>
  <c r="M149" i="80"/>
  <c r="L149" i="80"/>
  <c r="K149" i="80"/>
  <c r="J149" i="80"/>
  <c r="I149" i="80"/>
  <c r="H149" i="80"/>
  <c r="G149" i="80"/>
  <c r="F149" i="80"/>
  <c r="E149" i="80"/>
  <c r="D149" i="80"/>
  <c r="C149" i="80"/>
  <c r="B149" i="80"/>
  <c r="M148" i="80"/>
  <c r="L148" i="80"/>
  <c r="K148" i="80"/>
  <c r="J148" i="80"/>
  <c r="I148" i="80"/>
  <c r="H148" i="80"/>
  <c r="G148" i="80"/>
  <c r="F148" i="80"/>
  <c r="E148" i="80"/>
  <c r="D148" i="80"/>
  <c r="C148" i="80"/>
  <c r="B148" i="80"/>
  <c r="M147" i="80"/>
  <c r="L147" i="80"/>
  <c r="K147" i="80"/>
  <c r="J147" i="80"/>
  <c r="I147" i="80"/>
  <c r="H147" i="80"/>
  <c r="G147" i="80"/>
  <c r="F147" i="80"/>
  <c r="E147" i="80"/>
  <c r="D147" i="80"/>
  <c r="C147" i="80"/>
  <c r="B147" i="80"/>
  <c r="M146" i="80"/>
  <c r="L146" i="80"/>
  <c r="K146" i="80"/>
  <c r="J146" i="80"/>
  <c r="I146" i="80"/>
  <c r="H146" i="80"/>
  <c r="G146" i="80"/>
  <c r="F146" i="80"/>
  <c r="E146" i="80"/>
  <c r="D146" i="80"/>
  <c r="C146" i="80"/>
  <c r="B146" i="80"/>
  <c r="M145" i="80"/>
  <c r="L145" i="80"/>
  <c r="K145" i="80"/>
  <c r="J145" i="80"/>
  <c r="I145" i="80"/>
  <c r="H145" i="80"/>
  <c r="G145" i="80"/>
  <c r="F145" i="80"/>
  <c r="E145" i="80"/>
  <c r="D145" i="80"/>
  <c r="C145" i="80"/>
  <c r="B145" i="80"/>
  <c r="M144" i="80"/>
  <c r="L144" i="80"/>
  <c r="K144" i="80"/>
  <c r="J144" i="80"/>
  <c r="I144" i="80"/>
  <c r="H144" i="80"/>
  <c r="G144" i="80"/>
  <c r="F144" i="80"/>
  <c r="E144" i="80"/>
  <c r="D144" i="80"/>
  <c r="C144" i="80"/>
  <c r="B144" i="80"/>
  <c r="M143" i="80"/>
  <c r="L143" i="80"/>
  <c r="K143" i="80"/>
  <c r="J143" i="80"/>
  <c r="I143" i="80"/>
  <c r="H143" i="80"/>
  <c r="G143" i="80"/>
  <c r="F143" i="80"/>
  <c r="E143" i="80"/>
  <c r="D143" i="80"/>
  <c r="C143" i="80"/>
  <c r="B143" i="80"/>
  <c r="M142" i="80"/>
  <c r="L142" i="80"/>
  <c r="K142" i="80"/>
  <c r="J142" i="80"/>
  <c r="I142" i="80"/>
  <c r="H142" i="80"/>
  <c r="G142" i="80"/>
  <c r="F142" i="80"/>
  <c r="E142" i="80"/>
  <c r="D142" i="80"/>
  <c r="C142" i="80"/>
  <c r="M140" i="80"/>
  <c r="L140" i="80"/>
  <c r="K140" i="80"/>
  <c r="J140" i="80"/>
  <c r="I140" i="80"/>
  <c r="H140" i="80"/>
  <c r="G140" i="80"/>
  <c r="F140" i="80"/>
  <c r="E140" i="80"/>
  <c r="D140" i="80"/>
  <c r="C140" i="80"/>
  <c r="B140" i="80"/>
  <c r="M139" i="80"/>
  <c r="L139" i="80"/>
  <c r="K139" i="80"/>
  <c r="J139" i="80"/>
  <c r="I139" i="80"/>
  <c r="H139" i="80"/>
  <c r="G139" i="80"/>
  <c r="F139" i="80"/>
  <c r="E139" i="80"/>
  <c r="D139" i="80"/>
  <c r="C139" i="80"/>
  <c r="B139" i="80"/>
  <c r="M138" i="80"/>
  <c r="L138" i="80"/>
  <c r="K138" i="80"/>
  <c r="J138" i="80"/>
  <c r="I138" i="80"/>
  <c r="H138" i="80"/>
  <c r="G138" i="80"/>
  <c r="F138" i="80"/>
  <c r="E138" i="80"/>
  <c r="D138" i="80"/>
  <c r="C138" i="80"/>
  <c r="B138" i="80"/>
  <c r="M137" i="80"/>
  <c r="L137" i="80"/>
  <c r="K137" i="80"/>
  <c r="J137" i="80"/>
  <c r="I137" i="80"/>
  <c r="H137" i="80"/>
  <c r="G137" i="80"/>
  <c r="F137" i="80"/>
  <c r="E137" i="80"/>
  <c r="D137" i="80"/>
  <c r="C137" i="80"/>
  <c r="B137" i="80"/>
  <c r="M136" i="80"/>
  <c r="L136" i="80"/>
  <c r="K136" i="80"/>
  <c r="J136" i="80"/>
  <c r="I136" i="80"/>
  <c r="H136" i="80"/>
  <c r="G136" i="80"/>
  <c r="F136" i="80"/>
  <c r="E136" i="80"/>
  <c r="D136" i="80"/>
  <c r="C136" i="80"/>
  <c r="B136" i="80"/>
  <c r="M135" i="80"/>
  <c r="L135" i="80"/>
  <c r="K135" i="80"/>
  <c r="J135" i="80"/>
  <c r="I135" i="80"/>
  <c r="H135" i="80"/>
  <c r="G135" i="80"/>
  <c r="F135" i="80"/>
  <c r="E135" i="80"/>
  <c r="D135" i="80"/>
  <c r="C135" i="80"/>
  <c r="B135" i="80"/>
  <c r="M134" i="80"/>
  <c r="L134" i="80"/>
  <c r="K134" i="80"/>
  <c r="J134" i="80"/>
  <c r="I134" i="80"/>
  <c r="H134" i="80"/>
  <c r="G134" i="80"/>
  <c r="F134" i="80"/>
  <c r="E134" i="80"/>
  <c r="D134" i="80"/>
  <c r="C134" i="80"/>
  <c r="B134" i="80"/>
  <c r="M133" i="80"/>
  <c r="L133" i="80"/>
  <c r="K133" i="80"/>
  <c r="J133" i="80"/>
  <c r="I133" i="80"/>
  <c r="H133" i="80"/>
  <c r="G133" i="80"/>
  <c r="F133" i="80"/>
  <c r="E133" i="80"/>
  <c r="D133" i="80"/>
  <c r="C133" i="80"/>
  <c r="B133" i="80"/>
  <c r="M132" i="80"/>
  <c r="L132" i="80"/>
  <c r="K132" i="80"/>
  <c r="J132" i="80"/>
  <c r="I132" i="80"/>
  <c r="H132" i="80"/>
  <c r="G132" i="80"/>
  <c r="F132" i="80"/>
  <c r="E132" i="80"/>
  <c r="D132" i="80"/>
  <c r="C132" i="80"/>
  <c r="B132" i="80"/>
  <c r="M131" i="80"/>
  <c r="L131" i="80"/>
  <c r="K131" i="80"/>
  <c r="J131" i="80"/>
  <c r="I131" i="80"/>
  <c r="H131" i="80"/>
  <c r="G131" i="80"/>
  <c r="F131" i="80"/>
  <c r="E131" i="80"/>
  <c r="D131" i="80"/>
  <c r="C131" i="80"/>
  <c r="M129" i="80"/>
  <c r="L129" i="80"/>
  <c r="K129" i="80"/>
  <c r="J129" i="80"/>
  <c r="I129" i="80"/>
  <c r="H129" i="80"/>
  <c r="G129" i="80"/>
  <c r="F129" i="80"/>
  <c r="E129" i="80"/>
  <c r="D129" i="80"/>
  <c r="C129" i="80"/>
  <c r="B129" i="80"/>
  <c r="M128" i="80"/>
  <c r="L128" i="80"/>
  <c r="K128" i="80"/>
  <c r="J128" i="80"/>
  <c r="I128" i="80"/>
  <c r="H128" i="80"/>
  <c r="G128" i="80"/>
  <c r="F128" i="80"/>
  <c r="E128" i="80"/>
  <c r="D128" i="80"/>
  <c r="C128" i="80"/>
  <c r="B128" i="80"/>
  <c r="M127" i="80"/>
  <c r="L127" i="80"/>
  <c r="K127" i="80"/>
  <c r="J127" i="80"/>
  <c r="I127" i="80"/>
  <c r="H127" i="80"/>
  <c r="G127" i="80"/>
  <c r="F127" i="80"/>
  <c r="E127" i="80"/>
  <c r="D127" i="80"/>
  <c r="C127" i="80"/>
  <c r="B127" i="80"/>
  <c r="M126" i="80"/>
  <c r="L126" i="80"/>
  <c r="K126" i="80"/>
  <c r="J126" i="80"/>
  <c r="I126" i="80"/>
  <c r="H126" i="80"/>
  <c r="G126" i="80"/>
  <c r="F126" i="80"/>
  <c r="E126" i="80"/>
  <c r="D126" i="80"/>
  <c r="C126" i="80"/>
  <c r="B126" i="80"/>
  <c r="M125" i="80"/>
  <c r="L125" i="80"/>
  <c r="K125" i="80"/>
  <c r="J125" i="80"/>
  <c r="I125" i="80"/>
  <c r="H125" i="80"/>
  <c r="G125" i="80"/>
  <c r="F125" i="80"/>
  <c r="E125" i="80"/>
  <c r="D125" i="80"/>
  <c r="C125" i="80"/>
  <c r="B125" i="80"/>
  <c r="M124" i="80"/>
  <c r="L124" i="80"/>
  <c r="K124" i="80"/>
  <c r="J124" i="80"/>
  <c r="I124" i="80"/>
  <c r="H124" i="80"/>
  <c r="G124" i="80"/>
  <c r="F124" i="80"/>
  <c r="E124" i="80"/>
  <c r="D124" i="80"/>
  <c r="C124" i="80"/>
  <c r="B124" i="80"/>
  <c r="M123" i="80"/>
  <c r="L123" i="80"/>
  <c r="K123" i="80"/>
  <c r="J123" i="80"/>
  <c r="I123" i="80"/>
  <c r="H123" i="80"/>
  <c r="G123" i="80"/>
  <c r="F123" i="80"/>
  <c r="E123" i="80"/>
  <c r="D123" i="80"/>
  <c r="C123" i="80"/>
  <c r="B123" i="80"/>
  <c r="M122" i="80"/>
  <c r="L122" i="80"/>
  <c r="K122" i="80"/>
  <c r="J122" i="80"/>
  <c r="I122" i="80"/>
  <c r="H122" i="80"/>
  <c r="G122" i="80"/>
  <c r="F122" i="80"/>
  <c r="E122" i="80"/>
  <c r="D122" i="80"/>
  <c r="C122" i="80"/>
  <c r="B122" i="80"/>
  <c r="M121" i="80"/>
  <c r="L121" i="80"/>
  <c r="K121" i="80"/>
  <c r="J121" i="80"/>
  <c r="I121" i="80"/>
  <c r="H121" i="80"/>
  <c r="G121" i="80"/>
  <c r="F121" i="80"/>
  <c r="E121" i="80"/>
  <c r="D121" i="80"/>
  <c r="C121" i="80"/>
  <c r="B121" i="80"/>
  <c r="M120" i="80"/>
  <c r="L120" i="80"/>
  <c r="K120" i="80"/>
  <c r="J120" i="80"/>
  <c r="I120" i="80"/>
  <c r="H120" i="80"/>
  <c r="G120" i="80"/>
  <c r="F120" i="80"/>
  <c r="E120" i="80"/>
  <c r="D120" i="80"/>
  <c r="C120" i="80"/>
  <c r="M118" i="80"/>
  <c r="L118" i="80"/>
  <c r="K118" i="80"/>
  <c r="J118" i="80"/>
  <c r="I118" i="80"/>
  <c r="H118" i="80"/>
  <c r="G118" i="80"/>
  <c r="F118" i="80"/>
  <c r="E118" i="80"/>
  <c r="D118" i="80"/>
  <c r="C118" i="80"/>
  <c r="B118" i="80"/>
  <c r="M117" i="80"/>
  <c r="L117" i="80"/>
  <c r="K117" i="80"/>
  <c r="J117" i="80"/>
  <c r="I117" i="80"/>
  <c r="H117" i="80"/>
  <c r="G117" i="80"/>
  <c r="F117" i="80"/>
  <c r="E117" i="80"/>
  <c r="D117" i="80"/>
  <c r="C117" i="80"/>
  <c r="B117" i="80"/>
  <c r="M116" i="80"/>
  <c r="L116" i="80"/>
  <c r="K116" i="80"/>
  <c r="J116" i="80"/>
  <c r="I116" i="80"/>
  <c r="H116" i="80"/>
  <c r="G116" i="80"/>
  <c r="F116" i="80"/>
  <c r="E116" i="80"/>
  <c r="D116" i="80"/>
  <c r="C116" i="80"/>
  <c r="B116" i="80"/>
  <c r="M115" i="80"/>
  <c r="L115" i="80"/>
  <c r="K115" i="80"/>
  <c r="J115" i="80"/>
  <c r="I115" i="80"/>
  <c r="H115" i="80"/>
  <c r="G115" i="80"/>
  <c r="F115" i="80"/>
  <c r="E115" i="80"/>
  <c r="D115" i="80"/>
  <c r="C115" i="80"/>
  <c r="B115" i="80"/>
  <c r="M114" i="80"/>
  <c r="L114" i="80"/>
  <c r="K114" i="80"/>
  <c r="J114" i="80"/>
  <c r="I114" i="80"/>
  <c r="H114" i="80"/>
  <c r="G114" i="80"/>
  <c r="F114" i="80"/>
  <c r="E114" i="80"/>
  <c r="D114" i="80"/>
  <c r="C114" i="80"/>
  <c r="B114" i="80"/>
  <c r="M113" i="80"/>
  <c r="L113" i="80"/>
  <c r="K113" i="80"/>
  <c r="J113" i="80"/>
  <c r="I113" i="80"/>
  <c r="H113" i="80"/>
  <c r="G113" i="80"/>
  <c r="F113" i="80"/>
  <c r="E113" i="80"/>
  <c r="D113" i="80"/>
  <c r="C113" i="80"/>
  <c r="B113" i="80"/>
  <c r="M112" i="80"/>
  <c r="L112" i="80"/>
  <c r="K112" i="80"/>
  <c r="J112" i="80"/>
  <c r="I112" i="80"/>
  <c r="H112" i="80"/>
  <c r="G112" i="80"/>
  <c r="F112" i="80"/>
  <c r="E112" i="80"/>
  <c r="D112" i="80"/>
  <c r="C112" i="80"/>
  <c r="B112" i="80"/>
  <c r="M111" i="80"/>
  <c r="L111" i="80"/>
  <c r="K111" i="80"/>
  <c r="J111" i="80"/>
  <c r="I111" i="80"/>
  <c r="H111" i="80"/>
  <c r="G111" i="80"/>
  <c r="F111" i="80"/>
  <c r="E111" i="80"/>
  <c r="D111" i="80"/>
  <c r="C111" i="80"/>
  <c r="B111" i="80"/>
  <c r="M110" i="80"/>
  <c r="L110" i="80"/>
  <c r="K110" i="80"/>
  <c r="J110" i="80"/>
  <c r="I110" i="80"/>
  <c r="H110" i="80"/>
  <c r="G110" i="80"/>
  <c r="F110" i="80"/>
  <c r="E110" i="80"/>
  <c r="D110" i="80"/>
  <c r="C110" i="80"/>
  <c r="B110" i="80"/>
  <c r="M109" i="80"/>
  <c r="L109" i="80"/>
  <c r="K109" i="80"/>
  <c r="J109" i="80"/>
  <c r="I109" i="80"/>
  <c r="H109" i="80"/>
  <c r="G109" i="80"/>
  <c r="F109" i="80"/>
  <c r="E109" i="80"/>
  <c r="D109" i="80"/>
  <c r="C109" i="80"/>
  <c r="M107" i="80"/>
  <c r="L107" i="80"/>
  <c r="K107" i="80"/>
  <c r="J107" i="80"/>
  <c r="I107" i="80"/>
  <c r="H107" i="80"/>
  <c r="G107" i="80"/>
  <c r="F107" i="80"/>
  <c r="E107" i="80"/>
  <c r="D107" i="80"/>
  <c r="C107" i="80"/>
  <c r="B107" i="80"/>
  <c r="M106" i="80"/>
  <c r="L106" i="80"/>
  <c r="K106" i="80"/>
  <c r="J106" i="80"/>
  <c r="I106" i="80"/>
  <c r="H106" i="80"/>
  <c r="G106" i="80"/>
  <c r="F106" i="80"/>
  <c r="E106" i="80"/>
  <c r="D106" i="80"/>
  <c r="C106" i="80"/>
  <c r="B106" i="80"/>
  <c r="M105" i="80"/>
  <c r="L105" i="80"/>
  <c r="K105" i="80"/>
  <c r="J105" i="80"/>
  <c r="I105" i="80"/>
  <c r="H105" i="80"/>
  <c r="G105" i="80"/>
  <c r="F105" i="80"/>
  <c r="E105" i="80"/>
  <c r="D105" i="80"/>
  <c r="C105" i="80"/>
  <c r="B105" i="80"/>
  <c r="M104" i="80"/>
  <c r="L104" i="80"/>
  <c r="K104" i="80"/>
  <c r="J104" i="80"/>
  <c r="I104" i="80"/>
  <c r="H104" i="80"/>
  <c r="G104" i="80"/>
  <c r="F104" i="80"/>
  <c r="E104" i="80"/>
  <c r="D104" i="80"/>
  <c r="C104" i="80"/>
  <c r="B104" i="80"/>
  <c r="M103" i="80"/>
  <c r="L103" i="80"/>
  <c r="K103" i="80"/>
  <c r="J103" i="80"/>
  <c r="I103" i="80"/>
  <c r="H103" i="80"/>
  <c r="G103" i="80"/>
  <c r="F103" i="80"/>
  <c r="E103" i="80"/>
  <c r="D103" i="80"/>
  <c r="C103" i="80"/>
  <c r="B103" i="80"/>
  <c r="M102" i="80"/>
  <c r="L102" i="80"/>
  <c r="K102" i="80"/>
  <c r="J102" i="80"/>
  <c r="I102" i="80"/>
  <c r="H102" i="80"/>
  <c r="G102" i="80"/>
  <c r="F102" i="80"/>
  <c r="E102" i="80"/>
  <c r="D102" i="80"/>
  <c r="C102" i="80"/>
  <c r="B102" i="80"/>
  <c r="M101" i="80"/>
  <c r="L101" i="80"/>
  <c r="K101" i="80"/>
  <c r="J101" i="80"/>
  <c r="I101" i="80"/>
  <c r="H101" i="80"/>
  <c r="G101" i="80"/>
  <c r="F101" i="80"/>
  <c r="E101" i="80"/>
  <c r="D101" i="80"/>
  <c r="C101" i="80"/>
  <c r="B101" i="80"/>
  <c r="M100" i="80"/>
  <c r="L100" i="80"/>
  <c r="K100" i="80"/>
  <c r="J100" i="80"/>
  <c r="I100" i="80"/>
  <c r="H100" i="80"/>
  <c r="G100" i="80"/>
  <c r="F100" i="80"/>
  <c r="E100" i="80"/>
  <c r="D100" i="80"/>
  <c r="C100" i="80"/>
  <c r="B100" i="80"/>
  <c r="M99" i="80"/>
  <c r="L99" i="80"/>
  <c r="K99" i="80"/>
  <c r="J99" i="80"/>
  <c r="I99" i="80"/>
  <c r="H99" i="80"/>
  <c r="G99" i="80"/>
  <c r="F99" i="80"/>
  <c r="E99" i="80"/>
  <c r="D99" i="80"/>
  <c r="C99" i="80"/>
  <c r="B99" i="80"/>
  <c r="M98" i="80"/>
  <c r="L98" i="80"/>
  <c r="K98" i="80"/>
  <c r="J98" i="80"/>
  <c r="I98" i="80"/>
  <c r="H98" i="80"/>
  <c r="G98" i="80"/>
  <c r="F98" i="80"/>
  <c r="E98" i="80"/>
  <c r="D98" i="80"/>
  <c r="C98" i="80"/>
  <c r="B89" i="80"/>
  <c r="B88" i="80"/>
  <c r="B87" i="80"/>
  <c r="B86" i="80"/>
  <c r="B85" i="80"/>
  <c r="B84" i="80"/>
  <c r="B83" i="80"/>
  <c r="B82" i="80"/>
  <c r="M81" i="80"/>
  <c r="L81" i="80"/>
  <c r="K81" i="80"/>
  <c r="J81" i="80"/>
  <c r="I81" i="80"/>
  <c r="H81" i="80"/>
  <c r="G81" i="80"/>
  <c r="F81" i="80"/>
  <c r="E81" i="80"/>
  <c r="D81" i="80"/>
  <c r="C81" i="80"/>
  <c r="B80" i="80"/>
  <c r="B79" i="80"/>
  <c r="B78" i="80"/>
  <c r="B77" i="80"/>
  <c r="B76" i="80"/>
  <c r="B75" i="80"/>
  <c r="B74" i="80"/>
  <c r="B73" i="80"/>
  <c r="M72" i="80"/>
  <c r="L72" i="80"/>
  <c r="K72" i="80"/>
  <c r="J72" i="80"/>
  <c r="I72" i="80"/>
  <c r="H72" i="80"/>
  <c r="G72" i="80"/>
  <c r="F72" i="80"/>
  <c r="E72" i="80"/>
  <c r="D72" i="80"/>
  <c r="C72" i="80"/>
  <c r="B71" i="80"/>
  <c r="B70" i="80"/>
  <c r="B69" i="80"/>
  <c r="B68" i="80"/>
  <c r="B67" i="80"/>
  <c r="B66" i="80"/>
  <c r="B65" i="80"/>
  <c r="B64" i="80"/>
  <c r="M63" i="80"/>
  <c r="L63" i="80"/>
  <c r="K63" i="80"/>
  <c r="J63" i="80"/>
  <c r="I63" i="80"/>
  <c r="H63" i="80"/>
  <c r="G63" i="80"/>
  <c r="F63" i="80"/>
  <c r="E63" i="80"/>
  <c r="D63" i="80"/>
  <c r="C63" i="80"/>
  <c r="B61" i="80"/>
  <c r="B60" i="80"/>
  <c r="B59" i="80"/>
  <c r="B58" i="80"/>
  <c r="B57" i="80"/>
  <c r="B56" i="80"/>
  <c r="B55" i="80"/>
  <c r="B54" i="80"/>
  <c r="M53" i="80"/>
  <c r="L53" i="80"/>
  <c r="K53" i="80"/>
  <c r="J53" i="80"/>
  <c r="I53" i="80"/>
  <c r="H53" i="80"/>
  <c r="G53" i="80"/>
  <c r="F53" i="80"/>
  <c r="E53" i="80"/>
  <c r="D53" i="80"/>
  <c r="C53" i="80"/>
  <c r="B52" i="80"/>
  <c r="B51" i="80"/>
  <c r="B50" i="80"/>
  <c r="B49" i="80"/>
  <c r="B48" i="80"/>
  <c r="B47" i="80"/>
  <c r="B46" i="80"/>
  <c r="B45" i="80"/>
  <c r="M44" i="80"/>
  <c r="L44" i="80"/>
  <c r="K44" i="80"/>
  <c r="J44" i="80"/>
  <c r="I44" i="80"/>
  <c r="H44" i="80"/>
  <c r="G44" i="80"/>
  <c r="F44" i="80"/>
  <c r="E44" i="80"/>
  <c r="D44" i="80"/>
  <c r="C44" i="80"/>
  <c r="B43" i="80"/>
  <c r="B42" i="80"/>
  <c r="B41" i="80"/>
  <c r="B40" i="80"/>
  <c r="B39" i="80"/>
  <c r="B38" i="80"/>
  <c r="B37" i="80"/>
  <c r="B36" i="80"/>
  <c r="M35" i="80"/>
  <c r="L35" i="80"/>
  <c r="K35" i="80"/>
  <c r="J35" i="80"/>
  <c r="I35" i="80"/>
  <c r="H35" i="80"/>
  <c r="G35" i="80"/>
  <c r="F35" i="80"/>
  <c r="E35" i="80"/>
  <c r="D35" i="80"/>
  <c r="C35" i="80"/>
  <c r="M33" i="80"/>
  <c r="L33" i="80"/>
  <c r="K33" i="80"/>
  <c r="J33" i="80"/>
  <c r="I33" i="80"/>
  <c r="H33" i="80"/>
  <c r="G33" i="80"/>
  <c r="F33" i="80"/>
  <c r="E33" i="80"/>
  <c r="D33" i="80"/>
  <c r="C33" i="80"/>
  <c r="B33" i="80"/>
  <c r="M32" i="80"/>
  <c r="L32" i="80"/>
  <c r="K32" i="80"/>
  <c r="J32" i="80"/>
  <c r="I32" i="80"/>
  <c r="H32" i="80"/>
  <c r="G32" i="80"/>
  <c r="F32" i="80"/>
  <c r="E32" i="80"/>
  <c r="D32" i="80"/>
  <c r="C32" i="80"/>
  <c r="B32" i="80"/>
  <c r="M31" i="80"/>
  <c r="L31" i="80"/>
  <c r="K31" i="80"/>
  <c r="J31" i="80"/>
  <c r="I31" i="80"/>
  <c r="H31" i="80"/>
  <c r="G31" i="80"/>
  <c r="F31" i="80"/>
  <c r="E31" i="80"/>
  <c r="D31" i="80"/>
  <c r="C31" i="80"/>
  <c r="B31" i="80"/>
  <c r="M30" i="80"/>
  <c r="L30" i="80"/>
  <c r="K30" i="80"/>
  <c r="J30" i="80"/>
  <c r="I30" i="80"/>
  <c r="H30" i="80"/>
  <c r="G30" i="80"/>
  <c r="F30" i="80"/>
  <c r="E30" i="80"/>
  <c r="D30" i="80"/>
  <c r="C30" i="80"/>
  <c r="B30" i="80"/>
  <c r="M29" i="80"/>
  <c r="L29" i="80"/>
  <c r="K29" i="80"/>
  <c r="J29" i="80"/>
  <c r="I29" i="80"/>
  <c r="H29" i="80"/>
  <c r="G29" i="80"/>
  <c r="F29" i="80"/>
  <c r="E29" i="80"/>
  <c r="D29" i="80"/>
  <c r="C29" i="80"/>
  <c r="B29" i="80"/>
  <c r="M28" i="80"/>
  <c r="L28" i="80"/>
  <c r="K28" i="80"/>
  <c r="J28" i="80"/>
  <c r="I28" i="80"/>
  <c r="H28" i="80"/>
  <c r="G28" i="80"/>
  <c r="F28" i="80"/>
  <c r="E28" i="80"/>
  <c r="D28" i="80"/>
  <c r="C28" i="80"/>
  <c r="B28" i="80"/>
  <c r="M27" i="80"/>
  <c r="L27" i="80"/>
  <c r="K27" i="80"/>
  <c r="J27" i="80"/>
  <c r="I27" i="80"/>
  <c r="H27" i="80"/>
  <c r="G27" i="80"/>
  <c r="F27" i="80"/>
  <c r="E27" i="80"/>
  <c r="D27" i="80"/>
  <c r="C27" i="80"/>
  <c r="B27" i="80"/>
  <c r="M26" i="80"/>
  <c r="L26" i="80"/>
  <c r="K26" i="80"/>
  <c r="J26" i="80"/>
  <c r="I26" i="80"/>
  <c r="H26" i="80"/>
  <c r="G26" i="80"/>
  <c r="F26" i="80"/>
  <c r="E26" i="80"/>
  <c r="D26" i="80"/>
  <c r="C26" i="80"/>
  <c r="B26" i="80"/>
  <c r="M25" i="80"/>
  <c r="L25" i="80"/>
  <c r="K25" i="80"/>
  <c r="J25" i="80"/>
  <c r="I25" i="80"/>
  <c r="H25" i="80"/>
  <c r="G25" i="80"/>
  <c r="F25" i="80"/>
  <c r="E25" i="80"/>
  <c r="D25" i="80"/>
  <c r="C25" i="80"/>
  <c r="M24" i="80"/>
  <c r="L24" i="80"/>
  <c r="K24" i="80"/>
  <c r="J24" i="80"/>
  <c r="I24" i="80"/>
  <c r="H24" i="80"/>
  <c r="G24" i="80"/>
  <c r="F24" i="80"/>
  <c r="E24" i="80"/>
  <c r="D24" i="80"/>
  <c r="C24" i="80"/>
  <c r="B24" i="80"/>
  <c r="M23" i="80"/>
  <c r="L23" i="80"/>
  <c r="K23" i="80"/>
  <c r="J23" i="80"/>
  <c r="I23" i="80"/>
  <c r="H23" i="80"/>
  <c r="G23" i="80"/>
  <c r="F23" i="80"/>
  <c r="E23" i="80"/>
  <c r="D23" i="80"/>
  <c r="C23" i="80"/>
  <c r="B23" i="80"/>
  <c r="M22" i="80"/>
  <c r="L22" i="80"/>
  <c r="K22" i="80"/>
  <c r="J22" i="80"/>
  <c r="I22" i="80"/>
  <c r="H22" i="80"/>
  <c r="G22" i="80"/>
  <c r="F22" i="80"/>
  <c r="E22" i="80"/>
  <c r="D22" i="80"/>
  <c r="C22" i="80"/>
  <c r="B22" i="80"/>
  <c r="M21" i="80"/>
  <c r="L21" i="80"/>
  <c r="K21" i="80"/>
  <c r="J21" i="80"/>
  <c r="I21" i="80"/>
  <c r="H21" i="80"/>
  <c r="G21" i="80"/>
  <c r="F21" i="80"/>
  <c r="E21" i="80"/>
  <c r="D21" i="80"/>
  <c r="C21" i="80"/>
  <c r="B21" i="80"/>
  <c r="M20" i="80"/>
  <c r="L20" i="80"/>
  <c r="K20" i="80"/>
  <c r="J20" i="80"/>
  <c r="I20" i="80"/>
  <c r="H20" i="80"/>
  <c r="G20" i="80"/>
  <c r="F20" i="80"/>
  <c r="E20" i="80"/>
  <c r="D20" i="80"/>
  <c r="C20" i="80"/>
  <c r="B20" i="80"/>
  <c r="M19" i="80"/>
  <c r="L19" i="80"/>
  <c r="K19" i="80"/>
  <c r="J19" i="80"/>
  <c r="I19" i="80"/>
  <c r="H19" i="80"/>
  <c r="G19" i="80"/>
  <c r="F19" i="80"/>
  <c r="E19" i="80"/>
  <c r="D19" i="80"/>
  <c r="C19" i="80"/>
  <c r="B19" i="80"/>
  <c r="M18" i="80"/>
  <c r="L18" i="80"/>
  <c r="K18" i="80"/>
  <c r="J18" i="80"/>
  <c r="I18" i="80"/>
  <c r="H18" i="80"/>
  <c r="G18" i="80"/>
  <c r="F18" i="80"/>
  <c r="E18" i="80"/>
  <c r="D18" i="80"/>
  <c r="C18" i="80"/>
  <c r="B18" i="80"/>
  <c r="M17" i="80"/>
  <c r="L17" i="80"/>
  <c r="K17" i="80"/>
  <c r="J17" i="80"/>
  <c r="I17" i="80"/>
  <c r="H17" i="80"/>
  <c r="G17" i="80"/>
  <c r="F17" i="80"/>
  <c r="E17" i="80"/>
  <c r="D17" i="80"/>
  <c r="C17" i="80"/>
  <c r="B17" i="80"/>
  <c r="M16" i="80"/>
  <c r="A12" i="80" s="1"/>
  <c r="L16" i="80"/>
  <c r="A11" i="80" s="1"/>
  <c r="K16" i="80"/>
  <c r="A10" i="80" s="1"/>
  <c r="J16" i="80"/>
  <c r="A9" i="80" s="1"/>
  <c r="I16" i="80"/>
  <c r="A8" i="80" s="1"/>
  <c r="H16" i="80"/>
  <c r="A7" i="80" s="1"/>
  <c r="G16" i="80"/>
  <c r="A6" i="80" s="1"/>
  <c r="F16" i="80"/>
  <c r="A5" i="80" s="1"/>
  <c r="E16" i="80"/>
  <c r="A4" i="80" s="1"/>
  <c r="D16" i="80"/>
  <c r="A3" i="80" s="1"/>
  <c r="C16" i="80"/>
  <c r="A2" i="80" s="1"/>
  <c r="M140" i="79"/>
  <c r="N140" i="79" s="1"/>
  <c r="L140" i="79"/>
  <c r="K140" i="79"/>
  <c r="J140" i="79"/>
  <c r="I140" i="79"/>
  <c r="H140" i="79"/>
  <c r="G140" i="79"/>
  <c r="F140" i="79"/>
  <c r="E140" i="79"/>
  <c r="D140" i="79"/>
  <c r="C140" i="79"/>
  <c r="M139" i="79"/>
  <c r="L139" i="79"/>
  <c r="K139" i="79"/>
  <c r="J139" i="79"/>
  <c r="I139" i="79"/>
  <c r="H139" i="79"/>
  <c r="G139" i="79"/>
  <c r="F139" i="79"/>
  <c r="E139" i="79"/>
  <c r="D139" i="79"/>
  <c r="C139" i="79"/>
  <c r="N139" i="79" s="1"/>
  <c r="B139" i="79"/>
  <c r="M138" i="79"/>
  <c r="L138" i="79"/>
  <c r="K138" i="79"/>
  <c r="J138" i="79"/>
  <c r="I138" i="79"/>
  <c r="H138" i="79"/>
  <c r="G138" i="79"/>
  <c r="F138" i="79"/>
  <c r="E138" i="79"/>
  <c r="D138" i="79"/>
  <c r="C138" i="79"/>
  <c r="N138" i="79" s="1"/>
  <c r="B138" i="79"/>
  <c r="M137" i="79"/>
  <c r="L137" i="79"/>
  <c r="K137" i="79"/>
  <c r="J137" i="79"/>
  <c r="I137" i="79"/>
  <c r="H137" i="79"/>
  <c r="G137" i="79"/>
  <c r="F137" i="79"/>
  <c r="E137" i="79"/>
  <c r="D137" i="79"/>
  <c r="C137" i="79"/>
  <c r="B137" i="79"/>
  <c r="M136" i="79"/>
  <c r="L136" i="79"/>
  <c r="K136" i="79"/>
  <c r="J136" i="79"/>
  <c r="I136" i="79"/>
  <c r="H136" i="79"/>
  <c r="G136" i="79"/>
  <c r="F136" i="79"/>
  <c r="E136" i="79"/>
  <c r="D136" i="79"/>
  <c r="C136" i="79"/>
  <c r="N136" i="79" s="1"/>
  <c r="B136" i="79"/>
  <c r="M135" i="79"/>
  <c r="L135" i="79"/>
  <c r="K135" i="79"/>
  <c r="J135" i="79"/>
  <c r="I135" i="79"/>
  <c r="H135" i="79"/>
  <c r="G135" i="79"/>
  <c r="F135" i="79"/>
  <c r="E135" i="79"/>
  <c r="D135" i="79"/>
  <c r="C135" i="79"/>
  <c r="N135" i="79" s="1"/>
  <c r="B135" i="79"/>
  <c r="M134" i="79"/>
  <c r="L134" i="79"/>
  <c r="K134" i="79"/>
  <c r="J134" i="79"/>
  <c r="I134" i="79"/>
  <c r="H134" i="79"/>
  <c r="G134" i="79"/>
  <c r="F134" i="79"/>
  <c r="E134" i="79"/>
  <c r="D134" i="79"/>
  <c r="C134" i="79"/>
  <c r="B134" i="79"/>
  <c r="M133" i="79"/>
  <c r="L133" i="79"/>
  <c r="K133" i="79"/>
  <c r="J133" i="79"/>
  <c r="I133" i="79"/>
  <c r="H133" i="79"/>
  <c r="G133" i="79"/>
  <c r="F133" i="79"/>
  <c r="E133" i="79"/>
  <c r="D133" i="79"/>
  <c r="C133" i="79"/>
  <c r="B133" i="79"/>
  <c r="M132" i="79"/>
  <c r="L132" i="79"/>
  <c r="K132" i="79"/>
  <c r="J132" i="79"/>
  <c r="I132" i="79"/>
  <c r="H132" i="79"/>
  <c r="G132" i="79"/>
  <c r="F132" i="79"/>
  <c r="E132" i="79"/>
  <c r="D132" i="79"/>
  <c r="C132" i="79"/>
  <c r="B132" i="79"/>
  <c r="M131" i="79"/>
  <c r="L131" i="79"/>
  <c r="K131" i="79"/>
  <c r="J131" i="79"/>
  <c r="I131" i="79"/>
  <c r="H131" i="79"/>
  <c r="G131" i="79"/>
  <c r="F131" i="79"/>
  <c r="E131" i="79"/>
  <c r="D131" i="79"/>
  <c r="C131" i="79"/>
  <c r="B131" i="79"/>
  <c r="M130" i="79"/>
  <c r="L130" i="79"/>
  <c r="K130" i="79"/>
  <c r="J130" i="79"/>
  <c r="I130" i="79"/>
  <c r="H130" i="79"/>
  <c r="G130" i="79"/>
  <c r="F130" i="79"/>
  <c r="E130" i="79"/>
  <c r="D130" i="79"/>
  <c r="C130" i="79"/>
  <c r="N130" i="79" s="1"/>
  <c r="B130" i="79"/>
  <c r="M129" i="79"/>
  <c r="L129" i="79"/>
  <c r="K129" i="79"/>
  <c r="J129" i="79"/>
  <c r="I129" i="79"/>
  <c r="H129" i="79"/>
  <c r="G129" i="79"/>
  <c r="F129" i="79"/>
  <c r="E129" i="79"/>
  <c r="D129" i="79"/>
  <c r="C129" i="79"/>
  <c r="B129" i="79"/>
  <c r="M128" i="79"/>
  <c r="L128" i="79"/>
  <c r="K128" i="79"/>
  <c r="J128" i="79"/>
  <c r="I128" i="79"/>
  <c r="H128" i="79"/>
  <c r="G128" i="79"/>
  <c r="F128" i="79"/>
  <c r="E128" i="79"/>
  <c r="D128" i="79"/>
  <c r="C128" i="79"/>
  <c r="N128" i="79" s="1"/>
  <c r="B128" i="79"/>
  <c r="M127" i="79"/>
  <c r="L127" i="79"/>
  <c r="K127" i="79"/>
  <c r="J127" i="79"/>
  <c r="I127" i="79"/>
  <c r="H127" i="79"/>
  <c r="G127" i="79"/>
  <c r="F127" i="79"/>
  <c r="E127" i="79"/>
  <c r="D127" i="79"/>
  <c r="C127" i="79"/>
  <c r="N127" i="79" s="1"/>
  <c r="B127" i="79"/>
  <c r="M126" i="79"/>
  <c r="L126" i="79"/>
  <c r="K126" i="79"/>
  <c r="J126" i="79"/>
  <c r="I126" i="79"/>
  <c r="H126" i="79"/>
  <c r="G126" i="79"/>
  <c r="F126" i="79"/>
  <c r="E126" i="79"/>
  <c r="D126" i="79"/>
  <c r="C126" i="79"/>
  <c r="B126" i="79"/>
  <c r="M125" i="79"/>
  <c r="L125" i="79"/>
  <c r="K125" i="79"/>
  <c r="J125" i="79"/>
  <c r="I125" i="79"/>
  <c r="H125" i="79"/>
  <c r="G125" i="79"/>
  <c r="F125" i="79"/>
  <c r="E125" i="79"/>
  <c r="D125" i="79"/>
  <c r="C125" i="79"/>
  <c r="B125" i="79"/>
  <c r="M124" i="79"/>
  <c r="L124" i="79"/>
  <c r="K124" i="79"/>
  <c r="J124" i="79"/>
  <c r="I124" i="79"/>
  <c r="H124" i="79"/>
  <c r="G124" i="79"/>
  <c r="F124" i="79"/>
  <c r="E124" i="79"/>
  <c r="D124" i="79"/>
  <c r="C124" i="79"/>
  <c r="N124" i="79" s="1"/>
  <c r="B124" i="79"/>
  <c r="M123" i="79"/>
  <c r="L123" i="79"/>
  <c r="K123" i="79"/>
  <c r="J123" i="79"/>
  <c r="I123" i="79"/>
  <c r="H123" i="79"/>
  <c r="G123" i="79"/>
  <c r="F123" i="79"/>
  <c r="E123" i="79"/>
  <c r="D123" i="79"/>
  <c r="C123" i="79"/>
  <c r="B123" i="79"/>
  <c r="M122" i="79"/>
  <c r="L122" i="79"/>
  <c r="K122" i="79"/>
  <c r="J122" i="79"/>
  <c r="I122" i="79"/>
  <c r="H122" i="79"/>
  <c r="G122" i="79"/>
  <c r="F122" i="79"/>
  <c r="E122" i="79"/>
  <c r="D122" i="79"/>
  <c r="C122" i="79"/>
  <c r="B122" i="79"/>
  <c r="M121" i="79"/>
  <c r="L121" i="79"/>
  <c r="K121" i="79"/>
  <c r="J121" i="79"/>
  <c r="I121" i="79"/>
  <c r="H121" i="79"/>
  <c r="G121" i="79"/>
  <c r="F121" i="79"/>
  <c r="E121" i="79"/>
  <c r="D121" i="79"/>
  <c r="C121" i="79"/>
  <c r="M120" i="79"/>
  <c r="N120" i="79" s="1"/>
  <c r="L120" i="79"/>
  <c r="K120" i="79"/>
  <c r="J120" i="79"/>
  <c r="I120" i="79"/>
  <c r="H120" i="79"/>
  <c r="G120" i="79"/>
  <c r="F120" i="79"/>
  <c r="E120" i="79"/>
  <c r="D120" i="79"/>
  <c r="C120" i="79"/>
  <c r="M119" i="79"/>
  <c r="L119" i="79"/>
  <c r="K119" i="79"/>
  <c r="J119" i="79"/>
  <c r="I119" i="79"/>
  <c r="H119" i="79"/>
  <c r="G119" i="79"/>
  <c r="F119" i="79"/>
  <c r="E119" i="79"/>
  <c r="D119" i="79"/>
  <c r="C119" i="79"/>
  <c r="B119" i="79"/>
  <c r="M118" i="79"/>
  <c r="L118" i="79"/>
  <c r="K118" i="79"/>
  <c r="J118" i="79"/>
  <c r="I118" i="79"/>
  <c r="H118" i="79"/>
  <c r="G118" i="79"/>
  <c r="F118" i="79"/>
  <c r="E118" i="79"/>
  <c r="D118" i="79"/>
  <c r="C118" i="79"/>
  <c r="B118" i="79"/>
  <c r="M117" i="79"/>
  <c r="L117" i="79"/>
  <c r="K117" i="79"/>
  <c r="J117" i="79"/>
  <c r="I117" i="79"/>
  <c r="H117" i="79"/>
  <c r="G117" i="79"/>
  <c r="F117" i="79"/>
  <c r="E117" i="79"/>
  <c r="D117" i="79"/>
  <c r="C117" i="79"/>
  <c r="B117" i="79"/>
  <c r="N116" i="79"/>
  <c r="M116" i="79"/>
  <c r="L116" i="79"/>
  <c r="K116" i="79"/>
  <c r="J116" i="79"/>
  <c r="I116" i="79"/>
  <c r="H116" i="79"/>
  <c r="G116" i="79"/>
  <c r="F116" i="79"/>
  <c r="E116" i="79"/>
  <c r="D116" i="79"/>
  <c r="C116" i="79"/>
  <c r="B116" i="79"/>
  <c r="M115" i="79"/>
  <c r="L115" i="79"/>
  <c r="K115" i="79"/>
  <c r="J115" i="79"/>
  <c r="I115" i="79"/>
  <c r="H115" i="79"/>
  <c r="G115" i="79"/>
  <c r="F115" i="79"/>
  <c r="E115" i="79"/>
  <c r="D115" i="79"/>
  <c r="C115" i="79"/>
  <c r="B115" i="79"/>
  <c r="M114" i="79"/>
  <c r="L114" i="79"/>
  <c r="K114" i="79"/>
  <c r="J114" i="79"/>
  <c r="I114" i="79"/>
  <c r="H114" i="79"/>
  <c r="G114" i="79"/>
  <c r="F114" i="79"/>
  <c r="E114" i="79"/>
  <c r="D114" i="79"/>
  <c r="C114" i="79"/>
  <c r="N114" i="79" s="1"/>
  <c r="B114" i="79"/>
  <c r="M113" i="79"/>
  <c r="L113" i="79"/>
  <c r="K113" i="79"/>
  <c r="J113" i="79"/>
  <c r="I113" i="79"/>
  <c r="H113" i="79"/>
  <c r="G113" i="79"/>
  <c r="F113" i="79"/>
  <c r="E113" i="79"/>
  <c r="D113" i="79"/>
  <c r="C113" i="79"/>
  <c r="B113" i="79"/>
  <c r="M112" i="79"/>
  <c r="L112" i="79"/>
  <c r="K112" i="79"/>
  <c r="J112" i="79"/>
  <c r="I112" i="79"/>
  <c r="H112" i="79"/>
  <c r="G112" i="79"/>
  <c r="F112" i="79"/>
  <c r="E112" i="79"/>
  <c r="D112" i="79"/>
  <c r="C112" i="79"/>
  <c r="B112" i="79"/>
  <c r="M111" i="79"/>
  <c r="N111" i="79" s="1"/>
  <c r="L111" i="79"/>
  <c r="K111" i="79"/>
  <c r="J111" i="79"/>
  <c r="I111" i="79"/>
  <c r="H111" i="79"/>
  <c r="G111" i="79"/>
  <c r="F111" i="79"/>
  <c r="E111" i="79"/>
  <c r="D111" i="79"/>
  <c r="C111" i="79"/>
  <c r="B111" i="79"/>
  <c r="N110" i="79"/>
  <c r="M110" i="79"/>
  <c r="L110" i="79"/>
  <c r="K110" i="79"/>
  <c r="J110" i="79"/>
  <c r="I110" i="79"/>
  <c r="H110" i="79"/>
  <c r="G110" i="79"/>
  <c r="F110" i="79"/>
  <c r="E110" i="79"/>
  <c r="D110" i="79"/>
  <c r="C110" i="79"/>
  <c r="B110" i="79"/>
  <c r="M109" i="79"/>
  <c r="L109" i="79"/>
  <c r="K109" i="79"/>
  <c r="J109" i="79"/>
  <c r="I109" i="79"/>
  <c r="H109" i="79"/>
  <c r="G109" i="79"/>
  <c r="F109" i="79"/>
  <c r="E109" i="79"/>
  <c r="D109" i="79"/>
  <c r="C109" i="79"/>
  <c r="B109" i="79"/>
  <c r="M108" i="79"/>
  <c r="L108" i="79"/>
  <c r="K108" i="79"/>
  <c r="J108" i="79"/>
  <c r="I108" i="79"/>
  <c r="H108" i="79"/>
  <c r="G108" i="79"/>
  <c r="F108" i="79"/>
  <c r="E108" i="79"/>
  <c r="D108" i="79"/>
  <c r="C108" i="79"/>
  <c r="B108" i="79"/>
  <c r="M107" i="79"/>
  <c r="N107" i="79" s="1"/>
  <c r="L107" i="79"/>
  <c r="K107" i="79"/>
  <c r="J107" i="79"/>
  <c r="I107" i="79"/>
  <c r="H107" i="79"/>
  <c r="G107" i="79"/>
  <c r="F107" i="79"/>
  <c r="E107" i="79"/>
  <c r="D107" i="79"/>
  <c r="C107" i="79"/>
  <c r="B107" i="79"/>
  <c r="M106" i="79"/>
  <c r="N106" i="79" s="1"/>
  <c r="L106" i="79"/>
  <c r="K106" i="79"/>
  <c r="J106" i="79"/>
  <c r="I106" i="79"/>
  <c r="H106" i="79"/>
  <c r="G106" i="79"/>
  <c r="F106" i="79"/>
  <c r="E106" i="79"/>
  <c r="D106" i="79"/>
  <c r="C106" i="79"/>
  <c r="B106" i="79"/>
  <c r="M105" i="79"/>
  <c r="N105" i="79" s="1"/>
  <c r="L105" i="79"/>
  <c r="K105" i="79"/>
  <c r="J105" i="79"/>
  <c r="I105" i="79"/>
  <c r="H105" i="79"/>
  <c r="G105" i="79"/>
  <c r="F105" i="79"/>
  <c r="E105" i="79"/>
  <c r="D105" i="79"/>
  <c r="C105" i="79"/>
  <c r="B105" i="79"/>
  <c r="N104" i="79"/>
  <c r="M104" i="79"/>
  <c r="L104" i="79"/>
  <c r="K104" i="79"/>
  <c r="J104" i="79"/>
  <c r="I104" i="79"/>
  <c r="H104" i="79"/>
  <c r="G104" i="79"/>
  <c r="F104" i="79"/>
  <c r="E104" i="79"/>
  <c r="D104" i="79"/>
  <c r="C104" i="79"/>
  <c r="B104" i="79"/>
  <c r="M103" i="79"/>
  <c r="L103" i="79"/>
  <c r="K103" i="79"/>
  <c r="J103" i="79"/>
  <c r="I103" i="79"/>
  <c r="H103" i="79"/>
  <c r="G103" i="79"/>
  <c r="F103" i="79"/>
  <c r="E103" i="79"/>
  <c r="D103" i="79"/>
  <c r="C103" i="79"/>
  <c r="N103" i="79" s="1"/>
  <c r="B103" i="79"/>
  <c r="M102" i="79"/>
  <c r="L102" i="79"/>
  <c r="K102" i="79"/>
  <c r="J102" i="79"/>
  <c r="I102" i="79"/>
  <c r="H102" i="79"/>
  <c r="G102" i="79"/>
  <c r="F102" i="79"/>
  <c r="E102" i="79"/>
  <c r="D102" i="79"/>
  <c r="C102" i="79"/>
  <c r="B102" i="79"/>
  <c r="M101" i="79"/>
  <c r="L101" i="79"/>
  <c r="K101" i="79"/>
  <c r="J101" i="79"/>
  <c r="I101" i="79"/>
  <c r="H101" i="79"/>
  <c r="G101" i="79"/>
  <c r="F101" i="79"/>
  <c r="E101" i="79"/>
  <c r="D101" i="79"/>
  <c r="C101" i="79"/>
  <c r="S100" i="79"/>
  <c r="M100" i="79"/>
  <c r="L100" i="79"/>
  <c r="K100" i="79"/>
  <c r="J100" i="79"/>
  <c r="I100" i="79"/>
  <c r="H100" i="79"/>
  <c r="G100" i="79"/>
  <c r="F100" i="79"/>
  <c r="E100" i="79"/>
  <c r="D100" i="79"/>
  <c r="C100" i="79"/>
  <c r="M99" i="79"/>
  <c r="L99" i="79"/>
  <c r="K99" i="79"/>
  <c r="J99" i="79"/>
  <c r="I99" i="79"/>
  <c r="H99" i="79"/>
  <c r="G99" i="79"/>
  <c r="F99" i="79"/>
  <c r="E99" i="79"/>
  <c r="D99" i="79"/>
  <c r="C99" i="79"/>
  <c r="B99" i="79"/>
  <c r="M98" i="79"/>
  <c r="L98" i="79"/>
  <c r="K98" i="79"/>
  <c r="J98" i="79"/>
  <c r="I98" i="79"/>
  <c r="H98" i="79"/>
  <c r="G98" i="79"/>
  <c r="F98" i="79"/>
  <c r="E98" i="79"/>
  <c r="D98" i="79"/>
  <c r="C98" i="79"/>
  <c r="B98" i="79"/>
  <c r="M97" i="79"/>
  <c r="L97" i="79"/>
  <c r="K97" i="79"/>
  <c r="J97" i="79"/>
  <c r="I97" i="79"/>
  <c r="H97" i="79"/>
  <c r="G97" i="79"/>
  <c r="F97" i="79"/>
  <c r="E97" i="79"/>
  <c r="D97" i="79"/>
  <c r="C97" i="79"/>
  <c r="N97" i="79" s="1"/>
  <c r="B97" i="79"/>
  <c r="M96" i="79"/>
  <c r="L96" i="79"/>
  <c r="K96" i="79"/>
  <c r="J96" i="79"/>
  <c r="I96" i="79"/>
  <c r="H96" i="79"/>
  <c r="G96" i="79"/>
  <c r="F96" i="79"/>
  <c r="E96" i="79"/>
  <c r="D96" i="79"/>
  <c r="C96" i="79"/>
  <c r="B96" i="79"/>
  <c r="M95" i="79"/>
  <c r="N95" i="79" s="1"/>
  <c r="L95" i="79"/>
  <c r="K95" i="79"/>
  <c r="J95" i="79"/>
  <c r="I95" i="79"/>
  <c r="H95" i="79"/>
  <c r="G95" i="79"/>
  <c r="F95" i="79"/>
  <c r="E95" i="79"/>
  <c r="D95" i="79"/>
  <c r="C95" i="79"/>
  <c r="B95" i="79"/>
  <c r="M94" i="79"/>
  <c r="L94" i="79"/>
  <c r="K94" i="79"/>
  <c r="J94" i="79"/>
  <c r="I94" i="79"/>
  <c r="H94" i="79"/>
  <c r="G94" i="79"/>
  <c r="F94" i="79"/>
  <c r="E94" i="79"/>
  <c r="D94" i="79"/>
  <c r="C94" i="79"/>
  <c r="B94" i="79"/>
  <c r="M93" i="79"/>
  <c r="L93" i="79"/>
  <c r="K93" i="79"/>
  <c r="J93" i="79"/>
  <c r="I93" i="79"/>
  <c r="H93" i="79"/>
  <c r="G93" i="79"/>
  <c r="F93" i="79"/>
  <c r="E93" i="79"/>
  <c r="D93" i="79"/>
  <c r="C93" i="79"/>
  <c r="B93" i="79"/>
  <c r="M92" i="79"/>
  <c r="L92" i="79"/>
  <c r="K92" i="79"/>
  <c r="J92" i="79"/>
  <c r="I92" i="79"/>
  <c r="H92" i="79"/>
  <c r="G92" i="79"/>
  <c r="F92" i="79"/>
  <c r="E92" i="79"/>
  <c r="D92" i="79"/>
  <c r="C92" i="79"/>
  <c r="B92" i="79"/>
  <c r="M91" i="79"/>
  <c r="L91" i="79"/>
  <c r="K91" i="79"/>
  <c r="J91" i="79"/>
  <c r="I91" i="79"/>
  <c r="H91" i="79"/>
  <c r="G91" i="79"/>
  <c r="F91" i="79"/>
  <c r="E91" i="79"/>
  <c r="D91" i="79"/>
  <c r="C91" i="79"/>
  <c r="N91" i="79" s="1"/>
  <c r="B91" i="79"/>
  <c r="M90" i="79"/>
  <c r="L90" i="79"/>
  <c r="K90" i="79"/>
  <c r="J90" i="79"/>
  <c r="I90" i="79"/>
  <c r="H90" i="79"/>
  <c r="G90" i="79"/>
  <c r="F90" i="79"/>
  <c r="E90" i="79"/>
  <c r="D90" i="79"/>
  <c r="C90" i="79"/>
  <c r="B90" i="79"/>
  <c r="M89" i="79"/>
  <c r="N89" i="79" s="1"/>
  <c r="L89" i="79"/>
  <c r="K89" i="79"/>
  <c r="J89" i="79"/>
  <c r="I89" i="79"/>
  <c r="H89" i="79"/>
  <c r="G89" i="79"/>
  <c r="F89" i="79"/>
  <c r="E89" i="79"/>
  <c r="D89" i="79"/>
  <c r="C89" i="79"/>
  <c r="B89" i="79"/>
  <c r="M88" i="79"/>
  <c r="L88" i="79"/>
  <c r="K88" i="79"/>
  <c r="J88" i="79"/>
  <c r="I88" i="79"/>
  <c r="H88" i="79"/>
  <c r="G88" i="79"/>
  <c r="F88" i="79"/>
  <c r="E88" i="79"/>
  <c r="D88" i="79"/>
  <c r="C88" i="79"/>
  <c r="B88" i="79"/>
  <c r="M87" i="79"/>
  <c r="L87" i="79"/>
  <c r="K87" i="79"/>
  <c r="J87" i="79"/>
  <c r="I87" i="79"/>
  <c r="H87" i="79"/>
  <c r="G87" i="79"/>
  <c r="F87" i="79"/>
  <c r="E87" i="79"/>
  <c r="D87" i="79"/>
  <c r="C87" i="79"/>
  <c r="B87" i="79"/>
  <c r="M86" i="79"/>
  <c r="N86" i="79" s="1"/>
  <c r="L86" i="79"/>
  <c r="K86" i="79"/>
  <c r="J86" i="79"/>
  <c r="I86" i="79"/>
  <c r="H86" i="79"/>
  <c r="G86" i="79"/>
  <c r="F86" i="79"/>
  <c r="E86" i="79"/>
  <c r="D86" i="79"/>
  <c r="C86" i="79"/>
  <c r="B86" i="79"/>
  <c r="M85" i="79"/>
  <c r="N85" i="79" s="1"/>
  <c r="L85" i="79"/>
  <c r="K85" i="79"/>
  <c r="J85" i="79"/>
  <c r="I85" i="79"/>
  <c r="H85" i="79"/>
  <c r="G85" i="79"/>
  <c r="F85" i="79"/>
  <c r="E85" i="79"/>
  <c r="D85" i="79"/>
  <c r="C85" i="79"/>
  <c r="B85" i="79"/>
  <c r="M84" i="79"/>
  <c r="N84" i="79" s="1"/>
  <c r="L84" i="79"/>
  <c r="K84" i="79"/>
  <c r="J84" i="79"/>
  <c r="I84" i="79"/>
  <c r="H84" i="79"/>
  <c r="G84" i="79"/>
  <c r="F84" i="79"/>
  <c r="E84" i="79"/>
  <c r="D84" i="79"/>
  <c r="C84" i="79"/>
  <c r="B84" i="79"/>
  <c r="N83" i="79"/>
  <c r="M83" i="79"/>
  <c r="L83" i="79"/>
  <c r="K83" i="79"/>
  <c r="J83" i="79"/>
  <c r="I83" i="79"/>
  <c r="H83" i="79"/>
  <c r="G83" i="79"/>
  <c r="F83" i="79"/>
  <c r="E83" i="79"/>
  <c r="D83" i="79"/>
  <c r="C83" i="79"/>
  <c r="B83" i="79"/>
  <c r="M82" i="79"/>
  <c r="L82" i="79"/>
  <c r="K82" i="79"/>
  <c r="J82" i="79"/>
  <c r="I82" i="79"/>
  <c r="H82" i="79"/>
  <c r="G82" i="79"/>
  <c r="F82" i="79"/>
  <c r="E82" i="79"/>
  <c r="D82" i="79"/>
  <c r="C82" i="79"/>
  <c r="B82" i="79"/>
  <c r="M81" i="79"/>
  <c r="L81" i="79"/>
  <c r="K81" i="79"/>
  <c r="J81" i="79"/>
  <c r="I81" i="79"/>
  <c r="H81" i="79"/>
  <c r="G81" i="79"/>
  <c r="F81" i="79"/>
  <c r="E81" i="79"/>
  <c r="D81" i="79"/>
  <c r="C81" i="79"/>
  <c r="M80" i="79"/>
  <c r="L80" i="79"/>
  <c r="K80" i="79"/>
  <c r="J80" i="79"/>
  <c r="I80" i="79"/>
  <c r="H80" i="79"/>
  <c r="G80" i="79"/>
  <c r="F80" i="79"/>
  <c r="E80" i="79"/>
  <c r="D80" i="79"/>
  <c r="C80" i="79"/>
  <c r="M79" i="79"/>
  <c r="L79" i="79"/>
  <c r="K79" i="79"/>
  <c r="J79" i="79"/>
  <c r="I79" i="79"/>
  <c r="H79" i="79"/>
  <c r="G79" i="79"/>
  <c r="F79" i="79"/>
  <c r="E79" i="79"/>
  <c r="D79" i="79"/>
  <c r="C79" i="79"/>
  <c r="N79" i="79" s="1"/>
  <c r="B79" i="79"/>
  <c r="M78" i="79"/>
  <c r="L78" i="79"/>
  <c r="K78" i="79"/>
  <c r="J78" i="79"/>
  <c r="I78" i="79"/>
  <c r="H78" i="79"/>
  <c r="G78" i="79"/>
  <c r="F78" i="79"/>
  <c r="E78" i="79"/>
  <c r="D78" i="79"/>
  <c r="C78" i="79"/>
  <c r="N78" i="79" s="1"/>
  <c r="B78" i="79"/>
  <c r="M77" i="79"/>
  <c r="L77" i="79"/>
  <c r="K77" i="79"/>
  <c r="J77" i="79"/>
  <c r="I77" i="79"/>
  <c r="H77" i="79"/>
  <c r="G77" i="79"/>
  <c r="F77" i="79"/>
  <c r="E77" i="79"/>
  <c r="D77" i="79"/>
  <c r="C77" i="79"/>
  <c r="N77" i="79" s="1"/>
  <c r="B77" i="79"/>
  <c r="M76" i="79"/>
  <c r="L76" i="79"/>
  <c r="K76" i="79"/>
  <c r="J76" i="79"/>
  <c r="I76" i="79"/>
  <c r="H76" i="79"/>
  <c r="G76" i="79"/>
  <c r="F76" i="79"/>
  <c r="E76" i="79"/>
  <c r="D76" i="79"/>
  <c r="C76" i="79"/>
  <c r="N76" i="79" s="1"/>
  <c r="B76" i="79"/>
  <c r="M75" i="79"/>
  <c r="L75" i="79"/>
  <c r="K75" i="79"/>
  <c r="J75" i="79"/>
  <c r="I75" i="79"/>
  <c r="H75" i="79"/>
  <c r="G75" i="79"/>
  <c r="F75" i="79"/>
  <c r="E75" i="79"/>
  <c r="D75" i="79"/>
  <c r="C75" i="79"/>
  <c r="B75" i="79"/>
  <c r="M74" i="79"/>
  <c r="N74" i="79" s="1"/>
  <c r="L74" i="79"/>
  <c r="K74" i="79"/>
  <c r="J74" i="79"/>
  <c r="I74" i="79"/>
  <c r="H74" i="79"/>
  <c r="G74" i="79"/>
  <c r="F74" i="79"/>
  <c r="E74" i="79"/>
  <c r="D74" i="79"/>
  <c r="C74" i="79"/>
  <c r="B74" i="79"/>
  <c r="M73" i="79"/>
  <c r="L73" i="79"/>
  <c r="K73" i="79"/>
  <c r="J73" i="79"/>
  <c r="I73" i="79"/>
  <c r="H73" i="79"/>
  <c r="G73" i="79"/>
  <c r="F73" i="79"/>
  <c r="E73" i="79"/>
  <c r="D73" i="79"/>
  <c r="C73" i="79"/>
  <c r="B73" i="79"/>
  <c r="M72" i="79"/>
  <c r="L72" i="79"/>
  <c r="K72" i="79"/>
  <c r="J72" i="79"/>
  <c r="I72" i="79"/>
  <c r="H72" i="79"/>
  <c r="G72" i="79"/>
  <c r="F72" i="79"/>
  <c r="E72" i="79"/>
  <c r="D72" i="79"/>
  <c r="C72" i="79"/>
  <c r="B72" i="79"/>
  <c r="N71" i="79"/>
  <c r="M71" i="79"/>
  <c r="L71" i="79"/>
  <c r="K71" i="79"/>
  <c r="J71" i="79"/>
  <c r="I71" i="79"/>
  <c r="H71" i="79"/>
  <c r="G71" i="79"/>
  <c r="F71" i="79"/>
  <c r="E71" i="79"/>
  <c r="D71" i="79"/>
  <c r="C71" i="79"/>
  <c r="B71" i="79"/>
  <c r="M70" i="79"/>
  <c r="L70" i="79"/>
  <c r="K70" i="79"/>
  <c r="J70" i="79"/>
  <c r="I70" i="79"/>
  <c r="H70" i="79"/>
  <c r="G70" i="79"/>
  <c r="F70" i="79"/>
  <c r="E70" i="79"/>
  <c r="D70" i="79"/>
  <c r="C70" i="79"/>
  <c r="N70" i="79" s="1"/>
  <c r="B70" i="79"/>
  <c r="M69" i="79"/>
  <c r="L69" i="79"/>
  <c r="K69" i="79"/>
  <c r="J69" i="79"/>
  <c r="I69" i="79"/>
  <c r="H69" i="79"/>
  <c r="G69" i="79"/>
  <c r="F69" i="79"/>
  <c r="E69" i="79"/>
  <c r="D69" i="79"/>
  <c r="C69" i="79"/>
  <c r="B69" i="79"/>
  <c r="M68" i="79"/>
  <c r="L68" i="79"/>
  <c r="K68" i="79"/>
  <c r="J68" i="79"/>
  <c r="I68" i="79"/>
  <c r="H68" i="79"/>
  <c r="G68" i="79"/>
  <c r="F68" i="79"/>
  <c r="E68" i="79"/>
  <c r="D68" i="79"/>
  <c r="C68" i="79"/>
  <c r="N68" i="79" s="1"/>
  <c r="B68" i="79"/>
  <c r="M67" i="79"/>
  <c r="L67" i="79"/>
  <c r="K67" i="79"/>
  <c r="J67" i="79"/>
  <c r="I67" i="79"/>
  <c r="H67" i="79"/>
  <c r="G67" i="79"/>
  <c r="F67" i="79"/>
  <c r="E67" i="79"/>
  <c r="D67" i="79"/>
  <c r="C67" i="79"/>
  <c r="N67" i="79" s="1"/>
  <c r="B67" i="79"/>
  <c r="M66" i="79"/>
  <c r="L66" i="79"/>
  <c r="K66" i="79"/>
  <c r="J66" i="79"/>
  <c r="I66" i="79"/>
  <c r="H66" i="79"/>
  <c r="G66" i="79"/>
  <c r="F66" i="79"/>
  <c r="E66" i="79"/>
  <c r="D66" i="79"/>
  <c r="C66" i="79"/>
  <c r="B66" i="79"/>
  <c r="M65" i="79"/>
  <c r="L65" i="79"/>
  <c r="K65" i="79"/>
  <c r="J65" i="79"/>
  <c r="I65" i="79"/>
  <c r="H65" i="79"/>
  <c r="G65" i="79"/>
  <c r="F65" i="79"/>
  <c r="E65" i="79"/>
  <c r="D65" i="79"/>
  <c r="C65" i="79"/>
  <c r="N65" i="79" s="1"/>
  <c r="B65" i="79"/>
  <c r="M64" i="79"/>
  <c r="L64" i="79"/>
  <c r="K64" i="79"/>
  <c r="J64" i="79"/>
  <c r="I64" i="79"/>
  <c r="H64" i="79"/>
  <c r="G64" i="79"/>
  <c r="F64" i="79"/>
  <c r="E64" i="79"/>
  <c r="D64" i="79"/>
  <c r="C64" i="79"/>
  <c r="N64" i="79" s="1"/>
  <c r="B64" i="79"/>
  <c r="M63" i="79"/>
  <c r="L63" i="79"/>
  <c r="K63" i="79"/>
  <c r="J63" i="79"/>
  <c r="I63" i="79"/>
  <c r="H63" i="79"/>
  <c r="G63" i="79"/>
  <c r="F63" i="79"/>
  <c r="E63" i="79"/>
  <c r="D63" i="79"/>
  <c r="C63" i="79"/>
  <c r="B63" i="79"/>
  <c r="M62" i="79"/>
  <c r="L62" i="79"/>
  <c r="K62" i="79"/>
  <c r="J62" i="79"/>
  <c r="I62" i="79"/>
  <c r="H62" i="79"/>
  <c r="G62" i="79"/>
  <c r="F62" i="79"/>
  <c r="E62" i="79"/>
  <c r="D62" i="79"/>
  <c r="C62" i="79"/>
  <c r="N62" i="79" s="1"/>
  <c r="B62" i="79"/>
  <c r="M61" i="79"/>
  <c r="L61" i="79"/>
  <c r="K61" i="79"/>
  <c r="J61" i="79"/>
  <c r="I61" i="79"/>
  <c r="H61" i="79"/>
  <c r="G61" i="79"/>
  <c r="F61" i="79"/>
  <c r="E61" i="79"/>
  <c r="D61" i="79"/>
  <c r="C61" i="79"/>
  <c r="N61" i="79" s="1"/>
  <c r="S60" i="79"/>
  <c r="M60" i="79"/>
  <c r="L60" i="79"/>
  <c r="K60" i="79"/>
  <c r="J60" i="79"/>
  <c r="I60" i="79"/>
  <c r="H60" i="79"/>
  <c r="G60" i="79"/>
  <c r="F60" i="79"/>
  <c r="E60" i="79"/>
  <c r="D60" i="79"/>
  <c r="C60" i="79"/>
  <c r="M59" i="79"/>
  <c r="L59" i="79"/>
  <c r="K59" i="79"/>
  <c r="J59" i="79"/>
  <c r="I59" i="79"/>
  <c r="H59" i="79"/>
  <c r="G59" i="79"/>
  <c r="F59" i="79"/>
  <c r="E59" i="79"/>
  <c r="D59" i="79"/>
  <c r="C59" i="79"/>
  <c r="B59" i="79"/>
  <c r="M58" i="79"/>
  <c r="L58" i="79"/>
  <c r="K58" i="79"/>
  <c r="J58" i="79"/>
  <c r="I58" i="79"/>
  <c r="H58" i="79"/>
  <c r="G58" i="79"/>
  <c r="F58" i="79"/>
  <c r="E58" i="79"/>
  <c r="D58" i="79"/>
  <c r="C58" i="79"/>
  <c r="B58" i="79"/>
  <c r="M57" i="79"/>
  <c r="L57" i="79"/>
  <c r="K57" i="79"/>
  <c r="J57" i="79"/>
  <c r="I57" i="79"/>
  <c r="H57" i="79"/>
  <c r="G57" i="79"/>
  <c r="F57" i="79"/>
  <c r="E57" i="79"/>
  <c r="D57" i="79"/>
  <c r="C57" i="79"/>
  <c r="N57" i="79" s="1"/>
  <c r="B57" i="79"/>
  <c r="M56" i="79"/>
  <c r="L56" i="79"/>
  <c r="K56" i="79"/>
  <c r="J56" i="79"/>
  <c r="I56" i="79"/>
  <c r="H56" i="79"/>
  <c r="G56" i="79"/>
  <c r="F56" i="79"/>
  <c r="E56" i="79"/>
  <c r="D56" i="79"/>
  <c r="C56" i="79"/>
  <c r="N56" i="79" s="1"/>
  <c r="B56" i="79"/>
  <c r="M55" i="79"/>
  <c r="L55" i="79"/>
  <c r="K55" i="79"/>
  <c r="J55" i="79"/>
  <c r="I55" i="79"/>
  <c r="H55" i="79"/>
  <c r="G55" i="79"/>
  <c r="F55" i="79"/>
  <c r="E55" i="79"/>
  <c r="D55" i="79"/>
  <c r="C55" i="79"/>
  <c r="B55" i="79"/>
  <c r="M54" i="79"/>
  <c r="L54" i="79"/>
  <c r="K54" i="79"/>
  <c r="J54" i="79"/>
  <c r="I54" i="79"/>
  <c r="H54" i="79"/>
  <c r="G54" i="79"/>
  <c r="F54" i="79"/>
  <c r="E54" i="79"/>
  <c r="D54" i="79"/>
  <c r="C54" i="79"/>
  <c r="N54" i="79" s="1"/>
  <c r="B54" i="79"/>
  <c r="M53" i="79"/>
  <c r="L53" i="79"/>
  <c r="K53" i="79"/>
  <c r="J53" i="79"/>
  <c r="I53" i="79"/>
  <c r="H53" i="79"/>
  <c r="G53" i="79"/>
  <c r="F53" i="79"/>
  <c r="E53" i="79"/>
  <c r="D53" i="79"/>
  <c r="C53" i="79"/>
  <c r="B53" i="79"/>
  <c r="M52" i="79"/>
  <c r="L52" i="79"/>
  <c r="K52" i="79"/>
  <c r="J52" i="79"/>
  <c r="I52" i="79"/>
  <c r="H52" i="79"/>
  <c r="G52" i="79"/>
  <c r="F52" i="79"/>
  <c r="E52" i="79"/>
  <c r="D52" i="79"/>
  <c r="C52" i="79"/>
  <c r="B52" i="79"/>
  <c r="M51" i="79"/>
  <c r="L51" i="79"/>
  <c r="K51" i="79"/>
  <c r="J51" i="79"/>
  <c r="I51" i="79"/>
  <c r="H51" i="79"/>
  <c r="G51" i="79"/>
  <c r="F51" i="79"/>
  <c r="E51" i="79"/>
  <c r="D51" i="79"/>
  <c r="C51" i="79"/>
  <c r="B51" i="79"/>
  <c r="M50" i="79"/>
  <c r="L50" i="79"/>
  <c r="K50" i="79"/>
  <c r="J50" i="79"/>
  <c r="I50" i="79"/>
  <c r="H50" i="79"/>
  <c r="G50" i="79"/>
  <c r="F50" i="79"/>
  <c r="E50" i="79"/>
  <c r="D50" i="79"/>
  <c r="C50" i="79"/>
  <c r="B50" i="79"/>
  <c r="M49" i="79"/>
  <c r="L49" i="79"/>
  <c r="K49" i="79"/>
  <c r="J49" i="79"/>
  <c r="I49" i="79"/>
  <c r="H49" i="79"/>
  <c r="G49" i="79"/>
  <c r="F49" i="79"/>
  <c r="E49" i="79"/>
  <c r="D49" i="79"/>
  <c r="C49" i="79"/>
  <c r="B49" i="79"/>
  <c r="N48" i="79"/>
  <c r="M48" i="79"/>
  <c r="L48" i="79"/>
  <c r="K48" i="79"/>
  <c r="J48" i="79"/>
  <c r="I48" i="79"/>
  <c r="H48" i="79"/>
  <c r="G48" i="79"/>
  <c r="F48" i="79"/>
  <c r="E48" i="79"/>
  <c r="D48" i="79"/>
  <c r="C48" i="79"/>
  <c r="B48" i="79"/>
  <c r="M47" i="79"/>
  <c r="L47" i="79"/>
  <c r="K47" i="79"/>
  <c r="J47" i="79"/>
  <c r="I47" i="79"/>
  <c r="H47" i="79"/>
  <c r="G47" i="79"/>
  <c r="F47" i="79"/>
  <c r="E47" i="79"/>
  <c r="D47" i="79"/>
  <c r="C47" i="79"/>
  <c r="B47" i="79"/>
  <c r="M46" i="79"/>
  <c r="L46" i="79"/>
  <c r="K46" i="79"/>
  <c r="J46" i="79"/>
  <c r="I46" i="79"/>
  <c r="H46" i="79"/>
  <c r="G46" i="79"/>
  <c r="F46" i="79"/>
  <c r="E46" i="79"/>
  <c r="D46" i="79"/>
  <c r="C46" i="79"/>
  <c r="N46" i="79" s="1"/>
  <c r="B46" i="79"/>
  <c r="M45" i="79"/>
  <c r="L45" i="79"/>
  <c r="K45" i="79"/>
  <c r="J45" i="79"/>
  <c r="I45" i="79"/>
  <c r="H45" i="79"/>
  <c r="G45" i="79"/>
  <c r="F45" i="79"/>
  <c r="E45" i="79"/>
  <c r="D45" i="79"/>
  <c r="C45" i="79"/>
  <c r="N45" i="79" s="1"/>
  <c r="B45" i="79"/>
  <c r="M44" i="79"/>
  <c r="L44" i="79"/>
  <c r="K44" i="79"/>
  <c r="J44" i="79"/>
  <c r="I44" i="79"/>
  <c r="H44" i="79"/>
  <c r="G44" i="79"/>
  <c r="F44" i="79"/>
  <c r="E44" i="79"/>
  <c r="D44" i="79"/>
  <c r="C44" i="79"/>
  <c r="N44" i="79" s="1"/>
  <c r="B44" i="79"/>
  <c r="M43" i="79"/>
  <c r="L43" i="79"/>
  <c r="K43" i="79"/>
  <c r="J43" i="79"/>
  <c r="I43" i="79"/>
  <c r="H43" i="79"/>
  <c r="G43" i="79"/>
  <c r="F43" i="79"/>
  <c r="E43" i="79"/>
  <c r="D43" i="79"/>
  <c r="C43" i="79"/>
  <c r="B43" i="79"/>
  <c r="M42" i="79"/>
  <c r="L42" i="79"/>
  <c r="K42" i="79"/>
  <c r="J42" i="79"/>
  <c r="I42" i="79"/>
  <c r="H42" i="79"/>
  <c r="G42" i="79"/>
  <c r="F42" i="79"/>
  <c r="E42" i="79"/>
  <c r="D42" i="79"/>
  <c r="C42" i="79"/>
  <c r="B42" i="79"/>
  <c r="M41" i="79"/>
  <c r="N41" i="79" s="1"/>
  <c r="L41" i="79"/>
  <c r="K41" i="79"/>
  <c r="J41" i="79"/>
  <c r="I41" i="79"/>
  <c r="H41" i="79"/>
  <c r="G41" i="79"/>
  <c r="F41" i="79"/>
  <c r="E41" i="79"/>
  <c r="D41" i="79"/>
  <c r="C41" i="79"/>
  <c r="M40" i="79"/>
  <c r="L40" i="79"/>
  <c r="K40" i="79"/>
  <c r="J40" i="79"/>
  <c r="I40" i="79"/>
  <c r="H40" i="79"/>
  <c r="G40" i="79"/>
  <c r="F40" i="79"/>
  <c r="E40" i="79"/>
  <c r="D40" i="79"/>
  <c r="C40" i="79"/>
  <c r="N40" i="79" s="1"/>
  <c r="M39" i="79"/>
  <c r="L39" i="79"/>
  <c r="K39" i="79"/>
  <c r="J39" i="79"/>
  <c r="I39" i="79"/>
  <c r="H39" i="79"/>
  <c r="G39" i="79"/>
  <c r="F39" i="79"/>
  <c r="E39" i="79"/>
  <c r="D39" i="79"/>
  <c r="C39" i="79"/>
  <c r="B39" i="79"/>
  <c r="M38" i="79"/>
  <c r="L38" i="79"/>
  <c r="K38" i="79"/>
  <c r="J38" i="79"/>
  <c r="I38" i="79"/>
  <c r="H38" i="79"/>
  <c r="G38" i="79"/>
  <c r="F38" i="79"/>
  <c r="E38" i="79"/>
  <c r="D38" i="79"/>
  <c r="C38" i="79"/>
  <c r="B38" i="79"/>
  <c r="M37" i="79"/>
  <c r="L37" i="79"/>
  <c r="K37" i="79"/>
  <c r="J37" i="79"/>
  <c r="I37" i="79"/>
  <c r="H37" i="79"/>
  <c r="G37" i="79"/>
  <c r="F37" i="79"/>
  <c r="E37" i="79"/>
  <c r="D37" i="79"/>
  <c r="C37" i="79"/>
  <c r="B37" i="79"/>
  <c r="M36" i="79"/>
  <c r="L36" i="79"/>
  <c r="K36" i="79"/>
  <c r="J36" i="79"/>
  <c r="I36" i="79"/>
  <c r="H36" i="79"/>
  <c r="G36" i="79"/>
  <c r="F36" i="79"/>
  <c r="E36" i="79"/>
  <c r="D36" i="79"/>
  <c r="C36" i="79"/>
  <c r="B36" i="79"/>
  <c r="M35" i="79"/>
  <c r="L35" i="79"/>
  <c r="K35" i="79"/>
  <c r="J35" i="79"/>
  <c r="I35" i="79"/>
  <c r="H35" i="79"/>
  <c r="G35" i="79"/>
  <c r="F35" i="79"/>
  <c r="E35" i="79"/>
  <c r="D35" i="79"/>
  <c r="C35" i="79"/>
  <c r="B35" i="79"/>
  <c r="M34" i="79"/>
  <c r="L34" i="79"/>
  <c r="K34" i="79"/>
  <c r="J34" i="79"/>
  <c r="I34" i="79"/>
  <c r="H34" i="79"/>
  <c r="G34" i="79"/>
  <c r="F34" i="79"/>
  <c r="E34" i="79"/>
  <c r="D34" i="79"/>
  <c r="C34" i="79"/>
  <c r="B34" i="79"/>
  <c r="M33" i="79"/>
  <c r="L33" i="79"/>
  <c r="K33" i="79"/>
  <c r="J33" i="79"/>
  <c r="I33" i="79"/>
  <c r="H33" i="79"/>
  <c r="G33" i="79"/>
  <c r="F33" i="79"/>
  <c r="E33" i="79"/>
  <c r="D33" i="79"/>
  <c r="C33" i="79"/>
  <c r="B33" i="79"/>
  <c r="M32" i="79"/>
  <c r="L32" i="79"/>
  <c r="K32" i="79"/>
  <c r="J32" i="79"/>
  <c r="I32" i="79"/>
  <c r="H32" i="79"/>
  <c r="G32" i="79"/>
  <c r="F32" i="79"/>
  <c r="E32" i="79"/>
  <c r="D32" i="79"/>
  <c r="C32" i="79"/>
  <c r="B32" i="79"/>
  <c r="M31" i="79"/>
  <c r="L31" i="79"/>
  <c r="K31" i="79"/>
  <c r="J31" i="79"/>
  <c r="I31" i="79"/>
  <c r="H31" i="79"/>
  <c r="G31" i="79"/>
  <c r="F31" i="79"/>
  <c r="E31" i="79"/>
  <c r="D31" i="79"/>
  <c r="C31" i="79"/>
  <c r="B31" i="79"/>
  <c r="M30" i="79"/>
  <c r="L30" i="79"/>
  <c r="K30" i="79"/>
  <c r="J30" i="79"/>
  <c r="I30" i="79"/>
  <c r="H30" i="79"/>
  <c r="G30" i="79"/>
  <c r="F30" i="79"/>
  <c r="E30" i="79"/>
  <c r="D30" i="79"/>
  <c r="C30" i="79"/>
  <c r="B30" i="79"/>
  <c r="M29" i="79"/>
  <c r="L29" i="79"/>
  <c r="K29" i="79"/>
  <c r="J29" i="79"/>
  <c r="I29" i="79"/>
  <c r="H29" i="79"/>
  <c r="G29" i="79"/>
  <c r="F29" i="79"/>
  <c r="E29" i="79"/>
  <c r="D29" i="79"/>
  <c r="C29" i="79"/>
  <c r="B29" i="79"/>
  <c r="M28" i="79"/>
  <c r="L28" i="79"/>
  <c r="K28" i="79"/>
  <c r="J28" i="79"/>
  <c r="I28" i="79"/>
  <c r="H28" i="79"/>
  <c r="G28" i="79"/>
  <c r="F28" i="79"/>
  <c r="E28" i="79"/>
  <c r="D28" i="79"/>
  <c r="C28" i="79"/>
  <c r="B28" i="79"/>
  <c r="M27" i="79"/>
  <c r="L27" i="79"/>
  <c r="K27" i="79"/>
  <c r="J27" i="79"/>
  <c r="I27" i="79"/>
  <c r="H27" i="79"/>
  <c r="G27" i="79"/>
  <c r="F27" i="79"/>
  <c r="E27" i="79"/>
  <c r="D27" i="79"/>
  <c r="C27" i="79"/>
  <c r="B27" i="79"/>
  <c r="M26" i="79"/>
  <c r="L26" i="79"/>
  <c r="K26" i="79"/>
  <c r="J26" i="79"/>
  <c r="I26" i="79"/>
  <c r="H26" i="79"/>
  <c r="G26" i="79"/>
  <c r="F26" i="79"/>
  <c r="E26" i="79"/>
  <c r="D26" i="79"/>
  <c r="C26" i="79"/>
  <c r="B26" i="79"/>
  <c r="M25" i="79"/>
  <c r="L25" i="79"/>
  <c r="K25" i="79"/>
  <c r="J25" i="79"/>
  <c r="I25" i="79"/>
  <c r="H25" i="79"/>
  <c r="G25" i="79"/>
  <c r="F25" i="79"/>
  <c r="E25" i="79"/>
  <c r="D25" i="79"/>
  <c r="C25" i="79"/>
  <c r="B25" i="79"/>
  <c r="M24" i="79"/>
  <c r="L24" i="79"/>
  <c r="K24" i="79"/>
  <c r="J24" i="79"/>
  <c r="I24" i="79"/>
  <c r="H24" i="79"/>
  <c r="G24" i="79"/>
  <c r="F24" i="79"/>
  <c r="E24" i="79"/>
  <c r="D24" i="79"/>
  <c r="C24" i="79"/>
  <c r="B24" i="79"/>
  <c r="M23" i="79"/>
  <c r="L23" i="79"/>
  <c r="K23" i="79"/>
  <c r="J23" i="79"/>
  <c r="I23" i="79"/>
  <c r="H23" i="79"/>
  <c r="G23" i="79"/>
  <c r="F23" i="79"/>
  <c r="E23" i="79"/>
  <c r="D23" i="79"/>
  <c r="C23" i="79"/>
  <c r="B23" i="79"/>
  <c r="M22" i="79"/>
  <c r="L22" i="79"/>
  <c r="K22" i="79"/>
  <c r="J22" i="79"/>
  <c r="I22" i="79"/>
  <c r="H22" i="79"/>
  <c r="G22" i="79"/>
  <c r="F22" i="79"/>
  <c r="E22" i="79"/>
  <c r="D22" i="79"/>
  <c r="C22" i="79"/>
  <c r="B22" i="79"/>
  <c r="M21" i="79"/>
  <c r="D12" i="79" s="1"/>
  <c r="AS18" i="79" s="1"/>
  <c r="L21" i="79"/>
  <c r="D11" i="79" s="1"/>
  <c r="K21" i="79"/>
  <c r="D10" i="79" s="1"/>
  <c r="J21" i="79"/>
  <c r="D9" i="79" s="1"/>
  <c r="I21" i="79"/>
  <c r="D8" i="79" s="1"/>
  <c r="H21" i="79"/>
  <c r="D7" i="79" s="1"/>
  <c r="G21" i="79"/>
  <c r="D6" i="79" s="1"/>
  <c r="F21" i="79"/>
  <c r="D5" i="79" s="1"/>
  <c r="E21" i="79"/>
  <c r="D4" i="79" s="1"/>
  <c r="D21" i="79"/>
  <c r="D3" i="79" s="1"/>
  <c r="C21" i="79"/>
  <c r="D2" i="79" s="1"/>
  <c r="S20" i="79"/>
  <c r="AZ18" i="79"/>
  <c r="E444" i="76"/>
  <c r="A444" i="76"/>
  <c r="E443" i="76"/>
  <c r="B443" i="76"/>
  <c r="C443" i="76" s="1"/>
  <c r="A443" i="76"/>
  <c r="E442" i="76"/>
  <c r="A442" i="76"/>
  <c r="E441" i="76"/>
  <c r="B441" i="76"/>
  <c r="C441" i="76" s="1"/>
  <c r="A441" i="76"/>
  <c r="E440" i="76"/>
  <c r="A440" i="76"/>
  <c r="E439" i="76"/>
  <c r="B439" i="76"/>
  <c r="C439" i="76" s="1"/>
  <c r="A439" i="76"/>
  <c r="E438" i="76"/>
  <c r="A438" i="76"/>
  <c r="E437" i="76"/>
  <c r="B437" i="76"/>
  <c r="C437" i="76" s="1"/>
  <c r="A437" i="76"/>
  <c r="E436" i="76"/>
  <c r="A436" i="76"/>
  <c r="E435" i="76"/>
  <c r="B435" i="76"/>
  <c r="C435" i="76" s="1"/>
  <c r="A435" i="76"/>
  <c r="E434" i="76"/>
  <c r="A434" i="76"/>
  <c r="E433" i="76"/>
  <c r="B433" i="76"/>
  <c r="C433" i="76" s="1"/>
  <c r="A433" i="76"/>
  <c r="E432" i="76"/>
  <c r="A432" i="76"/>
  <c r="E431" i="76"/>
  <c r="A431" i="76"/>
  <c r="E430" i="76"/>
  <c r="A430" i="76"/>
  <c r="E429" i="76"/>
  <c r="B429" i="76"/>
  <c r="C429" i="76" s="1"/>
  <c r="A429" i="76"/>
  <c r="E428" i="76"/>
  <c r="A428" i="76"/>
  <c r="E427" i="76"/>
  <c r="A427" i="76"/>
  <c r="E426" i="76"/>
  <c r="A426" i="76"/>
  <c r="E425" i="76"/>
  <c r="B425" i="76"/>
  <c r="C425" i="76" s="1"/>
  <c r="A425" i="76"/>
  <c r="E424" i="76"/>
  <c r="A424" i="76"/>
  <c r="E423" i="76"/>
  <c r="B423" i="76"/>
  <c r="C423" i="76" s="1"/>
  <c r="A423" i="76"/>
  <c r="E422" i="76"/>
  <c r="A422" i="76"/>
  <c r="E421" i="76"/>
  <c r="B421" i="76"/>
  <c r="C421" i="76" s="1"/>
  <c r="A421" i="76"/>
  <c r="E420" i="76"/>
  <c r="A420" i="76"/>
  <c r="E419" i="76"/>
  <c r="B419" i="76"/>
  <c r="C419" i="76" s="1"/>
  <c r="A419" i="76"/>
  <c r="E418" i="76"/>
  <c r="A418" i="76"/>
  <c r="E417" i="76"/>
  <c r="B417" i="76"/>
  <c r="C417" i="76" s="1"/>
  <c r="A417" i="76"/>
  <c r="E416" i="76"/>
  <c r="A416" i="76"/>
  <c r="E415" i="76"/>
  <c r="B415" i="76"/>
  <c r="C415" i="76" s="1"/>
  <c r="A415" i="76"/>
  <c r="E414" i="76"/>
  <c r="A414" i="76"/>
  <c r="E413" i="76"/>
  <c r="B413" i="76"/>
  <c r="C413" i="76" s="1"/>
  <c r="A413" i="76"/>
  <c r="E412" i="76"/>
  <c r="A412" i="76"/>
  <c r="E411" i="76"/>
  <c r="A411" i="76"/>
  <c r="E410" i="76"/>
  <c r="A410" i="76"/>
  <c r="E409" i="76"/>
  <c r="B409" i="76"/>
  <c r="C409" i="76" s="1"/>
  <c r="A409" i="76"/>
  <c r="E408" i="76"/>
  <c r="A408" i="76"/>
  <c r="E407" i="76"/>
  <c r="A407" i="76"/>
  <c r="E406" i="76"/>
  <c r="A406" i="76"/>
  <c r="E405" i="76"/>
  <c r="B405" i="76"/>
  <c r="C405" i="76" s="1"/>
  <c r="A405" i="76"/>
  <c r="E404" i="76"/>
  <c r="A404" i="76"/>
  <c r="E403" i="76"/>
  <c r="B403" i="76"/>
  <c r="C403" i="76" s="1"/>
  <c r="A403" i="76"/>
  <c r="E402" i="76"/>
  <c r="A402" i="76"/>
  <c r="E401" i="76"/>
  <c r="B401" i="76"/>
  <c r="C401" i="76" s="1"/>
  <c r="A401" i="76"/>
  <c r="E400" i="76"/>
  <c r="A400" i="76"/>
  <c r="E399" i="76"/>
  <c r="B399" i="76"/>
  <c r="C399" i="76" s="1"/>
  <c r="A399" i="76"/>
  <c r="E398" i="76"/>
  <c r="A398" i="76"/>
  <c r="E397" i="76"/>
  <c r="B397" i="76"/>
  <c r="C397" i="76" s="1"/>
  <c r="A397" i="76"/>
  <c r="E396" i="76"/>
  <c r="A396" i="76"/>
  <c r="E395" i="76"/>
  <c r="B395" i="76"/>
  <c r="C395" i="76" s="1"/>
  <c r="A395" i="76"/>
  <c r="E394" i="76"/>
  <c r="A394" i="76"/>
  <c r="E393" i="76"/>
  <c r="B393" i="76"/>
  <c r="C393" i="76" s="1"/>
  <c r="A393" i="76"/>
  <c r="E392" i="76"/>
  <c r="A392" i="76"/>
  <c r="E391" i="76"/>
  <c r="A391" i="76"/>
  <c r="E390" i="76"/>
  <c r="A390" i="76"/>
  <c r="E389" i="76"/>
  <c r="B389" i="76"/>
  <c r="C389" i="76" s="1"/>
  <c r="A389" i="76"/>
  <c r="E388" i="76"/>
  <c r="A388" i="76"/>
  <c r="E387" i="76"/>
  <c r="A387" i="76"/>
  <c r="E386" i="76"/>
  <c r="A386" i="76"/>
  <c r="E385" i="76"/>
  <c r="B385" i="76"/>
  <c r="C385" i="76" s="1"/>
  <c r="A385" i="76"/>
  <c r="E384" i="76"/>
  <c r="A384" i="76"/>
  <c r="E383" i="76"/>
  <c r="B383" i="76"/>
  <c r="C383" i="76" s="1"/>
  <c r="A383" i="76"/>
  <c r="E382" i="76"/>
  <c r="A382" i="76"/>
  <c r="E381" i="76"/>
  <c r="B381" i="76"/>
  <c r="C381" i="76" s="1"/>
  <c r="A381" i="76"/>
  <c r="E380" i="76"/>
  <c r="A380" i="76"/>
  <c r="E379" i="76"/>
  <c r="B379" i="76"/>
  <c r="C379" i="76" s="1"/>
  <c r="A379" i="76"/>
  <c r="E378" i="76"/>
  <c r="A378" i="76"/>
  <c r="E377" i="76"/>
  <c r="B377" i="76"/>
  <c r="C377" i="76" s="1"/>
  <c r="A377" i="76"/>
  <c r="E376" i="76"/>
  <c r="A376" i="76"/>
  <c r="E375" i="76"/>
  <c r="B375" i="76"/>
  <c r="C375" i="76" s="1"/>
  <c r="A375" i="76"/>
  <c r="E374" i="76"/>
  <c r="A374" i="76"/>
  <c r="E373" i="76"/>
  <c r="B373" i="76"/>
  <c r="C373" i="76" s="1"/>
  <c r="A373" i="76"/>
  <c r="E372" i="76"/>
  <c r="A372" i="76"/>
  <c r="E371" i="76"/>
  <c r="A371" i="76"/>
  <c r="E370" i="76"/>
  <c r="A370" i="76"/>
  <c r="E369" i="76"/>
  <c r="B369" i="76"/>
  <c r="C369" i="76" s="1"/>
  <c r="A369" i="76"/>
  <c r="E368" i="76"/>
  <c r="A368" i="76"/>
  <c r="E367" i="76"/>
  <c r="A367" i="76"/>
  <c r="E366" i="76"/>
  <c r="A366" i="76"/>
  <c r="E365" i="76"/>
  <c r="B365" i="76"/>
  <c r="C365" i="76" s="1"/>
  <c r="A365" i="76"/>
  <c r="E364" i="76"/>
  <c r="A364" i="76"/>
  <c r="E363" i="76"/>
  <c r="B363" i="76"/>
  <c r="C363" i="76" s="1"/>
  <c r="A363" i="76"/>
  <c r="E362" i="76"/>
  <c r="A362" i="76"/>
  <c r="E361" i="76"/>
  <c r="B361" i="76"/>
  <c r="C361" i="76" s="1"/>
  <c r="A361" i="76"/>
  <c r="E360" i="76"/>
  <c r="A360" i="76"/>
  <c r="E359" i="76"/>
  <c r="B359" i="76"/>
  <c r="C359" i="76" s="1"/>
  <c r="A359" i="76"/>
  <c r="E358" i="76"/>
  <c r="A358" i="76"/>
  <c r="E357" i="76"/>
  <c r="B357" i="76"/>
  <c r="C357" i="76" s="1"/>
  <c r="A357" i="76"/>
  <c r="E356" i="76"/>
  <c r="A356" i="76"/>
  <c r="E355" i="76"/>
  <c r="B355" i="76"/>
  <c r="C355" i="76" s="1"/>
  <c r="A355" i="76"/>
  <c r="E354" i="76"/>
  <c r="A354" i="76"/>
  <c r="E353" i="76"/>
  <c r="B353" i="76"/>
  <c r="C353" i="76" s="1"/>
  <c r="A353" i="76"/>
  <c r="E352" i="76"/>
  <c r="A352" i="76"/>
  <c r="E351" i="76"/>
  <c r="A351" i="76"/>
  <c r="E350" i="76"/>
  <c r="A350" i="76"/>
  <c r="E349" i="76"/>
  <c r="B349" i="76"/>
  <c r="C349" i="76" s="1"/>
  <c r="A349" i="76"/>
  <c r="E348" i="76"/>
  <c r="A348" i="76"/>
  <c r="E347" i="76"/>
  <c r="B347" i="76"/>
  <c r="C347" i="76" s="1"/>
  <c r="A347" i="76"/>
  <c r="E346" i="76"/>
  <c r="A346" i="76"/>
  <c r="E345" i="76"/>
  <c r="B345" i="76"/>
  <c r="C345" i="76" s="1"/>
  <c r="A345" i="76"/>
  <c r="E344" i="76"/>
  <c r="A344" i="76"/>
  <c r="E343" i="76"/>
  <c r="B343" i="76"/>
  <c r="C343" i="76" s="1"/>
  <c r="A343" i="76"/>
  <c r="E342" i="76"/>
  <c r="A342" i="76"/>
  <c r="E341" i="76"/>
  <c r="B341" i="76"/>
  <c r="C341" i="76" s="1"/>
  <c r="A341" i="76"/>
  <c r="E340" i="76"/>
  <c r="A340" i="76"/>
  <c r="E339" i="76"/>
  <c r="B339" i="76"/>
  <c r="C339" i="76" s="1"/>
  <c r="A339" i="76"/>
  <c r="E338" i="76"/>
  <c r="A338" i="76"/>
  <c r="E337" i="76"/>
  <c r="B337" i="76"/>
  <c r="C337" i="76" s="1"/>
  <c r="A337" i="76"/>
  <c r="E336" i="76"/>
  <c r="A336" i="76"/>
  <c r="E335" i="76"/>
  <c r="B335" i="76"/>
  <c r="C335" i="76" s="1"/>
  <c r="A335" i="76"/>
  <c r="E334" i="76"/>
  <c r="A334" i="76"/>
  <c r="E333" i="76"/>
  <c r="B333" i="76"/>
  <c r="C333" i="76" s="1"/>
  <c r="A333" i="76"/>
  <c r="E332" i="76"/>
  <c r="A332" i="76"/>
  <c r="E331" i="76"/>
  <c r="A331" i="76"/>
  <c r="E330" i="76"/>
  <c r="A330" i="76"/>
  <c r="E329" i="76"/>
  <c r="B329" i="76"/>
  <c r="C329" i="76" s="1"/>
  <c r="A329" i="76"/>
  <c r="E328" i="76"/>
  <c r="A328" i="76"/>
  <c r="E327" i="76"/>
  <c r="A327" i="76"/>
  <c r="E326" i="76"/>
  <c r="A326" i="76"/>
  <c r="E325" i="76"/>
  <c r="B325" i="76"/>
  <c r="C325" i="76" s="1"/>
  <c r="A325" i="76"/>
  <c r="E324" i="76"/>
  <c r="A324" i="76"/>
  <c r="E323" i="76"/>
  <c r="B323" i="76"/>
  <c r="C323" i="76" s="1"/>
  <c r="A323" i="76"/>
  <c r="E322" i="76"/>
  <c r="A322" i="76"/>
  <c r="E321" i="76"/>
  <c r="B321" i="76"/>
  <c r="C321" i="76" s="1"/>
  <c r="A321" i="76"/>
  <c r="E320" i="76"/>
  <c r="A320" i="76"/>
  <c r="E319" i="76"/>
  <c r="B319" i="76"/>
  <c r="C319" i="76" s="1"/>
  <c r="A319" i="76"/>
  <c r="E318" i="76"/>
  <c r="A318" i="76"/>
  <c r="E317" i="76"/>
  <c r="B317" i="76"/>
  <c r="C317" i="76" s="1"/>
  <c r="A317" i="76"/>
  <c r="E316" i="76"/>
  <c r="A316" i="76"/>
  <c r="E315" i="76"/>
  <c r="B315" i="76"/>
  <c r="C315" i="76" s="1"/>
  <c r="A315" i="76"/>
  <c r="E314" i="76"/>
  <c r="A314" i="76"/>
  <c r="E313" i="76"/>
  <c r="B313" i="76"/>
  <c r="C313" i="76" s="1"/>
  <c r="A313" i="76"/>
  <c r="E312" i="76"/>
  <c r="A312" i="76"/>
  <c r="E311" i="76"/>
  <c r="A311" i="76"/>
  <c r="E310" i="76"/>
  <c r="A310" i="76"/>
  <c r="E309" i="76"/>
  <c r="B309" i="76"/>
  <c r="C309" i="76" s="1"/>
  <c r="A309" i="76"/>
  <c r="E308" i="76"/>
  <c r="A308" i="76"/>
  <c r="E307" i="76"/>
  <c r="A307" i="76"/>
  <c r="E306" i="76"/>
  <c r="A306" i="76"/>
  <c r="E305" i="76"/>
  <c r="B305" i="76"/>
  <c r="C305" i="76" s="1"/>
  <c r="A305" i="76"/>
  <c r="E304" i="76"/>
  <c r="A304" i="76"/>
  <c r="E303" i="76"/>
  <c r="B303" i="76"/>
  <c r="C303" i="76" s="1"/>
  <c r="A303" i="76"/>
  <c r="E302" i="76"/>
  <c r="A302" i="76"/>
  <c r="E301" i="76"/>
  <c r="B301" i="76"/>
  <c r="C301" i="76" s="1"/>
  <c r="A301" i="76"/>
  <c r="E300" i="76"/>
  <c r="A300" i="76"/>
  <c r="E299" i="76"/>
  <c r="B299" i="76"/>
  <c r="C299" i="76" s="1"/>
  <c r="A299" i="76"/>
  <c r="E298" i="76"/>
  <c r="A298" i="76"/>
  <c r="E297" i="76"/>
  <c r="B297" i="76"/>
  <c r="C297" i="76" s="1"/>
  <c r="A297" i="76"/>
  <c r="E296" i="76"/>
  <c r="A296" i="76"/>
  <c r="E295" i="76"/>
  <c r="B295" i="76"/>
  <c r="C295" i="76" s="1"/>
  <c r="A295" i="76"/>
  <c r="E294" i="76"/>
  <c r="A294" i="76"/>
  <c r="E293" i="76"/>
  <c r="B293" i="76"/>
  <c r="C293" i="76" s="1"/>
  <c r="A293" i="76"/>
  <c r="E292" i="76"/>
  <c r="A292" i="76"/>
  <c r="E291" i="76"/>
  <c r="A291" i="76"/>
  <c r="E290" i="76"/>
  <c r="A290" i="76"/>
  <c r="E289" i="76"/>
  <c r="B289" i="76"/>
  <c r="C289" i="76" s="1"/>
  <c r="A289" i="76"/>
  <c r="E288" i="76"/>
  <c r="A288" i="76"/>
  <c r="E287" i="76"/>
  <c r="A287" i="76"/>
  <c r="E286" i="76"/>
  <c r="A286" i="76"/>
  <c r="E285" i="76"/>
  <c r="B285" i="76"/>
  <c r="C285" i="76" s="1"/>
  <c r="A285" i="76"/>
  <c r="E284" i="76"/>
  <c r="A284" i="76"/>
  <c r="E283" i="76"/>
  <c r="B283" i="76"/>
  <c r="C283" i="76" s="1"/>
  <c r="A283" i="76"/>
  <c r="E282" i="76"/>
  <c r="A282" i="76"/>
  <c r="E281" i="76"/>
  <c r="B281" i="76"/>
  <c r="C281" i="76" s="1"/>
  <c r="A281" i="76"/>
  <c r="E280" i="76"/>
  <c r="A280" i="76"/>
  <c r="E279" i="76"/>
  <c r="B279" i="76"/>
  <c r="C279" i="76" s="1"/>
  <c r="A279" i="76"/>
  <c r="E278" i="76"/>
  <c r="A278" i="76"/>
  <c r="E277" i="76"/>
  <c r="B277" i="76"/>
  <c r="C277" i="76" s="1"/>
  <c r="A277" i="76"/>
  <c r="E276" i="76"/>
  <c r="A276" i="76"/>
  <c r="E275" i="76"/>
  <c r="B275" i="76"/>
  <c r="C275" i="76" s="1"/>
  <c r="A275" i="76"/>
  <c r="E274" i="76"/>
  <c r="A274" i="76"/>
  <c r="E273" i="76"/>
  <c r="B273" i="76"/>
  <c r="C273" i="76" s="1"/>
  <c r="A273" i="76"/>
  <c r="E272" i="76"/>
  <c r="A272" i="76"/>
  <c r="E271" i="76"/>
  <c r="A271" i="76"/>
  <c r="E270" i="76"/>
  <c r="A270" i="76"/>
  <c r="E269" i="76"/>
  <c r="B269" i="76"/>
  <c r="C269" i="76" s="1"/>
  <c r="A269" i="76"/>
  <c r="E268" i="76"/>
  <c r="A268" i="76"/>
  <c r="E267" i="76"/>
  <c r="A267" i="76"/>
  <c r="E266" i="76"/>
  <c r="A266" i="76"/>
  <c r="E265" i="76"/>
  <c r="B265" i="76"/>
  <c r="C265" i="76" s="1"/>
  <c r="A265" i="76"/>
  <c r="E264" i="76"/>
  <c r="A264" i="76"/>
  <c r="E263" i="76"/>
  <c r="B263" i="76"/>
  <c r="C263" i="76" s="1"/>
  <c r="A263" i="76"/>
  <c r="E262" i="76"/>
  <c r="A262" i="76"/>
  <c r="E261" i="76"/>
  <c r="B261" i="76"/>
  <c r="C261" i="76" s="1"/>
  <c r="A261" i="76"/>
  <c r="E260" i="76"/>
  <c r="A260" i="76"/>
  <c r="E259" i="76"/>
  <c r="B259" i="76"/>
  <c r="C259" i="76" s="1"/>
  <c r="A259" i="76"/>
  <c r="E258" i="76"/>
  <c r="A258" i="76"/>
  <c r="E257" i="76"/>
  <c r="B257" i="76"/>
  <c r="C257" i="76" s="1"/>
  <c r="A257" i="76"/>
  <c r="E256" i="76"/>
  <c r="A256" i="76"/>
  <c r="E255" i="76"/>
  <c r="B255" i="76"/>
  <c r="C255" i="76" s="1"/>
  <c r="A255" i="76"/>
  <c r="E254" i="76"/>
  <c r="A254" i="76"/>
  <c r="E253" i="76"/>
  <c r="B253" i="76"/>
  <c r="C253" i="76" s="1"/>
  <c r="A253" i="76"/>
  <c r="E252" i="76"/>
  <c r="A252" i="76"/>
  <c r="E251" i="76"/>
  <c r="A251" i="76"/>
  <c r="E250" i="76"/>
  <c r="A250" i="76"/>
  <c r="E249" i="76"/>
  <c r="B249" i="76"/>
  <c r="C249" i="76" s="1"/>
  <c r="A249" i="76"/>
  <c r="E248" i="76"/>
  <c r="A248" i="76"/>
  <c r="E247" i="76"/>
  <c r="A247" i="76"/>
  <c r="E246" i="76"/>
  <c r="A246" i="76"/>
  <c r="E245" i="76"/>
  <c r="B245" i="76"/>
  <c r="C245" i="76" s="1"/>
  <c r="A245" i="76"/>
  <c r="E244" i="76"/>
  <c r="A244" i="76"/>
  <c r="E243" i="76"/>
  <c r="B243" i="76"/>
  <c r="C243" i="76" s="1"/>
  <c r="A243" i="76"/>
  <c r="E242" i="76"/>
  <c r="A242" i="76"/>
  <c r="E241" i="76"/>
  <c r="B241" i="76"/>
  <c r="C241" i="76" s="1"/>
  <c r="A241" i="76"/>
  <c r="E240" i="76"/>
  <c r="A240" i="76"/>
  <c r="E239" i="76"/>
  <c r="B239" i="76"/>
  <c r="C239" i="76" s="1"/>
  <c r="A239" i="76"/>
  <c r="E238" i="76"/>
  <c r="A238" i="76"/>
  <c r="E237" i="76"/>
  <c r="B237" i="76"/>
  <c r="C237" i="76" s="1"/>
  <c r="A237" i="76"/>
  <c r="E236" i="76"/>
  <c r="A236" i="76"/>
  <c r="E235" i="76"/>
  <c r="B235" i="76"/>
  <c r="C235" i="76" s="1"/>
  <c r="A235" i="76"/>
  <c r="E234" i="76"/>
  <c r="A234" i="76"/>
  <c r="E233" i="76"/>
  <c r="B233" i="76"/>
  <c r="C233" i="76" s="1"/>
  <c r="A233" i="76"/>
  <c r="E232" i="76"/>
  <c r="A232" i="76"/>
  <c r="E231" i="76"/>
  <c r="A231" i="76"/>
  <c r="E230" i="76"/>
  <c r="A230" i="76"/>
  <c r="E229" i="76"/>
  <c r="B229" i="76"/>
  <c r="C229" i="76" s="1"/>
  <c r="A229" i="76"/>
  <c r="E228" i="76"/>
  <c r="A228" i="76"/>
  <c r="E227" i="76"/>
  <c r="B227" i="76"/>
  <c r="C227" i="76" s="1"/>
  <c r="A227" i="76"/>
  <c r="E226" i="76"/>
  <c r="A226" i="76"/>
  <c r="E225" i="76"/>
  <c r="B225" i="76"/>
  <c r="C225" i="76" s="1"/>
  <c r="A225" i="76"/>
  <c r="E224" i="76"/>
  <c r="A224" i="76"/>
  <c r="E223" i="76"/>
  <c r="B223" i="76"/>
  <c r="C223" i="76" s="1"/>
  <c r="A223" i="76"/>
  <c r="E222" i="76"/>
  <c r="A222" i="76"/>
  <c r="E221" i="76"/>
  <c r="B221" i="76"/>
  <c r="C221" i="76" s="1"/>
  <c r="A221" i="76"/>
  <c r="E220" i="76"/>
  <c r="A220" i="76"/>
  <c r="E219" i="76"/>
  <c r="B219" i="76"/>
  <c r="C219" i="76" s="1"/>
  <c r="A219" i="76"/>
  <c r="E218" i="76"/>
  <c r="A218" i="76"/>
  <c r="E217" i="76"/>
  <c r="B217" i="76"/>
  <c r="C217" i="76" s="1"/>
  <c r="A217" i="76"/>
  <c r="E216" i="76"/>
  <c r="A216" i="76"/>
  <c r="E215" i="76"/>
  <c r="B215" i="76"/>
  <c r="C215" i="76" s="1"/>
  <c r="A215" i="76"/>
  <c r="E214" i="76"/>
  <c r="A214" i="76"/>
  <c r="E213" i="76"/>
  <c r="B213" i="76"/>
  <c r="C213" i="76" s="1"/>
  <c r="A213" i="76"/>
  <c r="E212" i="76"/>
  <c r="A212" i="76"/>
  <c r="E211" i="76"/>
  <c r="A211" i="76"/>
  <c r="E210" i="76"/>
  <c r="A210" i="76"/>
  <c r="E209" i="76"/>
  <c r="B209" i="76"/>
  <c r="C209" i="76" s="1"/>
  <c r="A209" i="76"/>
  <c r="E208" i="76"/>
  <c r="A208" i="76"/>
  <c r="E207" i="76"/>
  <c r="A207" i="76"/>
  <c r="E206" i="76"/>
  <c r="A206" i="76"/>
  <c r="E205" i="76"/>
  <c r="B205" i="76"/>
  <c r="C205" i="76" s="1"/>
  <c r="A205" i="76"/>
  <c r="E204" i="76"/>
  <c r="A204" i="76"/>
  <c r="E203" i="76"/>
  <c r="B203" i="76"/>
  <c r="C203" i="76" s="1"/>
  <c r="A203" i="76"/>
  <c r="E202" i="76"/>
  <c r="A202" i="76"/>
  <c r="E201" i="76"/>
  <c r="B201" i="76"/>
  <c r="C201" i="76" s="1"/>
  <c r="A201" i="76"/>
  <c r="E200" i="76"/>
  <c r="A200" i="76"/>
  <c r="E199" i="76"/>
  <c r="B199" i="76"/>
  <c r="C199" i="76" s="1"/>
  <c r="A199" i="76"/>
  <c r="E198" i="76"/>
  <c r="A198" i="76"/>
  <c r="E197" i="76"/>
  <c r="B197" i="76"/>
  <c r="C197" i="76" s="1"/>
  <c r="A197" i="76"/>
  <c r="E196" i="76"/>
  <c r="A196" i="76"/>
  <c r="E195" i="76"/>
  <c r="B195" i="76"/>
  <c r="C195" i="76" s="1"/>
  <c r="A195" i="76"/>
  <c r="E194" i="76"/>
  <c r="A194" i="76"/>
  <c r="E193" i="76"/>
  <c r="B193" i="76"/>
  <c r="C193" i="76" s="1"/>
  <c r="A193" i="76"/>
  <c r="E192" i="76"/>
  <c r="A192" i="76"/>
  <c r="E191" i="76"/>
  <c r="A191" i="76"/>
  <c r="E190" i="76"/>
  <c r="A190" i="76"/>
  <c r="E189" i="76"/>
  <c r="B189" i="76"/>
  <c r="C189" i="76" s="1"/>
  <c r="A189" i="76"/>
  <c r="E188" i="76"/>
  <c r="A188" i="76"/>
  <c r="E187" i="76"/>
  <c r="A187" i="76"/>
  <c r="E186" i="76"/>
  <c r="A186" i="76"/>
  <c r="E185" i="76"/>
  <c r="B185" i="76"/>
  <c r="C185" i="76" s="1"/>
  <c r="A185" i="76"/>
  <c r="E184" i="76"/>
  <c r="A184" i="76"/>
  <c r="E183" i="76"/>
  <c r="B183" i="76"/>
  <c r="C183" i="76" s="1"/>
  <c r="A183" i="76"/>
  <c r="E182" i="76"/>
  <c r="A182" i="76"/>
  <c r="E181" i="76"/>
  <c r="B181" i="76"/>
  <c r="C181" i="76" s="1"/>
  <c r="A181" i="76"/>
  <c r="E180" i="76"/>
  <c r="A180" i="76"/>
  <c r="E179" i="76"/>
  <c r="B179" i="76"/>
  <c r="C179" i="76" s="1"/>
  <c r="A179" i="76"/>
  <c r="E178" i="76"/>
  <c r="A178" i="76"/>
  <c r="E177" i="76"/>
  <c r="B177" i="76"/>
  <c r="C177" i="76" s="1"/>
  <c r="A177" i="76"/>
  <c r="E176" i="76"/>
  <c r="A176" i="76"/>
  <c r="E175" i="76"/>
  <c r="B175" i="76"/>
  <c r="C175" i="76" s="1"/>
  <c r="A175" i="76"/>
  <c r="E174" i="76"/>
  <c r="A174" i="76"/>
  <c r="E173" i="76"/>
  <c r="B173" i="76"/>
  <c r="C173" i="76" s="1"/>
  <c r="A173" i="76"/>
  <c r="E172" i="76"/>
  <c r="A172" i="76"/>
  <c r="E171" i="76"/>
  <c r="A171" i="76"/>
  <c r="E170" i="76"/>
  <c r="A170" i="76"/>
  <c r="E169" i="76"/>
  <c r="B169" i="76"/>
  <c r="C169" i="76" s="1"/>
  <c r="A169" i="76"/>
  <c r="E168" i="76"/>
  <c r="A168" i="76"/>
  <c r="E167" i="76"/>
  <c r="A167" i="76"/>
  <c r="E166" i="76"/>
  <c r="A166" i="76"/>
  <c r="E165" i="76"/>
  <c r="B165" i="76"/>
  <c r="C165" i="76" s="1"/>
  <c r="A165" i="76"/>
  <c r="E164" i="76"/>
  <c r="A164" i="76"/>
  <c r="E163" i="76"/>
  <c r="B163" i="76"/>
  <c r="C163" i="76" s="1"/>
  <c r="A163" i="76"/>
  <c r="E162" i="76"/>
  <c r="A162" i="76"/>
  <c r="E161" i="76"/>
  <c r="B161" i="76"/>
  <c r="C161" i="76" s="1"/>
  <c r="A161" i="76"/>
  <c r="E160" i="76"/>
  <c r="B160" i="76"/>
  <c r="C160" i="76" s="1"/>
  <c r="A160" i="76"/>
  <c r="E159" i="76"/>
  <c r="B159" i="76"/>
  <c r="C159" i="76" s="1"/>
  <c r="A159" i="76"/>
  <c r="E158" i="76"/>
  <c r="A158" i="76"/>
  <c r="E157" i="76"/>
  <c r="B157" i="76"/>
  <c r="C157" i="76" s="1"/>
  <c r="A157" i="76"/>
  <c r="E156" i="76"/>
  <c r="A156" i="76"/>
  <c r="E155" i="76"/>
  <c r="B155" i="76"/>
  <c r="C155" i="76" s="1"/>
  <c r="A155" i="76"/>
  <c r="E154" i="76"/>
  <c r="A154" i="76"/>
  <c r="E153" i="76"/>
  <c r="B153" i="76"/>
  <c r="C153" i="76" s="1"/>
  <c r="A153" i="76"/>
  <c r="E152" i="76"/>
  <c r="B152" i="76"/>
  <c r="C152" i="76" s="1"/>
  <c r="A152" i="76"/>
  <c r="E151" i="76"/>
  <c r="A151" i="76"/>
  <c r="E150" i="76"/>
  <c r="B150" i="76"/>
  <c r="C150" i="76" s="1"/>
  <c r="A150" i="76"/>
  <c r="E149" i="76"/>
  <c r="B149" i="76"/>
  <c r="C149" i="76" s="1"/>
  <c r="A149" i="76"/>
  <c r="E148" i="76"/>
  <c r="A148" i="76"/>
  <c r="E147" i="76"/>
  <c r="A147" i="76"/>
  <c r="E146" i="76"/>
  <c r="A146" i="76"/>
  <c r="E145" i="76"/>
  <c r="B145" i="76"/>
  <c r="C145" i="76" s="1"/>
  <c r="A145" i="76"/>
  <c r="E144" i="76"/>
  <c r="A144" i="76"/>
  <c r="E143" i="76"/>
  <c r="B143" i="76"/>
  <c r="C143" i="76" s="1"/>
  <c r="A143" i="76"/>
  <c r="E142" i="76"/>
  <c r="A142" i="76"/>
  <c r="E141" i="76"/>
  <c r="B141" i="76"/>
  <c r="C141" i="76" s="1"/>
  <c r="A141" i="76"/>
  <c r="E140" i="76"/>
  <c r="B140" i="76"/>
  <c r="C140" i="76" s="1"/>
  <c r="A140" i="76"/>
  <c r="E139" i="76"/>
  <c r="B139" i="76"/>
  <c r="C139" i="76" s="1"/>
  <c r="A139" i="76"/>
  <c r="E138" i="76"/>
  <c r="A138" i="76"/>
  <c r="E137" i="76"/>
  <c r="B137" i="76"/>
  <c r="C137" i="76" s="1"/>
  <c r="A137" i="76"/>
  <c r="E136" i="76"/>
  <c r="A136" i="76"/>
  <c r="E135" i="76"/>
  <c r="B135" i="76"/>
  <c r="C135" i="76" s="1"/>
  <c r="A135" i="76"/>
  <c r="E134" i="76"/>
  <c r="A134" i="76"/>
  <c r="E133" i="76"/>
  <c r="B133" i="76"/>
  <c r="C133" i="76" s="1"/>
  <c r="A133" i="76"/>
  <c r="E132" i="76"/>
  <c r="A132" i="76"/>
  <c r="E131" i="76"/>
  <c r="A131" i="76"/>
  <c r="E130" i="76"/>
  <c r="A130" i="76"/>
  <c r="E129" i="76"/>
  <c r="B129" i="76"/>
  <c r="C129" i="76" s="1"/>
  <c r="A129" i="76"/>
  <c r="E128" i="76"/>
  <c r="A128" i="76"/>
  <c r="E127" i="76"/>
  <c r="A127" i="76"/>
  <c r="E126" i="76"/>
  <c r="A126" i="76"/>
  <c r="E125" i="76"/>
  <c r="B125" i="76"/>
  <c r="C125" i="76" s="1"/>
  <c r="A125" i="76"/>
  <c r="E124" i="76"/>
  <c r="B124" i="76"/>
  <c r="C124" i="76" s="1"/>
  <c r="A124" i="76"/>
  <c r="E123" i="76"/>
  <c r="B123" i="76"/>
  <c r="C123" i="76" s="1"/>
  <c r="A123" i="76"/>
  <c r="E122" i="76"/>
  <c r="A122" i="76"/>
  <c r="E121" i="76"/>
  <c r="B121" i="76"/>
  <c r="C121" i="76" s="1"/>
  <c r="A121" i="76"/>
  <c r="E120" i="76"/>
  <c r="A120" i="76"/>
  <c r="E119" i="76"/>
  <c r="B119" i="76"/>
  <c r="C119" i="76" s="1"/>
  <c r="A119" i="76"/>
  <c r="E118" i="76"/>
  <c r="A118" i="76"/>
  <c r="E117" i="76"/>
  <c r="B117" i="76"/>
  <c r="C117" i="76" s="1"/>
  <c r="A117" i="76"/>
  <c r="E116" i="76"/>
  <c r="A116" i="76"/>
  <c r="E115" i="76"/>
  <c r="B115" i="76"/>
  <c r="C115" i="76" s="1"/>
  <c r="A115" i="76"/>
  <c r="E114" i="76"/>
  <c r="A114" i="76"/>
  <c r="E113" i="76"/>
  <c r="B113" i="76"/>
  <c r="C113" i="76" s="1"/>
  <c r="A113" i="76"/>
  <c r="E112" i="76"/>
  <c r="A112" i="76"/>
  <c r="E111" i="76"/>
  <c r="A111" i="76"/>
  <c r="E110" i="76"/>
  <c r="A110" i="76"/>
  <c r="E109" i="76"/>
  <c r="B109" i="76"/>
  <c r="C109" i="76" s="1"/>
  <c r="A109" i="76"/>
  <c r="E108" i="76"/>
  <c r="A108" i="76"/>
  <c r="E107" i="76"/>
  <c r="A107" i="76"/>
  <c r="E106" i="76"/>
  <c r="A106" i="76"/>
  <c r="E105" i="76"/>
  <c r="B105" i="76"/>
  <c r="C105" i="76" s="1"/>
  <c r="A105" i="76"/>
  <c r="E104" i="76"/>
  <c r="A104" i="76"/>
  <c r="E103" i="76"/>
  <c r="B103" i="76"/>
  <c r="C103" i="76" s="1"/>
  <c r="A103" i="76"/>
  <c r="E102" i="76"/>
  <c r="B102" i="76"/>
  <c r="C102" i="76" s="1"/>
  <c r="A102" i="76"/>
  <c r="E101" i="76"/>
  <c r="B101" i="76"/>
  <c r="C101" i="76" s="1"/>
  <c r="A101" i="76"/>
  <c r="E100" i="76"/>
  <c r="A100" i="76"/>
  <c r="E99" i="76"/>
  <c r="B99" i="76"/>
  <c r="C99" i="76" s="1"/>
  <c r="A99" i="76"/>
  <c r="E98" i="76"/>
  <c r="A98" i="76"/>
  <c r="E97" i="76"/>
  <c r="B97" i="76"/>
  <c r="C97" i="76" s="1"/>
  <c r="A97" i="76"/>
  <c r="E96" i="76"/>
  <c r="A96" i="76"/>
  <c r="E95" i="76"/>
  <c r="B95" i="76"/>
  <c r="C95" i="76" s="1"/>
  <c r="A95" i="76"/>
  <c r="E94" i="76"/>
  <c r="A94" i="76"/>
  <c r="E93" i="76"/>
  <c r="B93" i="76"/>
  <c r="C93" i="76" s="1"/>
  <c r="A93" i="76"/>
  <c r="E92" i="76"/>
  <c r="A92" i="76"/>
  <c r="E91" i="76"/>
  <c r="A91" i="76"/>
  <c r="E90" i="76"/>
  <c r="A90" i="76"/>
  <c r="E89" i="76"/>
  <c r="B89" i="76"/>
  <c r="C89" i="76" s="1"/>
  <c r="A89" i="76"/>
  <c r="E88" i="76"/>
  <c r="A88" i="76"/>
  <c r="E87" i="76"/>
  <c r="A87" i="76"/>
  <c r="E86" i="76"/>
  <c r="A86" i="76"/>
  <c r="E85" i="76"/>
  <c r="B85" i="76"/>
  <c r="C85" i="76" s="1"/>
  <c r="A85" i="76"/>
  <c r="E84" i="76"/>
  <c r="A84" i="76"/>
  <c r="E83" i="76"/>
  <c r="B83" i="76"/>
  <c r="C83" i="76" s="1"/>
  <c r="A83" i="76"/>
  <c r="E82" i="76"/>
  <c r="A82" i="76"/>
  <c r="E81" i="76"/>
  <c r="B81" i="76"/>
  <c r="C81" i="76" s="1"/>
  <c r="A81" i="76"/>
  <c r="E80" i="76"/>
  <c r="A80" i="76"/>
  <c r="E79" i="76"/>
  <c r="B79" i="76"/>
  <c r="C79" i="76" s="1"/>
  <c r="A79" i="76"/>
  <c r="E78" i="76"/>
  <c r="A78" i="76"/>
  <c r="E77" i="76"/>
  <c r="B77" i="76"/>
  <c r="C77" i="76" s="1"/>
  <c r="A77" i="76"/>
  <c r="E76" i="76"/>
  <c r="A76" i="76"/>
  <c r="E75" i="76"/>
  <c r="B75" i="76"/>
  <c r="C75" i="76" s="1"/>
  <c r="A75" i="76"/>
  <c r="E74" i="76"/>
  <c r="A74" i="76"/>
  <c r="E73" i="76"/>
  <c r="B73" i="76"/>
  <c r="C73" i="76" s="1"/>
  <c r="A73" i="76"/>
  <c r="E72" i="76"/>
  <c r="B72" i="76"/>
  <c r="C72" i="76" s="1"/>
  <c r="A72" i="76"/>
  <c r="E71" i="76"/>
  <c r="A71" i="76"/>
  <c r="E70" i="76"/>
  <c r="B70" i="76"/>
  <c r="C70" i="76" s="1"/>
  <c r="A70" i="76"/>
  <c r="E69" i="76"/>
  <c r="B69" i="76"/>
  <c r="C69" i="76" s="1"/>
  <c r="A69" i="76"/>
  <c r="E68" i="76"/>
  <c r="A68" i="76"/>
  <c r="E67" i="76"/>
  <c r="A67" i="76"/>
  <c r="E66" i="76"/>
  <c r="A66" i="76"/>
  <c r="E65" i="76"/>
  <c r="B65" i="76"/>
  <c r="C65" i="76" s="1"/>
  <c r="A65" i="76"/>
  <c r="E64" i="76"/>
  <c r="A64" i="76"/>
  <c r="E63" i="76"/>
  <c r="B63" i="76"/>
  <c r="C63" i="76" s="1"/>
  <c r="A63" i="76"/>
  <c r="E62" i="76"/>
  <c r="B62" i="76"/>
  <c r="C62" i="76" s="1"/>
  <c r="A62" i="76"/>
  <c r="E61" i="76"/>
  <c r="B61" i="76"/>
  <c r="C61" i="76" s="1"/>
  <c r="A61" i="76"/>
  <c r="E60" i="76"/>
  <c r="A60" i="76"/>
  <c r="E59" i="76"/>
  <c r="B59" i="76"/>
  <c r="C59" i="76" s="1"/>
  <c r="A59" i="76"/>
  <c r="E58" i="76"/>
  <c r="B58" i="76"/>
  <c r="C58" i="76" s="1"/>
  <c r="A58" i="76"/>
  <c r="E57" i="76"/>
  <c r="B57" i="76"/>
  <c r="C57" i="76" s="1"/>
  <c r="A57" i="76"/>
  <c r="E56" i="76"/>
  <c r="B56" i="76"/>
  <c r="C56" i="76" s="1"/>
  <c r="A56" i="76"/>
  <c r="E55" i="76"/>
  <c r="B55" i="76"/>
  <c r="C55" i="76" s="1"/>
  <c r="A55" i="76"/>
  <c r="E54" i="76"/>
  <c r="A54" i="76"/>
  <c r="E53" i="76"/>
  <c r="B53" i="76"/>
  <c r="C53" i="76" s="1"/>
  <c r="A53" i="76"/>
  <c r="E52" i="76"/>
  <c r="A52" i="76"/>
  <c r="E51" i="76"/>
  <c r="A51" i="76"/>
  <c r="E50" i="76"/>
  <c r="A50" i="76"/>
  <c r="E49" i="76"/>
  <c r="B49" i="76"/>
  <c r="C49" i="76" s="1"/>
  <c r="A49" i="76"/>
  <c r="E48" i="76"/>
  <c r="A48" i="76"/>
  <c r="E47" i="76"/>
  <c r="A47" i="76"/>
  <c r="E46" i="76"/>
  <c r="A46" i="76"/>
  <c r="E45" i="76"/>
  <c r="B45" i="76"/>
  <c r="C45" i="76" s="1"/>
  <c r="A45" i="76"/>
  <c r="E44" i="76"/>
  <c r="B44" i="76"/>
  <c r="C44" i="76" s="1"/>
  <c r="A44" i="76"/>
  <c r="E43" i="76"/>
  <c r="B43" i="76"/>
  <c r="C43" i="76" s="1"/>
  <c r="A43" i="76"/>
  <c r="E42" i="76"/>
  <c r="A42" i="76"/>
  <c r="E41" i="76"/>
  <c r="B41" i="76"/>
  <c r="C41" i="76" s="1"/>
  <c r="A41" i="76"/>
  <c r="E40" i="76"/>
  <c r="B40" i="76"/>
  <c r="C40" i="76" s="1"/>
  <c r="A40" i="76"/>
  <c r="E39" i="76"/>
  <c r="B39" i="76"/>
  <c r="C39" i="76" s="1"/>
  <c r="A39" i="76"/>
  <c r="E38" i="76"/>
  <c r="B38" i="76"/>
  <c r="C38" i="76" s="1"/>
  <c r="A38" i="76"/>
  <c r="E37" i="76"/>
  <c r="B37" i="76"/>
  <c r="C37" i="76" s="1"/>
  <c r="A37" i="76"/>
  <c r="E36" i="76"/>
  <c r="B36" i="76"/>
  <c r="C36" i="76" s="1"/>
  <c r="A36" i="76"/>
  <c r="E35" i="76"/>
  <c r="B35" i="76"/>
  <c r="C35" i="76" s="1"/>
  <c r="A35" i="76"/>
  <c r="E34" i="76"/>
  <c r="A34" i="76"/>
  <c r="E33" i="76"/>
  <c r="B33" i="76"/>
  <c r="C33" i="76" s="1"/>
  <c r="A33" i="76"/>
  <c r="E32" i="76"/>
  <c r="B32" i="76"/>
  <c r="C32" i="76" s="1"/>
  <c r="A32" i="76"/>
  <c r="E31" i="76"/>
  <c r="A31" i="76"/>
  <c r="E30" i="76"/>
  <c r="B30" i="76"/>
  <c r="C30" i="76" s="1"/>
  <c r="A30" i="76"/>
  <c r="E29" i="76"/>
  <c r="B29" i="76"/>
  <c r="C29" i="76" s="1"/>
  <c r="A29" i="76"/>
  <c r="E28" i="76"/>
  <c r="B28" i="76"/>
  <c r="C28" i="76" s="1"/>
  <c r="A28" i="76"/>
  <c r="E27" i="76"/>
  <c r="A27" i="76"/>
  <c r="E26" i="76"/>
  <c r="B26" i="76"/>
  <c r="C26" i="76" s="1"/>
  <c r="A26" i="76"/>
  <c r="E25" i="76"/>
  <c r="B25" i="76"/>
  <c r="C25" i="76" s="1"/>
  <c r="A25" i="76"/>
  <c r="E24" i="76"/>
  <c r="C24" i="76"/>
  <c r="B24" i="76"/>
  <c r="A24" i="76"/>
  <c r="E23" i="76"/>
  <c r="B23" i="76"/>
  <c r="C23" i="76" s="1"/>
  <c r="A23" i="76"/>
  <c r="E22" i="76"/>
  <c r="B22" i="76"/>
  <c r="C22" i="76" s="1"/>
  <c r="A22" i="76"/>
  <c r="E21" i="76"/>
  <c r="B21" i="76"/>
  <c r="C21" i="76" s="1"/>
  <c r="A21" i="76"/>
  <c r="E20" i="76"/>
  <c r="B20" i="76"/>
  <c r="C20" i="76" s="1"/>
  <c r="A20" i="76"/>
  <c r="E19" i="76"/>
  <c r="B19" i="76"/>
  <c r="C19" i="76" s="1"/>
  <c r="A19" i="76"/>
  <c r="E18" i="76"/>
  <c r="B18" i="76"/>
  <c r="C18" i="76" s="1"/>
  <c r="A18" i="76"/>
  <c r="E17" i="76"/>
  <c r="B17" i="76"/>
  <c r="C17" i="76" s="1"/>
  <c r="A17" i="76"/>
  <c r="E16" i="76"/>
  <c r="B16" i="76"/>
  <c r="C16" i="76" s="1"/>
  <c r="A16" i="76"/>
  <c r="E15" i="76"/>
  <c r="B15" i="76"/>
  <c r="C15" i="76" s="1"/>
  <c r="A15" i="76"/>
  <c r="E14" i="76"/>
  <c r="A14" i="76"/>
  <c r="E13" i="76"/>
  <c r="B13" i="76"/>
  <c r="C13" i="76" s="1"/>
  <c r="A13" i="76"/>
  <c r="E12" i="76"/>
  <c r="B12" i="76"/>
  <c r="C12" i="76" s="1"/>
  <c r="A12" i="76"/>
  <c r="E11" i="76"/>
  <c r="A11" i="76"/>
  <c r="E10" i="76"/>
  <c r="B10" i="76"/>
  <c r="C10" i="76" s="1"/>
  <c r="A10" i="76"/>
  <c r="E9" i="76"/>
  <c r="B9" i="76"/>
  <c r="C9" i="76" s="1"/>
  <c r="A9" i="76"/>
  <c r="E8" i="76"/>
  <c r="B8" i="76"/>
  <c r="C8" i="76" s="1"/>
  <c r="A8" i="76"/>
  <c r="E7" i="76"/>
  <c r="A7" i="76"/>
  <c r="E6" i="76"/>
  <c r="B6" i="76"/>
  <c r="C6" i="76" s="1"/>
  <c r="A6" i="76"/>
  <c r="E5" i="76"/>
  <c r="B5" i="76"/>
  <c r="C5" i="76" s="1"/>
  <c r="A5" i="76"/>
  <c r="AC62" i="75"/>
  <c r="AB62" i="75"/>
  <c r="AA62" i="75"/>
  <c r="Z62" i="75"/>
  <c r="X62" i="75"/>
  <c r="W62" i="75"/>
  <c r="V62" i="75"/>
  <c r="U62" i="75"/>
  <c r="T62" i="75"/>
  <c r="AC61" i="75"/>
  <c r="AA61" i="75"/>
  <c r="Z61" i="75"/>
  <c r="Y61" i="75"/>
  <c r="W61" i="75"/>
  <c r="U61" i="75"/>
  <c r="T61" i="75"/>
  <c r="S61" i="75"/>
  <c r="AB60" i="75"/>
  <c r="AA60" i="75"/>
  <c r="Z60" i="75"/>
  <c r="Y60" i="75"/>
  <c r="X60" i="75"/>
  <c r="W60" i="75"/>
  <c r="V60" i="75"/>
  <c r="U60" i="75"/>
  <c r="T60" i="75"/>
  <c r="S60" i="75"/>
  <c r="AC59" i="75"/>
  <c r="AA59" i="75"/>
  <c r="Y59" i="75"/>
  <c r="X59" i="75"/>
  <c r="W59" i="75"/>
  <c r="U59" i="75"/>
  <c r="S59" i="75"/>
  <c r="N50" i="75"/>
  <c r="M50" i="75"/>
  <c r="L50" i="75"/>
  <c r="K50" i="75"/>
  <c r="J50" i="75"/>
  <c r="I50" i="75"/>
  <c r="H50" i="75"/>
  <c r="G50" i="75"/>
  <c r="F50" i="75"/>
  <c r="E50" i="75"/>
  <c r="D50" i="75"/>
  <c r="C50" i="75"/>
  <c r="B50" i="75"/>
  <c r="N49" i="75"/>
  <c r="M49" i="75"/>
  <c r="L49" i="75"/>
  <c r="K49" i="75"/>
  <c r="J49" i="75"/>
  <c r="I49" i="75"/>
  <c r="H49" i="75"/>
  <c r="G49" i="75"/>
  <c r="F49" i="75"/>
  <c r="E49" i="75"/>
  <c r="D49" i="75"/>
  <c r="C49" i="75"/>
  <c r="B49" i="75"/>
  <c r="N48" i="75"/>
  <c r="M48" i="75"/>
  <c r="L48" i="75"/>
  <c r="K48" i="75"/>
  <c r="J48" i="75"/>
  <c r="I48" i="75"/>
  <c r="H48" i="75"/>
  <c r="G48" i="75"/>
  <c r="F48" i="75"/>
  <c r="E48" i="75"/>
  <c r="D48" i="75"/>
  <c r="C48" i="75"/>
  <c r="B48" i="75"/>
  <c r="N47" i="75"/>
  <c r="M47" i="75"/>
  <c r="L47" i="75"/>
  <c r="K47" i="75"/>
  <c r="J47" i="75"/>
  <c r="I47" i="75"/>
  <c r="H47" i="75"/>
  <c r="G47" i="75"/>
  <c r="F47" i="75"/>
  <c r="E47" i="75"/>
  <c r="D47" i="75"/>
  <c r="C47" i="75"/>
  <c r="B47" i="75"/>
  <c r="N46" i="75"/>
  <c r="M46" i="75"/>
  <c r="L46" i="75"/>
  <c r="K46" i="75"/>
  <c r="J46" i="75"/>
  <c r="I46" i="75"/>
  <c r="H46" i="75"/>
  <c r="G46" i="75"/>
  <c r="F46" i="75"/>
  <c r="E46" i="75"/>
  <c r="D46" i="75"/>
  <c r="C46" i="75"/>
  <c r="B46" i="75"/>
  <c r="N45" i="75"/>
  <c r="M45" i="75"/>
  <c r="L45" i="75"/>
  <c r="K45" i="75"/>
  <c r="J45" i="75"/>
  <c r="I45" i="75"/>
  <c r="H45" i="75"/>
  <c r="G45" i="75"/>
  <c r="F45" i="75"/>
  <c r="E45" i="75"/>
  <c r="D45" i="75"/>
  <c r="C45" i="75"/>
  <c r="B45" i="75"/>
  <c r="N44" i="75"/>
  <c r="M44" i="75"/>
  <c r="L44" i="75"/>
  <c r="K44" i="75"/>
  <c r="J44" i="75"/>
  <c r="I44" i="75"/>
  <c r="H44" i="75"/>
  <c r="G44" i="75"/>
  <c r="F44" i="75"/>
  <c r="E44" i="75"/>
  <c r="D44" i="75"/>
  <c r="C44" i="75"/>
  <c r="B44" i="75"/>
  <c r="N43" i="75"/>
  <c r="M43" i="75"/>
  <c r="L43" i="75"/>
  <c r="K43" i="75"/>
  <c r="J43" i="75"/>
  <c r="I43" i="75"/>
  <c r="H43" i="75"/>
  <c r="G43" i="75"/>
  <c r="F43" i="75"/>
  <c r="E43" i="75"/>
  <c r="D43" i="75"/>
  <c r="C43" i="75"/>
  <c r="B43" i="75"/>
  <c r="N42" i="75"/>
  <c r="M42" i="75"/>
  <c r="L42" i="75"/>
  <c r="K42" i="75"/>
  <c r="J42" i="75"/>
  <c r="I42" i="75"/>
  <c r="H42" i="75"/>
  <c r="G42" i="75"/>
  <c r="F42" i="75"/>
  <c r="E42" i="75"/>
  <c r="D42" i="75"/>
  <c r="C42" i="75"/>
  <c r="B42" i="75"/>
  <c r="N41" i="75"/>
  <c r="M41" i="75"/>
  <c r="L41" i="75"/>
  <c r="K41" i="75"/>
  <c r="J41" i="75"/>
  <c r="I41" i="75"/>
  <c r="H41" i="75"/>
  <c r="G41" i="75"/>
  <c r="F41" i="75"/>
  <c r="E41" i="75"/>
  <c r="D41" i="75"/>
  <c r="C41" i="75"/>
  <c r="B41" i="75"/>
  <c r="N40" i="75"/>
  <c r="M40" i="75"/>
  <c r="L40" i="75"/>
  <c r="K40" i="75"/>
  <c r="J40" i="75"/>
  <c r="I40" i="75"/>
  <c r="H40" i="75"/>
  <c r="G40" i="75"/>
  <c r="F40" i="75"/>
  <c r="E40" i="75"/>
  <c r="D40" i="75"/>
  <c r="C40" i="75"/>
  <c r="B40" i="75"/>
  <c r="N39" i="75"/>
  <c r="M39" i="75"/>
  <c r="L39" i="75"/>
  <c r="K39" i="75"/>
  <c r="J39" i="75"/>
  <c r="I39" i="75"/>
  <c r="H39" i="75"/>
  <c r="G39" i="75"/>
  <c r="F39" i="75"/>
  <c r="E39" i="75"/>
  <c r="D39" i="75"/>
  <c r="C39" i="75"/>
  <c r="B39" i="75"/>
  <c r="N38" i="75"/>
  <c r="M38" i="75"/>
  <c r="L38" i="75"/>
  <c r="K38" i="75"/>
  <c r="J38" i="75"/>
  <c r="I38" i="75"/>
  <c r="H38" i="75"/>
  <c r="G38" i="75"/>
  <c r="F38" i="75"/>
  <c r="E38" i="75"/>
  <c r="D38" i="75"/>
  <c r="C38" i="75"/>
  <c r="B38" i="75"/>
  <c r="N37" i="75"/>
  <c r="M37" i="75"/>
  <c r="L37" i="75"/>
  <c r="K37" i="75"/>
  <c r="J37" i="75"/>
  <c r="I37" i="75"/>
  <c r="H37" i="75"/>
  <c r="G37" i="75"/>
  <c r="F37" i="75"/>
  <c r="E37" i="75"/>
  <c r="D37" i="75"/>
  <c r="C37" i="75"/>
  <c r="B37" i="75"/>
  <c r="N36" i="75"/>
  <c r="M36" i="75"/>
  <c r="L36" i="75"/>
  <c r="K36" i="75"/>
  <c r="J36" i="75"/>
  <c r="I36" i="75"/>
  <c r="H36" i="75"/>
  <c r="G36" i="75"/>
  <c r="F36" i="75"/>
  <c r="E36" i="75"/>
  <c r="D36" i="75"/>
  <c r="C36" i="75"/>
  <c r="B36" i="75"/>
  <c r="N35" i="75"/>
  <c r="M35" i="75"/>
  <c r="L35" i="75"/>
  <c r="K35" i="75"/>
  <c r="J35" i="75"/>
  <c r="I35" i="75"/>
  <c r="H35" i="75"/>
  <c r="G35" i="75"/>
  <c r="F35" i="75"/>
  <c r="E35" i="75"/>
  <c r="D35" i="75"/>
  <c r="C35" i="75"/>
  <c r="B35" i="75"/>
  <c r="N34" i="75"/>
  <c r="M34" i="75"/>
  <c r="L34" i="75"/>
  <c r="K34" i="75"/>
  <c r="J34" i="75"/>
  <c r="I34" i="75"/>
  <c r="H34" i="75"/>
  <c r="G34" i="75"/>
  <c r="F34" i="75"/>
  <c r="E34" i="75"/>
  <c r="D34" i="75"/>
  <c r="C34" i="75"/>
  <c r="B34" i="75"/>
  <c r="N33" i="75"/>
  <c r="M33" i="75"/>
  <c r="L33" i="75"/>
  <c r="K33" i="75"/>
  <c r="J33" i="75"/>
  <c r="I33" i="75"/>
  <c r="H33" i="75"/>
  <c r="G33" i="75"/>
  <c r="F33" i="75"/>
  <c r="E33" i="75"/>
  <c r="D33" i="75"/>
  <c r="C33" i="75"/>
  <c r="B33" i="75"/>
  <c r="N32" i="75"/>
  <c r="M32" i="75"/>
  <c r="L32" i="75"/>
  <c r="K32" i="75"/>
  <c r="J32" i="75"/>
  <c r="I32" i="75"/>
  <c r="H32" i="75"/>
  <c r="G32" i="75"/>
  <c r="F32" i="75"/>
  <c r="E32" i="75"/>
  <c r="D32" i="75"/>
  <c r="C32" i="75"/>
  <c r="B32" i="75"/>
  <c r="N31" i="75"/>
  <c r="M31" i="75"/>
  <c r="L31" i="75"/>
  <c r="K31" i="75"/>
  <c r="J31" i="75"/>
  <c r="I31" i="75"/>
  <c r="H31" i="75"/>
  <c r="G31" i="75"/>
  <c r="F31" i="75"/>
  <c r="E31" i="75"/>
  <c r="D31" i="75"/>
  <c r="C31" i="75"/>
  <c r="B31" i="75"/>
  <c r="AC54" i="75"/>
  <c r="AB54" i="75"/>
  <c r="AA54" i="75"/>
  <c r="Z54" i="75"/>
  <c r="Y54" i="75"/>
  <c r="X54" i="75"/>
  <c r="W54" i="75"/>
  <c r="V54" i="75"/>
  <c r="U54" i="75"/>
  <c r="T54" i="75"/>
  <c r="S54" i="75"/>
  <c r="AB53" i="75"/>
  <c r="AA53" i="75"/>
  <c r="Z53" i="75"/>
  <c r="Y53" i="75"/>
  <c r="X53" i="75"/>
  <c r="W53" i="75"/>
  <c r="V53" i="75"/>
  <c r="U53" i="75"/>
  <c r="T53" i="75"/>
  <c r="S53" i="75"/>
  <c r="AC52" i="75"/>
  <c r="AB52" i="75"/>
  <c r="AA52" i="75"/>
  <c r="Z52" i="75"/>
  <c r="Y52" i="75"/>
  <c r="X52" i="75"/>
  <c r="W52" i="75"/>
  <c r="V52" i="75"/>
  <c r="U52" i="75"/>
  <c r="T52" i="75"/>
  <c r="S52" i="75"/>
  <c r="AC51" i="75"/>
  <c r="AB51" i="75"/>
  <c r="AA51" i="75"/>
  <c r="Z51" i="75"/>
  <c r="Y51" i="75"/>
  <c r="X51" i="75"/>
  <c r="W51" i="75"/>
  <c r="V51" i="75"/>
  <c r="U51" i="75"/>
  <c r="T51" i="75"/>
  <c r="S51" i="75"/>
  <c r="N26" i="75"/>
  <c r="M26" i="75"/>
  <c r="L26" i="75"/>
  <c r="K26" i="75"/>
  <c r="J26" i="75"/>
  <c r="I26" i="75"/>
  <c r="H26" i="75"/>
  <c r="G26" i="75"/>
  <c r="F26" i="75"/>
  <c r="E26" i="75"/>
  <c r="D26" i="75"/>
  <c r="C26" i="75"/>
  <c r="B26" i="75"/>
  <c r="N25" i="75"/>
  <c r="M25" i="75"/>
  <c r="L25" i="75"/>
  <c r="K25" i="75"/>
  <c r="J25" i="75"/>
  <c r="I25" i="75"/>
  <c r="H25" i="75"/>
  <c r="G25" i="75"/>
  <c r="F25" i="75"/>
  <c r="E25" i="75"/>
  <c r="D25" i="75"/>
  <c r="C25" i="75"/>
  <c r="B25" i="75"/>
  <c r="N24" i="75"/>
  <c r="M24" i="75"/>
  <c r="L24" i="75"/>
  <c r="K24" i="75"/>
  <c r="J24" i="75"/>
  <c r="I24" i="75"/>
  <c r="H24" i="75"/>
  <c r="G24" i="75"/>
  <c r="F24" i="75"/>
  <c r="E24" i="75"/>
  <c r="D24" i="75"/>
  <c r="C24" i="75"/>
  <c r="B24" i="75"/>
  <c r="N23" i="75"/>
  <c r="M23" i="75"/>
  <c r="L23" i="75"/>
  <c r="K23" i="75"/>
  <c r="J23" i="75"/>
  <c r="I23" i="75"/>
  <c r="H23" i="75"/>
  <c r="G23" i="75"/>
  <c r="F23" i="75"/>
  <c r="E23" i="75"/>
  <c r="D23" i="75"/>
  <c r="C23" i="75"/>
  <c r="B23" i="75"/>
  <c r="N22" i="75"/>
  <c r="M22" i="75"/>
  <c r="L22" i="75"/>
  <c r="K22" i="75"/>
  <c r="J22" i="75"/>
  <c r="I22" i="75"/>
  <c r="H22" i="75"/>
  <c r="G22" i="75"/>
  <c r="F22" i="75"/>
  <c r="E22" i="75"/>
  <c r="D22" i="75"/>
  <c r="C22" i="75"/>
  <c r="B22" i="75"/>
  <c r="N21" i="75"/>
  <c r="M21" i="75"/>
  <c r="L21" i="75"/>
  <c r="K21" i="75"/>
  <c r="J21" i="75"/>
  <c r="I21" i="75"/>
  <c r="H21" i="75"/>
  <c r="G21" i="75"/>
  <c r="F21" i="75"/>
  <c r="E21" i="75"/>
  <c r="D21" i="75"/>
  <c r="C21" i="75"/>
  <c r="B21" i="75"/>
  <c r="N20" i="75"/>
  <c r="M20" i="75"/>
  <c r="L20" i="75"/>
  <c r="K20" i="75"/>
  <c r="J20" i="75"/>
  <c r="I20" i="75"/>
  <c r="H20" i="75"/>
  <c r="G20" i="75"/>
  <c r="F20" i="75"/>
  <c r="E20" i="75"/>
  <c r="D20" i="75"/>
  <c r="C20" i="75"/>
  <c r="B20" i="75"/>
  <c r="N19" i="75"/>
  <c r="M19" i="75"/>
  <c r="L19" i="75"/>
  <c r="K19" i="75"/>
  <c r="J19" i="75"/>
  <c r="I19" i="75"/>
  <c r="H19" i="75"/>
  <c r="G19" i="75"/>
  <c r="F19" i="75"/>
  <c r="E19" i="75"/>
  <c r="D19" i="75"/>
  <c r="C19" i="75"/>
  <c r="B19" i="75"/>
  <c r="N18" i="75"/>
  <c r="M18" i="75"/>
  <c r="L18" i="75"/>
  <c r="K18" i="75"/>
  <c r="J18" i="75"/>
  <c r="I18" i="75"/>
  <c r="H18" i="75"/>
  <c r="G18" i="75"/>
  <c r="F18" i="75"/>
  <c r="E18" i="75"/>
  <c r="D18" i="75"/>
  <c r="C18" i="75"/>
  <c r="B18" i="75"/>
  <c r="N17" i="75"/>
  <c r="M17" i="75"/>
  <c r="L17" i="75"/>
  <c r="K17" i="75"/>
  <c r="J17" i="75"/>
  <c r="I17" i="75"/>
  <c r="H17" i="75"/>
  <c r="G17" i="75"/>
  <c r="F17" i="75"/>
  <c r="E17" i="75"/>
  <c r="D17" i="75"/>
  <c r="C17" i="75"/>
  <c r="B17" i="75"/>
  <c r="N16" i="75"/>
  <c r="M16" i="75"/>
  <c r="L16" i="75"/>
  <c r="K16" i="75"/>
  <c r="J16" i="75"/>
  <c r="I16" i="75"/>
  <c r="H16" i="75"/>
  <c r="G16" i="75"/>
  <c r="F16" i="75"/>
  <c r="E16" i="75"/>
  <c r="D16" i="75"/>
  <c r="C16" i="75"/>
  <c r="B16" i="75"/>
  <c r="N15" i="75"/>
  <c r="M15" i="75"/>
  <c r="L15" i="75"/>
  <c r="K15" i="75"/>
  <c r="J15" i="75"/>
  <c r="I15" i="75"/>
  <c r="H15" i="75"/>
  <c r="G15" i="75"/>
  <c r="F15" i="75"/>
  <c r="E15" i="75"/>
  <c r="D15" i="75"/>
  <c r="C15" i="75"/>
  <c r="B15" i="75"/>
  <c r="N14" i="75"/>
  <c r="M14" i="75"/>
  <c r="L14" i="75"/>
  <c r="K14" i="75"/>
  <c r="J14" i="75"/>
  <c r="I14" i="75"/>
  <c r="H14" i="75"/>
  <c r="G14" i="75"/>
  <c r="F14" i="75"/>
  <c r="E14" i="75"/>
  <c r="D14" i="75"/>
  <c r="C14" i="75"/>
  <c r="B14" i="75"/>
  <c r="N13" i="75"/>
  <c r="M13" i="75"/>
  <c r="L13" i="75"/>
  <c r="K13" i="75"/>
  <c r="J13" i="75"/>
  <c r="I13" i="75"/>
  <c r="H13" i="75"/>
  <c r="G13" i="75"/>
  <c r="F13" i="75"/>
  <c r="E13" i="75"/>
  <c r="D13" i="75"/>
  <c r="C13" i="75"/>
  <c r="B13" i="75"/>
  <c r="N12" i="75"/>
  <c r="M12" i="75"/>
  <c r="L12" i="75"/>
  <c r="K12" i="75"/>
  <c r="J12" i="75"/>
  <c r="I12" i="75"/>
  <c r="H12" i="75"/>
  <c r="G12" i="75"/>
  <c r="F12" i="75"/>
  <c r="E12" i="75"/>
  <c r="D12" i="75"/>
  <c r="C12" i="75"/>
  <c r="B12" i="75"/>
  <c r="N11" i="75"/>
  <c r="M11" i="75"/>
  <c r="L11" i="75"/>
  <c r="K11" i="75"/>
  <c r="J11" i="75"/>
  <c r="I11" i="75"/>
  <c r="H11" i="75"/>
  <c r="G11" i="75"/>
  <c r="F11" i="75"/>
  <c r="E11" i="75"/>
  <c r="D11" i="75"/>
  <c r="C11" i="75"/>
  <c r="B11" i="75"/>
  <c r="N10" i="75"/>
  <c r="M10" i="75"/>
  <c r="L10" i="75"/>
  <c r="K10" i="75"/>
  <c r="J10" i="75"/>
  <c r="I10" i="75"/>
  <c r="H10" i="75"/>
  <c r="G10" i="75"/>
  <c r="F10" i="75"/>
  <c r="E10" i="75"/>
  <c r="D10" i="75"/>
  <c r="C10" i="75"/>
  <c r="B10" i="75"/>
  <c r="N9" i="75"/>
  <c r="M9" i="75"/>
  <c r="L9" i="75"/>
  <c r="K9" i="75"/>
  <c r="J9" i="75"/>
  <c r="I9" i="75"/>
  <c r="H9" i="75"/>
  <c r="G9" i="75"/>
  <c r="F9" i="75"/>
  <c r="E9" i="75"/>
  <c r="D9" i="75"/>
  <c r="C9" i="75"/>
  <c r="B9" i="75"/>
  <c r="N8" i="75"/>
  <c r="M8" i="75"/>
  <c r="L8" i="75"/>
  <c r="K8" i="75"/>
  <c r="J8" i="75"/>
  <c r="I8" i="75"/>
  <c r="H8" i="75"/>
  <c r="G8" i="75"/>
  <c r="F8" i="75"/>
  <c r="E8" i="75"/>
  <c r="D8" i="75"/>
  <c r="C8" i="75"/>
  <c r="B8" i="75"/>
  <c r="N7" i="75"/>
  <c r="M7" i="75"/>
  <c r="L7" i="75"/>
  <c r="K7" i="75"/>
  <c r="J7" i="75"/>
  <c r="I7" i="75"/>
  <c r="H7" i="75"/>
  <c r="G7" i="75"/>
  <c r="F7" i="75"/>
  <c r="E7" i="75"/>
  <c r="D7" i="75"/>
  <c r="C7" i="75"/>
  <c r="B7" i="75"/>
  <c r="N6" i="75"/>
  <c r="M6" i="75"/>
  <c r="AB50" i="75" s="1"/>
  <c r="AB58" i="75" s="1"/>
  <c r="L6" i="75"/>
  <c r="AA50" i="75" s="1"/>
  <c r="AA58" i="75" s="1"/>
  <c r="K6" i="75"/>
  <c r="Z50" i="75" s="1"/>
  <c r="Z58" i="75" s="1"/>
  <c r="J6" i="75"/>
  <c r="Y50" i="75" s="1"/>
  <c r="Y58" i="75" s="1"/>
  <c r="I6" i="75"/>
  <c r="X50" i="75" s="1"/>
  <c r="X58" i="75" s="1"/>
  <c r="H6" i="75"/>
  <c r="W50" i="75" s="1"/>
  <c r="W58" i="75" s="1"/>
  <c r="G6" i="75"/>
  <c r="V50" i="75" s="1"/>
  <c r="V58" i="75" s="1"/>
  <c r="F6" i="75"/>
  <c r="U50" i="75" s="1"/>
  <c r="U58" i="75" s="1"/>
  <c r="E6" i="75"/>
  <c r="T50" i="75" s="1"/>
  <c r="T58" i="75" s="1"/>
  <c r="D6" i="75"/>
  <c r="S50" i="75" s="1"/>
  <c r="S58" i="75" s="1"/>
  <c r="BD5" i="75"/>
  <c r="BC5" i="75"/>
  <c r="BB5" i="75"/>
  <c r="BA5" i="75"/>
  <c r="AZ5" i="75"/>
  <c r="AY5" i="75"/>
  <c r="AX5" i="75"/>
  <c r="AW5" i="75"/>
  <c r="AV5" i="75"/>
  <c r="AU5" i="75"/>
  <c r="AT5" i="75"/>
  <c r="BD4" i="75"/>
  <c r="BC4" i="75"/>
  <c r="BB4" i="75"/>
  <c r="BA4" i="75"/>
  <c r="AZ4" i="75"/>
  <c r="AY4" i="75"/>
  <c r="AX4" i="75"/>
  <c r="AW4" i="75"/>
  <c r="AV4" i="75"/>
  <c r="AU4" i="75"/>
  <c r="AT4" i="75"/>
  <c r="BD3" i="75"/>
  <c r="BC3" i="75"/>
  <c r="BL11" i="75" s="1"/>
  <c r="BB3" i="75"/>
  <c r="BL10" i="75" s="1"/>
  <c r="BA3" i="75"/>
  <c r="BL9" i="75" s="1"/>
  <c r="AZ3" i="75"/>
  <c r="BL8" i="75" s="1"/>
  <c r="AY3" i="75"/>
  <c r="BL7" i="75" s="1"/>
  <c r="AX3" i="75"/>
  <c r="BL6" i="75" s="1"/>
  <c r="AW3" i="75"/>
  <c r="BL5" i="75" s="1"/>
  <c r="AV3" i="75"/>
  <c r="BL4" i="75" s="1"/>
  <c r="AU3" i="75"/>
  <c r="BL3" i="75" s="1"/>
  <c r="AT3" i="75"/>
  <c r="BL2" i="75" s="1"/>
  <c r="N104" i="74"/>
  <c r="M104" i="74"/>
  <c r="L104" i="74"/>
  <c r="K104" i="74"/>
  <c r="J104" i="74"/>
  <c r="I104" i="74"/>
  <c r="H104" i="74"/>
  <c r="G104" i="74"/>
  <c r="F104" i="74"/>
  <c r="E104" i="74"/>
  <c r="D104" i="74"/>
  <c r="N103" i="74"/>
  <c r="M103" i="74"/>
  <c r="L103" i="74"/>
  <c r="K103" i="74"/>
  <c r="J103" i="74"/>
  <c r="I103" i="74"/>
  <c r="H103" i="74"/>
  <c r="G103" i="74"/>
  <c r="F103" i="74"/>
  <c r="E103" i="74"/>
  <c r="D103" i="74"/>
  <c r="N102" i="74"/>
  <c r="M102" i="74"/>
  <c r="L102" i="74"/>
  <c r="K102" i="74"/>
  <c r="J102" i="74"/>
  <c r="I102" i="74"/>
  <c r="H102" i="74"/>
  <c r="G102" i="74"/>
  <c r="F102" i="74"/>
  <c r="E102" i="74"/>
  <c r="D102" i="74"/>
  <c r="N101" i="74"/>
  <c r="M101" i="74"/>
  <c r="L101" i="74"/>
  <c r="K101" i="74"/>
  <c r="J101" i="74"/>
  <c r="I101" i="74"/>
  <c r="H101" i="74"/>
  <c r="G101" i="74"/>
  <c r="F101" i="74"/>
  <c r="E101" i="74"/>
  <c r="D101" i="74"/>
  <c r="N91" i="74"/>
  <c r="M91" i="74"/>
  <c r="L91" i="74"/>
  <c r="K91" i="74"/>
  <c r="J91" i="74"/>
  <c r="I91" i="74"/>
  <c r="H91" i="74"/>
  <c r="G91" i="74"/>
  <c r="F91" i="74"/>
  <c r="E91" i="74"/>
  <c r="D91" i="74"/>
  <c r="N90" i="74"/>
  <c r="M90" i="74"/>
  <c r="L90" i="74"/>
  <c r="K90" i="74"/>
  <c r="J90" i="74"/>
  <c r="I90" i="74"/>
  <c r="H90" i="74"/>
  <c r="G90" i="74"/>
  <c r="F90" i="74"/>
  <c r="E90" i="74"/>
  <c r="D90" i="74"/>
  <c r="N89" i="74"/>
  <c r="M89" i="74"/>
  <c r="L89" i="74"/>
  <c r="K89" i="74"/>
  <c r="J89" i="74"/>
  <c r="I89" i="74"/>
  <c r="H89" i="74"/>
  <c r="G89" i="74"/>
  <c r="F89" i="74"/>
  <c r="E89" i="74"/>
  <c r="D89" i="74"/>
  <c r="N88" i="74"/>
  <c r="M88" i="74"/>
  <c r="L88" i="74"/>
  <c r="K88" i="74"/>
  <c r="J88" i="74"/>
  <c r="I88" i="74"/>
  <c r="H88" i="74"/>
  <c r="G88" i="74"/>
  <c r="F88" i="74"/>
  <c r="E88" i="74"/>
  <c r="D88" i="74"/>
  <c r="N54" i="74"/>
  <c r="M54" i="74"/>
  <c r="L54" i="74"/>
  <c r="K54" i="74"/>
  <c r="J54" i="74"/>
  <c r="I54" i="74"/>
  <c r="H54" i="74"/>
  <c r="G54" i="74"/>
  <c r="F54" i="74"/>
  <c r="E54" i="74"/>
  <c r="D54" i="74"/>
  <c r="N53" i="74"/>
  <c r="M53" i="74"/>
  <c r="L53" i="74"/>
  <c r="K53" i="74"/>
  <c r="J53" i="74"/>
  <c r="I53" i="74"/>
  <c r="H53" i="74"/>
  <c r="G53" i="74"/>
  <c r="F53" i="74"/>
  <c r="E53" i="74"/>
  <c r="D53" i="74"/>
  <c r="N52" i="74"/>
  <c r="M52" i="74"/>
  <c r="L52" i="74"/>
  <c r="K52" i="74"/>
  <c r="J52" i="74"/>
  <c r="I52" i="74"/>
  <c r="H52" i="74"/>
  <c r="G52" i="74"/>
  <c r="F52" i="74"/>
  <c r="E52" i="74"/>
  <c r="D52" i="74"/>
  <c r="N51" i="74"/>
  <c r="M51" i="74"/>
  <c r="L51" i="74"/>
  <c r="K51" i="74"/>
  <c r="J51" i="74"/>
  <c r="I51" i="74"/>
  <c r="H51" i="74"/>
  <c r="G51" i="74"/>
  <c r="F51" i="74"/>
  <c r="E51" i="74"/>
  <c r="D51" i="74"/>
  <c r="N50" i="74"/>
  <c r="M50" i="74"/>
  <c r="L50" i="74"/>
  <c r="K50" i="74"/>
  <c r="J50" i="74"/>
  <c r="I50" i="74"/>
  <c r="H50" i="74"/>
  <c r="G50" i="74"/>
  <c r="F50" i="74"/>
  <c r="E50" i="74"/>
  <c r="D50" i="74"/>
  <c r="C50" i="74"/>
  <c r="B50" i="74"/>
  <c r="N49" i="74"/>
  <c r="M49" i="74"/>
  <c r="L49" i="74"/>
  <c r="K49" i="74"/>
  <c r="J49" i="74"/>
  <c r="I49" i="74"/>
  <c r="H49" i="74"/>
  <c r="G49" i="74"/>
  <c r="F49" i="74"/>
  <c r="E49" i="74"/>
  <c r="D49" i="74"/>
  <c r="C49" i="74"/>
  <c r="B49" i="74"/>
  <c r="N48" i="74"/>
  <c r="M48" i="74"/>
  <c r="L48" i="74"/>
  <c r="K48" i="74"/>
  <c r="J48" i="74"/>
  <c r="I48" i="74"/>
  <c r="H48" i="74"/>
  <c r="G48" i="74"/>
  <c r="F48" i="74"/>
  <c r="E48" i="74"/>
  <c r="D48" i="74"/>
  <c r="C48" i="74"/>
  <c r="B48" i="74"/>
  <c r="N47" i="74"/>
  <c r="M47" i="74"/>
  <c r="L47" i="74"/>
  <c r="K47" i="74"/>
  <c r="J47" i="74"/>
  <c r="I47" i="74"/>
  <c r="H47" i="74"/>
  <c r="G47" i="74"/>
  <c r="F47" i="74"/>
  <c r="E47" i="74"/>
  <c r="D47" i="74"/>
  <c r="C47" i="74"/>
  <c r="B47" i="74"/>
  <c r="N46" i="74"/>
  <c r="M46" i="74"/>
  <c r="L46" i="74"/>
  <c r="K46" i="74"/>
  <c r="J46" i="74"/>
  <c r="I46" i="74"/>
  <c r="H46" i="74"/>
  <c r="G46" i="74"/>
  <c r="F46" i="74"/>
  <c r="E46" i="74"/>
  <c r="D46" i="74"/>
  <c r="C46" i="74"/>
  <c r="B46" i="74"/>
  <c r="N45" i="74"/>
  <c r="M45" i="74"/>
  <c r="L45" i="74"/>
  <c r="K45" i="74"/>
  <c r="J45" i="74"/>
  <c r="I45" i="74"/>
  <c r="H45" i="74"/>
  <c r="G45" i="74"/>
  <c r="F45" i="74"/>
  <c r="E45" i="74"/>
  <c r="D45" i="74"/>
  <c r="C45" i="74"/>
  <c r="B45" i="74"/>
  <c r="N44" i="74"/>
  <c r="M44" i="74"/>
  <c r="L44" i="74"/>
  <c r="K44" i="74"/>
  <c r="J44" i="74"/>
  <c r="I44" i="74"/>
  <c r="H44" i="74"/>
  <c r="G44" i="74"/>
  <c r="F44" i="74"/>
  <c r="E44" i="74"/>
  <c r="D44" i="74"/>
  <c r="C44" i="74"/>
  <c r="B44" i="74"/>
  <c r="N43" i="74"/>
  <c r="M43" i="74"/>
  <c r="L43" i="74"/>
  <c r="K43" i="74"/>
  <c r="J43" i="74"/>
  <c r="I43" i="74"/>
  <c r="H43" i="74"/>
  <c r="G43" i="74"/>
  <c r="F43" i="74"/>
  <c r="E43" i="74"/>
  <c r="D43" i="74"/>
  <c r="C43" i="74"/>
  <c r="B43" i="74"/>
  <c r="N42" i="74"/>
  <c r="M42" i="74"/>
  <c r="L42" i="74"/>
  <c r="K42" i="74"/>
  <c r="J42" i="74"/>
  <c r="I42" i="74"/>
  <c r="H42" i="74"/>
  <c r="G42" i="74"/>
  <c r="F42" i="74"/>
  <c r="E42" i="74"/>
  <c r="D42" i="74"/>
  <c r="C42" i="74"/>
  <c r="B42" i="74"/>
  <c r="N41" i="74"/>
  <c r="M41" i="74"/>
  <c r="L41" i="74"/>
  <c r="K41" i="74"/>
  <c r="J41" i="74"/>
  <c r="I41" i="74"/>
  <c r="H41" i="74"/>
  <c r="G41" i="74"/>
  <c r="F41" i="74"/>
  <c r="E41" i="74"/>
  <c r="D41" i="74"/>
  <c r="C41" i="74"/>
  <c r="B41" i="74"/>
  <c r="N40" i="74"/>
  <c r="M40" i="74"/>
  <c r="L40" i="74"/>
  <c r="K40" i="74"/>
  <c r="J40" i="74"/>
  <c r="I40" i="74"/>
  <c r="H40" i="74"/>
  <c r="G40" i="74"/>
  <c r="F40" i="74"/>
  <c r="E40" i="74"/>
  <c r="D40" i="74"/>
  <c r="C40" i="74"/>
  <c r="B40" i="74"/>
  <c r="N39" i="74"/>
  <c r="M39" i="74"/>
  <c r="L39" i="74"/>
  <c r="K39" i="74"/>
  <c r="J39" i="74"/>
  <c r="I39" i="74"/>
  <c r="H39" i="74"/>
  <c r="G39" i="74"/>
  <c r="F39" i="74"/>
  <c r="E39" i="74"/>
  <c r="D39" i="74"/>
  <c r="C39" i="74"/>
  <c r="B39" i="74"/>
  <c r="N38" i="74"/>
  <c r="M38" i="74"/>
  <c r="L38" i="74"/>
  <c r="K38" i="74"/>
  <c r="J38" i="74"/>
  <c r="I38" i="74"/>
  <c r="H38" i="74"/>
  <c r="G38" i="74"/>
  <c r="F38" i="74"/>
  <c r="E38" i="74"/>
  <c r="D38" i="74"/>
  <c r="C38" i="74"/>
  <c r="B38" i="74"/>
  <c r="N37" i="74"/>
  <c r="M37" i="74"/>
  <c r="L37" i="74"/>
  <c r="K37" i="74"/>
  <c r="J37" i="74"/>
  <c r="I37" i="74"/>
  <c r="H37" i="74"/>
  <c r="G37" i="74"/>
  <c r="F37" i="74"/>
  <c r="E37" i="74"/>
  <c r="D37" i="74"/>
  <c r="C37" i="74"/>
  <c r="B37" i="74"/>
  <c r="N36" i="74"/>
  <c r="M36" i="74"/>
  <c r="L36" i="74"/>
  <c r="K36" i="74"/>
  <c r="J36" i="74"/>
  <c r="I36" i="74"/>
  <c r="H36" i="74"/>
  <c r="G36" i="74"/>
  <c r="F36" i="74"/>
  <c r="E36" i="74"/>
  <c r="D36" i="74"/>
  <c r="C36" i="74"/>
  <c r="B36" i="74"/>
  <c r="N35" i="74"/>
  <c r="M35" i="74"/>
  <c r="L35" i="74"/>
  <c r="K35" i="74"/>
  <c r="J35" i="74"/>
  <c r="I35" i="74"/>
  <c r="H35" i="74"/>
  <c r="G35" i="74"/>
  <c r="F35" i="74"/>
  <c r="E35" i="74"/>
  <c r="D35" i="74"/>
  <c r="C35" i="74"/>
  <c r="B35" i="74"/>
  <c r="N34" i="74"/>
  <c r="M34" i="74"/>
  <c r="L34" i="74"/>
  <c r="K34" i="74"/>
  <c r="J34" i="74"/>
  <c r="I34" i="74"/>
  <c r="H34" i="74"/>
  <c r="G34" i="74"/>
  <c r="F34" i="74"/>
  <c r="E34" i="74"/>
  <c r="D34" i="74"/>
  <c r="C34" i="74"/>
  <c r="B34" i="74"/>
  <c r="N33" i="74"/>
  <c r="M33" i="74"/>
  <c r="L33" i="74"/>
  <c r="K33" i="74"/>
  <c r="J33" i="74"/>
  <c r="I33" i="74"/>
  <c r="H33" i="74"/>
  <c r="G33" i="74"/>
  <c r="F33" i="74"/>
  <c r="E33" i="74"/>
  <c r="D33" i="74"/>
  <c r="C33" i="74"/>
  <c r="B33" i="74"/>
  <c r="N32" i="74"/>
  <c r="M32" i="74"/>
  <c r="L32" i="74"/>
  <c r="K32" i="74"/>
  <c r="J32" i="74"/>
  <c r="I32" i="74"/>
  <c r="H32" i="74"/>
  <c r="G32" i="74"/>
  <c r="F32" i="74"/>
  <c r="E32" i="74"/>
  <c r="D32" i="74"/>
  <c r="C32" i="74"/>
  <c r="B32" i="74"/>
  <c r="Q31" i="74"/>
  <c r="N31" i="74"/>
  <c r="V82" i="74" s="1"/>
  <c r="M31" i="74"/>
  <c r="L31" i="74"/>
  <c r="K31" i="74"/>
  <c r="J31" i="74"/>
  <c r="I31" i="74"/>
  <c r="H31" i="74"/>
  <c r="J82" i="74" s="1"/>
  <c r="I82" i="74" s="1"/>
  <c r="G31" i="74"/>
  <c r="F31" i="74"/>
  <c r="E31" i="74"/>
  <c r="D31" i="74"/>
  <c r="C31" i="74"/>
  <c r="B31" i="74"/>
  <c r="N30" i="74"/>
  <c r="AC34" i="74" s="1"/>
  <c r="M30" i="74"/>
  <c r="L30" i="74"/>
  <c r="AA34" i="74" s="1"/>
  <c r="K30" i="74"/>
  <c r="Z34" i="74" s="1"/>
  <c r="J30" i="74"/>
  <c r="Y34" i="74" s="1"/>
  <c r="I30" i="74"/>
  <c r="X34" i="74" s="1"/>
  <c r="H30" i="74"/>
  <c r="W34" i="74" s="1"/>
  <c r="G30" i="74"/>
  <c r="F30" i="74"/>
  <c r="U34" i="74" s="1"/>
  <c r="E30" i="74"/>
  <c r="T34" i="74" s="1"/>
  <c r="D30" i="74"/>
  <c r="S34" i="74" s="1"/>
  <c r="N29" i="74"/>
  <c r="AC33" i="74" s="1"/>
  <c r="M29" i="74"/>
  <c r="AB33" i="74" s="1"/>
  <c r="L29" i="74"/>
  <c r="K29" i="74"/>
  <c r="Z33" i="74" s="1"/>
  <c r="J29" i="74"/>
  <c r="Y33" i="74" s="1"/>
  <c r="I29" i="74"/>
  <c r="X33" i="74" s="1"/>
  <c r="H29" i="74"/>
  <c r="W33" i="74" s="1"/>
  <c r="G29" i="74"/>
  <c r="V33" i="74" s="1"/>
  <c r="F29" i="74"/>
  <c r="E29" i="74"/>
  <c r="T33" i="74" s="1"/>
  <c r="D29" i="74"/>
  <c r="S33" i="74" s="1"/>
  <c r="N28" i="74"/>
  <c r="AC32" i="74" s="1"/>
  <c r="M28" i="74"/>
  <c r="AB32" i="74" s="1"/>
  <c r="L28" i="74"/>
  <c r="AA32" i="74" s="1"/>
  <c r="K28" i="74"/>
  <c r="J28" i="74"/>
  <c r="Y32" i="74" s="1"/>
  <c r="I28" i="74"/>
  <c r="X32" i="74" s="1"/>
  <c r="H28" i="74"/>
  <c r="W32" i="74" s="1"/>
  <c r="G28" i="74"/>
  <c r="V32" i="74" s="1"/>
  <c r="F28" i="74"/>
  <c r="U32" i="74" s="1"/>
  <c r="E28" i="74"/>
  <c r="D28" i="74"/>
  <c r="S32" i="74" s="1"/>
  <c r="N27" i="74"/>
  <c r="AC31" i="74" s="1"/>
  <c r="M27" i="74"/>
  <c r="AB31" i="74" s="1"/>
  <c r="L27" i="74"/>
  <c r="AA31" i="74" s="1"/>
  <c r="K27" i="74"/>
  <c r="Z31" i="74" s="1"/>
  <c r="J27" i="74"/>
  <c r="I27" i="74"/>
  <c r="X31" i="74" s="1"/>
  <c r="H27" i="74"/>
  <c r="W31" i="74" s="1"/>
  <c r="G27" i="74"/>
  <c r="V31" i="74" s="1"/>
  <c r="F27" i="74"/>
  <c r="U31" i="74" s="1"/>
  <c r="E27" i="74"/>
  <c r="T31" i="74" s="1"/>
  <c r="D27" i="74"/>
  <c r="N26" i="74"/>
  <c r="M26" i="74"/>
  <c r="L26" i="74"/>
  <c r="K26" i="74"/>
  <c r="J26" i="74"/>
  <c r="I26" i="74"/>
  <c r="H26" i="74"/>
  <c r="G26" i="74"/>
  <c r="F26" i="74"/>
  <c r="E26" i="74"/>
  <c r="D26" i="74"/>
  <c r="C26" i="74"/>
  <c r="B26" i="74"/>
  <c r="R26" i="74" s="1"/>
  <c r="N25" i="74"/>
  <c r="M25" i="74"/>
  <c r="L25" i="74"/>
  <c r="K25" i="74"/>
  <c r="J25" i="74"/>
  <c r="I25" i="74"/>
  <c r="H25" i="74"/>
  <c r="G25" i="74"/>
  <c r="F25" i="74"/>
  <c r="E25" i="74"/>
  <c r="D25" i="74"/>
  <c r="C25" i="74"/>
  <c r="B25" i="74"/>
  <c r="R25" i="74" s="1"/>
  <c r="AC25" i="74" s="1"/>
  <c r="N24" i="74"/>
  <c r="M24" i="74"/>
  <c r="L24" i="74"/>
  <c r="K24" i="74"/>
  <c r="J24" i="74"/>
  <c r="I24" i="74"/>
  <c r="H24" i="74"/>
  <c r="G24" i="74"/>
  <c r="F24" i="74"/>
  <c r="E24" i="74"/>
  <c r="D24" i="74"/>
  <c r="C24" i="74"/>
  <c r="B24" i="74"/>
  <c r="R24" i="74" s="1"/>
  <c r="AC24" i="74" s="1"/>
  <c r="N23" i="74"/>
  <c r="M23" i="74"/>
  <c r="L23" i="74"/>
  <c r="K23" i="74"/>
  <c r="J23" i="74"/>
  <c r="I23" i="74"/>
  <c r="H23" i="74"/>
  <c r="G23" i="74"/>
  <c r="F23" i="74"/>
  <c r="E23" i="74"/>
  <c r="D23" i="74"/>
  <c r="C23" i="74"/>
  <c r="B23" i="74"/>
  <c r="R23" i="74" s="1"/>
  <c r="N22" i="74"/>
  <c r="M22" i="74"/>
  <c r="L22" i="74"/>
  <c r="K22" i="74"/>
  <c r="J22" i="74"/>
  <c r="I22" i="74"/>
  <c r="H22" i="74"/>
  <c r="G22" i="74"/>
  <c r="F22" i="74"/>
  <c r="E22" i="74"/>
  <c r="D22" i="74"/>
  <c r="C22" i="74"/>
  <c r="B22" i="74"/>
  <c r="R22" i="74" s="1"/>
  <c r="U22" i="74" s="1"/>
  <c r="N21" i="74"/>
  <c r="M21" i="74"/>
  <c r="L21" i="74"/>
  <c r="K21" i="74"/>
  <c r="J21" i="74"/>
  <c r="I21" i="74"/>
  <c r="H21" i="74"/>
  <c r="G21" i="74"/>
  <c r="F21" i="74"/>
  <c r="E21" i="74"/>
  <c r="D21" i="74"/>
  <c r="C21" i="74"/>
  <c r="B21" i="74"/>
  <c r="R21" i="74" s="1"/>
  <c r="N20" i="74"/>
  <c r="M20" i="74"/>
  <c r="L20" i="74"/>
  <c r="K20" i="74"/>
  <c r="J20" i="74"/>
  <c r="I20" i="74"/>
  <c r="H20" i="74"/>
  <c r="G20" i="74"/>
  <c r="F20" i="74"/>
  <c r="E20" i="74"/>
  <c r="D20" i="74"/>
  <c r="C20" i="74"/>
  <c r="B20" i="74"/>
  <c r="R20" i="74" s="1"/>
  <c r="N19" i="74"/>
  <c r="M19" i="74"/>
  <c r="L19" i="74"/>
  <c r="K19" i="74"/>
  <c r="J19" i="74"/>
  <c r="I19" i="74"/>
  <c r="H19" i="74"/>
  <c r="G19" i="74"/>
  <c r="F19" i="74"/>
  <c r="E19" i="74"/>
  <c r="D19" i="74"/>
  <c r="C19" i="74"/>
  <c r="B19" i="74"/>
  <c r="R19" i="74" s="1"/>
  <c r="AC19" i="74" s="1"/>
  <c r="N18" i="74"/>
  <c r="M18" i="74"/>
  <c r="L18" i="74"/>
  <c r="K18" i="74"/>
  <c r="J18" i="74"/>
  <c r="I18" i="74"/>
  <c r="H18" i="74"/>
  <c r="G18" i="74"/>
  <c r="F18" i="74"/>
  <c r="E18" i="74"/>
  <c r="D18" i="74"/>
  <c r="C18" i="74"/>
  <c r="B18" i="74"/>
  <c r="R18" i="74" s="1"/>
  <c r="S18" i="74" s="1"/>
  <c r="N17" i="74"/>
  <c r="M17" i="74"/>
  <c r="L17" i="74"/>
  <c r="K17" i="74"/>
  <c r="J17" i="74"/>
  <c r="I17" i="74"/>
  <c r="H17" i="74"/>
  <c r="G17" i="74"/>
  <c r="F17" i="74"/>
  <c r="E17" i="74"/>
  <c r="D17" i="74"/>
  <c r="C17" i="74"/>
  <c r="B17" i="74"/>
  <c r="R17" i="74" s="1"/>
  <c r="AA17" i="74" s="1"/>
  <c r="N16" i="74"/>
  <c r="M16" i="74"/>
  <c r="L16" i="74"/>
  <c r="K16" i="74"/>
  <c r="J16" i="74"/>
  <c r="I16" i="74"/>
  <c r="H16" i="74"/>
  <c r="G16" i="74"/>
  <c r="F16" i="74"/>
  <c r="E16" i="74"/>
  <c r="D16" i="74"/>
  <c r="C16" i="74"/>
  <c r="B16" i="74"/>
  <c r="R16" i="74" s="1"/>
  <c r="Y16" i="74" s="1"/>
  <c r="N15" i="74"/>
  <c r="M15" i="74"/>
  <c r="L15" i="74"/>
  <c r="K15" i="74"/>
  <c r="J15" i="74"/>
  <c r="I15" i="74"/>
  <c r="H15" i="74"/>
  <c r="G15" i="74"/>
  <c r="F15" i="74"/>
  <c r="E15" i="74"/>
  <c r="D15" i="74"/>
  <c r="C15" i="74"/>
  <c r="B15" i="74"/>
  <c r="R15" i="74" s="1"/>
  <c r="AC15" i="74" s="1"/>
  <c r="N14" i="74"/>
  <c r="M14" i="74"/>
  <c r="L14" i="74"/>
  <c r="K14" i="74"/>
  <c r="J14" i="74"/>
  <c r="I14" i="74"/>
  <c r="H14" i="74"/>
  <c r="G14" i="74"/>
  <c r="F14" i="74"/>
  <c r="E14" i="74"/>
  <c r="D14" i="74"/>
  <c r="C14" i="74"/>
  <c r="B14" i="74"/>
  <c r="R14" i="74" s="1"/>
  <c r="N13" i="74"/>
  <c r="M13" i="74"/>
  <c r="L13" i="74"/>
  <c r="K13" i="74"/>
  <c r="J13" i="74"/>
  <c r="I13" i="74"/>
  <c r="H13" i="74"/>
  <c r="G13" i="74"/>
  <c r="F13" i="74"/>
  <c r="E13" i="74"/>
  <c r="D13" i="74"/>
  <c r="C13" i="74"/>
  <c r="B13" i="74"/>
  <c r="R13" i="74" s="1"/>
  <c r="AA13" i="74" s="1"/>
  <c r="N12" i="74"/>
  <c r="M12" i="74"/>
  <c r="L12" i="74"/>
  <c r="K12" i="74"/>
  <c r="J12" i="74"/>
  <c r="I12" i="74"/>
  <c r="H12" i="74"/>
  <c r="G12" i="74"/>
  <c r="F12" i="74"/>
  <c r="E12" i="74"/>
  <c r="D12" i="74"/>
  <c r="C12" i="74"/>
  <c r="B12" i="74"/>
  <c r="R12" i="74" s="1"/>
  <c r="N11" i="74"/>
  <c r="M11" i="74"/>
  <c r="L11" i="74"/>
  <c r="K11" i="74"/>
  <c r="J11" i="74"/>
  <c r="I11" i="74"/>
  <c r="H11" i="74"/>
  <c r="G11" i="74"/>
  <c r="F11" i="74"/>
  <c r="E11" i="74"/>
  <c r="D11" i="74"/>
  <c r="C11" i="74"/>
  <c r="B11" i="74"/>
  <c r="R11" i="74" s="1"/>
  <c r="AA11" i="74" s="1"/>
  <c r="N10" i="74"/>
  <c r="M10" i="74"/>
  <c r="L10" i="74"/>
  <c r="K10" i="74"/>
  <c r="J10" i="74"/>
  <c r="I10" i="74"/>
  <c r="H10" i="74"/>
  <c r="G10" i="74"/>
  <c r="F10" i="74"/>
  <c r="E10" i="74"/>
  <c r="D10" i="74"/>
  <c r="C10" i="74"/>
  <c r="B10" i="74"/>
  <c r="R10" i="74" s="1"/>
  <c r="N9" i="74"/>
  <c r="M9" i="74"/>
  <c r="L9" i="74"/>
  <c r="K9" i="74"/>
  <c r="J9" i="74"/>
  <c r="I9" i="74"/>
  <c r="H9" i="74"/>
  <c r="G9" i="74"/>
  <c r="F9" i="74"/>
  <c r="E9" i="74"/>
  <c r="D9" i="74"/>
  <c r="C9" i="74"/>
  <c r="B9" i="74"/>
  <c r="R9" i="74" s="1"/>
  <c r="N8" i="74"/>
  <c r="M8" i="74"/>
  <c r="L8" i="74"/>
  <c r="K8" i="74"/>
  <c r="J8" i="74"/>
  <c r="I8" i="74"/>
  <c r="H8" i="74"/>
  <c r="G8" i="74"/>
  <c r="F8" i="74"/>
  <c r="E8" i="74"/>
  <c r="D8" i="74"/>
  <c r="C8" i="74"/>
  <c r="B8" i="74"/>
  <c r="R8" i="74" s="1"/>
  <c r="Z8" i="74" s="1"/>
  <c r="Q7" i="74"/>
  <c r="N7" i="74"/>
  <c r="M7" i="74"/>
  <c r="L7" i="74"/>
  <c r="K7" i="74"/>
  <c r="J7" i="74"/>
  <c r="I7" i="74"/>
  <c r="H7" i="74"/>
  <c r="G7" i="74"/>
  <c r="F7" i="74"/>
  <c r="E7" i="74"/>
  <c r="D7" i="74"/>
  <c r="C7" i="74"/>
  <c r="B7" i="74"/>
  <c r="R7" i="74" s="1"/>
  <c r="Y7" i="74" s="1"/>
  <c r="N6" i="74"/>
  <c r="M6" i="74"/>
  <c r="L6" i="74"/>
  <c r="K6" i="74"/>
  <c r="J6" i="74"/>
  <c r="I6" i="74"/>
  <c r="H6" i="74"/>
  <c r="G6" i="74"/>
  <c r="F6" i="74"/>
  <c r="E6" i="74"/>
  <c r="D6" i="74"/>
  <c r="BD5" i="74"/>
  <c r="N107" i="74" s="1"/>
  <c r="BC5" i="74"/>
  <c r="M106" i="74" s="1"/>
  <c r="BB5" i="74"/>
  <c r="BA5" i="74"/>
  <c r="AZ5" i="74"/>
  <c r="J109" i="74" s="1"/>
  <c r="AY5" i="74"/>
  <c r="I108" i="74" s="1"/>
  <c r="AX5" i="74"/>
  <c r="H107" i="74" s="1"/>
  <c r="AW5" i="74"/>
  <c r="G106" i="74" s="1"/>
  <c r="AV5" i="74"/>
  <c r="AU5" i="74"/>
  <c r="AT5" i="74"/>
  <c r="D109" i="74" s="1"/>
  <c r="BD4" i="74"/>
  <c r="BC4" i="74"/>
  <c r="M93" i="74" s="1"/>
  <c r="BB4" i="74"/>
  <c r="L93" i="74" s="1"/>
  <c r="BA4" i="74"/>
  <c r="K93" i="74" s="1"/>
  <c r="AZ4" i="74"/>
  <c r="J96" i="74" s="1"/>
  <c r="AY4" i="74"/>
  <c r="I95" i="74" s="1"/>
  <c r="AX4" i="74"/>
  <c r="H94" i="74" s="1"/>
  <c r="AW4" i="74"/>
  <c r="G93" i="74" s="1"/>
  <c r="AV4" i="74"/>
  <c r="F93" i="74" s="1"/>
  <c r="AU4" i="74"/>
  <c r="E93" i="74" s="1"/>
  <c r="AT4" i="74"/>
  <c r="D96" i="74" s="1"/>
  <c r="BD3" i="74"/>
  <c r="BC3" i="74"/>
  <c r="BB3" i="74"/>
  <c r="BA3" i="74"/>
  <c r="AZ3" i="74"/>
  <c r="AY3" i="74"/>
  <c r="AX3" i="74"/>
  <c r="AW3" i="74"/>
  <c r="AV3" i="74"/>
  <c r="AU3" i="74"/>
  <c r="AT3" i="74"/>
  <c r="N108" i="72"/>
  <c r="M108" i="72"/>
  <c r="L108" i="72"/>
  <c r="K108" i="72"/>
  <c r="J108" i="72"/>
  <c r="I108" i="72"/>
  <c r="H108" i="72"/>
  <c r="G108" i="72"/>
  <c r="F108" i="72"/>
  <c r="E108" i="72"/>
  <c r="D108" i="72"/>
  <c r="N107" i="72"/>
  <c r="M107" i="72"/>
  <c r="L107" i="72"/>
  <c r="K107" i="72"/>
  <c r="J107" i="72"/>
  <c r="I107" i="72"/>
  <c r="H107" i="72"/>
  <c r="G107" i="72"/>
  <c r="F107" i="72"/>
  <c r="E107" i="72"/>
  <c r="D107" i="72"/>
  <c r="N106" i="72"/>
  <c r="M106" i="72"/>
  <c r="L106" i="72"/>
  <c r="K106" i="72"/>
  <c r="J106" i="72"/>
  <c r="I106" i="72"/>
  <c r="H106" i="72"/>
  <c r="G106" i="72"/>
  <c r="F106" i="72"/>
  <c r="E106" i="72"/>
  <c r="D106" i="72"/>
  <c r="N105" i="72"/>
  <c r="M105" i="72"/>
  <c r="L105" i="72"/>
  <c r="K105" i="72"/>
  <c r="J105" i="72"/>
  <c r="I105" i="72"/>
  <c r="H105" i="72"/>
  <c r="G105" i="72"/>
  <c r="F105" i="72"/>
  <c r="E105" i="72"/>
  <c r="D105" i="72"/>
  <c r="N93" i="72"/>
  <c r="M93" i="72"/>
  <c r="L93" i="72"/>
  <c r="K93" i="72"/>
  <c r="J93" i="72"/>
  <c r="I93" i="72"/>
  <c r="H93" i="72"/>
  <c r="G93" i="72"/>
  <c r="F93" i="72"/>
  <c r="E93" i="72"/>
  <c r="D93" i="72"/>
  <c r="N92" i="72"/>
  <c r="M92" i="72"/>
  <c r="L92" i="72"/>
  <c r="K92" i="72"/>
  <c r="J92" i="72"/>
  <c r="I92" i="72"/>
  <c r="H92" i="72"/>
  <c r="G92" i="72"/>
  <c r="F92" i="72"/>
  <c r="E92" i="72"/>
  <c r="D92" i="72"/>
  <c r="N91" i="72"/>
  <c r="M91" i="72"/>
  <c r="L91" i="72"/>
  <c r="K91" i="72"/>
  <c r="J91" i="72"/>
  <c r="I91" i="72"/>
  <c r="H91" i="72"/>
  <c r="G91" i="72"/>
  <c r="F91" i="72"/>
  <c r="E91" i="72"/>
  <c r="D91" i="72"/>
  <c r="N90" i="72"/>
  <c r="M90" i="72"/>
  <c r="L90" i="72"/>
  <c r="K90" i="72"/>
  <c r="J90" i="72"/>
  <c r="I90" i="72"/>
  <c r="H90" i="72"/>
  <c r="G90" i="72"/>
  <c r="F90" i="72"/>
  <c r="E90" i="72"/>
  <c r="D90" i="72"/>
  <c r="N54" i="72"/>
  <c r="M54" i="72"/>
  <c r="L54" i="72"/>
  <c r="K54" i="72"/>
  <c r="J54" i="72"/>
  <c r="I54" i="72"/>
  <c r="H54" i="72"/>
  <c r="G54" i="72"/>
  <c r="F54" i="72"/>
  <c r="E54" i="72"/>
  <c r="D54" i="72"/>
  <c r="N53" i="72"/>
  <c r="M53" i="72"/>
  <c r="L53" i="72"/>
  <c r="K53" i="72"/>
  <c r="J53" i="72"/>
  <c r="I53" i="72"/>
  <c r="H53" i="72"/>
  <c r="G53" i="72"/>
  <c r="F53" i="72"/>
  <c r="E53" i="72"/>
  <c r="D53" i="72"/>
  <c r="N52" i="72"/>
  <c r="M52" i="72"/>
  <c r="L52" i="72"/>
  <c r="K52" i="72"/>
  <c r="J52" i="72"/>
  <c r="I52" i="72"/>
  <c r="H52" i="72"/>
  <c r="G52" i="72"/>
  <c r="F52" i="72"/>
  <c r="E52" i="72"/>
  <c r="D52" i="72"/>
  <c r="N51" i="72"/>
  <c r="M51" i="72"/>
  <c r="L51" i="72"/>
  <c r="K51" i="72"/>
  <c r="J51" i="72"/>
  <c r="I51" i="72"/>
  <c r="H51" i="72"/>
  <c r="G51" i="72"/>
  <c r="F51" i="72"/>
  <c r="E51" i="72"/>
  <c r="D51" i="72"/>
  <c r="N50" i="72"/>
  <c r="M50" i="72"/>
  <c r="L50" i="72"/>
  <c r="K50" i="72"/>
  <c r="J50" i="72"/>
  <c r="I50" i="72"/>
  <c r="H50" i="72"/>
  <c r="G50" i="72"/>
  <c r="F50" i="72"/>
  <c r="E50" i="72"/>
  <c r="D50" i="72"/>
  <c r="C50" i="72"/>
  <c r="B50" i="72"/>
  <c r="N49" i="72"/>
  <c r="M49" i="72"/>
  <c r="L49" i="72"/>
  <c r="K49" i="72"/>
  <c r="J49" i="72"/>
  <c r="I49" i="72"/>
  <c r="H49" i="72"/>
  <c r="G49" i="72"/>
  <c r="F49" i="72"/>
  <c r="E49" i="72"/>
  <c r="D49" i="72"/>
  <c r="C49" i="72"/>
  <c r="B49" i="72"/>
  <c r="N48" i="72"/>
  <c r="M48" i="72"/>
  <c r="L48" i="72"/>
  <c r="K48" i="72"/>
  <c r="J48" i="72"/>
  <c r="I48" i="72"/>
  <c r="H48" i="72"/>
  <c r="G48" i="72"/>
  <c r="F48" i="72"/>
  <c r="E48" i="72"/>
  <c r="D48" i="72"/>
  <c r="C48" i="72"/>
  <c r="B48" i="72"/>
  <c r="N47" i="72"/>
  <c r="M47" i="72"/>
  <c r="L47" i="72"/>
  <c r="K47" i="72"/>
  <c r="J47" i="72"/>
  <c r="I47" i="72"/>
  <c r="H47" i="72"/>
  <c r="G47" i="72"/>
  <c r="F47" i="72"/>
  <c r="E47" i="72"/>
  <c r="D47" i="72"/>
  <c r="C47" i="72"/>
  <c r="B47" i="72"/>
  <c r="N46" i="72"/>
  <c r="M46" i="72"/>
  <c r="L46" i="72"/>
  <c r="K46" i="72"/>
  <c r="J46" i="72"/>
  <c r="I46" i="72"/>
  <c r="H46" i="72"/>
  <c r="G46" i="72"/>
  <c r="F46" i="72"/>
  <c r="E46" i="72"/>
  <c r="D46" i="72"/>
  <c r="C46" i="72"/>
  <c r="B46" i="72"/>
  <c r="N45" i="72"/>
  <c r="M45" i="72"/>
  <c r="L45" i="72"/>
  <c r="K45" i="72"/>
  <c r="J45" i="72"/>
  <c r="I45" i="72"/>
  <c r="H45" i="72"/>
  <c r="G45" i="72"/>
  <c r="F45" i="72"/>
  <c r="E45" i="72"/>
  <c r="D45" i="72"/>
  <c r="C45" i="72"/>
  <c r="B45" i="72"/>
  <c r="N44" i="72"/>
  <c r="M44" i="72"/>
  <c r="L44" i="72"/>
  <c r="K44" i="72"/>
  <c r="J44" i="72"/>
  <c r="I44" i="72"/>
  <c r="H44" i="72"/>
  <c r="G44" i="72"/>
  <c r="F44" i="72"/>
  <c r="E44" i="72"/>
  <c r="D44" i="72"/>
  <c r="C44" i="72"/>
  <c r="B44" i="72"/>
  <c r="N43" i="72"/>
  <c r="M43" i="72"/>
  <c r="L43" i="72"/>
  <c r="K43" i="72"/>
  <c r="J43" i="72"/>
  <c r="I43" i="72"/>
  <c r="H43" i="72"/>
  <c r="G43" i="72"/>
  <c r="F43" i="72"/>
  <c r="E43" i="72"/>
  <c r="D43" i="72"/>
  <c r="C43" i="72"/>
  <c r="B43" i="72"/>
  <c r="N42" i="72"/>
  <c r="M42" i="72"/>
  <c r="L42" i="72"/>
  <c r="K42" i="72"/>
  <c r="J42" i="72"/>
  <c r="I42" i="72"/>
  <c r="H42" i="72"/>
  <c r="G42" i="72"/>
  <c r="F42" i="72"/>
  <c r="E42" i="72"/>
  <c r="D42" i="72"/>
  <c r="C42" i="72"/>
  <c r="B42" i="72"/>
  <c r="N41" i="72"/>
  <c r="M41" i="72"/>
  <c r="L41" i="72"/>
  <c r="K41" i="72"/>
  <c r="J41" i="72"/>
  <c r="I41" i="72"/>
  <c r="H41" i="72"/>
  <c r="G41" i="72"/>
  <c r="F41" i="72"/>
  <c r="E41" i="72"/>
  <c r="D41" i="72"/>
  <c r="C41" i="72"/>
  <c r="B41" i="72"/>
  <c r="N40" i="72"/>
  <c r="M40" i="72"/>
  <c r="L40" i="72"/>
  <c r="K40" i="72"/>
  <c r="J40" i="72"/>
  <c r="I40" i="72"/>
  <c r="H40" i="72"/>
  <c r="G40" i="72"/>
  <c r="F40" i="72"/>
  <c r="E40" i="72"/>
  <c r="D40" i="72"/>
  <c r="C40" i="72"/>
  <c r="B40" i="72"/>
  <c r="N39" i="72"/>
  <c r="M39" i="72"/>
  <c r="L39" i="72"/>
  <c r="K39" i="72"/>
  <c r="J39" i="72"/>
  <c r="I39" i="72"/>
  <c r="H39" i="72"/>
  <c r="G39" i="72"/>
  <c r="F39" i="72"/>
  <c r="E39" i="72"/>
  <c r="D39" i="72"/>
  <c r="C39" i="72"/>
  <c r="B39" i="72"/>
  <c r="N38" i="72"/>
  <c r="M38" i="72"/>
  <c r="L38" i="72"/>
  <c r="K38" i="72"/>
  <c r="J38" i="72"/>
  <c r="I38" i="72"/>
  <c r="H38" i="72"/>
  <c r="G38" i="72"/>
  <c r="F38" i="72"/>
  <c r="E38" i="72"/>
  <c r="D38" i="72"/>
  <c r="C38" i="72"/>
  <c r="B38" i="72"/>
  <c r="N37" i="72"/>
  <c r="M37" i="72"/>
  <c r="L37" i="72"/>
  <c r="K37" i="72"/>
  <c r="J37" i="72"/>
  <c r="I37" i="72"/>
  <c r="H37" i="72"/>
  <c r="G37" i="72"/>
  <c r="F37" i="72"/>
  <c r="E37" i="72"/>
  <c r="D37" i="72"/>
  <c r="C37" i="72"/>
  <c r="B37" i="72"/>
  <c r="N36" i="72"/>
  <c r="M36" i="72"/>
  <c r="L36" i="72"/>
  <c r="K36" i="72"/>
  <c r="J36" i="72"/>
  <c r="I36" i="72"/>
  <c r="H36" i="72"/>
  <c r="G36" i="72"/>
  <c r="F36" i="72"/>
  <c r="E36" i="72"/>
  <c r="D36" i="72"/>
  <c r="C36" i="72"/>
  <c r="B36" i="72"/>
  <c r="N35" i="72"/>
  <c r="M35" i="72"/>
  <c r="L35" i="72"/>
  <c r="K35" i="72"/>
  <c r="J35" i="72"/>
  <c r="I35" i="72"/>
  <c r="H35" i="72"/>
  <c r="G35" i="72"/>
  <c r="F35" i="72"/>
  <c r="E35" i="72"/>
  <c r="D35" i="72"/>
  <c r="C35" i="72"/>
  <c r="B35" i="72"/>
  <c r="N34" i="72"/>
  <c r="M34" i="72"/>
  <c r="L34" i="72"/>
  <c r="K34" i="72"/>
  <c r="J34" i="72"/>
  <c r="I34" i="72"/>
  <c r="H34" i="72"/>
  <c r="G34" i="72"/>
  <c r="F34" i="72"/>
  <c r="E34" i="72"/>
  <c r="D34" i="72"/>
  <c r="C34" i="72"/>
  <c r="B34" i="72"/>
  <c r="N33" i="72"/>
  <c r="M33" i="72"/>
  <c r="L33" i="72"/>
  <c r="K33" i="72"/>
  <c r="J33" i="72"/>
  <c r="I33" i="72"/>
  <c r="H33" i="72"/>
  <c r="G33" i="72"/>
  <c r="F33" i="72"/>
  <c r="E33" i="72"/>
  <c r="D33" i="72"/>
  <c r="C33" i="72"/>
  <c r="B33" i="72"/>
  <c r="N32" i="72"/>
  <c r="M32" i="72"/>
  <c r="L32" i="72"/>
  <c r="K32" i="72"/>
  <c r="J32" i="72"/>
  <c r="I32" i="72"/>
  <c r="H32" i="72"/>
  <c r="G32" i="72"/>
  <c r="F32" i="72"/>
  <c r="E32" i="72"/>
  <c r="D32" i="72"/>
  <c r="C32" i="72"/>
  <c r="B32" i="72"/>
  <c r="U21" i="72" s="1"/>
  <c r="Q31" i="72"/>
  <c r="N31" i="72"/>
  <c r="M31" i="72"/>
  <c r="L31" i="72"/>
  <c r="K31" i="72"/>
  <c r="J31" i="72"/>
  <c r="I31" i="72"/>
  <c r="H31" i="72"/>
  <c r="G31" i="72"/>
  <c r="F31" i="72"/>
  <c r="E31" i="72"/>
  <c r="D31" i="72"/>
  <c r="C31" i="72"/>
  <c r="B31" i="72"/>
  <c r="N30" i="72"/>
  <c r="M30" i="72"/>
  <c r="L30" i="72"/>
  <c r="K30" i="72"/>
  <c r="J30" i="72"/>
  <c r="I30" i="72"/>
  <c r="H30" i="72"/>
  <c r="G30" i="72"/>
  <c r="F30" i="72"/>
  <c r="E30" i="72"/>
  <c r="D30" i="72"/>
  <c r="N29" i="72"/>
  <c r="M29" i="72"/>
  <c r="L29" i="72"/>
  <c r="K29" i="72"/>
  <c r="J29" i="72"/>
  <c r="I29" i="72"/>
  <c r="H29" i="72"/>
  <c r="G29" i="72"/>
  <c r="F29" i="72"/>
  <c r="E29" i="72"/>
  <c r="D29" i="72"/>
  <c r="N28" i="72"/>
  <c r="M28" i="72"/>
  <c r="L28" i="72"/>
  <c r="K28" i="72"/>
  <c r="J28" i="72"/>
  <c r="I28" i="72"/>
  <c r="H28" i="72"/>
  <c r="G28" i="72"/>
  <c r="F28" i="72"/>
  <c r="E28" i="72"/>
  <c r="D28" i="72"/>
  <c r="N27" i="72"/>
  <c r="M27" i="72"/>
  <c r="L27" i="72"/>
  <c r="K27" i="72"/>
  <c r="J27" i="72"/>
  <c r="I27" i="72"/>
  <c r="H27" i="72"/>
  <c r="G27" i="72"/>
  <c r="F27" i="72"/>
  <c r="E27" i="72"/>
  <c r="D27" i="72"/>
  <c r="N26" i="72"/>
  <c r="M26" i="72"/>
  <c r="L26" i="72"/>
  <c r="K26" i="72"/>
  <c r="J26" i="72"/>
  <c r="I26" i="72"/>
  <c r="H26" i="72"/>
  <c r="G26" i="72"/>
  <c r="F26" i="72"/>
  <c r="E26" i="72"/>
  <c r="D26" i="72"/>
  <c r="C26" i="72"/>
  <c r="B26" i="72"/>
  <c r="R26" i="72" s="1"/>
  <c r="U26" i="72" s="1"/>
  <c r="N25" i="72"/>
  <c r="M25" i="72"/>
  <c r="L25" i="72"/>
  <c r="K25" i="72"/>
  <c r="J25" i="72"/>
  <c r="I25" i="72"/>
  <c r="H25" i="72"/>
  <c r="G25" i="72"/>
  <c r="F25" i="72"/>
  <c r="E25" i="72"/>
  <c r="D25" i="72"/>
  <c r="C25" i="72"/>
  <c r="B25" i="72"/>
  <c r="R25" i="72" s="1"/>
  <c r="N24" i="72"/>
  <c r="M24" i="72"/>
  <c r="L24" i="72"/>
  <c r="K24" i="72"/>
  <c r="J24" i="72"/>
  <c r="I24" i="72"/>
  <c r="H24" i="72"/>
  <c r="G24" i="72"/>
  <c r="F24" i="72"/>
  <c r="E24" i="72"/>
  <c r="D24" i="72"/>
  <c r="C24" i="72"/>
  <c r="B24" i="72"/>
  <c r="R24" i="72" s="1"/>
  <c r="N23" i="72"/>
  <c r="M23" i="72"/>
  <c r="L23" i="72"/>
  <c r="K23" i="72"/>
  <c r="J23" i="72"/>
  <c r="I23" i="72"/>
  <c r="H23" i="72"/>
  <c r="G23" i="72"/>
  <c r="F23" i="72"/>
  <c r="E23" i="72"/>
  <c r="D23" i="72"/>
  <c r="C23" i="72"/>
  <c r="B23" i="72"/>
  <c r="R23" i="72" s="1"/>
  <c r="N22" i="72"/>
  <c r="M22" i="72"/>
  <c r="L22" i="72"/>
  <c r="K22" i="72"/>
  <c r="J22" i="72"/>
  <c r="I22" i="72"/>
  <c r="H22" i="72"/>
  <c r="G22" i="72"/>
  <c r="F22" i="72"/>
  <c r="E22" i="72"/>
  <c r="D22" i="72"/>
  <c r="C22" i="72"/>
  <c r="B22" i="72"/>
  <c r="R22" i="72" s="1"/>
  <c r="N21" i="72"/>
  <c r="M21" i="72"/>
  <c r="L21" i="72"/>
  <c r="K21" i="72"/>
  <c r="J21" i="72"/>
  <c r="I21" i="72"/>
  <c r="H21" i="72"/>
  <c r="G21" i="72"/>
  <c r="F21" i="72"/>
  <c r="E21" i="72"/>
  <c r="D21" i="72"/>
  <c r="C21" i="72"/>
  <c r="B21" i="72"/>
  <c r="R21" i="72" s="1"/>
  <c r="N20" i="72"/>
  <c r="M20" i="72"/>
  <c r="L20" i="72"/>
  <c r="K20" i="72"/>
  <c r="J20" i="72"/>
  <c r="I20" i="72"/>
  <c r="H20" i="72"/>
  <c r="G20" i="72"/>
  <c r="F20" i="72"/>
  <c r="E20" i="72"/>
  <c r="D20" i="72"/>
  <c r="C20" i="72"/>
  <c r="B20" i="72"/>
  <c r="R20" i="72" s="1"/>
  <c r="N19" i="72"/>
  <c r="M19" i="72"/>
  <c r="L19" i="72"/>
  <c r="K19" i="72"/>
  <c r="J19" i="72"/>
  <c r="I19" i="72"/>
  <c r="H19" i="72"/>
  <c r="G19" i="72"/>
  <c r="F19" i="72"/>
  <c r="E19" i="72"/>
  <c r="D19" i="72"/>
  <c r="C19" i="72"/>
  <c r="B19" i="72"/>
  <c r="R19" i="72" s="1"/>
  <c r="U19" i="72" s="1"/>
  <c r="N18" i="72"/>
  <c r="M18" i="72"/>
  <c r="L18" i="72"/>
  <c r="K18" i="72"/>
  <c r="J18" i="72"/>
  <c r="I18" i="72"/>
  <c r="H18" i="72"/>
  <c r="G18" i="72"/>
  <c r="F18" i="72"/>
  <c r="E18" i="72"/>
  <c r="D18" i="72"/>
  <c r="C18" i="72"/>
  <c r="B18" i="72"/>
  <c r="R18" i="72" s="1"/>
  <c r="N17" i="72"/>
  <c r="M17" i="72"/>
  <c r="L17" i="72"/>
  <c r="K17" i="72"/>
  <c r="J17" i="72"/>
  <c r="I17" i="72"/>
  <c r="H17" i="72"/>
  <c r="G17" i="72"/>
  <c r="F17" i="72"/>
  <c r="E17" i="72"/>
  <c r="D17" i="72"/>
  <c r="C17" i="72"/>
  <c r="B17" i="72"/>
  <c r="R17" i="72" s="1"/>
  <c r="N16" i="72"/>
  <c r="M16" i="72"/>
  <c r="L16" i="72"/>
  <c r="K16" i="72"/>
  <c r="J16" i="72"/>
  <c r="I16" i="72"/>
  <c r="H16" i="72"/>
  <c r="G16" i="72"/>
  <c r="F16" i="72"/>
  <c r="E16" i="72"/>
  <c r="D16" i="72"/>
  <c r="C16" i="72"/>
  <c r="B16" i="72"/>
  <c r="R16" i="72" s="1"/>
  <c r="N15" i="72"/>
  <c r="M15" i="72"/>
  <c r="L15" i="72"/>
  <c r="K15" i="72"/>
  <c r="J15" i="72"/>
  <c r="I15" i="72"/>
  <c r="H15" i="72"/>
  <c r="G15" i="72"/>
  <c r="F15" i="72"/>
  <c r="E15" i="72"/>
  <c r="D15" i="72"/>
  <c r="C15" i="72"/>
  <c r="B15" i="72"/>
  <c r="R15" i="72" s="1"/>
  <c r="N14" i="72"/>
  <c r="M14" i="72"/>
  <c r="L14" i="72"/>
  <c r="K14" i="72"/>
  <c r="J14" i="72"/>
  <c r="I14" i="72"/>
  <c r="H14" i="72"/>
  <c r="G14" i="72"/>
  <c r="F14" i="72"/>
  <c r="E14" i="72"/>
  <c r="D14" i="72"/>
  <c r="C14" i="72"/>
  <c r="B14" i="72"/>
  <c r="R14" i="72" s="1"/>
  <c r="N13" i="72"/>
  <c r="M13" i="72"/>
  <c r="L13" i="72"/>
  <c r="K13" i="72"/>
  <c r="J13" i="72"/>
  <c r="I13" i="72"/>
  <c r="H13" i="72"/>
  <c r="G13" i="72"/>
  <c r="F13" i="72"/>
  <c r="E13" i="72"/>
  <c r="D13" i="72"/>
  <c r="C13" i="72"/>
  <c r="B13" i="72"/>
  <c r="R13" i="72" s="1"/>
  <c r="N12" i="72"/>
  <c r="M12" i="72"/>
  <c r="L12" i="72"/>
  <c r="K12" i="72"/>
  <c r="J12" i="72"/>
  <c r="I12" i="72"/>
  <c r="H12" i="72"/>
  <c r="G12" i="72"/>
  <c r="F12" i="72"/>
  <c r="E12" i="72"/>
  <c r="D12" i="72"/>
  <c r="C12" i="72"/>
  <c r="B12" i="72"/>
  <c r="R12" i="72" s="1"/>
  <c r="N11" i="72"/>
  <c r="M11" i="72"/>
  <c r="L11" i="72"/>
  <c r="K11" i="72"/>
  <c r="J11" i="72"/>
  <c r="I11" i="72"/>
  <c r="H11" i="72"/>
  <c r="G11" i="72"/>
  <c r="F11" i="72"/>
  <c r="E11" i="72"/>
  <c r="D11" i="72"/>
  <c r="C11" i="72"/>
  <c r="B11" i="72"/>
  <c r="R11" i="72" s="1"/>
  <c r="N10" i="72"/>
  <c r="M10" i="72"/>
  <c r="L10" i="72"/>
  <c r="K10" i="72"/>
  <c r="J10" i="72"/>
  <c r="I10" i="72"/>
  <c r="H10" i="72"/>
  <c r="G10" i="72"/>
  <c r="F10" i="72"/>
  <c r="E10" i="72"/>
  <c r="D10" i="72"/>
  <c r="C10" i="72"/>
  <c r="B10" i="72"/>
  <c r="R10" i="72" s="1"/>
  <c r="N9" i="72"/>
  <c r="M9" i="72"/>
  <c r="L9" i="72"/>
  <c r="K9" i="72"/>
  <c r="J9" i="72"/>
  <c r="I9" i="72"/>
  <c r="H9" i="72"/>
  <c r="G9" i="72"/>
  <c r="F9" i="72"/>
  <c r="E9" i="72"/>
  <c r="D9" i="72"/>
  <c r="C9" i="72"/>
  <c r="B9" i="72"/>
  <c r="R9" i="72" s="1"/>
  <c r="N8" i="72"/>
  <c r="M8" i="72"/>
  <c r="L8" i="72"/>
  <c r="K8" i="72"/>
  <c r="J8" i="72"/>
  <c r="I8" i="72"/>
  <c r="H8" i="72"/>
  <c r="G8" i="72"/>
  <c r="F8" i="72"/>
  <c r="E8" i="72"/>
  <c r="D8" i="72"/>
  <c r="C8" i="72"/>
  <c r="B8" i="72"/>
  <c r="R8" i="72" s="1"/>
  <c r="Q7" i="72"/>
  <c r="N7" i="72"/>
  <c r="M7" i="72"/>
  <c r="L7" i="72"/>
  <c r="K7" i="72"/>
  <c r="J7" i="72"/>
  <c r="I7" i="72"/>
  <c r="H7" i="72"/>
  <c r="G7" i="72"/>
  <c r="F7" i="72"/>
  <c r="E7" i="72"/>
  <c r="D7" i="72"/>
  <c r="C7" i="72"/>
  <c r="B7" i="72"/>
  <c r="R7" i="72" s="1"/>
  <c r="Z7" i="72" s="1"/>
  <c r="N6" i="72"/>
  <c r="M6" i="72"/>
  <c r="L6" i="72"/>
  <c r="K6" i="72"/>
  <c r="J6" i="72"/>
  <c r="I6" i="72"/>
  <c r="H6" i="72"/>
  <c r="G6" i="72"/>
  <c r="F6" i="72"/>
  <c r="E6" i="72"/>
  <c r="D6" i="72"/>
  <c r="BD5" i="72"/>
  <c r="N112" i="72" s="1"/>
  <c r="BC5" i="72"/>
  <c r="M111" i="72" s="1"/>
  <c r="BB5" i="72"/>
  <c r="BA5" i="72"/>
  <c r="AZ5" i="72"/>
  <c r="J110" i="72" s="1"/>
  <c r="AY5" i="72"/>
  <c r="AX5" i="72"/>
  <c r="H112" i="72" s="1"/>
  <c r="AW5" i="72"/>
  <c r="G111" i="72" s="1"/>
  <c r="AV5" i="72"/>
  <c r="AU5" i="72"/>
  <c r="AT5" i="72"/>
  <c r="BD4" i="72"/>
  <c r="BC4" i="72"/>
  <c r="BB4" i="72"/>
  <c r="BA4" i="72"/>
  <c r="K96" i="72" s="1"/>
  <c r="AZ4" i="72"/>
  <c r="J95" i="72" s="1"/>
  <c r="AY4" i="72"/>
  <c r="AX4" i="72"/>
  <c r="AW4" i="72"/>
  <c r="AV4" i="72"/>
  <c r="AU4" i="72"/>
  <c r="E96" i="72" s="1"/>
  <c r="AT4" i="72"/>
  <c r="D95" i="72" s="1"/>
  <c r="BD3" i="72"/>
  <c r="BC3" i="72"/>
  <c r="BB3" i="72"/>
  <c r="BA3" i="72"/>
  <c r="AZ3" i="72"/>
  <c r="AY3" i="72"/>
  <c r="AX3" i="72"/>
  <c r="AW3" i="72"/>
  <c r="AV3" i="72"/>
  <c r="AU3" i="72"/>
  <c r="AT3" i="72"/>
  <c r="F67" i="84" l="1"/>
  <c r="L67" i="84"/>
  <c r="B67" i="84"/>
  <c r="D67" i="84"/>
  <c r="J67" i="84"/>
  <c r="D56" i="84"/>
  <c r="F56" i="84"/>
  <c r="L56" i="84"/>
  <c r="M20" i="84"/>
  <c r="N108" i="79"/>
  <c r="N117" i="79"/>
  <c r="N118" i="79"/>
  <c r="N119" i="79"/>
  <c r="N115" i="79"/>
  <c r="E447" i="76"/>
  <c r="N8" i="82"/>
  <c r="G47" i="84"/>
  <c r="G46" i="84"/>
  <c r="P146" i="80"/>
  <c r="R252" i="80"/>
  <c r="R15" i="112"/>
  <c r="U17" i="112" s="1"/>
  <c r="N92" i="79"/>
  <c r="N93" i="79"/>
  <c r="N94" i="79"/>
  <c r="N100" i="79"/>
  <c r="E106" i="74"/>
  <c r="K106" i="74"/>
  <c r="N73" i="79"/>
  <c r="N80" i="79"/>
  <c r="Z10" i="74"/>
  <c r="Y23" i="74"/>
  <c r="AA20" i="74"/>
  <c r="U9" i="74"/>
  <c r="Y21" i="74"/>
  <c r="N42" i="79"/>
  <c r="N49" i="79"/>
  <c r="N51" i="79"/>
  <c r="N52" i="79"/>
  <c r="N58" i="79"/>
  <c r="N59" i="79"/>
  <c r="F97" i="72"/>
  <c r="L97" i="72"/>
  <c r="M98" i="72"/>
  <c r="G98" i="72"/>
  <c r="I95" i="72"/>
  <c r="W9" i="74"/>
  <c r="S10" i="74"/>
  <c r="AB12" i="74"/>
  <c r="AC14" i="74"/>
  <c r="AA15" i="74"/>
  <c r="Z22" i="74"/>
  <c r="T26" i="74"/>
  <c r="AC10" i="74"/>
  <c r="S14" i="74"/>
  <c r="U18" i="74"/>
  <c r="AA18" i="74"/>
  <c r="Y20" i="74"/>
  <c r="AC22" i="74"/>
  <c r="U24" i="74"/>
  <c r="Y26" i="74"/>
  <c r="N94" i="74"/>
  <c r="BH4" i="74"/>
  <c r="X8" i="74"/>
  <c r="T8" i="74"/>
  <c r="AC8" i="74"/>
  <c r="V9" i="74"/>
  <c r="AB9" i="74"/>
  <c r="Y9" i="74"/>
  <c r="T10" i="74"/>
  <c r="T11" i="74"/>
  <c r="X13" i="74"/>
  <c r="S13" i="74"/>
  <c r="V16" i="74"/>
  <c r="AB16" i="74"/>
  <c r="X17" i="74"/>
  <c r="S17" i="74"/>
  <c r="X19" i="74"/>
  <c r="U19" i="74"/>
  <c r="W20" i="74"/>
  <c r="T21" i="74"/>
  <c r="Z21" i="74"/>
  <c r="W21" i="74"/>
  <c r="AA22" i="74"/>
  <c r="X24" i="74"/>
  <c r="S24" i="74"/>
  <c r="Y25" i="74"/>
  <c r="U26" i="74"/>
  <c r="AA26" i="74"/>
  <c r="AA8" i="74"/>
  <c r="X11" i="74"/>
  <c r="AB15" i="74"/>
  <c r="V18" i="74"/>
  <c r="Y22" i="74"/>
  <c r="W25" i="74"/>
  <c r="S8" i="74"/>
  <c r="U12" i="74"/>
  <c r="W16" i="74"/>
  <c r="S20" i="74"/>
  <c r="S26" i="74"/>
  <c r="BF4" i="74"/>
  <c r="J73" i="74"/>
  <c r="I73" i="74" s="1"/>
  <c r="V73" i="74"/>
  <c r="U8" i="74"/>
  <c r="Z9" i="74"/>
  <c r="U10" i="74"/>
  <c r="Z11" i="74"/>
  <c r="U11" i="74"/>
  <c r="X12" i="74"/>
  <c r="S12" i="74"/>
  <c r="U13" i="74"/>
  <c r="X14" i="74"/>
  <c r="U14" i="74"/>
  <c r="S15" i="74"/>
  <c r="U17" i="74"/>
  <c r="X18" i="74"/>
  <c r="W19" i="74"/>
  <c r="T20" i="74"/>
  <c r="Z20" i="74"/>
  <c r="AA21" i="74"/>
  <c r="X23" i="74"/>
  <c r="S23" i="74"/>
  <c r="W24" i="74"/>
  <c r="V26" i="74"/>
  <c r="AB26" i="74"/>
  <c r="AC11" i="74"/>
  <c r="V14" i="74"/>
  <c r="AA16" i="74"/>
  <c r="AC17" i="74"/>
  <c r="U21" i="74"/>
  <c r="AA12" i="74"/>
  <c r="AA9" i="74"/>
  <c r="Y10" i="74"/>
  <c r="W11" i="74"/>
  <c r="W12" i="74"/>
  <c r="W13" i="74"/>
  <c r="U15" i="74"/>
  <c r="X16" i="74"/>
  <c r="S16" i="74"/>
  <c r="T17" i="74"/>
  <c r="Z17" i="74"/>
  <c r="W17" i="74"/>
  <c r="W18" i="74"/>
  <c r="AA19" i="74"/>
  <c r="AC20" i="74"/>
  <c r="V21" i="74"/>
  <c r="AB21" i="74"/>
  <c r="W23" i="74"/>
  <c r="T24" i="74"/>
  <c r="Z24" i="74"/>
  <c r="Y24" i="74"/>
  <c r="U25" i="74"/>
  <c r="AA25" i="74"/>
  <c r="W26" i="74"/>
  <c r="AC26" i="74"/>
  <c r="X10" i="74"/>
  <c r="S11" i="74"/>
  <c r="AB14" i="74"/>
  <c r="AB18" i="74"/>
  <c r="T22" i="74"/>
  <c r="X25" i="74"/>
  <c r="W10" i="74"/>
  <c r="T13" i="74"/>
  <c r="W22" i="74"/>
  <c r="S9" i="74"/>
  <c r="W14" i="74"/>
  <c r="S7" i="74"/>
  <c r="Y8" i="74"/>
  <c r="T9" i="74"/>
  <c r="AC9" i="74"/>
  <c r="V10" i="74"/>
  <c r="AB10" i="74"/>
  <c r="Y11" i="74"/>
  <c r="Y12" i="74"/>
  <c r="Y13" i="74"/>
  <c r="T14" i="74"/>
  <c r="Z14" i="74"/>
  <c r="Y14" i="74"/>
  <c r="T15" i="74"/>
  <c r="Z15" i="74"/>
  <c r="W15" i="74"/>
  <c r="U16" i="74"/>
  <c r="Y17" i="74"/>
  <c r="Y18" i="74"/>
  <c r="V20" i="74"/>
  <c r="AB20" i="74"/>
  <c r="X22" i="74"/>
  <c r="S22" i="74"/>
  <c r="T23" i="74"/>
  <c r="Z23" i="74"/>
  <c r="AA24" i="74"/>
  <c r="V25" i="74"/>
  <c r="AB25" i="74"/>
  <c r="V12" i="74"/>
  <c r="AC13" i="74"/>
  <c r="V15" i="74"/>
  <c r="U20" i="74"/>
  <c r="Z26" i="74"/>
  <c r="AC16" i="74"/>
  <c r="BG4" i="74"/>
  <c r="R91" i="74"/>
  <c r="Y91" i="74"/>
  <c r="W8" i="74"/>
  <c r="AA10" i="74"/>
  <c r="V8" i="74"/>
  <c r="AB8" i="74"/>
  <c r="AC12" i="74"/>
  <c r="V13" i="74"/>
  <c r="AB13" i="74"/>
  <c r="AA14" i="74"/>
  <c r="Y15" i="74"/>
  <c r="T16" i="74"/>
  <c r="Z16" i="74"/>
  <c r="AC18" i="74"/>
  <c r="V19" i="74"/>
  <c r="AB19" i="74"/>
  <c r="S21" i="74"/>
  <c r="AA23" i="74"/>
  <c r="AC23" i="74"/>
  <c r="V24" i="74"/>
  <c r="AB24" i="74"/>
  <c r="S19" i="74"/>
  <c r="Y19" i="74"/>
  <c r="AC21" i="74"/>
  <c r="U23" i="74"/>
  <c r="S25" i="74"/>
  <c r="U13" i="72"/>
  <c r="U20" i="72"/>
  <c r="AA20" i="72"/>
  <c r="AA19" i="72"/>
  <c r="S14" i="72"/>
  <c r="Y14" i="72"/>
  <c r="Z16" i="72"/>
  <c r="S9" i="72"/>
  <c r="Y9" i="72"/>
  <c r="Z11" i="72"/>
  <c r="AA13" i="72"/>
  <c r="AA17" i="72"/>
  <c r="U23" i="72"/>
  <c r="E110" i="72"/>
  <c r="K110" i="72"/>
  <c r="U11" i="72"/>
  <c r="AA11" i="72"/>
  <c r="S13" i="72"/>
  <c r="Y13" i="72"/>
  <c r="U16" i="72"/>
  <c r="AA16" i="72"/>
  <c r="Z18" i="72"/>
  <c r="J81" i="72"/>
  <c r="I81" i="72" s="1"/>
  <c r="V81" i="72"/>
  <c r="U81" i="72" s="1"/>
  <c r="U47" i="72" s="1"/>
  <c r="V47" i="72" s="1"/>
  <c r="F81" i="72"/>
  <c r="E81" i="72" s="1"/>
  <c r="R81" i="72"/>
  <c r="Q81" i="72" s="1"/>
  <c r="D80" i="72"/>
  <c r="C80" i="72" s="1"/>
  <c r="P80" i="72"/>
  <c r="O80" i="72" s="1"/>
  <c r="B83" i="72"/>
  <c r="A83" i="72" s="1"/>
  <c r="Z83" i="72" s="1"/>
  <c r="N83" i="72"/>
  <c r="M83" i="72" s="1"/>
  <c r="T79" i="72"/>
  <c r="S79" i="72" s="1"/>
  <c r="F110" i="72"/>
  <c r="L110" i="72"/>
  <c r="S8" i="72"/>
  <c r="Y8" i="72"/>
  <c r="Z10" i="72"/>
  <c r="U12" i="72"/>
  <c r="AA12" i="72"/>
  <c r="Z22" i="72"/>
  <c r="Z26" i="72"/>
  <c r="L83" i="72"/>
  <c r="K83" i="72" s="1"/>
  <c r="H83" i="72"/>
  <c r="G83" i="72" s="1"/>
  <c r="T83" i="72"/>
  <c r="S83" i="72" s="1"/>
  <c r="D110" i="72"/>
  <c r="J71" i="72"/>
  <c r="I71" i="72" s="1"/>
  <c r="U8" i="72"/>
  <c r="S10" i="72"/>
  <c r="Z12" i="72"/>
  <c r="Y15" i="72"/>
  <c r="AA21" i="72"/>
  <c r="U24" i="72"/>
  <c r="AA26" i="72"/>
  <c r="H95" i="72"/>
  <c r="BG4" i="72"/>
  <c r="I113" i="72"/>
  <c r="U9" i="72"/>
  <c r="AA9" i="72"/>
  <c r="S11" i="72"/>
  <c r="Y11" i="72"/>
  <c r="U14" i="72"/>
  <c r="AA14" i="72"/>
  <c r="U17" i="72"/>
  <c r="U18" i="72"/>
  <c r="AA18" i="72"/>
  <c r="Z20" i="72"/>
  <c r="AA23" i="72"/>
  <c r="U25" i="72"/>
  <c r="AA25" i="72"/>
  <c r="V71" i="72"/>
  <c r="AA8" i="72"/>
  <c r="Y10" i="72"/>
  <c r="S15" i="72"/>
  <c r="AA24" i="72"/>
  <c r="B71" i="72"/>
  <c r="B76" i="72" s="1"/>
  <c r="U10" i="72"/>
  <c r="AA10" i="72"/>
  <c r="S12" i="72"/>
  <c r="Y12" i="72"/>
  <c r="U15" i="72"/>
  <c r="AA15" i="72"/>
  <c r="U22" i="72"/>
  <c r="AA22" i="72"/>
  <c r="Z24" i="72"/>
  <c r="H80" i="72"/>
  <c r="G80" i="72" s="1"/>
  <c r="T80" i="72"/>
  <c r="S80" i="72" s="1"/>
  <c r="B107" i="76"/>
  <c r="C107" i="76" s="1"/>
  <c r="B247" i="76"/>
  <c r="C247" i="76" s="1"/>
  <c r="B367" i="76"/>
  <c r="C367" i="76" s="1"/>
  <c r="B7" i="76"/>
  <c r="C7" i="76" s="1"/>
  <c r="B27" i="76"/>
  <c r="C27" i="76" s="1"/>
  <c r="B67" i="76"/>
  <c r="C67" i="76" s="1"/>
  <c r="B267" i="76"/>
  <c r="C267" i="76" s="1"/>
  <c r="B387" i="76"/>
  <c r="C387" i="76" s="1"/>
  <c r="B127" i="76"/>
  <c r="C127" i="76" s="1"/>
  <c r="B167" i="76"/>
  <c r="C167" i="76" s="1"/>
  <c r="B287" i="76"/>
  <c r="C287" i="76" s="1"/>
  <c r="B407" i="76"/>
  <c r="C407" i="76" s="1"/>
  <c r="B47" i="76"/>
  <c r="C47" i="76" s="1"/>
  <c r="B187" i="76"/>
  <c r="C187" i="76" s="1"/>
  <c r="B307" i="76"/>
  <c r="C307" i="76" s="1"/>
  <c r="B427" i="76"/>
  <c r="C427" i="76" s="1"/>
  <c r="B87" i="76"/>
  <c r="C87" i="76" s="1"/>
  <c r="B147" i="76"/>
  <c r="C147" i="76" s="1"/>
  <c r="B207" i="76"/>
  <c r="C207" i="76" s="1"/>
  <c r="T22" i="79"/>
  <c r="Z103" i="79"/>
  <c r="Z63" i="79"/>
  <c r="G68" i="84"/>
  <c r="B69" i="84"/>
  <c r="H69" i="84"/>
  <c r="B68" i="84"/>
  <c r="H68" i="84"/>
  <c r="E68" i="84"/>
  <c r="K68" i="84"/>
  <c r="F69" i="84"/>
  <c r="L69" i="84"/>
  <c r="M69" i="84" s="1"/>
  <c r="B71" i="84"/>
  <c r="H71" i="84"/>
  <c r="N121" i="79"/>
  <c r="N122" i="79"/>
  <c r="N123" i="79"/>
  <c r="N125" i="79"/>
  <c r="N126" i="79"/>
  <c r="N129" i="79"/>
  <c r="N131" i="79"/>
  <c r="N132" i="79"/>
  <c r="N133" i="79"/>
  <c r="N134" i="79"/>
  <c r="N137" i="79"/>
  <c r="E58" i="84"/>
  <c r="K58" i="84"/>
  <c r="F59" i="84"/>
  <c r="L59" i="84"/>
  <c r="E57" i="84"/>
  <c r="K57" i="84"/>
  <c r="F58" i="84"/>
  <c r="L58" i="84"/>
  <c r="G59" i="84"/>
  <c r="G57" i="84"/>
  <c r="N109" i="79"/>
  <c r="N112" i="79"/>
  <c r="N113" i="79"/>
  <c r="N101" i="79"/>
  <c r="N102" i="79"/>
  <c r="M13" i="82"/>
  <c r="F45" i="84"/>
  <c r="E46" i="84"/>
  <c r="K46" i="84"/>
  <c r="F47" i="84"/>
  <c r="E45" i="84"/>
  <c r="K45" i="84"/>
  <c r="F46" i="84"/>
  <c r="H48" i="84"/>
  <c r="P14" i="80"/>
  <c r="R17" i="80" s="1"/>
  <c r="P43" i="80"/>
  <c r="S48" i="80" s="1"/>
  <c r="P75" i="80"/>
  <c r="U86" i="80" s="1"/>
  <c r="P119" i="80"/>
  <c r="P95" i="80"/>
  <c r="AM85" i="80" s="1"/>
  <c r="N96" i="79"/>
  <c r="N98" i="79"/>
  <c r="N99" i="79"/>
  <c r="N81" i="79"/>
  <c r="N82" i="79"/>
  <c r="N87" i="79"/>
  <c r="N88" i="79"/>
  <c r="N90" i="79"/>
  <c r="F106" i="74"/>
  <c r="L106" i="74"/>
  <c r="S31" i="74"/>
  <c r="Y31" i="74"/>
  <c r="T32" i="74"/>
  <c r="Z32" i="74"/>
  <c r="U33" i="74"/>
  <c r="AA33" i="74"/>
  <c r="V34" i="74"/>
  <c r="AB34" i="74"/>
  <c r="X9" i="74"/>
  <c r="T25" i="74"/>
  <c r="Z25" i="74"/>
  <c r="H81" i="74"/>
  <c r="G81" i="74" s="1"/>
  <c r="T81" i="74"/>
  <c r="S81" i="74" s="1"/>
  <c r="V22" i="74"/>
  <c r="AB22" i="74"/>
  <c r="V23" i="74"/>
  <c r="AB23" i="74"/>
  <c r="L83" i="74"/>
  <c r="K83" i="74" s="1"/>
  <c r="V11" i="74"/>
  <c r="AB11" i="74"/>
  <c r="T12" i="74"/>
  <c r="Z12" i="74"/>
  <c r="T18" i="74"/>
  <c r="Z18" i="74"/>
  <c r="X20" i="74"/>
  <c r="X26" i="74"/>
  <c r="B81" i="74"/>
  <c r="N81" i="74"/>
  <c r="M81" i="74" s="1"/>
  <c r="Z13" i="74"/>
  <c r="V17" i="74"/>
  <c r="AB17" i="74"/>
  <c r="T19" i="74"/>
  <c r="Z19" i="74"/>
  <c r="X21" i="74"/>
  <c r="D82" i="74"/>
  <c r="C82" i="74" s="1"/>
  <c r="P82" i="74"/>
  <c r="O82" i="74" s="1"/>
  <c r="X15" i="74"/>
  <c r="F83" i="74"/>
  <c r="E83" i="74" s="1"/>
  <c r="R83" i="74"/>
  <c r="Q83" i="74" s="1"/>
  <c r="N66" i="79"/>
  <c r="N69" i="79"/>
  <c r="N72" i="79"/>
  <c r="N75" i="79"/>
  <c r="N63" i="79"/>
  <c r="F74" i="74"/>
  <c r="E74" i="74" s="1"/>
  <c r="R74" i="74"/>
  <c r="Q74" i="74" s="1"/>
  <c r="H72" i="74"/>
  <c r="G72" i="74" s="1"/>
  <c r="T72" i="74"/>
  <c r="S72" i="74" s="1"/>
  <c r="L74" i="74"/>
  <c r="K74" i="74" s="1"/>
  <c r="B72" i="74"/>
  <c r="Y72" i="74" s="1"/>
  <c r="S52" i="74" s="1"/>
  <c r="N72" i="74"/>
  <c r="M72" i="74" s="1"/>
  <c r="H93" i="74"/>
  <c r="N93" i="74"/>
  <c r="N98" i="74" s="1"/>
  <c r="D95" i="74"/>
  <c r="J95" i="74"/>
  <c r="E96" i="74"/>
  <c r="K96" i="74"/>
  <c r="D73" i="74"/>
  <c r="C73" i="74" s="1"/>
  <c r="P73" i="74"/>
  <c r="O73" i="74" s="1"/>
  <c r="N43" i="79"/>
  <c r="N47" i="79"/>
  <c r="N53" i="79"/>
  <c r="N55" i="79"/>
  <c r="N60" i="79"/>
  <c r="N50" i="79"/>
  <c r="B80" i="72"/>
  <c r="B85" i="72" s="1"/>
  <c r="N80" i="72"/>
  <c r="M80" i="72" s="1"/>
  <c r="D81" i="72"/>
  <c r="C81" i="72" s="1"/>
  <c r="P81" i="72"/>
  <c r="O81" i="72" s="1"/>
  <c r="F83" i="72"/>
  <c r="E83" i="72" s="1"/>
  <c r="R83" i="72"/>
  <c r="Q83" i="72" s="1"/>
  <c r="G110" i="72"/>
  <c r="G115" i="72" s="1"/>
  <c r="M110" i="72"/>
  <c r="M115" i="72" s="1"/>
  <c r="I112" i="72"/>
  <c r="D113" i="72"/>
  <c r="J113" i="72"/>
  <c r="D112" i="72"/>
  <c r="J112" i="72"/>
  <c r="E113" i="72"/>
  <c r="K113" i="72"/>
  <c r="L82" i="72"/>
  <c r="K82" i="72" s="1"/>
  <c r="H79" i="72"/>
  <c r="AE79" i="72" s="1"/>
  <c r="AL18" i="79"/>
  <c r="AN21" i="79" s="1"/>
  <c r="N22" i="79"/>
  <c r="N23" i="79"/>
  <c r="N25" i="79"/>
  <c r="N27" i="79"/>
  <c r="N28" i="79"/>
  <c r="N29" i="79"/>
  <c r="N31" i="79"/>
  <c r="N33" i="79"/>
  <c r="N35" i="79"/>
  <c r="N36" i="79"/>
  <c r="N37" i="79"/>
  <c r="N39" i="79"/>
  <c r="L72" i="72"/>
  <c r="K72" i="72" s="1"/>
  <c r="N74" i="72"/>
  <c r="M74" i="72" s="1"/>
  <c r="BG3" i="72"/>
  <c r="BH3" i="72"/>
  <c r="B74" i="72"/>
  <c r="Y74" i="72" s="1"/>
  <c r="D71" i="72"/>
  <c r="C71" i="72" s="1"/>
  <c r="P71" i="72"/>
  <c r="O71" i="72" s="1"/>
  <c r="F72" i="72"/>
  <c r="E72" i="72" s="1"/>
  <c r="BH3" i="74"/>
  <c r="BG3" i="74"/>
  <c r="BF3" i="74"/>
  <c r="BH3" i="75"/>
  <c r="BL12" i="75"/>
  <c r="BK19" i="75" s="1"/>
  <c r="BG3" i="75"/>
  <c r="BF3" i="75"/>
  <c r="R72" i="72"/>
  <c r="Q72" i="72" s="1"/>
  <c r="H74" i="72"/>
  <c r="G74" i="72" s="1"/>
  <c r="T74" i="72"/>
  <c r="S74" i="72" s="1"/>
  <c r="C70" i="84"/>
  <c r="I70" i="84"/>
  <c r="D71" i="84"/>
  <c r="J71" i="84"/>
  <c r="G67" i="84"/>
  <c r="C69" i="84"/>
  <c r="I69" i="84"/>
  <c r="D70" i="84"/>
  <c r="J70" i="84"/>
  <c r="E71" i="84"/>
  <c r="K71" i="84"/>
  <c r="M67" i="84"/>
  <c r="C68" i="84"/>
  <c r="I68" i="84"/>
  <c r="D69" i="84"/>
  <c r="J69" i="84"/>
  <c r="E70" i="84"/>
  <c r="K70" i="84"/>
  <c r="F71" i="84"/>
  <c r="L71" i="84"/>
  <c r="C67" i="84"/>
  <c r="I67" i="84"/>
  <c r="D68" i="84"/>
  <c r="J68" i="84"/>
  <c r="E69" i="84"/>
  <c r="K69" i="84"/>
  <c r="F70" i="84"/>
  <c r="L70" i="84"/>
  <c r="G71" i="84"/>
  <c r="G70" i="84"/>
  <c r="E67" i="84"/>
  <c r="K67" i="84"/>
  <c r="F68" i="84"/>
  <c r="L68" i="84"/>
  <c r="M68" i="84" s="1"/>
  <c r="G69" i="84"/>
  <c r="B70" i="84"/>
  <c r="H70" i="84"/>
  <c r="C71" i="84"/>
  <c r="I71" i="84"/>
  <c r="M28" i="82"/>
  <c r="G61" i="84"/>
  <c r="G60" i="84"/>
  <c r="B60" i="84"/>
  <c r="B61" i="84"/>
  <c r="E56" i="84"/>
  <c r="K56" i="84"/>
  <c r="F57" i="84"/>
  <c r="L57" i="84"/>
  <c r="G58" i="84"/>
  <c r="B59" i="84"/>
  <c r="H59" i="84"/>
  <c r="C61" i="84"/>
  <c r="C60" i="84"/>
  <c r="I61" i="84"/>
  <c r="I60" i="84"/>
  <c r="H61" i="84"/>
  <c r="H60" i="84"/>
  <c r="B58" i="84"/>
  <c r="H58" i="84"/>
  <c r="C59" i="84"/>
  <c r="I59" i="84"/>
  <c r="D60" i="84"/>
  <c r="D61" i="84"/>
  <c r="J60" i="84"/>
  <c r="J61" i="84"/>
  <c r="G56" i="84"/>
  <c r="B57" i="84"/>
  <c r="M57" i="84" s="1"/>
  <c r="H57" i="84"/>
  <c r="C58" i="84"/>
  <c r="I58" i="84"/>
  <c r="D59" i="84"/>
  <c r="J59" i="84"/>
  <c r="E60" i="84"/>
  <c r="E61" i="84"/>
  <c r="K60" i="84"/>
  <c r="K61" i="84"/>
  <c r="M59" i="84"/>
  <c r="B56" i="84"/>
  <c r="M56" i="84" s="1"/>
  <c r="H56" i="84"/>
  <c r="C57" i="84"/>
  <c r="I57" i="84"/>
  <c r="D58" i="84"/>
  <c r="J58" i="84"/>
  <c r="E59" i="84"/>
  <c r="K59" i="84"/>
  <c r="F60" i="84"/>
  <c r="F61" i="84"/>
  <c r="L60" i="84"/>
  <c r="L61" i="84"/>
  <c r="BA38" i="79"/>
  <c r="E73" i="75"/>
  <c r="E79" i="75"/>
  <c r="AC50" i="75"/>
  <c r="AC58" i="75" s="1"/>
  <c r="E72" i="75"/>
  <c r="D76" i="75"/>
  <c r="D70" i="75"/>
  <c r="E80" i="75"/>
  <c r="M9" i="82"/>
  <c r="T40" i="82"/>
  <c r="R40" i="82"/>
  <c r="R38" i="82"/>
  <c r="M7" i="82"/>
  <c r="M6" i="82"/>
  <c r="M12" i="82"/>
  <c r="M11" i="82"/>
  <c r="M10" i="82"/>
  <c r="D45" i="84"/>
  <c r="J45" i="84"/>
  <c r="M8" i="84"/>
  <c r="L47" i="84"/>
  <c r="G48" i="84"/>
  <c r="B49" i="84"/>
  <c r="N10" i="84"/>
  <c r="H49" i="84"/>
  <c r="H51" i="84" s="1"/>
  <c r="L46" i="84"/>
  <c r="M7" i="84"/>
  <c r="B48" i="84"/>
  <c r="N9" i="84"/>
  <c r="C49" i="84"/>
  <c r="I49" i="84"/>
  <c r="B47" i="84"/>
  <c r="N8" i="84"/>
  <c r="H47" i="84"/>
  <c r="C48" i="84"/>
  <c r="I48" i="84"/>
  <c r="D49" i="84"/>
  <c r="J49" i="84"/>
  <c r="G45" i="84"/>
  <c r="B46" i="84"/>
  <c r="N7" i="84"/>
  <c r="H46" i="84"/>
  <c r="C47" i="84"/>
  <c r="I47" i="84"/>
  <c r="D48" i="84"/>
  <c r="J48" i="84"/>
  <c r="E49" i="84"/>
  <c r="E51" i="84" s="1"/>
  <c r="K49" i="84"/>
  <c r="O5" i="84"/>
  <c r="M5" i="84"/>
  <c r="B45" i="84"/>
  <c r="H45" i="84"/>
  <c r="C46" i="84"/>
  <c r="I46" i="84"/>
  <c r="D47" i="84"/>
  <c r="J47" i="84"/>
  <c r="E48" i="84"/>
  <c r="K48" i="84"/>
  <c r="F49" i="84"/>
  <c r="M10" i="84"/>
  <c r="L49" i="84"/>
  <c r="C45" i="84"/>
  <c r="I45" i="84"/>
  <c r="D46" i="84"/>
  <c r="J46" i="84"/>
  <c r="E47" i="84"/>
  <c r="K47" i="84"/>
  <c r="F48" i="84"/>
  <c r="L48" i="84"/>
  <c r="M9" i="84"/>
  <c r="G49" i="84"/>
  <c r="Y81" i="74"/>
  <c r="A81" i="74"/>
  <c r="X82" i="74"/>
  <c r="U82" i="74"/>
  <c r="H106" i="74"/>
  <c r="H111" i="74" s="1"/>
  <c r="N106" i="74"/>
  <c r="N111" i="74" s="1"/>
  <c r="I107" i="74"/>
  <c r="D108" i="74"/>
  <c r="J108" i="74"/>
  <c r="E109" i="74"/>
  <c r="K109" i="74"/>
  <c r="F79" i="74"/>
  <c r="L79" i="74"/>
  <c r="R79" i="74"/>
  <c r="B80" i="74"/>
  <c r="H80" i="74"/>
  <c r="G80" i="74" s="1"/>
  <c r="N80" i="74"/>
  <c r="M80" i="74" s="1"/>
  <c r="T80" i="74"/>
  <c r="S80" i="74" s="1"/>
  <c r="D81" i="74"/>
  <c r="C81" i="74" s="1"/>
  <c r="J81" i="74"/>
  <c r="I81" i="74" s="1"/>
  <c r="P81" i="74"/>
  <c r="O81" i="74" s="1"/>
  <c r="V81" i="74"/>
  <c r="F82" i="74"/>
  <c r="E82" i="74" s="1"/>
  <c r="L82" i="74"/>
  <c r="K82" i="74" s="1"/>
  <c r="R82" i="74"/>
  <c r="Q82" i="74" s="1"/>
  <c r="B83" i="74"/>
  <c r="H83" i="74"/>
  <c r="G83" i="74" s="1"/>
  <c r="N83" i="74"/>
  <c r="M83" i="74" s="1"/>
  <c r="T83" i="74"/>
  <c r="S83" i="74" s="1"/>
  <c r="I106" i="74"/>
  <c r="D107" i="74"/>
  <c r="J107" i="74"/>
  <c r="E108" i="74"/>
  <c r="K108" i="74"/>
  <c r="F109" i="74"/>
  <c r="L109" i="74"/>
  <c r="BF5" i="74"/>
  <c r="D106" i="74"/>
  <c r="J106" i="74"/>
  <c r="E107" i="74"/>
  <c r="E111" i="74" s="1"/>
  <c r="K107" i="74"/>
  <c r="K111" i="74" s="1"/>
  <c r="F108" i="74"/>
  <c r="L108" i="74"/>
  <c r="G109" i="74"/>
  <c r="M109" i="74"/>
  <c r="BG5" i="74"/>
  <c r="B79" i="74"/>
  <c r="H79" i="74"/>
  <c r="N79" i="74"/>
  <c r="T79" i="74"/>
  <c r="D80" i="74"/>
  <c r="C80" i="74" s="1"/>
  <c r="J80" i="74"/>
  <c r="I80" i="74" s="1"/>
  <c r="P80" i="74"/>
  <c r="O80" i="74" s="1"/>
  <c r="V80" i="74"/>
  <c r="F81" i="74"/>
  <c r="E81" i="74" s="1"/>
  <c r="L81" i="74"/>
  <c r="K81" i="74" s="1"/>
  <c r="R81" i="74"/>
  <c r="Q81" i="74" s="1"/>
  <c r="B82" i="74"/>
  <c r="H82" i="74"/>
  <c r="G82" i="74" s="1"/>
  <c r="N82" i="74"/>
  <c r="M82" i="74" s="1"/>
  <c r="T82" i="74"/>
  <c r="S82" i="74" s="1"/>
  <c r="D83" i="74"/>
  <c r="C83" i="74" s="1"/>
  <c r="J83" i="74"/>
  <c r="I83" i="74" s="1"/>
  <c r="P83" i="74"/>
  <c r="O83" i="74" s="1"/>
  <c r="V83" i="74"/>
  <c r="F107" i="74"/>
  <c r="F111" i="74" s="1"/>
  <c r="L107" i="74"/>
  <c r="L111" i="74" s="1"/>
  <c r="G108" i="74"/>
  <c r="M108" i="74"/>
  <c r="H109" i="74"/>
  <c r="N109" i="74"/>
  <c r="BH5" i="74"/>
  <c r="G107" i="74"/>
  <c r="G111" i="74" s="1"/>
  <c r="M107" i="74"/>
  <c r="M111" i="74" s="1"/>
  <c r="H108" i="74"/>
  <c r="N108" i="74"/>
  <c r="I109" i="74"/>
  <c r="D79" i="74"/>
  <c r="J79" i="74"/>
  <c r="P79" i="74"/>
  <c r="V79" i="74"/>
  <c r="F80" i="74"/>
  <c r="E80" i="74" s="1"/>
  <c r="L80" i="74"/>
  <c r="K80" i="74" s="1"/>
  <c r="R80" i="74"/>
  <c r="Q80" i="74" s="1"/>
  <c r="X73" i="74"/>
  <c r="U73" i="74"/>
  <c r="H98" i="74"/>
  <c r="F100" i="74"/>
  <c r="F113" i="74" s="1"/>
  <c r="F87" i="74"/>
  <c r="F69" i="74"/>
  <c r="F78" i="74" s="1"/>
  <c r="U6" i="74"/>
  <c r="U30" i="74" s="1"/>
  <c r="L87" i="74"/>
  <c r="L100" i="74"/>
  <c r="L113" i="74" s="1"/>
  <c r="R69" i="74"/>
  <c r="R78" i="74" s="1"/>
  <c r="AA6" i="74"/>
  <c r="AA30" i="74" s="1"/>
  <c r="T7" i="74"/>
  <c r="Z7" i="74"/>
  <c r="F70" i="74"/>
  <c r="L70" i="74"/>
  <c r="R70" i="74"/>
  <c r="B71" i="74"/>
  <c r="H71" i="74"/>
  <c r="G71" i="74" s="1"/>
  <c r="N71" i="74"/>
  <c r="M71" i="74" s="1"/>
  <c r="T71" i="74"/>
  <c r="S71" i="74" s="1"/>
  <c r="D72" i="74"/>
  <c r="C72" i="74" s="1"/>
  <c r="J72" i="74"/>
  <c r="I72" i="74" s="1"/>
  <c r="P72" i="74"/>
  <c r="O72" i="74" s="1"/>
  <c r="V72" i="74"/>
  <c r="F73" i="74"/>
  <c r="E73" i="74" s="1"/>
  <c r="L73" i="74"/>
  <c r="K73" i="74" s="1"/>
  <c r="R73" i="74"/>
  <c r="Q73" i="74" s="1"/>
  <c r="B74" i="74"/>
  <c r="H74" i="74"/>
  <c r="G74" i="74" s="1"/>
  <c r="N74" i="74"/>
  <c r="M74" i="74" s="1"/>
  <c r="T74" i="74"/>
  <c r="S74" i="74" s="1"/>
  <c r="I93" i="74"/>
  <c r="D94" i="74"/>
  <c r="J94" i="74"/>
  <c r="E95" i="74"/>
  <c r="K95" i="74"/>
  <c r="F96" i="74"/>
  <c r="L96" i="74"/>
  <c r="G87" i="74"/>
  <c r="G100" i="74"/>
  <c r="G113" i="74" s="1"/>
  <c r="H69" i="74"/>
  <c r="H78" i="74" s="1"/>
  <c r="V6" i="74"/>
  <c r="V30" i="74" s="1"/>
  <c r="M87" i="74"/>
  <c r="M100" i="74"/>
  <c r="M113" i="74" s="1"/>
  <c r="T69" i="74"/>
  <c r="T78" i="74" s="1"/>
  <c r="AB6" i="74"/>
  <c r="AB30" i="74" s="1"/>
  <c r="U7" i="74"/>
  <c r="AA7" i="74"/>
  <c r="D93" i="74"/>
  <c r="J93" i="74"/>
  <c r="E94" i="74"/>
  <c r="E98" i="74" s="1"/>
  <c r="K94" i="74"/>
  <c r="K98" i="74" s="1"/>
  <c r="F95" i="74"/>
  <c r="L95" i="74"/>
  <c r="G96" i="74"/>
  <c r="M96" i="74"/>
  <c r="E87" i="74"/>
  <c r="E100" i="74"/>
  <c r="E113" i="74" s="1"/>
  <c r="D69" i="74"/>
  <c r="D78" i="74" s="1"/>
  <c r="T6" i="74"/>
  <c r="T30" i="74" s="1"/>
  <c r="H87" i="74"/>
  <c r="H100" i="74"/>
  <c r="H113" i="74" s="1"/>
  <c r="J69" i="74"/>
  <c r="J78" i="74" s="1"/>
  <c r="W6" i="74"/>
  <c r="W30" i="74" s="1"/>
  <c r="N87" i="74"/>
  <c r="N100" i="74"/>
  <c r="N113" i="74" s="1"/>
  <c r="V69" i="74"/>
  <c r="X69" i="74" s="1"/>
  <c r="AC6" i="74"/>
  <c r="AC30" i="74" s="1"/>
  <c r="V7" i="74"/>
  <c r="AB7" i="74"/>
  <c r="B70" i="74"/>
  <c r="H70" i="74"/>
  <c r="N70" i="74"/>
  <c r="T70" i="74"/>
  <c r="D71" i="74"/>
  <c r="C71" i="74" s="1"/>
  <c r="J71" i="74"/>
  <c r="I71" i="74" s="1"/>
  <c r="P71" i="74"/>
  <c r="O71" i="74" s="1"/>
  <c r="V71" i="74"/>
  <c r="F72" i="74"/>
  <c r="E72" i="74" s="1"/>
  <c r="L72" i="74"/>
  <c r="K72" i="74" s="1"/>
  <c r="R72" i="74"/>
  <c r="Q72" i="74" s="1"/>
  <c r="B73" i="74"/>
  <c r="H73" i="74"/>
  <c r="G73" i="74" s="1"/>
  <c r="N73" i="74"/>
  <c r="M73" i="74" s="1"/>
  <c r="T73" i="74"/>
  <c r="S73" i="74" s="1"/>
  <c r="D74" i="74"/>
  <c r="C74" i="74" s="1"/>
  <c r="J74" i="74"/>
  <c r="I74" i="74" s="1"/>
  <c r="P74" i="74"/>
  <c r="O74" i="74" s="1"/>
  <c r="V74" i="74"/>
  <c r="F94" i="74"/>
  <c r="F98" i="74" s="1"/>
  <c r="L94" i="74"/>
  <c r="L98" i="74" s="1"/>
  <c r="G95" i="74"/>
  <c r="M95" i="74"/>
  <c r="H96" i="74"/>
  <c r="N96" i="74"/>
  <c r="I100" i="74"/>
  <c r="I113" i="74" s="1"/>
  <c r="I87" i="74"/>
  <c r="L69" i="74"/>
  <c r="L78" i="74" s="1"/>
  <c r="X6" i="74"/>
  <c r="X30" i="74" s="1"/>
  <c r="W7" i="74"/>
  <c r="AC7" i="74"/>
  <c r="G94" i="74"/>
  <c r="G98" i="74" s="1"/>
  <c r="M94" i="74"/>
  <c r="M98" i="74" s="1"/>
  <c r="H95" i="74"/>
  <c r="N95" i="74"/>
  <c r="I96" i="74"/>
  <c r="K87" i="74"/>
  <c r="K100" i="74"/>
  <c r="K113" i="74" s="1"/>
  <c r="P69" i="74"/>
  <c r="P78" i="74" s="1"/>
  <c r="Z6" i="74"/>
  <c r="Z30" i="74" s="1"/>
  <c r="I94" i="74"/>
  <c r="D100" i="74"/>
  <c r="D113" i="74" s="1"/>
  <c r="D87" i="74"/>
  <c r="B69" i="74"/>
  <c r="Y69" i="74" s="1"/>
  <c r="S6" i="74"/>
  <c r="S30" i="74" s="1"/>
  <c r="J87" i="74"/>
  <c r="J100" i="74"/>
  <c r="J113" i="74" s="1"/>
  <c r="N69" i="74"/>
  <c r="N78" i="74" s="1"/>
  <c r="Y6" i="74"/>
  <c r="Y30" i="74" s="1"/>
  <c r="X7" i="74"/>
  <c r="D70" i="74"/>
  <c r="J70" i="74"/>
  <c r="P70" i="74"/>
  <c r="V70" i="74"/>
  <c r="F71" i="74"/>
  <c r="E71" i="74" s="1"/>
  <c r="L71" i="74"/>
  <c r="K71" i="74" s="1"/>
  <c r="R71" i="74"/>
  <c r="Q71" i="74" s="1"/>
  <c r="Y83" i="72"/>
  <c r="AK79" i="72"/>
  <c r="F82" i="72"/>
  <c r="E82" i="72" s="1"/>
  <c r="R82" i="72"/>
  <c r="Q82" i="72" s="1"/>
  <c r="H111" i="72"/>
  <c r="BG5" i="72"/>
  <c r="D79" i="72"/>
  <c r="J79" i="72"/>
  <c r="P79" i="72"/>
  <c r="V79" i="72"/>
  <c r="F80" i="72"/>
  <c r="E80" i="72" s="1"/>
  <c r="L80" i="72"/>
  <c r="K80" i="72" s="1"/>
  <c r="R80" i="72"/>
  <c r="Q80" i="72" s="1"/>
  <c r="B82" i="72"/>
  <c r="H82" i="72"/>
  <c r="G82" i="72" s="1"/>
  <c r="N82" i="72"/>
  <c r="M82" i="72" s="1"/>
  <c r="T82" i="72"/>
  <c r="S82" i="72" s="1"/>
  <c r="I110" i="72"/>
  <c r="D111" i="72"/>
  <c r="D115" i="72" s="1"/>
  <c r="J111" i="72"/>
  <c r="J115" i="72" s="1"/>
  <c r="E112" i="72"/>
  <c r="K112" i="72"/>
  <c r="F113" i="72"/>
  <c r="L113" i="72"/>
  <c r="B79" i="72"/>
  <c r="B84" i="72" s="1"/>
  <c r="J80" i="72"/>
  <c r="I80" i="72" s="1"/>
  <c r="H110" i="72"/>
  <c r="B81" i="72"/>
  <c r="B86" i="72" s="1"/>
  <c r="H81" i="72"/>
  <c r="G81" i="72" s="1"/>
  <c r="N81" i="72"/>
  <c r="M81" i="72" s="1"/>
  <c r="T81" i="72"/>
  <c r="S81" i="72" s="1"/>
  <c r="D83" i="72"/>
  <c r="C83" i="72" s="1"/>
  <c r="J83" i="72"/>
  <c r="I83" i="72" s="1"/>
  <c r="P83" i="72"/>
  <c r="O83" i="72" s="1"/>
  <c r="V83" i="72"/>
  <c r="E111" i="72"/>
  <c r="E115" i="72" s="1"/>
  <c r="K111" i="72"/>
  <c r="K115" i="72" s="1"/>
  <c r="F112" i="72"/>
  <c r="L112" i="72"/>
  <c r="G113" i="72"/>
  <c r="M113" i="72"/>
  <c r="N79" i="72"/>
  <c r="N110" i="72"/>
  <c r="BH5" i="72"/>
  <c r="F79" i="72"/>
  <c r="L79" i="72"/>
  <c r="R79" i="72"/>
  <c r="D82" i="72"/>
  <c r="C82" i="72" s="1"/>
  <c r="J82" i="72"/>
  <c r="I82" i="72" s="1"/>
  <c r="P82" i="72"/>
  <c r="O82" i="72" s="1"/>
  <c r="V82" i="72"/>
  <c r="F111" i="72"/>
  <c r="F115" i="72" s="1"/>
  <c r="L111" i="72"/>
  <c r="L115" i="72" s="1"/>
  <c r="G112" i="72"/>
  <c r="M112" i="72"/>
  <c r="H113" i="72"/>
  <c r="N113" i="72"/>
  <c r="V80" i="72"/>
  <c r="N111" i="72"/>
  <c r="BF5" i="72"/>
  <c r="L81" i="72"/>
  <c r="K81" i="72" s="1"/>
  <c r="I111" i="72"/>
  <c r="AA7" i="72"/>
  <c r="Z9" i="72"/>
  <c r="Z15" i="72"/>
  <c r="Z8" i="72"/>
  <c r="Z14" i="72"/>
  <c r="Z13" i="72"/>
  <c r="Z17" i="72"/>
  <c r="Z19" i="72"/>
  <c r="Z21" i="72"/>
  <c r="Z23" i="72"/>
  <c r="Z25" i="72"/>
  <c r="W40" i="82"/>
  <c r="Y40" i="82"/>
  <c r="W38" i="82"/>
  <c r="M22" i="82"/>
  <c r="Y38" i="82" s="1"/>
  <c r="M21" i="82"/>
  <c r="M27" i="82"/>
  <c r="M26" i="82"/>
  <c r="M25" i="82"/>
  <c r="M24" i="82"/>
  <c r="N24" i="79"/>
  <c r="N26" i="79"/>
  <c r="N30" i="79"/>
  <c r="N32" i="79"/>
  <c r="N34" i="79"/>
  <c r="N38" i="79"/>
  <c r="X71" i="72"/>
  <c r="S46" i="72" s="1"/>
  <c r="U71" i="72"/>
  <c r="Q46" i="72" s="1"/>
  <c r="R46" i="72" s="1"/>
  <c r="U7" i="72"/>
  <c r="W6" i="72"/>
  <c r="W30" i="72" s="1"/>
  <c r="H89" i="72"/>
  <c r="H104" i="72" s="1"/>
  <c r="H117" i="72" s="1"/>
  <c r="J69" i="72"/>
  <c r="J78" i="72" s="1"/>
  <c r="AC6" i="72"/>
  <c r="AC30" i="72" s="1"/>
  <c r="N89" i="72"/>
  <c r="N104" i="72" s="1"/>
  <c r="N117" i="72" s="1"/>
  <c r="V69" i="72"/>
  <c r="X69" i="72" s="1"/>
  <c r="V7" i="72"/>
  <c r="AB7" i="72"/>
  <c r="V8" i="72"/>
  <c r="AB8" i="72"/>
  <c r="V9" i="72"/>
  <c r="AB9" i="72"/>
  <c r="V10" i="72"/>
  <c r="AB10" i="72"/>
  <c r="V11" i="72"/>
  <c r="AB11" i="72"/>
  <c r="V12" i="72"/>
  <c r="AB12" i="72"/>
  <c r="V13" i="72"/>
  <c r="AB13" i="72"/>
  <c r="V14" i="72"/>
  <c r="AB14" i="72"/>
  <c r="V15" i="72"/>
  <c r="AB15" i="72"/>
  <c r="V16" i="72"/>
  <c r="AB16" i="72"/>
  <c r="V17" i="72"/>
  <c r="AB17" i="72"/>
  <c r="V18" i="72"/>
  <c r="AB18" i="72"/>
  <c r="V19" i="72"/>
  <c r="AB19" i="72"/>
  <c r="V20" i="72"/>
  <c r="AB20" i="72"/>
  <c r="V21" i="72"/>
  <c r="AB21" i="72"/>
  <c r="V22" i="72"/>
  <c r="AB22" i="72"/>
  <c r="V23" i="72"/>
  <c r="AB23" i="72"/>
  <c r="V24" i="72"/>
  <c r="AB24" i="72"/>
  <c r="V25" i="72"/>
  <c r="AB25" i="72"/>
  <c r="V26" i="72"/>
  <c r="AB26" i="72"/>
  <c r="D70" i="72"/>
  <c r="J70" i="72"/>
  <c r="P70" i="72"/>
  <c r="V70" i="72"/>
  <c r="F71" i="72"/>
  <c r="E71" i="72" s="1"/>
  <c r="L71" i="72"/>
  <c r="K71" i="72" s="1"/>
  <c r="R71" i="72"/>
  <c r="Q71" i="72" s="1"/>
  <c r="B73" i="72"/>
  <c r="H73" i="72"/>
  <c r="G73" i="72" s="1"/>
  <c r="N73" i="72"/>
  <c r="M73" i="72" s="1"/>
  <c r="T73" i="72"/>
  <c r="S73" i="72" s="1"/>
  <c r="E95" i="72"/>
  <c r="E100" i="72" s="1"/>
  <c r="K95" i="72"/>
  <c r="K100" i="72" s="1"/>
  <c r="F96" i="72"/>
  <c r="L96" i="72"/>
  <c r="G97" i="72"/>
  <c r="M97" i="72"/>
  <c r="H98" i="72"/>
  <c r="N98" i="72"/>
  <c r="B352" i="76"/>
  <c r="C352" i="76" s="1"/>
  <c r="B272" i="76"/>
  <c r="C272" i="76" s="1"/>
  <c r="B192" i="76"/>
  <c r="C192" i="76" s="1"/>
  <c r="B92" i="76"/>
  <c r="C92" i="76" s="1"/>
  <c r="B432" i="76"/>
  <c r="C432" i="76" s="1"/>
  <c r="B52" i="76"/>
  <c r="C52" i="76" s="1"/>
  <c r="B412" i="76"/>
  <c r="C412" i="76" s="1"/>
  <c r="B332" i="76"/>
  <c r="C332" i="76" s="1"/>
  <c r="B252" i="76"/>
  <c r="C252" i="76" s="1"/>
  <c r="B392" i="76"/>
  <c r="C392" i="76" s="1"/>
  <c r="B312" i="76"/>
  <c r="C312" i="76" s="1"/>
  <c r="B172" i="76"/>
  <c r="C172" i="76" s="1"/>
  <c r="B112" i="76"/>
  <c r="C112" i="76" s="1"/>
  <c r="B232" i="76"/>
  <c r="C232" i="76" s="1"/>
  <c r="B372" i="76"/>
  <c r="C372" i="76" s="1"/>
  <c r="B292" i="76"/>
  <c r="C292" i="76" s="1"/>
  <c r="B212" i="76"/>
  <c r="C212" i="76" s="1"/>
  <c r="B132" i="76"/>
  <c r="C132" i="76" s="1"/>
  <c r="B404" i="76"/>
  <c r="C404" i="76" s="1"/>
  <c r="B324" i="76"/>
  <c r="C324" i="76" s="1"/>
  <c r="B84" i="76"/>
  <c r="C84" i="76" s="1"/>
  <c r="B244" i="76"/>
  <c r="C244" i="76" s="1"/>
  <c r="B224" i="76"/>
  <c r="C224" i="76" s="1"/>
  <c r="B164" i="76"/>
  <c r="C164" i="76" s="1"/>
  <c r="B144" i="76"/>
  <c r="C144" i="76" s="1"/>
  <c r="B384" i="76"/>
  <c r="C384" i="76" s="1"/>
  <c r="B304" i="76"/>
  <c r="C304" i="76" s="1"/>
  <c r="B104" i="76"/>
  <c r="C104" i="76" s="1"/>
  <c r="B444" i="76"/>
  <c r="C444" i="76" s="1"/>
  <c r="B364" i="76"/>
  <c r="C364" i="76" s="1"/>
  <c r="B284" i="76"/>
  <c r="C284" i="76" s="1"/>
  <c r="B204" i="76"/>
  <c r="C204" i="76" s="1"/>
  <c r="B64" i="76"/>
  <c r="C64" i="76" s="1"/>
  <c r="B424" i="76"/>
  <c r="C424" i="76" s="1"/>
  <c r="B344" i="76"/>
  <c r="C344" i="76" s="1"/>
  <c r="B264" i="76"/>
  <c r="C264" i="76" s="1"/>
  <c r="B184" i="76"/>
  <c r="C184" i="76" s="1"/>
  <c r="L69" i="72"/>
  <c r="L78" i="72" s="1"/>
  <c r="I89" i="72"/>
  <c r="I104" i="72" s="1"/>
  <c r="I117" i="72" s="1"/>
  <c r="X6" i="72"/>
  <c r="X30" i="72" s="1"/>
  <c r="W7" i="72"/>
  <c r="AC7" i="72"/>
  <c r="W8" i="72"/>
  <c r="AC8" i="72"/>
  <c r="W9" i="72"/>
  <c r="AC9" i="72"/>
  <c r="W10" i="72"/>
  <c r="AC10" i="72"/>
  <c r="W11" i="72"/>
  <c r="AC11" i="72"/>
  <c r="W12" i="72"/>
  <c r="AC12" i="72"/>
  <c r="W13" i="72"/>
  <c r="AC13" i="72"/>
  <c r="W14" i="72"/>
  <c r="AC14" i="72"/>
  <c r="W15" i="72"/>
  <c r="AC15" i="72"/>
  <c r="W16" i="72"/>
  <c r="AC16" i="72"/>
  <c r="W17" i="72"/>
  <c r="AC17" i="72"/>
  <c r="W18" i="72"/>
  <c r="AC18" i="72"/>
  <c r="W19" i="72"/>
  <c r="AC19" i="72"/>
  <c r="W20" i="72"/>
  <c r="AC20" i="72"/>
  <c r="W21" i="72"/>
  <c r="AC21" i="72"/>
  <c r="W22" i="72"/>
  <c r="AC22" i="72"/>
  <c r="W23" i="72"/>
  <c r="AC23" i="72"/>
  <c r="W24" i="72"/>
  <c r="AC24" i="72"/>
  <c r="W25" i="72"/>
  <c r="AC25" i="72"/>
  <c r="W26" i="72"/>
  <c r="AC26" i="72"/>
  <c r="B72" i="72"/>
  <c r="B77" i="72" s="1"/>
  <c r="H72" i="72"/>
  <c r="G72" i="72" s="1"/>
  <c r="N72" i="72"/>
  <c r="M72" i="72" s="1"/>
  <c r="T72" i="72"/>
  <c r="S72" i="72" s="1"/>
  <c r="D74" i="72"/>
  <c r="C74" i="72" s="1"/>
  <c r="J74" i="72"/>
  <c r="I74" i="72" s="1"/>
  <c r="P74" i="72"/>
  <c r="O74" i="72" s="1"/>
  <c r="V74" i="72"/>
  <c r="F95" i="72"/>
  <c r="L95" i="72"/>
  <c r="G96" i="72"/>
  <c r="M96" i="72"/>
  <c r="H97" i="72"/>
  <c r="N97" i="72"/>
  <c r="I98" i="72"/>
  <c r="B350" i="76"/>
  <c r="C350" i="76" s="1"/>
  <c r="B270" i="76"/>
  <c r="C270" i="76" s="1"/>
  <c r="B190" i="76"/>
  <c r="C190" i="76" s="1"/>
  <c r="B90" i="76"/>
  <c r="C90" i="76" s="1"/>
  <c r="B430" i="76"/>
  <c r="C430" i="76" s="1"/>
  <c r="B50" i="76"/>
  <c r="C50" i="76" s="1"/>
  <c r="B410" i="76"/>
  <c r="C410" i="76" s="1"/>
  <c r="B330" i="76"/>
  <c r="C330" i="76" s="1"/>
  <c r="B250" i="76"/>
  <c r="C250" i="76" s="1"/>
  <c r="B390" i="76"/>
  <c r="C390" i="76" s="1"/>
  <c r="B310" i="76"/>
  <c r="C310" i="76" s="1"/>
  <c r="B170" i="76"/>
  <c r="C170" i="76" s="1"/>
  <c r="B110" i="76"/>
  <c r="C110" i="76" s="1"/>
  <c r="B230" i="76"/>
  <c r="C230" i="76" s="1"/>
  <c r="B370" i="76"/>
  <c r="C370" i="76" s="1"/>
  <c r="B290" i="76"/>
  <c r="C290" i="76" s="1"/>
  <c r="B210" i="76"/>
  <c r="C210" i="76" s="1"/>
  <c r="B130" i="76"/>
  <c r="C130" i="76" s="1"/>
  <c r="B122" i="76"/>
  <c r="C122" i="76" s="1"/>
  <c r="B422" i="76"/>
  <c r="C422" i="76" s="1"/>
  <c r="B342" i="76"/>
  <c r="C342" i="76" s="1"/>
  <c r="B262" i="76"/>
  <c r="C262" i="76" s="1"/>
  <c r="B182" i="76"/>
  <c r="C182" i="76" s="1"/>
  <c r="B42" i="76"/>
  <c r="C42" i="76" s="1"/>
  <c r="B402" i="76"/>
  <c r="C402" i="76" s="1"/>
  <c r="B322" i="76"/>
  <c r="C322" i="76" s="1"/>
  <c r="B82" i="76"/>
  <c r="C82" i="76" s="1"/>
  <c r="B242" i="76"/>
  <c r="C242" i="76" s="1"/>
  <c r="B222" i="76"/>
  <c r="C222" i="76" s="1"/>
  <c r="B162" i="76"/>
  <c r="C162" i="76" s="1"/>
  <c r="B142" i="76"/>
  <c r="C142" i="76" s="1"/>
  <c r="B382" i="76"/>
  <c r="C382" i="76" s="1"/>
  <c r="B302" i="76"/>
  <c r="C302" i="76" s="1"/>
  <c r="B442" i="76"/>
  <c r="C442" i="76" s="1"/>
  <c r="B362" i="76"/>
  <c r="C362" i="76" s="1"/>
  <c r="B282" i="76"/>
  <c r="C282" i="76" s="1"/>
  <c r="B202" i="76"/>
  <c r="C202" i="76" s="1"/>
  <c r="B69" i="72"/>
  <c r="Y69" i="72" s="1"/>
  <c r="D89" i="72"/>
  <c r="X91" i="72" s="1"/>
  <c r="S6" i="72"/>
  <c r="S30" i="72" s="1"/>
  <c r="N69" i="72"/>
  <c r="N78" i="72" s="1"/>
  <c r="J89" i="72"/>
  <c r="J104" i="72" s="1"/>
  <c r="J117" i="72" s="1"/>
  <c r="Y6" i="72"/>
  <c r="Y30" i="72" s="1"/>
  <c r="X7" i="72"/>
  <c r="X8" i="72"/>
  <c r="X9" i="72"/>
  <c r="X10" i="72"/>
  <c r="X11" i="72"/>
  <c r="X12" i="72"/>
  <c r="X13" i="72"/>
  <c r="X14" i="72"/>
  <c r="X15" i="72"/>
  <c r="X16" i="72"/>
  <c r="X17" i="72"/>
  <c r="X18" i="72"/>
  <c r="X19" i="72"/>
  <c r="X20" i="72"/>
  <c r="X21" i="72"/>
  <c r="X22" i="72"/>
  <c r="X23" i="72"/>
  <c r="X24" i="72"/>
  <c r="X25" i="72"/>
  <c r="X26" i="72"/>
  <c r="F70" i="72"/>
  <c r="L70" i="72"/>
  <c r="R70" i="72"/>
  <c r="H71" i="72"/>
  <c r="G71" i="72" s="1"/>
  <c r="N71" i="72"/>
  <c r="M71" i="72" s="1"/>
  <c r="T71" i="72"/>
  <c r="S71" i="72" s="1"/>
  <c r="D73" i="72"/>
  <c r="C73" i="72" s="1"/>
  <c r="J73" i="72"/>
  <c r="I73" i="72" s="1"/>
  <c r="P73" i="72"/>
  <c r="O73" i="72" s="1"/>
  <c r="V73" i="72"/>
  <c r="X73" i="72" s="1"/>
  <c r="G95" i="72"/>
  <c r="M95" i="72"/>
  <c r="M100" i="72" s="1"/>
  <c r="H96" i="72"/>
  <c r="N96" i="72"/>
  <c r="I97" i="72"/>
  <c r="D98" i="72"/>
  <c r="J98" i="72"/>
  <c r="B288" i="76"/>
  <c r="C288" i="76" s="1"/>
  <c r="B208" i="76"/>
  <c r="C208" i="76" s="1"/>
  <c r="B368" i="76"/>
  <c r="C368" i="76" s="1"/>
  <c r="B128" i="76"/>
  <c r="C128" i="76" s="1"/>
  <c r="B428" i="76"/>
  <c r="C428" i="76" s="1"/>
  <c r="B348" i="76"/>
  <c r="C348" i="76" s="1"/>
  <c r="B268" i="76"/>
  <c r="C268" i="76" s="1"/>
  <c r="B188" i="76"/>
  <c r="C188" i="76" s="1"/>
  <c r="B88" i="76"/>
  <c r="C88" i="76" s="1"/>
  <c r="B408" i="76"/>
  <c r="C408" i="76" s="1"/>
  <c r="B328" i="76"/>
  <c r="C328" i="76" s="1"/>
  <c r="B48" i="76"/>
  <c r="C48" i="76" s="1"/>
  <c r="B388" i="76"/>
  <c r="C388" i="76" s="1"/>
  <c r="B308" i="76"/>
  <c r="C308" i="76" s="1"/>
  <c r="B248" i="76"/>
  <c r="C248" i="76" s="1"/>
  <c r="B228" i="76"/>
  <c r="C228" i="76" s="1"/>
  <c r="B168" i="76"/>
  <c r="C168" i="76" s="1"/>
  <c r="B148" i="76"/>
  <c r="C148" i="76" s="1"/>
  <c r="B108" i="76"/>
  <c r="C108" i="76" s="1"/>
  <c r="B68" i="76"/>
  <c r="C68" i="76" s="1"/>
  <c r="B440" i="76"/>
  <c r="C440" i="76" s="1"/>
  <c r="B360" i="76"/>
  <c r="C360" i="76" s="1"/>
  <c r="B280" i="76"/>
  <c r="C280" i="76" s="1"/>
  <c r="B200" i="76"/>
  <c r="C200" i="76" s="1"/>
  <c r="B60" i="76"/>
  <c r="C60" i="76" s="1"/>
  <c r="B120" i="76"/>
  <c r="C120" i="76" s="1"/>
  <c r="B420" i="76"/>
  <c r="C420" i="76" s="1"/>
  <c r="B340" i="76"/>
  <c r="C340" i="76" s="1"/>
  <c r="B260" i="76"/>
  <c r="C260" i="76" s="1"/>
  <c r="B180" i="76"/>
  <c r="C180" i="76" s="1"/>
  <c r="B400" i="76"/>
  <c r="C400" i="76" s="1"/>
  <c r="B320" i="76"/>
  <c r="C320" i="76" s="1"/>
  <c r="B80" i="76"/>
  <c r="C80" i="76" s="1"/>
  <c r="B240" i="76"/>
  <c r="C240" i="76" s="1"/>
  <c r="B220" i="76"/>
  <c r="C220" i="76" s="1"/>
  <c r="B380" i="76"/>
  <c r="C380" i="76" s="1"/>
  <c r="B300" i="76"/>
  <c r="C300" i="76" s="1"/>
  <c r="B100" i="76"/>
  <c r="C100" i="76" s="1"/>
  <c r="K89" i="72"/>
  <c r="K104" i="72" s="1"/>
  <c r="K117" i="72" s="1"/>
  <c r="P69" i="72"/>
  <c r="P78" i="72" s="1"/>
  <c r="Z6" i="72"/>
  <c r="Z30" i="72" s="1"/>
  <c r="S7" i="72"/>
  <c r="S16" i="72"/>
  <c r="Y16" i="72"/>
  <c r="S17" i="72"/>
  <c r="Y17" i="72"/>
  <c r="S18" i="72"/>
  <c r="Y18" i="72"/>
  <c r="S19" i="72"/>
  <c r="Y19" i="72"/>
  <c r="S20" i="72"/>
  <c r="Y20" i="72"/>
  <c r="S21" i="72"/>
  <c r="Y21" i="72"/>
  <c r="S22" i="72"/>
  <c r="Y22" i="72"/>
  <c r="S23" i="72"/>
  <c r="Y23" i="72"/>
  <c r="S24" i="72"/>
  <c r="Y24" i="72"/>
  <c r="S25" i="72"/>
  <c r="Y25" i="72"/>
  <c r="S26" i="72"/>
  <c r="Y26" i="72"/>
  <c r="D72" i="72"/>
  <c r="C72" i="72" s="1"/>
  <c r="J72" i="72"/>
  <c r="I72" i="72" s="1"/>
  <c r="P72" i="72"/>
  <c r="O72" i="72" s="1"/>
  <c r="V72" i="72"/>
  <c r="F74" i="72"/>
  <c r="E74" i="72" s="1"/>
  <c r="L74" i="72"/>
  <c r="K74" i="72" s="1"/>
  <c r="R74" i="72"/>
  <c r="Q74" i="72" s="1"/>
  <c r="N95" i="72"/>
  <c r="I96" i="72"/>
  <c r="I100" i="72" s="1"/>
  <c r="D97" i="72"/>
  <c r="J97" i="72"/>
  <c r="E98" i="72"/>
  <c r="K98" i="72"/>
  <c r="B386" i="76"/>
  <c r="C386" i="76" s="1"/>
  <c r="B306" i="76"/>
  <c r="C306" i="76" s="1"/>
  <c r="B106" i="76"/>
  <c r="C106" i="76" s="1"/>
  <c r="B366" i="76"/>
  <c r="C366" i="76" s="1"/>
  <c r="B286" i="76"/>
  <c r="C286" i="76" s="1"/>
  <c r="B206" i="76"/>
  <c r="C206" i="76" s="1"/>
  <c r="B66" i="76"/>
  <c r="C66" i="76" s="1"/>
  <c r="B126" i="76"/>
  <c r="C126" i="76" s="1"/>
  <c r="B426" i="76"/>
  <c r="C426" i="76" s="1"/>
  <c r="B346" i="76"/>
  <c r="C346" i="76" s="1"/>
  <c r="B266" i="76"/>
  <c r="C266" i="76" s="1"/>
  <c r="B186" i="76"/>
  <c r="C186" i="76" s="1"/>
  <c r="B46" i="76"/>
  <c r="C46" i="76" s="1"/>
  <c r="B406" i="76"/>
  <c r="C406" i="76" s="1"/>
  <c r="B326" i="76"/>
  <c r="C326" i="76" s="1"/>
  <c r="B246" i="76"/>
  <c r="C246" i="76" s="1"/>
  <c r="B226" i="76"/>
  <c r="C226" i="76" s="1"/>
  <c r="B166" i="76"/>
  <c r="C166" i="76" s="1"/>
  <c r="B146" i="76"/>
  <c r="C146" i="76" s="1"/>
  <c r="B238" i="76"/>
  <c r="C238" i="76" s="1"/>
  <c r="B218" i="76"/>
  <c r="C218" i="76" s="1"/>
  <c r="B158" i="76"/>
  <c r="C158" i="76" s="1"/>
  <c r="B138" i="76"/>
  <c r="C138" i="76" s="1"/>
  <c r="B378" i="76"/>
  <c r="C378" i="76" s="1"/>
  <c r="B298" i="76"/>
  <c r="C298" i="76" s="1"/>
  <c r="B98" i="76"/>
  <c r="C98" i="76" s="1"/>
  <c r="B438" i="76"/>
  <c r="C438" i="76" s="1"/>
  <c r="B358" i="76"/>
  <c r="C358" i="76" s="1"/>
  <c r="B278" i="76"/>
  <c r="C278" i="76" s="1"/>
  <c r="B198" i="76"/>
  <c r="C198" i="76" s="1"/>
  <c r="B118" i="76"/>
  <c r="C118" i="76" s="1"/>
  <c r="B418" i="76"/>
  <c r="C418" i="76" s="1"/>
  <c r="B338" i="76"/>
  <c r="C338" i="76" s="1"/>
  <c r="B258" i="76"/>
  <c r="C258" i="76" s="1"/>
  <c r="B178" i="76"/>
  <c r="C178" i="76" s="1"/>
  <c r="B398" i="76"/>
  <c r="C398" i="76" s="1"/>
  <c r="B318" i="76"/>
  <c r="C318" i="76" s="1"/>
  <c r="B78" i="76"/>
  <c r="C78" i="76" s="1"/>
  <c r="BH4" i="72"/>
  <c r="AB6" i="72"/>
  <c r="AB30" i="72" s="1"/>
  <c r="M89" i="72"/>
  <c r="M104" i="72" s="1"/>
  <c r="M117" i="72" s="1"/>
  <c r="T69" i="72"/>
  <c r="T78" i="72" s="1"/>
  <c r="T6" i="72"/>
  <c r="T30" i="72" s="1"/>
  <c r="E89" i="72"/>
  <c r="E104" i="72" s="1"/>
  <c r="E117" i="72" s="1"/>
  <c r="D69" i="72"/>
  <c r="D78" i="72" s="1"/>
  <c r="Y7" i="72"/>
  <c r="U6" i="72"/>
  <c r="U30" i="72" s="1"/>
  <c r="F89" i="72"/>
  <c r="F104" i="72" s="1"/>
  <c r="F117" i="72" s="1"/>
  <c r="F69" i="72"/>
  <c r="F78" i="72" s="1"/>
  <c r="AA6" i="72"/>
  <c r="AA30" i="72" s="1"/>
  <c r="R69" i="72"/>
  <c r="R78" i="72" s="1"/>
  <c r="L89" i="72"/>
  <c r="L104" i="72" s="1"/>
  <c r="L117" i="72" s="1"/>
  <c r="T7" i="72"/>
  <c r="T8" i="72"/>
  <c r="T9" i="72"/>
  <c r="T10" i="72"/>
  <c r="T11" i="72"/>
  <c r="T12" i="72"/>
  <c r="T13" i="72"/>
  <c r="T14" i="72"/>
  <c r="T15" i="72"/>
  <c r="T16" i="72"/>
  <c r="T17" i="72"/>
  <c r="T18" i="72"/>
  <c r="T19" i="72"/>
  <c r="T20" i="72"/>
  <c r="T21" i="72"/>
  <c r="T22" i="72"/>
  <c r="T23" i="72"/>
  <c r="T24" i="72"/>
  <c r="T25" i="72"/>
  <c r="T26" i="72"/>
  <c r="B70" i="72"/>
  <c r="H70" i="72"/>
  <c r="N70" i="72"/>
  <c r="T70" i="72"/>
  <c r="F73" i="72"/>
  <c r="E73" i="72" s="1"/>
  <c r="L73" i="72"/>
  <c r="K73" i="72" s="1"/>
  <c r="R73" i="72"/>
  <c r="Q73" i="72" s="1"/>
  <c r="D96" i="72"/>
  <c r="J96" i="72"/>
  <c r="J100" i="72" s="1"/>
  <c r="E97" i="72"/>
  <c r="K97" i="72"/>
  <c r="F98" i="72"/>
  <c r="L98" i="72"/>
  <c r="B86" i="76"/>
  <c r="C86" i="76" s="1"/>
  <c r="B416" i="76"/>
  <c r="C416" i="76" s="1"/>
  <c r="B336" i="76"/>
  <c r="C336" i="76" s="1"/>
  <c r="B256" i="76"/>
  <c r="C256" i="76" s="1"/>
  <c r="B176" i="76"/>
  <c r="C176" i="76" s="1"/>
  <c r="B396" i="76"/>
  <c r="C396" i="76" s="1"/>
  <c r="B316" i="76"/>
  <c r="C316" i="76" s="1"/>
  <c r="B76" i="76"/>
  <c r="C76" i="76" s="1"/>
  <c r="B236" i="76"/>
  <c r="C236" i="76" s="1"/>
  <c r="B216" i="76"/>
  <c r="C216" i="76" s="1"/>
  <c r="B156" i="76"/>
  <c r="C156" i="76" s="1"/>
  <c r="B136" i="76"/>
  <c r="C136" i="76" s="1"/>
  <c r="B376" i="76"/>
  <c r="C376" i="76" s="1"/>
  <c r="B296" i="76"/>
  <c r="C296" i="76" s="1"/>
  <c r="B96" i="76"/>
  <c r="C96" i="76" s="1"/>
  <c r="B436" i="76"/>
  <c r="C436" i="76" s="1"/>
  <c r="B356" i="76"/>
  <c r="C356" i="76" s="1"/>
  <c r="B276" i="76"/>
  <c r="C276" i="76" s="1"/>
  <c r="B196" i="76"/>
  <c r="C196" i="76" s="1"/>
  <c r="B116" i="76"/>
  <c r="C116" i="76" s="1"/>
  <c r="V6" i="72"/>
  <c r="V30" i="72" s="1"/>
  <c r="G89" i="72"/>
  <c r="G104" i="72" s="1"/>
  <c r="G117" i="72" s="1"/>
  <c r="H69" i="72"/>
  <c r="H78" i="72" s="1"/>
  <c r="A23" i="68"/>
  <c r="BG4" i="75"/>
  <c r="BH4" i="75"/>
  <c r="C33" i="88"/>
  <c r="C69" i="88"/>
  <c r="C36" i="88"/>
  <c r="C60" i="88"/>
  <c r="C39" i="88"/>
  <c r="C48" i="88"/>
  <c r="C57" i="88"/>
  <c r="C18" i="88"/>
  <c r="C27" i="88"/>
  <c r="C12" i="88"/>
  <c r="C63" i="88"/>
  <c r="C42" i="88"/>
  <c r="C51" i="88"/>
  <c r="C21" i="88"/>
  <c r="C30" i="88"/>
  <c r="C15" i="88"/>
  <c r="C6" i="88"/>
  <c r="C66" i="88"/>
  <c r="C45" i="88"/>
  <c r="C54" i="88"/>
  <c r="C24" i="88"/>
  <c r="C9" i="88"/>
  <c r="C67" i="88"/>
  <c r="C46" i="88"/>
  <c r="C55" i="88"/>
  <c r="C25" i="88"/>
  <c r="C10" i="88"/>
  <c r="C37" i="88"/>
  <c r="C61" i="88"/>
  <c r="C40" i="88"/>
  <c r="C49" i="88"/>
  <c r="C58" i="88"/>
  <c r="C19" i="88"/>
  <c r="C28" i="88"/>
  <c r="C13" i="88"/>
  <c r="C7" i="88"/>
  <c r="C64" i="88"/>
  <c r="C43" i="88"/>
  <c r="C52" i="88"/>
  <c r="C22" i="88"/>
  <c r="C31" i="88"/>
  <c r="C16" i="88"/>
  <c r="C70" i="88"/>
  <c r="C34" i="88"/>
  <c r="C59" i="88"/>
  <c r="C56" i="88"/>
  <c r="C38" i="88"/>
  <c r="C20" i="88"/>
  <c r="C53" i="88"/>
  <c r="C35" i="88"/>
  <c r="C17" i="88"/>
  <c r="C68" i="88"/>
  <c r="C50" i="88"/>
  <c r="C32" i="88"/>
  <c r="C14" i="88"/>
  <c r="C65" i="88"/>
  <c r="C47" i="88"/>
  <c r="C29" i="88"/>
  <c r="C11" i="88"/>
  <c r="C62" i="88"/>
  <c r="C44" i="88"/>
  <c r="C26" i="88"/>
  <c r="C8" i="88"/>
  <c r="C41" i="88"/>
  <c r="C23" i="88"/>
  <c r="C5" i="88"/>
  <c r="AE52" i="75"/>
  <c r="BH5" i="75"/>
  <c r="AE61" i="75"/>
  <c r="R32" i="72"/>
  <c r="R33" i="72"/>
  <c r="R34" i="72"/>
  <c r="R31" i="72"/>
  <c r="O18" i="84"/>
  <c r="C72" i="84"/>
  <c r="I72" i="84"/>
  <c r="C51" i="84"/>
  <c r="B51" i="84"/>
  <c r="O17" i="84"/>
  <c r="D72" i="84"/>
  <c r="J72" i="84"/>
  <c r="I51" i="84"/>
  <c r="N16" i="84"/>
  <c r="O16" i="84"/>
  <c r="E72" i="84"/>
  <c r="K72" i="84"/>
  <c r="D51" i="84"/>
  <c r="J51" i="84"/>
  <c r="F72" i="84"/>
  <c r="L72" i="84"/>
  <c r="F51" i="84"/>
  <c r="L51" i="84"/>
  <c r="K51" i="84"/>
  <c r="M61" i="84"/>
  <c r="N20" i="84"/>
  <c r="O20" i="84"/>
  <c r="G72" i="84"/>
  <c r="G51" i="84"/>
  <c r="O19" i="84"/>
  <c r="B72" i="84"/>
  <c r="H72" i="84"/>
  <c r="AD23" i="79"/>
  <c r="AE23" i="79" s="1"/>
  <c r="AB38" i="79" s="1"/>
  <c r="BA20" i="79"/>
  <c r="BA21" i="79"/>
  <c r="BA23" i="79"/>
  <c r="BA25" i="79"/>
  <c r="BA27" i="79"/>
  <c r="BA29" i="79"/>
  <c r="BA31" i="79"/>
  <c r="BA33" i="79"/>
  <c r="BA35" i="79"/>
  <c r="BA37" i="79"/>
  <c r="BI2" i="79"/>
  <c r="BB20" i="79"/>
  <c r="BB21" i="79"/>
  <c r="BB23" i="79"/>
  <c r="BB25" i="79"/>
  <c r="BB27" i="79"/>
  <c r="BB29" i="79"/>
  <c r="BB31" i="79"/>
  <c r="BB33" i="79"/>
  <c r="BB35" i="79"/>
  <c r="BB37" i="79"/>
  <c r="BA22" i="79"/>
  <c r="BA24" i="79"/>
  <c r="BA26" i="79"/>
  <c r="BA28" i="79"/>
  <c r="BA30" i="79"/>
  <c r="BA32" i="79"/>
  <c r="BA34" i="79"/>
  <c r="BA36" i="79"/>
  <c r="BB22" i="79"/>
  <c r="BB24" i="79"/>
  <c r="BB26" i="79"/>
  <c r="BB28" i="79"/>
  <c r="BB30" i="79"/>
  <c r="BB32" i="79"/>
  <c r="BB34" i="79"/>
  <c r="BB36" i="79"/>
  <c r="BB38" i="79"/>
  <c r="AT27" i="79"/>
  <c r="Z22" i="79"/>
  <c r="T63" i="79"/>
  <c r="AW4" i="79"/>
  <c r="W23" i="79"/>
  <c r="W22" i="79"/>
  <c r="Y22" i="79"/>
  <c r="U23" i="79"/>
  <c r="AB29" i="79"/>
  <c r="U102" i="79"/>
  <c r="AA103" i="79"/>
  <c r="AD63" i="79"/>
  <c r="V102" i="79"/>
  <c r="AB109" i="79"/>
  <c r="BI4" i="79"/>
  <c r="AC22" i="79"/>
  <c r="X23" i="79"/>
  <c r="T62" i="79"/>
  <c r="AA102" i="79"/>
  <c r="U103" i="79"/>
  <c r="AA23" i="79"/>
  <c r="Z62" i="79"/>
  <c r="AB102" i="79"/>
  <c r="AC23" i="79"/>
  <c r="BF5" i="75"/>
  <c r="T59" i="75"/>
  <c r="Z59" i="75"/>
  <c r="V61" i="75"/>
  <c r="AB61" i="75"/>
  <c r="AC53" i="75"/>
  <c r="AE53" i="75" s="1"/>
  <c r="V59" i="75"/>
  <c r="AB59" i="75"/>
  <c r="AC60" i="75"/>
  <c r="AE60" i="75" s="1"/>
  <c r="X61" i="75"/>
  <c r="S62" i="75"/>
  <c r="AE62" i="75" s="1"/>
  <c r="Y62" i="75"/>
  <c r="AE54" i="75"/>
  <c r="AE59" i="75"/>
  <c r="AE51" i="75"/>
  <c r="B11" i="76"/>
  <c r="C11" i="76" s="1"/>
  <c r="B71" i="76"/>
  <c r="C71" i="76" s="1"/>
  <c r="B131" i="76"/>
  <c r="C131" i="76" s="1"/>
  <c r="B191" i="76"/>
  <c r="C191" i="76" s="1"/>
  <c r="B251" i="76"/>
  <c r="C251" i="76" s="1"/>
  <c r="B311" i="76"/>
  <c r="C311" i="76" s="1"/>
  <c r="B371" i="76"/>
  <c r="C371" i="76" s="1"/>
  <c r="B431" i="76"/>
  <c r="C431" i="76" s="1"/>
  <c r="B31" i="76"/>
  <c r="C31" i="76" s="1"/>
  <c r="B91" i="76"/>
  <c r="C91" i="76" s="1"/>
  <c r="B151" i="76"/>
  <c r="C151" i="76" s="1"/>
  <c r="B211" i="76"/>
  <c r="C211" i="76" s="1"/>
  <c r="B271" i="76"/>
  <c r="C271" i="76" s="1"/>
  <c r="B331" i="76"/>
  <c r="C331" i="76" s="1"/>
  <c r="B391" i="76"/>
  <c r="C391" i="76" s="1"/>
  <c r="B51" i="76"/>
  <c r="C51" i="76" s="1"/>
  <c r="B111" i="76"/>
  <c r="C111" i="76" s="1"/>
  <c r="B171" i="76"/>
  <c r="C171" i="76" s="1"/>
  <c r="B231" i="76"/>
  <c r="C231" i="76" s="1"/>
  <c r="B291" i="76"/>
  <c r="C291" i="76" s="1"/>
  <c r="B351" i="76"/>
  <c r="C351" i="76" s="1"/>
  <c r="AT20" i="79"/>
  <c r="AT21" i="79"/>
  <c r="AU23" i="79"/>
  <c r="AU25" i="79"/>
  <c r="AU27" i="79"/>
  <c r="AT29" i="79"/>
  <c r="AT31" i="79"/>
  <c r="AT33" i="79"/>
  <c r="AT35" i="79"/>
  <c r="AT37" i="79"/>
  <c r="AU20" i="79"/>
  <c r="AU21" i="79"/>
  <c r="AU29" i="79"/>
  <c r="AU31" i="79"/>
  <c r="AU33" i="79"/>
  <c r="AU35" i="79"/>
  <c r="AU37" i="79"/>
  <c r="AT22" i="79"/>
  <c r="AT24" i="79"/>
  <c r="AT26" i="79"/>
  <c r="AT28" i="79"/>
  <c r="AU22" i="79"/>
  <c r="AU24" i="79"/>
  <c r="AU26" i="79"/>
  <c r="AU28" i="79"/>
  <c r="AT30" i="79"/>
  <c r="AT32" i="79"/>
  <c r="AT34" i="79"/>
  <c r="AT36" i="79"/>
  <c r="AT38" i="79"/>
  <c r="AW2" i="79"/>
  <c r="AU30" i="79"/>
  <c r="AU32" i="79"/>
  <c r="AU34" i="79"/>
  <c r="AU36" i="79"/>
  <c r="AU38" i="79"/>
  <c r="AT23" i="79"/>
  <c r="AT25" i="79"/>
  <c r="AN33" i="79"/>
  <c r="AN22" i="79"/>
  <c r="AM34" i="79"/>
  <c r="AN36" i="79"/>
  <c r="AM20" i="79"/>
  <c r="AM31" i="79"/>
  <c r="Y62" i="79"/>
  <c r="Y63" i="79"/>
  <c r="V103" i="79"/>
  <c r="AB103" i="79"/>
  <c r="U22" i="79"/>
  <c r="AA22" i="79"/>
  <c r="Y23" i="79"/>
  <c r="U62" i="79"/>
  <c r="AA62" i="79"/>
  <c r="U63" i="79"/>
  <c r="AA63" i="79"/>
  <c r="AB69" i="79"/>
  <c r="W102" i="79"/>
  <c r="AC102" i="79"/>
  <c r="W103" i="79"/>
  <c r="AC103" i="79"/>
  <c r="V22" i="79"/>
  <c r="AB22" i="79"/>
  <c r="T23" i="79"/>
  <c r="Z23" i="79"/>
  <c r="V62" i="79"/>
  <c r="AB62" i="79"/>
  <c r="V63" i="79"/>
  <c r="AB63" i="79"/>
  <c r="X102" i="79"/>
  <c r="AD102" i="79"/>
  <c r="AE102" i="79" s="1"/>
  <c r="X103" i="79"/>
  <c r="AD103" i="79"/>
  <c r="AE103" i="79" s="1"/>
  <c r="W62" i="79"/>
  <c r="AC62" i="79"/>
  <c r="W63" i="79"/>
  <c r="AC63" i="79"/>
  <c r="Y102" i="79"/>
  <c r="Y103" i="79"/>
  <c r="AJ5" i="79"/>
  <c r="X22" i="79"/>
  <c r="AD22" i="79"/>
  <c r="V23" i="79"/>
  <c r="AB23" i="79"/>
  <c r="X62" i="79"/>
  <c r="AD62" i="79"/>
  <c r="X63" i="79"/>
  <c r="T102" i="79"/>
  <c r="Z102" i="79"/>
  <c r="T103" i="79"/>
  <c r="AG25" i="79" l="1"/>
  <c r="AB33" i="79" s="1"/>
  <c r="AC33" i="79" s="1"/>
  <c r="S45" i="80"/>
  <c r="Y164" i="80"/>
  <c r="T148" i="80"/>
  <c r="AN122" i="80"/>
  <c r="S132" i="80"/>
  <c r="R121" i="80"/>
  <c r="R132" i="80"/>
  <c r="S47" i="80"/>
  <c r="T156" i="80"/>
  <c r="R153" i="80"/>
  <c r="R46" i="80"/>
  <c r="V162" i="80"/>
  <c r="V161" i="80"/>
  <c r="U157" i="80"/>
  <c r="R161" i="80"/>
  <c r="S53" i="80"/>
  <c r="U156" i="80"/>
  <c r="S162" i="80"/>
  <c r="R157" i="80"/>
  <c r="R49" i="80"/>
  <c r="U152" i="80"/>
  <c r="S156" i="80"/>
  <c r="R156" i="80"/>
  <c r="W157" i="80"/>
  <c r="V157" i="80"/>
  <c r="S153" i="80"/>
  <c r="S151" i="80"/>
  <c r="T152" i="80"/>
  <c r="S152" i="80"/>
  <c r="W156" i="80"/>
  <c r="V156" i="80"/>
  <c r="T151" i="80"/>
  <c r="R151" i="80"/>
  <c r="T162" i="80"/>
  <c r="R50" i="80"/>
  <c r="S51" i="80"/>
  <c r="U153" i="80"/>
  <c r="S150" i="80"/>
  <c r="R48" i="80"/>
  <c r="T149" i="80"/>
  <c r="S49" i="80"/>
  <c r="R152" i="80"/>
  <c r="U148" i="80"/>
  <c r="U162" i="80"/>
  <c r="T161" i="80"/>
  <c r="U149" i="80"/>
  <c r="S161" i="80"/>
  <c r="R148" i="80"/>
  <c r="U150" i="80"/>
  <c r="W162" i="80"/>
  <c r="T150" i="80"/>
  <c r="T153" i="80"/>
  <c r="S46" i="80"/>
  <c r="T46" i="80" s="1"/>
  <c r="P46" i="80" s="1"/>
  <c r="R150" i="80"/>
  <c r="T157" i="80"/>
  <c r="S148" i="80"/>
  <c r="S157" i="80"/>
  <c r="R162" i="80"/>
  <c r="S149" i="80"/>
  <c r="W161" i="80"/>
  <c r="R149" i="80"/>
  <c r="U151" i="80"/>
  <c r="R51" i="80"/>
  <c r="U161" i="80"/>
  <c r="M72" i="84"/>
  <c r="M58" i="84"/>
  <c r="O10" i="84"/>
  <c r="S10" i="84" s="1"/>
  <c r="O7" i="84"/>
  <c r="M46" i="84"/>
  <c r="W26" i="112"/>
  <c r="W18" i="112"/>
  <c r="U20" i="112"/>
  <c r="U23" i="112"/>
  <c r="T17" i="112"/>
  <c r="T21" i="112"/>
  <c r="V22" i="112"/>
  <c r="V23" i="112"/>
  <c r="W17" i="112"/>
  <c r="W24" i="112"/>
  <c r="U21" i="112"/>
  <c r="T27" i="112"/>
  <c r="V25" i="112"/>
  <c r="V21" i="112"/>
  <c r="U25" i="112"/>
  <c r="T22" i="112"/>
  <c r="V20" i="112"/>
  <c r="W27" i="112"/>
  <c r="W19" i="112"/>
  <c r="U22" i="112"/>
  <c r="U27" i="112"/>
  <c r="T25" i="112"/>
  <c r="T23" i="112"/>
  <c r="V26" i="112"/>
  <c r="V18" i="112"/>
  <c r="U19" i="112"/>
  <c r="W20" i="112"/>
  <c r="W23" i="112"/>
  <c r="U24" i="112"/>
  <c r="U18" i="112"/>
  <c r="T18" i="112"/>
  <c r="T24" i="112"/>
  <c r="V24" i="112"/>
  <c r="V17" i="112"/>
  <c r="T19" i="112"/>
  <c r="V27" i="112"/>
  <c r="W25" i="112"/>
  <c r="W22" i="112"/>
  <c r="U26" i="112"/>
  <c r="T26" i="112"/>
  <c r="T20" i="112"/>
  <c r="V19" i="112"/>
  <c r="W21" i="112"/>
  <c r="Y288" i="80"/>
  <c r="S288" i="80"/>
  <c r="S271" i="80"/>
  <c r="V261" i="80"/>
  <c r="V259" i="80"/>
  <c r="T260" i="80"/>
  <c r="T262" i="80"/>
  <c r="U255" i="80"/>
  <c r="W258" i="80"/>
  <c r="W256" i="80"/>
  <c r="V257" i="80"/>
  <c r="U257" i="80"/>
  <c r="V262" i="80"/>
  <c r="V264" i="80"/>
  <c r="T254" i="80"/>
  <c r="T258" i="80"/>
  <c r="U262" i="80"/>
  <c r="U260" i="80"/>
  <c r="W263" i="80"/>
  <c r="W260" i="80"/>
  <c r="V255" i="80"/>
  <c r="V258" i="80"/>
  <c r="T259" i="80"/>
  <c r="U263" i="80"/>
  <c r="U254" i="80"/>
  <c r="W261" i="80"/>
  <c r="W254" i="80"/>
  <c r="T257" i="80"/>
  <c r="U258" i="80"/>
  <c r="V260" i="80"/>
  <c r="T256" i="80"/>
  <c r="T263" i="80"/>
  <c r="U256" i="80"/>
  <c r="U259" i="80"/>
  <c r="W257" i="80"/>
  <c r="W259" i="80"/>
  <c r="V256" i="80"/>
  <c r="V263" i="80"/>
  <c r="V254" i="80"/>
  <c r="T261" i="80"/>
  <c r="T264" i="80"/>
  <c r="U261" i="80"/>
  <c r="U264" i="80"/>
  <c r="W255" i="80"/>
  <c r="W264" i="80"/>
  <c r="Z289" i="80" s="1"/>
  <c r="T255" i="80"/>
  <c r="W262" i="80"/>
  <c r="I111" i="74"/>
  <c r="Y95" i="74"/>
  <c r="X95" i="74"/>
  <c r="X96" i="74"/>
  <c r="X99" i="74"/>
  <c r="Y98" i="74"/>
  <c r="X98" i="74"/>
  <c r="Y80" i="72"/>
  <c r="W51" i="72" s="1"/>
  <c r="BP21" i="75"/>
  <c r="BO21" i="75"/>
  <c r="BN22" i="75"/>
  <c r="BP22" i="75"/>
  <c r="BN25" i="75"/>
  <c r="BN26" i="75" s="1"/>
  <c r="BM22" i="75"/>
  <c r="BP25" i="75"/>
  <c r="BU38" i="75"/>
  <c r="BP23" i="75"/>
  <c r="BN24" i="75"/>
  <c r="BO24" i="75"/>
  <c r="BM24" i="75"/>
  <c r="BO25" i="75"/>
  <c r="BN21" i="75"/>
  <c r="BM21" i="75"/>
  <c r="BO22" i="75"/>
  <c r="BO23" i="75"/>
  <c r="BN23" i="75"/>
  <c r="BM25" i="75"/>
  <c r="BM26" i="75" s="1"/>
  <c r="BM23" i="75"/>
  <c r="BP24" i="75"/>
  <c r="Z96" i="74"/>
  <c r="Z98" i="74"/>
  <c r="S99" i="74"/>
  <c r="T99" i="74" s="1"/>
  <c r="S98" i="74"/>
  <c r="T98" i="74" s="1"/>
  <c r="R98" i="74"/>
  <c r="Z99" i="74"/>
  <c r="Z95" i="74"/>
  <c r="R95" i="74"/>
  <c r="S96" i="74"/>
  <c r="T96" i="74" s="1"/>
  <c r="D98" i="74"/>
  <c r="S95" i="74"/>
  <c r="T95" i="74" s="1"/>
  <c r="R47" i="80"/>
  <c r="T47" i="80" s="1"/>
  <c r="S52" i="80"/>
  <c r="S50" i="80"/>
  <c r="R53" i="80"/>
  <c r="W108" i="80"/>
  <c r="R20" i="80"/>
  <c r="S22" i="80"/>
  <c r="S23" i="80"/>
  <c r="R18" i="80"/>
  <c r="S21" i="80"/>
  <c r="R16" i="80"/>
  <c r="X81" i="72"/>
  <c r="W47" i="72" s="1"/>
  <c r="A80" i="72"/>
  <c r="U51" i="72" s="1"/>
  <c r="V51" i="72" s="1"/>
  <c r="A74" i="72"/>
  <c r="Z74" i="72" s="1"/>
  <c r="G79" i="72"/>
  <c r="H100" i="72"/>
  <c r="L100" i="72"/>
  <c r="D104" i="72"/>
  <c r="D117" i="72" s="1"/>
  <c r="R91" i="72"/>
  <c r="S125" i="80"/>
  <c r="R125" i="80"/>
  <c r="Y132" i="80"/>
  <c r="R22" i="80"/>
  <c r="S18" i="80"/>
  <c r="R19" i="80"/>
  <c r="S17" i="80"/>
  <c r="T17" i="80" s="1"/>
  <c r="R23" i="80"/>
  <c r="S77" i="80"/>
  <c r="R78" i="80"/>
  <c r="R80" i="80"/>
  <c r="R81" i="80"/>
  <c r="S80" i="80"/>
  <c r="T102" i="80"/>
  <c r="Y108" i="80"/>
  <c r="X153" i="80"/>
  <c r="Y166" i="80" s="1"/>
  <c r="W102" i="80"/>
  <c r="X103" i="80"/>
  <c r="Z103" i="80" s="1"/>
  <c r="X104" i="80"/>
  <c r="Z104" i="80" s="1"/>
  <c r="S104" i="80"/>
  <c r="R114" i="80" s="1"/>
  <c r="V101" i="80"/>
  <c r="X107" i="80"/>
  <c r="W98" i="80"/>
  <c r="U107" i="80"/>
  <c r="W107" i="80"/>
  <c r="U132" i="80"/>
  <c r="S100" i="80"/>
  <c r="U133" i="80"/>
  <c r="V99" i="80"/>
  <c r="U123" i="80"/>
  <c r="T100" i="80"/>
  <c r="T124" i="80"/>
  <c r="S98" i="80"/>
  <c r="W126" i="80"/>
  <c r="AA126" i="80" s="1"/>
  <c r="Z133" i="80"/>
  <c r="R108" i="80"/>
  <c r="U102" i="80"/>
  <c r="Y107" i="80"/>
  <c r="Z132" i="80"/>
  <c r="W104" i="80"/>
  <c r="V126" i="80"/>
  <c r="S107" i="80"/>
  <c r="T99" i="80"/>
  <c r="S103" i="80"/>
  <c r="X97" i="80"/>
  <c r="W101" i="80"/>
  <c r="V104" i="80"/>
  <c r="V98" i="80"/>
  <c r="X100" i="80"/>
  <c r="Z100" i="80" s="1"/>
  <c r="U103" i="80"/>
  <c r="AA103" i="80" s="1"/>
  <c r="X102" i="80"/>
  <c r="Z102" i="80" s="1"/>
  <c r="U99" i="80"/>
  <c r="X101" i="80"/>
  <c r="Z101" i="80" s="1"/>
  <c r="W97" i="80"/>
  <c r="T104" i="80"/>
  <c r="R115" i="80" s="1"/>
  <c r="T98" i="80"/>
  <c r="S102" i="80"/>
  <c r="T108" i="80"/>
  <c r="W100" i="80"/>
  <c r="V103" i="80"/>
  <c r="U97" i="80"/>
  <c r="T97" i="80"/>
  <c r="U100" i="80"/>
  <c r="X99" i="80"/>
  <c r="Z99" i="80" s="1"/>
  <c r="S20" i="80"/>
  <c r="T20" i="80" s="1"/>
  <c r="X98" i="80"/>
  <c r="Z98" i="80" s="1"/>
  <c r="X108" i="80"/>
  <c r="T103" i="80"/>
  <c r="S97" i="80"/>
  <c r="V108" i="80"/>
  <c r="S101" i="80"/>
  <c r="V107" i="80"/>
  <c r="W99" i="80"/>
  <c r="V102" i="80"/>
  <c r="AB102" i="80" s="1"/>
  <c r="R21" i="80"/>
  <c r="T21" i="80" s="1"/>
  <c r="S16" i="80"/>
  <c r="T16" i="80" s="1"/>
  <c r="S19" i="80"/>
  <c r="X2" i="80"/>
  <c r="T101" i="80"/>
  <c r="R107" i="80"/>
  <c r="S99" i="80"/>
  <c r="W103" i="80"/>
  <c r="V97" i="80"/>
  <c r="S108" i="80"/>
  <c r="V100" i="80"/>
  <c r="AB100" i="80" s="1"/>
  <c r="U108" i="80"/>
  <c r="T107" i="80"/>
  <c r="U98" i="80"/>
  <c r="U104" i="80"/>
  <c r="U101" i="80"/>
  <c r="R79" i="80"/>
  <c r="S78" i="80"/>
  <c r="S79" i="80"/>
  <c r="R77" i="80"/>
  <c r="S81" i="80"/>
  <c r="R52" i="80"/>
  <c r="R45" i="80"/>
  <c r="T45" i="80" s="1"/>
  <c r="P45" i="80" s="1"/>
  <c r="S82" i="80"/>
  <c r="R82" i="80"/>
  <c r="T129" i="80"/>
  <c r="T123" i="80"/>
  <c r="T132" i="80"/>
  <c r="S124" i="80"/>
  <c r="R124" i="80"/>
  <c r="X132" i="80"/>
  <c r="W125" i="80"/>
  <c r="AA125" i="80" s="1"/>
  <c r="T133" i="80"/>
  <c r="V125" i="80"/>
  <c r="S129" i="80"/>
  <c r="R137" i="80" s="1"/>
  <c r="S123" i="80"/>
  <c r="R129" i="80"/>
  <c r="R136" i="80" s="1"/>
  <c r="R123" i="80"/>
  <c r="W124" i="80"/>
  <c r="AA124" i="80" s="1"/>
  <c r="W132" i="80"/>
  <c r="V124" i="80"/>
  <c r="Y133" i="80"/>
  <c r="U128" i="80"/>
  <c r="U127" i="80"/>
  <c r="T122" i="80"/>
  <c r="T121" i="80"/>
  <c r="S128" i="80"/>
  <c r="S122" i="80"/>
  <c r="R128" i="80"/>
  <c r="R122" i="80"/>
  <c r="W129" i="80"/>
  <c r="AA129" i="80" s="1"/>
  <c r="W123" i="80"/>
  <c r="AA123" i="80" s="1"/>
  <c r="V129" i="80"/>
  <c r="V123" i="80"/>
  <c r="U125" i="80"/>
  <c r="U122" i="80"/>
  <c r="U121" i="80"/>
  <c r="X133" i="80"/>
  <c r="T128" i="80"/>
  <c r="T127" i="80"/>
  <c r="T126" i="80"/>
  <c r="S127" i="80"/>
  <c r="S121" i="80"/>
  <c r="R127" i="80"/>
  <c r="W128" i="80"/>
  <c r="AA128" i="80" s="1"/>
  <c r="W122" i="80"/>
  <c r="AA122" i="80" s="1"/>
  <c r="V128" i="80"/>
  <c r="V122" i="80"/>
  <c r="S133" i="80"/>
  <c r="V132" i="80"/>
  <c r="R133" i="80"/>
  <c r="T125" i="80"/>
  <c r="W133" i="80"/>
  <c r="S126" i="80"/>
  <c r="V133" i="80"/>
  <c r="R126" i="80"/>
  <c r="W127" i="80"/>
  <c r="AA127" i="80" s="1"/>
  <c r="W121" i="80"/>
  <c r="AA121" i="80" s="1"/>
  <c r="V127" i="80"/>
  <c r="V121" i="80"/>
  <c r="U126" i="80"/>
  <c r="U124" i="80"/>
  <c r="U129" i="80"/>
  <c r="AM35" i="79"/>
  <c r="AN23" i="79"/>
  <c r="AJ3" i="79"/>
  <c r="AM38" i="79"/>
  <c r="AO34" i="79" s="1"/>
  <c r="AN26" i="79"/>
  <c r="AM22" i="79"/>
  <c r="AM33" i="79"/>
  <c r="AM21" i="79"/>
  <c r="AN38" i="79"/>
  <c r="AM36" i="79"/>
  <c r="AN24" i="79"/>
  <c r="AN35" i="79"/>
  <c r="AM29" i="79"/>
  <c r="AM27" i="79"/>
  <c r="AN34" i="79"/>
  <c r="AM32" i="79"/>
  <c r="AO32" i="79" s="1"/>
  <c r="AM28" i="79"/>
  <c r="AN31" i="79"/>
  <c r="AN37" i="79"/>
  <c r="AP37" i="79" s="1"/>
  <c r="AM37" i="79"/>
  <c r="AN27" i="79"/>
  <c r="AM25" i="79"/>
  <c r="AN32" i="79"/>
  <c r="AM30" i="79"/>
  <c r="AM26" i="79"/>
  <c r="AN29" i="79"/>
  <c r="AN20" i="79"/>
  <c r="AP20" i="79" s="1"/>
  <c r="AN25" i="79"/>
  <c r="AM23" i="79"/>
  <c r="AN30" i="79"/>
  <c r="AN28" i="79"/>
  <c r="AP28" i="79" s="1"/>
  <c r="AM24" i="79"/>
  <c r="W58" i="80"/>
  <c r="W52" i="74"/>
  <c r="A72" i="74"/>
  <c r="Z72" i="74" s="1"/>
  <c r="G100" i="72"/>
  <c r="F100" i="72"/>
  <c r="Y152" i="80"/>
  <c r="AH23" i="79"/>
  <c r="AI23" i="79" s="1"/>
  <c r="AB42" i="79" s="1"/>
  <c r="M70" i="84"/>
  <c r="M71" i="84"/>
  <c r="U82" i="84"/>
  <c r="V82" i="84" s="1"/>
  <c r="V83" i="84" s="1"/>
  <c r="V151" i="80"/>
  <c r="X151" i="80"/>
  <c r="U66" i="84"/>
  <c r="V66" i="84" s="1"/>
  <c r="V67" i="84" s="1"/>
  <c r="M60" i="84"/>
  <c r="U51" i="84"/>
  <c r="M49" i="84"/>
  <c r="M47" i="84"/>
  <c r="T47" i="84"/>
  <c r="V47" i="84" s="1"/>
  <c r="M45" i="84"/>
  <c r="U47" i="84"/>
  <c r="O8" i="84"/>
  <c r="O9" i="84"/>
  <c r="M48" i="84"/>
  <c r="D85" i="74"/>
  <c r="D86" i="74" s="1"/>
  <c r="C79" i="74"/>
  <c r="X80" i="74"/>
  <c r="W46" i="74" s="1"/>
  <c r="U80" i="74"/>
  <c r="U46" i="74" s="1"/>
  <c r="V46" i="74" s="1"/>
  <c r="X83" i="74"/>
  <c r="U83" i="74"/>
  <c r="Y79" i="74"/>
  <c r="W50" i="74" s="1"/>
  <c r="B85" i="74"/>
  <c r="B86" i="74" s="1"/>
  <c r="A79" i="74"/>
  <c r="H85" i="74"/>
  <c r="H86" i="74" s="1"/>
  <c r="G79" i="74"/>
  <c r="F85" i="74"/>
  <c r="F86" i="74" s="1"/>
  <c r="E79" i="74"/>
  <c r="Y82" i="74"/>
  <c r="A82" i="74"/>
  <c r="Z82" i="74" s="1"/>
  <c r="X81" i="74"/>
  <c r="W47" i="74" s="1"/>
  <c r="U81" i="74"/>
  <c r="U47" i="74" s="1"/>
  <c r="V47" i="74" s="1"/>
  <c r="Z81" i="74"/>
  <c r="U52" i="74"/>
  <c r="V52" i="74" s="1"/>
  <c r="X79" i="74"/>
  <c r="W45" i="74" s="1"/>
  <c r="V85" i="74"/>
  <c r="V86" i="74" s="1"/>
  <c r="U79" i="74"/>
  <c r="U45" i="74" s="1"/>
  <c r="J111" i="74"/>
  <c r="Y80" i="74"/>
  <c r="W51" i="74" s="1"/>
  <c r="A80" i="74"/>
  <c r="P85" i="74"/>
  <c r="P86" i="74" s="1"/>
  <c r="O79" i="74"/>
  <c r="T85" i="74"/>
  <c r="T86" i="74" s="1"/>
  <c r="S79" i="74"/>
  <c r="Y96" i="74"/>
  <c r="D111" i="74"/>
  <c r="Y83" i="74"/>
  <c r="A83" i="74"/>
  <c r="Z83" i="74" s="1"/>
  <c r="R85" i="74"/>
  <c r="R86" i="74" s="1"/>
  <c r="Q79" i="74"/>
  <c r="J85" i="74"/>
  <c r="J86" i="74" s="1"/>
  <c r="I79" i="74"/>
  <c r="N85" i="74"/>
  <c r="N86" i="74" s="1"/>
  <c r="M79" i="74"/>
  <c r="Y99" i="74"/>
  <c r="L85" i="74"/>
  <c r="L86" i="74" s="1"/>
  <c r="K79" i="74"/>
  <c r="J98" i="74"/>
  <c r="N76" i="74"/>
  <c r="N77" i="74" s="1"/>
  <c r="M70" i="74"/>
  <c r="U44" i="74"/>
  <c r="V78" i="74"/>
  <c r="X78" i="74" s="1"/>
  <c r="R44" i="74"/>
  <c r="R96" i="74"/>
  <c r="I98" i="74"/>
  <c r="F76" i="74"/>
  <c r="F77" i="74" s="1"/>
  <c r="E70" i="74"/>
  <c r="X70" i="74"/>
  <c r="S45" i="74" s="1"/>
  <c r="V76" i="74"/>
  <c r="V77" i="74" s="1"/>
  <c r="U70" i="74"/>
  <c r="Q45" i="74" s="1"/>
  <c r="R45" i="74" s="1"/>
  <c r="U49" i="74"/>
  <c r="B78" i="74"/>
  <c r="Y78" i="74" s="1"/>
  <c r="R49" i="74"/>
  <c r="X71" i="74"/>
  <c r="S46" i="74" s="1"/>
  <c r="U71" i="74"/>
  <c r="Q46" i="74" s="1"/>
  <c r="R46" i="74" s="1"/>
  <c r="H76" i="74"/>
  <c r="H77" i="74" s="1"/>
  <c r="G70" i="74"/>
  <c r="T76" i="74"/>
  <c r="T77" i="74" s="1"/>
  <c r="S70" i="74"/>
  <c r="P76" i="74"/>
  <c r="P77" i="74" s="1"/>
  <c r="O70" i="74"/>
  <c r="X74" i="74"/>
  <c r="U74" i="74"/>
  <c r="Y70" i="74"/>
  <c r="S50" i="74" s="1"/>
  <c r="B76" i="74"/>
  <c r="B77" i="74" s="1"/>
  <c r="A70" i="74"/>
  <c r="X72" i="74"/>
  <c r="S47" i="74" s="1"/>
  <c r="U72" i="74"/>
  <c r="Q47" i="74" s="1"/>
  <c r="R47" i="74" s="1"/>
  <c r="Q52" i="74"/>
  <c r="R52" i="74" s="1"/>
  <c r="R99" i="74"/>
  <c r="J76" i="74"/>
  <c r="J77" i="74" s="1"/>
  <c r="I70" i="74"/>
  <c r="Y73" i="74"/>
  <c r="A73" i="74"/>
  <c r="Z73" i="74" s="1"/>
  <c r="Y71" i="74"/>
  <c r="S51" i="74" s="1"/>
  <c r="A71" i="74"/>
  <c r="L76" i="74"/>
  <c r="L77" i="74" s="1"/>
  <c r="K70" i="74"/>
  <c r="D76" i="74"/>
  <c r="D77" i="74" s="1"/>
  <c r="C70" i="74"/>
  <c r="Y74" i="74"/>
  <c r="B75" i="74"/>
  <c r="A74" i="74"/>
  <c r="Z74" i="74" s="1"/>
  <c r="R76" i="74"/>
  <c r="R77" i="74" s="1"/>
  <c r="Q70" i="74"/>
  <c r="N115" i="72"/>
  <c r="H115" i="72"/>
  <c r="M79" i="72"/>
  <c r="AH79" i="72"/>
  <c r="I115" i="72"/>
  <c r="AJ79" i="72"/>
  <c r="Q79" i="72"/>
  <c r="X83" i="72"/>
  <c r="U83" i="72"/>
  <c r="U80" i="72"/>
  <c r="U46" i="72" s="1"/>
  <c r="V46" i="72" s="1"/>
  <c r="X80" i="72"/>
  <c r="W46" i="72" s="1"/>
  <c r="AG79" i="72"/>
  <c r="K79" i="72"/>
  <c r="Y81" i="72"/>
  <c r="W52" i="72" s="1"/>
  <c r="A81" i="72"/>
  <c r="U79" i="72"/>
  <c r="U45" i="72" s="1"/>
  <c r="V45" i="72" s="1"/>
  <c r="X79" i="72"/>
  <c r="W45" i="72" s="1"/>
  <c r="AL79" i="72"/>
  <c r="Z80" i="72"/>
  <c r="X82" i="72"/>
  <c r="U82" i="72"/>
  <c r="E79" i="72"/>
  <c r="AD79" i="72"/>
  <c r="AI79" i="72"/>
  <c r="O79" i="72"/>
  <c r="Y82" i="72"/>
  <c r="A82" i="72"/>
  <c r="Z82" i="72" s="1"/>
  <c r="AF79" i="72"/>
  <c r="I79" i="72"/>
  <c r="X96" i="72"/>
  <c r="Y96" i="72" s="1"/>
  <c r="O115" i="72"/>
  <c r="Y79" i="72"/>
  <c r="W50" i="72" s="1"/>
  <c r="A79" i="72"/>
  <c r="AB79" i="72"/>
  <c r="X99" i="72"/>
  <c r="Y99" i="72" s="1"/>
  <c r="X98" i="72"/>
  <c r="Y98" i="72" s="1"/>
  <c r="AC79" i="72"/>
  <c r="C79" i="72"/>
  <c r="X95" i="72"/>
  <c r="Y95" i="72" s="1"/>
  <c r="AV27" i="79"/>
  <c r="I79" i="75"/>
  <c r="J79" i="75" s="1"/>
  <c r="M79" i="75"/>
  <c r="G79" i="75"/>
  <c r="H79" i="75" s="1"/>
  <c r="L79" i="75"/>
  <c r="L72" i="75"/>
  <c r="M72" i="75"/>
  <c r="I72" i="75"/>
  <c r="J72" i="75" s="1"/>
  <c r="G72" i="75"/>
  <c r="H72" i="75" s="1"/>
  <c r="W34" i="82"/>
  <c r="W33" i="82"/>
  <c r="R99" i="72"/>
  <c r="R98" i="72"/>
  <c r="N100" i="72"/>
  <c r="O70" i="72"/>
  <c r="AI70" i="72"/>
  <c r="R96" i="72"/>
  <c r="U73" i="72"/>
  <c r="B78" i="72"/>
  <c r="Y78" i="72" s="1"/>
  <c r="U49" i="72"/>
  <c r="W49" i="72" s="1"/>
  <c r="R49" i="72"/>
  <c r="Y73" i="72"/>
  <c r="B67" i="72"/>
  <c r="A73" i="72"/>
  <c r="Z73" i="72" s="1"/>
  <c r="I70" i="72"/>
  <c r="AF70" i="72"/>
  <c r="R44" i="72"/>
  <c r="V78" i="72"/>
  <c r="X78" i="72" s="1"/>
  <c r="U44" i="72"/>
  <c r="R95" i="72"/>
  <c r="AE70" i="72"/>
  <c r="G70" i="72"/>
  <c r="AK70" i="72"/>
  <c r="S70" i="72"/>
  <c r="Y71" i="72"/>
  <c r="S51" i="72" s="1"/>
  <c r="A71" i="72"/>
  <c r="C70" i="72"/>
  <c r="AC70" i="72"/>
  <c r="M70" i="72"/>
  <c r="AH70" i="72"/>
  <c r="AJ70" i="72"/>
  <c r="Q70" i="72"/>
  <c r="X72" i="72"/>
  <c r="S47" i="72" s="1"/>
  <c r="U72" i="72"/>
  <c r="Q47" i="72" s="1"/>
  <c r="R47" i="72" s="1"/>
  <c r="AG70" i="72"/>
  <c r="K70" i="72"/>
  <c r="X74" i="72"/>
  <c r="U74" i="72"/>
  <c r="B434" i="76"/>
  <c r="C434" i="76" s="1"/>
  <c r="B54" i="76"/>
  <c r="C54" i="76" s="1"/>
  <c r="B414" i="76"/>
  <c r="C414" i="76" s="1"/>
  <c r="B334" i="76"/>
  <c r="C334" i="76" s="1"/>
  <c r="B254" i="76"/>
  <c r="C254" i="76" s="1"/>
  <c r="B114" i="76"/>
  <c r="C114" i="76" s="1"/>
  <c r="B34" i="76"/>
  <c r="C34" i="76" s="1"/>
  <c r="B394" i="76"/>
  <c r="C394" i="76" s="1"/>
  <c r="B314" i="76"/>
  <c r="C314" i="76" s="1"/>
  <c r="B174" i="76"/>
  <c r="C174" i="76" s="1"/>
  <c r="B234" i="76"/>
  <c r="C234" i="76" s="1"/>
  <c r="B154" i="76"/>
  <c r="C154" i="76" s="1"/>
  <c r="B74" i="76"/>
  <c r="C74" i="76" s="1"/>
  <c r="B374" i="76"/>
  <c r="C374" i="76" s="1"/>
  <c r="B294" i="76"/>
  <c r="C294" i="76" s="1"/>
  <c r="B214" i="76"/>
  <c r="C214" i="76" s="1"/>
  <c r="B354" i="76"/>
  <c r="C354" i="76" s="1"/>
  <c r="B274" i="76"/>
  <c r="C274" i="76" s="1"/>
  <c r="B194" i="76"/>
  <c r="C194" i="76" s="1"/>
  <c r="B94" i="76"/>
  <c r="C94" i="76" s="1"/>
  <c r="B134" i="76"/>
  <c r="C134" i="76" s="1"/>
  <c r="B14" i="76"/>
  <c r="C14" i="76" s="1"/>
  <c r="Y70" i="72"/>
  <c r="S50" i="72" s="1"/>
  <c r="B75" i="72"/>
  <c r="A70" i="72"/>
  <c r="AB70" i="72"/>
  <c r="AD70" i="72"/>
  <c r="E70" i="72"/>
  <c r="Y72" i="72"/>
  <c r="A72" i="72"/>
  <c r="U70" i="72"/>
  <c r="Q45" i="72" s="1"/>
  <c r="R45" i="72" s="1"/>
  <c r="X70" i="72"/>
  <c r="S45" i="72" s="1"/>
  <c r="AL70" i="72"/>
  <c r="D100" i="72"/>
  <c r="AF23" i="79"/>
  <c r="S6" i="84"/>
  <c r="N13" i="84"/>
  <c r="AH63" i="79"/>
  <c r="AJ63" i="79" s="1"/>
  <c r="AB83" i="79" s="1"/>
  <c r="Z32" i="72"/>
  <c r="T32" i="72"/>
  <c r="Y32" i="72"/>
  <c r="S32" i="72"/>
  <c r="X32" i="72"/>
  <c r="AC32" i="72"/>
  <c r="W32" i="72"/>
  <c r="AB32" i="72"/>
  <c r="V32" i="72"/>
  <c r="AA32" i="72"/>
  <c r="U32" i="72"/>
  <c r="Z34" i="72"/>
  <c r="T34" i="72"/>
  <c r="Y34" i="72"/>
  <c r="S34" i="72"/>
  <c r="X34" i="72"/>
  <c r="AC34" i="72"/>
  <c r="W34" i="72"/>
  <c r="AB34" i="72"/>
  <c r="V34" i="72"/>
  <c r="AA34" i="72"/>
  <c r="U34" i="72"/>
  <c r="Z33" i="72"/>
  <c r="T33" i="72"/>
  <c r="Y33" i="72"/>
  <c r="S33" i="72"/>
  <c r="X33" i="72"/>
  <c r="AC33" i="72"/>
  <c r="W33" i="72"/>
  <c r="AB33" i="72"/>
  <c r="V33" i="72"/>
  <c r="AA33" i="72"/>
  <c r="U33" i="72"/>
  <c r="Z31" i="72"/>
  <c r="T31" i="72"/>
  <c r="Y31" i="72"/>
  <c r="S31" i="72"/>
  <c r="X31" i="72"/>
  <c r="AC31" i="72"/>
  <c r="W31" i="72"/>
  <c r="AB31" i="72"/>
  <c r="V31" i="72"/>
  <c r="AA31" i="72"/>
  <c r="U31" i="72"/>
  <c r="AG66" i="79"/>
  <c r="AB80" i="79" s="1"/>
  <c r="AC80" i="79" s="1"/>
  <c r="BH32" i="79"/>
  <c r="BF32" i="79"/>
  <c r="BD32" i="79"/>
  <c r="BG26" i="79"/>
  <c r="BE26" i="79"/>
  <c r="BC26" i="79"/>
  <c r="BD31" i="79"/>
  <c r="BH31" i="79"/>
  <c r="BF31" i="79"/>
  <c r="BD20" i="79"/>
  <c r="BH20" i="79"/>
  <c r="BF20" i="79"/>
  <c r="BE29" i="79"/>
  <c r="BC29" i="79"/>
  <c r="BG29" i="79"/>
  <c r="BH30" i="79"/>
  <c r="BF30" i="79"/>
  <c r="BD30" i="79"/>
  <c r="BG36" i="79"/>
  <c r="BE36" i="79"/>
  <c r="BC36" i="79"/>
  <c r="BG24" i="79"/>
  <c r="BE24" i="79"/>
  <c r="BC24" i="79"/>
  <c r="BD29" i="79"/>
  <c r="BH29" i="79"/>
  <c r="BF29" i="79"/>
  <c r="BE27" i="79"/>
  <c r="BC27" i="79"/>
  <c r="BG27" i="79"/>
  <c r="BH28" i="79"/>
  <c r="BF28" i="79"/>
  <c r="BD28" i="79"/>
  <c r="BG34" i="79"/>
  <c r="BE34" i="79"/>
  <c r="BC34" i="79"/>
  <c r="BG22" i="79"/>
  <c r="BE22" i="79"/>
  <c r="BC22" i="79"/>
  <c r="BD27" i="79"/>
  <c r="BH27" i="79"/>
  <c r="BF27" i="79"/>
  <c r="BE37" i="79"/>
  <c r="BC37" i="79"/>
  <c r="BG37" i="79"/>
  <c r="BE25" i="79"/>
  <c r="BC25" i="79"/>
  <c r="BG25" i="79"/>
  <c r="BH26" i="79"/>
  <c r="BF26" i="79"/>
  <c r="BD26" i="79"/>
  <c r="BG32" i="79"/>
  <c r="BE32" i="79"/>
  <c r="BC32" i="79"/>
  <c r="BD37" i="79"/>
  <c r="BH37" i="79"/>
  <c r="BF37" i="79"/>
  <c r="BD25" i="79"/>
  <c r="BH25" i="79"/>
  <c r="BF25" i="79"/>
  <c r="BE35" i="79"/>
  <c r="BC35" i="79"/>
  <c r="BG35" i="79"/>
  <c r="BE23" i="79"/>
  <c r="BC23" i="79"/>
  <c r="BG23" i="79"/>
  <c r="BH36" i="79"/>
  <c r="BF36" i="79"/>
  <c r="BD36" i="79"/>
  <c r="BH24" i="79"/>
  <c r="BF24" i="79"/>
  <c r="BD24" i="79"/>
  <c r="BG30" i="79"/>
  <c r="BE30" i="79"/>
  <c r="BC30" i="79"/>
  <c r="BD35" i="79"/>
  <c r="BH35" i="79"/>
  <c r="BF35" i="79"/>
  <c r="BD23" i="79"/>
  <c r="BH23" i="79"/>
  <c r="BF23" i="79"/>
  <c r="BE33" i="79"/>
  <c r="BC33" i="79"/>
  <c r="BG33" i="79"/>
  <c r="BE21" i="79"/>
  <c r="BC21" i="79"/>
  <c r="BG21" i="79"/>
  <c r="BH34" i="79"/>
  <c r="BF34" i="79"/>
  <c r="BD34" i="79"/>
  <c r="BH22" i="79"/>
  <c r="BF22" i="79"/>
  <c r="BD22" i="79"/>
  <c r="BG28" i="79"/>
  <c r="BE28" i="79"/>
  <c r="BC28" i="79"/>
  <c r="BD33" i="79"/>
  <c r="BH33" i="79"/>
  <c r="BF33" i="79"/>
  <c r="BD21" i="79"/>
  <c r="BH21" i="79"/>
  <c r="BF21" i="79"/>
  <c r="BE31" i="79"/>
  <c r="BC31" i="79"/>
  <c r="BG31" i="79"/>
  <c r="BE20" i="79"/>
  <c r="BC20" i="79"/>
  <c r="BG20" i="79"/>
  <c r="AG63" i="79"/>
  <c r="AF63" i="79"/>
  <c r="AE63" i="79"/>
  <c r="AB78" i="79" s="1"/>
  <c r="J73" i="75"/>
  <c r="G73" i="75"/>
  <c r="H73" i="75" s="1"/>
  <c r="AY34" i="79"/>
  <c r="AW34" i="79"/>
  <c r="AV34" i="79"/>
  <c r="AX34" i="79"/>
  <c r="AW22" i="79"/>
  <c r="AY22" i="79"/>
  <c r="AY35" i="79"/>
  <c r="AW35" i="79"/>
  <c r="AX37" i="79"/>
  <c r="AV37" i="79"/>
  <c r="AY25" i="79"/>
  <c r="AW25" i="79"/>
  <c r="AY32" i="79"/>
  <c r="AW32" i="79"/>
  <c r="AV32" i="79"/>
  <c r="AX32" i="79"/>
  <c r="AV28" i="79"/>
  <c r="AX28" i="79"/>
  <c r="AY33" i="79"/>
  <c r="AW33" i="79"/>
  <c r="AX35" i="79"/>
  <c r="AV35" i="79"/>
  <c r="AV8" i="79" s="1"/>
  <c r="AW8" i="79" s="1"/>
  <c r="AY23" i="79"/>
  <c r="AW23" i="79"/>
  <c r="AY30" i="79"/>
  <c r="AW30" i="79"/>
  <c r="AV30" i="79"/>
  <c r="AX30" i="79"/>
  <c r="AV10" i="79" s="1"/>
  <c r="AV26" i="79"/>
  <c r="AX26" i="79"/>
  <c r="AY31" i="79"/>
  <c r="AW31" i="79"/>
  <c r="AX33" i="79"/>
  <c r="AV33" i="79"/>
  <c r="AX21" i="79"/>
  <c r="AV21" i="79"/>
  <c r="AX25" i="79"/>
  <c r="AV25" i="79"/>
  <c r="AX23" i="79"/>
  <c r="AV23" i="79"/>
  <c r="AW28" i="79"/>
  <c r="AY28" i="79"/>
  <c r="AV24" i="79"/>
  <c r="AX24" i="79"/>
  <c r="AY29" i="79"/>
  <c r="AW29" i="79"/>
  <c r="AX31" i="79"/>
  <c r="AV31" i="79"/>
  <c r="AX20" i="79"/>
  <c r="AV20" i="79"/>
  <c r="AW26" i="79"/>
  <c r="AY26" i="79"/>
  <c r="AV22" i="79"/>
  <c r="AX22" i="79"/>
  <c r="AY21" i="79"/>
  <c r="AW21" i="79"/>
  <c r="AX29" i="79"/>
  <c r="AV29" i="79"/>
  <c r="AY36" i="79"/>
  <c r="AW36" i="79"/>
  <c r="AV36" i="79"/>
  <c r="AX36" i="79"/>
  <c r="AW24" i="79"/>
  <c r="AY24" i="79"/>
  <c r="AY37" i="79"/>
  <c r="AW37" i="79"/>
  <c r="AY20" i="79"/>
  <c r="AV16" i="79" s="1"/>
  <c r="AW20" i="79"/>
  <c r="AY27" i="79"/>
  <c r="AW27" i="79"/>
  <c r="AX27" i="79"/>
  <c r="AP34" i="79"/>
  <c r="AO23" i="79"/>
  <c r="AP33" i="79"/>
  <c r="AP26" i="79"/>
  <c r="AP24" i="79"/>
  <c r="AO21" i="79"/>
  <c r="AP31" i="79"/>
  <c r="AP22" i="79"/>
  <c r="AP36" i="79"/>
  <c r="AP21" i="79"/>
  <c r="AP27" i="79"/>
  <c r="AP32" i="79"/>
  <c r="AG23" i="79"/>
  <c r="AF103" i="79"/>
  <c r="AB118" i="79"/>
  <c r="AG106" i="79"/>
  <c r="AB120" i="79" s="1"/>
  <c r="AC120" i="79" s="1"/>
  <c r="AH103" i="79"/>
  <c r="AI103" i="79" s="1"/>
  <c r="AG103" i="79"/>
  <c r="BH12" i="79"/>
  <c r="BI12" i="79" s="1"/>
  <c r="AV12" i="79"/>
  <c r="AW12" i="79" s="1"/>
  <c r="BH6" i="79"/>
  <c r="BI6" i="79" s="1"/>
  <c r="AV6" i="79"/>
  <c r="AW6" i="79" s="1"/>
  <c r="AH62" i="79"/>
  <c r="AG65" i="79"/>
  <c r="AB73" i="79" s="1"/>
  <c r="AC73" i="79" s="1"/>
  <c r="AG62" i="79"/>
  <c r="AE62" i="79"/>
  <c r="AF62" i="79"/>
  <c r="AH22" i="79"/>
  <c r="AG22" i="79"/>
  <c r="AE22" i="79"/>
  <c r="AF22" i="79"/>
  <c r="AF102" i="79"/>
  <c r="AH102" i="79"/>
  <c r="AI102" i="79" s="1"/>
  <c r="AG105" i="79"/>
  <c r="AB113" i="79" s="1"/>
  <c r="AC113" i="79" s="1"/>
  <c r="AG102" i="79"/>
  <c r="AG26" i="79"/>
  <c r="AB40" i="79" s="1"/>
  <c r="AC40" i="79" s="1"/>
  <c r="T48" i="80"/>
  <c r="P48" i="80" s="1"/>
  <c r="X152" i="80" l="1"/>
  <c r="BR24" i="75"/>
  <c r="X148" i="80"/>
  <c r="Y254" i="80"/>
  <c r="X254" i="80"/>
  <c r="AV14" i="79"/>
  <c r="AW14" i="79" s="1"/>
  <c r="AY2" i="79" s="1"/>
  <c r="AP30" i="79"/>
  <c r="AP35" i="79"/>
  <c r="BQ21" i="75"/>
  <c r="AQ125" i="80"/>
  <c r="AR125" i="80" s="1"/>
  <c r="X121" i="80"/>
  <c r="AN126" i="80"/>
  <c r="AN128" i="80" s="1"/>
  <c r="BR22" i="75"/>
  <c r="BR25" i="75"/>
  <c r="BU51" i="75" s="1"/>
  <c r="BV51" i="75" s="1"/>
  <c r="T49" i="80"/>
  <c r="T51" i="80"/>
  <c r="P51" i="80" s="1"/>
  <c r="T52" i="80"/>
  <c r="P52" i="80" s="1"/>
  <c r="T23" i="80"/>
  <c r="T50" i="80"/>
  <c r="P50" i="80" s="1"/>
  <c r="W64" i="80" s="1"/>
  <c r="AF167" i="80"/>
  <c r="AG167" i="80" s="1"/>
  <c r="Y149" i="80"/>
  <c r="AF170" i="80"/>
  <c r="AG170" i="80" s="1"/>
  <c r="T53" i="80"/>
  <c r="U47" i="80" s="1"/>
  <c r="Y150" i="80"/>
  <c r="Y148" i="80"/>
  <c r="Y153" i="80"/>
  <c r="AD166" i="80" s="1"/>
  <c r="Y261" i="80"/>
  <c r="Y258" i="80"/>
  <c r="AA170" i="80"/>
  <c r="AB170" i="80" s="1"/>
  <c r="W151" i="80"/>
  <c r="X150" i="80"/>
  <c r="AD172" i="80"/>
  <c r="AE172" i="80" s="1"/>
  <c r="AA167" i="80"/>
  <c r="AB167" i="80" s="1"/>
  <c r="Y151" i="80"/>
  <c r="AD168" i="80"/>
  <c r="AE168" i="80" s="1"/>
  <c r="X149" i="80"/>
  <c r="Y172" i="80"/>
  <c r="Z172" i="80" s="1"/>
  <c r="Y264" i="80"/>
  <c r="S290" i="80" s="1"/>
  <c r="Y168" i="80"/>
  <c r="Z168" i="80" s="1"/>
  <c r="Y262" i="80"/>
  <c r="BQ25" i="75"/>
  <c r="BU40" i="75" s="1"/>
  <c r="BV40" i="75" s="1"/>
  <c r="BQ24" i="75"/>
  <c r="BR21" i="75"/>
  <c r="BQ22" i="75"/>
  <c r="BU42" i="75" s="1"/>
  <c r="BU44" i="75" s="1"/>
  <c r="BQ23" i="75"/>
  <c r="Y259" i="80"/>
  <c r="Y255" i="80"/>
  <c r="Y257" i="80"/>
  <c r="BR23" i="75"/>
  <c r="X263" i="80"/>
  <c r="X255" i="80"/>
  <c r="X261" i="80"/>
  <c r="X257" i="80"/>
  <c r="X258" i="80"/>
  <c r="AA270" i="80"/>
  <c r="AA269" i="80"/>
  <c r="Y256" i="80"/>
  <c r="AA272" i="80"/>
  <c r="Z290" i="80" s="1"/>
  <c r="AA273" i="80"/>
  <c r="Z291" i="80" s="1"/>
  <c r="X256" i="80"/>
  <c r="AA267" i="80"/>
  <c r="AA266" i="80"/>
  <c r="X262" i="80"/>
  <c r="Y263" i="80"/>
  <c r="Y260" i="80"/>
  <c r="X260" i="80"/>
  <c r="X259" i="80"/>
  <c r="P110" i="74"/>
  <c r="Z99" i="72"/>
  <c r="Z95" i="72"/>
  <c r="AQ35" i="79"/>
  <c r="AR23" i="79"/>
  <c r="BH16" i="79"/>
  <c r="AQ26" i="79"/>
  <c r="AO31" i="79"/>
  <c r="Z96" i="72"/>
  <c r="Z98" i="72"/>
  <c r="S96" i="72"/>
  <c r="T96" i="72"/>
  <c r="S98" i="72"/>
  <c r="T98" i="72"/>
  <c r="S95" i="72"/>
  <c r="T95" i="72"/>
  <c r="S99" i="72"/>
  <c r="T99" i="72"/>
  <c r="P97" i="74"/>
  <c r="P98" i="74"/>
  <c r="O98" i="74" s="1"/>
  <c r="R93" i="74" s="1"/>
  <c r="X4" i="80"/>
  <c r="Z97" i="80"/>
  <c r="AP88" i="80"/>
  <c r="AQ88" i="80" s="1"/>
  <c r="AA108" i="80"/>
  <c r="AB108" i="80" s="1"/>
  <c r="AP89" i="80" s="1"/>
  <c r="AC108" i="80"/>
  <c r="AD108" i="80" s="1"/>
  <c r="AP92" i="80" s="1"/>
  <c r="AC107" i="80"/>
  <c r="AD107" i="80" s="1"/>
  <c r="AL93" i="80" s="1"/>
  <c r="AA107" i="80"/>
  <c r="AB107" i="80" s="1"/>
  <c r="AC125" i="80"/>
  <c r="T22" i="80"/>
  <c r="T18" i="80"/>
  <c r="Y123" i="80"/>
  <c r="AB97" i="80"/>
  <c r="P100" i="72"/>
  <c r="R93" i="72" s="1"/>
  <c r="T19" i="80"/>
  <c r="AB125" i="80"/>
  <c r="AA100" i="80"/>
  <c r="AA97" i="80"/>
  <c r="T78" i="80"/>
  <c r="X124" i="80"/>
  <c r="AB101" i="80"/>
  <c r="AB99" i="80"/>
  <c r="X126" i="80"/>
  <c r="U105" i="80"/>
  <c r="AA104" i="80"/>
  <c r="AR87" i="80" s="1"/>
  <c r="AB124" i="80"/>
  <c r="Y128" i="80"/>
  <c r="AB103" i="80"/>
  <c r="Y127" i="80"/>
  <c r="AC129" i="80"/>
  <c r="AU124" i="80" s="1"/>
  <c r="T77" i="80"/>
  <c r="AA98" i="80"/>
  <c r="Y103" i="80"/>
  <c r="AB129" i="80"/>
  <c r="AS124" i="80" s="1"/>
  <c r="AB98" i="80"/>
  <c r="X122" i="80"/>
  <c r="X125" i="80"/>
  <c r="Z126" i="80"/>
  <c r="AM89" i="80"/>
  <c r="AN89" i="80" s="1"/>
  <c r="Y104" i="80"/>
  <c r="AM87" i="80" s="1"/>
  <c r="V105" i="80"/>
  <c r="Y100" i="80"/>
  <c r="AA99" i="80"/>
  <c r="AA102" i="80"/>
  <c r="AC126" i="80"/>
  <c r="AA101" i="80"/>
  <c r="AP91" i="80"/>
  <c r="AQ91" i="80" s="1"/>
  <c r="Y125" i="80"/>
  <c r="AC123" i="80"/>
  <c r="Y98" i="80"/>
  <c r="AM93" i="80"/>
  <c r="AN93" i="80" s="1"/>
  <c r="AB126" i="80"/>
  <c r="Y99" i="80"/>
  <c r="AB104" i="80"/>
  <c r="AT87" i="80" s="1"/>
  <c r="Y102" i="80"/>
  <c r="Y97" i="80"/>
  <c r="T80" i="80"/>
  <c r="X123" i="80"/>
  <c r="Y101" i="80"/>
  <c r="Z125" i="80"/>
  <c r="Y122" i="80"/>
  <c r="Z123" i="80"/>
  <c r="AC128" i="80"/>
  <c r="T79" i="80"/>
  <c r="AB123" i="80"/>
  <c r="T81" i="80"/>
  <c r="Z127" i="80"/>
  <c r="Z128" i="80"/>
  <c r="Z121" i="80"/>
  <c r="AC122" i="80"/>
  <c r="Z122" i="80"/>
  <c r="AC121" i="80"/>
  <c r="AB128" i="80"/>
  <c r="AC127" i="80"/>
  <c r="AN130" i="80"/>
  <c r="AB122" i="80"/>
  <c r="X127" i="80"/>
  <c r="X128" i="80"/>
  <c r="AC124" i="80"/>
  <c r="Y126" i="80"/>
  <c r="AB121" i="80"/>
  <c r="Z124" i="80"/>
  <c r="AO126" i="80"/>
  <c r="Z129" i="80"/>
  <c r="AN124" i="80" s="1"/>
  <c r="AQ128" i="80"/>
  <c r="AR128" i="80" s="1"/>
  <c r="Y124" i="80"/>
  <c r="AB127" i="80"/>
  <c r="Y121" i="80"/>
  <c r="AQ36" i="79"/>
  <c r="AO22" i="79"/>
  <c r="AO24" i="79"/>
  <c r="AO36" i="79"/>
  <c r="AO30" i="79"/>
  <c r="AQ22" i="79"/>
  <c r="AO25" i="79"/>
  <c r="AO35" i="79"/>
  <c r="AQ23" i="79"/>
  <c r="AO28" i="79"/>
  <c r="AO27" i="79"/>
  <c r="AQ31" i="79"/>
  <c r="AO33" i="79"/>
  <c r="AO26" i="79"/>
  <c r="AQ24" i="79"/>
  <c r="AR29" i="79"/>
  <c r="AQ37" i="79"/>
  <c r="AQ27" i="79"/>
  <c r="AQ34" i="79"/>
  <c r="AR26" i="79"/>
  <c r="AR32" i="79"/>
  <c r="AP29" i="79"/>
  <c r="AQ21" i="79"/>
  <c r="AR33" i="79"/>
  <c r="AR34" i="79"/>
  <c r="AR31" i="79"/>
  <c r="AR35" i="79"/>
  <c r="AI13" i="79"/>
  <c r="AJ13" i="79" s="1"/>
  <c r="AR22" i="79"/>
  <c r="AQ29" i="79"/>
  <c r="AR25" i="79"/>
  <c r="AO37" i="79"/>
  <c r="AR27" i="79"/>
  <c r="AR36" i="79"/>
  <c r="AR24" i="79"/>
  <c r="AR37" i="79"/>
  <c r="AQ28" i="79"/>
  <c r="AQ30" i="79"/>
  <c r="AQ20" i="79"/>
  <c r="AQ32" i="79"/>
  <c r="AR30" i="79"/>
  <c r="AI7" i="79"/>
  <c r="AJ7" i="79" s="1"/>
  <c r="AR28" i="79"/>
  <c r="AQ25" i="79"/>
  <c r="AQ33" i="79"/>
  <c r="AP23" i="79"/>
  <c r="AR20" i="79"/>
  <c r="AR21" i="79"/>
  <c r="AI15" i="79"/>
  <c r="AJ15" i="79" s="1"/>
  <c r="AP25" i="79"/>
  <c r="AO29" i="79"/>
  <c r="AO20" i="79"/>
  <c r="AI9" i="79" s="1"/>
  <c r="AJ9" i="79" s="1"/>
  <c r="AI63" i="79"/>
  <c r="AB82" i="79" s="1"/>
  <c r="AJ23" i="79"/>
  <c r="AB43" i="79" s="1"/>
  <c r="X93" i="72"/>
  <c r="S52" i="72"/>
  <c r="W84" i="84"/>
  <c r="W83" i="84"/>
  <c r="W68" i="84"/>
  <c r="W67" i="84"/>
  <c r="U48" i="84"/>
  <c r="U49" i="84" s="1"/>
  <c r="V48" i="84" s="1"/>
  <c r="Z45" i="84" s="1"/>
  <c r="V62" i="84"/>
  <c r="V78" i="84"/>
  <c r="V51" i="84"/>
  <c r="V52" i="84"/>
  <c r="V53" i="84" s="1"/>
  <c r="W52" i="84" s="1"/>
  <c r="U52" i="80"/>
  <c r="P49" i="80"/>
  <c r="W62" i="80" s="1"/>
  <c r="P47" i="80"/>
  <c r="U51" i="74"/>
  <c r="V51" i="74" s="1"/>
  <c r="Z80" i="74"/>
  <c r="Z79" i="74"/>
  <c r="U50" i="74"/>
  <c r="V50" i="74" s="1"/>
  <c r="R59" i="74" s="1"/>
  <c r="P112" i="74"/>
  <c r="Q112" i="74" s="1"/>
  <c r="P111" i="74"/>
  <c r="AD93" i="74"/>
  <c r="AB93" i="74"/>
  <c r="S49" i="74"/>
  <c r="S44" i="74"/>
  <c r="W49" i="74"/>
  <c r="W44" i="74"/>
  <c r="P99" i="74"/>
  <c r="Q99" i="74" s="1"/>
  <c r="T93" i="74"/>
  <c r="V93" i="74"/>
  <c r="Z71" i="74"/>
  <c r="Q51" i="74"/>
  <c r="R51" i="74" s="1"/>
  <c r="Z70" i="74"/>
  <c r="Q50" i="74"/>
  <c r="R50" i="74" s="1"/>
  <c r="Z79" i="72"/>
  <c r="U50" i="72"/>
  <c r="V50" i="72" s="1"/>
  <c r="U52" i="72"/>
  <c r="V52" i="72" s="1"/>
  <c r="Z81" i="72"/>
  <c r="BH14" i="79"/>
  <c r="BI14" i="79" s="1"/>
  <c r="D84" i="75"/>
  <c r="AA33" i="82"/>
  <c r="Q52" i="72"/>
  <c r="R52" i="72" s="1"/>
  <c r="Z72" i="72"/>
  <c r="Z71" i="72"/>
  <c r="Q51" i="72"/>
  <c r="R51" i="72" s="1"/>
  <c r="W44" i="72"/>
  <c r="O100" i="72"/>
  <c r="S44" i="72"/>
  <c r="S49" i="72"/>
  <c r="Z70" i="72"/>
  <c r="Q50" i="72"/>
  <c r="R50" i="72" s="1"/>
  <c r="BH10" i="79"/>
  <c r="BH8" i="79"/>
  <c r="BI8" i="79" s="1"/>
  <c r="AB31" i="79"/>
  <c r="AJ103" i="79"/>
  <c r="AB123" i="79" s="1"/>
  <c r="AB122" i="79"/>
  <c r="AJ102" i="79"/>
  <c r="AB116" i="79" s="1"/>
  <c r="AB115" i="79"/>
  <c r="AJ62" i="79"/>
  <c r="AB76" i="79" s="1"/>
  <c r="AI62" i="79"/>
  <c r="AB75" i="79" s="1"/>
  <c r="AB111" i="79"/>
  <c r="AJ22" i="79"/>
  <c r="AB36" i="79" s="1"/>
  <c r="AI22" i="79"/>
  <c r="AB35" i="79" s="1"/>
  <c r="AB71" i="79"/>
  <c r="BU53" i="75" l="1"/>
  <c r="BU57" i="75"/>
  <c r="BU59" i="75" s="1"/>
  <c r="AI17" i="79"/>
  <c r="AI11" i="79"/>
  <c r="U45" i="80"/>
  <c r="BU46" i="75"/>
  <c r="BU48" i="75" s="1"/>
  <c r="AO130" i="80"/>
  <c r="AN132" i="80"/>
  <c r="AS125" i="80"/>
  <c r="AS127" i="80" s="1"/>
  <c r="AS128" i="80"/>
  <c r="AS130" i="80" s="1"/>
  <c r="AE109" i="79"/>
  <c r="AE46" i="79"/>
  <c r="AE69" i="79"/>
  <c r="X271" i="80"/>
  <c r="Y271" i="80" s="1"/>
  <c r="U49" i="80"/>
  <c r="U50" i="80"/>
  <c r="U79" i="80"/>
  <c r="U87" i="80" s="1"/>
  <c r="W86" i="80" s="1"/>
  <c r="U48" i="80"/>
  <c r="U51" i="80"/>
  <c r="U46" i="80"/>
  <c r="U23" i="80"/>
  <c r="U18" i="80" s="1"/>
  <c r="R24" i="80"/>
  <c r="Y174" i="80"/>
  <c r="S24" i="80"/>
  <c r="X8" i="80" s="1"/>
  <c r="Y170" i="80"/>
  <c r="AD174" i="80"/>
  <c r="AD170" i="80"/>
  <c r="AB269" i="80"/>
  <c r="U292" i="80"/>
  <c r="AB270" i="80"/>
  <c r="W292" i="80"/>
  <c r="X267" i="80"/>
  <c r="X266" i="80"/>
  <c r="AB266" i="80"/>
  <c r="W290" i="80" s="1"/>
  <c r="U290" i="80"/>
  <c r="AB273" i="80"/>
  <c r="AB291" i="80" s="1"/>
  <c r="U291" i="80"/>
  <c r="AB267" i="80"/>
  <c r="W291" i="80" s="1"/>
  <c r="AB272" i="80"/>
  <c r="AB290" i="80" s="1"/>
  <c r="O111" i="74"/>
  <c r="Y93" i="74" s="1"/>
  <c r="Q111" i="74"/>
  <c r="R107" i="72"/>
  <c r="R110" i="72" s="1"/>
  <c r="R104" i="72"/>
  <c r="AD110" i="80"/>
  <c r="AB110" i="80"/>
  <c r="U19" i="80"/>
  <c r="R56" i="74"/>
  <c r="R62" i="74" s="1"/>
  <c r="R56" i="72"/>
  <c r="R59" i="72"/>
  <c r="R62" i="72" s="1"/>
  <c r="AM91" i="80"/>
  <c r="AT91" i="80"/>
  <c r="AU91" i="80" s="1"/>
  <c r="AM95" i="80"/>
  <c r="AT88" i="80"/>
  <c r="AU88" i="80" s="1"/>
  <c r="AR88" i="80"/>
  <c r="AS88" i="80" s="1"/>
  <c r="AU128" i="80"/>
  <c r="AV128" i="80" s="1"/>
  <c r="AR91" i="80"/>
  <c r="AS91" i="80" s="1"/>
  <c r="AU125" i="80"/>
  <c r="BV42" i="75"/>
  <c r="BS41" i="75"/>
  <c r="BU55" i="75"/>
  <c r="BV53" i="75"/>
  <c r="U79" i="84"/>
  <c r="V79" i="84" s="1"/>
  <c r="Z80" i="84" s="1"/>
  <c r="U63" i="84"/>
  <c r="V63" i="84" s="1"/>
  <c r="Z63" i="84" s="1"/>
  <c r="Q98" i="74"/>
  <c r="R104" i="74" s="1"/>
  <c r="BL2" i="79"/>
  <c r="AL4" i="79"/>
  <c r="V49" i="80"/>
  <c r="BV57" i="75" l="1"/>
  <c r="BV46" i="75"/>
  <c r="BZ37" i="75" s="1"/>
  <c r="AN135" i="80"/>
  <c r="AT128" i="80"/>
  <c r="S296" i="80"/>
  <c r="AV125" i="80"/>
  <c r="AU127" i="80"/>
  <c r="AA177" i="80"/>
  <c r="AX86" i="80"/>
  <c r="V18" i="80"/>
  <c r="X6" i="80" s="1"/>
  <c r="Z1" i="80" s="1"/>
  <c r="AG177" i="80"/>
  <c r="BC86" i="80"/>
  <c r="Y266" i="80"/>
  <c r="T273" i="80" s="1"/>
  <c r="X268" i="80"/>
  <c r="V273" i="80"/>
  <c r="Y267" i="80"/>
  <c r="T275" i="80" s="1"/>
  <c r="V275" i="80"/>
  <c r="AC270" i="80"/>
  <c r="Z296" i="80"/>
  <c r="AC269" i="80"/>
  <c r="R107" i="74"/>
  <c r="AT93" i="80"/>
  <c r="AR93" i="80"/>
  <c r="AT90" i="80"/>
  <c r="AU130" i="80"/>
  <c r="AT125" i="80"/>
  <c r="AR90" i="80"/>
  <c r="R110" i="74"/>
  <c r="W59" i="80"/>
  <c r="Y57" i="80" s="1"/>
  <c r="AN137" i="80" l="1"/>
  <c r="S272" i="80"/>
  <c r="S278" i="80" s="1"/>
  <c r="X272" i="80"/>
  <c r="X274" i="80" s="1"/>
  <c r="Z281" i="80" s="1"/>
  <c r="AM99" i="80"/>
  <c r="AX92" i="8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47532BB-DEFE-40DD-B477-D6C09A4181D3}" keepAlive="1" name="Consulta - 03_seriesqp_2013_2023_Dashboard xlsx" description="Ligação à consulta '03_seriesqp_2013_2023_Dashboard xlsx' no livro." type="5" refreshedVersion="6" background="1" saveData="1">
    <dbPr connection="Provider=Microsoft.Mashup.OleDb.1;Data Source=$Workbook$;Location=03_seriesqp_2013_2023_Dashboard xlsx;Extended Properties=&quot;&quot;" command="SELECT * FROM [03_seriesqp_2013_2023_Dashboard xlsx]"/>
  </connection>
  <connection id="2" xr16:uid="{7979B58A-C0A5-43D5-A691-8BDFCFFCB8D2}" keepAlive="1" name="Consulta - 03_seriesqp_2014_2024_Dashboard xlsx" description="Ligação à consulta '03_seriesqp_2014_2024_Dashboard xlsx' no livro." type="5" refreshedVersion="6" background="1" saveData="1">
    <dbPr connection="Provider=Microsoft.Mashup.OleDb.1;Data Source=$Workbook$;Location=03_seriesqp_2014_2024_Dashboard xlsx;Extended Properties=&quot;&quot;" command="SELECT * FROM [03_seriesqp_2014_2024_Dashboard xlsx]"/>
  </connection>
</connections>
</file>

<file path=xl/sharedStrings.xml><?xml version="1.0" encoding="utf-8"?>
<sst xmlns="http://schemas.openxmlformats.org/spreadsheetml/2006/main" count="5710" uniqueCount="965">
  <si>
    <t xml:space="preserve">13 - Fabricação de têxteis </t>
  </si>
  <si>
    <t>CAE-Rev. 3</t>
  </si>
  <si>
    <r>
      <t>CAE-Rev. 3</t>
    </r>
    <r>
      <rPr>
        <b/>
        <vertAlign val="superscript"/>
        <sz val="8"/>
        <rFont val="Arial"/>
        <family val="2"/>
      </rPr>
      <t xml:space="preserve"> </t>
    </r>
  </si>
  <si>
    <r>
      <t xml:space="preserve">     </t>
    </r>
    <r>
      <rPr>
        <b/>
        <sz val="8"/>
        <rFont val="Arial"/>
        <family val="2"/>
      </rPr>
      <t xml:space="preserve">   (1) </t>
    </r>
    <r>
      <rPr>
        <sz val="8"/>
        <rFont val="Arial"/>
        <family val="2"/>
      </rPr>
      <t>dos trabalhadores por conta de outrem a tempo completo, que auferiram remuneração completa no período de referência.</t>
    </r>
  </si>
  <si>
    <r>
      <t xml:space="preserve">(1) </t>
    </r>
    <r>
      <rPr>
        <sz val="8"/>
        <rFont val="Arial"/>
        <family val="2"/>
      </rPr>
      <t>dos trabalhadores por conta de outrem a tempo completo, que auferiram remuneração completa no período de referência.</t>
    </r>
  </si>
  <si>
    <r>
      <t xml:space="preserve">        </t>
    </r>
    <r>
      <rPr>
        <b/>
        <sz val="8"/>
        <rFont val="Arial"/>
        <family val="2"/>
      </rPr>
      <t xml:space="preserve">(1) </t>
    </r>
    <r>
      <rPr>
        <sz val="8"/>
        <rFont val="Arial"/>
        <family val="2"/>
      </rPr>
      <t xml:space="preserve">dos trabalhadores por conta de outrem a tempo completo, que auferiram remuneração completa no período de referência. </t>
    </r>
  </si>
  <si>
    <r>
      <t xml:space="preserve">        </t>
    </r>
    <r>
      <rPr>
        <b/>
        <sz val="8"/>
        <rFont val="Arial"/>
        <family val="2"/>
      </rPr>
      <t xml:space="preserve">(1) </t>
    </r>
    <r>
      <rPr>
        <sz val="8"/>
        <rFont val="Arial"/>
        <family val="2"/>
      </rPr>
      <t>dos trabalhadores por conta de outrem a tempo completo, que auferiram remuneração completa no período de referência.</t>
    </r>
  </si>
  <si>
    <r>
      <t xml:space="preserve">    </t>
    </r>
    <r>
      <rPr>
        <b/>
        <sz val="8"/>
        <rFont val="Arial"/>
        <family val="2"/>
      </rPr>
      <t xml:space="preserve">   (1) </t>
    </r>
    <r>
      <rPr>
        <sz val="8"/>
        <rFont val="Arial"/>
        <family val="2"/>
      </rPr>
      <t>dos trabalhadores por conta de outrem a tempo completo, que auferiram remuneração completa no período de referência.</t>
    </r>
  </si>
  <si>
    <r>
      <t xml:space="preserve">    </t>
    </r>
    <r>
      <rPr>
        <b/>
        <sz val="8"/>
        <rFont val="Arial"/>
        <family val="2"/>
      </rPr>
      <t xml:space="preserve">    (1) </t>
    </r>
    <r>
      <rPr>
        <sz val="8"/>
        <rFont val="Arial"/>
        <family val="2"/>
      </rPr>
      <t>dos trabalhadores por conta de outrem a tempo completo, que auferiram remuneração completa no período de referência.</t>
    </r>
  </si>
  <si>
    <r>
      <t xml:space="preserve">      </t>
    </r>
    <r>
      <rPr>
        <b/>
        <sz val="8"/>
        <rFont val="Arial"/>
        <family val="2"/>
      </rPr>
      <t xml:space="preserve">  (2) </t>
    </r>
    <r>
      <rPr>
        <sz val="8"/>
        <rFont val="Arial"/>
        <family val="2"/>
      </rPr>
      <t xml:space="preserve">intrumentos em vigor, classificados de acordo com a sua natureza inicial.  </t>
    </r>
  </si>
  <si>
    <t>I</t>
  </si>
  <si>
    <t>Total</t>
  </si>
  <si>
    <t>Ignorado</t>
  </si>
  <si>
    <t>Continente</t>
  </si>
  <si>
    <t>Aveiro</t>
  </si>
  <si>
    <t>Beja</t>
  </si>
  <si>
    <t>Bragança</t>
  </si>
  <si>
    <t>Castelo Branco</t>
  </si>
  <si>
    <t>Coimbra</t>
  </si>
  <si>
    <t>Évora</t>
  </si>
  <si>
    <t>Faro</t>
  </si>
  <si>
    <t>Guarda</t>
  </si>
  <si>
    <t>Leiria</t>
  </si>
  <si>
    <t>Lisboa</t>
  </si>
  <si>
    <t>Portalegre</t>
  </si>
  <si>
    <t>Porto</t>
  </si>
  <si>
    <t>Santarém</t>
  </si>
  <si>
    <t>Setúbal</t>
  </si>
  <si>
    <t>Viana do Castelo</t>
  </si>
  <si>
    <t>Vila Real</t>
  </si>
  <si>
    <t>Viseu</t>
  </si>
  <si>
    <t>1-4 pessoas</t>
  </si>
  <si>
    <t>5-9 pessoas</t>
  </si>
  <si>
    <t>10-19 pessoas</t>
  </si>
  <si>
    <t>20-49 pessoas</t>
  </si>
  <si>
    <t>50-99 pessoas</t>
  </si>
  <si>
    <t>100-149 pessoas</t>
  </si>
  <si>
    <t>150-199 pessoas</t>
  </si>
  <si>
    <t>200-249 pessoas</t>
  </si>
  <si>
    <t>250-499 pessoas</t>
  </si>
  <si>
    <t>500-999 pessoas</t>
  </si>
  <si>
    <r>
      <t xml:space="preserve">Continente </t>
    </r>
    <r>
      <rPr>
        <sz val="8"/>
        <rFont val="Arial"/>
        <family val="2"/>
      </rPr>
      <t xml:space="preserve"> </t>
    </r>
  </si>
  <si>
    <r>
      <t xml:space="preserve"> </t>
    </r>
    <r>
      <rPr>
        <b/>
        <sz val="8"/>
        <color indexed="8"/>
        <rFont val="Arial"/>
        <family val="2"/>
      </rPr>
      <t xml:space="preserve">Total </t>
    </r>
    <r>
      <rPr>
        <sz val="8"/>
        <rFont val="Arial"/>
        <family val="2"/>
      </rPr>
      <t xml:space="preserve"> </t>
    </r>
  </si>
  <si>
    <t>Acordo de Empresa (AE)</t>
  </si>
  <si>
    <t>T</t>
  </si>
  <si>
    <t xml:space="preserve">H </t>
  </si>
  <si>
    <t xml:space="preserve">M </t>
  </si>
  <si>
    <t>Quadros superiores</t>
  </si>
  <si>
    <t>Quadros médios</t>
  </si>
  <si>
    <t>Profissionais qualificados</t>
  </si>
  <si>
    <t>Profissionais não qualificados</t>
  </si>
  <si>
    <t>Praticantes e aprendizes</t>
  </si>
  <si>
    <t>H</t>
  </si>
  <si>
    <t>M</t>
  </si>
  <si>
    <t>&lt; 18 anos</t>
  </si>
  <si>
    <t>18-24 anos</t>
  </si>
  <si>
    <t>25-29 anos</t>
  </si>
  <si>
    <t>30-34 anos</t>
  </si>
  <si>
    <t>35-39 anos</t>
  </si>
  <si>
    <t>40-44 anos</t>
  </si>
  <si>
    <t>45-49 anos</t>
  </si>
  <si>
    <t>50-54 anos</t>
  </si>
  <si>
    <t>55-59 anos</t>
  </si>
  <si>
    <t>60-64 anos</t>
  </si>
  <si>
    <t>65 e + anos</t>
  </si>
  <si>
    <t>Braga</t>
  </si>
  <si>
    <t>65 e mais anos</t>
  </si>
  <si>
    <t>Euros</t>
  </si>
  <si>
    <t>Profis. altam. qualificados</t>
  </si>
  <si>
    <t>Encar. contram. mest.e chefes</t>
  </si>
  <si>
    <t>Profis. semi-qualificados</t>
  </si>
  <si>
    <t>1 000 e + pessoas</t>
  </si>
  <si>
    <t>A</t>
  </si>
  <si>
    <t>B</t>
  </si>
  <si>
    <t>C</t>
  </si>
  <si>
    <t>D</t>
  </si>
  <si>
    <t>E</t>
  </si>
  <si>
    <t>F</t>
  </si>
  <si>
    <t>Construção</t>
  </si>
  <si>
    <t>G</t>
  </si>
  <si>
    <t>J</t>
  </si>
  <si>
    <t>K</t>
  </si>
  <si>
    <t>L</t>
  </si>
  <si>
    <t>Educação</t>
  </si>
  <si>
    <t>N</t>
  </si>
  <si>
    <t>O</t>
  </si>
  <si>
    <t>Q</t>
  </si>
  <si>
    <t>10 - Indústrias alimentares</t>
  </si>
  <si>
    <t>11 - Indústria das bebidas</t>
  </si>
  <si>
    <t>12 - Indústria do tabaco</t>
  </si>
  <si>
    <t>14 - Indústria do vestuário</t>
  </si>
  <si>
    <t>24 - Indústrias metalúrgicas de base</t>
  </si>
  <si>
    <t>Transportes e armazenagem</t>
  </si>
  <si>
    <t>P</t>
  </si>
  <si>
    <t>R</t>
  </si>
  <si>
    <t>S</t>
  </si>
  <si>
    <t>U</t>
  </si>
  <si>
    <r>
      <t xml:space="preserve"> </t>
    </r>
    <r>
      <rPr>
        <b/>
        <sz val="8"/>
        <rFont val="Arial"/>
        <family val="2"/>
      </rPr>
      <t xml:space="preserve">         (1)</t>
    </r>
    <r>
      <rPr>
        <sz val="8"/>
        <rFont val="Arial"/>
        <family val="2"/>
      </rPr>
      <t xml:space="preserve"> Instrumentos em vigor, classificados de acordo com a sua natureza inicial.  </t>
    </r>
  </si>
  <si>
    <r>
      <t xml:space="preserve">      </t>
    </r>
    <r>
      <rPr>
        <b/>
        <sz val="8"/>
        <rFont val="Arial"/>
        <family val="2"/>
      </rPr>
      <t xml:space="preserve">  (1)</t>
    </r>
    <r>
      <rPr>
        <sz val="8"/>
        <rFont val="Arial"/>
        <family val="2"/>
      </rPr>
      <t xml:space="preserve"> dos trabalhadores por conta de outrem a tempo completo, que auferiram remuneração completa no período de referência.</t>
    </r>
  </si>
  <si>
    <r>
      <t xml:space="preserve">      </t>
    </r>
    <r>
      <rPr>
        <b/>
        <sz val="8"/>
        <rFont val="Arial"/>
        <family val="2"/>
      </rPr>
      <t xml:space="preserve"> (1)</t>
    </r>
    <r>
      <rPr>
        <sz val="8"/>
        <rFont val="Arial"/>
        <family val="2"/>
      </rPr>
      <t xml:space="preserve"> dos trabalhadores por conta de outrem a tempo completo, que auferiram remuneração completa no período de referência.</t>
    </r>
  </si>
  <si>
    <t>Indústrias transformadoras</t>
  </si>
  <si>
    <t>Indústrias extrativas</t>
  </si>
  <si>
    <t>Atividades imobiliárias</t>
  </si>
  <si>
    <t>Outras atividades de serviços</t>
  </si>
  <si>
    <t xml:space="preserve">Quadro 1 - Empresas por atividade económica </t>
  </si>
  <si>
    <t>1.º decil</t>
  </si>
  <si>
    <t>2.º decil</t>
  </si>
  <si>
    <t>3.º decil</t>
  </si>
  <si>
    <t>4.º decil</t>
  </si>
  <si>
    <t>5.º decil</t>
  </si>
  <si>
    <t>6.º decil</t>
  </si>
  <si>
    <t>7.º decil</t>
  </si>
  <si>
    <t>8.º decil</t>
  </si>
  <si>
    <t>9.º decil</t>
  </si>
  <si>
    <t>10.º decil</t>
  </si>
  <si>
    <t>Homens</t>
  </si>
  <si>
    <t>Mulheres</t>
  </si>
  <si>
    <t>&lt; RMMG</t>
  </si>
  <si>
    <t xml:space="preserve"> = RMMG</t>
  </si>
  <si>
    <t>percentagem</t>
  </si>
  <si>
    <r>
      <t>Ganho mensal mediano</t>
    </r>
    <r>
      <rPr>
        <sz val="7"/>
        <rFont val="Arial"/>
        <family val="2"/>
      </rPr>
      <t xml:space="preserve"> (euros)</t>
    </r>
  </si>
  <si>
    <r>
      <t>Ganho mensal - média por decil</t>
    </r>
    <r>
      <rPr>
        <sz val="7"/>
        <rFont val="Arial"/>
        <family val="2"/>
      </rPr>
      <t xml:space="preserve"> (euros)</t>
    </r>
  </si>
  <si>
    <r>
      <t xml:space="preserve">   Incidência de baixos salários</t>
    </r>
    <r>
      <rPr>
        <sz val="7"/>
        <rFont val="Arial"/>
        <family val="2"/>
      </rPr>
      <t xml:space="preserve"> (%)</t>
    </r>
  </si>
  <si>
    <t>Trabalhadores por conta de outrem</t>
  </si>
  <si>
    <r>
      <t>Limiar de baixos salários</t>
    </r>
    <r>
      <rPr>
        <b/>
        <vertAlign val="superscript"/>
        <sz val="8"/>
        <rFont val="Arial"/>
        <family val="2"/>
      </rPr>
      <t xml:space="preserve"> (2) </t>
    </r>
    <r>
      <rPr>
        <sz val="7"/>
        <rFont val="Arial"/>
        <family val="2"/>
      </rPr>
      <t>(euros)</t>
    </r>
  </si>
  <si>
    <t>Contrato Colectivo de Trabalho (CCT)</t>
  </si>
  <si>
    <t>Acordo Colectivo de Trabalho (ACT)</t>
  </si>
  <si>
    <r>
      <t xml:space="preserve">    (1)</t>
    </r>
    <r>
      <rPr>
        <sz val="8"/>
        <rFont val="Arial"/>
        <family val="2"/>
      </rPr>
      <t xml:space="preserve"> trabalhadores por conta de outrem a tempo completo, que auferiram remuneração completa no período de referência.</t>
    </r>
  </si>
  <si>
    <r>
      <t xml:space="preserve">    (1) </t>
    </r>
    <r>
      <rPr>
        <sz val="8"/>
        <rFont val="Arial"/>
        <family val="2"/>
      </rPr>
      <t>trabalhadores por conta de outrem a tempo completo, que auferiram remuneração completa no período de referência.</t>
    </r>
  </si>
  <si>
    <r>
      <t xml:space="preserve">      (1) </t>
    </r>
    <r>
      <rPr>
        <sz val="8"/>
        <rFont val="Arial"/>
        <family val="2"/>
      </rPr>
      <t>dos trabalhadores por conta de outrem a tempo completo, que auferiram remuneração completa no período de referência.</t>
    </r>
  </si>
  <si>
    <r>
      <t xml:space="preserve">      </t>
    </r>
    <r>
      <rPr>
        <b/>
        <sz val="8"/>
        <rFont val="Arial"/>
        <family val="2"/>
      </rPr>
      <t>(1)</t>
    </r>
    <r>
      <rPr>
        <sz val="8"/>
        <rFont val="Arial"/>
        <family val="2"/>
      </rPr>
      <t xml:space="preserve"> dos trabalhadores por conta de outrem a tempo completo, que auferiram remuneração completa no período de referência.</t>
    </r>
  </si>
  <si>
    <r>
      <rPr>
        <b/>
        <sz val="8"/>
        <rFont val="Arial"/>
        <family val="2"/>
      </rPr>
      <t xml:space="preserve"> (1)</t>
    </r>
    <r>
      <rPr>
        <sz val="8"/>
        <rFont val="Arial"/>
        <family val="2"/>
      </rPr>
      <t xml:space="preserve"> dos trabalhadores por conta de outrem a tempo completo, que auferiram remuneração completa no período de referência.</t>
    </r>
  </si>
  <si>
    <r>
      <t xml:space="preserve">    </t>
    </r>
    <r>
      <rPr>
        <b/>
        <sz val="8"/>
        <rFont val="Arial"/>
        <family val="2"/>
      </rPr>
      <t xml:space="preserve"> (1)</t>
    </r>
    <r>
      <rPr>
        <sz val="8"/>
        <rFont val="Arial"/>
        <family val="2"/>
      </rPr>
      <t xml:space="preserve"> dos trabalhadores por conta de outrem a tempo completo, que auferiram remuneração completa no período de referência.</t>
    </r>
  </si>
  <si>
    <r>
      <t xml:space="preserve">    </t>
    </r>
    <r>
      <rPr>
        <b/>
        <sz val="8"/>
        <rFont val="Arial"/>
        <family val="2"/>
      </rPr>
      <t xml:space="preserve"> (2) </t>
    </r>
    <r>
      <rPr>
        <sz val="8"/>
        <rFont val="Arial"/>
        <family val="2"/>
      </rPr>
      <t xml:space="preserve">instrumentos em vigor, classificados de acordo com a sua natureza inicial.  </t>
    </r>
  </si>
  <si>
    <t>Conceitos</t>
  </si>
  <si>
    <t>Nomenclaturas</t>
  </si>
  <si>
    <r>
      <t xml:space="preserve">Fonte: </t>
    </r>
    <r>
      <rPr>
        <sz val="8"/>
        <rFont val="Arial"/>
        <family val="2"/>
      </rPr>
      <t>GEP/MTSSS, Quadros de Pessoal.</t>
    </r>
  </si>
  <si>
    <r>
      <t>Fonte:</t>
    </r>
    <r>
      <rPr>
        <sz val="8"/>
        <rFont val="Arial"/>
        <family val="2"/>
      </rPr>
      <t xml:space="preserve"> GEP/MTSSS, Quadros de Pessoal.</t>
    </r>
  </si>
  <si>
    <t>Ativ. saúde humana e apoio social</t>
  </si>
  <si>
    <t>1000 e + pessoas</t>
  </si>
  <si>
    <r>
      <t xml:space="preserve">      </t>
    </r>
    <r>
      <rPr>
        <b/>
        <sz val="8"/>
        <rFont val="Arial"/>
        <family val="2"/>
      </rPr>
      <t xml:space="preserve"> (2)</t>
    </r>
    <r>
      <rPr>
        <sz val="8"/>
        <rFont val="Arial"/>
        <family val="2"/>
      </rPr>
      <t xml:space="preserve"> considerado como sendo 2/3 da mediana do ganho mensal do Continente, neste exercício.</t>
    </r>
  </si>
  <si>
    <r>
      <t>Portaria de Cond. de Trabalho (PCT)</t>
    </r>
    <r>
      <rPr>
        <b/>
        <vertAlign val="superscript"/>
        <sz val="8"/>
        <rFont val="Arial"/>
        <family val="2"/>
      </rPr>
      <t>(2)</t>
    </r>
  </si>
  <si>
    <r>
      <t>Portaria de Cond. de Trabalho (PCT)</t>
    </r>
    <r>
      <rPr>
        <b/>
        <vertAlign val="superscript"/>
        <sz val="8"/>
        <rFont val="Arial"/>
        <family val="2"/>
      </rPr>
      <t>(3)</t>
    </r>
  </si>
  <si>
    <t>15 - Ind. couro e produtos do couro</t>
  </si>
  <si>
    <t>16 - Ind. madeira. e cortiça. e s. obras</t>
  </si>
  <si>
    <t>17 - Fab. pasta, papel, cartão e s. art.</t>
  </si>
  <si>
    <t>18 - Impressão e rep. sup. gravados</t>
  </si>
  <si>
    <t xml:space="preserve">19 - Fabr. coque, pr. petr. refinados </t>
  </si>
  <si>
    <t>20 - Fab. pr. quím. e fibras sint./artif.</t>
  </si>
  <si>
    <t>22 - Fabr. art. borracha e mat. plásticas</t>
  </si>
  <si>
    <t>27 - Fab. equipamento elétrico</t>
  </si>
  <si>
    <t xml:space="preserve">29 - Fab. veíc. autom., reb., s.-reb. </t>
  </si>
  <si>
    <t>31 - Fabr. mobiliário e de colchões</t>
  </si>
  <si>
    <t>32 - Outras ind. transformadoras</t>
  </si>
  <si>
    <t>25 - Fabr. pr. metál., exc. máq. e eq.</t>
  </si>
  <si>
    <t xml:space="preserve">26 - Fab. equip. inf., equip. p/ com. </t>
  </si>
  <si>
    <t xml:space="preserve">23 - Fabr.outros pr.min. n/ metálicos </t>
  </si>
  <si>
    <t>21 - Fab. pr. farm.  base e  prep. farm.</t>
  </si>
  <si>
    <t>28 - Fab. máq. e equipamentos, n.e.</t>
  </si>
  <si>
    <t>30 - Fabr. outro equip. transporte</t>
  </si>
  <si>
    <t>33 - Repar., manut. inst. máq. e equip.</t>
  </si>
  <si>
    <t>Eletr., gás, ág. quente/fria e ar frio</t>
  </si>
  <si>
    <t>Alojamento, restauração e sim.</t>
  </si>
  <si>
    <t>Ativ. financeiras e de seguros</t>
  </si>
  <si>
    <t>Ativ. artíst., espet., desp. e recr.</t>
  </si>
  <si>
    <t>Ativ. org. int. e o. inst. extra-territ.</t>
  </si>
  <si>
    <t>Ativ. Adm. e serviços de apoio</t>
  </si>
  <si>
    <t xml:space="preserve">Adm. Púb. e defesa; seg. social </t>
  </si>
  <si>
    <t xml:space="preserve">Ativ. Inform. e de comunicação </t>
  </si>
  <si>
    <t>Agr., pr. animal, caça, flor. pesca</t>
  </si>
  <si>
    <t>Capt., trat. e d. água; san., resíd.</t>
  </si>
  <si>
    <t>Com. grosso e ret.; r.v.aut./moto.</t>
  </si>
  <si>
    <t>Ativ. consultoria, cient.,téc. e sim.</t>
  </si>
  <si>
    <t>1 000,00 - 1 499,99  €</t>
  </si>
  <si>
    <t>1 500,00 - 2 499,99  €</t>
  </si>
  <si>
    <t>2 500,00 - 3 749,99  €</t>
  </si>
  <si>
    <t>3 750,00 - 4 999,99 €</t>
  </si>
  <si>
    <t>5 000,00 e +  Euros</t>
  </si>
  <si>
    <t>média</t>
  </si>
  <si>
    <t>mediana</t>
  </si>
  <si>
    <t>médio</t>
  </si>
  <si>
    <t>mediano</t>
  </si>
  <si>
    <t>TCO</t>
  </si>
  <si>
    <t>Remuneração base (euros)</t>
  </si>
  <si>
    <t>Remuneração ganho (euros)</t>
  </si>
  <si>
    <r>
      <t xml:space="preserve">Remuneração </t>
    </r>
    <r>
      <rPr>
        <b/>
        <sz val="8"/>
        <color indexed="8"/>
        <rFont val="Arial"/>
        <family val="2"/>
      </rPr>
      <t>base</t>
    </r>
    <r>
      <rPr>
        <sz val="8"/>
        <color indexed="8"/>
        <rFont val="Arial"/>
        <family val="2"/>
      </rPr>
      <t xml:space="preserve"> (euros)</t>
    </r>
  </si>
  <si>
    <r>
      <t>Remuneração</t>
    </r>
    <r>
      <rPr>
        <b/>
        <sz val="8"/>
        <color indexed="8"/>
        <rFont val="Arial"/>
        <family val="2"/>
      </rPr>
      <t xml:space="preserve"> ganho</t>
    </r>
    <r>
      <rPr>
        <sz val="8"/>
        <color indexed="8"/>
        <rFont val="Arial"/>
        <family val="2"/>
      </rPr>
      <t xml:space="preserve"> (euros)</t>
    </r>
  </si>
  <si>
    <t>&lt;1.º ciclo do ensino básico</t>
  </si>
  <si>
    <t>Ensino básico</t>
  </si>
  <si>
    <t>Quadro 2 - Empresas por dimensão</t>
  </si>
  <si>
    <r>
      <t>Quadro 3 -</t>
    </r>
    <r>
      <rPr>
        <sz val="9"/>
        <rFont val="Arial"/>
        <family val="2"/>
      </rPr>
      <t xml:space="preserve"> </t>
    </r>
    <r>
      <rPr>
        <b/>
        <sz val="9"/>
        <color indexed="8"/>
        <rFont val="Arial"/>
        <family val="2"/>
      </rPr>
      <t>Empresas por distrito</t>
    </r>
  </si>
  <si>
    <t>Quadro 3 - Empresas por distrito</t>
  </si>
  <si>
    <t>Ensino secundário + pós sec. não superior nível IV</t>
  </si>
  <si>
    <r>
      <t xml:space="preserve">Ensino superior </t>
    </r>
    <r>
      <rPr>
        <b/>
        <vertAlign val="superscript"/>
        <sz val="8"/>
        <color indexed="8"/>
        <rFont val="Arial"/>
        <family val="2"/>
      </rPr>
      <t>(2)</t>
    </r>
  </si>
  <si>
    <r>
      <t xml:space="preserve">      </t>
    </r>
    <r>
      <rPr>
        <b/>
        <sz val="8"/>
        <rFont val="Arial"/>
        <family val="2"/>
      </rPr>
      <t xml:space="preserve"> (2)</t>
    </r>
    <r>
      <rPr>
        <sz val="8"/>
        <rFont val="Arial"/>
        <family val="2"/>
      </rPr>
      <t xml:space="preserve"> No Ensino superior consideraram-se: Curso técnico superior profissional, Bacharelato, Licenciatura, Mestrado e Doutoramento.</t>
    </r>
  </si>
  <si>
    <r>
      <t xml:space="preserve">      </t>
    </r>
    <r>
      <rPr>
        <b/>
        <sz val="8"/>
        <rFont val="Arial"/>
        <family val="2"/>
      </rPr>
      <t xml:space="preserve"> (1)</t>
    </r>
    <r>
      <rPr>
        <sz val="8"/>
        <rFont val="Arial"/>
        <family val="2"/>
      </rPr>
      <t xml:space="preserve"> dos trabalhadores por conta de outrem a tempo completo, que auferiram remuneração completa no período de referência (outubro).</t>
    </r>
  </si>
  <si>
    <t>Contrato Coletivo de Trabalho (CCT)</t>
  </si>
  <si>
    <t>Acordo Coletivo de Trabalho (ACT)</t>
  </si>
  <si>
    <t>Não Abrangidos por Reg. Coletiva</t>
  </si>
  <si>
    <r>
      <t xml:space="preserve">       </t>
    </r>
    <r>
      <rPr>
        <b/>
        <sz val="8"/>
        <rFont val="Arial"/>
        <family val="2"/>
      </rPr>
      <t xml:space="preserve"> (3)</t>
    </r>
    <r>
      <rPr>
        <sz val="8"/>
        <rFont val="Arial"/>
        <family val="2"/>
      </rPr>
      <t xml:space="preserve"> Portaria de Condições de Trabalho (PCT) cuja denominação foi estabelecida pelo Código do Trabalho, a partir de 2009 (Capítulo VI, art. 517.º,  Lei n.º 7/2009, de 12 de fevereiro), anteriormente denominada Portaria de Regulamentação do Trabalho (PRT).</t>
    </r>
  </si>
  <si>
    <r>
      <t xml:space="preserve"> </t>
    </r>
    <r>
      <rPr>
        <b/>
        <sz val="8"/>
        <rFont val="Arial"/>
        <family val="2"/>
      </rPr>
      <t xml:space="preserve">    (3) </t>
    </r>
    <r>
      <rPr>
        <sz val="8"/>
        <rFont val="Arial"/>
        <family val="2"/>
      </rPr>
      <t xml:space="preserve"> Portaria de Condições de Trabalho (PCT) cuja denominação foi estabelecida pelo Código do Trabalho, a partir de 2009 (Capítulo VI, art. 517.º,  Lei n.º 7/2009, de 12 de fevereiro), anteriormente denominada Portaria de Regulamentação do Trabalho (PRT).</t>
    </r>
  </si>
  <si>
    <r>
      <t xml:space="preserve">         </t>
    </r>
    <r>
      <rPr>
        <b/>
        <sz val="8"/>
        <rFont val="Arial"/>
        <family val="2"/>
      </rPr>
      <t xml:space="preserve"> (2)</t>
    </r>
    <r>
      <rPr>
        <sz val="8"/>
        <rFont val="Arial"/>
        <family val="2"/>
      </rPr>
      <t xml:space="preserve"> Portaria de Condições de Trabalho (PCT) cuja denominação foi estabelecida pelo Código do Trabalho, a partir de 2009 (Capítulo VI, art. 517.º,  Lei n.º 7/2009, de 12 de fevereiro), anteriormente denominada Portaria de Regulamentação do Trabalho (PRT).</t>
    </r>
  </si>
  <si>
    <t>Ano</t>
  </si>
  <si>
    <t>CAE</t>
  </si>
  <si>
    <t>Estabelecimentos</t>
  </si>
  <si>
    <t>Pessoas ao serviço</t>
  </si>
  <si>
    <t xml:space="preserve">Agricultura, produção animal, caça, floresta e pesca </t>
  </si>
  <si>
    <t>Eletricidade, gás, vapor, água quente e fria e ar frio</t>
  </si>
  <si>
    <t>Captação, trat. e dist. água; saneam., gest. resíduos e desp.</t>
  </si>
  <si>
    <t>Atividades de informação e de comunicação</t>
  </si>
  <si>
    <t>Atividades financeiras e de seguros</t>
  </si>
  <si>
    <t>Atividades de consultoria, científicas, técnicas e similares</t>
  </si>
  <si>
    <t>Administração pública e defesa; segurança social obrigatória</t>
  </si>
  <si>
    <t>Atividades artísticas, de espectáculos, desp. e recreativas</t>
  </si>
  <si>
    <t>Ativ. org. interna. e outras instituições extra-territoriais</t>
  </si>
  <si>
    <t>empresas</t>
  </si>
  <si>
    <t>estabelecimentos</t>
  </si>
  <si>
    <t>pessoas ao serviço</t>
  </si>
  <si>
    <t>Totais</t>
  </si>
  <si>
    <t>Empresas</t>
  </si>
  <si>
    <t>Empresas por dimensão</t>
  </si>
  <si>
    <t>Pessoal ao serviço (Nº)</t>
  </si>
  <si>
    <t>Micro (1-9 pessoas)</t>
  </si>
  <si>
    <t>Grandes</t>
  </si>
  <si>
    <t>&gt; 250</t>
  </si>
  <si>
    <t>Pequenas (10 - 49 pessoas)</t>
  </si>
  <si>
    <t>PME</t>
  </si>
  <si>
    <t>&lt; 250</t>
  </si>
  <si>
    <t>Médias (50 - 249 pessoas)</t>
  </si>
  <si>
    <t>Pequena</t>
  </si>
  <si>
    <t>&lt; 50</t>
  </si>
  <si>
    <t>Grandes (250 ou + pessoas)</t>
  </si>
  <si>
    <t>Microempresas</t>
  </si>
  <si>
    <t>&lt; 10</t>
  </si>
  <si>
    <t>Desconhecida</t>
  </si>
  <si>
    <t>Distrito</t>
  </si>
  <si>
    <t>Ranking 5 mais</t>
  </si>
  <si>
    <t>Dimensão</t>
  </si>
  <si>
    <t>Rótulos de Linha</t>
  </si>
  <si>
    <t>Total Geral</t>
  </si>
  <si>
    <t>Rótulos de Coluna</t>
  </si>
  <si>
    <t xml:space="preserve">Micro </t>
  </si>
  <si>
    <t>Médias</t>
  </si>
  <si>
    <t xml:space="preserve"> Remuneração média mensal base</t>
  </si>
  <si>
    <t>Remuneração média mensal ganho</t>
  </si>
  <si>
    <t>Auxiliar para determinar remuneração média agrupada em micro, pequenas, médias e grandes empresas</t>
  </si>
  <si>
    <t xml:space="preserve">1) Multiplicar o número de TCO das remunerações (q11) pelo valor da remuneração média (q18);2) Agregar somando os TCO e as remunerações pela dimensão. Posteriormente, dividir a remuneração total pelo número de TCO da dimensão </t>
  </si>
  <si>
    <t>Remuneração base mensal total = N.º TCO (q11)* remuneração média mensal base (q18)</t>
  </si>
  <si>
    <t>Remuneração ganho mensal total = N.º TCO (q11)* remuneração média mensal ganho (q26)</t>
  </si>
  <si>
    <t xml:space="preserve">1) Multiplicar o número de TCO das remunerações (q11) pelo valor da remuneração média (q26);2) Agregar somando os TCO e as remunerações pela dimensão. Posteriormente, dividir a remuneração total pelo número de TCO da dimensão </t>
  </si>
  <si>
    <t>Remuneração base</t>
  </si>
  <si>
    <t>Remuneração ganho</t>
  </si>
  <si>
    <t>Remuneração base, Remuneração ganho, Média mensal, CAE</t>
  </si>
  <si>
    <t>Selecionar CAE</t>
  </si>
  <si>
    <t>Tipo Remuneração</t>
  </si>
  <si>
    <t>Valor</t>
  </si>
  <si>
    <t>Remuneração Base</t>
  </si>
  <si>
    <t>Remuneração Ganho</t>
  </si>
  <si>
    <t>Soma de Valor</t>
  </si>
  <si>
    <t>Sexo</t>
  </si>
  <si>
    <t>Pequenas</t>
  </si>
  <si>
    <r>
      <rPr>
        <sz val="10"/>
        <color rgb="FFFF0000"/>
        <rFont val="Arial"/>
        <family val="2"/>
      </rPr>
      <t xml:space="preserve">APOIO - COMO TER 2 CAIXAS DE SEGMENTAÇÃO EM QUE 2 DELAS CONTROLAM SÓ 1 GRÁFICO, E 1 DELAS CONTROLA OS 2 GRÁFICOS </t>
    </r>
    <r>
      <rPr>
        <sz val="10"/>
        <rFont val="Arial"/>
        <family val="2"/>
      </rPr>
      <t>: 1º fazer listagem; 2º fazer tab. Dinâmica (ano linha, CAE coluna e Soma); 3º inserir segmentação Tipo e CAE; 4º copiar tabela dinamica e alterar condições para ano em linha e soma; 5º selecionar segmentação 'Tipo' e botão lado direito 'ligação relatórios' (ligar só à 1ª tab dinamica, a segmentação 'CAE' ligar às 2 tabelas dinamicas; 6º clicar na 1ª tab dinamica e construir gráfico e clicar na 2ª tab dinamica e construir grafico</t>
    </r>
  </si>
  <si>
    <t>Base</t>
  </si>
  <si>
    <t>Ganho</t>
  </si>
  <si>
    <t>Distritos</t>
  </si>
  <si>
    <t>Anos</t>
  </si>
  <si>
    <t>Estabele-
cimentos</t>
  </si>
  <si>
    <t xml:space="preserve">Variação </t>
  </si>
  <si>
    <t>Rem base</t>
  </si>
  <si>
    <t>Rem ganho</t>
  </si>
  <si>
    <t>Maior</t>
  </si>
  <si>
    <t>Menor</t>
  </si>
  <si>
    <t>BASE</t>
  </si>
  <si>
    <t>GANHO</t>
  </si>
  <si>
    <t>S20</t>
  </si>
  <si>
    <t>AI22</t>
  </si>
  <si>
    <t>AI23</t>
  </si>
  <si>
    <t>AJ22</t>
  </si>
  <si>
    <t>AJ23</t>
  </si>
  <si>
    <t>Análise automática =&gt; muda o distrito</t>
  </si>
  <si>
    <t xml:space="preserve"> empresas (</t>
  </si>
  <si>
    <t xml:space="preserve"> estabelecimentos (</t>
  </si>
  <si>
    <t>AE22</t>
  </si>
  <si>
    <t>AG25</t>
  </si>
  <si>
    <t>AG26</t>
  </si>
  <si>
    <t>%</t>
  </si>
  <si>
    <t>AE23</t>
  </si>
  <si>
    <t>S60</t>
  </si>
  <si>
    <t>AE62</t>
  </si>
  <si>
    <t xml:space="preserve"> pessoas (</t>
  </si>
  <si>
    <t>AG65</t>
  </si>
  <si>
    <t>AI62</t>
  </si>
  <si>
    <t>AJ62</t>
  </si>
  <si>
    <t>AE63</t>
  </si>
  <si>
    <t>AG66</t>
  </si>
  <si>
    <t>AI63</t>
  </si>
  <si>
    <t>AJ63</t>
  </si>
  <si>
    <t xml:space="preserve"> tinham ao seu serviço </t>
  </si>
  <si>
    <t>AE102</t>
  </si>
  <si>
    <t>S100</t>
  </si>
  <si>
    <t xml:space="preserve"> euros (</t>
  </si>
  <si>
    <t>AG105</t>
  </si>
  <si>
    <t>AI102</t>
  </si>
  <si>
    <t>AJ102</t>
  </si>
  <si>
    <t xml:space="preserve"> a remuneração média mensal base era de </t>
  </si>
  <si>
    <t>AE103</t>
  </si>
  <si>
    <t>AG106</t>
  </si>
  <si>
    <t>AI103</t>
  </si>
  <si>
    <t>AJ103</t>
  </si>
  <si>
    <t xml:space="preserve"> euros a remuneração média mensal ganho (</t>
  </si>
  <si>
    <t>Análise automática a variar com distrito e ano</t>
  </si>
  <si>
    <t>AL18</t>
  </si>
  <si>
    <t xml:space="preserve">Ranking Empresas </t>
  </si>
  <si>
    <t>Ranking Estabelecimentos</t>
  </si>
  <si>
    <t>% empresas</t>
  </si>
  <si>
    <t>% estabelecimentos</t>
  </si>
  <si>
    <t>º de 18 distritos).</t>
  </si>
  <si>
    <t xml:space="preserve">% do Continente, sendo o </t>
  </si>
  <si>
    <t>AS18</t>
  </si>
  <si>
    <t>% pessoas</t>
  </si>
  <si>
    <t>% TCO</t>
  </si>
  <si>
    <t xml:space="preserve">Ranking Pessoas </t>
  </si>
  <si>
    <t>Ranking TCO</t>
  </si>
  <si>
    <t xml:space="preserve"> estabelecimentos (constituindo </t>
  </si>
  <si>
    <t xml:space="preserve">% do Continente, ocupando a </t>
  </si>
  <si>
    <t xml:space="preserve">º posição entre 18 distritos) e  </t>
  </si>
  <si>
    <t>% var. base</t>
  </si>
  <si>
    <t>% var ganho</t>
  </si>
  <si>
    <t xml:space="preserve">Ranking base </t>
  </si>
  <si>
    <t>Ranking ganho</t>
  </si>
  <si>
    <t>AZ18</t>
  </si>
  <si>
    <t>dif base face continente</t>
  </si>
  <si>
    <t>dif ganho face continente</t>
  </si>
  <si>
    <t xml:space="preserve">% que no Continente, sendo o </t>
  </si>
  <si>
    <t>As caixas de texto com fórmulas têm limitação de caracteres (255), cuidado ao alterar texto, se ultrapassar os 255 caracteres o texto não aparece todo</t>
  </si>
  <si>
    <t xml:space="preserve">º de 18 distritos) e  </t>
  </si>
  <si>
    <t xml:space="preserve"> empresas (equivalendo a </t>
  </si>
  <si>
    <t>Grupo etário</t>
  </si>
  <si>
    <t>18 - 24 anos</t>
  </si>
  <si>
    <t>25 - 34 anos</t>
  </si>
  <si>
    <t>35 - 44 anos</t>
  </si>
  <si>
    <t>45 - 54 anos</t>
  </si>
  <si>
    <t>55 - 64 anos</t>
  </si>
  <si>
    <t>Rem Base</t>
  </si>
  <si>
    <t xml:space="preserve">1) Multiplicar o número de TCO por grupo etário (q13) pelo valor da remuneração média (q20);2) Agregar somando os TCO e as remunerações pelos grupos etários. Posteriormente, dividir a remuneração total pelo número de TCO. </t>
  </si>
  <si>
    <t>Remuneração base mensal total = N.º TCO (q13)* remuneração média mensal base (q20)</t>
  </si>
  <si>
    <t xml:space="preserve">1) Multiplicar o número de TCO por grupo etário (q13) pelo valor da remuneração média (q28);2) Agregar somando os TCO e as remunerações pelos grupos etários. Posteriormente, dividir a remuneração total pelo número de TCO. </t>
  </si>
  <si>
    <t>Auxiliar para determinar remuneração média agrupada em diferentes grupos etários (agrupar em 25-34, 35-44, 45-54 e 55-64, mantendo os restantes)</t>
  </si>
  <si>
    <t>Rem Ganho</t>
  </si>
  <si>
    <t>Nível qualificação</t>
  </si>
  <si>
    <t>Profissionais altamente qualificados</t>
  </si>
  <si>
    <t>Profissionais semi-qualificados</t>
  </si>
  <si>
    <t>Encarregados, contramestres e chefes de equipa</t>
  </si>
  <si>
    <t>ÍNDICE($B$16:$M$24;CORRESP($Q$16:$Q$23;$B$16:$B$24;0);CORRESP($P$14;$B$16:$M$16;0))</t>
  </si>
  <si>
    <t>Tipo de remuneração</t>
  </si>
  <si>
    <t>Nível habilitação</t>
  </si>
  <si>
    <t>&lt; 1.º ciclo do ensino básico</t>
  </si>
  <si>
    <t>Ensino superior</t>
  </si>
  <si>
    <t>Q30</t>
  </si>
  <si>
    <t>Remuneração</t>
  </si>
  <si>
    <t>Ensino superior**</t>
  </si>
  <si>
    <t>Gráficos das remunerações alterando apenas com o ano</t>
  </si>
  <si>
    <t>Média</t>
  </si>
  <si>
    <t>Mediana</t>
  </si>
  <si>
    <t>Base - H</t>
  </si>
  <si>
    <t>Base - M</t>
  </si>
  <si>
    <t>Base - T</t>
  </si>
  <si>
    <t>Ganho - T</t>
  </si>
  <si>
    <t>Ganho - H</t>
  </si>
  <si>
    <t>Ganho - M</t>
  </si>
  <si>
    <t xml:space="preserve">Base </t>
  </si>
  <si>
    <t>Escalão de remuneração</t>
  </si>
  <si>
    <t>Ganho - TCO</t>
  </si>
  <si>
    <t>Base - %TCO</t>
  </si>
  <si>
    <t>*Retribuição Mínima Mensal Garantida (RMMG) - Continente 2011=485,00 euros; 2012=485,00 euros; 2013=485,00 euros; 2014=505,00 euros; 2015=505,00 euros; 2016=530,00 euros; 2017=557,00 euros; 2018=580,00 euros; 2019=600,00 euros; 2020=635,00 euros e 2021 = 665,00 euros.</t>
  </si>
  <si>
    <t>** trabalhadores por conta de outrem a tempo completo, que auferiram remuneração completa no período de referência.</t>
  </si>
  <si>
    <t>&lt; RMMG**</t>
  </si>
  <si>
    <t>Portaria de Cond. de Trabalho (PCT)</t>
  </si>
  <si>
    <t xml:space="preserve">TCO </t>
  </si>
  <si>
    <t>Não Abrangidos por Regulamentação Coletiva</t>
  </si>
  <si>
    <t>Ganho mensal mediano (euros)</t>
  </si>
  <si>
    <t>Limiar de baixos salários (2) (euros)</t>
  </si>
  <si>
    <t xml:space="preserve">   Incidência de baixos salários (%)</t>
  </si>
  <si>
    <t>Limiar de baixos salários (euros)</t>
  </si>
  <si>
    <t>Incidência de baixos salários (%) - Total</t>
  </si>
  <si>
    <t>Incidência de baixos salários (%) - Homens</t>
  </si>
  <si>
    <t>Incidência de baixos salários (%) - Mulheres</t>
  </si>
  <si>
    <t xml:space="preserve"> TCO, dos quais </t>
  </si>
  <si>
    <t xml:space="preserve"> onde a taxa de feminização era de </t>
  </si>
  <si>
    <t>var M/H</t>
  </si>
  <si>
    <t>Remuneração base, Remuneração ganho, Média mensal, Sexo</t>
  </si>
  <si>
    <t>Dimensão da empresa</t>
  </si>
  <si>
    <t>Análise</t>
  </si>
  <si>
    <t>M/H %base</t>
  </si>
  <si>
    <t>M/H %ganho</t>
  </si>
  <si>
    <t>Caso se acrescente colunas</t>
  </si>
  <si>
    <t>) e</t>
  </si>
  <si>
    <t>).</t>
  </si>
  <si>
    <t>:</t>
  </si>
  <si>
    <t xml:space="preserve">% da dos Homens (H), entre </t>
  </si>
  <si>
    <t>% da dos H (</t>
  </si>
  <si>
    <t xml:space="preserve">% da dos H, entre </t>
  </si>
  <si>
    <t>Base Mulheres =</t>
  </si>
  <si>
    <t>Ganho Mulheres =</t>
  </si>
  <si>
    <t xml:space="preserve">O distrito de </t>
  </si>
  <si>
    <t xml:space="preserve"> era a sede de </t>
  </si>
  <si>
    <t xml:space="preserve">As empresas do distrito de </t>
  </si>
  <si>
    <t>No distrito de</t>
  </si>
  <si>
    <t xml:space="preserve">era a sede de </t>
  </si>
  <si>
    <t xml:space="preserve">Era também a localização de </t>
  </si>
  <si>
    <t>º de 18 distritos);</t>
  </si>
  <si>
    <t xml:space="preserve">TCO ( </t>
  </si>
  <si>
    <t xml:space="preserve">No distrito de </t>
  </si>
  <si>
    <t xml:space="preserve">Existiam </t>
  </si>
  <si>
    <t xml:space="preserve">A taxa de feminização era de </t>
  </si>
  <si>
    <t>Continente:</t>
  </si>
  <si>
    <t>Base:</t>
  </si>
  <si>
    <t>B/G</t>
  </si>
  <si>
    <t xml:space="preserve">) e </t>
  </si>
  <si>
    <t>Ganho:</t>
  </si>
  <si>
    <t>Entre</t>
  </si>
  <si>
    <t>e</t>
  </si>
  <si>
    <t>B M/H</t>
  </si>
  <si>
    <t>G M/H</t>
  </si>
  <si>
    <t>Base média:</t>
  </si>
  <si>
    <t>Ganho médio:</t>
  </si>
  <si>
    <t>Base mediana:</t>
  </si>
  <si>
    <t>Ganho mediano:</t>
  </si>
  <si>
    <t>ABRTANGIDOS</t>
  </si>
  <si>
    <t>Micro</t>
  </si>
  <si>
    <t>Pequenos</t>
  </si>
  <si>
    <t>Médios</t>
  </si>
  <si>
    <t>Pequenos (10 - 49 pessoas)</t>
  </si>
  <si>
    <t>Médios (50 - 249 pessoas)</t>
  </si>
  <si>
    <t>legenda comum aos 3 gráficos</t>
  </si>
  <si>
    <t>3+</t>
  </si>
  <si>
    <t>Exceção</t>
  </si>
  <si>
    <t xml:space="preserve">NOTA: </t>
  </si>
  <si>
    <t xml:space="preserve">NOTAS: </t>
  </si>
  <si>
    <t>1 - Ver se o texto é coerente, a ideia é apresentar as 3 CAE mais relevantes no último ano da série (% face ao total) versus a sua situação no primeiro ano da série. Consoante as CAE se alterem ou não, poderá ser necessário adaptar a(s) fórmula(s).</t>
  </si>
  <si>
    <t>2 - Atenção ao limite de caracteres das caixas de texto com fórmula. Se necessário, pode-se reduzir a denominação das CAE na folha "Aux".</t>
  </si>
  <si>
    <t>;</t>
  </si>
  <si>
    <t xml:space="preserve"> das estruturas;</t>
  </si>
  <si>
    <t xml:space="preserve"> e </t>
  </si>
  <si>
    <t xml:space="preserve">Atenção ao limite de caracteres das caixas de texto com fórmula. </t>
  </si>
  <si>
    <t>NOTA:  Por uma questão de visualização, optou-se por colocar rótulos de dados no gráfico das 5 CAE com maior expressão, uma vez que são sempre as mesmas (apenas se alterando a ordem) ao longo de toda a série (ver ranking células A70 a V74 e A79 a V83)</t>
  </si>
  <si>
    <t>NOTA:  Por uma questão de visualização, optou-se por colocar rótulos de dados no gráfico das 5 CAE com maior expressão (ver ranking células A70 a V74 e A79 a V83)</t>
  </si>
  <si>
    <t>Ativ. de saúde humana e apoio social</t>
  </si>
  <si>
    <t xml:space="preserve"> das pessoas (entre </t>
  </si>
  <si>
    <t xml:space="preserve"> dos TCO (entre </t>
  </si>
  <si>
    <t xml:space="preserve">NOTA: Sempre que exista nova série, atualizar a tabela dinâmica (linhas 80 a 93) - Ferramentas de Tabela Dinâmica - Analisar - Atualizar - Verificar se é necessário ajustar o eixo do gráfico e se todos os rótulos estão visíveis (terão de ser novamente formatados). </t>
  </si>
  <si>
    <t>Na folha "Estrutura Empresarial_Rem" as caixas de segmentação de dados poderão deixar de funcionar, pelo que terá de se copiar as caixas da presente folha e substituir as constantes na folha "Estrutura Empresarial_Rem".</t>
  </si>
  <si>
    <t>(Itens múltiplos)</t>
  </si>
  <si>
    <t xml:space="preserve">NOTA: Sempre que exista nova série, atualizar as tabelas dinâmicas (linhas 5 a 19, 25 a 38 e 41 a 43) - Ferramentas de Tabela Dinâmica - Analisar - Atualizar - Verificar se é necessário ajustar o eixo do gráfico e se todos os rótulos estão visíveis (terão de ser novamente formatados). </t>
  </si>
  <si>
    <t>ATENÇÃO: são dois gráficos independentes que foram agrupados, estando apenas visível o eixo de um gráfico. Ao atualizar para uma nova série, confirmar que os dois gráficos têm eixos iguais e, se necessário, ajustar os valores do eixo.</t>
  </si>
  <si>
    <t>Análise remuneração base</t>
  </si>
  <si>
    <t>Análise remuneração ganho</t>
  </si>
  <si>
    <t>Texto automático</t>
  </si>
  <si>
    <t>Atualizar manualmente, ou caso se prescinda do sublinhado e do bold, usar o texto automático linhas 84 e 94</t>
  </si>
  <si>
    <t>Empresas/Estabelecimentos</t>
  </si>
  <si>
    <t>Pessoas ao serviço/TCO</t>
  </si>
  <si>
    <t>Rem base/ganho</t>
  </si>
  <si>
    <t xml:space="preserve"> tinham entre 25 e 44 anos; </t>
  </si>
  <si>
    <t xml:space="preserve"> do Ganho, entre</t>
  </si>
  <si>
    <t xml:space="preserve"> (</t>
  </si>
  <si>
    <t xml:space="preserve">  (</t>
  </si>
  <si>
    <t>, nos mesmos grupos etários, respetivamente.</t>
  </si>
  <si>
    <t xml:space="preserve"> da dos Homens (H), entre </t>
  </si>
  <si>
    <t xml:space="preserve"> da dos H, entre </t>
  </si>
  <si>
    <t xml:space="preserve"> da dos H (</t>
  </si>
  <si>
    <t xml:space="preserve"> dos TCO eram profissionais qualificados e semi-qualificados,</t>
  </si>
  <si>
    <t xml:space="preserve"> e de</t>
  </si>
  <si>
    <t>, respetivamente.</t>
  </si>
  <si>
    <t>, nos mesmos níveis de qualificação, respetivamente.</t>
  </si>
  <si>
    <t xml:space="preserve"> dos TCO tinham os Ensinos Secundário e Superior completos.</t>
  </si>
  <si>
    <t>, nos mesmos níveis de habilitação, respetivamente.</t>
  </si>
  <si>
    <t>Análise:</t>
  </si>
  <si>
    <t>Proporção de TCO com remuneração Base:</t>
  </si>
  <si>
    <t>face a</t>
  </si>
  <si>
    <t>Atualizar manualmente, ou caso se prescinda do sublinhado e do bold, usar o texto automático linhas 38 a 41</t>
  </si>
  <si>
    <t>Proporção de TCO com remuneração Ganho:</t>
  </si>
  <si>
    <t>Atualizar manualmente, ou caso se prescinda do sublinhado e do bold, usar o texto automático linhas 33 a 36.</t>
  </si>
  <si>
    <t>Atualizar manualmente</t>
  </si>
  <si>
    <t>incidência %</t>
  </si>
  <si>
    <t xml:space="preserve">TCO abrangidos por </t>
  </si>
  <si>
    <t>TCO não abrangidos por IRCT</t>
  </si>
  <si>
    <t>Análises</t>
  </si>
  <si>
    <t>Remuneração média mensal Base:</t>
  </si>
  <si>
    <t>Atualizar manualmente, ou caso se prescinda do sublinhado e do bold, e se mantenha o tipo de análise, usar os textos automáticosem Z45, Z63 e .</t>
  </si>
  <si>
    <t>Remuneração média mensal Ganho:</t>
  </si>
  <si>
    <t>VALID</t>
  </si>
  <si>
    <t>Valid</t>
  </si>
  <si>
    <t xml:space="preserve">Igual à RMMG: </t>
  </si>
  <si>
    <t>ATENÇÃO - Confirmar sempre o texto na caixa de texto automática com a estática</t>
  </si>
  <si>
    <t xml:space="preserve">       (2) considerado como sendo 2/3 da mediana do ganho mensal do Continente, neste exercício.</t>
  </si>
  <si>
    <r>
      <rPr>
        <b/>
        <sz val="10"/>
        <rFont val="Calibri"/>
        <family val="2"/>
        <scheme val="minor"/>
      </rPr>
      <t xml:space="preserve">De: Lina.G.Rafael &lt;Lina.G.Rafael@gep.mtsss.pt&gt; 
Enviada: 8 de abril de 2024 15:57
Para: Elsa Oliveira &lt;Elsa.Oliveira@gep.mtsss.pt&gt;; Andreia José &lt;andreia.jose@gep.mtsss.pt&gt;
Cc: Vitor Hugo Teixeira &lt;Vitor.Hugo.Teixeira@gep.mtsss.pt&gt;
Assunto: RE: Dashboard / Excel Interativo Séries QP 2011-2021
NOTA: S80 e S20? </t>
    </r>
    <r>
      <rPr>
        <sz val="10"/>
        <rFont val="Calibri"/>
        <family val="2"/>
        <scheme val="minor"/>
      </rPr>
      <t xml:space="preserve"> - optou-se por não colocar o rácio S80/S20 (ou seja S80 é xxxx vezes S20), porque as setas, à semelhança das que EO tinha no gráfico da infografia dos 100 anos, sobrecarregavam este gráfico; mas equacionou-se colocar o valor do S80 e do S20, no entanto para a construção do gráfico tem de se ter 5 valores e, por exemplo, o S80 corresponde ao (D9+D10)/2, o qual ainda seria passível de colocar (artificialmente) no gráfico, mas seria problemático para o S20 = (D1+D2)/2  (e já nem me recordo muito bem como fiz o gráfco, mas tinha de construir uma coluna e definir uma linha de máximo e mínimo que dividia essa coluna ao meio e tinha de retirar o preenchimento a partes da coluna de modo a ficar com o aspeto de uma caixa de bigodes….) 
Os valores S90/S10 não parecem coincidir com D9/D1 - não devia ser isso? – não, S90/S10 = D10/D1= 5,1 =&gt; a proporção do rendimento total recebido pelos 10% da população com maiores rendimentos (D10) e a parte do rendimento auferido pelos 10% de menores rendimentos (D1). (cf definição do INE em https://www.ine.pt/bddXplorer/htdocs/minfo.jsp?var_cd=0004214&amp;lingua=PT – documento “Indicadores desigualdade distribuição rendimentos.docx” em P:\G_EME_INFOESTAT\4_produtos\4_series\1_Quadros de Pessoal\2011_2021\Dashboard) –
porquê D10 e não S90? - Esta foi uma dúvida que se levantou na altura e não alterámos por apesar de se poder dizer que S90 = D10, no gráfico iria surgir S10 (em vez de D1), D2, D5, D9 e S90 (em vez de D10), misturando-se as “designações”.</t>
    </r>
  </si>
  <si>
    <t>Norte</t>
  </si>
  <si>
    <t>Alto Minho</t>
  </si>
  <si>
    <t>Cávado</t>
  </si>
  <si>
    <t>Ave</t>
  </si>
  <si>
    <t>Área Metropolitana do Porto</t>
  </si>
  <si>
    <t>Alto Tâmega e Barroso</t>
  </si>
  <si>
    <t>Tâmega e Sousa</t>
  </si>
  <si>
    <t>Douro</t>
  </si>
  <si>
    <t>Terras de Trás-os-Montes</t>
  </si>
  <si>
    <t>Centro</t>
  </si>
  <si>
    <t>Região de Aveiro</t>
  </si>
  <si>
    <t>Região de Coimbra</t>
  </si>
  <si>
    <t>Região de Leiria</t>
  </si>
  <si>
    <t>Viseu Dão Lafões</t>
  </si>
  <si>
    <t>Beira Baixa</t>
  </si>
  <si>
    <t>Beiras e Serra da Estrela</t>
  </si>
  <si>
    <t>Oeste e Vale do Tejo</t>
  </si>
  <si>
    <t>Oeste</t>
  </si>
  <si>
    <t>Médio Tejo</t>
  </si>
  <si>
    <t>Lezíria do Tejo</t>
  </si>
  <si>
    <t>Grande Lisboa</t>
  </si>
  <si>
    <t>Península de Setúbal</t>
  </si>
  <si>
    <t>Alentejo</t>
  </si>
  <si>
    <t>Alentejo Litoral</t>
  </si>
  <si>
    <t>Baixo Alentejo</t>
  </si>
  <si>
    <t>Alto Alentejo</t>
  </si>
  <si>
    <t>Alentejo Central</t>
  </si>
  <si>
    <t>Algarve</t>
  </si>
  <si>
    <t>NUTS II</t>
  </si>
  <si>
    <t>NUTS III</t>
  </si>
  <si>
    <t xml:space="preserve">Empresas </t>
  </si>
  <si>
    <t>q3.1</t>
  </si>
  <si>
    <t>q6.1</t>
  </si>
  <si>
    <t>q9.1</t>
  </si>
  <si>
    <t>q12.1</t>
  </si>
  <si>
    <t>q19.1</t>
  </si>
  <si>
    <t>q27.1</t>
  </si>
  <si>
    <t>Selecionar NUTS II</t>
  </si>
  <si>
    <t>Análise automática =&gt; muda a NUTS II</t>
  </si>
  <si>
    <t xml:space="preserve">A região </t>
  </si>
  <si>
    <t xml:space="preserve">As empresas da região </t>
  </si>
  <si>
    <t>Análise automática a variar com a região (NUTS II) e ano</t>
  </si>
  <si>
    <t>AR6</t>
  </si>
  <si>
    <t>Oeste e Vale do tejo</t>
  </si>
  <si>
    <t>EMPRESAS</t>
  </si>
  <si>
    <t>ª região de 7)</t>
  </si>
  <si>
    <t xml:space="preserve">Sub-regiões NUTS III: Máx. da NUTS II - </t>
  </si>
  <si>
    <t>Máximo valor</t>
  </si>
  <si>
    <t>Máximo desig</t>
  </si>
  <si>
    <t>Mínimo valor</t>
  </si>
  <si>
    <t>Mínimo desig</t>
  </si>
  <si>
    <t>Min. da NUTS II</t>
  </si>
  <si>
    <t>ESTABELECIMENTOS</t>
  </si>
  <si>
    <t xml:space="preserve">NUTS II </t>
  </si>
  <si>
    <t xml:space="preserve">: </t>
  </si>
  <si>
    <t xml:space="preserve">); </t>
  </si>
  <si>
    <t xml:space="preserve"> - </t>
  </si>
  <si>
    <t xml:space="preserve">% do </t>
  </si>
  <si>
    <t xml:space="preserve">% do Continente; </t>
  </si>
  <si>
    <t>Se Norte, Centro, Oeste e Vale do Tejo ou Alentejo</t>
  </si>
  <si>
    <t>Se Grande Lisboa, Península de Setúbal ou Algarve</t>
  </si>
  <si>
    <t>PESSOAS AO SERVIÇO</t>
  </si>
  <si>
    <t>BM6</t>
  </si>
  <si>
    <t>REMUNERAÇÃO BASE</t>
  </si>
  <si>
    <t>CG6</t>
  </si>
  <si>
    <t xml:space="preserve">% que no Continente; </t>
  </si>
  <si>
    <t>REMUNERAÇÃO GANHO</t>
  </si>
  <si>
    <t xml:space="preserve">% da </t>
  </si>
  <si>
    <r>
      <t>Quadro 4 -</t>
    </r>
    <r>
      <rPr>
        <sz val="9"/>
        <rFont val="Arial"/>
        <family val="2"/>
      </rPr>
      <t xml:space="preserve"> </t>
    </r>
    <r>
      <rPr>
        <b/>
        <sz val="9"/>
        <color indexed="8"/>
        <rFont val="Arial"/>
        <family val="2"/>
      </rPr>
      <t>Empresas por Região NUTS II e Sub Região NUTS III (2024)</t>
    </r>
  </si>
  <si>
    <t>Quadro 5 - Estabelecimentos por atividade económica</t>
  </si>
  <si>
    <t>Quadro 6 - Estabelecimentos por dimensão</t>
  </si>
  <si>
    <t>Quadro 7- Estabelecimentos por distrito</t>
  </si>
  <si>
    <r>
      <t>Quadro 8 -</t>
    </r>
    <r>
      <rPr>
        <sz val="9"/>
        <rFont val="Arial"/>
        <family val="2"/>
      </rPr>
      <t xml:space="preserve"> </t>
    </r>
    <r>
      <rPr>
        <b/>
        <sz val="9"/>
        <color indexed="8"/>
        <rFont val="Arial"/>
        <family val="2"/>
      </rPr>
      <t>Estabelecimentos por Região NUTS II e Sub Região NUTS III (2024)</t>
    </r>
  </si>
  <si>
    <t>Este quadro não é publicado nas séries. Houve necessidade de o extrair do SISED para determinar as remunerações médias dos grupos etários agregados. No SISED, extrai-se o CADERNO "Series QUADROS DE PESSOAL- EMPREGO - Serie2010" e nas folhas Q14, Q14a e Q17 =&gt; Editar folha =&gt; nas variáveis selecionadas, substituir "Qte TPCO" por "TPCO Mensal (REM)"</t>
  </si>
  <si>
    <t>No ficheiro "05_Quadros Apoio_TCO_Rem_Q14_Q17.xlsx" em P:\G_EME_INFOESTAT\4_produtos\4_series\1_Quadros de Pessoal\2013_2023\Dashboard, os quadros Q14a (TCO das Rem por dimensão e sexo) e Q17a (TCO das Rem por grupo etário e sexo) ficam automaticamente atualizados.</t>
  </si>
  <si>
    <t>Fazer copiar - colar especial valores para a folha q14a e q17a do ficheiro "03_seriesqp_2013_2023_Dashboard.xlsx"</t>
  </si>
  <si>
    <t>Quadro 10 - Pessoas ao serviço nos estabelecimentos por dimensão</t>
  </si>
  <si>
    <t>Quadro 11 - Pessoas ao serviço nos estabelecimentos por distrito</t>
  </si>
  <si>
    <t>Quadro 12 - Pessoas ao serviço nos estabelecimentos por Região NUTS II e Sub Região NUTS III (2024)</t>
  </si>
  <si>
    <t>Quadro 13 - Trabalhadores por conta de outrem ao serviço nos estabelecimentos por atividade económica</t>
  </si>
  <si>
    <t>Quadro 13 - Trabalhadores por conta de outrem ao serviço nos estabelecimentos por atividade económica (CAE-Rev. 3)</t>
  </si>
  <si>
    <t>Quadro 14 - Trabalhadores por conta de outrem ao serviço nos estabelecimentos por dimensão e sexo</t>
  </si>
  <si>
    <t>Quadro 15 - Trabalhadores por conta de outrem ao serviço nos estabelecimentos por distrito</t>
  </si>
  <si>
    <t>Quadro 16 - Trabalhadores por conta de outrem ao serviço nos estabelecimentos por Região NUTS II e Sub Região NUTS III (2024)</t>
  </si>
  <si>
    <t>Quadro 17 - Trabalhadores por conta de outrem ao serviço nos estabelecimentos por grupo etário e sexo</t>
  </si>
  <si>
    <t>Quadro 18 - Trabalhadores por conta de outrem ao serviço nos estabelecimentos por nível de qualificação e sexo</t>
  </si>
  <si>
    <t>Quadro 19 - Trabalhadores por conta de outrem ao serviço nos estabelecimentos por profissão</t>
  </si>
  <si>
    <t>PROFISSÕES (CPP/2010)</t>
  </si>
  <si>
    <t>Repres. poder leg. e de órgãos exec., dirig., diret. e gestores executivos</t>
  </si>
  <si>
    <t>Repres.poder legisl.e de órg. exec.,dirig. super.adm. púb.,org.espec.,diret.e gest. empresas</t>
  </si>
  <si>
    <t>Diret.de serv.adm. e comerciais</t>
  </si>
  <si>
    <t>Diret.de prod.e de serviços espec.</t>
  </si>
  <si>
    <t xml:space="preserve">Diret.de hot.,restaur.e de out.serviços </t>
  </si>
  <si>
    <t>Especial.das ativ.intelet.e cientif.</t>
  </si>
  <si>
    <t>Especialistas das ciências físicas, matem., engen. e técnicas afins</t>
  </si>
  <si>
    <t>Profissionais de saúde</t>
  </si>
  <si>
    <t>Professores</t>
  </si>
  <si>
    <t xml:space="preserve">Espec. finanças,contab., organização adm., relações públicas e comerciais </t>
  </si>
  <si>
    <t>Especialistas em tecnologias de informação e comunicação (TIC)</t>
  </si>
  <si>
    <t>Especialistas em assuntos jurídicos, sociais, artísticos e culturais</t>
  </si>
  <si>
    <t>Técn. e prof. de nível intermédio</t>
  </si>
  <si>
    <t>Técnicos e profissões das ciências e engenharia, de nível intermédio</t>
  </si>
  <si>
    <t>Técnicos e prof., nível int.da saúde</t>
  </si>
  <si>
    <t>Téc.de nível intermédio, das áreas financ., admin. e dos negócios</t>
  </si>
  <si>
    <t>Técnicos de nível interm. dos serv. jurídicos, sociais, desp., culturais e sim.</t>
  </si>
  <si>
    <t xml:space="preserve">Técnicos das tecnologias de informação e comunicação </t>
  </si>
  <si>
    <t>Pessoal administrativo</t>
  </si>
  <si>
    <t xml:space="preserve">Emp. escritório, secretários em geral e operadores de proc. de dados </t>
  </si>
  <si>
    <t xml:space="preserve">Pessoal de apoio direto a clientes </t>
  </si>
  <si>
    <t>Oper. de dados, de contab., estatística, de serv. financ. e relac. com o registo</t>
  </si>
  <si>
    <t>Outro pessoal de apoio de tipo adm.</t>
  </si>
  <si>
    <t>Trab.dos serv.pessoais, de prot.e segur.e vendedores</t>
  </si>
  <si>
    <t>Trabalhadores dos serviços pessoais</t>
  </si>
  <si>
    <t>Vendedores</t>
  </si>
  <si>
    <t>Trab.dos cuidados pessoais e similares</t>
  </si>
  <si>
    <t>Pessoal dos serv.de proteção e seg.</t>
  </si>
  <si>
    <t>Agric.e trab.qualif.da agric.,da pesca e da floresta</t>
  </si>
  <si>
    <t>Agricult.e trab.qualif.da agricult.e prod.animal, orient.para o mercado</t>
  </si>
  <si>
    <t>Trab. qualificados da floresta, pesca e caça, orientados para o mercado</t>
  </si>
  <si>
    <t>Trab.qualif.da ind.,constr.e artific.</t>
  </si>
  <si>
    <t xml:space="preserve">Trab. qualificados da construção e sim., exceto eletricista </t>
  </si>
  <si>
    <t>Trab. qualificados da metalurgia, metalomecânica e similares</t>
  </si>
  <si>
    <t>Trab. qualif.da impressão, fabrico instr. precisão, joalheiros, artesãos e sim.</t>
  </si>
  <si>
    <t>Trab. qualificados eletricidade e eletrónica</t>
  </si>
  <si>
    <t xml:space="preserve">Trab. da transf. alimentos, madeira, vestuário e outras ind. e artesanato </t>
  </si>
  <si>
    <t>Oper.de inst.e máq.e trab.mont.</t>
  </si>
  <si>
    <t>Operadores de instal.fixas e máq.</t>
  </si>
  <si>
    <t>Trabalhadores da montagem</t>
  </si>
  <si>
    <t>Condut.de veículos e oper.equip.móveis</t>
  </si>
  <si>
    <t>Trabalhadores não qualificados</t>
  </si>
  <si>
    <t>Trabalhadores de limpeza</t>
  </si>
  <si>
    <t xml:space="preserve">Trab.n/qualif.agricult., prod.animal, pesca e floresta </t>
  </si>
  <si>
    <t>Trab.n/qualif. da indúst.ext., construç.,indúst.transf.e transp.</t>
  </si>
  <si>
    <t>Assistentes na prep.de refeições</t>
  </si>
  <si>
    <t>Vend.ambulante. (exceto de alim.) e prest.de serviços na rua</t>
  </si>
  <si>
    <t>Trab.dos resíd.de outros serv.element.</t>
  </si>
  <si>
    <t>Trabalhadores sem profissão atribuida</t>
  </si>
  <si>
    <r>
      <t>Quadro 20 - Trabalhadores por conta de outrem ao serviço nos estabelecimentos abrangidos e não abrangidos por Instrumentos de Regulamentação Coletiva de Trabalho</t>
    </r>
    <r>
      <rPr>
        <b/>
        <vertAlign val="superscript"/>
        <sz val="9"/>
        <rFont val="Arial"/>
        <family val="2"/>
      </rPr>
      <t>(1)</t>
    </r>
    <r>
      <rPr>
        <b/>
        <sz val="9"/>
        <rFont val="Arial"/>
        <family val="2"/>
      </rPr>
      <t xml:space="preserve"> (IRCT)</t>
    </r>
  </si>
  <si>
    <t>&gt;RMMG e &lt;= 999,99 €</t>
  </si>
  <si>
    <r>
      <t xml:space="preserve">Quadro 21 - Trabalhadores por conta de outrem </t>
    </r>
    <r>
      <rPr>
        <b/>
        <vertAlign val="superscript"/>
        <sz val="9"/>
        <rFont val="Arial"/>
        <family val="2"/>
      </rPr>
      <t xml:space="preserve">(1) </t>
    </r>
    <r>
      <rPr>
        <b/>
        <sz val="9"/>
        <rFont val="Arial"/>
        <family val="2"/>
      </rPr>
      <t xml:space="preserve">ao serviço nos estabelecimentos por escalão de remuneração mensal </t>
    </r>
    <r>
      <rPr>
        <b/>
        <u/>
        <sz val="9"/>
        <rFont val="Arial"/>
        <family val="2"/>
      </rPr>
      <t>base</t>
    </r>
    <r>
      <rPr>
        <b/>
        <sz val="9"/>
        <rFont val="Arial"/>
        <family val="2"/>
      </rPr>
      <t xml:space="preserve">
</t>
    </r>
  </si>
  <si>
    <r>
      <t xml:space="preserve">Quadro 22 - Remuneração média mensal </t>
    </r>
    <r>
      <rPr>
        <b/>
        <u/>
        <sz val="9"/>
        <rFont val="Arial"/>
        <family val="2"/>
      </rPr>
      <t>base</t>
    </r>
    <r>
      <rPr>
        <b/>
        <vertAlign val="superscript"/>
        <sz val="9"/>
        <rFont val="Arial"/>
        <family val="2"/>
      </rPr>
      <t>(1)</t>
    </r>
    <r>
      <rPr>
        <b/>
        <sz val="9"/>
        <rFont val="Arial"/>
        <family val="2"/>
      </rPr>
      <t xml:space="preserve"> por atividade económica do estabelecimento</t>
    </r>
  </si>
  <si>
    <r>
      <t>Quadro 23- Remuneração média mensal</t>
    </r>
    <r>
      <rPr>
        <b/>
        <u/>
        <sz val="9"/>
        <rFont val="Arial"/>
        <family val="2"/>
      </rPr>
      <t xml:space="preserve"> base</t>
    </r>
    <r>
      <rPr>
        <b/>
        <vertAlign val="superscript"/>
        <sz val="9"/>
        <rFont val="Arial"/>
        <family val="2"/>
      </rPr>
      <t>(1)</t>
    </r>
    <r>
      <rPr>
        <b/>
        <sz val="9"/>
        <rFont val="Arial"/>
        <family val="2"/>
      </rPr>
      <t xml:space="preserve"> por dimensão do estabelecimento e sexo</t>
    </r>
  </si>
  <si>
    <r>
      <t xml:space="preserve">Quadro 24 - Remuneração média mensal </t>
    </r>
    <r>
      <rPr>
        <b/>
        <u/>
        <sz val="9"/>
        <rFont val="Arial"/>
        <family val="2"/>
      </rPr>
      <t>base</t>
    </r>
    <r>
      <rPr>
        <b/>
        <vertAlign val="superscript"/>
        <sz val="9"/>
        <rFont val="Arial"/>
        <family val="2"/>
      </rPr>
      <t>(1)</t>
    </r>
    <r>
      <rPr>
        <b/>
        <sz val="9"/>
        <rFont val="Arial"/>
        <family val="2"/>
      </rPr>
      <t xml:space="preserve"> por distrito do estabelecimento</t>
    </r>
  </si>
  <si>
    <t>Quadro 25 - Remuneração média mensal base por Região NUTS II e Sub Região NUTS III (2024) do estabelecimento</t>
  </si>
  <si>
    <r>
      <t xml:space="preserve">Quadro 26 - Remuneração média mensal </t>
    </r>
    <r>
      <rPr>
        <b/>
        <u/>
        <sz val="9"/>
        <rFont val="Arial"/>
        <family val="2"/>
      </rPr>
      <t>base</t>
    </r>
    <r>
      <rPr>
        <b/>
        <vertAlign val="superscript"/>
        <sz val="9"/>
        <rFont val="Arial"/>
        <family val="2"/>
      </rPr>
      <t>(1)</t>
    </r>
    <r>
      <rPr>
        <b/>
        <sz val="9"/>
        <rFont val="Arial"/>
        <family val="2"/>
      </rPr>
      <t xml:space="preserve"> por grupo etário e sexo</t>
    </r>
  </si>
  <si>
    <t>Quadro 26 - Remuneração média mensal base por grupo etário e sexo</t>
  </si>
  <si>
    <r>
      <t xml:space="preserve">Quadro 27 - Remuneração média mensal </t>
    </r>
    <r>
      <rPr>
        <b/>
        <u/>
        <sz val="9"/>
        <rFont val="Arial"/>
        <family val="2"/>
      </rPr>
      <t>base</t>
    </r>
    <r>
      <rPr>
        <b/>
        <vertAlign val="superscript"/>
        <sz val="9"/>
        <rFont val="Arial"/>
        <family val="2"/>
      </rPr>
      <t>(1)</t>
    </r>
    <r>
      <rPr>
        <b/>
        <sz val="9"/>
        <rFont val="Arial"/>
        <family val="2"/>
      </rPr>
      <t xml:space="preserve"> por nível de qualificação e sexo</t>
    </r>
  </si>
  <si>
    <t>Quadro 27 - Remuneração média mensal base por nível de qualificação e sexo</t>
  </si>
  <si>
    <r>
      <t xml:space="preserve">Quadro 28 - Remuneração média mensal </t>
    </r>
    <r>
      <rPr>
        <b/>
        <u/>
        <sz val="9"/>
        <rFont val="Arial"/>
        <family val="2"/>
      </rPr>
      <t>base</t>
    </r>
    <r>
      <rPr>
        <b/>
        <vertAlign val="superscript"/>
        <sz val="9"/>
        <rFont val="Arial"/>
        <family val="2"/>
      </rPr>
      <t>(1)</t>
    </r>
    <r>
      <rPr>
        <b/>
        <sz val="9"/>
        <rFont val="Arial"/>
        <family val="2"/>
      </rPr>
      <t xml:space="preserve"> por profissão</t>
    </r>
  </si>
  <si>
    <t>Profissões (CPP/2010)</t>
  </si>
  <si>
    <r>
      <t>Quadro 29 - Remuneração base horária média</t>
    </r>
    <r>
      <rPr>
        <b/>
        <vertAlign val="superscript"/>
        <sz val="9"/>
        <rFont val="Arial"/>
        <family val="2"/>
      </rPr>
      <t>(1)</t>
    </r>
    <r>
      <rPr>
        <b/>
        <sz val="9"/>
        <rFont val="Arial"/>
        <family val="2"/>
      </rPr>
      <t xml:space="preserve"> por profissão</t>
    </r>
  </si>
  <si>
    <r>
      <t xml:space="preserve">(1) </t>
    </r>
    <r>
      <rPr>
        <sz val="8"/>
        <rFont val="Arial"/>
        <family val="2"/>
      </rPr>
      <t>dos trabalhadores por conta de outrem a tempo completo e incompleto.</t>
    </r>
  </si>
  <si>
    <t>Quadro 28 - Remuneração média mensal base por profissão</t>
  </si>
  <si>
    <t>Quadro 29 - Remuneração base horária média por profissão</t>
  </si>
  <si>
    <r>
      <t xml:space="preserve">Quadro 30 - Remuneração média mensal </t>
    </r>
    <r>
      <rPr>
        <b/>
        <u/>
        <sz val="9"/>
        <rFont val="Arial"/>
        <family val="2"/>
      </rPr>
      <t xml:space="preserve">base </t>
    </r>
    <r>
      <rPr>
        <b/>
        <vertAlign val="superscript"/>
        <sz val="9"/>
        <rFont val="Arial"/>
        <family val="2"/>
      </rPr>
      <t>(1)</t>
    </r>
    <r>
      <rPr>
        <b/>
        <sz val="9"/>
        <rFont val="Arial"/>
        <family val="2"/>
      </rPr>
      <t xml:space="preserve"> dos Trabalhadores por Conta de Outrem abrangidos e não abrangidos por Instrumento de Regulamentação Coletiva de Trabalho </t>
    </r>
    <r>
      <rPr>
        <b/>
        <vertAlign val="superscript"/>
        <sz val="9"/>
        <rFont val="Arial"/>
        <family val="2"/>
      </rPr>
      <t>(2)</t>
    </r>
    <r>
      <rPr>
        <b/>
        <sz val="9"/>
        <rFont val="Arial"/>
        <family val="2"/>
      </rPr>
      <t xml:space="preserve"> (IRCT)</t>
    </r>
  </si>
  <si>
    <t>Quadro 31 - Trabalhadores por conta de outrem ao serviço nos estabelecimentos por escalão de remuneração mensal ganho</t>
  </si>
  <si>
    <t>Quadro 38 - Remuneração média mensal ganho por nível de qualificação e sexo</t>
  </si>
  <si>
    <t>Quadro 39 - Remuneração média mensal ganho por profissão</t>
  </si>
  <si>
    <t>Quadro 40 - Indicadores de remuneração base e ganho e respetivos trabalhadores por conta de outrem (TCO) por nível de habilitação</t>
  </si>
  <si>
    <t>Quadro 14 - Trabalhadores por conta de outrem ao serviço nos estabelecimentos por dimensão e sexo (TCO Rem - a tempo completo com remuneração completa)</t>
  </si>
  <si>
    <t>Quadro 17a - Trabalhadores por conta de outrem ao serviço nos estabelecimentos por grupo etário e sexo (TCO Rem - a tempo completo com remuneração completa)</t>
  </si>
  <si>
    <t xml:space="preserve">) e era a localização de </t>
  </si>
  <si>
    <t xml:space="preserve">) e tinham </t>
  </si>
  <si>
    <t xml:space="preserve">) e de </t>
  </si>
  <si>
    <t xml:space="preserve">Igual à RMMG e &lt; 1.000 €:  </t>
  </si>
  <si>
    <t xml:space="preserve">Entre RMMG e &lt; 1.000 €: </t>
  </si>
  <si>
    <t xml:space="preserve">Igual à RMMG e &lt; 1.000 €: </t>
  </si>
  <si>
    <t>Profissão</t>
  </si>
  <si>
    <t>Q19</t>
  </si>
  <si>
    <t>Quadro 9 - Pessoas ao serviço nos estabelecimentos por atividade económica</t>
  </si>
  <si>
    <t>Quadro 37 - Remuneração média mensal ganho por grupo etário e sexo</t>
  </si>
  <si>
    <t>Quadro 21 - Trabalhadores por conta de outrem ao serviço nos estabelecimentos por escalão de remuneração mensal base</t>
  </si>
  <si>
    <t>Quadro 20 - Trabalhadores por conta de outrem ao serviço nos estabelecimentos abrangidos e não abrangidos por Instrumentos de Regulamentação Coletiva de Trabalho(1) (IRCT)</t>
  </si>
  <si>
    <t>Quadro 30 - Remuneração média mensal base (1) dos Trabalhadores por Conta de Outrem abrangidos e não abrangidos por Instrumento de Regulamentação Coletiva de Trabalho (2) (IRCT)</t>
  </si>
  <si>
    <t>Quadro 41 - Remuneração média mensal ganho(1) dos Trabalhadores por Conta de Outrem abrangidos e não abrangidos por Instrumento de Regulamentação Coletiva de Trabalho(2) (IRCT)</t>
  </si>
  <si>
    <t>Representantes do poder legislativo e de órgãos executivos, dirigentes, directores e gestores executivos</t>
  </si>
  <si>
    <t>Especialistas das actividades intelectuais e científicas</t>
  </si>
  <si>
    <t>Técnicos e profissões de nível intermédio</t>
  </si>
  <si>
    <t>Trabalhadores dos serviços pessoais, de protecção e segurança e vendedores</t>
  </si>
  <si>
    <t>Agricultores e trabalhadores qualificados da agricultura, da pesca e da floresta</t>
  </si>
  <si>
    <t>Trabalhadores qualificados da indústria, construção e artífices</t>
  </si>
  <si>
    <t>Operadores de instalações e máquinas e trabalhadores da montagem</t>
  </si>
  <si>
    <t xml:space="preserve">Trabalhadores não qualificados </t>
  </si>
  <si>
    <t>Q28</t>
  </si>
  <si>
    <t>Mensal</t>
  </si>
  <si>
    <t>horária</t>
  </si>
  <si>
    <t>Q29</t>
  </si>
  <si>
    <t>Horária</t>
  </si>
  <si>
    <t>)</t>
  </si>
  <si>
    <t>Análise TCO:</t>
  </si>
  <si>
    <t>Base/Ganho</t>
  </si>
  <si>
    <t>TCO 1º maior</t>
  </si>
  <si>
    <t>TCO 2º maior</t>
  </si>
  <si>
    <t>Base Maior</t>
  </si>
  <si>
    <t>Base Menor</t>
  </si>
  <si>
    <t>Ganho Menor</t>
  </si>
  <si>
    <t>Ganho maior</t>
  </si>
  <si>
    <t xml:space="preserve"> - Continente:</t>
  </si>
  <si>
    <t xml:space="preserve"> do Ganho, entre </t>
  </si>
  <si>
    <t xml:space="preserve">Ganho médio: </t>
  </si>
  <si>
    <t xml:space="preserve">Entre </t>
  </si>
  <si>
    <t>Análise remunerações mensais:</t>
  </si>
  <si>
    <t xml:space="preserve"> nas mesmas profissões, respetivamente.</t>
  </si>
  <si>
    <t xml:space="preserve"> dos TCO eram </t>
  </si>
  <si>
    <t xml:space="preserve">Base média: </t>
  </si>
  <si>
    <t>Ver todos os anos, caso seja FALSO, adaptar a análise</t>
  </si>
  <si>
    <t>Análise remuneração base horária:</t>
  </si>
  <si>
    <t xml:space="preserve">Base horária média: </t>
  </si>
  <si>
    <t>Base horária menor</t>
  </si>
  <si>
    <t>Base horária maior</t>
  </si>
  <si>
    <t xml:space="preserve"> a variar entre </t>
  </si>
  <si>
    <r>
      <rPr>
        <b/>
        <sz val="9"/>
        <color rgb="FF415263"/>
        <rFont val="Arial"/>
        <family val="2"/>
      </rPr>
      <t>Empresa</t>
    </r>
    <r>
      <rPr>
        <sz val="9"/>
        <color rgb="FF415263"/>
        <rFont val="Arial"/>
        <family val="2"/>
      </rPr>
      <t xml:space="preserve"> - unidade organizacional de produção de bens e/ou serviços, usufruindo de uma certa autonomia de decisão, nomeadamente, quanto à afetação dos seus recursos correntes. Uma empresa exerce uma ou mais atividades em um ou vários locais. 
A informação recolhida das empresas passa pela descrição de algumas características da empresa sede, nomeadamente: 
    - Identificação (nome e identificação fiscal);
    - Localização da empresa e contactos (endereço postal completo da sede da empresa, distrito, concelho, 	freguesia, telefone, fax e correio eletrónico);
    - Associação patronal em que se encontra inscrita;
    - Atividade principal da empresa a cinco dígitos segundo a CAE em vigor;
    - Natureza jurídica;
    - Ano de constituição da empresa;
    - Número de pessoas ao serviço da empresa na última semana de Outubro;
    - Capital Social;
    - Volume de negócios referente ao exercício do ano anterior.</t>
    </r>
  </si>
  <si>
    <r>
      <rPr>
        <b/>
        <sz val="9"/>
        <color rgb="FF415263"/>
        <rFont val="Arial"/>
        <family val="2"/>
      </rPr>
      <t>Atividade Principal da Empresa</t>
    </r>
    <r>
      <rPr>
        <sz val="9"/>
        <color rgb="FF415263"/>
        <rFont val="Arial"/>
        <family val="2"/>
      </rPr>
      <t xml:space="preserve"> - atividade de acordo com a Classificação Portuguesa das Atividades Económicas em vigor. É considerada a atividade de maior importância, no conjunto das atividades exercidas pela empresa, medida pelo valor a preços de venda dos produtos vendidos ou fabricados ou dos serviços prestados. Na impossibilidade da sua determinação por este critério, considera-se como principal a que ocupa, com carácter de permanência, o maior número de pessoas ao serviço.</t>
    </r>
  </si>
  <si>
    <r>
      <rPr>
        <b/>
        <sz val="9"/>
        <color rgb="FF415263"/>
        <rFont val="Arial"/>
        <family val="2"/>
      </rPr>
      <t>Instrumento de regulamentação coletiva de trabalho (IRCT)</t>
    </r>
    <r>
      <rPr>
        <sz val="9"/>
        <color rgb="FF415263"/>
        <rFont val="Arial"/>
        <family val="2"/>
      </rPr>
      <t xml:space="preserve">: conjunto de normas reguladoras das relações de trabalho de natureza convencional, arbitral ou regulamentar. Pode ser: </t>
    </r>
  </si>
  <si>
    <r>
      <rPr>
        <b/>
        <sz val="9"/>
        <color rgb="FF415263"/>
        <rFont val="Arial"/>
        <family val="2"/>
      </rPr>
      <t>Contrato coletivo de trabalho (CCT)</t>
    </r>
    <r>
      <rPr>
        <sz val="9"/>
        <color rgb="FF415263"/>
        <rFont val="Arial"/>
        <family val="2"/>
      </rPr>
      <t>: conjunto de normas reguladoras das relações de trabalho resultante de acordo entre uma ou mais associações de empregadores e uma ou mais associações sindicais;</t>
    </r>
  </si>
  <si>
    <r>
      <rPr>
        <b/>
        <sz val="9"/>
        <color rgb="FF415263"/>
        <rFont val="Arial"/>
        <family val="2"/>
      </rPr>
      <t>Acordo coletivo de trabalho (ACT)</t>
    </r>
    <r>
      <rPr>
        <sz val="9"/>
        <color rgb="FF415263"/>
        <rFont val="Arial"/>
        <family val="2"/>
      </rPr>
      <t>: conjunto de normas reguladoras das relações de trabalho resultante de acordo entre uma pluralidade de empregadores para diferentes empresas e uma ou mais associações sindicais;</t>
    </r>
  </si>
  <si>
    <r>
      <rPr>
        <b/>
        <sz val="9"/>
        <color rgb="FF415263"/>
        <rFont val="Arial"/>
        <family val="2"/>
      </rPr>
      <t>Acordo de empresa (AE):</t>
    </r>
    <r>
      <rPr>
        <sz val="9"/>
        <color rgb="FF415263"/>
        <rFont val="Arial"/>
        <family val="2"/>
      </rPr>
      <t xml:space="preserve"> conjunto de normas reguladoras das relações de trabalho resultante de acordo entre um empregador para uma empresa ou estabelecimento e uma ou mais associações sindicais;</t>
    </r>
  </si>
  <si>
    <r>
      <rPr>
        <b/>
        <sz val="9"/>
        <color rgb="FF415263"/>
        <rFont val="Arial"/>
        <family val="2"/>
      </rPr>
      <t>Portaria de condições de trabalho (PCT)</t>
    </r>
    <r>
      <rPr>
        <sz val="9"/>
        <color rgb="FF415263"/>
        <rFont val="Arial"/>
        <family val="2"/>
      </rPr>
      <t xml:space="preserve"> - portaria que contém as normas reguladoras das condições de trabalho no seu âmbito de aplicação. </t>
    </r>
  </si>
  <si>
    <r>
      <rPr>
        <b/>
        <sz val="9"/>
        <color rgb="FF415263"/>
        <rFont val="Arial"/>
        <family val="2"/>
      </rPr>
      <t>Trabalhador por conta de outrem (TCO)</t>
    </r>
    <r>
      <rPr>
        <sz val="9"/>
        <color rgb="FF415263"/>
        <rFont val="Arial"/>
        <family val="2"/>
      </rPr>
      <t xml:space="preserve"> - indivíduo que exerce uma atividade sob a autoridade e direção de outrem, nos termos de um contrato de trabalho, sujeito ou não a uma forma escrita e que lhe confere o direito a uma remuneração, a qual não depende dos resultados da unidade económica para a qual trabalha. </t>
    </r>
  </si>
  <si>
    <r>
      <rPr>
        <b/>
        <sz val="9"/>
        <color rgb="FF415263"/>
        <rFont val="Arial"/>
        <family val="2"/>
      </rPr>
      <t>Remuneração Base</t>
    </r>
    <r>
      <rPr>
        <sz val="9"/>
        <color rgb="FF415263"/>
        <rFont val="Arial"/>
        <family val="2"/>
      </rPr>
      <t xml:space="preserve"> - montante ilíquido (antes da dedução de quaisquer descontos) em dinheiro e/ou géneros pago aos trabalhadores, com carácter regular mensal, referente ao mês de outubro e correspondente às horas normais de trabalho.</t>
    </r>
  </si>
  <si>
    <r>
      <rPr>
        <b/>
        <sz val="9"/>
        <color rgb="FF415263"/>
        <rFont val="Arial"/>
        <family val="2"/>
      </rPr>
      <t>Remuneração Base horária média</t>
    </r>
    <r>
      <rPr>
        <sz val="9"/>
        <color rgb="FF415263"/>
        <rFont val="Arial"/>
        <family val="2"/>
      </rPr>
      <t xml:space="preserve"> - corresponde ao quociente entre a remuneração base mensal e o número de horas mensais remuneradas normais dos TCO em estabelecimentos do Continente.</t>
    </r>
  </si>
  <si>
    <r>
      <rPr>
        <b/>
        <sz val="9"/>
        <color rgb="FF415263"/>
        <rFont val="Arial"/>
        <family val="2"/>
      </rPr>
      <t>Remuneração Ganho</t>
    </r>
    <r>
      <rPr>
        <sz val="9"/>
        <color rgb="FF415263"/>
        <rFont val="Arial"/>
        <family val="2"/>
      </rPr>
      <t xml:space="preserve"> - montante ilíquido em dinheiro e/ou géneros, pago ao trabalhador com carácter regular em relação ao período de referência por tempo trabalhado ou trabalho fornecido no período normal e extraordinário. Inclui, ainda, o pagamento de horas remuneradas mas não efetuadas (férias, feriados, e outras ausências pagas). Remuneração Ganho = Remuneração Base + Subsídio de refeição + subsídio por turnos + Outros Prémios e Subsídios Regulares + Remuneração de horas suplementares efetuadas em outubro.</t>
    </r>
  </si>
  <si>
    <r>
      <rPr>
        <b/>
        <sz val="9"/>
        <color rgb="FF415263"/>
        <rFont val="Arial"/>
        <family val="2"/>
      </rPr>
      <t>Prémios e subsídios regulares</t>
    </r>
    <r>
      <rPr>
        <sz val="9"/>
        <color rgb="FF415263"/>
        <rFont val="Arial"/>
        <family val="2"/>
      </rPr>
      <t xml:space="preserve"> -  montante ilíquido pago às pessoas ao serviço, com carácter regular mensal, por subsídio de alimentação, de função, de alojamento ou transporte, diuturnidades ou prémios de antiguidade, de produtividade, de assiduidade, subsídios por trabalhos penosos, perigosos ou sujos, subsídios por trabalho de turnos e noturnos. Exclui os montantes relativos a retroativos, indemnizações, subsídios de Natal ou férias.</t>
    </r>
  </si>
  <si>
    <r>
      <rPr>
        <b/>
        <sz val="9"/>
        <color rgb="FF415263"/>
        <rFont val="Arial"/>
        <family val="2"/>
      </rPr>
      <t>Âmbito Regional</t>
    </r>
    <r>
      <rPr>
        <sz val="9"/>
        <color rgb="FF415263"/>
        <rFont val="Arial"/>
        <family val="2"/>
      </rPr>
      <t xml:space="preserve"> – os Quadros de Pessoal cobrem todo o território nacional; os apuramentos podem ser efetuados para o País, Continente, Regiões (NUTS), Distritos, Concelhos e Freguesia (a partir de 2003). A nível regional, nomeadamente ao nível do Concelho e da Freguesia, deve ter-se em conta:</t>
    </r>
  </si>
  <si>
    <r>
      <rPr>
        <sz val="9"/>
        <color rgb="FF415263"/>
        <rFont val="Calibri"/>
        <family val="2"/>
      </rPr>
      <t xml:space="preserve">- </t>
    </r>
    <r>
      <rPr>
        <sz val="9"/>
        <color rgb="FF415263"/>
        <rFont val="Arial"/>
        <family val="2"/>
      </rPr>
      <t xml:space="preserve">Empresas: são contabilizadas as empresas que possuem sede na região em causa;
</t>
    </r>
  </si>
  <si>
    <t>- Estabelecimentos: são contabilizados os estabelecimentos presentes na região, independentemente da localização da sede da empresa a que pertencem.</t>
  </si>
  <si>
    <r>
      <rPr>
        <b/>
        <sz val="9"/>
        <color rgb="FF415263"/>
        <rFont val="Arial"/>
        <family val="2"/>
      </rPr>
      <t>Classificação Portuguesa das Atividades Económicas (CAE)</t>
    </r>
    <r>
      <rPr>
        <sz val="9"/>
        <color rgb="FF415263"/>
        <rFont val="Arial"/>
        <family val="2"/>
      </rPr>
      <t xml:space="preserve"> – a informação dos Quadros de Pessoal é classificada de acordo com a CAE, sendo possível fornecer informação aos diversos níveis de desagregação, salvaguardando os aspetos relacionados com a confidencialidade da informação estatística. Pode ser fornecida informação da atividade económica das empresas e/ou dos estabelecimentos.</t>
    </r>
  </si>
  <si>
    <r>
      <rPr>
        <b/>
        <sz val="9"/>
        <color rgb="FF415263"/>
        <rFont val="Arial"/>
        <family val="2"/>
      </rPr>
      <t xml:space="preserve">Classificação Portuguesa das Profissões (CPP) - </t>
    </r>
    <r>
      <rPr>
        <sz val="9"/>
        <color rgb="FF415263"/>
        <rFont val="Arial"/>
        <family val="2"/>
      </rPr>
      <t xml:space="preserve">no âmbito dos Quadros de Pessoal a informação relativa à profissão é classificada de acordo com a CPP, publicada pelo Instituto Nacional de Estatística (INE), que organiza e codifica as profissões em Portugal com base nas atividades exercidas e competências requeridas. Estruturada em quatro níveis hierárquicos, está alinhada com a Classificação Internacional Tipo de Profissões da OIT, facilitando análises estatísticas e políticas públicas no mercado de trabalho. </t>
    </r>
  </si>
  <si>
    <t>Ind. transf.</t>
  </si>
  <si>
    <t>Com. por grosso e ret. (…)</t>
  </si>
  <si>
    <t xml:space="preserve">e </t>
  </si>
  <si>
    <t>Ativ. Admin. e dos serv. apoio</t>
  </si>
  <si>
    <t xml:space="preserve">, e </t>
  </si>
  <si>
    <t>p.p</t>
  </si>
  <si>
    <t>ou seja</t>
  </si>
  <si>
    <t>variação 2023/2022</t>
  </si>
  <si>
    <t>variação 2023/2013</t>
  </si>
  <si>
    <t xml:space="preserve">variação de </t>
  </si>
  <si>
    <t xml:space="preserve"> ou seja</t>
  </si>
  <si>
    <t xml:space="preserve"> TCO (</t>
  </si>
  <si>
    <t xml:space="preserve"> euros</t>
  </si>
  <si>
    <t xml:space="preserve"> euros a remuneração média mensal ganho (variação de </t>
  </si>
  <si>
    <t xml:space="preserve"> empresas (variação de </t>
  </si>
  <si>
    <t xml:space="preserve"> estabelecimentos (variação de </t>
  </si>
  <si>
    <t xml:space="preserve"> pessoas (variação de </t>
  </si>
  <si>
    <t xml:space="preserve"> TCO (variação de </t>
  </si>
  <si>
    <t xml:space="preserve"> euros (variação de </t>
  </si>
  <si>
    <t>Anos iguais</t>
  </si>
  <si>
    <t>Anos diferentes</t>
  </si>
  <si>
    <t>2013, 2014, 2016, 2018, 2019, 2020, 2021, 2022</t>
  </si>
  <si>
    <t>2015, 2017, 2023</t>
  </si>
  <si>
    <t>ATENÇÃO - Análise muda de acordo com estes anos</t>
  </si>
  <si>
    <t>Anos diferentes:</t>
  </si>
  <si>
    <t xml:space="preserve">Anos iguais </t>
  </si>
  <si>
    <t xml:space="preserve">Base: </t>
  </si>
  <si>
    <t xml:space="preserve">Ganho: </t>
  </si>
  <si>
    <t>"</t>
  </si>
  <si>
    <t>1-9 pessoas</t>
  </si>
  <si>
    <t>Peq</t>
  </si>
  <si>
    <t>10-49 pessoas</t>
  </si>
  <si>
    <t>50-249 pessoas</t>
  </si>
  <si>
    <t>250+ pessoas</t>
  </si>
  <si>
    <t>1-49 pessoas</t>
  </si>
  <si>
    <t>NUTS 2024</t>
  </si>
  <si>
    <r>
      <rPr>
        <b/>
        <u/>
        <sz val="10"/>
        <rFont val="Calibri"/>
        <family val="2"/>
        <scheme val="minor"/>
      </rPr>
      <t>Alguns conceitos</t>
    </r>
    <r>
      <rPr>
        <b/>
        <sz val="10"/>
        <rFont val="Calibri"/>
        <family val="2"/>
        <scheme val="minor"/>
      </rPr>
      <t xml:space="preserve">
Empresa</t>
    </r>
    <r>
      <rPr>
        <sz val="10"/>
        <rFont val="Calibri"/>
        <family val="2"/>
        <scheme val="minor"/>
      </rPr>
      <t xml:space="preserve"> - unidade organizacional de produção de bens e/ou serviços, usufruindo de uma certa autonomia de decisão, nomeadamente, quanto à afetação dos seus recursos correntes. Uma empresa exerce uma ou mais atividades em um ou vários locais. A informação recolhida das empresas passa pela descrição de algumas características da empresa sede, nomeadamente a sua localização e n.º de pessoas ao serviço.
</t>
    </r>
    <r>
      <rPr>
        <b/>
        <sz val="10"/>
        <rFont val="Calibri"/>
        <family val="2"/>
        <scheme val="minor"/>
      </rPr>
      <t>Atividade Principal da Empresa</t>
    </r>
    <r>
      <rPr>
        <sz val="10"/>
        <rFont val="Calibri"/>
        <family val="2"/>
        <scheme val="minor"/>
      </rPr>
      <t xml:space="preserve"> - atividade de acordo com a Classificação Portuguesa das Atividades Económicas (CAE) em vigor. É considerada a atividade de maior importância, no conjunto das atividades exercidas pela empresa, medida pelo valor a preços de venda dos produtos vendidos ou fabricados ou dos serviços prestados. Na impossibilidade da sua determinação por este critério, considera-se como principal a que ocupa, com carácter de permanência, o maior número de pessoas ao serviço.
</t>
    </r>
    <r>
      <rPr>
        <b/>
        <sz val="10"/>
        <rFont val="Calibri"/>
        <family val="2"/>
        <scheme val="minor"/>
      </rPr>
      <t>Estabelecimento</t>
    </r>
    <r>
      <rPr>
        <sz val="10"/>
        <rFont val="Calibri"/>
        <family val="2"/>
        <scheme val="minor"/>
      </rPr>
      <t xml:space="preserve"> - unidade económica que, sob um único regime de propriedade ou de controlo (quer dizer, sob a autoridade de uma só entidade jurídica), exerce, exclusiva ou principalmente, um só tipo de atividade económica, num só local. Unidade local ou estabelecimento corresponde a uma empresa ou parte de empresa situada num local topograficamente identificado. Nesse local, ou a partir dele exerce-se uma ou várias atividades económicas. A informação recolhida dos estabelecimentos, é fornecida à DGCP pela empresa sede e passa pela descrição de algumas características do estabelecimento, nomeadamente a sua localização e n.º de pessoas ao serviço.
</t>
    </r>
    <r>
      <rPr>
        <b/>
        <sz val="10"/>
        <rFont val="Calibri"/>
        <family val="2"/>
        <scheme val="minor"/>
      </rPr>
      <t>Instrumento de regulamentação coletiva de trabalho (IRCT)</t>
    </r>
    <r>
      <rPr>
        <sz val="10"/>
        <rFont val="Calibri"/>
        <family val="2"/>
        <scheme val="minor"/>
      </rPr>
      <t xml:space="preserve"> - conjunto de normas reguladoras das relações de trabalho de natureza convencional, arbitral ou regulamentar. Pode ser: Contrato coletivo de trabalho (CCT): conjunto de normas reguladoras das relações de trabalho resultante de acordo entre uma ou mais associações de empregadores e uma ou mais associações sindicais; Acordo coletivo de trabalho (ACT): conjunto de normas reguladoras das relações de trabalho resultante de acordo entre uma pluralidade de empregadores para diferentes empresas e uma ou mais associações sindicais; Acordo de empresa (AE): conjunto de normas reguladoras das relações de trabalho resultante de acordo entre um empregador para uma empresa ou estabelecimento e uma ou mais associações sindicais; Portaria de condições de trabalho (PCT) - portaria que contém as normas reguladoras das condições de trabalho no seu âmbito de aplicação. 
</t>
    </r>
    <r>
      <rPr>
        <b/>
        <sz val="10"/>
        <rFont val="Calibri"/>
        <family val="2"/>
        <scheme val="minor"/>
      </rPr>
      <t xml:space="preserve">Pessoas ao serviço </t>
    </r>
    <r>
      <rPr>
        <sz val="10"/>
        <rFont val="Calibri"/>
        <family val="2"/>
        <scheme val="minor"/>
      </rPr>
      <t xml:space="preserve">– número de pessoas ao serviço, independentemente do tipo de vínculo que possuem. As pessoas ao serviço englobam para além dos trabalhadores por conta de outrem, os empregadores desde que exerçam funções na empresa, os trabalhadores familiares não remunerados e os membros ativos de cooperativa de produção. A informação das pessoas ao serviço é recolhida por estabelecimento, sendo fornecida ao GEP pela empresa sede, inclui dados sobre remunerações e passa pela descrição de algumas características, nomeadamente a data de nascimento, o sexo, o nível de qualificação e o nível de habilitação. 
</t>
    </r>
    <r>
      <rPr>
        <b/>
        <sz val="10"/>
        <rFont val="Calibri"/>
        <family val="2"/>
        <scheme val="minor"/>
      </rPr>
      <t>Trabalhador por conta de outrem (TCO)</t>
    </r>
    <r>
      <rPr>
        <sz val="10"/>
        <rFont val="Calibri"/>
        <family val="2"/>
        <scheme val="minor"/>
      </rPr>
      <t xml:space="preserve"> - indivíduo que exerce uma atividade sob a autoridade e direção de outrem, nos termos de um contrato de trabalho, sujeito ou não a uma forma escrita e que lhe confere o direito a uma remuneração, a qual não depende dos resultados da unidade económica para a qual trabalha. </t>
    </r>
  </si>
  <si>
    <r>
      <rPr>
        <b/>
        <sz val="10"/>
        <rFont val="Calibri"/>
        <family val="2"/>
        <scheme val="minor"/>
      </rPr>
      <t>Remuneração Base</t>
    </r>
    <r>
      <rPr>
        <sz val="10"/>
        <rFont val="Calibri"/>
        <family val="2"/>
        <scheme val="minor"/>
      </rPr>
      <t xml:space="preserve"> - montante ilíquido (antes da dedução de quaisquer descontos) em dinheiro e/ou géneros pago aos trabalhadores, com carácter regular mensal, referente ao mês de outubro e correspondente às horas normais de trabalho.
</t>
    </r>
    <r>
      <rPr>
        <b/>
        <sz val="10"/>
        <rFont val="Calibri"/>
        <family val="2"/>
        <scheme val="minor"/>
      </rPr>
      <t>Remuneração Base horária média</t>
    </r>
    <r>
      <rPr>
        <sz val="10"/>
        <rFont val="Calibri"/>
        <family val="2"/>
        <scheme val="minor"/>
      </rPr>
      <t xml:space="preserve"> - corresponde ao quociente entre a remuneração base mensal e o número de horas mensais remuneradas normais dos TCO em estabelecimentos do Continente.
</t>
    </r>
    <r>
      <rPr>
        <b/>
        <sz val="10"/>
        <rFont val="Calibri"/>
        <family val="2"/>
        <scheme val="minor"/>
      </rPr>
      <t>Remuneração Ganho</t>
    </r>
    <r>
      <rPr>
        <sz val="10"/>
        <rFont val="Calibri"/>
        <family val="2"/>
        <scheme val="minor"/>
      </rPr>
      <t xml:space="preserve"> - montante ilíquido em dinheiro e/ou géneros, pago ao trabalhador com carácter regular em relação ao período de referência por tempo trabalhado ou trabalho fornecido no período normal e extraordinário. Inclui, ainda, o pagamento de horas remuneradas mas não efetuadas (férias, feriados, e outras ausências pagas). Remuneração Ganho = Remuneração Base + Subsídio de refeição + subsídio por turnos + Outros Prémios e Subsídios Regulares + Remuneração de horas suplementares efetuadas em outubro.
</t>
    </r>
    <r>
      <rPr>
        <b/>
        <sz val="10"/>
        <rFont val="Calibri"/>
        <family val="2"/>
        <scheme val="minor"/>
      </rPr>
      <t>Prémios e subsídios regulares</t>
    </r>
    <r>
      <rPr>
        <sz val="10"/>
        <rFont val="Calibri"/>
        <family val="2"/>
        <scheme val="minor"/>
      </rPr>
      <t xml:space="preserve"> -  montante ilíquido pago às pessoas ao serviço, com carácter regular mensal, por subsídio de alimentação, de função, de alojamento ou transporte, diuturnidades ou prémios de antiguidade, de produtividade, de assiduidade, subsídios por trabalhos penosos, perigosos ou sujos, subsídios por trabalho de turnos e noturnos. Exclui os montantes relativos a retroativos, indemnizações, subsídios de Natal ou férias.
</t>
    </r>
    <r>
      <rPr>
        <b/>
        <sz val="10"/>
        <rFont val="Calibri"/>
        <family val="2"/>
        <scheme val="minor"/>
      </rPr>
      <t>Horas mensais remuneradas normais</t>
    </r>
    <r>
      <rPr>
        <sz val="10"/>
        <rFont val="Calibri"/>
        <family val="2"/>
        <scheme val="minor"/>
      </rPr>
      <t xml:space="preserve"> - correspondem às horas pelas quais o trabalhador recebeu uma remuneração. São equivalentes às horas efetivamente trabalhadas, mais as horas pagas e não trabalhadas, como férias anuais, os dias feriados pagos, as faltas por doença remuneradas e outras ausências que não conduzem a perda de remuneração. Não se incluem as horas suplementares.
</t>
    </r>
    <r>
      <rPr>
        <b/>
        <u/>
        <sz val="10"/>
        <rFont val="Calibri"/>
        <family val="2"/>
        <scheme val="minor"/>
      </rPr>
      <t>Nota:</t>
    </r>
    <r>
      <rPr>
        <b/>
        <sz val="10"/>
        <rFont val="Calibri"/>
        <family val="2"/>
        <scheme val="minor"/>
      </rPr>
      <t xml:space="preserve"> </t>
    </r>
    <r>
      <rPr>
        <sz val="10"/>
        <rFont val="Calibri"/>
        <family val="2"/>
        <scheme val="minor"/>
      </rPr>
      <t xml:space="preserve">As </t>
    </r>
    <r>
      <rPr>
        <b/>
        <sz val="10"/>
        <rFont val="Calibri"/>
        <family val="2"/>
        <scheme val="minor"/>
      </rPr>
      <t>remunerações médias</t>
    </r>
    <r>
      <rPr>
        <sz val="10"/>
        <rFont val="Calibri"/>
        <family val="2"/>
        <scheme val="minor"/>
      </rPr>
      <t xml:space="preserve"> mensais são calculadas para os</t>
    </r>
    <r>
      <rPr>
        <b/>
        <sz val="10"/>
        <rFont val="Calibri"/>
        <family val="2"/>
        <scheme val="minor"/>
      </rPr>
      <t xml:space="preserve"> TCO a tempo completo com remuneração completa</t>
    </r>
    <r>
      <rPr>
        <sz val="10"/>
        <rFont val="Calibri"/>
        <family val="2"/>
        <scheme val="minor"/>
      </rPr>
      <t>.</t>
    </r>
  </si>
  <si>
    <r>
      <rPr>
        <b/>
        <u/>
        <sz val="10"/>
        <rFont val="Calibri"/>
        <family val="2"/>
        <scheme val="minor"/>
      </rPr>
      <t>Nomenclaturas</t>
    </r>
    <r>
      <rPr>
        <sz val="10"/>
        <rFont val="Calibri"/>
        <family val="2"/>
        <scheme val="minor"/>
      </rPr>
      <t xml:space="preserve">
</t>
    </r>
    <r>
      <rPr>
        <b/>
        <sz val="10"/>
        <rFont val="Calibri"/>
        <family val="2"/>
        <scheme val="minor"/>
      </rPr>
      <t>Classificação Portuguesa das Atividades Económicas (CAE) Rev. 3</t>
    </r>
    <r>
      <rPr>
        <sz val="10"/>
        <rFont val="Calibri"/>
        <family val="2"/>
        <scheme val="minor"/>
      </rPr>
      <t xml:space="preserve"> - </t>
    </r>
    <r>
      <rPr>
        <b/>
        <sz val="10"/>
        <rFont val="Calibri"/>
        <family val="2"/>
        <scheme val="minor"/>
      </rPr>
      <t>Secção da Atividade Económica</t>
    </r>
    <r>
      <rPr>
        <sz val="10"/>
        <rFont val="Calibri"/>
        <family val="2"/>
        <scheme val="minor"/>
      </rPr>
      <t xml:space="preserve">: </t>
    </r>
    <r>
      <rPr>
        <b/>
        <sz val="10"/>
        <rFont val="Calibri"/>
        <family val="2"/>
        <scheme val="minor"/>
      </rPr>
      <t>A</t>
    </r>
    <r>
      <rPr>
        <sz val="10"/>
        <rFont val="Calibri"/>
        <family val="2"/>
        <scheme val="minor"/>
      </rPr>
      <t xml:space="preserve"> - Agricultura, produção animal, caça, floresta e pesca; </t>
    </r>
    <r>
      <rPr>
        <b/>
        <sz val="10"/>
        <rFont val="Calibri"/>
        <family val="2"/>
        <scheme val="minor"/>
      </rPr>
      <t>B</t>
    </r>
    <r>
      <rPr>
        <sz val="10"/>
        <rFont val="Calibri"/>
        <family val="2"/>
        <scheme val="minor"/>
      </rPr>
      <t xml:space="preserve"> - Indústrias extractivas; </t>
    </r>
    <r>
      <rPr>
        <b/>
        <sz val="10"/>
        <rFont val="Calibri"/>
        <family val="2"/>
        <scheme val="minor"/>
      </rPr>
      <t>C</t>
    </r>
    <r>
      <rPr>
        <sz val="10"/>
        <rFont val="Calibri"/>
        <family val="2"/>
        <scheme val="minor"/>
      </rPr>
      <t xml:space="preserve"> - Indústrias transformadoras; </t>
    </r>
    <r>
      <rPr>
        <b/>
        <sz val="10"/>
        <rFont val="Calibri"/>
        <family val="2"/>
        <scheme val="minor"/>
      </rPr>
      <t>D</t>
    </r>
    <r>
      <rPr>
        <sz val="10"/>
        <rFont val="Calibri"/>
        <family val="2"/>
        <scheme val="minor"/>
      </rPr>
      <t xml:space="preserve"> - Electricidade, gás, vapor, água quente e fria e ar frio; </t>
    </r>
    <r>
      <rPr>
        <b/>
        <sz val="10"/>
        <rFont val="Calibri"/>
        <family val="2"/>
        <scheme val="minor"/>
      </rPr>
      <t>E</t>
    </r>
    <r>
      <rPr>
        <sz val="10"/>
        <rFont val="Calibri"/>
        <family val="2"/>
        <scheme val="minor"/>
      </rPr>
      <t xml:space="preserve"> - Captação, tratamento e distribuição de água; saneamento, gestão de resíduos e despoluição; </t>
    </r>
    <r>
      <rPr>
        <b/>
        <sz val="10"/>
        <rFont val="Calibri"/>
        <family val="2"/>
        <scheme val="minor"/>
      </rPr>
      <t>F</t>
    </r>
    <r>
      <rPr>
        <sz val="10"/>
        <rFont val="Calibri"/>
        <family val="2"/>
        <scheme val="minor"/>
      </rPr>
      <t xml:space="preserve"> - Construção; </t>
    </r>
    <r>
      <rPr>
        <b/>
        <sz val="10"/>
        <rFont val="Calibri"/>
        <family val="2"/>
        <scheme val="minor"/>
      </rPr>
      <t>G</t>
    </r>
    <r>
      <rPr>
        <sz val="10"/>
        <rFont val="Calibri"/>
        <family val="2"/>
        <scheme val="minor"/>
      </rPr>
      <t xml:space="preserve"> - Comércio por grosso e a retalho; reparação de veículos automóveis e motociclos; </t>
    </r>
    <r>
      <rPr>
        <b/>
        <sz val="10"/>
        <rFont val="Calibri"/>
        <family val="2"/>
        <scheme val="minor"/>
      </rPr>
      <t>H</t>
    </r>
    <r>
      <rPr>
        <sz val="10"/>
        <rFont val="Calibri"/>
        <family val="2"/>
        <scheme val="minor"/>
      </rPr>
      <t xml:space="preserve"> - Transportes e armazenagem; </t>
    </r>
    <r>
      <rPr>
        <b/>
        <sz val="10"/>
        <rFont val="Calibri"/>
        <family val="2"/>
        <scheme val="minor"/>
      </rPr>
      <t>I</t>
    </r>
    <r>
      <rPr>
        <sz val="10"/>
        <rFont val="Calibri"/>
        <family val="2"/>
        <scheme val="minor"/>
      </rPr>
      <t xml:space="preserve"> - Alojamento, restauração e similares; </t>
    </r>
    <r>
      <rPr>
        <b/>
        <sz val="10"/>
        <rFont val="Calibri"/>
        <family val="2"/>
        <scheme val="minor"/>
      </rPr>
      <t>J</t>
    </r>
    <r>
      <rPr>
        <sz val="10"/>
        <rFont val="Calibri"/>
        <family val="2"/>
        <scheme val="minor"/>
      </rPr>
      <t xml:space="preserve"> - Actividades de informação e de comunicação ; </t>
    </r>
    <r>
      <rPr>
        <b/>
        <sz val="10"/>
        <rFont val="Calibri"/>
        <family val="2"/>
        <scheme val="minor"/>
      </rPr>
      <t>K</t>
    </r>
    <r>
      <rPr>
        <sz val="10"/>
        <rFont val="Calibri"/>
        <family val="2"/>
        <scheme val="minor"/>
      </rPr>
      <t xml:space="preserve"> - Actividades financeiras e de seguros; </t>
    </r>
    <r>
      <rPr>
        <b/>
        <sz val="10"/>
        <rFont val="Calibri"/>
        <family val="2"/>
        <scheme val="minor"/>
      </rPr>
      <t>L</t>
    </r>
    <r>
      <rPr>
        <sz val="10"/>
        <rFont val="Calibri"/>
        <family val="2"/>
        <scheme val="minor"/>
      </rPr>
      <t xml:space="preserve"> - Actividades imobiliárias; </t>
    </r>
    <r>
      <rPr>
        <b/>
        <sz val="10"/>
        <rFont val="Calibri"/>
        <family val="2"/>
        <scheme val="minor"/>
      </rPr>
      <t>M</t>
    </r>
    <r>
      <rPr>
        <sz val="10"/>
        <rFont val="Calibri"/>
        <family val="2"/>
        <scheme val="minor"/>
      </rPr>
      <t xml:space="preserve"> - Actividades de consultoria, científicas, técnicas e similares; </t>
    </r>
    <r>
      <rPr>
        <b/>
        <sz val="10"/>
        <rFont val="Calibri"/>
        <family val="2"/>
        <scheme val="minor"/>
      </rPr>
      <t>N</t>
    </r>
    <r>
      <rPr>
        <sz val="10"/>
        <rFont val="Calibri"/>
        <family val="2"/>
        <scheme val="minor"/>
      </rPr>
      <t xml:space="preserve"> - Actividades administrativas e dos serviços de apoio; </t>
    </r>
    <r>
      <rPr>
        <b/>
        <sz val="10"/>
        <rFont val="Calibri"/>
        <family val="2"/>
        <scheme val="minor"/>
      </rPr>
      <t>O</t>
    </r>
    <r>
      <rPr>
        <sz val="10"/>
        <rFont val="Calibri"/>
        <family val="2"/>
        <scheme val="minor"/>
      </rPr>
      <t xml:space="preserve"> - Administração Pública e Defesa; Segurança Social Obrigatória; </t>
    </r>
    <r>
      <rPr>
        <b/>
        <sz val="10"/>
        <rFont val="Calibri"/>
        <family val="2"/>
        <scheme val="minor"/>
      </rPr>
      <t>P</t>
    </r>
    <r>
      <rPr>
        <sz val="10"/>
        <rFont val="Calibri"/>
        <family val="2"/>
        <scheme val="minor"/>
      </rPr>
      <t xml:space="preserve"> - Educação; </t>
    </r>
    <r>
      <rPr>
        <b/>
        <sz val="10"/>
        <rFont val="Calibri"/>
        <family val="2"/>
        <scheme val="minor"/>
      </rPr>
      <t>Q</t>
    </r>
    <r>
      <rPr>
        <sz val="10"/>
        <rFont val="Calibri"/>
        <family val="2"/>
        <scheme val="minor"/>
      </rPr>
      <t xml:space="preserve"> - Actividades de saúde humana e apoio social; </t>
    </r>
    <r>
      <rPr>
        <b/>
        <sz val="10"/>
        <rFont val="Calibri"/>
        <family val="2"/>
        <scheme val="minor"/>
      </rPr>
      <t>R</t>
    </r>
    <r>
      <rPr>
        <sz val="10"/>
        <rFont val="Calibri"/>
        <family val="2"/>
        <scheme val="minor"/>
      </rPr>
      <t xml:space="preserve"> - Actividades artísticas, de espectáculos, desportivas e recreativas; </t>
    </r>
    <r>
      <rPr>
        <b/>
        <sz val="10"/>
        <rFont val="Calibri"/>
        <family val="2"/>
        <scheme val="minor"/>
      </rPr>
      <t>S</t>
    </r>
    <r>
      <rPr>
        <sz val="10"/>
        <rFont val="Calibri"/>
        <family val="2"/>
        <scheme val="minor"/>
      </rPr>
      <t xml:space="preserve"> - Outras actividades de serviços; </t>
    </r>
    <r>
      <rPr>
        <b/>
        <sz val="10"/>
        <rFont val="Calibri"/>
        <family val="2"/>
        <scheme val="minor"/>
      </rPr>
      <t>T</t>
    </r>
    <r>
      <rPr>
        <sz val="10"/>
        <rFont val="Calibri"/>
        <family val="2"/>
        <scheme val="minor"/>
      </rPr>
      <t xml:space="preserve"> - Actividades das famílias empregadoras de pessoal doméstico e actividades de produção das famílias para uso próprio; </t>
    </r>
    <r>
      <rPr>
        <b/>
        <sz val="10"/>
        <rFont val="Calibri"/>
        <family val="2"/>
        <scheme val="minor"/>
      </rPr>
      <t>U</t>
    </r>
    <r>
      <rPr>
        <sz val="10"/>
        <rFont val="Calibri"/>
        <family val="2"/>
        <scheme val="minor"/>
      </rPr>
      <t xml:space="preserve"> - Actividades dos organismos internacionais e outras instituições extra-territoriais.</t>
    </r>
  </si>
  <si>
    <r>
      <rPr>
        <sz val="10"/>
        <rFont val="Calibri"/>
        <family val="2"/>
        <scheme val="minor"/>
      </rPr>
      <t>Mais informação disponível em:</t>
    </r>
    <r>
      <rPr>
        <u/>
        <sz val="10"/>
        <color indexed="12"/>
        <rFont val="Calibri"/>
        <family val="2"/>
        <scheme val="minor"/>
      </rPr>
      <t xml:space="preserve"> Classificação Portuguesa das Actividades Económicas, Revisão 3. Lisboa : INE, 2007. </t>
    </r>
  </si>
  <si>
    <r>
      <rPr>
        <b/>
        <sz val="10"/>
        <rFont val="Calibri"/>
        <family val="2"/>
        <scheme val="minor"/>
      </rPr>
      <t>Classificação Portuguesa das Profissões (CPP/2010)</t>
    </r>
    <r>
      <rPr>
        <sz val="10"/>
        <rFont val="Calibri"/>
        <family val="2"/>
        <scheme val="minor"/>
      </rPr>
      <t xml:space="preserve"> - </t>
    </r>
    <r>
      <rPr>
        <b/>
        <sz val="10"/>
        <rFont val="Calibri"/>
        <family val="2"/>
        <scheme val="minor"/>
      </rPr>
      <t>Grande Grupo: 1</t>
    </r>
    <r>
      <rPr>
        <sz val="10"/>
        <rFont val="Calibri"/>
        <family val="2"/>
        <scheme val="minor"/>
      </rPr>
      <t xml:space="preserve"> - Representantes do poder legislativo e de órgãos executivos, dirigentes, directores e gestores executivos; </t>
    </r>
    <r>
      <rPr>
        <b/>
        <sz val="10"/>
        <rFont val="Calibri"/>
        <family val="2"/>
        <scheme val="minor"/>
      </rPr>
      <t>2</t>
    </r>
    <r>
      <rPr>
        <sz val="10"/>
        <rFont val="Calibri"/>
        <family val="2"/>
        <scheme val="minor"/>
      </rPr>
      <t xml:space="preserve"> - Especialistas das actividades intelectuais e científicas; </t>
    </r>
    <r>
      <rPr>
        <b/>
        <sz val="10"/>
        <rFont val="Calibri"/>
        <family val="2"/>
        <scheme val="minor"/>
      </rPr>
      <t>3</t>
    </r>
    <r>
      <rPr>
        <sz val="10"/>
        <rFont val="Calibri"/>
        <family val="2"/>
        <scheme val="minor"/>
      </rPr>
      <t xml:space="preserve"> - Técnicos e profissões de nível intermédio; </t>
    </r>
    <r>
      <rPr>
        <b/>
        <sz val="10"/>
        <rFont val="Calibri"/>
        <family val="2"/>
        <scheme val="minor"/>
      </rPr>
      <t>4</t>
    </r>
    <r>
      <rPr>
        <sz val="10"/>
        <rFont val="Calibri"/>
        <family val="2"/>
        <scheme val="minor"/>
      </rPr>
      <t xml:space="preserve"> - Pessoal administrativo; </t>
    </r>
    <r>
      <rPr>
        <b/>
        <sz val="10"/>
        <rFont val="Calibri"/>
        <family val="2"/>
        <scheme val="minor"/>
      </rPr>
      <t>5</t>
    </r>
    <r>
      <rPr>
        <sz val="10"/>
        <rFont val="Calibri"/>
        <family val="2"/>
        <scheme val="minor"/>
      </rPr>
      <t xml:space="preserve"> - Trabalhadores dos serviços pessoais, de protecção e segurança e vendedores; </t>
    </r>
    <r>
      <rPr>
        <b/>
        <sz val="10"/>
        <rFont val="Calibri"/>
        <family val="2"/>
        <scheme val="minor"/>
      </rPr>
      <t>6</t>
    </r>
    <r>
      <rPr>
        <sz val="10"/>
        <rFont val="Calibri"/>
        <family val="2"/>
        <scheme val="minor"/>
      </rPr>
      <t xml:space="preserve"> - Agricultores e trabalhadores qualificados da agricultura, da pesca e da floresta; </t>
    </r>
    <r>
      <rPr>
        <b/>
        <sz val="10"/>
        <rFont val="Calibri"/>
        <family val="2"/>
        <scheme val="minor"/>
      </rPr>
      <t>7</t>
    </r>
    <r>
      <rPr>
        <sz val="10"/>
        <rFont val="Calibri"/>
        <family val="2"/>
        <scheme val="minor"/>
      </rPr>
      <t xml:space="preserve"> - Trabalhadores qualificados da indústria, construção e artífices; </t>
    </r>
    <r>
      <rPr>
        <b/>
        <sz val="10"/>
        <rFont val="Calibri"/>
        <family val="2"/>
        <scheme val="minor"/>
      </rPr>
      <t>8</t>
    </r>
    <r>
      <rPr>
        <sz val="10"/>
        <rFont val="Calibri"/>
        <family val="2"/>
        <scheme val="minor"/>
      </rPr>
      <t xml:space="preserve"> - Operadores de instalações e máquinas e trabalhadores da montagem; </t>
    </r>
    <r>
      <rPr>
        <b/>
        <sz val="10"/>
        <rFont val="Calibri"/>
        <family val="2"/>
        <scheme val="minor"/>
      </rPr>
      <t>9</t>
    </r>
    <r>
      <rPr>
        <sz val="10"/>
        <rFont val="Calibri"/>
        <family val="2"/>
        <scheme val="minor"/>
      </rPr>
      <t xml:space="preserve"> - Trabalhadores não qualificados.</t>
    </r>
  </si>
  <si>
    <r>
      <rPr>
        <sz val="10"/>
        <rFont val="Calibri"/>
        <family val="2"/>
        <scheme val="minor"/>
      </rPr>
      <t>Mais informação disponível em:</t>
    </r>
    <r>
      <rPr>
        <u/>
        <sz val="10"/>
        <color indexed="12"/>
        <rFont val="Calibri"/>
        <family val="2"/>
        <scheme val="minor"/>
      </rPr>
      <t xml:space="preserve"> Classificação Portuguesa das Profissões : 2010. Lisboa : INE, 2011</t>
    </r>
  </si>
  <si>
    <r>
      <rPr>
        <sz val="10"/>
        <rFont val="Calibri"/>
        <family val="2"/>
        <scheme val="minor"/>
      </rPr>
      <t>Estrutura dos Níveis de Qualificação disponível em:</t>
    </r>
    <r>
      <rPr>
        <sz val="10"/>
        <color rgb="FF0000FF"/>
        <rFont val="Calibri"/>
        <family val="2"/>
        <scheme val="minor"/>
      </rPr>
      <t xml:space="preserve"> </t>
    </r>
    <r>
      <rPr>
        <u/>
        <sz val="10"/>
        <color indexed="12"/>
        <rFont val="Calibri"/>
        <family val="2"/>
        <scheme val="minor"/>
      </rPr>
      <t>Decreto-Lei n.º 121/78, de 2 de junho.</t>
    </r>
  </si>
  <si>
    <r>
      <t>Fonte:</t>
    </r>
    <r>
      <rPr>
        <sz val="8"/>
        <rFont val="Arial"/>
        <family val="2"/>
      </rPr>
      <t xml:space="preserve"> DGCP/MTSSS, Quadros de Pessoal.</t>
    </r>
  </si>
  <si>
    <r>
      <t>Nota:</t>
    </r>
    <r>
      <rPr>
        <sz val="8"/>
        <rFont val="Arial"/>
        <family val="2"/>
      </rPr>
      <t xml:space="preserve"> Os valores desagregados por escalão de dimensão da empresa poderão não coincidir com os da publicação de Quadros de Pessoal, do respetivo ano, devido à inclusão posterior dos dados da Região Autónoma dos Açores.</t>
    </r>
  </si>
  <si>
    <r>
      <t xml:space="preserve">Fonte: </t>
    </r>
    <r>
      <rPr>
        <sz val="8"/>
        <rFont val="Arial"/>
        <family val="2"/>
      </rPr>
      <t>DGCP/MTSSS, Quadros de Pessoal.</t>
    </r>
  </si>
  <si>
    <r>
      <t>Quadro 4_b -</t>
    </r>
    <r>
      <rPr>
        <sz val="9"/>
        <rFont val="Arial"/>
        <family val="2"/>
      </rPr>
      <t xml:space="preserve"> </t>
    </r>
    <r>
      <rPr>
        <b/>
        <sz val="9"/>
        <color indexed="8"/>
        <rFont val="Arial"/>
        <family val="2"/>
      </rPr>
      <t>Empresas por Região NUTS II e Sub-região NUTS III (NUTS 2013)</t>
    </r>
  </si>
  <si>
    <t>Alto Tâmega</t>
  </si>
  <si>
    <t>Área Metropolitana de Lisboa</t>
  </si>
  <si>
    <r>
      <t>Quadro 8_b -</t>
    </r>
    <r>
      <rPr>
        <sz val="9"/>
        <rFont val="Arial"/>
        <family val="2"/>
      </rPr>
      <t xml:space="preserve"> </t>
    </r>
    <r>
      <rPr>
        <b/>
        <sz val="9"/>
        <color indexed="8"/>
        <rFont val="Arial"/>
        <family val="2"/>
      </rPr>
      <t>Estabelecimentos por Região NUTS II e Sub-região NUTS III (NUTS 2013)</t>
    </r>
  </si>
  <si>
    <t>Quadro 9_E - Pessoas de nacionalidade estrangeira ao serviço nos estabelecimentos por atividade económica (CAE - Rev.3)</t>
  </si>
  <si>
    <t>Quadro 9- Pessoas ao serviço nos estabelecimentos por atividade económica (CAE - Rev.3)</t>
  </si>
  <si>
    <t>Quadro 5 - Estabelecimentos por atividade económica (CAE - Rev.3)</t>
  </si>
  <si>
    <t>Quadro 1 - Empresas por atividade económica (CAE - Rev.3)</t>
  </si>
  <si>
    <t>Quadro 12_b - Pessoas ao serviço nos estabelecimentos por Região NUTS II e Sub-região NUTS III (NUTS 2013)</t>
  </si>
  <si>
    <t>Quadro 13_E - Trabalhadores por conta de outrem, de nacionalidade estrangeira, ao serviço nos estabelecimentos por atividade económica (CAE - Rev.3)</t>
  </si>
  <si>
    <t>Quadro 16_b - Trabalhadores por conta de outrem ao serviço nos estabelecimentos por Região NUTS II e Sub-região NUTS III 
(NUTS 2013)</t>
  </si>
  <si>
    <t>Quadro 16_E - Trabalhadores por conta de outrem, de nacionalidade estrangeira, ao serviço nos estabelecimentos por Região NUTS II e Sub-região NUTS III 
(NUTS 2024)</t>
  </si>
  <si>
    <t>Quadro 16_E_b - Trabalhadores por conta de outrem, de nacionalidade estrangeira, ao serviço nos estabelecimentos por Região NUTS II e Sub-região NUTS III 
(NUTS 2013)</t>
  </si>
  <si>
    <r>
      <t xml:space="preserve">Nota: </t>
    </r>
    <r>
      <rPr>
        <sz val="8"/>
        <rFont val="Arial"/>
        <family val="2"/>
      </rPr>
      <t>Remuneração Mínima Mensal Garantida (RMMG) - Continente 2014=505,00 euros; 2015=505,00 euros; 2016=530,00 euros; 2017=557,00 euros; 2018=580,00 euros; 2019=600,00 euros; 2020=635,00 euros; 2021 = 665,00 euros, 2022 = 705,00 euros; 2023 = 760,00 euros e 2024 = 820,00 euros.</t>
    </r>
  </si>
  <si>
    <r>
      <t>Quadro 25_b - Remuneração média mensal base</t>
    </r>
    <r>
      <rPr>
        <b/>
        <vertAlign val="superscript"/>
        <sz val="9"/>
        <rFont val="Arial"/>
        <family val="2"/>
      </rPr>
      <t>(1)</t>
    </r>
    <r>
      <rPr>
        <b/>
        <sz val="9"/>
        <rFont val="Arial"/>
        <family val="2"/>
      </rPr>
      <t xml:space="preserve"> por Região NUTS II e Sub-região NUTS III do estabelecimento
(NUTS 2013)</t>
    </r>
  </si>
  <si>
    <r>
      <t xml:space="preserve">      </t>
    </r>
    <r>
      <rPr>
        <b/>
        <sz val="8"/>
        <rFont val="Arial"/>
        <family val="2"/>
      </rPr>
      <t xml:space="preserve"> (1)</t>
    </r>
    <r>
      <rPr>
        <sz val="8"/>
        <rFont val="Arial"/>
        <family val="2"/>
      </rPr>
      <t xml:space="preserve"> dos trabalhadores por conta de outrem a tempo completo, que auferiram remuneração completa no período de referência.
       </t>
    </r>
    <r>
      <rPr>
        <b/>
        <sz val="8"/>
        <rFont val="Arial"/>
        <family val="2"/>
      </rPr>
      <t>(-)</t>
    </r>
    <r>
      <rPr>
        <sz val="8"/>
        <rFont val="Arial"/>
        <family val="2"/>
      </rPr>
      <t xml:space="preserve"> Não definido (não se registam trabalhadores a tempo completo, que auferiram remuneração completa no período de referência). </t>
    </r>
  </si>
  <si>
    <r>
      <t xml:space="preserve">Quadro 27_E - Remuneração média mensal </t>
    </r>
    <r>
      <rPr>
        <b/>
        <u/>
        <sz val="9"/>
        <rFont val="Arial"/>
        <family val="2"/>
      </rPr>
      <t>base</t>
    </r>
    <r>
      <rPr>
        <b/>
        <vertAlign val="superscript"/>
        <sz val="9"/>
        <rFont val="Arial"/>
        <family val="2"/>
      </rPr>
      <t xml:space="preserve">, </t>
    </r>
    <r>
      <rPr>
        <b/>
        <sz val="9"/>
        <rFont val="Arial"/>
        <family val="2"/>
      </rPr>
      <t>dos trabalhadores por conta de outrem</t>
    </r>
    <r>
      <rPr>
        <b/>
        <vertAlign val="superscript"/>
        <sz val="9"/>
        <rFont val="Arial"/>
        <family val="2"/>
      </rPr>
      <t>(1)</t>
    </r>
    <r>
      <rPr>
        <b/>
        <sz val="9"/>
        <rFont val="Arial"/>
        <family val="2"/>
      </rPr>
      <t xml:space="preserve"> de nacionalidade estrangeira, por nível de qualificação e sexo</t>
    </r>
  </si>
  <si>
    <t>Profissionais altam. qualificados</t>
  </si>
  <si>
    <r>
      <t xml:space="preserve">     </t>
    </r>
    <r>
      <rPr>
        <b/>
        <sz val="8"/>
        <rFont val="Arial"/>
        <family val="2"/>
      </rPr>
      <t xml:space="preserve">   (1) </t>
    </r>
    <r>
      <rPr>
        <sz val="8"/>
        <rFont val="Arial"/>
        <family val="2"/>
      </rPr>
      <t>a tempo completo, que auferiram remuneração completa no período de referência.</t>
    </r>
  </si>
  <si>
    <r>
      <t xml:space="preserve">Quadro 28_E - Remuneração média mensal </t>
    </r>
    <r>
      <rPr>
        <b/>
        <u/>
        <sz val="9"/>
        <rFont val="Arial"/>
        <family val="2"/>
      </rPr>
      <t>base</t>
    </r>
    <r>
      <rPr>
        <b/>
        <sz val="9"/>
        <rFont val="Arial"/>
        <family val="2"/>
      </rPr>
      <t>, dos trabalhadores por conta de outrem</t>
    </r>
    <r>
      <rPr>
        <b/>
        <vertAlign val="superscript"/>
        <sz val="9"/>
        <rFont val="Arial"/>
        <family val="2"/>
      </rPr>
      <t>(1)</t>
    </r>
    <r>
      <rPr>
        <b/>
        <sz val="9"/>
        <rFont val="Arial"/>
        <family val="2"/>
      </rPr>
      <t xml:space="preserve"> de nacionalidade estrangeira, por profissão</t>
    </r>
  </si>
  <si>
    <t>Especial. das ciências físicas, matem., engen. e técn. afins</t>
  </si>
  <si>
    <t>Especial. em tecn. de inform. e comunicação (TIC)</t>
  </si>
  <si>
    <t>Especial. em assuntos juríd., soc., artíst. e culturais</t>
  </si>
  <si>
    <t>Téc. de nível interm. dos serv. jurídicos, sociais, desp., culturais e sim.</t>
  </si>
  <si>
    <t xml:space="preserve">Téc. das tecno. de informação e comunicação </t>
  </si>
  <si>
    <t xml:space="preserve">Trab. Qualif. da construção e sim., exceto eletricista </t>
  </si>
  <si>
    <t>Trab. qualificados da metal., metalomecânica e sim.</t>
  </si>
  <si>
    <t>Trab. da transf. alim., mad., vest. e outras ind. e artes.</t>
  </si>
  <si>
    <t>Trab.n/qualif.agricult., prod.animal, pesca e flor.</t>
  </si>
  <si>
    <t>Trab.n/qualif. da indúst.ext., construç., indúst. transf.e transp.</t>
  </si>
  <si>
    <t>Vend.ambul.. (exc. de alim.) e prest.de serv. na rua</t>
  </si>
  <si>
    <r>
      <t xml:space="preserve">(1) </t>
    </r>
    <r>
      <rPr>
        <sz val="8"/>
        <rFont val="Arial"/>
        <family val="2"/>
      </rPr>
      <t>a tempo completo, que auferiram remuneração completa no período de referência.</t>
    </r>
  </si>
  <si>
    <r>
      <t xml:space="preserve">Quadro 31 -  Remuneração base mensal </t>
    </r>
    <r>
      <rPr>
        <b/>
        <vertAlign val="superscript"/>
        <sz val="9"/>
        <rFont val="Arial"/>
        <family val="2"/>
      </rPr>
      <t xml:space="preserve">(1) </t>
    </r>
    <r>
      <rPr>
        <b/>
        <sz val="9"/>
        <rFont val="Arial"/>
        <family val="2"/>
      </rPr>
      <t>mediana, decis, média por decil e limiar de baixos salários</t>
    </r>
  </si>
  <si>
    <r>
      <t>Trabalhadores por conta de outrem</t>
    </r>
    <r>
      <rPr>
        <b/>
        <vertAlign val="superscript"/>
        <sz val="8"/>
        <rFont val="Arial"/>
        <family val="2"/>
      </rPr>
      <t>(1)</t>
    </r>
  </si>
  <si>
    <r>
      <t>Remuneração base mensal mediana</t>
    </r>
    <r>
      <rPr>
        <sz val="7"/>
        <rFont val="Arial"/>
        <family val="2"/>
      </rPr>
      <t xml:space="preserve"> (euros)</t>
    </r>
  </si>
  <si>
    <r>
      <t>Remuneração base mensal - decis</t>
    </r>
    <r>
      <rPr>
        <sz val="7"/>
        <rFont val="Arial"/>
        <family val="2"/>
      </rPr>
      <t xml:space="preserve"> (euros)</t>
    </r>
  </si>
  <si>
    <r>
      <t>Remuneração base mensal - média por decil</t>
    </r>
    <r>
      <rPr>
        <sz val="7"/>
        <rFont val="Arial"/>
        <family val="2"/>
      </rPr>
      <t xml:space="preserve"> (euros)</t>
    </r>
  </si>
  <si>
    <r>
      <t>Incidência de baixos salários</t>
    </r>
    <r>
      <rPr>
        <sz val="7"/>
        <rFont val="Arial"/>
        <family val="2"/>
      </rPr>
      <t xml:space="preserve"> (%)</t>
    </r>
  </si>
  <si>
    <r>
      <t xml:space="preserve">      </t>
    </r>
    <r>
      <rPr>
        <b/>
        <sz val="8"/>
        <rFont val="Arial"/>
        <family val="2"/>
      </rPr>
      <t xml:space="preserve"> (2)</t>
    </r>
    <r>
      <rPr>
        <sz val="8"/>
        <rFont val="Arial"/>
        <family val="2"/>
      </rPr>
      <t xml:space="preserve"> considerado como sendo 2/3 da mediana da remuneração base mensal do Continente, neste exercício.</t>
    </r>
  </si>
  <si>
    <r>
      <t xml:space="preserve">Ganho mensal - decis </t>
    </r>
    <r>
      <rPr>
        <sz val="7"/>
        <rFont val="Arial"/>
        <family val="2"/>
      </rPr>
      <t>(euros)</t>
    </r>
  </si>
  <si>
    <r>
      <t xml:space="preserve">Quadro 33 - </t>
    </r>
    <r>
      <rPr>
        <b/>
        <u/>
        <sz val="9"/>
        <rFont val="Arial"/>
        <family val="2"/>
      </rPr>
      <t>Ganho</t>
    </r>
    <r>
      <rPr>
        <b/>
        <sz val="9"/>
        <rFont val="Arial"/>
        <family val="2"/>
      </rPr>
      <t xml:space="preserve"> mensal </t>
    </r>
    <r>
      <rPr>
        <b/>
        <vertAlign val="superscript"/>
        <sz val="9"/>
        <rFont val="Arial"/>
        <family val="2"/>
      </rPr>
      <t xml:space="preserve">(1) </t>
    </r>
    <r>
      <rPr>
        <b/>
        <sz val="9"/>
        <rFont val="Arial"/>
        <family val="2"/>
      </rPr>
      <t>mediano, decis, médio por decil e limiar de baixos salários</t>
    </r>
  </si>
  <si>
    <r>
      <t xml:space="preserve">Quadro 32 - Trabalhadores por conta de outrem </t>
    </r>
    <r>
      <rPr>
        <b/>
        <vertAlign val="superscript"/>
        <sz val="9"/>
        <rFont val="Arial"/>
        <family val="2"/>
      </rPr>
      <t>(1)</t>
    </r>
    <r>
      <rPr>
        <b/>
        <sz val="9"/>
        <rFont val="Arial"/>
        <family val="2"/>
      </rPr>
      <t xml:space="preserve"> ao serviço nos estabelecimentos por escalão de remuneração mensal </t>
    </r>
    <r>
      <rPr>
        <b/>
        <u/>
        <sz val="9"/>
        <rFont val="Arial"/>
        <family val="2"/>
      </rPr>
      <t>ganho</t>
    </r>
  </si>
  <si>
    <r>
      <t xml:space="preserve">Quadro 34 - Remuneração média mensal </t>
    </r>
    <r>
      <rPr>
        <b/>
        <u/>
        <sz val="9"/>
        <rFont val="Arial"/>
        <family val="2"/>
      </rPr>
      <t>ganho</t>
    </r>
    <r>
      <rPr>
        <b/>
        <vertAlign val="superscript"/>
        <sz val="9"/>
        <rFont val="Arial"/>
        <family val="2"/>
      </rPr>
      <t xml:space="preserve">(1) </t>
    </r>
    <r>
      <rPr>
        <b/>
        <sz val="9"/>
        <rFont val="Arial"/>
        <family val="2"/>
      </rPr>
      <t>por atividade económica do estabelecimento</t>
    </r>
  </si>
  <si>
    <r>
      <t xml:space="preserve">Quadro 35 - Remuneração média mensal </t>
    </r>
    <r>
      <rPr>
        <b/>
        <u/>
        <sz val="9"/>
        <rFont val="Arial"/>
        <family val="2"/>
      </rPr>
      <t>ganho</t>
    </r>
    <r>
      <rPr>
        <b/>
        <vertAlign val="superscript"/>
        <sz val="9"/>
        <rFont val="Arial"/>
        <family val="2"/>
      </rPr>
      <t>(1)</t>
    </r>
    <r>
      <rPr>
        <b/>
        <sz val="9"/>
        <rFont val="Arial"/>
        <family val="2"/>
      </rPr>
      <t xml:space="preserve"> por dimensão do estabelecimento e sexo</t>
    </r>
  </si>
  <si>
    <r>
      <t xml:space="preserve">Quadro 36 - Remuneração média mensal </t>
    </r>
    <r>
      <rPr>
        <b/>
        <u/>
        <sz val="9"/>
        <rFont val="Arial"/>
        <family val="2"/>
      </rPr>
      <t>ganho</t>
    </r>
    <r>
      <rPr>
        <b/>
        <vertAlign val="superscript"/>
        <sz val="9"/>
        <rFont val="Arial"/>
        <family val="2"/>
      </rPr>
      <t xml:space="preserve">(1) </t>
    </r>
    <r>
      <rPr>
        <b/>
        <sz val="9"/>
        <rFont val="Arial"/>
        <family val="2"/>
      </rPr>
      <t xml:space="preserve">por distrito do estabelecimento </t>
    </r>
  </si>
  <si>
    <t xml:space="preserve">Quadro 37 - Remuneração média mensal ganho por Região NUTS II e Sub Região NUTS III (2024) do estabelecimento </t>
  </si>
  <si>
    <r>
      <t>Quadro 37_b - Remuneração média mensal ganho</t>
    </r>
    <r>
      <rPr>
        <b/>
        <vertAlign val="superscript"/>
        <sz val="9"/>
        <rFont val="Arial"/>
        <family val="2"/>
      </rPr>
      <t>(1)</t>
    </r>
    <r>
      <rPr>
        <b/>
        <sz val="9"/>
        <rFont val="Arial"/>
        <family val="2"/>
      </rPr>
      <t xml:space="preserve"> por Região NUTS II e Sub-região NUTS III do estabelecimento 
(NUTS 2013)</t>
    </r>
  </si>
  <si>
    <r>
      <t xml:space="preserve">Quadro 38 - Remuneração média mensal </t>
    </r>
    <r>
      <rPr>
        <b/>
        <u/>
        <sz val="9"/>
        <rFont val="Arial"/>
        <family val="2"/>
      </rPr>
      <t>ganho</t>
    </r>
    <r>
      <rPr>
        <b/>
        <vertAlign val="superscript"/>
        <sz val="9"/>
        <rFont val="Arial"/>
        <family val="2"/>
      </rPr>
      <t>(1)</t>
    </r>
    <r>
      <rPr>
        <b/>
        <sz val="9"/>
        <rFont val="Arial"/>
        <family val="2"/>
      </rPr>
      <t xml:space="preserve"> por grupo etário e sexo</t>
    </r>
  </si>
  <si>
    <r>
      <t xml:space="preserve">Quadro 39_E - Remuneração média mensal </t>
    </r>
    <r>
      <rPr>
        <b/>
        <u/>
        <sz val="9"/>
        <rFont val="Arial"/>
        <family val="2"/>
      </rPr>
      <t>ganho</t>
    </r>
    <r>
      <rPr>
        <b/>
        <vertAlign val="superscript"/>
        <sz val="9"/>
        <rFont val="Arial"/>
        <family val="2"/>
      </rPr>
      <t xml:space="preserve">, </t>
    </r>
    <r>
      <rPr>
        <b/>
        <sz val="9"/>
        <rFont val="Arial"/>
        <family val="2"/>
      </rPr>
      <t>dos trabalhadores por conta de outrem</t>
    </r>
    <r>
      <rPr>
        <b/>
        <vertAlign val="superscript"/>
        <sz val="9"/>
        <rFont val="Arial"/>
        <family val="2"/>
      </rPr>
      <t>(1)</t>
    </r>
    <r>
      <rPr>
        <b/>
        <sz val="9"/>
        <rFont val="Arial"/>
        <family val="2"/>
      </rPr>
      <t xml:space="preserve"> de nacionalidade estrangeira, por nível de qualificação e sexo</t>
    </r>
  </si>
  <si>
    <r>
      <t xml:space="preserve">Quadro 39 - Remuneração média mensal </t>
    </r>
    <r>
      <rPr>
        <b/>
        <u/>
        <sz val="9"/>
        <rFont val="Arial"/>
        <family val="2"/>
      </rPr>
      <t>ganho</t>
    </r>
    <r>
      <rPr>
        <b/>
        <vertAlign val="superscript"/>
        <sz val="9"/>
        <rFont val="Arial"/>
        <family val="2"/>
      </rPr>
      <t>(1)</t>
    </r>
    <r>
      <rPr>
        <b/>
        <sz val="9"/>
        <rFont val="Arial"/>
        <family val="2"/>
      </rPr>
      <t xml:space="preserve"> por nível de qualificação e sexo</t>
    </r>
  </si>
  <si>
    <r>
      <t xml:space="preserve">Quadro 40 - Remuneração média mensal </t>
    </r>
    <r>
      <rPr>
        <b/>
        <u/>
        <sz val="9"/>
        <rFont val="Arial"/>
        <family val="2"/>
      </rPr>
      <t>ganho</t>
    </r>
    <r>
      <rPr>
        <b/>
        <vertAlign val="superscript"/>
        <sz val="9"/>
        <rFont val="Arial"/>
        <family val="2"/>
      </rPr>
      <t xml:space="preserve">(1) </t>
    </r>
    <r>
      <rPr>
        <b/>
        <sz val="9"/>
        <rFont val="Arial"/>
        <family val="2"/>
      </rPr>
      <t>por profissão</t>
    </r>
  </si>
  <si>
    <r>
      <t xml:space="preserve">Quadro 40_E - Remuneração média mensal </t>
    </r>
    <r>
      <rPr>
        <b/>
        <u/>
        <sz val="9"/>
        <rFont val="Arial"/>
        <family val="2"/>
      </rPr>
      <t>ganho</t>
    </r>
    <r>
      <rPr>
        <b/>
        <sz val="9"/>
        <rFont val="Arial"/>
        <family val="2"/>
      </rPr>
      <t>, dos trabalhadores por conta de outrem</t>
    </r>
    <r>
      <rPr>
        <b/>
        <vertAlign val="superscript"/>
        <sz val="9"/>
        <rFont val="Arial"/>
        <family val="2"/>
      </rPr>
      <t>(1)</t>
    </r>
    <r>
      <rPr>
        <b/>
        <sz val="9"/>
        <rFont val="Arial"/>
        <family val="2"/>
      </rPr>
      <t xml:space="preserve"> de nacionalidade estrangeira, por profissão</t>
    </r>
  </si>
  <si>
    <t>Espec. finanças,contab., org. adm., relações púb. e comerc.</t>
  </si>
  <si>
    <t>Trab.dos serv.pessoais, de prot.e segur.e vend.</t>
  </si>
  <si>
    <r>
      <t xml:space="preserve">Quadro 42 - Remuneração média mensal </t>
    </r>
    <r>
      <rPr>
        <b/>
        <u/>
        <sz val="9"/>
        <rFont val="Arial"/>
        <family val="2"/>
      </rPr>
      <t>ganho</t>
    </r>
    <r>
      <rPr>
        <b/>
        <vertAlign val="superscript"/>
        <sz val="9"/>
        <rFont val="Arial"/>
        <family val="2"/>
      </rPr>
      <t>(1)</t>
    </r>
    <r>
      <rPr>
        <b/>
        <sz val="9"/>
        <rFont val="Arial"/>
        <family val="2"/>
      </rPr>
      <t xml:space="preserve"> dos Trabalhadores por Conta de Outrem abrangidos e não abrangidos por Instrumento de Regulamentação Coletiva de Trabalho</t>
    </r>
    <r>
      <rPr>
        <b/>
        <vertAlign val="superscript"/>
        <sz val="9"/>
        <rFont val="Arial"/>
        <family val="2"/>
      </rPr>
      <t>(2)</t>
    </r>
    <r>
      <rPr>
        <b/>
        <sz val="9"/>
        <rFont val="Arial"/>
        <family val="2"/>
      </rPr>
      <t xml:space="preserve"> (IRCT)</t>
    </r>
  </si>
  <si>
    <r>
      <t>Quadro 41 - Indicadores de remuneração base e ganho e respetivos trabalhadores por conta de outrem (TCO)</t>
    </r>
    <r>
      <rPr>
        <b/>
        <vertAlign val="superscript"/>
        <sz val="8"/>
        <rFont val="Arial"/>
        <family val="2"/>
      </rPr>
      <t>(1)</t>
    </r>
    <r>
      <rPr>
        <b/>
        <sz val="9"/>
        <rFont val="Arial"/>
        <family val="2"/>
      </rPr>
      <t xml:space="preserve"> por nível de habilitação</t>
    </r>
  </si>
  <si>
    <r>
      <rPr>
        <b/>
        <sz val="9"/>
        <color rgb="FF415263"/>
        <rFont val="Arial"/>
        <family val="2"/>
      </rPr>
      <t>Estabelecimento</t>
    </r>
    <r>
      <rPr>
        <sz val="9"/>
        <color rgb="FF415263"/>
        <rFont val="Arial"/>
        <family val="2"/>
      </rPr>
      <t xml:space="preserve"> - unidade económica que, sob um único regime de propriedade ou de controlo (quer dizer, sob a autoridade de uma só entidade jurídica), exerce, exclusiva ou principalmente, um só tipo de atividade económica, num só local.
Unidade local ou estabelecimento corresponde a uma empresa ou parte de empresa situada num local topograficamente identificado. Nesse local, ou a partir dele exerce-se uma ou várias atividades económicas.
A informação recolhida dos estabelecimentos, é fornecida à DGCP pela empresa sede e passa pela descrição de algumas características, nomeadamente: 
    - Identificação (nome diferente ou igual ao da empresa);
    - Localização do estabelecimento e contactos (endereço postal completo da sede da empresa, distrito, concelho, freguesia, telefone, fax e correio eletrónico);
    - Atividade principal do estabelecimento a cinco dígitos segundo a CAE em vigor;
    - Número de pessoas ao serviço no estabelecimento na última semana de outubro.</t>
    </r>
  </si>
  <si>
    <r>
      <rPr>
        <b/>
        <sz val="9"/>
        <color rgb="FF415263"/>
        <rFont val="Arial"/>
        <family val="2"/>
      </rPr>
      <t>Pessoas ao serviço</t>
    </r>
    <r>
      <rPr>
        <sz val="9"/>
        <color rgb="FF415263"/>
        <rFont val="Arial"/>
        <family val="2"/>
      </rPr>
      <t xml:space="preserve"> – número de pessoas ao serviço, independentemente do tipo de vínculo que possuem.
As pessoas ao serviço englobam para além dos trabalhadores por conta de outrem, os empregadores desde que exerçam funções na empresa, os trabalhadores familiares não remunerados e os membros ativos de cooperativa de produção. 
A informação das pessoas ao serviço é recolhida por estabelecimento, sendo fornecida à DGCP pela empresa sede e passa pela descrição de algumas características, nomeadamente: 
    - Data de Nascimento, Antiguidade, Data de Admissão, Data da Última Promoção, Nível de Qualificação, Nível de Habilitação, Profissão, Sexo, Nacionalidade, Categoria Profissional, Situação Profissional, Tipo de Contrato e Regime de Duração de Trabalho;
    - Remunerações referentes ao mês de outubro (remuneração base, prémios e subsídios regulares, remuneração por trabalho suplementar e prestações irregulares pagas em outubro);
    - Horas mensais remuneradas (horas mensais normais, horas mensais suplementares efetuadas em outubro) e período normal de trabalho semanal.</t>
    </r>
  </si>
  <si>
    <r>
      <t>Horas mensais remuneradas normais - c</t>
    </r>
    <r>
      <rPr>
        <sz val="9"/>
        <color rgb="FF415263"/>
        <rFont val="Arial"/>
        <family val="2"/>
      </rPr>
      <t>orrespondem às horas pelas quais o trabalhador recebeu uma remuneração. São equivalentes às horas efetivamente trabalhadas, mais as horas pagas e não trabalhadas, como férias anuais, os dias feriados pagos, as faltas por doença remuneradas e outras ausências que não conduzem a perda de remuneração. Não se incluem as horas suplementares.</t>
    </r>
  </si>
  <si>
    <t>As séries de Quadros de Pessoal apresentam a informação de acordo com as nomenclaturas em vigor à data da sua publicação (NUTS 2024, CAE - Rev. 3 e CPP/2010). Adicionalmente, a informação desagregada por NUTS é apresentada também por NUTS 2013.</t>
  </si>
  <si>
    <t>q9_E</t>
  </si>
  <si>
    <t>q13_E</t>
  </si>
  <si>
    <t>q27_E</t>
  </si>
  <si>
    <t>q39_E</t>
  </si>
  <si>
    <t>NOTA LR 06/05/2026 - Na atualização das séries QP 2014 - 2024, os quadros com desagregação por dimensão dos estabelecimentos (e empresas) foram reformulados, tendo-se passado a considerar as pessoas e o escalão de outubro (anteriormente consideravam-se as pessoas em outubro e escalão de dimensão de 31 de outubro o que não coincidia com a publicação de QP)</t>
  </si>
  <si>
    <t>valid TCO das rem</t>
  </si>
  <si>
    <t>be_p13.xlsx</t>
  </si>
  <si>
    <t>valid com momento 3 da folha "13empresarial" do BE</t>
  </si>
  <si>
    <t>valid totais</t>
  </si>
  <si>
    <t>fórmula anterior usada para texto</t>
  </si>
  <si>
    <t>Nota: Remuneração Mínima Mensal Garantida (RMMG) - Continente 2014=505,00 euros; 2015=505,00 euros; 2016=530,00 euros; 2017=557,00 euros; 2018=580,00 euros; 2019=600,00 euros; 2020=635,00 euros; 2021 = 665,00 euros; 2022 = 705,00 euros; 2023 = 760,00 euros e 2024 = 820,00 euros.</t>
  </si>
  <si>
    <t>Quadro 31 - Remuneração base mensal (1) mediana, decis, média por decil e limiar de baixos salários</t>
  </si>
  <si>
    <t>Remuneração base mensal mediana (euros)</t>
  </si>
  <si>
    <t xml:space="preserve">       (2) considerado como sendo 2/3 da mediana da remuneração base mensal do Continente, neste exercício.</t>
  </si>
  <si>
    <t>Quadro 33 - Ganho mensal (1) mediano, decis, médio por decil e limiar de baixos salários</t>
  </si>
  <si>
    <t>P90</t>
  </si>
  <si>
    <t>P80</t>
  </si>
  <si>
    <r>
      <rPr>
        <b/>
        <sz val="11"/>
        <color theme="1"/>
        <rFont val="Calibri Light"/>
        <family val="2"/>
      </rPr>
      <t xml:space="preserve">Percentis de rendimento: </t>
    </r>
    <r>
      <rPr>
        <sz val="11"/>
        <rFont val="Calibri Light"/>
        <family val="2"/>
      </rPr>
      <t>pontos de corte regulares de uma distribuição acumulada, que dividem os dados ordenados em 100 subconjuntos de dados de igual dimensão.</t>
    </r>
  </si>
  <si>
    <r>
      <rPr>
        <b/>
        <sz val="11"/>
        <color theme="1"/>
        <rFont val="Calibri Light"/>
        <family val="2"/>
      </rPr>
      <t>Rácio P90/P50:</t>
    </r>
    <r>
      <rPr>
        <sz val="11"/>
        <rFont val="Calibri Light"/>
        <family val="2"/>
      </rPr>
      <t xml:space="preserve"> indicador de desigualdade focado na parte superior da distribuição do rendimento correspondente ao rácio entre os percentis 90 e 50 dessa distribuição.</t>
    </r>
  </si>
  <si>
    <r>
      <rPr>
        <b/>
        <sz val="11"/>
        <color theme="1"/>
        <rFont val="Calibri Light"/>
        <family val="2"/>
      </rPr>
      <t xml:space="preserve">Rácio P50/P10: </t>
    </r>
    <r>
      <rPr>
        <sz val="11"/>
        <rFont val="Calibri Light"/>
        <family val="2"/>
      </rPr>
      <t>indicador de desigualdade focado na parte inferior da distribuição do rendimento correspondente ao rácio entre os percentis 50 e 10 dessa distribuição.</t>
    </r>
  </si>
  <si>
    <t>No futuro alterar gráfico de modo a que constem os valoes S10 = D1, S20 = (D1+D2)/2, S80 = (D10+D9)/2, S90 = D10, substituindo D2 por S20 e D9 por S80 e retirando D5. =&gt; Em 07/05/2026 (reunião com EO) decidiu-se, atendendo a que o INE publica valores absolutos de Percentis (cuts) e dos shares só publica os rácios ( ver "2023_abril_INE_Ficheiro dinâmico_Rem.Bruta Mensal-AT (2019 a 2021).xlsx" em Z:\G_EME_INFOESTAT\97_trabalhos_nacionais\ANT_DMRSS\2025_ANT_DMRSS_Vinc\01_01_Publicações terceiros) decidiu-se que o gráfico passaria a apresentar os cuts (percentis = P10, P20, P50, P80 e P90) e a análise será tambem com os percentis (inspirada no trabalho dos 100 anos MTSSS)</t>
  </si>
  <si>
    <t>Ganho mensal - decis (euros)</t>
  </si>
  <si>
    <t>Remuneração base mensal - decis (euros)</t>
  </si>
  <si>
    <t>P10</t>
  </si>
  <si>
    <t>P20</t>
  </si>
  <si>
    <t>P50</t>
  </si>
  <si>
    <t>Remuneração Mínima Mensal Garantida (RMMG)</t>
  </si>
  <si>
    <t>Remuneração base mensal mediana, limiar de baixos salários*, remuneração mínima mensal garantida e Incidência de baixos salários</t>
  </si>
  <si>
    <t>Ganho mensal mediano, limiar de baixos salários*, remuneração mínima mensal garantida e Incidência de baixos salários</t>
  </si>
  <si>
    <t>Atualizar</t>
  </si>
  <si>
    <t>Título gráfico</t>
  </si>
  <si>
    <r>
      <t xml:space="preserve">Ganho mensal - percentis </t>
    </r>
    <r>
      <rPr>
        <sz val="7"/>
        <rFont val="Arial"/>
        <family val="2"/>
      </rPr>
      <t>(euros)</t>
    </r>
  </si>
  <si>
    <t>Remuneração base mensal - percentis (euros)</t>
  </si>
  <si>
    <t>→</t>
  </si>
  <si>
    <t>Quantis são pontos de corte regulares de uma distribuição acumulada, que dividem os dados ordenados em q subconjuntos de dados de igual dimensão e que assumem diferentes nomes consoante o número de cortes (por exemplo, 100-quantis são designados percentis e 10-quantis são decis). P10 = percentil 10 = 1º decil; P20 = percentil 20 = 2º decil; P50 = percentil 50 = 5º decil =mediana; P80 = percentil 80 = 8º decil e P90 = percentil 90 = 9º decil.
Percentis (P) - pontos de corte regulares de uma distribuição acumulada, que dividem os dados ordenados em 100 subconjuntos de dados de igual dimensão. Pk - percentil k, com 1&lt; k &lt; 100.
Nota: P10 =  1º decil; P20 = 2º decil; P50 = 5º decil = mediana; P80 = 8º decil e P90 = 9º decil.</t>
  </si>
  <si>
    <t>*Limiar de baixos salários - considerado como sendo 2/3 da mediana do ganho mensal do Continente, neste exercício.</t>
  </si>
  <si>
    <t>*Limiar de baixos salários - considerado como sendo 2/3 da mediana da remuneração base mensal do Continente, neste exercício.</t>
  </si>
  <si>
    <t xml:space="preserve">e 80% não recebiam mais do que </t>
  </si>
  <si>
    <t>P90/P10</t>
  </si>
  <si>
    <t>P80/P20</t>
  </si>
  <si>
    <t>Em 2014, metade dos TCO tinham até 642 euros de remuneração base e 80% não recebia mais do que 1.100 euros. Em 2024, estes valores passaram para 950 e 1.500 euros, respetivamente.</t>
  </si>
  <si>
    <t>Entre 2014 e 2024, observou-se uma redução da desigualdade na remuneração base, com o rácio P80/P20 a diminuir de 2,2 para 1,8 e o P90/P10 de 3,1 para 2,6.</t>
  </si>
  <si>
    <t>Alternativa =&gt; Em 2014, a remuneração no P80 correspondia a 2,2 vezes a do P20 e a do P90 era 3,1 vezes superior à do P10. Em 2024, esses rácios eram de 1,8 e 2,6, respetivamente.</t>
  </si>
  <si>
    <t>de remuneração base</t>
  </si>
  <si>
    <t>de remuneração ganho</t>
  </si>
  <si>
    <t>verificar se texto está correto</t>
  </si>
  <si>
    <t xml:space="preserve">P80/P20: </t>
  </si>
  <si>
    <t xml:space="preserve">P90/P10: </t>
  </si>
  <si>
    <t xml:space="preserve">redução da desigualdade na </t>
  </si>
  <si>
    <t xml:space="preserve">remuneração base. </t>
  </si>
  <si>
    <t xml:space="preserve">remuneração ganho. </t>
  </si>
  <si>
    <t xml:space="preserve"> → </t>
  </si>
  <si>
    <t>2014 - 2016</t>
  </si>
  <si>
    <t>2016 - 2024</t>
  </si>
  <si>
    <t>2014 - 2017</t>
  </si>
  <si>
    <t>2017 - 2024</t>
  </si>
  <si>
    <t>2014 - 2024</t>
  </si>
  <si>
    <t>&gt; limiar no ganho</t>
  </si>
  <si>
    <t>RMMG</t>
  </si>
  <si>
    <t>Incidência de baixos salários:</t>
  </si>
  <si>
    <t>.</t>
  </si>
  <si>
    <t>2014, 2016, 2018, 2019, 2020, 2021, 2022</t>
  </si>
  <si>
    <t>2015, 2017, 2023, 2024</t>
  </si>
  <si>
    <t>TCO 3º maior</t>
  </si>
  <si>
    <t>situação particular de 2018, no entanto teria de se apresentar as 3 maiores profissões em todos os anos.</t>
  </si>
  <si>
    <t>% face a 2014, ou seja</t>
  </si>
  <si>
    <t xml:space="preserve">% face a 2014, ou seja </t>
  </si>
  <si>
    <t xml:space="preserve"> face a 2014,</t>
  </si>
  <si>
    <t xml:space="preserve">% face a 2014, </t>
  </si>
  <si>
    <t>variação 2024/2023</t>
  </si>
  <si>
    <t>variação 2024/2014</t>
  </si>
  <si>
    <t>q4b</t>
  </si>
  <si>
    <t>q8b</t>
  </si>
  <si>
    <t>q12b</t>
  </si>
  <si>
    <t>q16b</t>
  </si>
  <si>
    <t>q25b</t>
  </si>
  <si>
    <t>q37b</t>
  </si>
  <si>
    <t xml:space="preserve">Na região </t>
  </si>
  <si>
    <t>Se Norte, Centro ou Alentejo</t>
  </si>
  <si>
    <t>Se Área Metropolitana de Lisboa ou Algarve</t>
  </si>
  <si>
    <t>Pessoas ao serviço de nacionalidade estrangeira</t>
  </si>
  <si>
    <t>TCO de nacionalidade estrangeira</t>
  </si>
  <si>
    <t>2024 - 2014</t>
  </si>
  <si>
    <t>Aloj., rest. e sim.</t>
  </si>
  <si>
    <t>q16_E - NUTS 2024</t>
  </si>
  <si>
    <t>q16Eb - NUTS 2013</t>
  </si>
  <si>
    <t>NUTS 2013</t>
  </si>
  <si>
    <t>Q40</t>
  </si>
  <si>
    <t>remunerações base e ganho por nível de qualificação e sexo</t>
  </si>
  <si>
    <t>Q28_E</t>
  </si>
  <si>
    <t>Q40_E</t>
  </si>
  <si>
    <t>2024:
NUTS II com mais de metade dos TCO estrangeiros
 - Grande Lisboa - 37,7%;
 - Norte - 21,2%.
NUTS II com menos TCO estrangeiros
 - Alentejo - 5,0%;
 - Península de Setúbal - 6,5%.</t>
  </si>
  <si>
    <t>2017: RMMG &gt; limiar de baixos salários, pela primeira vez [GANHO]</t>
  </si>
  <si>
    <t>Análise do ganho parte a amarelo e incidência bx salário  igual à antiga  com 2017</t>
  </si>
  <si>
    <t xml:space="preserve">NUTS III: Máx. da NUTS II - </t>
  </si>
  <si>
    <t>Tx. v. h.</t>
  </si>
  <si>
    <r>
      <t xml:space="preserve">Ganho mediano: 
Total: 2014 = 787 euros; 2024 = 1.191 euros; T.v.h. 2014-2024 = +51,3% 
</t>
    </r>
    <r>
      <rPr>
        <sz val="10"/>
        <color rgb="FFFF0000"/>
        <rFont val="Calibri"/>
        <family val="2"/>
        <scheme val="minor"/>
      </rPr>
      <t xml:space="preserve">Homens: 2014 = 787 euros; 2024 = 1.191 euros; T.v.h. 2014-2024 = +51,3%
Mulheres: 2014 = 787 euros; 2024 = 1.191 euros; T.v.h. 2014-2024 = +51,3%  não se fez esta análise pois não temos esses dados no quadro das séries
</t>
    </r>
  </si>
  <si>
    <t xml:space="preserve">Total: </t>
  </si>
  <si>
    <t xml:space="preserve"> = </t>
  </si>
  <si>
    <t xml:space="preserve"> Homens entre </t>
  </si>
  <si>
    <t xml:space="preserve"> Mulheres entre </t>
  </si>
  <si>
    <t xml:space="preserve"> H entre </t>
  </si>
  <si>
    <t xml:space="preserve"> M entre </t>
  </si>
  <si>
    <t xml:space="preserve">Remuneração base mediana: </t>
  </si>
  <si>
    <t xml:space="preserve"> T entre </t>
  </si>
  <si>
    <t xml:space="preserve"> Total, Homens e Mulheres</t>
  </si>
  <si>
    <t xml:space="preserve"> RMMG &gt; limiar de baixos salários, pela primeira vez.</t>
  </si>
  <si>
    <t xml:space="preserve"> Total entre </t>
  </si>
  <si>
    <t>aux ref. Cor mapa</t>
  </si>
  <si>
    <t>79; 129; 189</t>
  </si>
  <si>
    <t>69; 114; 165</t>
  </si>
  <si>
    <t>75; 172; 198</t>
  </si>
  <si>
    <t>44; 77; 117</t>
  </si>
  <si>
    <t>95; 117; 48</t>
  </si>
  <si>
    <t>39; 106; 124</t>
  </si>
  <si>
    <t>1ª Maior região NUTS II</t>
  </si>
  <si>
    <t>2ª Maior região NUTS II</t>
  </si>
  <si>
    <t>1ª Menor região NUTS II</t>
  </si>
  <si>
    <t>2ª Menor região NUTS II</t>
  </si>
  <si>
    <t>Região</t>
  </si>
  <si>
    <t>NUTS II com mais de metade dos TCO estrangeiros</t>
  </si>
  <si>
    <t>NUTS II com menos TCO estrangeiros</t>
  </si>
  <si>
    <t>Nota LR 13/05/2026 - por limitações de espaço não se apresenta esta informação e também dado que a informação por NUTS 2013 prevê-se que seja apresentada apenas nas séries 2014-2024.</t>
  </si>
  <si>
    <t>Anos iguais - 2014, 2015, 2016, 2017 e 2019</t>
  </si>
  <si>
    <t>Anos diferentes - 2018, 2020, 2021, 2022, 2023 e 2024</t>
  </si>
  <si>
    <r>
      <t xml:space="preserve">O </t>
    </r>
    <r>
      <rPr>
        <b/>
        <i/>
        <u/>
        <sz val="10"/>
        <rFont val="Calibri"/>
        <family val="2"/>
      </rPr>
      <t>dashboard</t>
    </r>
    <r>
      <rPr>
        <b/>
        <u/>
        <sz val="10"/>
        <rFont val="Calibri"/>
        <family val="2"/>
      </rPr>
      <t xml:space="preserve"> / Excel interativo - Séries Cronológicas: Quadros de Pessoal 2014-2024</t>
    </r>
    <r>
      <rPr>
        <sz val="10"/>
        <rFont val="Calibri"/>
        <family val="2"/>
      </rPr>
      <t xml:space="preserve"> apresenta </t>
    </r>
    <r>
      <rPr>
        <b/>
        <sz val="10"/>
        <rFont val="Calibri"/>
        <family val="2"/>
      </rPr>
      <t>visualmente</t>
    </r>
    <r>
      <rPr>
        <sz val="10"/>
        <rFont val="Calibri"/>
        <family val="2"/>
      </rPr>
      <t xml:space="preserve">, com representações em diversos tipos de gráfico, os </t>
    </r>
    <r>
      <rPr>
        <b/>
        <sz val="10"/>
        <rFont val="Calibri"/>
        <family val="2"/>
      </rPr>
      <t>dados</t>
    </r>
    <r>
      <rPr>
        <sz val="10"/>
        <rFont val="Calibri"/>
        <family val="2"/>
      </rPr>
      <t xml:space="preserve"> constantes dos quadros da </t>
    </r>
    <r>
      <rPr>
        <b/>
        <sz val="10"/>
        <rFont val="Calibri"/>
        <family val="2"/>
      </rPr>
      <t>publicação</t>
    </r>
    <r>
      <rPr>
        <sz val="10"/>
        <rFont val="Calibri"/>
        <family val="2"/>
      </rPr>
      <t xml:space="preserve"> DGCP/MTSSS, Séries Cronológicas: Quadros de Pessoal 2014-2024 (disponível em formato .pdf e Excel em </t>
    </r>
    <r>
      <rPr>
        <u/>
        <sz val="10"/>
        <color rgb="FF0070C0"/>
        <rFont val="Calibri"/>
        <family val="2"/>
      </rPr>
      <t>www.gep.mtsss.pt</t>
    </r>
    <r>
      <rPr>
        <sz val="10"/>
        <rFont val="Calibri"/>
        <family val="2"/>
      </rPr>
      <t xml:space="preserve">) e permite ao </t>
    </r>
    <r>
      <rPr>
        <b/>
        <sz val="10"/>
        <rFont val="Calibri"/>
        <family val="2"/>
      </rPr>
      <t>utilizador selecionar</t>
    </r>
    <r>
      <rPr>
        <sz val="10"/>
        <rFont val="Calibri"/>
        <family val="2"/>
      </rPr>
      <t xml:space="preserve">, nalguns casos, as </t>
    </r>
    <r>
      <rPr>
        <b/>
        <sz val="10"/>
        <rFont val="Calibri"/>
        <family val="2"/>
      </rPr>
      <t xml:space="preserve">variáveis / anos / desagregações </t>
    </r>
    <r>
      <rPr>
        <sz val="10"/>
        <rFont val="Calibri"/>
        <family val="2"/>
      </rPr>
      <t>que desejar. Contém (cf. folha "</t>
    </r>
    <r>
      <rPr>
        <b/>
        <sz val="10"/>
        <rFont val="Calibri"/>
        <family val="2"/>
      </rPr>
      <t>Capa_Indice</t>
    </r>
    <r>
      <rPr>
        <sz val="10"/>
        <rFont val="Calibri"/>
        <family val="2"/>
      </rPr>
      <t>"), portanto, informação sobre</t>
    </r>
    <r>
      <rPr>
        <b/>
        <sz val="10"/>
        <rFont val="Calibri"/>
        <family val="2"/>
      </rPr>
      <t xml:space="preserve"> </t>
    </r>
    <r>
      <rPr>
        <b/>
        <u/>
        <sz val="10"/>
        <rFont val="Calibri"/>
        <family val="2"/>
      </rPr>
      <t>empresas</t>
    </r>
    <r>
      <rPr>
        <sz val="10"/>
        <rFont val="Calibri"/>
        <family val="2"/>
      </rPr>
      <t xml:space="preserve">; </t>
    </r>
    <r>
      <rPr>
        <b/>
        <u/>
        <sz val="10"/>
        <rFont val="Calibri"/>
        <family val="2"/>
      </rPr>
      <t>estabelecimentos</t>
    </r>
    <r>
      <rPr>
        <sz val="10"/>
        <rFont val="Calibri"/>
        <family val="2"/>
      </rPr>
      <t xml:space="preserve">; </t>
    </r>
    <r>
      <rPr>
        <b/>
        <u/>
        <sz val="10"/>
        <rFont val="Calibri"/>
        <family val="2"/>
      </rPr>
      <t>pessoas ao serviço</t>
    </r>
    <r>
      <rPr>
        <sz val="10"/>
        <rFont val="Calibri"/>
        <family val="2"/>
      </rPr>
      <t>;</t>
    </r>
    <r>
      <rPr>
        <b/>
        <sz val="10"/>
        <rFont val="Calibri"/>
        <family val="2"/>
      </rPr>
      <t xml:space="preserve"> </t>
    </r>
    <r>
      <rPr>
        <b/>
        <u/>
        <sz val="10"/>
        <rFont val="Calibri"/>
        <family val="2"/>
      </rPr>
      <t>TCO</t>
    </r>
    <r>
      <rPr>
        <sz val="10"/>
        <rFont val="Calibri"/>
        <family val="2"/>
      </rPr>
      <t xml:space="preserve">; </t>
    </r>
    <r>
      <rPr>
        <u/>
        <sz val="10"/>
        <rFont val="Calibri"/>
        <family val="2"/>
      </rPr>
      <t>r</t>
    </r>
    <r>
      <rPr>
        <b/>
        <u/>
        <sz val="10"/>
        <rFont val="Calibri"/>
        <family val="2"/>
      </rPr>
      <t>emuneração mensal base</t>
    </r>
    <r>
      <rPr>
        <sz val="10"/>
        <rFont val="Calibri"/>
        <family val="2"/>
      </rPr>
      <t xml:space="preserve"> e </t>
    </r>
    <r>
      <rPr>
        <b/>
        <u/>
        <sz val="10"/>
        <rFont val="Calibri"/>
        <family val="2"/>
      </rPr>
      <t>ganho</t>
    </r>
    <r>
      <rPr>
        <sz val="10"/>
        <rFont val="Calibri"/>
        <family val="2"/>
      </rPr>
      <t>, desagregada por:
- Características das empresas (folhas "</t>
    </r>
    <r>
      <rPr>
        <b/>
        <sz val="10"/>
        <rFont val="Calibri"/>
        <family val="2"/>
      </rPr>
      <t>Estrutura Empresarial</t>
    </r>
    <r>
      <rPr>
        <sz val="10"/>
        <rFont val="Calibri"/>
        <family val="2"/>
      </rPr>
      <t>"); 
- Distritos (folha "</t>
    </r>
    <r>
      <rPr>
        <b/>
        <sz val="10"/>
        <rFont val="Calibri"/>
        <family val="2"/>
      </rPr>
      <t>Distritos</t>
    </r>
    <r>
      <rPr>
        <sz val="10"/>
        <rFont val="Calibri"/>
        <family val="2"/>
      </rPr>
      <t>"), permitindo um retrato do distrito que se selecionar;
- NUTS 2024 (em vigor desde 2024-01-01) e NUTS 2013. 
- Características dos TCO (folhas "Caracteristicas TCO_1" e "Caracteristicas TCO_2").
Contém ainda as folhas:
- "</t>
    </r>
    <r>
      <rPr>
        <b/>
        <sz val="10"/>
        <rFont val="Calibri"/>
        <family val="2"/>
      </rPr>
      <t>Pessoas e TCO_Estrangeiros</t>
    </r>
    <r>
      <rPr>
        <sz val="10"/>
        <rFont val="Calibri"/>
        <family val="2"/>
      </rPr>
      <t>" - dados sobre pessoas de nacionalidade estrangeira desagregados por características das empresas, por NUTS e por características dos TCO.
- "</t>
    </r>
    <r>
      <rPr>
        <b/>
        <sz val="10"/>
        <rFont val="Calibri"/>
        <family val="2"/>
      </rPr>
      <t>Desigualdade_Contratacao</t>
    </r>
    <r>
      <rPr>
        <sz val="10"/>
        <rFont val="Calibri"/>
        <family val="2"/>
      </rPr>
      <t xml:space="preserve">" - alguns indicadores de desigualdade e dados sobre contratação coletiva de trabalho (incluindo remunerações efetivas por tipo de Instrumento de Regulamentação Coletiva de Trabalho - IRCT) 
Os </t>
    </r>
    <r>
      <rPr>
        <b/>
        <sz val="10"/>
        <rFont val="Calibri"/>
        <family val="2"/>
      </rPr>
      <t>Quadros de Pessoal</t>
    </r>
    <r>
      <rPr>
        <sz val="10"/>
        <rFont val="Calibri"/>
        <family val="2"/>
      </rPr>
      <t xml:space="preserve"> constituem o </t>
    </r>
    <r>
      <rPr>
        <b/>
        <sz val="10"/>
        <rFont val="Calibri"/>
        <family val="2"/>
      </rPr>
      <t>anexo A do Relatório Único</t>
    </r>
    <r>
      <rPr>
        <sz val="10"/>
        <rFont val="Calibri"/>
        <family val="2"/>
      </rPr>
      <t xml:space="preserve"> (RU). A obrigatoriedade de resposta ao RU foi definida para os </t>
    </r>
    <r>
      <rPr>
        <b/>
        <sz val="10"/>
        <rFont val="Calibri"/>
        <family val="2"/>
      </rPr>
      <t>empregadores abrangidos pelo Código do Trabalho</t>
    </r>
    <r>
      <rPr>
        <sz val="10"/>
        <rFont val="Calibri"/>
        <family val="2"/>
      </rPr>
      <t xml:space="preserve"> e pela legislação específica dele decorrente, ficando excluídos desta obrigação os serviços e órgãos que apenas tenham trabalhadores abrangidos pelo Regime do Contrato de Trabalho em Funções Públicas, uma vez que têm legislação especial.
</t>
    </r>
    <r>
      <rPr>
        <b/>
        <u/>
        <sz val="10"/>
        <rFont val="Calibri"/>
        <family val="2"/>
      </rPr>
      <t>Mais informações</t>
    </r>
    <r>
      <rPr>
        <sz val="10"/>
        <rFont val="Calibri"/>
        <family val="2"/>
      </rPr>
      <t xml:space="preserve">: DGCP/MTSSS, Quadros de Pessoal 2024 - Síntese e Publicação. DGCP/MTSSS, Séries Cronológicas: Quadros de Pessoal 2014-2024 (disponíveis em </t>
    </r>
    <r>
      <rPr>
        <u/>
        <sz val="10"/>
        <color rgb="FF0070C0"/>
        <rFont val="Calibri"/>
        <family val="2"/>
      </rPr>
      <t>www.gep.mtsss.pt</t>
    </r>
    <r>
      <rPr>
        <sz val="10"/>
        <rFont val="Calibri"/>
        <family val="2"/>
      </rPr>
      <t xml:space="preserve">). </t>
    </r>
    <r>
      <rPr>
        <u/>
        <sz val="10"/>
        <color rgb="FF0070C0"/>
        <rFont val="Calibri"/>
        <family val="2"/>
      </rPr>
      <t>https://www.relatoriounico.pt/ru/documents.seam</t>
    </r>
    <r>
      <rPr>
        <sz val="10"/>
        <rFont val="Calibri"/>
        <family val="2"/>
      </rPr>
      <t>.</t>
    </r>
  </si>
  <si>
    <r>
      <rPr>
        <b/>
        <sz val="10"/>
        <rFont val="Calibri"/>
        <family val="2"/>
        <scheme val="minor"/>
      </rPr>
      <t>Nomenclatura das Unidades Territoriais para Fins Estatísticos (NUTS):</t>
    </r>
    <r>
      <rPr>
        <sz val="10"/>
        <rFont val="Calibri"/>
        <family val="2"/>
        <scheme val="minor"/>
      </rPr>
      <t xml:space="preserve"> As NUTS 2024 estão em vigor desde 2024-01-01 (Regulamento delegado (UE) 2023/674 da Comissão de 26 de dezembro de 2022, publicado no JO L87 de 24/03/2023). Adicionalmente, por necessidade de vários utilizadores, apresentam-se dados por NUTS 2013 (em vigor até 2023-12-31) apurados para todos os anos da série.</t>
    </r>
  </si>
  <si>
    <t>C Total</t>
  </si>
  <si>
    <t>C - Ind. transf.</t>
  </si>
  <si>
    <t>ª região de 5)</t>
  </si>
  <si>
    <t xml:space="preserve"> euros (var. de </t>
  </si>
  <si>
    <t>Área Metropolitana
 do Porto</t>
  </si>
  <si>
    <t>Região
de Aveiro</t>
  </si>
  <si>
    <t>Região 
de Leiria</t>
  </si>
  <si>
    <t>Região de
Coimbra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</si>
</sst>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4" formatCode="_-* #,##0.00\ &quot;€&quot;_-;\-* #,##0.00\ &quot;€&quot;_-;_-* &quot;-&quot;??\ &quot;€&quot;_-;_-@_-"/>
    <numFmt numFmtId="164" formatCode="#,##0;[Red]#,##0"/>
    <numFmt numFmtId="165" formatCode="#,##0.0"/>
    <numFmt numFmtId="166" formatCode="#,##0.0;[Red]#,##0.0"/>
    <numFmt numFmtId="167" formatCode="0.0"/>
    <numFmt numFmtId="168" formatCode="#\ ###\ ##0"/>
    <numFmt numFmtId="169" formatCode="#\ ##0.0"/>
    <numFmt numFmtId="170" formatCode="0.0%"/>
    <numFmt numFmtId="171" formatCode="#,##0\ &quot;€&quot;"/>
    <numFmt numFmtId="172" formatCode="#,##0.0\ &quot;€&quot;"/>
    <numFmt numFmtId="173" formatCode="#,##0.00\ &quot;€&quot;"/>
    <numFmt numFmtId="174" formatCode="\ \ ;0000000000000000000000000000000000000000000000000000000000000000000000000000000000000000000000000000000000000000000000000000000000000000000000000000000000000000000000000000"/>
    <numFmt numFmtId="175" formatCode="\ \ ;0000000000000000000000000000000000000000000000000000000000000000000000000000000000000000000000000000000000000000000000000000000000000000000000000000000000000000000000000000000000000000000000000000000000000000000000000000000000000000000000000000.00"/>
    <numFmt numFmtId="176" formatCode="0.000"/>
    <numFmt numFmtId="177" formatCode="#,##0.000"/>
    <numFmt numFmtId="178" formatCode="0.0000"/>
    <numFmt numFmtId="179" formatCode="#,##0.00000"/>
  </numFmts>
  <fonts count="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sz val="9"/>
      <name val="Arial"/>
      <family val="2"/>
    </font>
    <font>
      <sz val="9"/>
      <name val="Arial"/>
      <family val="2"/>
    </font>
    <font>
      <sz val="8"/>
      <name val="Arial"/>
      <family val="2"/>
    </font>
    <font>
      <b/>
      <sz val="8"/>
      <name val="Arial"/>
      <family val="2"/>
    </font>
    <font>
      <b/>
      <sz val="8"/>
      <color indexed="8"/>
      <name val="Arial"/>
      <family val="2"/>
    </font>
    <font>
      <sz val="10"/>
      <name val="MS Sans Serif"/>
      <family val="2"/>
    </font>
    <font>
      <sz val="8"/>
      <color indexed="8"/>
      <name val="Arial"/>
      <family val="2"/>
    </font>
    <font>
      <sz val="10"/>
      <name val="Arial"/>
      <family val="2"/>
    </font>
    <font>
      <sz val="7"/>
      <name val="Arial"/>
      <family val="2"/>
    </font>
    <font>
      <b/>
      <vertAlign val="superscript"/>
      <sz val="8"/>
      <name val="Arial"/>
      <family val="2"/>
    </font>
    <font>
      <sz val="8"/>
      <name val="Arial"/>
      <family val="2"/>
    </font>
    <font>
      <b/>
      <sz val="9"/>
      <color indexed="8"/>
      <name val="Arial"/>
      <family val="2"/>
    </font>
    <font>
      <b/>
      <u/>
      <sz val="9"/>
      <name val="Arial"/>
      <family val="2"/>
    </font>
    <font>
      <b/>
      <vertAlign val="superscript"/>
      <sz val="9"/>
      <name val="Arial"/>
      <family val="2"/>
    </font>
    <font>
      <b/>
      <sz val="8"/>
      <color indexed="63"/>
      <name val="Arial"/>
      <family val="2"/>
    </font>
    <font>
      <sz val="8"/>
      <color indexed="63"/>
      <name val="Arial"/>
      <family val="2"/>
    </font>
    <font>
      <sz val="11"/>
      <color theme="1"/>
      <name val="Calibri"/>
      <family val="2"/>
      <scheme val="minor"/>
    </font>
    <font>
      <sz val="8"/>
      <color rgb="FFFF0000"/>
      <name val="Arial"/>
      <family val="2"/>
    </font>
    <font>
      <sz val="10"/>
      <name val="Segoe UI"/>
      <family val="2"/>
    </font>
    <font>
      <b/>
      <sz val="10"/>
      <name val="Segoe UI"/>
      <family val="2"/>
    </font>
    <font>
      <sz val="7"/>
      <color indexed="8"/>
      <name val="Arial"/>
      <family val="2"/>
    </font>
    <font>
      <sz val="11"/>
      <name val="Calibri"/>
      <family val="2"/>
    </font>
    <font>
      <b/>
      <vertAlign val="superscript"/>
      <sz val="8"/>
      <color indexed="8"/>
      <name val="Arial"/>
      <family val="2"/>
    </font>
    <font>
      <b/>
      <sz val="10"/>
      <name val="Arial"/>
      <family val="2"/>
    </font>
    <font>
      <b/>
      <sz val="11"/>
      <color theme="1"/>
      <name val="Calibri"/>
      <family val="2"/>
      <scheme val="minor"/>
    </font>
    <font>
      <b/>
      <sz val="10"/>
      <color theme="1"/>
      <name val="Calibri"/>
      <family val="2"/>
      <scheme val="minor"/>
    </font>
    <font>
      <b/>
      <sz val="8"/>
      <color rgb="FF000000"/>
      <name val="Arial"/>
      <family val="2"/>
    </font>
    <font>
      <b/>
      <sz val="11"/>
      <color theme="1"/>
      <name val="Arial"/>
      <family val="2"/>
    </font>
    <font>
      <sz val="9"/>
      <color theme="1"/>
      <name val="Arial"/>
      <family val="2"/>
    </font>
    <font>
      <sz val="8"/>
      <color theme="1"/>
      <name val="Calibri"/>
      <family val="2"/>
      <scheme val="minor"/>
    </font>
    <font>
      <sz val="10"/>
      <name val="Arial"/>
      <family val="2"/>
    </font>
    <font>
      <b/>
      <sz val="8"/>
      <name val="Calibri"/>
      <family val="2"/>
      <scheme val="minor"/>
    </font>
    <font>
      <b/>
      <sz val="9"/>
      <name val="Calibri"/>
      <family val="2"/>
      <scheme val="minor"/>
    </font>
    <font>
      <sz val="8"/>
      <name val="Calibri"/>
      <family val="2"/>
      <scheme val="minor"/>
    </font>
    <font>
      <sz val="9"/>
      <color rgb="FF000000"/>
      <name val="Calibri"/>
      <family val="2"/>
    </font>
    <font>
      <sz val="8"/>
      <color rgb="FF000000"/>
      <name val="Calibri"/>
      <family val="2"/>
    </font>
    <font>
      <sz val="10"/>
      <color rgb="FFFF0000"/>
      <name val="Arial"/>
      <family val="2"/>
    </font>
    <font>
      <sz val="10"/>
      <name val="Calibri"/>
      <family val="2"/>
      <scheme val="minor"/>
    </font>
    <font>
      <b/>
      <sz val="10"/>
      <name val="Calibri"/>
      <family val="2"/>
      <scheme val="minor"/>
    </font>
    <font>
      <sz val="8"/>
      <color rgb="FF1E1E1E"/>
      <name val="Segoe UI"/>
      <family val="2"/>
    </font>
    <font>
      <sz val="6"/>
      <name val="Calibri"/>
      <family val="2"/>
      <scheme val="minor"/>
    </font>
    <font>
      <sz val="10"/>
      <color rgb="FFFF0000"/>
      <name val="Calibri"/>
      <family val="2"/>
      <scheme val="minor"/>
    </font>
    <font>
      <sz val="9"/>
      <name val="Calibri"/>
      <family val="2"/>
      <scheme val="minor"/>
    </font>
    <font>
      <sz val="8"/>
      <color rgb="FF333333"/>
      <name val="Arial"/>
      <family val="2"/>
    </font>
    <font>
      <b/>
      <u/>
      <sz val="9"/>
      <color rgb="FF000000"/>
      <name val="Calibri"/>
      <family val="2"/>
    </font>
    <font>
      <u/>
      <sz val="9"/>
      <name val="Calibri"/>
      <family val="2"/>
      <scheme val="minor"/>
    </font>
    <font>
      <b/>
      <u/>
      <sz val="9"/>
      <name val="Calibri"/>
      <family val="2"/>
      <scheme val="minor"/>
    </font>
    <font>
      <b/>
      <u/>
      <sz val="10"/>
      <name val="Calibri"/>
      <family val="2"/>
      <scheme val="minor"/>
    </font>
    <font>
      <sz val="9"/>
      <color rgb="FF000000"/>
      <name val="Arial"/>
      <family val="2"/>
    </font>
    <font>
      <sz val="10"/>
      <color rgb="FF7F7F7F"/>
      <name val="Calibri"/>
      <family val="2"/>
    </font>
    <font>
      <sz val="8"/>
      <color rgb="FF00B050"/>
      <name val="Arial"/>
      <family val="2"/>
    </font>
    <font>
      <sz val="10"/>
      <name val="Serif"/>
    </font>
    <font>
      <u/>
      <sz val="11"/>
      <color theme="10"/>
      <name val="Calibri"/>
      <family val="2"/>
      <scheme val="minor"/>
    </font>
    <font>
      <sz val="9"/>
      <color rgb="FF415263"/>
      <name val="Arial"/>
      <family val="2"/>
    </font>
    <font>
      <b/>
      <sz val="9"/>
      <color rgb="FF415263"/>
      <name val="Arial"/>
      <family val="2"/>
    </font>
    <font>
      <b/>
      <sz val="12"/>
      <color rgb="FF842F36"/>
      <name val="Arial"/>
      <family val="2"/>
    </font>
    <font>
      <sz val="9"/>
      <color theme="0"/>
      <name val="Arial"/>
      <family val="2"/>
    </font>
    <font>
      <sz val="9"/>
      <color rgb="FF415263"/>
      <name val="Calibri"/>
      <family val="2"/>
    </font>
    <font>
      <sz val="6"/>
      <color rgb="FF415263"/>
      <name val="Arial"/>
      <family val="2"/>
    </font>
    <font>
      <sz val="10"/>
      <name val="Calibri"/>
      <family val="2"/>
    </font>
    <font>
      <b/>
      <i/>
      <u/>
      <sz val="10"/>
      <name val="Calibri"/>
      <family val="2"/>
    </font>
    <font>
      <b/>
      <u/>
      <sz val="10"/>
      <name val="Calibri"/>
      <family val="2"/>
    </font>
    <font>
      <b/>
      <sz val="10"/>
      <name val="Calibri"/>
      <family val="2"/>
    </font>
    <font>
      <u/>
      <sz val="10"/>
      <color rgb="FF0070C0"/>
      <name val="Calibri"/>
      <family val="2"/>
    </font>
    <font>
      <u/>
      <sz val="10"/>
      <name val="Calibri"/>
      <family val="2"/>
    </font>
    <font>
      <u/>
      <sz val="10"/>
      <color indexed="12"/>
      <name val="Calibri"/>
      <family val="2"/>
      <scheme val="minor"/>
    </font>
    <font>
      <sz val="10"/>
      <color rgb="FF0000FF"/>
      <name val="Calibri"/>
      <family val="2"/>
      <scheme val="minor"/>
    </font>
    <font>
      <b/>
      <sz val="8"/>
      <color rgb="FFFF0000"/>
      <name val="Arial"/>
      <family val="2"/>
    </font>
    <font>
      <sz val="10"/>
      <color indexed="12"/>
      <name val="Arial"/>
      <family val="2"/>
    </font>
    <font>
      <sz val="11"/>
      <color theme="1"/>
      <name val="Calibri Light"/>
      <family val="2"/>
    </font>
    <font>
      <b/>
      <sz val="11"/>
      <color theme="1"/>
      <name val="Calibri Light"/>
      <family val="2"/>
    </font>
    <font>
      <sz val="11"/>
      <name val="Calibri Light"/>
      <family val="2"/>
    </font>
    <font>
      <b/>
      <sz val="7"/>
      <color rgb="FF1F497D"/>
      <name val="Calibri"/>
      <family val="2"/>
    </font>
    <font>
      <sz val="6"/>
      <color rgb="FF000000"/>
      <name val="Calibri"/>
      <family val="2"/>
    </font>
  </fonts>
  <fills count="1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0070C0"/>
        <bgColor indexed="64"/>
      </patternFill>
    </fill>
    <fill>
      <patternFill patternType="solid">
        <fgColor rgb="FFFFFF00"/>
        <bgColor indexed="64"/>
      </patternFill>
    </fill>
    <fill>
      <patternFill patternType="solid">
        <fgColor rgb="FFD9D9D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55"/>
      </patternFill>
    </fill>
    <fill>
      <patternFill patternType="solid">
        <fgColor theme="5" tint="0.79998168889431442"/>
        <bgColor indexed="64"/>
      </patternFill>
    </fill>
    <fill>
      <patternFill patternType="solid">
        <fgColor theme="4" tint="0.79998168889431442"/>
        <bgColor indexed="64"/>
      </patternFill>
    </fill>
    <fill>
      <patternFill patternType="solid">
        <fgColor rgb="FFE1EAEF"/>
        <bgColor indexed="64"/>
      </patternFill>
    </fill>
    <fill>
      <patternFill patternType="solid">
        <fgColor rgb="FFFF0000"/>
        <bgColor indexed="64"/>
      </patternFill>
    </fill>
    <fill>
      <patternFill patternType="solid">
        <fgColor theme="9" tint="-0.249977111117893"/>
        <bgColor indexed="64"/>
      </patternFill>
    </fill>
    <fill>
      <patternFill patternType="solid">
        <fgColor rgb="FFFFC000"/>
        <bgColor indexed="64"/>
      </patternFill>
    </fill>
    <fill>
      <patternFill patternType="solid">
        <fgColor theme="9" tint="0.59999389629810485"/>
        <bgColor indexed="64"/>
      </patternFill>
    </fill>
  </fills>
  <borders count="21">
    <border>
      <left/>
      <right/>
      <top/>
      <bottom/>
      <diagonal/>
    </border>
    <border>
      <left/>
      <right/>
      <top style="thin">
        <color indexed="64"/>
      </top>
      <bottom style="double">
        <color indexed="64"/>
      </bottom>
      <diagonal/>
    </border>
    <border>
      <left/>
      <right/>
      <top/>
      <bottom style="thin">
        <color indexed="64"/>
      </bottom>
      <diagonal/>
    </border>
    <border>
      <left/>
      <right/>
      <top style="double">
        <color indexed="64"/>
      </top>
      <bottom/>
      <diagonal/>
    </border>
    <border>
      <left/>
      <right/>
      <top style="thin">
        <color indexed="64"/>
      </top>
      <bottom/>
      <diagonal/>
    </border>
    <border>
      <left/>
      <right/>
      <top style="double">
        <color indexed="64"/>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499984740745262"/>
      </bottom>
      <diagonal/>
    </border>
    <border>
      <left style="thin">
        <color indexed="64"/>
      </left>
      <right style="thin">
        <color indexed="64"/>
      </right>
      <top style="thin">
        <color indexed="64"/>
      </top>
      <bottom style="thin">
        <color indexed="64"/>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style="thick">
        <color theme="0" tint="-0.24994659260841701"/>
      </left>
      <right/>
      <top/>
      <bottom/>
      <diagonal/>
    </border>
    <border>
      <left style="thin">
        <color theme="0"/>
      </left>
      <right style="thin">
        <color theme="0"/>
      </right>
      <top style="thin">
        <color theme="0"/>
      </top>
      <bottom style="thin">
        <color theme="0"/>
      </bottom>
      <diagonal/>
    </border>
  </borders>
  <cellStyleXfs count="87">
    <xf numFmtId="0" fontId="0" fillId="0" borderId="0"/>
    <xf numFmtId="44" fontId="12" fillId="0" borderId="0" applyFont="0" applyFill="0" applyBorder="0" applyAlignment="0" applyProtection="0"/>
    <xf numFmtId="0" fontId="13" fillId="0" borderId="0" applyNumberFormat="0" applyFill="0" applyBorder="0" applyAlignment="0" applyProtection="0">
      <alignment vertical="top"/>
      <protection locked="0"/>
    </xf>
    <xf numFmtId="0" fontId="19" fillId="0" borderId="0"/>
    <xf numFmtId="0" fontId="12" fillId="0" borderId="0"/>
    <xf numFmtId="0" fontId="21" fillId="0" borderId="0"/>
    <xf numFmtId="0" fontId="12" fillId="0" borderId="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 fillId="0" borderId="0"/>
    <xf numFmtId="0" fontId="12" fillId="0" borderId="0"/>
    <xf numFmtId="0" fontId="12" fillId="0" borderId="0"/>
    <xf numFmtId="0" fontId="11" fillId="0" borderId="0"/>
    <xf numFmtId="0" fontId="10" fillId="0" borderId="0"/>
    <xf numFmtId="0" fontId="9" fillId="0" borderId="0"/>
    <xf numFmtId="9" fontId="44" fillId="0" borderId="0" applyFont="0" applyFill="0" applyBorder="0" applyAlignment="0" applyProtection="0"/>
    <xf numFmtId="0" fontId="12" fillId="0" borderId="0"/>
    <xf numFmtId="0" fontId="12" fillId="0" borderId="0"/>
    <xf numFmtId="0" fontId="4" fillId="0" borderId="0"/>
    <xf numFmtId="0" fontId="2" fillId="0" borderId="0"/>
    <xf numFmtId="0" fontId="66" fillId="0" borderId="0" applyNumberFormat="0" applyFill="0" applyBorder="0" applyAlignment="0" applyProtection="0"/>
    <xf numFmtId="0" fontId="13" fillId="0" borderId="0" applyNumberFormat="0" applyFill="0" applyBorder="0" applyAlignment="0" applyProtection="0">
      <alignment vertical="top"/>
      <protection locked="0"/>
    </xf>
  </cellStyleXfs>
  <cellXfs count="1033">
    <xf numFmtId="0" fontId="0" fillId="0" borderId="0" xfId="0"/>
    <xf numFmtId="0" fontId="15" fillId="0" borderId="0" xfId="4" applyFont="1"/>
    <xf numFmtId="0" fontId="16" fillId="0" borderId="0" xfId="4" applyFont="1"/>
    <xf numFmtId="0" fontId="17" fillId="2" borderId="0" xfId="4" applyFont="1" applyFill="1" applyAlignment="1">
      <alignment horizontal="center" vertical="center" wrapText="1"/>
    </xf>
    <xf numFmtId="0" fontId="17" fillId="2" borderId="1" xfId="3" applyNumberFormat="1" applyFont="1" applyFill="1" applyBorder="1" applyAlignment="1">
      <alignment horizontal="right" vertical="center"/>
    </xf>
    <xf numFmtId="3" fontId="17" fillId="2" borderId="0" xfId="4" applyNumberFormat="1" applyFont="1" applyFill="1" applyBorder="1" applyAlignment="1">
      <alignment horizontal="right"/>
    </xf>
    <xf numFmtId="0" fontId="16" fillId="0" borderId="0" xfId="0" applyFont="1"/>
    <xf numFmtId="0" fontId="17" fillId="2" borderId="2" xfId="0" applyFont="1" applyFill="1" applyBorder="1" applyAlignment="1">
      <alignment horizontal="left"/>
    </xf>
    <xf numFmtId="0" fontId="16" fillId="2" borderId="0" xfId="4" applyFont="1" applyFill="1"/>
    <xf numFmtId="0" fontId="17" fillId="2" borderId="0" xfId="4" applyFont="1" applyFill="1" applyAlignment="1">
      <alignment horizontal="center"/>
    </xf>
    <xf numFmtId="0" fontId="16" fillId="2" borderId="0" xfId="4" applyFont="1" applyFill="1" applyAlignment="1">
      <alignment horizontal="center"/>
    </xf>
    <xf numFmtId="0" fontId="18" fillId="2" borderId="0" xfId="4" applyFont="1" applyFill="1" applyAlignment="1">
      <alignment horizontal="left"/>
    </xf>
    <xf numFmtId="0" fontId="16" fillId="2" borderId="0" xfId="4" applyFont="1" applyFill="1" applyAlignment="1"/>
    <xf numFmtId="0" fontId="17" fillId="2" borderId="1" xfId="3" applyFont="1" applyFill="1" applyBorder="1" applyAlignment="1">
      <alignment horizontal="center" vertical="center"/>
    </xf>
    <xf numFmtId="0" fontId="17" fillId="2" borderId="1" xfId="3" applyNumberFormat="1" applyFont="1" applyFill="1" applyBorder="1" applyAlignment="1">
      <alignment vertical="center"/>
    </xf>
    <xf numFmtId="164" fontId="17" fillId="2" borderId="0" xfId="4" applyNumberFormat="1" applyFont="1" applyFill="1" applyBorder="1" applyAlignment="1">
      <alignment horizontal="left"/>
    </xf>
    <xf numFmtId="164" fontId="17" fillId="2" borderId="0" xfId="4" applyNumberFormat="1" applyFont="1" applyFill="1" applyBorder="1" applyAlignment="1"/>
    <xf numFmtId="164" fontId="17" fillId="2" borderId="2" xfId="4" applyNumberFormat="1" applyFont="1" applyFill="1" applyBorder="1" applyAlignment="1">
      <alignment horizontal="left"/>
    </xf>
    <xf numFmtId="0" fontId="16" fillId="0" borderId="0" xfId="4" applyFont="1" applyAlignment="1">
      <alignment vertical="center"/>
    </xf>
    <xf numFmtId="0" fontId="17" fillId="2" borderId="0" xfId="4" applyFont="1" applyFill="1"/>
    <xf numFmtId="0" fontId="16" fillId="0" borderId="0" xfId="4" applyFont="1" applyAlignment="1"/>
    <xf numFmtId="0" fontId="15" fillId="0" borderId="0" xfId="0" applyFont="1"/>
    <xf numFmtId="0" fontId="16" fillId="2" borderId="0" xfId="0" applyFont="1" applyFill="1"/>
    <xf numFmtId="0" fontId="17" fillId="2" borderId="0" xfId="0" applyFont="1" applyFill="1"/>
    <xf numFmtId="1" fontId="17" fillId="2" borderId="1" xfId="0" applyNumberFormat="1" applyFont="1" applyFill="1" applyBorder="1" applyAlignment="1">
      <alignment vertical="center"/>
    </xf>
    <xf numFmtId="3" fontId="17" fillId="2" borderId="0" xfId="0" applyNumberFormat="1" applyFont="1" applyFill="1" applyAlignment="1"/>
    <xf numFmtId="0" fontId="17" fillId="2" borderId="2" xfId="0" applyFont="1" applyFill="1" applyBorder="1" applyAlignment="1"/>
    <xf numFmtId="0" fontId="16" fillId="0" borderId="0" xfId="0" applyFont="1" applyFill="1"/>
    <xf numFmtId="0" fontId="18" fillId="2" borderId="0" xfId="3" applyFont="1" applyFill="1" applyBorder="1" applyAlignment="1">
      <alignment horizontal="left"/>
    </xf>
    <xf numFmtId="0" fontId="17" fillId="2" borderId="0" xfId="4" applyFont="1" applyFill="1" applyBorder="1" applyAlignment="1">
      <alignment horizontal="right"/>
    </xf>
    <xf numFmtId="0" fontId="17" fillId="2" borderId="1" xfId="3" applyFont="1" applyFill="1" applyBorder="1" applyAlignment="1">
      <alignment horizontal="right" vertical="center"/>
    </xf>
    <xf numFmtId="3" fontId="17" fillId="2" borderId="0" xfId="3" applyNumberFormat="1" applyFont="1" applyFill="1" applyBorder="1" applyAlignment="1">
      <alignment horizontal="right"/>
    </xf>
    <xf numFmtId="0" fontId="17" fillId="2" borderId="0" xfId="4" applyFont="1" applyFill="1" applyBorder="1" applyAlignment="1">
      <alignment horizontal="left"/>
    </xf>
    <xf numFmtId="0" fontId="16" fillId="2" borderId="0" xfId="4" applyFont="1" applyFill="1" applyBorder="1" applyAlignment="1">
      <alignment horizontal="left"/>
    </xf>
    <xf numFmtId="0" fontId="17" fillId="2" borderId="2" xfId="4" applyFont="1" applyFill="1" applyBorder="1" applyAlignment="1">
      <alignment horizontal="center"/>
    </xf>
    <xf numFmtId="0" fontId="17" fillId="2" borderId="2" xfId="4" applyFont="1" applyFill="1" applyBorder="1" applyAlignment="1">
      <alignment horizontal="left"/>
    </xf>
    <xf numFmtId="0" fontId="16" fillId="2" borderId="0" xfId="0" applyFont="1" applyFill="1" applyBorder="1" applyAlignment="1"/>
    <xf numFmtId="0" fontId="14" fillId="0" borderId="0" xfId="5" applyFont="1" applyAlignment="1"/>
    <xf numFmtId="0" fontId="17" fillId="2" borderId="0" xfId="5" applyFont="1" applyFill="1" applyAlignment="1"/>
    <xf numFmtId="0" fontId="17" fillId="0" borderId="0" xfId="5" applyFont="1" applyAlignment="1"/>
    <xf numFmtId="0" fontId="16" fillId="2" borderId="0" xfId="5" applyFont="1" applyFill="1" applyAlignment="1">
      <alignment horizontal="center"/>
    </xf>
    <xf numFmtId="0" fontId="17" fillId="2" borderId="1" xfId="5" applyFont="1" applyFill="1" applyBorder="1" applyAlignment="1">
      <alignment vertical="center"/>
    </xf>
    <xf numFmtId="0" fontId="17" fillId="0" borderId="0" xfId="5" applyFont="1" applyAlignment="1">
      <alignment vertical="center"/>
    </xf>
    <xf numFmtId="0" fontId="17" fillId="2" borderId="0" xfId="5" applyFont="1" applyFill="1" applyBorder="1" applyAlignment="1"/>
    <xf numFmtId="164" fontId="22" fillId="2" borderId="0" xfId="5" applyNumberFormat="1" applyFont="1" applyFill="1" applyBorder="1" applyAlignment="1"/>
    <xf numFmtId="0" fontId="16" fillId="0" borderId="0" xfId="5" applyFont="1" applyAlignment="1"/>
    <xf numFmtId="0" fontId="16" fillId="0" borderId="0" xfId="5" applyFont="1" applyAlignment="1">
      <alignment horizontal="center"/>
    </xf>
    <xf numFmtId="0" fontId="14" fillId="0" borderId="0" xfId="5" applyFont="1"/>
    <xf numFmtId="0" fontId="17" fillId="0" borderId="0" xfId="5" applyFont="1"/>
    <xf numFmtId="0" fontId="16" fillId="0" borderId="0" xfId="5" applyFont="1"/>
    <xf numFmtId="0" fontId="16" fillId="0" borderId="0" xfId="5" applyFont="1" applyBorder="1" applyAlignment="1">
      <alignment horizontal="center"/>
    </xf>
    <xf numFmtId="164" fontId="17" fillId="2" borderId="0" xfId="5" applyNumberFormat="1" applyFont="1" applyFill="1" applyAlignment="1">
      <alignment horizontal="center"/>
    </xf>
    <xf numFmtId="0" fontId="17" fillId="2" borderId="0" xfId="0" applyFont="1" applyFill="1" applyBorder="1" applyAlignment="1">
      <alignment horizontal="center"/>
    </xf>
    <xf numFmtId="3" fontId="18" fillId="2" borderId="0" xfId="0" applyNumberFormat="1" applyFont="1" applyFill="1" applyBorder="1" applyAlignment="1">
      <alignment horizontal="right"/>
    </xf>
    <xf numFmtId="0" fontId="17" fillId="2" borderId="0" xfId="0" applyFont="1" applyFill="1" applyBorder="1" applyAlignment="1">
      <alignment horizontal="left"/>
    </xf>
    <xf numFmtId="0" fontId="16" fillId="2" borderId="0" xfId="0" applyFont="1" applyFill="1" applyAlignment="1">
      <alignment horizontal="left"/>
    </xf>
    <xf numFmtId="0" fontId="16" fillId="2" borderId="0" xfId="0" applyFont="1" applyFill="1" applyBorder="1" applyAlignment="1">
      <alignment horizontal="center"/>
    </xf>
    <xf numFmtId="0" fontId="16" fillId="2" borderId="0" xfId="0" applyFont="1" applyFill="1" applyBorder="1" applyAlignment="1">
      <alignment horizontal="left"/>
    </xf>
    <xf numFmtId="0" fontId="16" fillId="2" borderId="2" xfId="0" applyFont="1" applyFill="1" applyBorder="1" applyAlignment="1">
      <alignment horizontal="center"/>
    </xf>
    <xf numFmtId="0" fontId="16" fillId="0" borderId="0" xfId="5" applyFont="1" applyFill="1"/>
    <xf numFmtId="0" fontId="16" fillId="2" borderId="0" xfId="5" applyFont="1" applyFill="1"/>
    <xf numFmtId="0" fontId="15" fillId="0" borderId="0" xfId="5" applyFont="1" applyFill="1"/>
    <xf numFmtId="0" fontId="16" fillId="0" borderId="0" xfId="5" applyFont="1" applyFill="1" applyBorder="1"/>
    <xf numFmtId="0" fontId="17" fillId="2" borderId="0" xfId="5" applyFont="1" applyFill="1" applyAlignment="1">
      <alignment horizontal="center"/>
    </xf>
    <xf numFmtId="0" fontId="16" fillId="2" borderId="0" xfId="5" applyFont="1" applyFill="1" applyAlignment="1"/>
    <xf numFmtId="0" fontId="17" fillId="2" borderId="0" xfId="5" applyFont="1" applyFill="1"/>
    <xf numFmtId="0" fontId="17" fillId="2" borderId="0" xfId="5" applyFont="1" applyFill="1" applyAlignment="1">
      <alignment horizontal="right"/>
    </xf>
    <xf numFmtId="0" fontId="17" fillId="2" borderId="1" xfId="5" applyFont="1" applyFill="1" applyBorder="1" applyAlignment="1">
      <alignment horizontal="right" vertical="center"/>
    </xf>
    <xf numFmtId="3" fontId="17" fillId="2" borderId="0" xfId="5" applyNumberFormat="1" applyFont="1" applyFill="1" applyBorder="1" applyAlignment="1"/>
    <xf numFmtId="0" fontId="16" fillId="0" borderId="0" xfId="5" applyFont="1" applyFill="1" applyBorder="1" applyAlignment="1"/>
    <xf numFmtId="0" fontId="17" fillId="2" borderId="0" xfId="5" applyFont="1" applyFill="1" applyAlignment="1">
      <alignment horizontal="left"/>
    </xf>
    <xf numFmtId="0" fontId="16" fillId="2" borderId="0" xfId="5" applyFont="1" applyFill="1" applyAlignment="1">
      <alignment horizontal="right"/>
    </xf>
    <xf numFmtId="0" fontId="20" fillId="2" borderId="0" xfId="5" applyFont="1" applyFill="1" applyBorder="1" applyAlignment="1">
      <alignment horizontal="left"/>
    </xf>
    <xf numFmtId="0" fontId="17" fillId="2" borderId="0" xfId="5" applyFont="1" applyFill="1" applyBorder="1" applyAlignment="1">
      <alignment horizontal="left"/>
    </xf>
    <xf numFmtId="0" fontId="20" fillId="2" borderId="2" xfId="5" applyFont="1" applyFill="1" applyBorder="1" applyAlignment="1">
      <alignment horizontal="left"/>
    </xf>
    <xf numFmtId="0" fontId="16" fillId="2" borderId="2" xfId="5" applyFont="1" applyFill="1" applyBorder="1" applyAlignment="1">
      <alignment horizontal="right"/>
    </xf>
    <xf numFmtId="0" fontId="16" fillId="0" borderId="0" xfId="5" applyFont="1" applyBorder="1" applyAlignment="1"/>
    <xf numFmtId="0" fontId="16" fillId="0" borderId="0" xfId="0" applyFont="1" applyAlignment="1">
      <alignment vertical="center" wrapText="1"/>
    </xf>
    <xf numFmtId="0" fontId="16" fillId="0" borderId="0" xfId="0" applyFont="1" applyBorder="1" applyAlignment="1">
      <alignment vertical="center" wrapText="1"/>
    </xf>
    <xf numFmtId="0" fontId="16" fillId="0" borderId="0" xfId="0" applyFont="1" applyAlignment="1">
      <alignment vertical="center"/>
    </xf>
    <xf numFmtId="0" fontId="16" fillId="2" borderId="1" xfId="5" applyFont="1" applyFill="1" applyBorder="1" applyAlignment="1">
      <alignment horizontal="center" vertical="center"/>
    </xf>
    <xf numFmtId="165" fontId="17" fillId="2" borderId="0" xfId="5" applyNumberFormat="1" applyFont="1" applyFill="1" applyBorder="1" applyAlignment="1">
      <alignment horizontal="right"/>
    </xf>
    <xf numFmtId="0" fontId="16" fillId="2" borderId="2" xfId="5" applyFont="1" applyFill="1" applyBorder="1"/>
    <xf numFmtId="0" fontId="16" fillId="2" borderId="2" xfId="5" applyFont="1" applyFill="1" applyBorder="1" applyAlignment="1">
      <alignment horizontal="center"/>
    </xf>
    <xf numFmtId="0" fontId="16" fillId="0" borderId="0" xfId="0" applyFont="1" applyAlignment="1">
      <alignment horizontal="right" vertical="center"/>
    </xf>
    <xf numFmtId="165" fontId="18" fillId="2" borderId="0" xfId="0" applyNumberFormat="1" applyFont="1" applyFill="1" applyBorder="1" applyAlignment="1">
      <alignment horizontal="right"/>
    </xf>
    <xf numFmtId="0" fontId="15" fillId="0" borderId="0" xfId="0" applyFont="1" applyAlignment="1">
      <alignment vertical="center"/>
    </xf>
    <xf numFmtId="165" fontId="17" fillId="2" borderId="0" xfId="4" applyNumberFormat="1" applyFont="1" applyFill="1" applyBorder="1" applyAlignment="1"/>
    <xf numFmtId="0" fontId="16" fillId="2" borderId="0" xfId="0" applyFont="1" applyFill="1" applyAlignment="1">
      <alignment vertical="top"/>
    </xf>
    <xf numFmtId="0" fontId="16" fillId="2" borderId="0" xfId="0" applyFont="1" applyFill="1" applyAlignment="1">
      <alignment vertical="center" wrapText="1"/>
    </xf>
    <xf numFmtId="165" fontId="17" fillId="2" borderId="0" xfId="5" applyNumberFormat="1" applyFont="1" applyFill="1" applyBorder="1" applyAlignment="1"/>
    <xf numFmtId="165" fontId="16" fillId="2" borderId="0" xfId="5" applyNumberFormat="1" applyFont="1" applyFill="1" applyBorder="1" applyAlignment="1"/>
    <xf numFmtId="0" fontId="16" fillId="2" borderId="0" xfId="5" applyFont="1" applyFill="1" applyBorder="1" applyAlignment="1">
      <alignment horizontal="right"/>
    </xf>
    <xf numFmtId="0" fontId="16" fillId="2" borderId="0" xfId="0" applyFont="1" applyFill="1" applyBorder="1" applyAlignment="1">
      <alignment horizontal="left" vertical="top"/>
    </xf>
    <xf numFmtId="0" fontId="16" fillId="2" borderId="0" xfId="0" applyFont="1" applyFill="1" applyBorder="1" applyAlignment="1">
      <alignment vertical="center" wrapText="1"/>
    </xf>
    <xf numFmtId="0" fontId="16" fillId="2" borderId="0" xfId="4" applyFont="1" applyFill="1" applyBorder="1" applyAlignment="1">
      <alignment horizontal="right"/>
    </xf>
    <xf numFmtId="165" fontId="17" fillId="2" borderId="0" xfId="4" applyNumberFormat="1" applyFont="1" applyFill="1" applyBorder="1" applyAlignment="1">
      <alignment horizontal="right"/>
    </xf>
    <xf numFmtId="0" fontId="16" fillId="0" borderId="0" xfId="0" applyFont="1" applyBorder="1" applyAlignment="1">
      <alignment vertical="center"/>
    </xf>
    <xf numFmtId="0" fontId="15" fillId="0" borderId="0" xfId="0" applyFont="1" applyBorder="1" applyAlignment="1">
      <alignment vertical="center" wrapText="1"/>
    </xf>
    <xf numFmtId="0" fontId="16" fillId="0" borderId="0" xfId="0" applyFont="1" applyBorder="1" applyAlignment="1">
      <alignment wrapText="1"/>
    </xf>
    <xf numFmtId="3" fontId="17" fillId="2" borderId="0" xfId="0" applyNumberFormat="1" applyFont="1" applyFill="1" applyBorder="1" applyAlignment="1">
      <alignment horizontal="right" vertical="center"/>
    </xf>
    <xf numFmtId="0" fontId="17" fillId="2" borderId="0" xfId="0" applyFont="1" applyFill="1" applyBorder="1" applyAlignment="1">
      <alignment horizontal="center" vertical="top" wrapText="1"/>
    </xf>
    <xf numFmtId="0" fontId="16" fillId="2" borderId="0" xfId="4" applyFont="1" applyFill="1" applyBorder="1" applyAlignment="1"/>
    <xf numFmtId="0" fontId="0" fillId="2" borderId="0" xfId="0" applyFill="1" applyBorder="1" applyAlignment="1">
      <alignment horizontal="left" vertical="top"/>
    </xf>
    <xf numFmtId="0" fontId="17" fillId="2" borderId="1" xfId="3" applyFont="1" applyFill="1" applyBorder="1" applyAlignment="1">
      <alignment horizontal="left"/>
    </xf>
    <xf numFmtId="1" fontId="15" fillId="0" borderId="0" xfId="0" applyNumberFormat="1" applyFont="1" applyFill="1" applyBorder="1" applyAlignment="1">
      <alignment horizontal="right" vertical="top"/>
    </xf>
    <xf numFmtId="0" fontId="16" fillId="0" borderId="0" xfId="4" applyFont="1" applyBorder="1" applyAlignment="1"/>
    <xf numFmtId="0" fontId="17" fillId="2" borderId="0" xfId="0" applyFont="1" applyFill="1" applyBorder="1" applyAlignment="1">
      <alignment horizontal="left" wrapText="1"/>
    </xf>
    <xf numFmtId="0" fontId="17" fillId="2" borderId="0" xfId="0" applyFont="1" applyFill="1" applyBorder="1" applyAlignment="1">
      <alignment vertical="top" wrapText="1"/>
    </xf>
    <xf numFmtId="0" fontId="17" fillId="2" borderId="2" xfId="0" applyFont="1" applyFill="1" applyBorder="1" applyAlignment="1">
      <alignment horizontal="center" wrapText="1"/>
    </xf>
    <xf numFmtId="0" fontId="16" fillId="2" borderId="1" xfId="0" applyFont="1" applyFill="1" applyBorder="1" applyAlignment="1">
      <alignment horizontal="left" vertical="center"/>
    </xf>
    <xf numFmtId="1" fontId="17" fillId="2" borderId="1" xfId="0" applyNumberFormat="1" applyFont="1" applyFill="1" applyBorder="1" applyAlignment="1">
      <alignment horizontal="right" vertical="center"/>
    </xf>
    <xf numFmtId="0" fontId="16" fillId="0" borderId="0" xfId="0" applyFont="1" applyBorder="1" applyAlignment="1">
      <alignment vertical="top"/>
    </xf>
    <xf numFmtId="164" fontId="17" fillId="2" borderId="0" xfId="4" applyNumberFormat="1" applyFont="1" applyFill="1" applyBorder="1" applyAlignment="1">
      <alignment horizontal="center"/>
    </xf>
    <xf numFmtId="0" fontId="16" fillId="2" borderId="2" xfId="5" applyFont="1" applyFill="1" applyBorder="1" applyAlignment="1"/>
    <xf numFmtId="0" fontId="16" fillId="0" borderId="0" xfId="4" applyFont="1" applyFill="1"/>
    <xf numFmtId="0" fontId="16" fillId="0" borderId="0" xfId="5" applyFont="1" applyFill="1" applyAlignment="1"/>
    <xf numFmtId="0" fontId="14" fillId="0" borderId="0" xfId="5" applyFont="1" applyFill="1"/>
    <xf numFmtId="0" fontId="17" fillId="0" borderId="0" xfId="5" applyFont="1" applyFill="1"/>
    <xf numFmtId="0" fontId="17" fillId="0" borderId="0" xfId="5" applyFont="1" applyFill="1" applyAlignment="1">
      <alignment horizontal="right" vertical="center"/>
    </xf>
    <xf numFmtId="0" fontId="16" fillId="0" borderId="0" xfId="0" applyFont="1" applyFill="1" applyAlignment="1">
      <alignment wrapText="1"/>
    </xf>
    <xf numFmtId="0" fontId="16" fillId="0" borderId="0" xfId="0" applyFont="1" applyFill="1" applyAlignment="1"/>
    <xf numFmtId="0" fontId="16" fillId="0" borderId="0" xfId="5" applyFont="1" applyFill="1" applyAlignment="1">
      <alignment horizontal="right"/>
    </xf>
    <xf numFmtId="0" fontId="17" fillId="0" borderId="0" xfId="5" applyFont="1" applyFill="1" applyAlignment="1"/>
    <xf numFmtId="0" fontId="17" fillId="0" borderId="0" xfId="5" applyFont="1" applyFill="1" applyBorder="1" applyAlignment="1"/>
    <xf numFmtId="0" fontId="16" fillId="0" borderId="0" xfId="5" applyFont="1" applyFill="1" applyBorder="1" applyAlignment="1">
      <alignment horizontal="right"/>
    </xf>
    <xf numFmtId="0" fontId="15" fillId="0" borderId="0" xfId="4" applyFont="1" applyFill="1"/>
    <xf numFmtId="0" fontId="16" fillId="0" borderId="0" xfId="4" applyFont="1" applyFill="1" applyAlignment="1"/>
    <xf numFmtId="0" fontId="15" fillId="0" borderId="0" xfId="0" applyFont="1" applyFill="1" applyAlignment="1">
      <alignment vertical="center"/>
    </xf>
    <xf numFmtId="0" fontId="16" fillId="0" borderId="0" xfId="0" applyFont="1" applyFill="1" applyAlignment="1">
      <alignment vertical="center"/>
    </xf>
    <xf numFmtId="0" fontId="16" fillId="0" borderId="0" xfId="0" applyFont="1" applyFill="1" applyBorder="1" applyAlignment="1"/>
    <xf numFmtId="0" fontId="16" fillId="0" borderId="0" xfId="4" applyFont="1" applyFill="1" applyAlignment="1">
      <alignment horizontal="right"/>
    </xf>
    <xf numFmtId="0" fontId="16" fillId="0" borderId="0" xfId="5" applyFont="1" applyFill="1" applyAlignment="1">
      <alignment horizontal="center"/>
    </xf>
    <xf numFmtId="0" fontId="16" fillId="0" borderId="0" xfId="0" applyFont="1" applyFill="1" applyBorder="1" applyAlignment="1">
      <alignment vertical="center"/>
    </xf>
    <xf numFmtId="0" fontId="15" fillId="0" borderId="0" xfId="0" applyFont="1" applyFill="1" applyAlignment="1">
      <alignment vertical="center" wrapText="1"/>
    </xf>
    <xf numFmtId="0" fontId="16" fillId="0" borderId="0" xfId="0" applyFont="1" applyFill="1" applyAlignment="1">
      <alignment vertical="center" wrapText="1"/>
    </xf>
    <xf numFmtId="0" fontId="17" fillId="0" borderId="0" xfId="0" applyFont="1" applyFill="1" applyBorder="1" applyAlignment="1">
      <alignment horizontal="left" vertical="top" wrapText="1"/>
    </xf>
    <xf numFmtId="0" fontId="16" fillId="0" borderId="0" xfId="0" applyFont="1" applyFill="1" applyBorder="1" applyAlignment="1">
      <alignment vertical="center" wrapText="1"/>
    </xf>
    <xf numFmtId="0" fontId="16" fillId="0" borderId="0" xfId="0" applyFont="1" applyFill="1" applyAlignment="1">
      <alignment horizontal="center" vertical="center"/>
    </xf>
    <xf numFmtId="0" fontId="16" fillId="0" borderId="0" xfId="0" applyFont="1" applyFill="1" applyAlignment="1">
      <alignment horizontal="right" vertical="center"/>
    </xf>
    <xf numFmtId="0" fontId="16" fillId="3" borderId="0" xfId="4" applyFont="1" applyFill="1"/>
    <xf numFmtId="0" fontId="16" fillId="0" borderId="0" xfId="5" applyFont="1" applyFill="1" applyAlignment="1"/>
    <xf numFmtId="0" fontId="17" fillId="2" borderId="2" xfId="0" applyFont="1" applyFill="1" applyBorder="1" applyAlignment="1">
      <alignment horizontal="right" wrapText="1"/>
    </xf>
    <xf numFmtId="0" fontId="16" fillId="3" borderId="0" xfId="5" applyFont="1" applyFill="1" applyAlignment="1"/>
    <xf numFmtId="3" fontId="18" fillId="3" borderId="0" xfId="0" applyNumberFormat="1" applyFont="1" applyFill="1" applyBorder="1" applyAlignment="1">
      <alignment horizontal="right"/>
    </xf>
    <xf numFmtId="0" fontId="28" fillId="0" borderId="0" xfId="0" applyFont="1" applyBorder="1" applyAlignment="1">
      <alignment horizontal="center" vertical="center" wrapText="1"/>
    </xf>
    <xf numFmtId="0" fontId="17" fillId="3" borderId="0" xfId="5" applyFont="1" applyFill="1" applyBorder="1" applyAlignment="1"/>
    <xf numFmtId="0" fontId="17" fillId="2" borderId="1" xfId="5" applyFont="1" applyFill="1" applyBorder="1" applyAlignment="1">
      <alignment horizontal="left" vertical="center"/>
    </xf>
    <xf numFmtId="165" fontId="16" fillId="2" borderId="0" xfId="0" applyNumberFormat="1" applyFont="1" applyFill="1" applyBorder="1" applyAlignment="1">
      <alignment horizontal="right"/>
    </xf>
    <xf numFmtId="0" fontId="17" fillId="4" borderId="0" xfId="5" applyFont="1" applyFill="1" applyBorder="1" applyAlignment="1">
      <alignment horizontal="left" vertical="center"/>
    </xf>
    <xf numFmtId="0" fontId="16" fillId="4" borderId="0" xfId="0" applyFont="1" applyFill="1" applyBorder="1" applyAlignment="1">
      <alignment wrapText="1"/>
    </xf>
    <xf numFmtId="0" fontId="17" fillId="2" borderId="0" xfId="5" applyFont="1" applyFill="1" applyBorder="1" applyAlignment="1">
      <alignment vertical="center"/>
    </xf>
    <xf numFmtId="0" fontId="17" fillId="2" borderId="0" xfId="5" applyFont="1" applyFill="1" applyBorder="1" applyAlignment="1">
      <alignment horizontal="left" vertical="top"/>
    </xf>
    <xf numFmtId="0" fontId="16" fillId="3" borderId="0" xfId="0" applyFont="1" applyFill="1"/>
    <xf numFmtId="0" fontId="17" fillId="3" borderId="0" xfId="4" applyFont="1" applyFill="1" applyBorder="1" applyAlignment="1">
      <alignment horizontal="left"/>
    </xf>
    <xf numFmtId="0" fontId="17" fillId="3" borderId="0" xfId="5" applyFont="1" applyFill="1" applyAlignment="1"/>
    <xf numFmtId="0" fontId="17" fillId="3" borderId="0" xfId="0" applyFont="1" applyFill="1" applyBorder="1" applyAlignment="1">
      <alignment horizontal="left"/>
    </xf>
    <xf numFmtId="0" fontId="17" fillId="3" borderId="1" xfId="5" applyFont="1" applyFill="1" applyBorder="1" applyAlignment="1">
      <alignment vertical="center"/>
    </xf>
    <xf numFmtId="165" fontId="16" fillId="3" borderId="0" xfId="0" applyNumberFormat="1" applyFont="1" applyFill="1" applyBorder="1" applyAlignment="1"/>
    <xf numFmtId="165" fontId="16" fillId="3" borderId="2" xfId="0" applyNumberFormat="1" applyFont="1" applyFill="1" applyBorder="1" applyAlignment="1"/>
    <xf numFmtId="0" fontId="17" fillId="3" borderId="1" xfId="5" applyFont="1" applyFill="1" applyBorder="1" applyAlignment="1">
      <alignment horizontal="right" vertical="center"/>
    </xf>
    <xf numFmtId="0" fontId="16" fillId="0" borderId="0" xfId="5" applyFont="1" applyFill="1" applyAlignment="1"/>
    <xf numFmtId="0" fontId="16" fillId="0" borderId="0" xfId="0" applyFont="1" applyAlignment="1"/>
    <xf numFmtId="165" fontId="17" fillId="3" borderId="0" xfId="4" applyNumberFormat="1" applyFont="1" applyFill="1" applyBorder="1" applyAlignment="1">
      <alignment horizontal="right"/>
    </xf>
    <xf numFmtId="0" fontId="16" fillId="3" borderId="0" xfId="4" applyFont="1" applyFill="1" applyBorder="1" applyAlignment="1">
      <alignment horizontal="right"/>
    </xf>
    <xf numFmtId="0" fontId="14" fillId="0" borderId="0" xfId="5" applyFont="1" applyBorder="1" applyAlignment="1"/>
    <xf numFmtId="0" fontId="16" fillId="0" borderId="0" xfId="0" applyFont="1" applyBorder="1" applyAlignment="1"/>
    <xf numFmtId="0" fontId="17" fillId="3" borderId="0" xfId="0" applyFont="1" applyFill="1" applyBorder="1" applyAlignment="1"/>
    <xf numFmtId="0" fontId="17" fillId="3" borderId="1" xfId="3" applyNumberFormat="1" applyFont="1" applyFill="1" applyBorder="1" applyAlignment="1">
      <alignment horizontal="right" vertical="center"/>
    </xf>
    <xf numFmtId="1" fontId="17" fillId="3" borderId="1" xfId="0" applyNumberFormat="1" applyFont="1" applyFill="1" applyBorder="1" applyAlignment="1">
      <alignment vertical="center"/>
    </xf>
    <xf numFmtId="3" fontId="17" fillId="3" borderId="0" xfId="0" applyNumberFormat="1" applyFont="1" applyFill="1" applyAlignment="1"/>
    <xf numFmtId="0" fontId="16" fillId="0" borderId="0" xfId="5" applyFont="1" applyFill="1" applyAlignment="1"/>
    <xf numFmtId="0" fontId="16" fillId="3" borderId="0" xfId="4" applyFont="1" applyFill="1" applyBorder="1"/>
    <xf numFmtId="0" fontId="18" fillId="3" borderId="0" xfId="3" applyFont="1" applyFill="1" applyBorder="1" applyAlignment="1">
      <alignment horizontal="left"/>
    </xf>
    <xf numFmtId="0" fontId="17" fillId="3" borderId="0" xfId="4" applyFont="1" applyFill="1" applyBorder="1" applyAlignment="1">
      <alignment horizontal="center" vertical="center" wrapText="1"/>
    </xf>
    <xf numFmtId="0" fontId="17" fillId="3" borderId="0" xfId="4" applyFont="1" applyFill="1" applyBorder="1"/>
    <xf numFmtId="3" fontId="0" fillId="0" borderId="0" xfId="0" applyNumberFormat="1"/>
    <xf numFmtId="3" fontId="16" fillId="0" borderId="0" xfId="4" applyNumberFormat="1" applyFont="1" applyFill="1"/>
    <xf numFmtId="0" fontId="16" fillId="3" borderId="0" xfId="5" applyFont="1" applyFill="1"/>
    <xf numFmtId="0" fontId="17" fillId="3" borderId="0" xfId="4" applyFont="1" applyFill="1" applyAlignment="1">
      <alignment horizontal="center"/>
    </xf>
    <xf numFmtId="0" fontId="16" fillId="3" borderId="0" xfId="4" applyFont="1" applyFill="1" applyAlignment="1">
      <alignment horizontal="center"/>
    </xf>
    <xf numFmtId="0" fontId="18" fillId="3" borderId="0" xfId="4" applyFont="1" applyFill="1" applyAlignment="1">
      <alignment horizontal="left"/>
    </xf>
    <xf numFmtId="0" fontId="16" fillId="3" borderId="0" xfId="4" applyFont="1" applyFill="1" applyAlignment="1"/>
    <xf numFmtId="0" fontId="17" fillId="3" borderId="0" xfId="5" applyFont="1" applyFill="1"/>
    <xf numFmtId="0" fontId="17" fillId="3" borderId="0" xfId="5" applyFont="1" applyFill="1" applyAlignment="1">
      <alignment horizontal="right"/>
    </xf>
    <xf numFmtId="164" fontId="17" fillId="3" borderId="0" xfId="5" applyNumberFormat="1" applyFont="1" applyFill="1" applyAlignment="1">
      <alignment horizontal="center"/>
    </xf>
    <xf numFmtId="0" fontId="17" fillId="2" borderId="2" xfId="0" applyFont="1" applyFill="1" applyBorder="1" applyAlignment="1">
      <alignment horizontal="right" wrapText="1"/>
    </xf>
    <xf numFmtId="0" fontId="17" fillId="3" borderId="2" xfId="5" applyFont="1" applyFill="1" applyBorder="1" applyAlignment="1"/>
    <xf numFmtId="164" fontId="16" fillId="3" borderId="0" xfId="5" applyNumberFormat="1" applyFont="1" applyFill="1" applyAlignment="1"/>
    <xf numFmtId="0" fontId="17" fillId="2" borderId="2" xfId="0" applyFont="1" applyFill="1" applyBorder="1" applyAlignment="1">
      <alignment horizontal="right" wrapText="1"/>
    </xf>
    <xf numFmtId="4" fontId="17" fillId="3" borderId="0" xfId="4" applyNumberFormat="1" applyFont="1" applyFill="1" applyBorder="1" applyAlignment="1">
      <alignment horizontal="left"/>
    </xf>
    <xf numFmtId="0" fontId="17" fillId="0" borderId="0" xfId="5" applyFont="1" applyBorder="1" applyAlignment="1"/>
    <xf numFmtId="0" fontId="17" fillId="2" borderId="0" xfId="0" applyFont="1" applyFill="1" applyBorder="1" applyAlignment="1">
      <alignment wrapText="1"/>
    </xf>
    <xf numFmtId="0" fontId="17" fillId="0" borderId="0" xfId="5" applyFont="1" applyBorder="1" applyAlignment="1">
      <alignment vertical="center"/>
    </xf>
    <xf numFmtId="0" fontId="16" fillId="0" borderId="0" xfId="0" applyFont="1" applyBorder="1"/>
    <xf numFmtId="0" fontId="16" fillId="0" borderId="0" xfId="5" applyFont="1" applyFill="1" applyAlignment="1"/>
    <xf numFmtId="3" fontId="16" fillId="0" borderId="0" xfId="4" applyNumberFormat="1" applyFont="1" applyFill="1" applyAlignment="1"/>
    <xf numFmtId="3" fontId="16" fillId="0" borderId="0" xfId="5" applyNumberFormat="1" applyFont="1" applyFill="1" applyAlignment="1"/>
    <xf numFmtId="3" fontId="16" fillId="0" borderId="0" xfId="0" applyNumberFormat="1" applyFont="1"/>
    <xf numFmtId="165" fontId="16" fillId="0" borderId="0" xfId="4" applyNumberFormat="1" applyFont="1" applyFill="1"/>
    <xf numFmtId="0" fontId="17" fillId="2" borderId="4" xfId="3" applyNumberFormat="1" applyFont="1" applyFill="1" applyBorder="1" applyAlignment="1">
      <alignment horizontal="right" vertical="center"/>
    </xf>
    <xf numFmtId="0" fontId="17" fillId="2" borderId="0" xfId="4" applyFont="1" applyFill="1" applyBorder="1" applyAlignment="1">
      <alignment horizontal="center"/>
    </xf>
    <xf numFmtId="0" fontId="17" fillId="0" borderId="0" xfId="4" applyFont="1" applyFill="1" applyAlignment="1">
      <alignment horizontal="left" wrapText="1"/>
    </xf>
    <xf numFmtId="0" fontId="17" fillId="2" borderId="1" xfId="3" applyNumberFormat="1" applyFont="1" applyFill="1" applyBorder="1" applyAlignment="1">
      <alignment horizontal="left" vertical="center"/>
    </xf>
    <xf numFmtId="0" fontId="16" fillId="0" borderId="0" xfId="5" applyFont="1" applyFill="1" applyAlignment="1"/>
    <xf numFmtId="0" fontId="17" fillId="0" borderId="0" xfId="4" applyFont="1" applyFill="1" applyAlignment="1">
      <alignment wrapText="1"/>
    </xf>
    <xf numFmtId="3" fontId="16" fillId="0" borderId="0" xfId="0" applyNumberFormat="1" applyFont="1" applyFill="1" applyAlignment="1"/>
    <xf numFmtId="0" fontId="17" fillId="3" borderId="0" xfId="0" applyFont="1" applyFill="1"/>
    <xf numFmtId="0" fontId="17" fillId="3" borderId="2" xfId="0" applyFont="1" applyFill="1" applyBorder="1" applyAlignment="1"/>
    <xf numFmtId="3" fontId="16" fillId="3" borderId="0" xfId="0" applyNumberFormat="1" applyFont="1" applyFill="1" applyBorder="1" applyAlignment="1"/>
    <xf numFmtId="0" fontId="17" fillId="3" borderId="0" xfId="4" applyFont="1" applyFill="1"/>
    <xf numFmtId="165" fontId="16" fillId="2" borderId="2" xfId="0" applyNumberFormat="1" applyFont="1" applyFill="1" applyBorder="1" applyAlignment="1">
      <alignment horizontal="right"/>
    </xf>
    <xf numFmtId="0" fontId="17" fillId="2" borderId="2" xfId="0" applyFont="1" applyFill="1" applyBorder="1" applyAlignment="1">
      <alignment horizontal="right" wrapText="1"/>
    </xf>
    <xf numFmtId="0" fontId="17" fillId="3" borderId="0" xfId="0" applyFont="1" applyFill="1" applyBorder="1" applyAlignment="1">
      <alignment horizontal="center"/>
    </xf>
    <xf numFmtId="0" fontId="16" fillId="3" borderId="0" xfId="0" applyFont="1" applyFill="1" applyAlignment="1"/>
    <xf numFmtId="0" fontId="17" fillId="2" borderId="2" xfId="0" applyFont="1" applyFill="1" applyBorder="1" applyAlignment="1">
      <alignment horizontal="right" wrapText="1"/>
    </xf>
    <xf numFmtId="0" fontId="15" fillId="3" borderId="0" xfId="0" applyFont="1" applyFill="1" applyAlignment="1">
      <alignment vertical="center" wrapText="1"/>
    </xf>
    <xf numFmtId="0" fontId="31" fillId="3" borderId="0" xfId="0" applyFont="1" applyFill="1" applyAlignment="1"/>
    <xf numFmtId="0" fontId="16" fillId="3" borderId="0" xfId="0" applyFont="1" applyFill="1" applyAlignment="1">
      <alignment vertical="center"/>
    </xf>
    <xf numFmtId="4" fontId="18" fillId="2" borderId="0" xfId="0" applyNumberFormat="1" applyFont="1" applyFill="1" applyBorder="1" applyAlignment="1">
      <alignment horizontal="right"/>
    </xf>
    <xf numFmtId="0" fontId="17" fillId="2" borderId="0" xfId="4" applyFont="1" applyFill="1" applyBorder="1" applyAlignment="1">
      <alignment horizontal="left"/>
    </xf>
    <xf numFmtId="0" fontId="17" fillId="2" borderId="2" xfId="0" applyFont="1" applyFill="1" applyBorder="1" applyAlignment="1">
      <alignment horizontal="right" wrapText="1"/>
    </xf>
    <xf numFmtId="0" fontId="32" fillId="0" borderId="0" xfId="0" applyNumberFormat="1" applyFont="1" applyFill="1" applyBorder="1" applyAlignment="1" applyProtection="1"/>
    <xf numFmtId="0" fontId="17" fillId="2" borderId="2" xfId="0" applyFont="1" applyFill="1" applyBorder="1" applyAlignment="1">
      <alignment horizontal="right" wrapText="1"/>
    </xf>
    <xf numFmtId="0" fontId="14" fillId="0" borderId="0" xfId="74" applyFont="1" applyAlignment="1"/>
    <xf numFmtId="0" fontId="17" fillId="3" borderId="0" xfId="74" applyFont="1" applyFill="1" applyBorder="1" applyAlignment="1"/>
    <xf numFmtId="0" fontId="17" fillId="2" borderId="0" xfId="74" applyFont="1" applyFill="1" applyAlignment="1"/>
    <xf numFmtId="0" fontId="17" fillId="0" borderId="0" xfId="74" applyFont="1" applyAlignment="1"/>
    <xf numFmtId="0" fontId="17" fillId="2" borderId="1" xfId="74" applyFont="1" applyFill="1" applyBorder="1" applyAlignment="1">
      <alignment horizontal="left" vertical="center"/>
    </xf>
    <xf numFmtId="0" fontId="17" fillId="2" borderId="1" xfId="74" applyFont="1" applyFill="1" applyBorder="1" applyAlignment="1">
      <alignment vertical="center"/>
    </xf>
    <xf numFmtId="0" fontId="17" fillId="0" borderId="0" xfId="74" applyFont="1" applyAlignment="1">
      <alignment vertical="center"/>
    </xf>
    <xf numFmtId="0" fontId="17" fillId="4" borderId="0" xfId="74" applyFont="1" applyFill="1" applyBorder="1" applyAlignment="1">
      <alignment horizontal="left" vertical="center"/>
    </xf>
    <xf numFmtId="0" fontId="16" fillId="0" borderId="0" xfId="74" applyFont="1" applyAlignment="1"/>
    <xf numFmtId="0" fontId="17" fillId="2" borderId="0" xfId="74" applyFont="1" applyFill="1" applyBorder="1" applyAlignment="1">
      <alignment horizontal="left" vertical="top"/>
    </xf>
    <xf numFmtId="0" fontId="17" fillId="2" borderId="0" xfId="74" applyFont="1" applyFill="1" applyBorder="1" applyAlignment="1">
      <alignment vertical="center"/>
    </xf>
    <xf numFmtId="0" fontId="15" fillId="0" borderId="0" xfId="74" applyFont="1" applyFill="1"/>
    <xf numFmtId="0" fontId="17" fillId="2" borderId="0" xfId="74" applyFont="1" applyFill="1" applyAlignment="1">
      <alignment horizontal="center"/>
    </xf>
    <xf numFmtId="0" fontId="16" fillId="0" borderId="0" xfId="74" applyFont="1" applyFill="1"/>
    <xf numFmtId="167" fontId="32" fillId="0" borderId="0" xfId="0" applyNumberFormat="1" applyFont="1" applyFill="1" applyBorder="1" applyAlignment="1" applyProtection="1"/>
    <xf numFmtId="0" fontId="16" fillId="0" borderId="0" xfId="74" applyFont="1" applyFill="1" applyBorder="1"/>
    <xf numFmtId="0" fontId="16" fillId="0" borderId="0" xfId="74" applyFont="1" applyFill="1" applyAlignment="1"/>
    <xf numFmtId="0" fontId="15" fillId="0" borderId="0" xfId="0" applyFont="1" applyFill="1" applyBorder="1" applyAlignment="1">
      <alignment vertical="center" wrapText="1"/>
    </xf>
    <xf numFmtId="0" fontId="17" fillId="2" borderId="0" xfId="74" applyFont="1" applyFill="1"/>
    <xf numFmtId="0" fontId="17" fillId="2" borderId="0" xfId="74" applyFont="1" applyFill="1" applyAlignment="1">
      <alignment horizontal="right"/>
    </xf>
    <xf numFmtId="0" fontId="16" fillId="2" borderId="0" xfId="74" applyFont="1" applyFill="1" applyAlignment="1"/>
    <xf numFmtId="0" fontId="16" fillId="2" borderId="0" xfId="74" applyFont="1" applyFill="1"/>
    <xf numFmtId="0" fontId="17" fillId="2" borderId="1" xfId="74" applyFont="1" applyFill="1" applyBorder="1" applyAlignment="1">
      <alignment horizontal="right" vertical="center"/>
    </xf>
    <xf numFmtId="0" fontId="17" fillId="0" borderId="0" xfId="74" applyFont="1" applyFill="1" applyBorder="1" applyAlignment="1">
      <alignment horizontal="right" vertical="center"/>
    </xf>
    <xf numFmtId="0" fontId="17" fillId="0" borderId="0" xfId="74" applyFont="1" applyFill="1" applyAlignment="1">
      <alignment horizontal="right" vertical="center"/>
    </xf>
    <xf numFmtId="165" fontId="17" fillId="2" borderId="0" xfId="74" applyNumberFormat="1" applyFont="1" applyFill="1" applyBorder="1" applyAlignment="1"/>
    <xf numFmtId="0" fontId="16" fillId="0" borderId="0" xfId="74" applyFont="1" applyFill="1" applyBorder="1" applyAlignment="1"/>
    <xf numFmtId="0" fontId="17" fillId="2" borderId="0" xfId="74" applyFont="1" applyFill="1" applyAlignment="1">
      <alignment horizontal="left"/>
    </xf>
    <xf numFmtId="0" fontId="17" fillId="0" borderId="0" xfId="74" applyFont="1" applyFill="1" applyBorder="1" applyAlignment="1"/>
    <xf numFmtId="0" fontId="17" fillId="0" borderId="0" xfId="74" applyFont="1" applyFill="1" applyAlignment="1"/>
    <xf numFmtId="0" fontId="20" fillId="2" borderId="0" xfId="74" applyFont="1" applyFill="1" applyBorder="1" applyAlignment="1">
      <alignment horizontal="left"/>
    </xf>
    <xf numFmtId="0" fontId="17" fillId="2" borderId="0" xfId="74" applyFont="1" applyFill="1" applyBorder="1" applyAlignment="1">
      <alignment horizontal="left"/>
    </xf>
    <xf numFmtId="0" fontId="20" fillId="2" borderId="2" xfId="74" applyFont="1" applyFill="1" applyBorder="1" applyAlignment="1">
      <alignment horizontal="left"/>
    </xf>
    <xf numFmtId="0" fontId="16" fillId="2" borderId="2" xfId="74" applyFont="1" applyFill="1" applyBorder="1" applyAlignment="1">
      <alignment horizontal="right"/>
    </xf>
    <xf numFmtId="0" fontId="16" fillId="2" borderId="0" xfId="74" applyFont="1" applyFill="1" applyBorder="1" applyAlignment="1">
      <alignment horizontal="right"/>
    </xf>
    <xf numFmtId="0" fontId="16" fillId="2" borderId="0" xfId="74" applyFont="1" applyFill="1" applyBorder="1" applyAlignment="1"/>
    <xf numFmtId="0" fontId="17" fillId="2" borderId="2" xfId="0" applyFont="1" applyFill="1" applyBorder="1" applyAlignment="1">
      <alignment horizontal="right" wrapText="1"/>
    </xf>
    <xf numFmtId="0" fontId="17" fillId="3" borderId="0" xfId="74" applyFont="1" applyFill="1"/>
    <xf numFmtId="0" fontId="17" fillId="0" borderId="0" xfId="74" applyFont="1" applyFill="1"/>
    <xf numFmtId="0" fontId="17" fillId="3" borderId="0" xfId="74" applyFont="1" applyFill="1" applyAlignment="1">
      <alignment horizontal="right" vertical="center"/>
    </xf>
    <xf numFmtId="0" fontId="16" fillId="3" borderId="0" xfId="74" applyFont="1" applyFill="1" applyBorder="1" applyAlignment="1"/>
    <xf numFmtId="0" fontId="17" fillId="3" borderId="0" xfId="74" applyFont="1" applyFill="1" applyAlignment="1"/>
    <xf numFmtId="0" fontId="16" fillId="3" borderId="0" xfId="74" applyFont="1" applyFill="1" applyAlignment="1"/>
    <xf numFmtId="0" fontId="14" fillId="0" borderId="0" xfId="74" applyFont="1" applyFill="1"/>
    <xf numFmtId="0" fontId="16" fillId="2" borderId="0" xfId="74" applyFont="1" applyFill="1" applyAlignment="1">
      <alignment horizontal="center"/>
    </xf>
    <xf numFmtId="0" fontId="16" fillId="2" borderId="1" xfId="74" applyFont="1" applyFill="1" applyBorder="1" applyAlignment="1">
      <alignment horizontal="center" vertical="center"/>
    </xf>
    <xf numFmtId="165" fontId="17" fillId="2" borderId="0" xfId="74" applyNumberFormat="1" applyFont="1" applyFill="1" applyBorder="1" applyAlignment="1">
      <alignment horizontal="right"/>
    </xf>
    <xf numFmtId="0" fontId="16" fillId="2" borderId="2" xfId="74" applyFont="1" applyFill="1" applyBorder="1"/>
    <xf numFmtId="0" fontId="16" fillId="2" borderId="2" xfId="74" applyFont="1" applyFill="1" applyBorder="1" applyAlignment="1">
      <alignment horizontal="center"/>
    </xf>
    <xf numFmtId="0" fontId="17" fillId="2" borderId="0" xfId="74" applyFont="1" applyFill="1" applyBorder="1" applyAlignment="1"/>
    <xf numFmtId="0" fontId="17" fillId="2" borderId="2" xfId="74" applyFont="1" applyFill="1" applyBorder="1" applyAlignment="1"/>
    <xf numFmtId="0" fontId="16" fillId="3" borderId="0" xfId="0" applyFont="1" applyFill="1" applyAlignment="1">
      <alignment vertical="top"/>
    </xf>
    <xf numFmtId="0" fontId="16" fillId="3" borderId="0" xfId="0" applyFont="1" applyFill="1" applyAlignment="1">
      <alignment vertical="center" wrapText="1"/>
    </xf>
    <xf numFmtId="0" fontId="17" fillId="3" borderId="0" xfId="74" applyFont="1" applyFill="1" applyAlignment="1">
      <alignment horizontal="center"/>
    </xf>
    <xf numFmtId="0" fontId="16" fillId="3" borderId="0" xfId="74" applyFont="1" applyFill="1"/>
    <xf numFmtId="0" fontId="17" fillId="3" borderId="0" xfId="4" applyFont="1" applyFill="1" applyBorder="1" applyAlignment="1">
      <alignment horizontal="center"/>
    </xf>
    <xf numFmtId="0" fontId="16" fillId="3" borderId="0" xfId="4" applyFont="1" applyFill="1" applyBorder="1" applyAlignment="1">
      <alignment horizontal="center"/>
    </xf>
    <xf numFmtId="0" fontId="16" fillId="3" borderId="0" xfId="0" applyFont="1" applyFill="1" applyBorder="1" applyAlignment="1">
      <alignment wrapText="1"/>
    </xf>
    <xf numFmtId="0" fontId="16" fillId="3" borderId="0" xfId="0" applyFont="1" applyFill="1" applyAlignment="1">
      <alignment wrapText="1"/>
    </xf>
    <xf numFmtId="166" fontId="16" fillId="3" borderId="0" xfId="74" applyNumberFormat="1" applyFont="1" applyFill="1" applyBorder="1" applyAlignment="1"/>
    <xf numFmtId="0" fontId="17" fillId="3" borderId="0" xfId="4" applyFont="1" applyFill="1" applyAlignment="1">
      <alignment horizontal="center" vertical="center" wrapText="1"/>
    </xf>
    <xf numFmtId="3" fontId="32" fillId="0" borderId="0" xfId="0" applyNumberFormat="1" applyFont="1" applyFill="1" applyBorder="1" applyAlignment="1" applyProtection="1"/>
    <xf numFmtId="165" fontId="16" fillId="0" borderId="0" xfId="74" applyNumberFormat="1" applyFont="1" applyFill="1" applyBorder="1" applyAlignment="1"/>
    <xf numFmtId="165" fontId="17" fillId="0" borderId="0" xfId="74" applyNumberFormat="1" applyFont="1" applyFill="1"/>
    <xf numFmtId="0" fontId="17" fillId="2" borderId="0" xfId="4" applyFont="1" applyFill="1" applyBorder="1" applyAlignment="1">
      <alignment horizontal="justify" vertical="center"/>
    </xf>
    <xf numFmtId="0" fontId="17" fillId="2" borderId="0" xfId="0" applyFont="1" applyFill="1" applyBorder="1" applyAlignment="1">
      <alignment horizontal="justify" vertical="center"/>
    </xf>
    <xf numFmtId="3" fontId="17" fillId="3" borderId="0" xfId="0" applyNumberFormat="1" applyFont="1" applyFill="1" applyBorder="1" applyAlignment="1">
      <alignment horizontal="right" vertical="center"/>
    </xf>
    <xf numFmtId="0" fontId="17" fillId="3" borderId="0" xfId="0" applyFont="1" applyFill="1" applyBorder="1" applyAlignment="1">
      <alignment horizontal="justify" vertical="center"/>
    </xf>
    <xf numFmtId="165" fontId="17" fillId="3" borderId="0" xfId="0" applyNumberFormat="1" applyFont="1" applyFill="1" applyBorder="1" applyAlignment="1">
      <alignment vertical="center"/>
    </xf>
    <xf numFmtId="0" fontId="17" fillId="3" borderId="2" xfId="0" applyFont="1" applyFill="1" applyBorder="1" applyAlignment="1">
      <alignment horizontal="left" wrapText="1"/>
    </xf>
    <xf numFmtId="0" fontId="17" fillId="2" borderId="0" xfId="0" applyFont="1" applyFill="1" applyBorder="1" applyAlignment="1">
      <alignment horizontal="left" vertical="center" wrapText="1"/>
    </xf>
    <xf numFmtId="0" fontId="16" fillId="3" borderId="0" xfId="5" applyFont="1" applyFill="1" applyBorder="1" applyAlignment="1"/>
    <xf numFmtId="165" fontId="17" fillId="3" borderId="0" xfId="4" applyNumberFormat="1" applyFont="1" applyFill="1" applyBorder="1" applyAlignment="1"/>
    <xf numFmtId="167" fontId="16" fillId="3" borderId="0" xfId="0" applyNumberFormat="1" applyFont="1" applyFill="1" applyAlignment="1"/>
    <xf numFmtId="0" fontId="17" fillId="2" borderId="2" xfId="0" applyFont="1" applyFill="1" applyBorder="1" applyAlignment="1">
      <alignment horizontal="right" wrapText="1"/>
    </xf>
    <xf numFmtId="0" fontId="17" fillId="3" borderId="2" xfId="0" applyFont="1" applyFill="1" applyBorder="1" applyAlignment="1">
      <alignment horizontal="right" wrapText="1"/>
    </xf>
    <xf numFmtId="0" fontId="17" fillId="3" borderId="4" xfId="4" applyFont="1" applyFill="1" applyBorder="1" applyAlignment="1"/>
    <xf numFmtId="0" fontId="29" fillId="0" borderId="0" xfId="0" applyFont="1" applyBorder="1" applyAlignment="1">
      <alignment horizontal="right" vertical="center" wrapText="1"/>
    </xf>
    <xf numFmtId="0" fontId="16" fillId="0" borderId="0" xfId="0" applyFont="1" applyFill="1" applyBorder="1"/>
    <xf numFmtId="165" fontId="17" fillId="0" borderId="0" xfId="0" applyNumberFormat="1" applyFont="1" applyFill="1" applyBorder="1" applyAlignment="1">
      <alignment horizontal="right"/>
    </xf>
    <xf numFmtId="3" fontId="16" fillId="0" borderId="0" xfId="0" applyNumberFormat="1" applyFont="1" applyFill="1" applyBorder="1"/>
    <xf numFmtId="167" fontId="16" fillId="0" borderId="0" xfId="0" applyNumberFormat="1" applyFont="1" applyBorder="1"/>
    <xf numFmtId="0" fontId="17" fillId="2" borderId="2" xfId="0" applyFont="1" applyFill="1" applyBorder="1" applyAlignment="1">
      <alignment horizontal="right" wrapText="1"/>
    </xf>
    <xf numFmtId="0" fontId="17" fillId="2" borderId="0" xfId="4" applyFont="1" applyFill="1" applyBorder="1" applyAlignment="1">
      <alignment horizontal="left"/>
    </xf>
    <xf numFmtId="0" fontId="17" fillId="2" borderId="2" xfId="0" applyFont="1" applyFill="1" applyBorder="1" applyAlignment="1">
      <alignment horizontal="right" wrapText="1"/>
    </xf>
    <xf numFmtId="0" fontId="17" fillId="3" borderId="2" xfId="0" applyFont="1" applyFill="1" applyBorder="1" applyAlignment="1">
      <alignment horizontal="right" wrapText="1"/>
    </xf>
    <xf numFmtId="0" fontId="17" fillId="0" borderId="0" xfId="0" applyFont="1" applyBorder="1" applyAlignment="1">
      <alignment horizontal="center" vertical="center" wrapText="1"/>
    </xf>
    <xf numFmtId="0" fontId="17" fillId="0" borderId="0" xfId="0" applyFont="1" applyBorder="1" applyAlignment="1">
      <alignment horizontal="center" wrapText="1"/>
    </xf>
    <xf numFmtId="0" fontId="17" fillId="3" borderId="0" xfId="0" applyFont="1" applyFill="1" applyBorder="1" applyAlignment="1">
      <alignment horizontal="center" wrapText="1"/>
    </xf>
    <xf numFmtId="0" fontId="17" fillId="2" borderId="2" xfId="0" applyFont="1" applyFill="1" applyBorder="1" applyAlignment="1">
      <alignment wrapText="1"/>
    </xf>
    <xf numFmtId="0" fontId="17" fillId="2" borderId="4" xfId="4" applyFont="1" applyFill="1" applyBorder="1" applyAlignment="1"/>
    <xf numFmtId="0" fontId="17" fillId="2" borderId="0" xfId="4" applyFont="1" applyFill="1" applyBorder="1" applyAlignment="1"/>
    <xf numFmtId="0" fontId="28" fillId="3" borderId="0" xfId="0" applyFont="1" applyFill="1" applyBorder="1" applyAlignment="1">
      <alignment horizontal="center" vertical="center" wrapText="1"/>
    </xf>
    <xf numFmtId="0" fontId="17" fillId="2" borderId="2" xfId="0" applyFont="1" applyFill="1" applyBorder="1" applyAlignment="1">
      <alignment horizontal="right" wrapText="1"/>
    </xf>
    <xf numFmtId="0" fontId="17" fillId="0" borderId="0" xfId="0" applyFont="1"/>
    <xf numFmtId="165" fontId="17" fillId="2" borderId="0" xfId="0" applyNumberFormat="1" applyFont="1" applyFill="1" applyBorder="1" applyAlignment="1">
      <alignment horizontal="right"/>
    </xf>
    <xf numFmtId="0" fontId="33" fillId="0" borderId="0" xfId="0" applyNumberFormat="1" applyFont="1" applyFill="1" applyBorder="1" applyAlignment="1" applyProtection="1"/>
    <xf numFmtId="168" fontId="17" fillId="2" borderId="3" xfId="3" applyNumberFormat="1" applyFont="1" applyFill="1" applyBorder="1" applyAlignment="1">
      <alignment horizontal="right"/>
    </xf>
    <xf numFmtId="168" fontId="17" fillId="2" borderId="0" xfId="3" applyNumberFormat="1" applyFont="1" applyFill="1" applyBorder="1" applyAlignment="1">
      <alignment horizontal="right"/>
    </xf>
    <xf numFmtId="168" fontId="16" fillId="2" borderId="0" xfId="3" applyNumberFormat="1" applyFont="1" applyFill="1" applyBorder="1" applyAlignment="1">
      <alignment horizontal="right"/>
    </xf>
    <xf numFmtId="168" fontId="17" fillId="2" borderId="2" xfId="3" applyNumberFormat="1" applyFont="1" applyFill="1" applyBorder="1" applyAlignment="1">
      <alignment horizontal="right"/>
    </xf>
    <xf numFmtId="168" fontId="17" fillId="3" borderId="3" xfId="0" applyNumberFormat="1" applyFont="1" applyFill="1" applyBorder="1" applyAlignment="1"/>
    <xf numFmtId="168" fontId="16" fillId="3" borderId="0" xfId="0" applyNumberFormat="1" applyFont="1" applyFill="1" applyBorder="1" applyAlignment="1"/>
    <xf numFmtId="168" fontId="16" fillId="3" borderId="2" xfId="0" applyNumberFormat="1" applyFont="1" applyFill="1" applyBorder="1" applyAlignment="1"/>
    <xf numFmtId="168" fontId="17" fillId="2" borderId="0" xfId="4" applyNumberFormat="1" applyFont="1" applyFill="1" applyBorder="1" applyAlignment="1"/>
    <xf numFmtId="168" fontId="16" fillId="2" borderId="0" xfId="4" applyNumberFormat="1" applyFont="1" applyFill="1" applyBorder="1" applyAlignment="1"/>
    <xf numFmtId="168" fontId="16" fillId="2" borderId="2" xfId="4" applyNumberFormat="1" applyFont="1" applyFill="1" applyBorder="1" applyAlignment="1"/>
    <xf numFmtId="168" fontId="17" fillId="2" borderId="3" xfId="0" applyNumberFormat="1" applyFont="1" applyFill="1" applyBorder="1" applyAlignment="1"/>
    <xf numFmtId="168" fontId="16" fillId="2" borderId="0" xfId="0" applyNumberFormat="1" applyFont="1" applyFill="1" applyBorder="1" applyAlignment="1"/>
    <xf numFmtId="168" fontId="16" fillId="2" borderId="2" xfId="0" applyNumberFormat="1" applyFont="1" applyFill="1" applyBorder="1" applyAlignment="1"/>
    <xf numFmtId="168" fontId="17" fillId="2" borderId="3" xfId="4" applyNumberFormat="1" applyFont="1" applyFill="1" applyBorder="1" applyAlignment="1"/>
    <xf numFmtId="168" fontId="17" fillId="2" borderId="0" xfId="4" applyNumberFormat="1" applyFont="1" applyFill="1" applyBorder="1" applyAlignment="1">
      <alignment horizontal="right"/>
    </xf>
    <xf numFmtId="168" fontId="16" fillId="2" borderId="0" xfId="4" applyNumberFormat="1" applyFont="1" applyFill="1" applyBorder="1" applyAlignment="1">
      <alignment horizontal="right"/>
    </xf>
    <xf numFmtId="168" fontId="17" fillId="2" borderId="2" xfId="4" applyNumberFormat="1" applyFont="1" applyFill="1" applyBorder="1" applyAlignment="1">
      <alignment horizontal="right"/>
    </xf>
    <xf numFmtId="168" fontId="17" fillId="3" borderId="3" xfId="0" applyNumberFormat="1" applyFont="1" applyFill="1" applyBorder="1"/>
    <xf numFmtId="168" fontId="16" fillId="3" borderId="0" xfId="0" applyNumberFormat="1" applyFont="1" applyFill="1" applyBorder="1"/>
    <xf numFmtId="168" fontId="16" fillId="3" borderId="2" xfId="0" applyNumberFormat="1" applyFont="1" applyFill="1" applyBorder="1"/>
    <xf numFmtId="168" fontId="17" fillId="2" borderId="0" xfId="5" applyNumberFormat="1" applyFont="1" applyFill="1" applyBorder="1" applyAlignment="1"/>
    <xf numFmtId="168" fontId="17" fillId="2" borderId="3" xfId="5" applyNumberFormat="1" applyFont="1" applyFill="1" applyBorder="1" applyAlignment="1"/>
    <xf numFmtId="168" fontId="16" fillId="2" borderId="0" xfId="5" applyNumberFormat="1" applyFont="1" applyFill="1" applyBorder="1" applyAlignment="1"/>
    <xf numFmtId="168" fontId="16" fillId="2" borderId="2" xfId="5" applyNumberFormat="1" applyFont="1" applyFill="1" applyBorder="1" applyAlignment="1"/>
    <xf numFmtId="168" fontId="18" fillId="2" borderId="0" xfId="0" applyNumberFormat="1" applyFont="1" applyFill="1" applyBorder="1" applyAlignment="1">
      <alignment horizontal="right"/>
    </xf>
    <xf numFmtId="168" fontId="18" fillId="2" borderId="3" xfId="0" applyNumberFormat="1" applyFont="1" applyFill="1" applyBorder="1" applyAlignment="1">
      <alignment horizontal="right"/>
    </xf>
    <xf numFmtId="168" fontId="20" fillId="2" borderId="0" xfId="0" applyNumberFormat="1" applyFont="1" applyFill="1" applyBorder="1" applyAlignment="1">
      <alignment horizontal="right"/>
    </xf>
    <xf numFmtId="168" fontId="20" fillId="2" borderId="2" xfId="0" applyNumberFormat="1" applyFont="1" applyFill="1" applyBorder="1" applyAlignment="1">
      <alignment horizontal="right"/>
    </xf>
    <xf numFmtId="168" fontId="22" fillId="3" borderId="0" xfId="5" applyNumberFormat="1" applyFont="1" applyFill="1" applyBorder="1" applyAlignment="1"/>
    <xf numFmtId="168" fontId="22" fillId="3" borderId="2" xfId="5" applyNumberFormat="1" applyFont="1" applyFill="1" applyBorder="1" applyAlignment="1"/>
    <xf numFmtId="168" fontId="17" fillId="3" borderId="0" xfId="0" applyNumberFormat="1" applyFont="1" applyFill="1" applyBorder="1" applyAlignment="1">
      <alignment horizontal="right"/>
    </xf>
    <xf numFmtId="168" fontId="16" fillId="2" borderId="0" xfId="0" applyNumberFormat="1" applyFont="1" applyFill="1" applyBorder="1" applyAlignment="1">
      <alignment horizontal="right"/>
    </xf>
    <xf numFmtId="168" fontId="16" fillId="3" borderId="0" xfId="0" applyNumberFormat="1" applyFont="1" applyFill="1" applyBorder="1" applyAlignment="1">
      <alignment horizontal="right"/>
    </xf>
    <xf numFmtId="169" fontId="17" fillId="3" borderId="3" xfId="74" applyNumberFormat="1" applyFont="1" applyFill="1" applyBorder="1" applyAlignment="1"/>
    <xf numFmtId="169" fontId="17" fillId="3" borderId="0" xfId="74" applyNumberFormat="1" applyFont="1" applyFill="1" applyBorder="1" applyAlignment="1"/>
    <xf numFmtId="169" fontId="16" fillId="3" borderId="0" xfId="74" applyNumberFormat="1" applyFont="1" applyFill="1" applyBorder="1" applyAlignment="1"/>
    <xf numFmtId="169" fontId="16" fillId="3" borderId="2" xfId="74" applyNumberFormat="1" applyFont="1" applyFill="1" applyBorder="1" applyAlignment="1"/>
    <xf numFmtId="168" fontId="17" fillId="2" borderId="0" xfId="0" applyNumberFormat="1" applyFont="1" applyFill="1" applyBorder="1" applyAlignment="1">
      <alignment horizontal="right" vertical="center"/>
    </xf>
    <xf numFmtId="168" fontId="17" fillId="3" borderId="0" xfId="0" applyNumberFormat="1" applyFont="1" applyFill="1" applyBorder="1" applyAlignment="1">
      <alignment horizontal="right" vertical="center"/>
    </xf>
    <xf numFmtId="0" fontId="17" fillId="2" borderId="2" xfId="0" applyFont="1" applyFill="1" applyBorder="1" applyAlignment="1">
      <alignment horizontal="right" wrapText="1"/>
    </xf>
    <xf numFmtId="0" fontId="17" fillId="2" borderId="2" xfId="4" applyFont="1" applyFill="1" applyBorder="1" applyAlignment="1"/>
    <xf numFmtId="169" fontId="17" fillId="0" borderId="0" xfId="5" applyNumberFormat="1" applyFont="1" applyFill="1" applyAlignment="1">
      <alignment horizontal="right" vertical="center"/>
    </xf>
    <xf numFmtId="168" fontId="13" fillId="0" borderId="0" xfId="2" applyNumberFormat="1" applyFill="1" applyAlignment="1" applyProtection="1"/>
    <xf numFmtId="0" fontId="20" fillId="3" borderId="8" xfId="75" applyFont="1" applyFill="1" applyBorder="1" applyAlignment="1">
      <alignment horizontal="left" vertical="center" wrapText="1"/>
    </xf>
    <xf numFmtId="0" fontId="20" fillId="3" borderId="6" xfId="75" applyFont="1" applyFill="1" applyBorder="1" applyAlignment="1">
      <alignment horizontal="left" vertical="center" wrapText="1"/>
    </xf>
    <xf numFmtId="0" fontId="20" fillId="3" borderId="5" xfId="75" applyFont="1" applyFill="1" applyBorder="1" applyAlignment="1">
      <alignment horizontal="left" vertical="center" wrapText="1"/>
    </xf>
    <xf numFmtId="0" fontId="17" fillId="2" borderId="0" xfId="0" applyFont="1" applyFill="1" applyBorder="1" applyAlignment="1"/>
    <xf numFmtId="0" fontId="17" fillId="2" borderId="0" xfId="5" applyFont="1" applyFill="1" applyBorder="1" applyAlignment="1">
      <alignment horizontal="right"/>
    </xf>
    <xf numFmtId="0" fontId="17" fillId="2" borderId="0" xfId="5" applyFont="1" applyFill="1" applyBorder="1" applyAlignment="1">
      <alignment horizontal="center"/>
    </xf>
    <xf numFmtId="0" fontId="16" fillId="2" borderId="0" xfId="5" applyFont="1" applyFill="1" applyBorder="1" applyAlignment="1">
      <alignment horizontal="center"/>
    </xf>
    <xf numFmtId="168" fontId="17" fillId="3" borderId="0" xfId="5" applyNumberFormat="1" applyFont="1" applyFill="1" applyBorder="1" applyAlignment="1"/>
    <xf numFmtId="0" fontId="17" fillId="2" borderId="0" xfId="74" applyFont="1" applyFill="1" applyBorder="1" applyAlignment="1">
      <alignment horizontal="right"/>
    </xf>
    <xf numFmtId="0" fontId="17" fillId="2" borderId="0" xfId="74" applyFont="1" applyFill="1" applyBorder="1" applyAlignment="1">
      <alignment horizontal="center"/>
    </xf>
    <xf numFmtId="0" fontId="16" fillId="2" borderId="0" xfId="74" applyFont="1" applyFill="1" applyBorder="1" applyAlignment="1">
      <alignment horizontal="center"/>
    </xf>
    <xf numFmtId="0" fontId="17" fillId="2" borderId="0" xfId="3" applyFont="1" applyFill="1" applyBorder="1" applyAlignment="1">
      <alignment horizontal="left"/>
    </xf>
    <xf numFmtId="167" fontId="17" fillId="2" borderId="3" xfId="74" applyNumberFormat="1" applyFont="1" applyFill="1" applyBorder="1" applyAlignment="1">
      <alignment vertical="center"/>
    </xf>
    <xf numFmtId="0" fontId="11" fillId="0" borderId="0" xfId="77"/>
    <xf numFmtId="0" fontId="35" fillId="0" borderId="0" xfId="0" applyFont="1" applyFill="1" applyAlignment="1">
      <alignment vertical="center"/>
    </xf>
    <xf numFmtId="0" fontId="17" fillId="3" borderId="2" xfId="0" applyFont="1" applyFill="1" applyBorder="1" applyAlignment="1">
      <alignment horizontal="right" wrapText="1"/>
    </xf>
    <xf numFmtId="0" fontId="17" fillId="0" borderId="0" xfId="4" applyFont="1" applyFill="1" applyAlignment="1">
      <alignment horizontal="left" wrapText="1"/>
    </xf>
    <xf numFmtId="0" fontId="0" fillId="0" borderId="0" xfId="0" applyAlignment="1"/>
    <xf numFmtId="0" fontId="12" fillId="0" borderId="0" xfId="0" applyFont="1" applyAlignment="1">
      <alignment vertical="center"/>
    </xf>
    <xf numFmtId="0" fontId="12" fillId="0" borderId="0" xfId="0" applyFont="1"/>
    <xf numFmtId="0" fontId="37" fillId="0" borderId="0" xfId="0" applyFont="1"/>
    <xf numFmtId="0" fontId="38" fillId="0" borderId="10" xfId="0" applyFont="1" applyBorder="1" applyAlignment="1">
      <alignment horizontal="center" vertical="center" wrapText="1"/>
    </xf>
    <xf numFmtId="0" fontId="12" fillId="0" borderId="0" xfId="81"/>
    <xf numFmtId="0" fontId="37" fillId="0" borderId="0" xfId="0" applyFont="1" applyAlignment="1"/>
    <xf numFmtId="0" fontId="0" fillId="0" borderId="10" xfId="0" applyBorder="1" applyAlignment="1">
      <alignment vertical="center"/>
    </xf>
    <xf numFmtId="0" fontId="0" fillId="0" borderId="10" xfId="0" applyBorder="1" applyAlignment="1">
      <alignment horizontal="center" vertical="center"/>
    </xf>
    <xf numFmtId="0" fontId="0" fillId="0" borderId="10" xfId="0" applyBorder="1" applyAlignment="1">
      <alignment horizontal="left" vertical="center" indent="1"/>
    </xf>
    <xf numFmtId="0" fontId="37" fillId="0" borderId="0" xfId="81" applyFont="1"/>
    <xf numFmtId="0" fontId="12" fillId="4" borderId="10" xfId="81" applyFill="1" applyBorder="1" applyAlignment="1">
      <alignment horizontal="right"/>
    </xf>
    <xf numFmtId="3" fontId="12" fillId="0" borderId="0" xfId="81" applyNumberFormat="1"/>
    <xf numFmtId="168" fontId="16" fillId="0" borderId="0" xfId="4" applyNumberFormat="1" applyFont="1" applyFill="1"/>
    <xf numFmtId="0" fontId="17" fillId="0" borderId="0" xfId="4" applyFont="1" applyFill="1"/>
    <xf numFmtId="168" fontId="16" fillId="2" borderId="3" xfId="3" applyNumberFormat="1" applyFont="1" applyFill="1" applyBorder="1" applyAlignment="1">
      <alignment horizontal="right"/>
    </xf>
    <xf numFmtId="170" fontId="0" fillId="0" borderId="0" xfId="80" applyNumberFormat="1" applyFont="1"/>
    <xf numFmtId="0" fontId="45" fillId="0" borderId="0" xfId="0" applyFont="1" applyAlignment="1">
      <alignment vertical="center"/>
    </xf>
    <xf numFmtId="0" fontId="46" fillId="0" borderId="0" xfId="4" applyFont="1" applyFill="1" applyAlignment="1">
      <alignment vertical="center" wrapText="1"/>
    </xf>
    <xf numFmtId="0" fontId="46" fillId="0" borderId="0" xfId="4" applyFont="1" applyFill="1" applyAlignment="1">
      <alignment vertical="center"/>
    </xf>
    <xf numFmtId="0" fontId="13" fillId="0" borderId="0" xfId="2" applyAlignment="1" applyProtection="1"/>
    <xf numFmtId="0" fontId="0" fillId="0" borderId="0" xfId="0" applyAlignment="1">
      <alignment vertical="center"/>
    </xf>
    <xf numFmtId="0" fontId="17" fillId="2" borderId="0" xfId="3" applyNumberFormat="1" applyFont="1" applyFill="1" applyBorder="1" applyAlignment="1">
      <alignment horizontal="right" vertical="center"/>
    </xf>
    <xf numFmtId="0" fontId="0" fillId="0" borderId="0" xfId="0" pivotButton="1"/>
    <xf numFmtId="0" fontId="0" fillId="0" borderId="0" xfId="0" applyAlignment="1">
      <alignment horizontal="left"/>
    </xf>
    <xf numFmtId="0" fontId="0" fillId="0" borderId="0" xfId="0" applyNumberFormat="1"/>
    <xf numFmtId="2" fontId="0" fillId="0" borderId="0" xfId="0" applyNumberFormat="1"/>
    <xf numFmtId="0" fontId="17" fillId="0" borderId="0" xfId="0" applyFont="1" applyFill="1" applyAlignment="1">
      <alignment vertical="center"/>
    </xf>
    <xf numFmtId="2" fontId="16" fillId="0" borderId="0" xfId="74" applyNumberFormat="1" applyFont="1" applyFill="1" applyBorder="1" applyAlignment="1"/>
    <xf numFmtId="0" fontId="12" fillId="0" borderId="0" xfId="0" applyFont="1" applyFill="1"/>
    <xf numFmtId="0" fontId="47" fillId="0" borderId="0" xfId="0" applyFont="1"/>
    <xf numFmtId="9" fontId="0" fillId="0" borderId="0" xfId="80" applyNumberFormat="1" applyFont="1"/>
    <xf numFmtId="2" fontId="0" fillId="0" borderId="0" xfId="80" applyNumberFormat="1" applyFont="1"/>
    <xf numFmtId="0" fontId="48" fillId="0" borderId="0" xfId="0" applyFont="1" applyAlignment="1">
      <alignment horizontal="left" vertical="center"/>
    </xf>
    <xf numFmtId="167" fontId="0" fillId="0" borderId="0" xfId="0" applyNumberFormat="1"/>
    <xf numFmtId="170" fontId="0" fillId="0" borderId="0" xfId="0" applyNumberFormat="1"/>
    <xf numFmtId="167" fontId="0" fillId="0" borderId="0" xfId="80" applyNumberFormat="1" applyFont="1"/>
    <xf numFmtId="0" fontId="49" fillId="0" borderId="0" xfId="0" applyFont="1" applyAlignment="1">
      <alignment horizontal="left" vertical="center"/>
    </xf>
    <xf numFmtId="168" fontId="16" fillId="0" borderId="0" xfId="4" applyNumberFormat="1" applyFont="1"/>
    <xf numFmtId="0" fontId="12" fillId="6" borderId="0" xfId="0" applyFont="1" applyFill="1"/>
    <xf numFmtId="0" fontId="51" fillId="0" borderId="0" xfId="0" applyFont="1"/>
    <xf numFmtId="0" fontId="52" fillId="0" borderId="0" xfId="0" applyFont="1"/>
    <xf numFmtId="0" fontId="46" fillId="0" borderId="0" xfId="0" applyFont="1"/>
    <xf numFmtId="0" fontId="46" fillId="7" borderId="0" xfId="0" applyFont="1" applyFill="1"/>
    <xf numFmtId="1" fontId="46" fillId="0" borderId="0" xfId="0" applyNumberFormat="1" applyFont="1"/>
    <xf numFmtId="2" fontId="51" fillId="0" borderId="0" xfId="0" applyNumberFormat="1" applyFont="1"/>
    <xf numFmtId="4" fontId="16" fillId="2" borderId="3" xfId="3" applyNumberFormat="1" applyFont="1" applyFill="1" applyBorder="1" applyAlignment="1">
      <alignment horizontal="right"/>
    </xf>
    <xf numFmtId="4" fontId="16" fillId="0" borderId="0" xfId="4" applyNumberFormat="1" applyFont="1" applyFill="1"/>
    <xf numFmtId="0" fontId="53" fillId="0" borderId="0" xfId="0" applyFont="1"/>
    <xf numFmtId="0" fontId="52" fillId="7" borderId="0" xfId="0" applyFont="1" applyFill="1"/>
    <xf numFmtId="0" fontId="46" fillId="0" borderId="0" xfId="0" applyFont="1" applyAlignment="1">
      <alignment horizontal="left"/>
    </xf>
    <xf numFmtId="0" fontId="51" fillId="0" borderId="0" xfId="0" applyFont="1" applyAlignment="1">
      <alignment horizontal="left"/>
    </xf>
    <xf numFmtId="3" fontId="51" fillId="0" borderId="0" xfId="0" applyNumberFormat="1" applyFont="1"/>
    <xf numFmtId="171" fontId="51" fillId="0" borderId="0" xfId="0" applyNumberFormat="1" applyFont="1"/>
    <xf numFmtId="0" fontId="51" fillId="0" borderId="0" xfId="0" applyFont="1" applyFill="1"/>
    <xf numFmtId="1" fontId="51" fillId="0" borderId="0" xfId="0" applyNumberFormat="1" applyFont="1"/>
    <xf numFmtId="0" fontId="46" fillId="0" borderId="0" xfId="0" applyFont="1" applyAlignment="1">
      <alignment wrapText="1"/>
    </xf>
    <xf numFmtId="0" fontId="54" fillId="0" borderId="0" xfId="0" applyFont="1"/>
    <xf numFmtId="172" fontId="0" fillId="0" borderId="0" xfId="0" applyNumberFormat="1"/>
    <xf numFmtId="167" fontId="0" fillId="0" borderId="0" xfId="0" applyNumberFormat="1" applyFill="1"/>
    <xf numFmtId="0" fontId="0" fillId="6" borderId="0" xfId="0" applyFill="1"/>
    <xf numFmtId="0" fontId="51" fillId="6" borderId="0" xfId="0" applyFont="1" applyFill="1"/>
    <xf numFmtId="168" fontId="51" fillId="0" borderId="0" xfId="0" applyNumberFormat="1" applyFont="1"/>
    <xf numFmtId="49" fontId="51" fillId="0" borderId="0" xfId="0" applyNumberFormat="1" applyFont="1"/>
    <xf numFmtId="3" fontId="16" fillId="2" borderId="3" xfId="3" applyNumberFormat="1" applyFont="1" applyFill="1" applyBorder="1" applyAlignment="1">
      <alignment horizontal="right"/>
    </xf>
    <xf numFmtId="167" fontId="51" fillId="0" borderId="0" xfId="0" applyNumberFormat="1" applyFont="1"/>
    <xf numFmtId="0" fontId="51" fillId="0" borderId="0" xfId="0" applyFont="1" applyAlignment="1">
      <alignment vertical="center" wrapText="1"/>
    </xf>
    <xf numFmtId="165" fontId="51" fillId="0" borderId="0" xfId="0" applyNumberFormat="1" applyFont="1"/>
    <xf numFmtId="0" fontId="45" fillId="0" borderId="0" xfId="0" applyFont="1" applyAlignment="1">
      <alignment vertical="center" wrapText="1"/>
    </xf>
    <xf numFmtId="0" fontId="45" fillId="6" borderId="0" xfId="0" applyFont="1" applyFill="1" applyAlignment="1">
      <alignment vertical="center" wrapText="1"/>
    </xf>
    <xf numFmtId="0" fontId="55" fillId="0" borderId="0" xfId="0" applyFont="1"/>
    <xf numFmtId="49" fontId="51" fillId="0" borderId="0" xfId="0" applyNumberFormat="1" applyFont="1" applyAlignment="1">
      <alignment vertical="center" wrapText="1"/>
    </xf>
    <xf numFmtId="0" fontId="56" fillId="0" borderId="0" xfId="0" applyFont="1"/>
    <xf numFmtId="0" fontId="56" fillId="6" borderId="0" xfId="0" applyFont="1" applyFill="1"/>
    <xf numFmtId="0" fontId="46" fillId="6" borderId="0" xfId="0" applyFont="1" applyFill="1"/>
    <xf numFmtId="168" fontId="16" fillId="0" borderId="0" xfId="0" applyNumberFormat="1" applyFont="1" applyFill="1" applyAlignment="1"/>
    <xf numFmtId="169" fontId="16" fillId="0" borderId="0" xfId="0" applyNumberFormat="1" applyFont="1" applyFill="1" applyAlignment="1"/>
    <xf numFmtId="2" fontId="56" fillId="0" borderId="0" xfId="0" applyNumberFormat="1" applyFont="1"/>
    <xf numFmtId="10" fontId="56" fillId="0" borderId="0" xfId="0" applyNumberFormat="1" applyFont="1"/>
    <xf numFmtId="0" fontId="56" fillId="8" borderId="0" xfId="0" applyFont="1" applyFill="1"/>
    <xf numFmtId="0" fontId="56" fillId="9" borderId="0" xfId="0" applyFont="1" applyFill="1"/>
    <xf numFmtId="3" fontId="56" fillId="0" borderId="0" xfId="0" applyNumberFormat="1" applyFont="1"/>
    <xf numFmtId="173" fontId="56" fillId="0" borderId="0" xfId="0" applyNumberFormat="1" applyFont="1"/>
    <xf numFmtId="0" fontId="56" fillId="0" borderId="0" xfId="0" applyFont="1" applyAlignment="1">
      <alignment horizontal="center"/>
    </xf>
    <xf numFmtId="0" fontId="56" fillId="0" borderId="0" xfId="0" applyFont="1" applyAlignment="1">
      <alignment horizontal="center" vertical="center"/>
    </xf>
    <xf numFmtId="0" fontId="45" fillId="0" borderId="0" xfId="0" applyFont="1"/>
    <xf numFmtId="0" fontId="46" fillId="8" borderId="0" xfId="0" applyFont="1" applyFill="1"/>
    <xf numFmtId="0" fontId="46" fillId="9" borderId="0" xfId="0" applyFont="1" applyFill="1"/>
    <xf numFmtId="168" fontId="29" fillId="0" borderId="0" xfId="0" applyNumberFormat="1" applyFont="1" applyBorder="1" applyAlignment="1">
      <alignment horizontal="right" vertical="center" wrapText="1"/>
    </xf>
    <xf numFmtId="4" fontId="56" fillId="0" borderId="0" xfId="0" applyNumberFormat="1" applyFont="1"/>
    <xf numFmtId="0" fontId="56" fillId="0" borderId="0" xfId="0" applyFont="1" applyAlignment="1">
      <alignment vertical="center"/>
    </xf>
    <xf numFmtId="4" fontId="0" fillId="0" borderId="0" xfId="0" applyNumberFormat="1"/>
    <xf numFmtId="167" fontId="56" fillId="0" borderId="0" xfId="0" applyNumberFormat="1" applyFont="1"/>
    <xf numFmtId="3" fontId="46" fillId="0" borderId="0" xfId="0" applyNumberFormat="1" applyFont="1"/>
    <xf numFmtId="170" fontId="56" fillId="0" borderId="0" xfId="80" applyNumberFormat="1" applyFont="1"/>
    <xf numFmtId="0" fontId="17" fillId="3" borderId="0" xfId="5" applyFont="1" applyFill="1" applyBorder="1" applyAlignment="1">
      <alignment vertical="center"/>
    </xf>
    <xf numFmtId="170" fontId="16" fillId="0" borderId="0" xfId="80" applyNumberFormat="1" applyFont="1" applyBorder="1" applyAlignment="1"/>
    <xf numFmtId="165" fontId="57" fillId="10" borderId="0" xfId="82" applyNumberFormat="1" applyFont="1" applyFill="1" applyBorder="1" applyAlignment="1">
      <alignment horizontal="left" vertical="center" indent="2"/>
    </xf>
    <xf numFmtId="0" fontId="51" fillId="0" borderId="0" xfId="0" applyFont="1" applyAlignment="1">
      <alignment horizontal="center"/>
    </xf>
    <xf numFmtId="0" fontId="51" fillId="0" borderId="0" xfId="0" applyFont="1" applyBorder="1"/>
    <xf numFmtId="9" fontId="56" fillId="0" borderId="0" xfId="80" applyFont="1"/>
    <xf numFmtId="167" fontId="56" fillId="0" borderId="0" xfId="80" applyNumberFormat="1" applyFont="1"/>
    <xf numFmtId="165" fontId="56" fillId="0" borderId="0" xfId="0" applyNumberFormat="1" applyFont="1"/>
    <xf numFmtId="170" fontId="56" fillId="0" borderId="0" xfId="0" applyNumberFormat="1" applyFont="1"/>
    <xf numFmtId="9" fontId="56" fillId="0" borderId="0" xfId="0" applyNumberFormat="1" applyFont="1"/>
    <xf numFmtId="0" fontId="56" fillId="0" borderId="0" xfId="0" applyNumberFormat="1" applyFont="1"/>
    <xf numFmtId="165" fontId="0" fillId="0" borderId="0" xfId="0" applyNumberFormat="1"/>
    <xf numFmtId="172" fontId="0" fillId="6" borderId="0" xfId="0" applyNumberFormat="1" applyFill="1"/>
    <xf numFmtId="174" fontId="16" fillId="2" borderId="3" xfId="3" applyNumberFormat="1" applyFont="1" applyFill="1" applyBorder="1" applyAlignment="1">
      <alignment horizontal="right"/>
    </xf>
    <xf numFmtId="175" fontId="16" fillId="0" borderId="0" xfId="4" applyNumberFormat="1" applyFont="1" applyFill="1"/>
    <xf numFmtId="1" fontId="0" fillId="0" borderId="0" xfId="0" applyNumberFormat="1"/>
    <xf numFmtId="0" fontId="12" fillId="0" borderId="0" xfId="0" applyFont="1" applyAlignment="1"/>
    <xf numFmtId="0" fontId="12" fillId="12" borderId="0" xfId="0" applyFont="1" applyFill="1"/>
    <xf numFmtId="0" fontId="12" fillId="11" borderId="0" xfId="0" applyFont="1" applyFill="1"/>
    <xf numFmtId="0" fontId="56" fillId="0" borderId="0" xfId="0" applyFont="1" applyAlignment="1">
      <alignment horizontal="left" vertical="center" wrapText="1"/>
    </xf>
    <xf numFmtId="0" fontId="58" fillId="0" borderId="0" xfId="0" applyFont="1"/>
    <xf numFmtId="0" fontId="48" fillId="0" borderId="0" xfId="0" applyFont="1"/>
    <xf numFmtId="0" fontId="59" fillId="0" borderId="0" xfId="0" applyFont="1"/>
    <xf numFmtId="0" fontId="58" fillId="0" borderId="0" xfId="0" quotePrefix="1" applyFont="1"/>
    <xf numFmtId="167" fontId="12" fillId="0" borderId="0" xfId="0" applyNumberFormat="1" applyFont="1"/>
    <xf numFmtId="0" fontId="51" fillId="0" borderId="0" xfId="0" applyNumberFormat="1" applyFont="1"/>
    <xf numFmtId="0" fontId="46" fillId="0" borderId="0" xfId="0" applyFont="1" applyAlignment="1">
      <alignment vertical="center"/>
    </xf>
    <xf numFmtId="0" fontId="56" fillId="0" borderId="0" xfId="0" applyFont="1" applyAlignment="1">
      <alignment vertical="center" wrapText="1"/>
    </xf>
    <xf numFmtId="0" fontId="56" fillId="0" borderId="0" xfId="0" applyFont="1" applyAlignment="1">
      <alignment wrapText="1"/>
    </xf>
    <xf numFmtId="170" fontId="0" fillId="6" borderId="0" xfId="80" applyNumberFormat="1" applyFont="1" applyFill="1"/>
    <xf numFmtId="0" fontId="17" fillId="0" borderId="1" xfId="3" applyNumberFormat="1" applyFont="1" applyFill="1" applyBorder="1" applyAlignment="1">
      <alignment horizontal="right" vertical="center"/>
    </xf>
    <xf numFmtId="0" fontId="48" fillId="0" borderId="0" xfId="0" applyFont="1" applyAlignment="1">
      <alignment vertical="center"/>
    </xf>
    <xf numFmtId="0" fontId="0" fillId="0" borderId="0" xfId="0" applyFill="1"/>
    <xf numFmtId="0" fontId="46" fillId="0" borderId="0" xfId="0" applyFont="1" applyFill="1"/>
    <xf numFmtId="0" fontId="16" fillId="2" borderId="0" xfId="0" applyFont="1" applyFill="1" applyBorder="1" applyAlignment="1">
      <alignment horizontal="left" vertical="top"/>
    </xf>
    <xf numFmtId="0" fontId="12" fillId="6" borderId="10" xfId="81" applyFill="1" applyBorder="1" applyAlignment="1">
      <alignment horizontal="right"/>
    </xf>
    <xf numFmtId="3" fontId="12" fillId="0" borderId="0" xfId="81" applyNumberFormat="1" applyFill="1"/>
    <xf numFmtId="0" fontId="60" fillId="0" borderId="0" xfId="0" applyFont="1" applyAlignment="1">
      <alignment horizontal="left"/>
    </xf>
    <xf numFmtId="0" fontId="12" fillId="0" borderId="0" xfId="0" applyFont="1" applyAlignment="1">
      <alignment horizontal="center" vertical="center"/>
    </xf>
    <xf numFmtId="170" fontId="0" fillId="6" borderId="13" xfId="80" applyNumberFormat="1" applyFont="1" applyFill="1" applyBorder="1"/>
    <xf numFmtId="9" fontId="0" fillId="6" borderId="14" xfId="80" applyNumberFormat="1" applyFont="1" applyFill="1" applyBorder="1"/>
    <xf numFmtId="170" fontId="0" fillId="0" borderId="13" xfId="80" applyNumberFormat="1" applyFont="1" applyBorder="1"/>
    <xf numFmtId="9" fontId="0" fillId="0" borderId="14" xfId="80" applyNumberFormat="1" applyFont="1" applyFill="1" applyBorder="1"/>
    <xf numFmtId="170" fontId="0" fillId="0" borderId="15" xfId="80" applyNumberFormat="1" applyFont="1" applyBorder="1"/>
    <xf numFmtId="9" fontId="0" fillId="0" borderId="16" xfId="80" applyNumberFormat="1" applyFont="1" applyBorder="1"/>
    <xf numFmtId="9" fontId="0" fillId="0" borderId="14" xfId="80" applyNumberFormat="1" applyFont="1" applyBorder="1"/>
    <xf numFmtId="0" fontId="50" fillId="0" borderId="0" xfId="0" applyFont="1"/>
    <xf numFmtId="9" fontId="0" fillId="6" borderId="0" xfId="0" applyNumberFormat="1" applyFill="1"/>
    <xf numFmtId="0" fontId="0" fillId="0" borderId="0" xfId="0" applyAlignment="1">
      <alignment wrapText="1"/>
    </xf>
    <xf numFmtId="168" fontId="16" fillId="6" borderId="3" xfId="3" applyNumberFormat="1" applyFont="1" applyFill="1" applyBorder="1" applyAlignment="1">
      <alignment horizontal="right"/>
    </xf>
    <xf numFmtId="168" fontId="16" fillId="6" borderId="0" xfId="4" applyNumberFormat="1" applyFont="1" applyFill="1"/>
    <xf numFmtId="168" fontId="0" fillId="6" borderId="0" xfId="0" applyNumberFormat="1" applyFill="1"/>
    <xf numFmtId="1" fontId="0" fillId="6" borderId="0" xfId="0" applyNumberFormat="1" applyFill="1" applyAlignment="1">
      <alignment horizontal="left" indent="2"/>
    </xf>
    <xf numFmtId="0" fontId="50" fillId="6" borderId="0" xfId="0" applyFont="1" applyFill="1"/>
    <xf numFmtId="171" fontId="0" fillId="0" borderId="0" xfId="0" applyNumberFormat="1"/>
    <xf numFmtId="176" fontId="0" fillId="6" borderId="0" xfId="0" applyNumberFormat="1" applyFill="1"/>
    <xf numFmtId="176" fontId="0" fillId="0" borderId="0" xfId="0" applyNumberFormat="1"/>
    <xf numFmtId="0" fontId="61" fillId="0" borderId="0" xfId="0" applyFont="1"/>
    <xf numFmtId="2" fontId="56" fillId="0" borderId="0" xfId="80" applyNumberFormat="1" applyFont="1"/>
    <xf numFmtId="0" fontId="56" fillId="0" borderId="0" xfId="0" applyFont="1" applyFill="1"/>
    <xf numFmtId="177" fontId="56" fillId="0" borderId="0" xfId="0" applyNumberFormat="1" applyFont="1"/>
    <xf numFmtId="173" fontId="56" fillId="0" borderId="0" xfId="0" applyNumberFormat="1" applyFont="1" applyFill="1"/>
    <xf numFmtId="176" fontId="56" fillId="0" borderId="0" xfId="0" applyNumberFormat="1" applyFont="1"/>
    <xf numFmtId="0" fontId="46" fillId="0" borderId="0" xfId="0" applyFont="1" applyAlignment="1">
      <alignment vertical="center" wrapText="1"/>
    </xf>
    <xf numFmtId="0" fontId="46" fillId="0" borderId="0" xfId="0" applyFont="1" applyAlignment="1"/>
    <xf numFmtId="176" fontId="56" fillId="0" borderId="0" xfId="80" applyNumberFormat="1" applyFont="1"/>
    <xf numFmtId="178" fontId="56" fillId="0" borderId="0" xfId="80" applyNumberFormat="1" applyFont="1"/>
    <xf numFmtId="0" fontId="52" fillId="0" borderId="0" xfId="0" applyFont="1" applyFill="1"/>
    <xf numFmtId="165" fontId="51" fillId="0" borderId="0" xfId="0" applyNumberFormat="1" applyFont="1" applyFill="1"/>
    <xf numFmtId="0" fontId="55" fillId="6" borderId="0" xfId="0" applyFont="1" applyFill="1"/>
    <xf numFmtId="167" fontId="51" fillId="6" borderId="0" xfId="0" applyNumberFormat="1" applyFont="1" applyFill="1" applyAlignment="1">
      <alignment horizontal="right"/>
    </xf>
    <xf numFmtId="0" fontId="52" fillId="6" borderId="0" xfId="0" applyFont="1" applyFill="1"/>
    <xf numFmtId="171" fontId="51" fillId="6" borderId="0" xfId="0" applyNumberFormat="1" applyFont="1" applyFill="1"/>
    <xf numFmtId="2" fontId="51" fillId="6" borderId="0" xfId="0" applyNumberFormat="1" applyFont="1" applyFill="1"/>
    <xf numFmtId="171" fontId="52" fillId="0" borderId="0" xfId="0" applyNumberFormat="1" applyFont="1"/>
    <xf numFmtId="171" fontId="52" fillId="6" borderId="0" xfId="0" applyNumberFormat="1" applyFont="1" applyFill="1"/>
    <xf numFmtId="176" fontId="0" fillId="0" borderId="0" xfId="0" applyNumberFormat="1" applyFill="1"/>
    <xf numFmtId="0" fontId="37" fillId="0" borderId="0" xfId="0" applyFont="1" applyAlignment="1">
      <alignment horizontal="right"/>
    </xf>
    <xf numFmtId="177" fontId="0" fillId="0" borderId="0" xfId="0" applyNumberFormat="1"/>
    <xf numFmtId="0" fontId="0" fillId="0" borderId="0" xfId="0" applyFill="1" applyAlignment="1">
      <alignment vertical="center"/>
    </xf>
    <xf numFmtId="168" fontId="16" fillId="0" borderId="0" xfId="0" applyNumberFormat="1" applyFont="1"/>
    <xf numFmtId="167" fontId="16" fillId="0" borderId="0" xfId="0" applyNumberFormat="1" applyFont="1"/>
    <xf numFmtId="170" fontId="0" fillId="6" borderId="0" xfId="0" applyNumberFormat="1" applyFill="1"/>
    <xf numFmtId="167" fontId="16" fillId="0" borderId="0" xfId="4" applyNumberFormat="1" applyFont="1"/>
    <xf numFmtId="0" fontId="17" fillId="0" borderId="0" xfId="4" applyFont="1"/>
    <xf numFmtId="167" fontId="17" fillId="0" borderId="0" xfId="5" applyNumberFormat="1" applyFont="1" applyAlignment="1"/>
    <xf numFmtId="2" fontId="17" fillId="0" borderId="0" xfId="5" applyNumberFormat="1" applyFont="1" applyFill="1"/>
    <xf numFmtId="2" fontId="28" fillId="0" borderId="0" xfId="0" applyNumberFormat="1" applyFont="1" applyBorder="1" applyAlignment="1">
      <alignment horizontal="center" vertical="center" wrapText="1"/>
    </xf>
    <xf numFmtId="165" fontId="17" fillId="0" borderId="0" xfId="0" applyNumberFormat="1" applyFont="1" applyBorder="1" applyAlignment="1">
      <alignment horizontal="center" wrapText="1"/>
    </xf>
    <xf numFmtId="177" fontId="17" fillId="0" borderId="0" xfId="0" applyNumberFormat="1" applyFont="1" applyBorder="1" applyAlignment="1">
      <alignment horizontal="center" wrapText="1"/>
    </xf>
    <xf numFmtId="177" fontId="17" fillId="3" borderId="0" xfId="0" applyNumberFormat="1" applyFont="1" applyFill="1" applyBorder="1" applyAlignment="1">
      <alignment horizontal="center" wrapText="1"/>
    </xf>
    <xf numFmtId="167" fontId="17" fillId="0" borderId="0" xfId="74" applyNumberFormat="1" applyFont="1" applyFill="1" applyAlignment="1"/>
    <xf numFmtId="2" fontId="64" fillId="0" borderId="0" xfId="74" applyNumberFormat="1" applyFont="1" applyFill="1" applyBorder="1" applyAlignment="1"/>
    <xf numFmtId="0" fontId="17" fillId="6" borderId="0" xfId="74" applyFont="1" applyFill="1"/>
    <xf numFmtId="167" fontId="64" fillId="0" borderId="0" xfId="74" applyNumberFormat="1" applyFont="1" applyFill="1" applyBorder="1" applyAlignment="1"/>
    <xf numFmtId="0" fontId="16" fillId="6" borderId="0" xfId="74" applyFont="1" applyFill="1"/>
    <xf numFmtId="164" fontId="17" fillId="2" borderId="0" xfId="4" applyNumberFormat="1" applyFont="1" applyFill="1" applyBorder="1" applyAlignment="1">
      <alignment horizontal="left" indent="1"/>
    </xf>
    <xf numFmtId="0" fontId="15" fillId="0" borderId="0" xfId="81" applyFont="1" applyAlignment="1">
      <alignment vertical="center"/>
    </xf>
    <xf numFmtId="0" fontId="17" fillId="2" borderId="2" xfId="81" applyFont="1" applyFill="1" applyBorder="1" applyAlignment="1">
      <alignment horizontal="right" wrapText="1"/>
    </xf>
    <xf numFmtId="0" fontId="17" fillId="2" borderId="2" xfId="81" applyFont="1" applyFill="1" applyBorder="1" applyAlignment="1">
      <alignment wrapText="1"/>
    </xf>
    <xf numFmtId="0" fontId="16" fillId="0" borderId="0" xfId="81" applyFont="1" applyAlignment="1">
      <alignment vertical="center"/>
    </xf>
    <xf numFmtId="0" fontId="16" fillId="0" borderId="0" xfId="81" applyFont="1" applyAlignment="1">
      <alignment horizontal="right" vertical="center"/>
    </xf>
    <xf numFmtId="0" fontId="16" fillId="0" borderId="0" xfId="81" applyFont="1"/>
    <xf numFmtId="170" fontId="0" fillId="0" borderId="13" xfId="80" applyNumberFormat="1" applyFont="1" applyFill="1" applyBorder="1"/>
    <xf numFmtId="0" fontId="65" fillId="0" borderId="0" xfId="0" applyFont="1"/>
    <xf numFmtId="171" fontId="51" fillId="0" borderId="0" xfId="0" applyNumberFormat="1" applyFont="1" applyFill="1"/>
    <xf numFmtId="4" fontId="51" fillId="0" borderId="0" xfId="0" applyNumberFormat="1" applyFont="1"/>
    <xf numFmtId="0" fontId="45" fillId="6" borderId="0" xfId="0" applyFont="1" applyFill="1" applyAlignment="1">
      <alignment vertical="center"/>
    </xf>
    <xf numFmtId="0" fontId="51" fillId="0" borderId="0" xfId="0" applyFont="1" applyAlignment="1"/>
    <xf numFmtId="0" fontId="52" fillId="0" borderId="0" xfId="0" applyFont="1" applyAlignment="1">
      <alignment vertical="center" wrapText="1"/>
    </xf>
    <xf numFmtId="0" fontId="52" fillId="0" borderId="0" xfId="0" applyFont="1" applyAlignment="1">
      <alignment horizontal="center" vertical="center" wrapText="1"/>
    </xf>
    <xf numFmtId="3" fontId="51" fillId="6" borderId="0" xfId="0" applyNumberFormat="1" applyFont="1" applyFill="1"/>
    <xf numFmtId="3" fontId="51" fillId="12" borderId="0" xfId="0" applyNumberFormat="1" applyFont="1" applyFill="1"/>
    <xf numFmtId="1" fontId="51" fillId="0" borderId="0" xfId="0" applyNumberFormat="1" applyFont="1" applyAlignment="1">
      <alignment vertical="center" wrapText="1"/>
    </xf>
    <xf numFmtId="165" fontId="16" fillId="0" borderId="0" xfId="0" applyNumberFormat="1" applyFont="1"/>
    <xf numFmtId="1" fontId="51" fillId="6" borderId="0" xfId="0" applyNumberFormat="1" applyFont="1" applyFill="1" applyAlignment="1">
      <alignment vertical="center"/>
    </xf>
    <xf numFmtId="0" fontId="17" fillId="0" borderId="0" xfId="4" applyFont="1" applyFill="1" applyAlignment="1">
      <alignment horizontal="left" wrapText="1"/>
    </xf>
    <xf numFmtId="0" fontId="15" fillId="0" borderId="0" xfId="81" applyFont="1" applyFill="1" applyAlignment="1">
      <alignment vertical="center"/>
    </xf>
    <xf numFmtId="0" fontId="17" fillId="2" borderId="0" xfId="81" applyFont="1" applyFill="1" applyBorder="1" applyAlignment="1">
      <alignment horizontal="center" vertical="center" wrapText="1"/>
    </xf>
    <xf numFmtId="0" fontId="17" fillId="2" borderId="0" xfId="81" applyFont="1" applyFill="1" applyBorder="1" applyAlignment="1">
      <alignment horizontal="center" vertical="top" wrapText="1"/>
    </xf>
    <xf numFmtId="0" fontId="16" fillId="0" borderId="0" xfId="81" applyFont="1" applyFill="1" applyAlignment="1">
      <alignment vertical="center"/>
    </xf>
    <xf numFmtId="0" fontId="18" fillId="2" borderId="0" xfId="3" applyFont="1" applyFill="1" applyBorder="1" applyAlignment="1">
      <alignment horizontal="left" vertical="center"/>
    </xf>
    <xf numFmtId="0" fontId="17" fillId="2" borderId="0" xfId="4" applyFont="1" applyFill="1" applyAlignment="1">
      <alignment wrapText="1"/>
    </xf>
    <xf numFmtId="0" fontId="17" fillId="2" borderId="1" xfId="3" applyFont="1" applyFill="1" applyBorder="1" applyAlignment="1">
      <alignment horizontal="right" vertical="center" wrapText="1"/>
    </xf>
    <xf numFmtId="0" fontId="17" fillId="2" borderId="0" xfId="4" applyFont="1" applyFill="1" applyBorder="1" applyAlignment="1">
      <alignment horizontal="center" vertical="center"/>
    </xf>
    <xf numFmtId="0" fontId="17" fillId="2" borderId="0" xfId="4" applyFont="1" applyFill="1" applyBorder="1" applyAlignment="1">
      <alignment horizontal="center" vertical="center" wrapText="1"/>
    </xf>
    <xf numFmtId="3" fontId="17" fillId="2" borderId="3" xfId="4" applyNumberFormat="1" applyFont="1" applyFill="1" applyBorder="1" applyAlignment="1">
      <alignment horizontal="right"/>
    </xf>
    <xf numFmtId="0" fontId="17" fillId="2" borderId="0" xfId="4" applyFont="1" applyFill="1" applyBorder="1" applyAlignment="1">
      <alignment horizontal="left" vertical="center" wrapText="1"/>
    </xf>
    <xf numFmtId="0" fontId="16" fillId="2" borderId="0" xfId="4" applyFont="1" applyFill="1" applyBorder="1" applyAlignment="1">
      <alignment horizontal="center" vertical="center"/>
    </xf>
    <xf numFmtId="0" fontId="16" fillId="2" borderId="0" xfId="4" applyFont="1" applyFill="1" applyBorder="1" applyAlignment="1">
      <alignment horizontal="left" wrapText="1" indent="1"/>
    </xf>
    <xf numFmtId="3" fontId="16" fillId="2" borderId="0" xfId="4" applyNumberFormat="1" applyFont="1" applyFill="1" applyBorder="1" applyAlignment="1">
      <alignment horizontal="right"/>
    </xf>
    <xf numFmtId="0" fontId="17" fillId="2" borderId="0" xfId="81" applyFont="1" applyFill="1" applyBorder="1" applyAlignment="1">
      <alignment horizontal="center" vertical="center"/>
    </xf>
    <xf numFmtId="0" fontId="17" fillId="2" borderId="0" xfId="4" applyFont="1" applyFill="1" applyBorder="1" applyAlignment="1">
      <alignment vertical="center" wrapText="1"/>
    </xf>
    <xf numFmtId="0" fontId="16" fillId="2" borderId="0" xfId="81" applyFont="1" applyFill="1" applyBorder="1" applyAlignment="1">
      <alignment horizontal="center" vertical="center"/>
    </xf>
    <xf numFmtId="0" fontId="16" fillId="2" borderId="0" xfId="4" applyFont="1" applyFill="1" applyBorder="1" applyAlignment="1">
      <alignment horizontal="left" vertical="center" wrapText="1" indent="1"/>
    </xf>
    <xf numFmtId="0" fontId="17" fillId="2" borderId="0" xfId="4" applyFont="1" applyFill="1" applyBorder="1" applyAlignment="1">
      <alignment horizontal="left" vertical="center"/>
    </xf>
    <xf numFmtId="0" fontId="17" fillId="2" borderId="0" xfId="4" applyFont="1" applyFill="1" applyBorder="1" applyAlignment="1">
      <alignment horizontal="left" wrapText="1"/>
    </xf>
    <xf numFmtId="0" fontId="16" fillId="2" borderId="0" xfId="4" applyFont="1" applyFill="1" applyAlignment="1">
      <alignment wrapText="1"/>
    </xf>
    <xf numFmtId="0" fontId="16" fillId="0" borderId="0" xfId="81" applyFont="1" applyFill="1" applyAlignment="1">
      <alignment horizontal="center" vertical="center"/>
    </xf>
    <xf numFmtId="0" fontId="16" fillId="0" borderId="0" xfId="81" applyFont="1" applyFill="1" applyAlignment="1">
      <alignment vertical="center" wrapText="1"/>
    </xf>
    <xf numFmtId="0" fontId="17" fillId="2" borderId="0" xfId="3" applyFont="1" applyFill="1" applyBorder="1" applyAlignment="1">
      <alignment horizontal="left" vertical="center"/>
    </xf>
    <xf numFmtId="0" fontId="17" fillId="2" borderId="0" xfId="3" applyFont="1" applyFill="1" applyBorder="1" applyAlignment="1">
      <alignment horizontal="center" vertical="center" wrapText="1"/>
    </xf>
    <xf numFmtId="165" fontId="17" fillId="2" borderId="3" xfId="3" applyNumberFormat="1" applyFont="1" applyFill="1" applyBorder="1" applyAlignment="1">
      <alignment horizontal="right" vertical="center"/>
    </xf>
    <xf numFmtId="165" fontId="17" fillId="2" borderId="0" xfId="4" applyNumberFormat="1" applyFont="1" applyFill="1" applyBorder="1" applyAlignment="1">
      <alignment horizontal="right" vertical="center"/>
    </xf>
    <xf numFmtId="165" fontId="16" fillId="2" borderId="0" xfId="4" applyNumberFormat="1" applyFont="1" applyFill="1" applyBorder="1" applyAlignment="1">
      <alignment horizontal="right" vertical="center"/>
    </xf>
    <xf numFmtId="0" fontId="17" fillId="2" borderId="0" xfId="4" applyFont="1" applyFill="1" applyBorder="1" applyAlignment="1">
      <alignment wrapText="1"/>
    </xf>
    <xf numFmtId="4" fontId="17" fillId="2" borderId="3" xfId="3" applyNumberFormat="1" applyFont="1" applyFill="1" applyBorder="1" applyAlignment="1">
      <alignment horizontal="right" vertical="center"/>
    </xf>
    <xf numFmtId="4" fontId="17" fillId="2" borderId="0" xfId="4" applyNumberFormat="1" applyFont="1" applyFill="1" applyBorder="1" applyAlignment="1">
      <alignment horizontal="right" vertical="center"/>
    </xf>
    <xf numFmtId="0" fontId="16" fillId="2" borderId="0" xfId="4" applyFont="1" applyFill="1" applyBorder="1" applyAlignment="1">
      <alignment horizontal="center"/>
    </xf>
    <xf numFmtId="4" fontId="16" fillId="2" borderId="0" xfId="4" applyNumberFormat="1" applyFont="1" applyFill="1" applyBorder="1" applyAlignment="1">
      <alignment horizontal="right" vertical="center"/>
    </xf>
    <xf numFmtId="0" fontId="17" fillId="2" borderId="0" xfId="81" applyFont="1" applyFill="1" applyBorder="1" applyAlignment="1">
      <alignment horizontal="center" vertical="top"/>
    </xf>
    <xf numFmtId="0" fontId="16" fillId="2" borderId="0" xfId="81" applyFont="1" applyFill="1" applyBorder="1" applyAlignment="1">
      <alignment horizontal="center" vertical="top"/>
    </xf>
    <xf numFmtId="0" fontId="37" fillId="6" borderId="0" xfId="0" applyFont="1" applyFill="1"/>
    <xf numFmtId="173" fontId="0" fillId="0" borderId="0" xfId="0" applyNumberFormat="1"/>
    <xf numFmtId="0" fontId="14" fillId="0" borderId="0" xfId="0" applyFont="1"/>
    <xf numFmtId="3" fontId="15" fillId="0" borderId="0" xfId="0" applyNumberFormat="1" applyFont="1"/>
    <xf numFmtId="173" fontId="15" fillId="0" borderId="0" xfId="0" applyNumberFormat="1" applyFont="1"/>
    <xf numFmtId="176" fontId="15" fillId="0" borderId="0" xfId="80" applyNumberFormat="1" applyFont="1"/>
    <xf numFmtId="170" fontId="0" fillId="0" borderId="0" xfId="80" applyNumberFormat="1" applyFont="1" applyFill="1"/>
    <xf numFmtId="170" fontId="51" fillId="0" borderId="0" xfId="80" applyNumberFormat="1" applyFont="1"/>
    <xf numFmtId="0" fontId="14" fillId="3" borderId="0" xfId="4" applyFont="1" applyFill="1" applyAlignment="1">
      <alignment horizontal="center" vertical="center" wrapText="1"/>
    </xf>
    <xf numFmtId="0" fontId="17" fillId="14" borderId="0" xfId="3" applyFont="1" applyFill="1" applyAlignment="1">
      <alignment vertical="center"/>
    </xf>
    <xf numFmtId="0" fontId="17" fillId="15" borderId="0" xfId="3" applyFont="1" applyFill="1" applyAlignment="1">
      <alignment vertical="center"/>
    </xf>
    <xf numFmtId="165" fontId="17" fillId="2" borderId="0" xfId="3" applyNumberFormat="1" applyFont="1" applyFill="1" applyAlignment="1">
      <alignment horizontal="right"/>
    </xf>
    <xf numFmtId="165" fontId="17" fillId="14" borderId="0" xfId="3" applyNumberFormat="1" applyFont="1" applyFill="1" applyAlignment="1">
      <alignment horizontal="right"/>
    </xf>
    <xf numFmtId="165" fontId="17" fillId="15" borderId="0" xfId="3" applyNumberFormat="1" applyFont="1" applyFill="1" applyAlignment="1">
      <alignment horizontal="right"/>
    </xf>
    <xf numFmtId="3" fontId="17" fillId="2" borderId="0" xfId="3" applyNumberFormat="1" applyFont="1" applyFill="1" applyAlignment="1">
      <alignment horizontal="right"/>
    </xf>
    <xf numFmtId="165" fontId="17" fillId="0" borderId="0" xfId="3" applyNumberFormat="1" applyFont="1" applyFill="1" applyAlignment="1">
      <alignment horizontal="right"/>
    </xf>
    <xf numFmtId="168" fontId="17" fillId="0" borderId="0" xfId="0" applyNumberFormat="1" applyFont="1"/>
    <xf numFmtId="1" fontId="17" fillId="0" borderId="0" xfId="0" applyNumberFormat="1" applyFont="1"/>
    <xf numFmtId="168" fontId="16" fillId="2" borderId="0" xfId="4" applyNumberFormat="1" applyFont="1" applyFill="1"/>
    <xf numFmtId="168" fontId="17" fillId="2" borderId="0" xfId="4" applyNumberFormat="1" applyFont="1" applyFill="1"/>
    <xf numFmtId="168" fontId="17" fillId="2" borderId="2" xfId="4" applyNumberFormat="1" applyFont="1" applyFill="1" applyBorder="1"/>
    <xf numFmtId="0" fontId="35" fillId="0" borderId="0" xfId="0" applyFont="1" applyAlignment="1">
      <alignment vertical="center"/>
    </xf>
    <xf numFmtId="1" fontId="16" fillId="0" borderId="0" xfId="4" applyNumberFormat="1" applyFont="1"/>
    <xf numFmtId="0" fontId="16" fillId="0" borderId="0" xfId="74" applyFont="1"/>
    <xf numFmtId="0" fontId="14" fillId="0" borderId="0" xfId="74" applyFont="1"/>
    <xf numFmtId="0" fontId="17" fillId="0" borderId="0" xfId="74" applyFont="1"/>
    <xf numFmtId="0" fontId="17" fillId="0" borderId="0" xfId="74" applyFont="1" applyAlignment="1">
      <alignment horizontal="right" vertical="center"/>
    </xf>
    <xf numFmtId="167" fontId="17" fillId="0" borderId="0" xfId="74" applyNumberFormat="1" applyFont="1" applyAlignment="1">
      <alignment horizontal="right" vertical="center"/>
    </xf>
    <xf numFmtId="167" fontId="17" fillId="0" borderId="0" xfId="74" applyNumberFormat="1" applyFont="1"/>
    <xf numFmtId="167" fontId="17" fillId="0" borderId="0" xfId="4" applyNumberFormat="1" applyFont="1"/>
    <xf numFmtId="167" fontId="14" fillId="0" borderId="0" xfId="74" applyNumberFormat="1" applyFont="1"/>
    <xf numFmtId="0" fontId="28" fillId="0" borderId="0" xfId="0" applyFont="1" applyAlignment="1">
      <alignment horizontal="center" vertical="center" wrapText="1"/>
    </xf>
    <xf numFmtId="168" fontId="14" fillId="0" borderId="0" xfId="74" applyNumberFormat="1" applyFont="1"/>
    <xf numFmtId="167" fontId="28" fillId="0" borderId="0" xfId="0" applyNumberFormat="1" applyFont="1" applyAlignment="1">
      <alignment horizontal="center" vertical="center" wrapText="1"/>
    </xf>
    <xf numFmtId="0" fontId="17" fillId="2" borderId="0" xfId="0" applyFont="1" applyFill="1" applyAlignment="1">
      <alignment horizontal="justify" vertical="center"/>
    </xf>
    <xf numFmtId="165" fontId="17" fillId="3" borderId="0" xfId="0" applyNumberFormat="1" applyFont="1" applyFill="1" applyAlignment="1">
      <alignment vertical="center"/>
    </xf>
    <xf numFmtId="0" fontId="16" fillId="2" borderId="0" xfId="0" applyFont="1" applyFill="1" applyAlignment="1">
      <alignment horizontal="center"/>
    </xf>
    <xf numFmtId="165" fontId="16" fillId="3" borderId="0" xfId="0" applyNumberFormat="1" applyFont="1" applyFill="1"/>
    <xf numFmtId="169" fontId="16" fillId="0" borderId="0" xfId="4" applyNumberFormat="1" applyFont="1"/>
    <xf numFmtId="168" fontId="16" fillId="6" borderId="0" xfId="4" applyNumberFormat="1" applyFont="1" applyFill="1" applyAlignment="1"/>
    <xf numFmtId="0" fontId="17" fillId="0" borderId="0" xfId="4" applyFont="1" applyFill="1" applyAlignment="1">
      <alignment horizontal="center"/>
    </xf>
    <xf numFmtId="170" fontId="16" fillId="6" borderId="0" xfId="80" applyNumberFormat="1" applyFont="1" applyFill="1" applyAlignment="1"/>
    <xf numFmtId="0" fontId="17" fillId="0" borderId="0" xfId="4" applyFont="1" applyFill="1" applyAlignment="1">
      <alignment horizontal="left" wrapText="1"/>
    </xf>
    <xf numFmtId="0" fontId="51" fillId="0" borderId="0" xfId="0" applyFont="1" applyAlignment="1">
      <alignment horizontal="center"/>
    </xf>
    <xf numFmtId="0" fontId="52" fillId="0" borderId="0" xfId="0" applyFont="1" applyAlignment="1">
      <alignment horizontal="center"/>
    </xf>
    <xf numFmtId="0" fontId="15" fillId="0" borderId="0" xfId="4" applyFont="1" applyFill="1" applyBorder="1"/>
    <xf numFmtId="0" fontId="15" fillId="0" borderId="0" xfId="0" applyFont="1" applyFill="1" applyBorder="1"/>
    <xf numFmtId="0" fontId="13" fillId="0" borderId="0" xfId="2" applyFill="1" applyBorder="1" applyAlignment="1" applyProtection="1"/>
    <xf numFmtId="0" fontId="35" fillId="0" borderId="0" xfId="0" applyFont="1" applyFill="1" applyBorder="1" applyAlignment="1">
      <alignment vertical="center"/>
    </xf>
    <xf numFmtId="0" fontId="16" fillId="0" borderId="0" xfId="4" applyFont="1" applyFill="1" applyBorder="1"/>
    <xf numFmtId="168" fontId="16" fillId="0" borderId="0" xfId="4" applyNumberFormat="1" applyFont="1" applyFill="1" applyBorder="1"/>
    <xf numFmtId="0" fontId="17" fillId="0" borderId="0" xfId="4" applyFont="1" applyFill="1" applyBorder="1"/>
    <xf numFmtId="168" fontId="16" fillId="0" borderId="0" xfId="4" applyNumberFormat="1" applyFont="1" applyFill="1" applyBorder="1" applyAlignment="1"/>
    <xf numFmtId="3" fontId="16" fillId="0" borderId="0" xfId="4" applyNumberFormat="1" applyFont="1" applyFill="1" applyBorder="1"/>
    <xf numFmtId="164" fontId="17" fillId="0" borderId="0" xfId="4" applyNumberFormat="1" applyFont="1" applyFill="1" applyBorder="1" applyAlignment="1">
      <alignment horizontal="left" indent="1"/>
    </xf>
    <xf numFmtId="0" fontId="16" fillId="0" borderId="0" xfId="4" applyFont="1" applyFill="1" applyBorder="1" applyAlignment="1"/>
    <xf numFmtId="0" fontId="17" fillId="0" borderId="0" xfId="3" applyNumberFormat="1" applyFont="1" applyFill="1" applyBorder="1" applyAlignment="1">
      <alignment vertical="center"/>
    </xf>
    <xf numFmtId="164" fontId="17" fillId="0" borderId="0" xfId="4" applyNumberFormat="1" applyFont="1" applyFill="1" applyBorder="1" applyAlignment="1">
      <alignment horizontal="left"/>
    </xf>
    <xf numFmtId="0" fontId="16" fillId="0" borderId="0" xfId="4" applyFont="1" applyFill="1" applyBorder="1" applyAlignment="1">
      <alignment vertical="center"/>
    </xf>
    <xf numFmtId="1" fontId="16" fillId="0" borderId="0" xfId="4" applyNumberFormat="1" applyFont="1" applyFill="1" applyBorder="1"/>
    <xf numFmtId="0" fontId="13" fillId="0" borderId="0" xfId="2" applyNumberFormat="1" applyFill="1" applyBorder="1" applyAlignment="1" applyProtection="1">
      <alignment vertical="center"/>
    </xf>
    <xf numFmtId="168" fontId="17" fillId="2" borderId="2" xfId="4" applyNumberFormat="1" applyFont="1" applyFill="1" applyBorder="1" applyAlignment="1"/>
    <xf numFmtId="0" fontId="15" fillId="0" borderId="0" xfId="81" applyFont="1" applyFill="1" applyBorder="1"/>
    <xf numFmtId="0" fontId="35" fillId="0" borderId="0" xfId="81" applyFont="1" applyFill="1" applyBorder="1" applyAlignment="1">
      <alignment vertical="center"/>
    </xf>
    <xf numFmtId="0" fontId="16" fillId="0" borderId="0" xfId="81" applyFont="1" applyFill="1" applyBorder="1"/>
    <xf numFmtId="0" fontId="16" fillId="0" borderId="0" xfId="4" applyFont="1" applyFill="1" applyBorder="1" applyAlignment="1">
      <alignment vertical="center" wrapText="1"/>
    </xf>
    <xf numFmtId="0" fontId="12" fillId="2" borderId="0" xfId="81" applyFill="1" applyBorder="1" applyAlignment="1">
      <alignment horizontal="left" vertical="top"/>
    </xf>
    <xf numFmtId="1" fontId="16" fillId="0" borderId="0" xfId="4" applyNumberFormat="1" applyFont="1" applyFill="1" applyBorder="1" applyAlignment="1"/>
    <xf numFmtId="0" fontId="17" fillId="0" borderId="0" xfId="4" applyFont="1" applyFill="1" applyBorder="1" applyAlignment="1">
      <alignment horizontal="left"/>
    </xf>
    <xf numFmtId="0" fontId="17" fillId="0" borderId="0" xfId="4" applyFont="1" applyFill="1" applyBorder="1" applyAlignment="1">
      <alignment horizontal="center"/>
    </xf>
    <xf numFmtId="0" fontId="16" fillId="0" borderId="0" xfId="81" applyFont="1" applyFill="1" applyBorder="1" applyAlignment="1"/>
    <xf numFmtId="3" fontId="17" fillId="2" borderId="2" xfId="4" applyNumberFormat="1" applyFont="1" applyFill="1" applyBorder="1" applyAlignment="1">
      <alignment horizontal="right"/>
    </xf>
    <xf numFmtId="0" fontId="31" fillId="0" borderId="0" xfId="81" applyFont="1" applyFill="1" applyBorder="1" applyAlignment="1"/>
    <xf numFmtId="3" fontId="16" fillId="0" borderId="0" xfId="81" applyNumberFormat="1" applyFont="1" applyFill="1" applyBorder="1" applyAlignment="1"/>
    <xf numFmtId="0" fontId="16" fillId="0" borderId="0" xfId="74" applyFont="1" applyFill="1" applyAlignment="1">
      <alignment horizontal="center"/>
    </xf>
    <xf numFmtId="168" fontId="17" fillId="0" borderId="0" xfId="4" applyNumberFormat="1" applyFont="1" applyFill="1" applyBorder="1" applyAlignment="1"/>
    <xf numFmtId="0" fontId="17" fillId="0" borderId="0" xfId="4" applyFont="1" applyFill="1" applyBorder="1" applyAlignment="1"/>
    <xf numFmtId="0" fontId="17" fillId="2" borderId="2" xfId="4" applyFont="1" applyFill="1" applyBorder="1" applyAlignment="1">
      <alignment horizontal="left" vertical="center"/>
    </xf>
    <xf numFmtId="0" fontId="17" fillId="2" borderId="2" xfId="4" applyFont="1" applyFill="1" applyBorder="1" applyAlignment="1">
      <alignment horizontal="left" wrapText="1"/>
    </xf>
    <xf numFmtId="165" fontId="16" fillId="2" borderId="0" xfId="4" applyNumberFormat="1" applyFont="1" applyFill="1" applyBorder="1" applyAlignment="1"/>
    <xf numFmtId="165" fontId="16" fillId="0" borderId="0" xfId="4" applyNumberFormat="1" applyFont="1" applyFill="1" applyBorder="1"/>
    <xf numFmtId="165" fontId="17" fillId="2" borderId="2" xfId="4" applyNumberFormat="1" applyFont="1" applyFill="1" applyBorder="1" applyAlignment="1"/>
    <xf numFmtId="167" fontId="16" fillId="0" borderId="0" xfId="4" applyNumberFormat="1" applyFont="1" applyFill="1" applyBorder="1"/>
    <xf numFmtId="165" fontId="16" fillId="2" borderId="0" xfId="4" applyNumberFormat="1" applyFont="1" applyFill="1"/>
    <xf numFmtId="165" fontId="17" fillId="3" borderId="3" xfId="4" applyNumberFormat="1" applyFont="1" applyFill="1" applyBorder="1" applyAlignment="1"/>
    <xf numFmtId="165" fontId="16" fillId="3" borderId="0" xfId="4" applyNumberFormat="1" applyFont="1" applyFill="1"/>
    <xf numFmtId="165" fontId="17" fillId="3" borderId="0" xfId="4" applyNumberFormat="1" applyFont="1" applyFill="1"/>
    <xf numFmtId="165" fontId="17" fillId="3" borderId="2" xfId="4" applyNumberFormat="1" applyFont="1" applyFill="1" applyBorder="1"/>
    <xf numFmtId="3" fontId="17" fillId="3" borderId="0" xfId="0" applyNumberFormat="1" applyFont="1" applyFill="1" applyBorder="1" applyAlignment="1">
      <alignment horizontal="right"/>
    </xf>
    <xf numFmtId="3" fontId="16" fillId="3" borderId="0" xfId="0" applyNumberFormat="1" applyFont="1" applyFill="1" applyBorder="1" applyAlignment="1">
      <alignment horizontal="right"/>
    </xf>
    <xf numFmtId="165" fontId="16" fillId="3" borderId="0" xfId="4" applyNumberFormat="1" applyFont="1" applyFill="1" applyBorder="1" applyAlignment="1">
      <alignment horizontal="right"/>
    </xf>
    <xf numFmtId="165" fontId="17" fillId="3" borderId="2" xfId="4" applyNumberFormat="1" applyFont="1" applyFill="1" applyBorder="1" applyAlignment="1">
      <alignment horizontal="right"/>
    </xf>
    <xf numFmtId="165" fontId="17" fillId="3" borderId="3" xfId="74" applyNumberFormat="1" applyFont="1" applyFill="1" applyBorder="1" applyAlignment="1"/>
    <xf numFmtId="165" fontId="17" fillId="3" borderId="0" xfId="74" applyNumberFormat="1" applyFont="1" applyFill="1" applyBorder="1" applyAlignment="1"/>
    <xf numFmtId="165" fontId="16" fillId="3" borderId="0" xfId="74" applyNumberFormat="1" applyFont="1" applyFill="1" applyBorder="1" applyAlignment="1"/>
    <xf numFmtId="165" fontId="16" fillId="3" borderId="2" xfId="74" applyNumberFormat="1" applyFont="1" applyFill="1" applyBorder="1" applyAlignment="1"/>
    <xf numFmtId="165" fontId="16" fillId="3" borderId="0" xfId="4" applyNumberFormat="1" applyFont="1" applyFill="1" applyBorder="1" applyAlignment="1"/>
    <xf numFmtId="165" fontId="16" fillId="3" borderId="2" xfId="4" applyNumberFormat="1" applyFont="1" applyFill="1" applyBorder="1" applyAlignment="1"/>
    <xf numFmtId="165" fontId="18" fillId="3" borderId="0" xfId="0" applyNumberFormat="1" applyFont="1" applyFill="1" applyBorder="1" applyAlignment="1">
      <alignment horizontal="right"/>
    </xf>
    <xf numFmtId="165" fontId="20" fillId="3" borderId="0" xfId="0" applyNumberFormat="1" applyFont="1" applyFill="1" applyBorder="1" applyAlignment="1">
      <alignment horizontal="right"/>
    </xf>
    <xf numFmtId="165" fontId="18" fillId="3" borderId="3" xfId="74" applyNumberFormat="1" applyFont="1" applyFill="1" applyBorder="1" applyAlignment="1">
      <alignment horizontal="right"/>
    </xf>
    <xf numFmtId="165" fontId="18" fillId="3" borderId="0" xfId="74" applyNumberFormat="1" applyFont="1" applyFill="1" applyBorder="1" applyAlignment="1">
      <alignment horizontal="right"/>
    </xf>
    <xf numFmtId="165" fontId="17" fillId="3" borderId="0" xfId="74" applyNumberFormat="1" applyFont="1" applyFill="1" applyBorder="1" applyAlignment="1">
      <alignment horizontal="right"/>
    </xf>
    <xf numFmtId="165" fontId="16" fillId="3" borderId="0" xfId="74" applyNumberFormat="1" applyFont="1" applyFill="1" applyBorder="1" applyAlignment="1">
      <alignment horizontal="right"/>
    </xf>
    <xf numFmtId="165" fontId="16" fillId="3" borderId="2" xfId="74" applyNumberFormat="1" applyFont="1" applyFill="1" applyBorder="1" applyAlignment="1">
      <alignment horizontal="right"/>
    </xf>
    <xf numFmtId="0" fontId="14" fillId="0" borderId="0" xfId="74" applyFont="1" applyFill="1" applyBorder="1"/>
    <xf numFmtId="0" fontId="17" fillId="0" borderId="0" xfId="74" applyFont="1" applyFill="1" applyBorder="1"/>
    <xf numFmtId="0" fontId="17" fillId="0" borderId="0" xfId="74" applyFont="1" applyFill="1" applyBorder="1" applyAlignment="1">
      <alignment horizontal="center"/>
    </xf>
    <xf numFmtId="0" fontId="17" fillId="2" borderId="0" xfId="74" applyFont="1" applyFill="1" applyBorder="1" applyAlignment="1">
      <alignment horizontal="right" vertical="center"/>
    </xf>
    <xf numFmtId="165" fontId="16" fillId="0" borderId="0" xfId="74" applyNumberFormat="1" applyFont="1" applyFill="1"/>
    <xf numFmtId="165" fontId="17" fillId="0" borderId="0" xfId="74" applyNumberFormat="1" applyFont="1" applyFill="1" applyBorder="1"/>
    <xf numFmtId="165" fontId="81" fillId="0" borderId="0" xfId="74" applyNumberFormat="1" applyFont="1" applyFill="1" applyBorder="1"/>
    <xf numFmtId="165" fontId="31" fillId="0" borderId="0" xfId="74" applyNumberFormat="1" applyFont="1" applyFill="1" applyBorder="1" applyAlignment="1"/>
    <xf numFmtId="0" fontId="17" fillId="0" borderId="0" xfId="81" applyFont="1" applyFill="1" applyBorder="1" applyAlignment="1">
      <alignment horizontal="center"/>
    </xf>
    <xf numFmtId="165" fontId="17" fillId="0" borderId="0" xfId="74" applyNumberFormat="1" applyFont="1" applyFill="1" applyBorder="1" applyAlignment="1">
      <alignment horizontal="center"/>
    </xf>
    <xf numFmtId="0" fontId="17" fillId="0" borderId="0" xfId="81" applyFont="1" applyFill="1" applyBorder="1" applyAlignment="1">
      <alignment horizontal="left"/>
    </xf>
    <xf numFmtId="0" fontId="17" fillId="0" borderId="0" xfId="74" applyFont="1" applyFill="1" applyBorder="1" applyAlignment="1">
      <alignment vertical="center"/>
    </xf>
    <xf numFmtId="168" fontId="16" fillId="0" borderId="0" xfId="74" applyNumberFormat="1" applyFont="1" applyFill="1" applyBorder="1"/>
    <xf numFmtId="0" fontId="16" fillId="0" borderId="0" xfId="74" applyFont="1" applyFill="1" applyBorder="1" applyAlignment="1">
      <alignment horizontal="center"/>
    </xf>
    <xf numFmtId="165" fontId="16" fillId="0" borderId="2" xfId="74" applyNumberFormat="1" applyFont="1" applyFill="1" applyBorder="1"/>
    <xf numFmtId="0" fontId="16" fillId="0" borderId="0" xfId="81" applyFont="1" applyFill="1" applyAlignment="1">
      <alignment horizontal="right" vertical="center"/>
    </xf>
    <xf numFmtId="0" fontId="16" fillId="0" borderId="0" xfId="81" applyFont="1" applyFill="1" applyBorder="1" applyAlignment="1">
      <alignment vertical="center"/>
    </xf>
    <xf numFmtId="0" fontId="31" fillId="0" borderId="0" xfId="4" applyFont="1" applyFill="1" applyBorder="1" applyAlignment="1"/>
    <xf numFmtId="167" fontId="16" fillId="0" borderId="0" xfId="74" applyNumberFormat="1" applyFont="1" applyFill="1" applyBorder="1"/>
    <xf numFmtId="165" fontId="17" fillId="2" borderId="2" xfId="4" applyNumberFormat="1" applyFont="1" applyFill="1" applyBorder="1" applyAlignment="1">
      <alignment horizontal="right" vertical="center"/>
    </xf>
    <xf numFmtId="0" fontId="15" fillId="0" borderId="0" xfId="81" applyFont="1" applyFill="1" applyBorder="1" applyAlignment="1">
      <alignment vertical="center"/>
    </xf>
    <xf numFmtId="1" fontId="17" fillId="0" borderId="0" xfId="4" applyNumberFormat="1" applyFont="1" applyFill="1" applyBorder="1" applyAlignment="1">
      <alignment horizontal="center"/>
    </xf>
    <xf numFmtId="0" fontId="16" fillId="2" borderId="0" xfId="4" applyFont="1" applyFill="1" applyBorder="1" applyAlignment="1">
      <alignment horizontal="left" vertical="center" wrapText="1"/>
    </xf>
    <xf numFmtId="0" fontId="17" fillId="0" borderId="0" xfId="4" applyFont="1" applyFill="1" applyBorder="1" applyAlignment="1">
      <alignment horizontal="left" vertical="center"/>
    </xf>
    <xf numFmtId="0" fontId="16" fillId="0" borderId="0" xfId="4" applyFont="1" applyFill="1" applyBorder="1" applyAlignment="1">
      <alignment horizontal="left"/>
    </xf>
    <xf numFmtId="165" fontId="17" fillId="0" borderId="0" xfId="4" applyNumberFormat="1" applyFont="1" applyFill="1"/>
    <xf numFmtId="165" fontId="17" fillId="0" borderId="0" xfId="4" applyNumberFormat="1" applyFont="1" applyFill="1" applyBorder="1"/>
    <xf numFmtId="0" fontId="16" fillId="0" borderId="0" xfId="4" applyFont="1" applyFill="1" applyBorder="1" applyAlignment="1">
      <alignment horizontal="left" vertical="center"/>
    </xf>
    <xf numFmtId="0" fontId="17" fillId="2" borderId="4" xfId="4" applyFont="1" applyFill="1" applyBorder="1" applyAlignment="1">
      <alignment horizontal="left" vertical="center"/>
    </xf>
    <xf numFmtId="0" fontId="16" fillId="2" borderId="4" xfId="4" applyFont="1" applyFill="1" applyBorder="1" applyAlignment="1">
      <alignment wrapText="1"/>
    </xf>
    <xf numFmtId="0" fontId="16" fillId="2" borderId="4" xfId="4" applyFont="1" applyFill="1" applyBorder="1" applyAlignment="1">
      <alignment horizontal="right"/>
    </xf>
    <xf numFmtId="165" fontId="17" fillId="2" borderId="4" xfId="4" applyNumberFormat="1" applyFont="1" applyFill="1" applyBorder="1" applyAlignment="1">
      <alignment horizontal="right"/>
    </xf>
    <xf numFmtId="4" fontId="17" fillId="2" borderId="2" xfId="4" applyNumberFormat="1" applyFont="1" applyFill="1" applyBorder="1" applyAlignment="1">
      <alignment horizontal="right" vertical="center"/>
    </xf>
    <xf numFmtId="0" fontId="14" fillId="0" borderId="0" xfId="74" applyFont="1" applyBorder="1" applyAlignment="1"/>
    <xf numFmtId="0" fontId="15" fillId="0" borderId="0" xfId="74" applyFont="1" applyFill="1" applyBorder="1" applyAlignment="1"/>
    <xf numFmtId="0" fontId="13" fillId="0" borderId="0" xfId="2" applyFont="1" applyFill="1" applyBorder="1" applyAlignment="1" applyProtection="1"/>
    <xf numFmtId="0" fontId="17" fillId="0" borderId="0" xfId="74" applyFont="1" applyBorder="1" applyAlignment="1"/>
    <xf numFmtId="0" fontId="17" fillId="3" borderId="2" xfId="81" applyFont="1" applyFill="1" applyBorder="1" applyAlignment="1">
      <alignment horizontal="right" wrapText="1"/>
    </xf>
    <xf numFmtId="0" fontId="16" fillId="0" borderId="0" xfId="4" applyFont="1" applyFill="1" applyBorder="1" applyAlignment="1">
      <alignment horizontal="justify" vertical="center"/>
    </xf>
    <xf numFmtId="0" fontId="17" fillId="3" borderId="1" xfId="74" applyFont="1" applyFill="1" applyBorder="1" applyAlignment="1">
      <alignment horizontal="right" vertical="center"/>
    </xf>
    <xf numFmtId="0" fontId="16" fillId="0" borderId="0" xfId="74" applyFont="1" applyFill="1" applyBorder="1" applyAlignment="1">
      <alignment vertical="center"/>
    </xf>
    <xf numFmtId="0" fontId="15" fillId="0" borderId="0" xfId="81" applyFont="1" applyFill="1" applyBorder="1" applyAlignment="1">
      <alignment horizontal="center" vertical="center"/>
    </xf>
    <xf numFmtId="0" fontId="29" fillId="0" borderId="0" xfId="81" applyFont="1" applyFill="1" applyBorder="1" applyAlignment="1">
      <alignment horizontal="center" vertical="center" wrapText="1"/>
    </xf>
    <xf numFmtId="0" fontId="17" fillId="0" borderId="0" xfId="74" applyFont="1" applyBorder="1" applyAlignment="1">
      <alignment vertical="center"/>
    </xf>
    <xf numFmtId="3" fontId="17" fillId="2" borderId="0" xfId="81" applyNumberFormat="1" applyFont="1" applyFill="1" applyBorder="1" applyAlignment="1">
      <alignment horizontal="right" vertical="center"/>
    </xf>
    <xf numFmtId="1" fontId="16" fillId="0" borderId="0" xfId="81" applyNumberFormat="1" applyFont="1" applyFill="1" applyBorder="1" applyAlignment="1">
      <alignment vertical="center"/>
    </xf>
    <xf numFmtId="0" fontId="16" fillId="0" borderId="0" xfId="81" applyFont="1" applyFill="1" applyBorder="1" applyAlignment="1">
      <alignment horizontal="left"/>
    </xf>
    <xf numFmtId="0" fontId="16" fillId="0" borderId="0" xfId="81" applyFont="1" applyBorder="1" applyAlignment="1">
      <alignment vertical="center"/>
    </xf>
    <xf numFmtId="0" fontId="17" fillId="2" borderId="0" xfId="81" applyFont="1" applyFill="1" applyBorder="1" applyAlignment="1">
      <alignment horizontal="left" vertical="center" wrapText="1"/>
    </xf>
    <xf numFmtId="1" fontId="29" fillId="0" borderId="0" xfId="81" applyNumberFormat="1" applyFont="1" applyFill="1" applyBorder="1" applyAlignment="1">
      <alignment horizontal="center" vertical="center" wrapText="1"/>
    </xf>
    <xf numFmtId="0" fontId="16" fillId="0" borderId="0" xfId="81" applyFont="1" applyFill="1" applyBorder="1" applyAlignment="1">
      <alignment horizontal="center"/>
    </xf>
    <xf numFmtId="0" fontId="28" fillId="0" borderId="0" xfId="81" applyFont="1" applyBorder="1" applyAlignment="1">
      <alignment horizontal="center" vertical="center" wrapText="1"/>
    </xf>
    <xf numFmtId="0" fontId="17" fillId="2" borderId="0" xfId="81" applyFont="1" applyFill="1" applyBorder="1" applyAlignment="1">
      <alignment horizontal="left"/>
    </xf>
    <xf numFmtId="3" fontId="16" fillId="2" borderId="0" xfId="81" applyNumberFormat="1" applyFont="1" applyFill="1" applyBorder="1" applyAlignment="1">
      <alignment horizontal="right"/>
    </xf>
    <xf numFmtId="0" fontId="16" fillId="2" borderId="0" xfId="81" applyFont="1" applyFill="1" applyBorder="1" applyAlignment="1">
      <alignment horizontal="center"/>
    </xf>
    <xf numFmtId="3" fontId="16" fillId="0" borderId="0" xfId="81" applyNumberFormat="1" applyFont="1" applyBorder="1"/>
    <xf numFmtId="168" fontId="14" fillId="0" borderId="0" xfId="74" applyNumberFormat="1" applyFont="1" applyBorder="1" applyAlignment="1"/>
    <xf numFmtId="168" fontId="29" fillId="0" borderId="0" xfId="81" applyNumberFormat="1" applyFont="1" applyFill="1" applyBorder="1" applyAlignment="1">
      <alignment horizontal="left" vertical="center"/>
    </xf>
    <xf numFmtId="168" fontId="29" fillId="0" borderId="0" xfId="81" applyNumberFormat="1" applyFont="1" applyFill="1" applyBorder="1" applyAlignment="1">
      <alignment horizontal="center" vertical="center" wrapText="1"/>
    </xf>
    <xf numFmtId="2" fontId="29" fillId="0" borderId="0" xfId="81" applyNumberFormat="1" applyFont="1" applyFill="1" applyBorder="1" applyAlignment="1">
      <alignment horizontal="center" vertical="center" wrapText="1"/>
    </xf>
    <xf numFmtId="179" fontId="16" fillId="0" borderId="0" xfId="81" applyNumberFormat="1" applyFont="1" applyBorder="1"/>
    <xf numFmtId="0" fontId="16" fillId="0" borderId="0" xfId="81" applyFont="1" applyFill="1" applyBorder="1" applyAlignment="1">
      <alignment horizontal="justify" vertical="center"/>
    </xf>
    <xf numFmtId="0" fontId="17" fillId="3" borderId="0" xfId="81" applyFont="1" applyFill="1" applyBorder="1" applyAlignment="1">
      <alignment horizontal="justify" vertical="center"/>
    </xf>
    <xf numFmtId="3" fontId="17" fillId="3" borderId="0" xfId="81" applyNumberFormat="1" applyFont="1" applyFill="1" applyBorder="1" applyAlignment="1">
      <alignment horizontal="right" vertical="center"/>
    </xf>
    <xf numFmtId="0" fontId="17" fillId="2" borderId="0" xfId="81" applyFont="1" applyFill="1" applyBorder="1" applyAlignment="1">
      <alignment horizontal="justify" vertical="center"/>
    </xf>
    <xf numFmtId="165" fontId="17" fillId="3" borderId="0" xfId="81" applyNumberFormat="1" applyFont="1" applyFill="1" applyBorder="1" applyAlignment="1">
      <alignment vertical="center"/>
    </xf>
    <xf numFmtId="167" fontId="29" fillId="0" borderId="0" xfId="81" applyNumberFormat="1" applyFont="1" applyFill="1" applyBorder="1" applyAlignment="1">
      <alignment horizontal="center" vertical="center" wrapText="1"/>
    </xf>
    <xf numFmtId="165" fontId="16" fillId="3" borderId="0" xfId="81" applyNumberFormat="1" applyFont="1" applyFill="1" applyBorder="1" applyAlignment="1"/>
    <xf numFmtId="0" fontId="16" fillId="2" borderId="2" xfId="81" applyFont="1" applyFill="1" applyBorder="1" applyAlignment="1">
      <alignment horizontal="center"/>
    </xf>
    <xf numFmtId="165" fontId="16" fillId="3" borderId="2" xfId="81" applyNumberFormat="1" applyFont="1" applyFill="1" applyBorder="1" applyAlignment="1"/>
    <xf numFmtId="0" fontId="28" fillId="3" borderId="0" xfId="81" applyFont="1" applyFill="1" applyBorder="1" applyAlignment="1">
      <alignment horizontal="center" vertical="center" wrapText="1"/>
    </xf>
    <xf numFmtId="0" fontId="16" fillId="0" borderId="0" xfId="74" applyFont="1" applyBorder="1" applyAlignment="1"/>
    <xf numFmtId="0" fontId="16" fillId="0" borderId="0" xfId="81" applyFont="1" applyBorder="1"/>
    <xf numFmtId="0" fontId="16" fillId="3" borderId="0" xfId="81" applyFont="1" applyFill="1" applyBorder="1" applyAlignment="1">
      <alignment horizontal="left" vertical="top" wrapText="1"/>
    </xf>
    <xf numFmtId="165" fontId="17" fillId="0" borderId="0" xfId="81" applyNumberFormat="1" applyFont="1" applyFill="1" applyBorder="1" applyAlignment="1">
      <alignment horizontal="right"/>
    </xf>
    <xf numFmtId="0" fontId="16" fillId="0" borderId="0" xfId="81" applyFont="1" applyFill="1" applyBorder="1" applyAlignment="1">
      <alignment vertical="center" wrapText="1"/>
    </xf>
    <xf numFmtId="3" fontId="16" fillId="2" borderId="0" xfId="0" applyNumberFormat="1" applyFont="1" applyFill="1" applyBorder="1" applyAlignment="1">
      <alignment horizontal="right"/>
    </xf>
    <xf numFmtId="0" fontId="17" fillId="0" borderId="0" xfId="0" applyFont="1" applyFill="1" applyBorder="1" applyAlignment="1">
      <alignment horizontal="left"/>
    </xf>
    <xf numFmtId="0" fontId="28" fillId="0" borderId="0" xfId="0" applyFont="1" applyFill="1" applyBorder="1" applyAlignment="1">
      <alignment horizontal="center" vertical="center" wrapText="1"/>
    </xf>
    <xf numFmtId="0" fontId="16" fillId="0" borderId="0" xfId="0" applyFont="1" applyFill="1" applyBorder="1" applyAlignment="1">
      <alignment horizontal="center"/>
    </xf>
    <xf numFmtId="3" fontId="16" fillId="0" borderId="0" xfId="0" applyNumberFormat="1" applyFont="1" applyBorder="1"/>
    <xf numFmtId="2" fontId="28" fillId="0" borderId="0" xfId="0" applyNumberFormat="1" applyFont="1" applyFill="1" applyBorder="1" applyAlignment="1">
      <alignment horizontal="center" vertical="center" wrapText="1"/>
    </xf>
    <xf numFmtId="168" fontId="28" fillId="0" borderId="0" xfId="0" applyNumberFormat="1" applyFont="1" applyFill="1" applyBorder="1" applyAlignment="1">
      <alignment horizontal="left" vertical="center"/>
    </xf>
    <xf numFmtId="168" fontId="28" fillId="0" borderId="0" xfId="0" applyNumberFormat="1" applyFont="1" applyFill="1" applyBorder="1" applyAlignment="1">
      <alignment horizontal="center" vertical="center" wrapText="1"/>
    </xf>
    <xf numFmtId="165" fontId="17" fillId="2" borderId="3" xfId="4" applyNumberFormat="1" applyFont="1" applyFill="1" applyBorder="1" applyAlignment="1">
      <alignment horizontal="right"/>
    </xf>
    <xf numFmtId="165" fontId="16" fillId="2" borderId="0" xfId="4" applyNumberFormat="1" applyFont="1" applyFill="1" applyBorder="1" applyAlignment="1">
      <alignment horizontal="right"/>
    </xf>
    <xf numFmtId="165" fontId="17" fillId="2" borderId="2" xfId="4" applyNumberFormat="1" applyFont="1" applyFill="1" applyBorder="1" applyAlignment="1">
      <alignment horizontal="right"/>
    </xf>
    <xf numFmtId="165" fontId="17" fillId="2" borderId="3" xfId="5" applyNumberFormat="1" applyFont="1" applyFill="1" applyBorder="1" applyAlignment="1"/>
    <xf numFmtId="165" fontId="16" fillId="2" borderId="2" xfId="5" applyNumberFormat="1" applyFont="1" applyFill="1" applyBorder="1" applyAlignment="1"/>
    <xf numFmtId="165" fontId="17" fillId="2" borderId="3" xfId="4" applyNumberFormat="1" applyFont="1" applyFill="1" applyBorder="1" applyAlignment="1"/>
    <xf numFmtId="165" fontId="16" fillId="2" borderId="2" xfId="4" applyNumberFormat="1" applyFont="1" applyFill="1" applyBorder="1" applyAlignment="1"/>
    <xf numFmtId="165" fontId="20" fillId="2" borderId="0" xfId="0" applyNumberFormat="1" applyFont="1" applyFill="1" applyBorder="1" applyAlignment="1">
      <alignment horizontal="right"/>
    </xf>
    <xf numFmtId="165" fontId="20" fillId="2" borderId="2" xfId="0" applyNumberFormat="1" applyFont="1" applyFill="1" applyBorder="1" applyAlignment="1">
      <alignment horizontal="right"/>
    </xf>
    <xf numFmtId="165" fontId="18" fillId="2" borderId="0" xfId="5" applyNumberFormat="1" applyFont="1" applyFill="1" applyBorder="1" applyAlignment="1">
      <alignment horizontal="right"/>
    </xf>
    <xf numFmtId="165" fontId="16" fillId="2" borderId="0" xfId="5" applyNumberFormat="1" applyFont="1" applyFill="1" applyBorder="1" applyAlignment="1">
      <alignment horizontal="right"/>
    </xf>
    <xf numFmtId="165" fontId="16" fillId="2" borderId="2" xfId="5" applyNumberFormat="1" applyFont="1" applyFill="1" applyBorder="1" applyAlignment="1">
      <alignment horizontal="right"/>
    </xf>
    <xf numFmtId="0" fontId="82" fillId="0" borderId="0" xfId="2" applyFont="1" applyFill="1" applyBorder="1" applyAlignment="1" applyProtection="1"/>
    <xf numFmtId="0" fontId="82" fillId="0" borderId="0" xfId="2" applyNumberFormat="1" applyFont="1" applyFill="1" applyBorder="1" applyAlignment="1" applyProtection="1">
      <alignment vertical="center"/>
    </xf>
    <xf numFmtId="165" fontId="20" fillId="3" borderId="5" xfId="75" applyNumberFormat="1" applyFont="1" applyFill="1" applyBorder="1" applyAlignment="1">
      <alignment horizontal="right" vertical="center" wrapText="1"/>
    </xf>
    <xf numFmtId="165" fontId="20" fillId="3" borderId="5" xfId="75" applyNumberFormat="1" applyFont="1" applyFill="1" applyBorder="1" applyAlignment="1">
      <alignment horizontal="right" vertical="center"/>
    </xf>
    <xf numFmtId="165" fontId="16" fillId="3" borderId="5" xfId="75" applyNumberFormat="1" applyFont="1" applyFill="1" applyBorder="1" applyAlignment="1">
      <alignment horizontal="right" vertical="center"/>
    </xf>
    <xf numFmtId="165" fontId="20" fillId="3" borderId="6" xfId="75" applyNumberFormat="1" applyFont="1" applyFill="1" applyBorder="1" applyAlignment="1">
      <alignment horizontal="right" vertical="center" wrapText="1"/>
    </xf>
    <xf numFmtId="165" fontId="20" fillId="3" borderId="6" xfId="75" applyNumberFormat="1" applyFont="1" applyFill="1" applyBorder="1" applyAlignment="1">
      <alignment horizontal="right" vertical="center"/>
    </xf>
    <xf numFmtId="165" fontId="16" fillId="3" borderId="6" xfId="75" applyNumberFormat="1" applyFont="1" applyFill="1" applyBorder="1" applyAlignment="1">
      <alignment horizontal="right" vertical="center"/>
    </xf>
    <xf numFmtId="165" fontId="20" fillId="3" borderId="8" xfId="75" applyNumberFormat="1" applyFont="1" applyFill="1" applyBorder="1" applyAlignment="1">
      <alignment horizontal="right" vertical="center" wrapText="1"/>
    </xf>
    <xf numFmtId="165" fontId="20" fillId="3" borderId="8" xfId="75" applyNumberFormat="1" applyFont="1" applyFill="1" applyBorder="1" applyAlignment="1">
      <alignment horizontal="right" vertical="center"/>
    </xf>
    <xf numFmtId="165" fontId="16" fillId="3" borderId="8" xfId="75" applyNumberFormat="1" applyFont="1" applyFill="1" applyBorder="1" applyAlignment="1">
      <alignment horizontal="right" vertical="center"/>
    </xf>
    <xf numFmtId="3" fontId="20" fillId="3" borderId="9" xfId="75" applyNumberFormat="1" applyFont="1" applyFill="1" applyBorder="1" applyAlignment="1">
      <alignment horizontal="right" vertical="center" wrapText="1"/>
    </xf>
    <xf numFmtId="3" fontId="20" fillId="3" borderId="9" xfId="75" applyNumberFormat="1" applyFont="1" applyFill="1" applyBorder="1" applyAlignment="1">
      <alignment horizontal="right" vertical="center"/>
    </xf>
    <xf numFmtId="3" fontId="16" fillId="3" borderId="9" xfId="75" applyNumberFormat="1" applyFont="1" applyFill="1" applyBorder="1" applyAlignment="1">
      <alignment horizontal="right" vertical="center"/>
    </xf>
    <xf numFmtId="3" fontId="20" fillId="3" borderId="7" xfId="75" applyNumberFormat="1" applyFont="1" applyFill="1" applyBorder="1" applyAlignment="1">
      <alignment horizontal="right" vertical="center" wrapText="1"/>
    </xf>
    <xf numFmtId="3" fontId="20" fillId="3" borderId="7" xfId="75" applyNumberFormat="1" applyFont="1" applyFill="1" applyBorder="1" applyAlignment="1">
      <alignment horizontal="right" vertical="center"/>
    </xf>
    <xf numFmtId="3" fontId="16" fillId="3" borderId="7" xfId="75" applyNumberFormat="1" applyFont="1" applyFill="1" applyBorder="1" applyAlignment="1">
      <alignment horizontal="right" vertical="center"/>
    </xf>
    <xf numFmtId="165" fontId="17" fillId="2" borderId="0" xfId="0" applyNumberFormat="1" applyFont="1" applyFill="1" applyAlignment="1"/>
    <xf numFmtId="165" fontId="16" fillId="2" borderId="0" xfId="0" applyNumberFormat="1" applyFont="1" applyFill="1" applyAlignment="1"/>
    <xf numFmtId="165" fontId="16" fillId="2" borderId="0" xfId="0" applyNumberFormat="1" applyFont="1" applyFill="1" applyBorder="1" applyAlignment="1"/>
    <xf numFmtId="165" fontId="16" fillId="2" borderId="2" xfId="0" applyNumberFormat="1" applyFont="1" applyFill="1" applyBorder="1" applyAlignment="1"/>
    <xf numFmtId="0" fontId="12" fillId="3" borderId="0" xfId="81" applyFill="1"/>
    <xf numFmtId="0" fontId="67" fillId="3" borderId="0" xfId="81" applyFont="1" applyFill="1" applyAlignment="1">
      <alignment vertical="justify" wrapText="1"/>
    </xf>
    <xf numFmtId="0" fontId="12" fillId="0" borderId="0" xfId="81" applyFont="1"/>
    <xf numFmtId="0" fontId="67" fillId="3" borderId="0" xfId="81" applyFont="1" applyFill="1" applyAlignment="1">
      <alignment horizontal="justify" vertical="center" wrapText="1"/>
    </xf>
    <xf numFmtId="0" fontId="12" fillId="0" borderId="0" xfId="81" applyFont="1" applyFill="1"/>
    <xf numFmtId="0" fontId="12" fillId="0" borderId="0" xfId="81" applyFill="1"/>
    <xf numFmtId="0" fontId="17" fillId="0" borderId="0" xfId="74" applyFont="1" applyFill="1" applyAlignment="1">
      <alignment horizontal="left" vertical="center"/>
    </xf>
    <xf numFmtId="3" fontId="16" fillId="0" borderId="0" xfId="5" applyNumberFormat="1" applyFont="1" applyFill="1" applyBorder="1" applyAlignment="1"/>
    <xf numFmtId="0" fontId="17" fillId="0" borderId="0" xfId="5" applyFont="1" applyFill="1" applyBorder="1" applyAlignment="1">
      <alignment horizontal="right"/>
    </xf>
    <xf numFmtId="168" fontId="16" fillId="0" borderId="0" xfId="5" applyNumberFormat="1" applyFont="1" applyFill="1" applyBorder="1" applyAlignment="1"/>
    <xf numFmtId="3" fontId="18" fillId="2" borderId="3" xfId="0" applyNumberFormat="1" applyFont="1" applyFill="1" applyBorder="1" applyAlignment="1">
      <alignment horizontal="right"/>
    </xf>
    <xf numFmtId="3" fontId="20" fillId="2" borderId="0" xfId="0" applyNumberFormat="1" applyFont="1" applyFill="1" applyBorder="1" applyAlignment="1">
      <alignment horizontal="right"/>
    </xf>
    <xf numFmtId="3" fontId="20" fillId="2" borderId="2" xfId="0" applyNumberFormat="1" applyFont="1" applyFill="1" applyBorder="1" applyAlignment="1">
      <alignment horizontal="right"/>
    </xf>
    <xf numFmtId="170" fontId="56" fillId="0" borderId="0" xfId="0" applyNumberFormat="1" applyFont="1" applyFill="1"/>
    <xf numFmtId="0" fontId="16" fillId="2" borderId="0" xfId="81" applyFont="1" applyFill="1" applyBorder="1" applyAlignment="1">
      <alignment horizontal="left"/>
    </xf>
    <xf numFmtId="0" fontId="86" fillId="0" borderId="0" xfId="0" applyFont="1" applyAlignment="1">
      <alignment horizontal="left" vertical="center"/>
    </xf>
    <xf numFmtId="0" fontId="87" fillId="0" borderId="0" xfId="0" applyFont="1" applyAlignment="1">
      <alignment horizontal="left" vertical="center"/>
    </xf>
    <xf numFmtId="0" fontId="73" fillId="0" borderId="0" xfId="0" applyFont="1"/>
    <xf numFmtId="0" fontId="63" fillId="0" borderId="0" xfId="0" applyFont="1" applyFill="1"/>
    <xf numFmtId="0" fontId="51" fillId="0" borderId="0" xfId="0" applyFont="1" applyAlignment="1">
      <alignment vertical="center"/>
    </xf>
    <xf numFmtId="178" fontId="15" fillId="0" borderId="0" xfId="80" applyNumberFormat="1" applyFont="1"/>
    <xf numFmtId="4" fontId="16" fillId="6" borderId="3" xfId="3" applyNumberFormat="1" applyFont="1" applyFill="1" applyBorder="1" applyAlignment="1">
      <alignment horizontal="right"/>
    </xf>
    <xf numFmtId="4" fontId="16" fillId="6" borderId="0" xfId="4" applyNumberFormat="1" applyFont="1" applyFill="1"/>
    <xf numFmtId="3" fontId="16" fillId="6" borderId="3" xfId="3" applyNumberFormat="1" applyFont="1" applyFill="1" applyBorder="1" applyAlignment="1">
      <alignment horizontal="right"/>
    </xf>
    <xf numFmtId="3" fontId="16" fillId="6" borderId="0" xfId="4" applyNumberFormat="1" applyFont="1" applyFill="1"/>
    <xf numFmtId="0" fontId="52" fillId="0" borderId="0" xfId="0" applyFont="1" applyAlignment="1">
      <alignment horizontal="center" vertical="center" wrapText="1"/>
    </xf>
    <xf numFmtId="170" fontId="12" fillId="0" borderId="0" xfId="80" applyNumberFormat="1" applyFont="1" applyFill="1"/>
    <xf numFmtId="170" fontId="12" fillId="0" borderId="0" xfId="0" applyNumberFormat="1" applyFont="1" applyFill="1"/>
    <xf numFmtId="2" fontId="12" fillId="0" borderId="0" xfId="80" applyNumberFormat="1" applyFont="1" applyFill="1"/>
    <xf numFmtId="0" fontId="37" fillId="0" borderId="0" xfId="0" applyFont="1" applyFill="1"/>
    <xf numFmtId="0" fontId="51" fillId="0" borderId="0" xfId="0" applyFont="1" applyAlignment="1">
      <alignment wrapText="1"/>
    </xf>
    <xf numFmtId="0" fontId="51" fillId="0" borderId="0" xfId="0" applyFont="1" applyFill="1" applyAlignment="1">
      <alignment vertical="center" wrapText="1"/>
    </xf>
    <xf numFmtId="0" fontId="51" fillId="0" borderId="0" xfId="0" applyFont="1" applyFill="1" applyAlignment="1">
      <alignment wrapText="1"/>
    </xf>
    <xf numFmtId="1" fontId="51" fillId="0" borderId="0" xfId="0" applyNumberFormat="1" applyFont="1" applyFill="1" applyAlignment="1">
      <alignment vertical="center" wrapText="1"/>
    </xf>
    <xf numFmtId="1" fontId="51" fillId="0" borderId="0" xfId="0" applyNumberFormat="1" applyFont="1" applyFill="1" applyAlignment="1">
      <alignment vertical="center"/>
    </xf>
    <xf numFmtId="2" fontId="51" fillId="0" borderId="0" xfId="80" applyNumberFormat="1" applyFont="1"/>
    <xf numFmtId="170" fontId="0" fillId="17" borderId="0" xfId="80" applyNumberFormat="1" applyFont="1" applyFill="1"/>
    <xf numFmtId="0" fontId="0" fillId="0" borderId="0" xfId="0" applyAlignment="1">
      <alignment vertical="center" wrapText="1"/>
    </xf>
    <xf numFmtId="165" fontId="56" fillId="6" borderId="0" xfId="0" applyNumberFormat="1" applyFont="1" applyFill="1"/>
    <xf numFmtId="165" fontId="56" fillId="12" borderId="0" xfId="0" applyNumberFormat="1" applyFont="1" applyFill="1"/>
    <xf numFmtId="0" fontId="15" fillId="6" borderId="0" xfId="0" applyFont="1" applyFill="1"/>
    <xf numFmtId="0" fontId="16" fillId="12" borderId="0" xfId="0" applyFont="1" applyFill="1"/>
    <xf numFmtId="4" fontId="15" fillId="0" borderId="0" xfId="0" applyNumberFormat="1" applyFont="1"/>
    <xf numFmtId="0" fontId="4" fillId="0" borderId="0" xfId="83" applyProtection="1">
      <protection hidden="1"/>
    </xf>
    <xf numFmtId="0" fontId="9" fillId="0" borderId="0" xfId="79" applyProtection="1">
      <protection hidden="1"/>
    </xf>
    <xf numFmtId="0" fontId="41" fillId="0" borderId="0" xfId="79" applyFont="1" applyFill="1" applyAlignment="1" applyProtection="1">
      <protection hidden="1"/>
    </xf>
    <xf numFmtId="0" fontId="9" fillId="3" borderId="0" xfId="79" applyFill="1" applyBorder="1" applyProtection="1">
      <protection hidden="1"/>
    </xf>
    <xf numFmtId="0" fontId="7" fillId="0" borderId="0" xfId="79" applyFont="1" applyProtection="1">
      <protection hidden="1"/>
    </xf>
    <xf numFmtId="0" fontId="6" fillId="0" borderId="0" xfId="79" applyFont="1" applyProtection="1">
      <protection hidden="1"/>
    </xf>
    <xf numFmtId="0" fontId="8" fillId="0" borderId="0" xfId="79" applyFont="1" applyProtection="1">
      <protection hidden="1"/>
    </xf>
    <xf numFmtId="0" fontId="5" fillId="0" borderId="0" xfId="79" applyFont="1" applyProtection="1">
      <protection hidden="1"/>
    </xf>
    <xf numFmtId="0" fontId="35" fillId="0" borderId="0" xfId="0" applyFont="1" applyAlignment="1" applyProtection="1">
      <alignment horizontal="left" vertical="center" indent="1"/>
      <protection hidden="1"/>
    </xf>
    <xf numFmtId="0" fontId="1" fillId="0" borderId="0" xfId="79" applyFont="1" applyProtection="1">
      <protection hidden="1"/>
    </xf>
    <xf numFmtId="0" fontId="3" fillId="0" borderId="0" xfId="79" applyFont="1" applyProtection="1">
      <protection hidden="1"/>
    </xf>
    <xf numFmtId="4" fontId="62" fillId="0" borderId="0" xfId="0" applyNumberFormat="1" applyFont="1" applyProtection="1">
      <protection hidden="1"/>
    </xf>
    <xf numFmtId="4" fontId="9" fillId="0" borderId="0" xfId="79" applyNumberFormat="1" applyProtection="1">
      <protection hidden="1"/>
    </xf>
    <xf numFmtId="0" fontId="5" fillId="3" borderId="0" xfId="79" applyFont="1" applyFill="1" applyBorder="1" applyProtection="1">
      <protection hidden="1"/>
    </xf>
    <xf numFmtId="0" fontId="4" fillId="0" borderId="0" xfId="79" applyFont="1" applyProtection="1">
      <protection hidden="1"/>
    </xf>
    <xf numFmtId="0" fontId="12" fillId="0" borderId="0" xfId="81" applyProtection="1">
      <protection hidden="1"/>
    </xf>
    <xf numFmtId="0" fontId="13" fillId="0" borderId="0" xfId="86" applyAlignment="1" applyProtection="1">
      <protection hidden="1"/>
    </xf>
    <xf numFmtId="0" fontId="4" fillId="5" borderId="0" xfId="83" applyFill="1" applyProtection="1">
      <protection locked="0" hidden="1"/>
    </xf>
    <xf numFmtId="0" fontId="12" fillId="0" borderId="0" xfId="81" applyProtection="1">
      <protection locked="0" hidden="1"/>
    </xf>
    <xf numFmtId="0" fontId="9" fillId="0" borderId="0" xfId="79" applyProtection="1">
      <protection locked="0" hidden="1"/>
    </xf>
    <xf numFmtId="0" fontId="39" fillId="0" borderId="0" xfId="79" applyFont="1" applyProtection="1">
      <protection locked="0" hidden="1"/>
    </xf>
    <xf numFmtId="0" fontId="40" fillId="0" borderId="0" xfId="0" applyFont="1" applyAlignment="1" applyProtection="1">
      <protection locked="0" hidden="1"/>
    </xf>
    <xf numFmtId="0" fontId="38" fillId="0" borderId="0" xfId="79" applyFont="1" applyAlignment="1" applyProtection="1">
      <protection locked="0" hidden="1"/>
    </xf>
    <xf numFmtId="0" fontId="9" fillId="0" borderId="0" xfId="79" applyBorder="1" applyProtection="1">
      <protection locked="0" hidden="1"/>
    </xf>
    <xf numFmtId="0" fontId="41" fillId="0" borderId="0" xfId="79" applyFont="1" applyFill="1" applyAlignment="1" applyProtection="1">
      <protection locked="0" hidden="1"/>
    </xf>
    <xf numFmtId="0" fontId="41" fillId="0" borderId="0" xfId="79" applyFont="1" applyFill="1" applyAlignment="1" applyProtection="1">
      <alignment horizontal="center" wrapText="1"/>
      <protection locked="0" hidden="1"/>
    </xf>
    <xf numFmtId="0" fontId="9" fillId="3" borderId="0" xfId="79" applyFill="1" applyBorder="1" applyProtection="1">
      <protection locked="0" hidden="1"/>
    </xf>
    <xf numFmtId="0" fontId="42" fillId="3" borderId="0" xfId="79" applyFont="1" applyFill="1" applyBorder="1" applyAlignment="1" applyProtection="1">
      <alignment vertical="center"/>
      <protection locked="0" hidden="1"/>
    </xf>
    <xf numFmtId="0" fontId="43" fillId="0" borderId="0" xfId="79" applyFont="1" applyProtection="1">
      <protection locked="0" hidden="1"/>
    </xf>
    <xf numFmtId="0" fontId="43" fillId="0" borderId="0" xfId="79" applyFont="1" applyAlignment="1" applyProtection="1">
      <alignment horizontal="left"/>
      <protection locked="0" hidden="1"/>
    </xf>
    <xf numFmtId="0" fontId="9" fillId="3" borderId="0" xfId="79" applyFont="1" applyFill="1" applyBorder="1" applyProtection="1">
      <protection locked="0" hidden="1"/>
    </xf>
    <xf numFmtId="0" fontId="9" fillId="3" borderId="0" xfId="79" applyFill="1" applyBorder="1" applyAlignment="1" applyProtection="1">
      <protection locked="0" hidden="1"/>
    </xf>
    <xf numFmtId="0" fontId="9" fillId="0" borderId="0" xfId="79" applyFill="1" applyProtection="1">
      <protection locked="0" hidden="1"/>
    </xf>
    <xf numFmtId="0" fontId="38" fillId="0" borderId="0" xfId="79" applyFont="1" applyAlignment="1" applyProtection="1">
      <alignment horizontal="center"/>
      <protection locked="0" hidden="1"/>
    </xf>
    <xf numFmtId="0" fontId="9" fillId="0" borderId="0" xfId="79" applyAlignment="1" applyProtection="1">
      <alignment vertical="center"/>
      <protection locked="0" hidden="1"/>
    </xf>
    <xf numFmtId="0" fontId="7" fillId="0" borderId="0" xfId="79" applyFont="1" applyProtection="1">
      <protection locked="0" hidden="1"/>
    </xf>
    <xf numFmtId="0" fontId="56" fillId="0" borderId="0" xfId="0" applyFont="1" applyProtection="1">
      <protection locked="0" hidden="1"/>
    </xf>
    <xf numFmtId="0" fontId="12" fillId="0" borderId="0" xfId="0" applyFont="1" applyAlignment="1">
      <alignment wrapText="1"/>
    </xf>
    <xf numFmtId="0" fontId="51" fillId="0" borderId="0" xfId="81" applyFont="1" applyAlignment="1" applyProtection="1">
      <alignment horizontal="left" vertical="top" wrapText="1"/>
      <protection locked="0" hidden="1"/>
    </xf>
    <xf numFmtId="0" fontId="79" fillId="0" borderId="0" xfId="86" applyFont="1" applyAlignment="1" applyProtection="1">
      <alignment horizontal="justify" vertical="top" wrapText="1"/>
      <protection locked="0" hidden="1"/>
    </xf>
    <xf numFmtId="0" fontId="79" fillId="0" borderId="0" xfId="86" applyFont="1" applyAlignment="1" applyProtection="1">
      <alignment horizontal="left"/>
      <protection locked="0" hidden="1"/>
    </xf>
    <xf numFmtId="0" fontId="73" fillId="0" borderId="0" xfId="81" applyFont="1" applyAlignment="1" applyProtection="1">
      <alignment horizontal="justify" vertical="top" wrapText="1"/>
      <protection locked="0" hidden="1"/>
    </xf>
    <xf numFmtId="0" fontId="51" fillId="0" borderId="0" xfId="81" applyFont="1" applyAlignment="1" applyProtection="1">
      <alignment horizontal="justify" vertical="top" wrapText="1"/>
      <protection locked="0" hidden="1"/>
    </xf>
    <xf numFmtId="0" fontId="79" fillId="0" borderId="0" xfId="86" applyFont="1" applyAlignment="1" applyProtection="1">
      <alignment horizontal="left" vertical="top" wrapText="1"/>
      <protection locked="0" hidden="1"/>
    </xf>
    <xf numFmtId="0" fontId="40" fillId="0" borderId="0" xfId="0" applyFont="1" applyAlignment="1" applyProtection="1">
      <alignment horizontal="center"/>
      <protection locked="0" hidden="1"/>
    </xf>
    <xf numFmtId="0" fontId="38" fillId="0" borderId="0" xfId="79" applyFont="1" applyAlignment="1" applyProtection="1">
      <alignment horizontal="center"/>
      <protection locked="0" hidden="1"/>
    </xf>
    <xf numFmtId="0" fontId="37" fillId="0" borderId="11" xfId="0" applyFont="1" applyBorder="1" applyAlignment="1">
      <alignment horizontal="center"/>
    </xf>
    <xf numFmtId="0" fontId="37" fillId="0" borderId="12" xfId="0" applyFont="1" applyBorder="1" applyAlignment="1">
      <alignment horizontal="center"/>
    </xf>
    <xf numFmtId="0" fontId="12" fillId="0" borderId="0" xfId="0" applyFont="1" applyAlignment="1">
      <alignment horizontal="center"/>
    </xf>
    <xf numFmtId="0" fontId="16" fillId="6" borderId="0" xfId="0" applyFont="1" applyFill="1" applyAlignment="1">
      <alignment horizontal="left" vertical="center" wrapText="1"/>
    </xf>
    <xf numFmtId="0" fontId="52" fillId="0" borderId="0" xfId="0" applyFont="1" applyAlignment="1">
      <alignment horizontal="center" vertical="center" wrapText="1"/>
    </xf>
    <xf numFmtId="0" fontId="51" fillId="0" borderId="0" xfId="0" applyFont="1" applyAlignment="1">
      <alignment horizontal="center"/>
    </xf>
    <xf numFmtId="0" fontId="0" fillId="0" borderId="0" xfId="0" applyAlignment="1">
      <alignment horizontal="center"/>
    </xf>
    <xf numFmtId="0" fontId="15" fillId="6" borderId="0" xfId="4" applyFont="1" applyFill="1" applyAlignment="1">
      <alignment horizontal="left" vertical="center" wrapText="1"/>
    </xf>
    <xf numFmtId="0" fontId="14" fillId="2" borderId="0" xfId="5" applyFont="1" applyFill="1" applyAlignment="1">
      <alignment horizontal="center" vertical="top" wrapText="1"/>
    </xf>
    <xf numFmtId="0" fontId="17" fillId="2" borderId="4" xfId="4" applyFont="1" applyFill="1" applyBorder="1" applyAlignment="1">
      <alignment horizontal="left" wrapText="1"/>
    </xf>
    <xf numFmtId="0" fontId="14" fillId="6" borderId="0" xfId="5" applyFont="1" applyFill="1" applyAlignment="1">
      <alignment horizontal="left" vertical="center" wrapText="1"/>
    </xf>
    <xf numFmtId="0" fontId="17" fillId="0" borderId="0" xfId="5" applyFont="1" applyFill="1" applyAlignment="1">
      <alignment horizontal="left" vertical="center" wrapText="1"/>
    </xf>
    <xf numFmtId="0" fontId="17" fillId="0" borderId="0" xfId="5" applyFont="1" applyFill="1" applyAlignment="1">
      <alignment horizontal="left" vertical="center"/>
    </xf>
    <xf numFmtId="0" fontId="14" fillId="3" borderId="0" xfId="0" applyFont="1" applyFill="1" applyBorder="1" applyAlignment="1">
      <alignment horizontal="center" vertical="top" wrapText="1"/>
    </xf>
    <xf numFmtId="0" fontId="16" fillId="2" borderId="0" xfId="4" applyFont="1" applyFill="1" applyAlignment="1">
      <alignment horizontal="left" vertical="top" wrapText="1"/>
    </xf>
    <xf numFmtId="0" fontId="14" fillId="2" borderId="0" xfId="0" applyFont="1" applyFill="1" applyBorder="1" applyAlignment="1">
      <alignment horizontal="center" vertical="top" wrapText="1"/>
    </xf>
    <xf numFmtId="0" fontId="16" fillId="2" borderId="0" xfId="4" applyFont="1" applyFill="1" applyAlignment="1">
      <alignment horizontal="left" vertical="center" wrapText="1"/>
    </xf>
    <xf numFmtId="2" fontId="51" fillId="0" borderId="0" xfId="0" applyNumberFormat="1" applyFont="1" applyAlignment="1">
      <alignment horizontal="left" vertical="center" wrapText="1"/>
    </xf>
    <xf numFmtId="0" fontId="51" fillId="0" borderId="0" xfId="0" applyFont="1" applyAlignment="1">
      <alignment horizontal="left" vertical="center" wrapText="1"/>
    </xf>
    <xf numFmtId="1" fontId="51" fillId="0" borderId="0" xfId="0" applyNumberFormat="1" applyFont="1" applyAlignment="1">
      <alignment horizontal="left" vertical="center" wrapText="1"/>
    </xf>
    <xf numFmtId="0" fontId="51" fillId="0" borderId="0" xfId="0" applyFont="1" applyAlignment="1">
      <alignment horizontal="left" wrapText="1"/>
    </xf>
    <xf numFmtId="0" fontId="56" fillId="0" borderId="0" xfId="0" applyFont="1" applyAlignment="1">
      <alignment horizontal="left" vertical="center" wrapText="1"/>
    </xf>
    <xf numFmtId="0" fontId="56" fillId="0" borderId="0" xfId="0" applyFont="1" applyAlignment="1">
      <alignment horizontal="left" wrapText="1"/>
    </xf>
    <xf numFmtId="0" fontId="46" fillId="0" borderId="0" xfId="0" applyFont="1" applyAlignment="1">
      <alignment horizontal="center"/>
    </xf>
    <xf numFmtId="0" fontId="56" fillId="16" borderId="0" xfId="0" applyFont="1" applyFill="1" applyAlignment="1">
      <alignment horizontal="left" wrapText="1"/>
    </xf>
    <xf numFmtId="0" fontId="14" fillId="3" borderId="0" xfId="5" applyFont="1" applyFill="1" applyAlignment="1">
      <alignment horizontal="center" vertical="top" wrapText="1"/>
    </xf>
    <xf numFmtId="0" fontId="16" fillId="0" borderId="0" xfId="4" applyFont="1" applyFill="1" applyAlignment="1">
      <alignment horizontal="left" vertical="center" wrapText="1"/>
    </xf>
    <xf numFmtId="0" fontId="16" fillId="0" borderId="0" xfId="4" applyFont="1" applyFill="1" applyAlignment="1">
      <alignment horizontal="left" wrapText="1"/>
    </xf>
    <xf numFmtId="0" fontId="56" fillId="0" borderId="0" xfId="0" applyFont="1" applyAlignment="1">
      <alignment horizontal="center"/>
    </xf>
    <xf numFmtId="0" fontId="0" fillId="8" borderId="0" xfId="0" applyFill="1" applyAlignment="1">
      <alignment horizontal="left" vertical="center" wrapText="1"/>
    </xf>
    <xf numFmtId="0" fontId="0" fillId="8" borderId="0" xfId="0" applyFill="1" applyAlignment="1">
      <alignment horizontal="left" wrapText="1"/>
    </xf>
    <xf numFmtId="171" fontId="51" fillId="0" borderId="0" xfId="0" applyNumberFormat="1" applyFont="1" applyAlignment="1">
      <alignment horizontal="left" vertical="center" wrapText="1"/>
    </xf>
    <xf numFmtId="0" fontId="51" fillId="6" borderId="0" xfId="0" applyFont="1" applyFill="1" applyAlignment="1">
      <alignment horizontal="left" vertical="center" wrapText="1"/>
    </xf>
    <xf numFmtId="0" fontId="55" fillId="0" borderId="0" xfId="0" applyFont="1" applyFill="1" applyAlignment="1">
      <alignment horizontal="center" wrapText="1"/>
    </xf>
    <xf numFmtId="0" fontId="51" fillId="0" borderId="0" xfId="0" applyFont="1" applyFill="1" applyAlignment="1">
      <alignment horizontal="center" vertical="center" wrapText="1"/>
    </xf>
    <xf numFmtId="0" fontId="52" fillId="0" borderId="0" xfId="0" applyFont="1" applyAlignment="1">
      <alignment horizontal="center"/>
    </xf>
    <xf numFmtId="0" fontId="52" fillId="0" borderId="0" xfId="0" applyFont="1" applyAlignment="1">
      <alignment horizontal="center" vertical="center"/>
    </xf>
    <xf numFmtId="0" fontId="83" fillId="0" borderId="20" xfId="78" applyFont="1" applyBorder="1" applyAlignment="1" applyProtection="1">
      <alignment horizontal="justify" vertical="top"/>
      <protection hidden="1"/>
    </xf>
    <xf numFmtId="0" fontId="10" fillId="0" borderId="20" xfId="78" applyBorder="1" applyAlignment="1" applyProtection="1">
      <alignment horizontal="justify" vertical="top"/>
      <protection hidden="1"/>
    </xf>
    <xf numFmtId="0" fontId="14" fillId="2" borderId="0" xfId="4" applyFont="1" applyFill="1" applyAlignment="1">
      <alignment horizontal="center" vertical="top" wrapText="1"/>
    </xf>
    <xf numFmtId="0" fontId="14" fillId="3" borderId="0" xfId="0" applyFont="1" applyFill="1" applyAlignment="1">
      <alignment horizontal="center" vertical="top"/>
    </xf>
    <xf numFmtId="0" fontId="17" fillId="3" borderId="4" xfId="0" applyFont="1" applyFill="1" applyBorder="1" applyAlignment="1">
      <alignment horizontal="left" vertical="center" wrapText="1"/>
    </xf>
    <xf numFmtId="0" fontId="14" fillId="2" borderId="0" xfId="4" applyFont="1" applyFill="1" applyAlignment="1">
      <alignment horizontal="center" vertical="top"/>
    </xf>
    <xf numFmtId="0" fontId="14" fillId="2" borderId="0" xfId="4" applyFont="1" applyFill="1" applyAlignment="1">
      <alignment horizontal="center" vertical="center"/>
    </xf>
    <xf numFmtId="0" fontId="14" fillId="3" borderId="0" xfId="4" applyFont="1" applyFill="1" applyAlignment="1">
      <alignment horizontal="center" vertical="top" wrapText="1"/>
    </xf>
    <xf numFmtId="0" fontId="14" fillId="2" borderId="0" xfId="0" applyFont="1" applyFill="1" applyAlignment="1">
      <alignment horizontal="center" vertical="top"/>
    </xf>
    <xf numFmtId="0" fontId="14" fillId="3" borderId="0" xfId="4" applyFont="1" applyFill="1" applyBorder="1" applyAlignment="1">
      <alignment horizontal="center" vertical="top" wrapText="1"/>
    </xf>
    <xf numFmtId="0" fontId="14" fillId="3" borderId="0" xfId="4" applyFont="1" applyFill="1" applyBorder="1" applyAlignment="1">
      <alignment horizontal="center" vertical="center" wrapText="1"/>
    </xf>
    <xf numFmtId="0" fontId="17" fillId="2" borderId="0" xfId="0" applyFont="1" applyFill="1" applyAlignment="1">
      <alignment horizontal="center" vertical="center"/>
    </xf>
    <xf numFmtId="0" fontId="14" fillId="2" borderId="0" xfId="4" applyFont="1" applyFill="1" applyAlignment="1">
      <alignment horizontal="center" vertical="center" wrapText="1"/>
    </xf>
    <xf numFmtId="0" fontId="14" fillId="2" borderId="0" xfId="81" applyFont="1" applyFill="1" applyBorder="1" applyAlignment="1">
      <alignment horizontal="center" vertical="center" wrapText="1"/>
    </xf>
    <xf numFmtId="0" fontId="16" fillId="2" borderId="0" xfId="0" applyFont="1" applyFill="1" applyBorder="1" applyAlignment="1">
      <alignment horizontal="left" wrapText="1"/>
    </xf>
    <xf numFmtId="0" fontId="14" fillId="3" borderId="0" xfId="74" applyFont="1" applyFill="1" applyAlignment="1">
      <alignment horizontal="center" vertical="top" wrapText="1"/>
    </xf>
    <xf numFmtId="0" fontId="17" fillId="3" borderId="4" xfId="4" applyFont="1" applyFill="1" applyBorder="1" applyAlignment="1">
      <alignment horizontal="left" vertical="center" wrapText="1"/>
    </xf>
    <xf numFmtId="0" fontId="17" fillId="3" borderId="0" xfId="4" applyFont="1" applyFill="1" applyAlignment="1">
      <alignment horizontal="left" wrapText="1"/>
    </xf>
    <xf numFmtId="0" fontId="17" fillId="2" borderId="2" xfId="4" applyFont="1" applyFill="1" applyBorder="1" applyAlignment="1">
      <alignment horizontal="right"/>
    </xf>
    <xf numFmtId="0" fontId="17" fillId="3" borderId="0" xfId="4" applyFont="1" applyFill="1" applyAlignment="1">
      <alignment horizontal="left" vertical="top" wrapText="1"/>
    </xf>
    <xf numFmtId="0" fontId="14" fillId="3" borderId="0" xfId="81" applyFont="1" applyFill="1" applyBorder="1" applyAlignment="1">
      <alignment horizontal="center" vertical="center" wrapText="1"/>
    </xf>
    <xf numFmtId="0" fontId="14" fillId="2" borderId="0" xfId="74" applyFont="1" applyFill="1" applyAlignment="1">
      <alignment horizontal="center" vertical="top" wrapText="1"/>
    </xf>
    <xf numFmtId="0" fontId="14" fillId="2" borderId="0" xfId="74" applyFont="1" applyFill="1" applyAlignment="1">
      <alignment horizontal="center" vertical="center" wrapText="1"/>
    </xf>
    <xf numFmtId="0" fontId="17" fillId="0" borderId="0" xfId="4" applyFont="1" applyFill="1" applyAlignment="1">
      <alignment horizontal="left" wrapText="1"/>
    </xf>
    <xf numFmtId="0" fontId="16" fillId="3" borderId="0" xfId="0" applyFont="1" applyFill="1" applyBorder="1" applyAlignment="1">
      <alignment horizontal="left" vertical="top" wrapText="1"/>
    </xf>
    <xf numFmtId="0" fontId="14" fillId="3" borderId="0" xfId="74" applyFont="1" applyFill="1" applyBorder="1" applyAlignment="1">
      <alignment horizontal="center" vertical="center" wrapText="1"/>
    </xf>
    <xf numFmtId="0" fontId="16" fillId="3" borderId="0" xfId="81" applyFont="1" applyFill="1" applyBorder="1" applyAlignment="1">
      <alignment horizontal="left" vertical="top" wrapText="1"/>
    </xf>
    <xf numFmtId="0" fontId="17" fillId="3" borderId="0" xfId="4" applyFont="1" applyFill="1" applyAlignment="1">
      <alignment horizontal="left" vertical="center" wrapText="1"/>
    </xf>
    <xf numFmtId="0" fontId="14" fillId="2" borderId="0" xfId="5" applyFont="1" applyFill="1" applyAlignment="1">
      <alignment horizontal="center" vertical="top"/>
    </xf>
    <xf numFmtId="0" fontId="16" fillId="2" borderId="0" xfId="4" applyFont="1" applyFill="1" applyAlignment="1">
      <alignment horizontal="left"/>
    </xf>
    <xf numFmtId="0" fontId="18" fillId="3" borderId="8" xfId="75" applyFont="1" applyFill="1" applyBorder="1" applyAlignment="1">
      <alignment horizontal="left" vertical="top" wrapText="1"/>
    </xf>
    <xf numFmtId="0" fontId="18" fillId="3" borderId="6" xfId="75" applyFont="1" applyFill="1" applyBorder="1" applyAlignment="1">
      <alignment horizontal="left" vertical="top" wrapText="1"/>
    </xf>
    <xf numFmtId="0" fontId="18" fillId="3" borderId="9" xfId="75" applyFont="1" applyFill="1" applyBorder="1" applyAlignment="1">
      <alignment horizontal="left" vertical="top" wrapText="1"/>
    </xf>
    <xf numFmtId="0" fontId="20" fillId="3" borderId="8" xfId="75" applyFont="1" applyFill="1" applyBorder="1" applyAlignment="1">
      <alignment horizontal="left" vertical="center" wrapText="1"/>
    </xf>
    <xf numFmtId="0" fontId="20" fillId="3" borderId="6" xfId="75" applyFont="1" applyFill="1" applyBorder="1" applyAlignment="1">
      <alignment horizontal="left" vertical="center" wrapText="1"/>
    </xf>
    <xf numFmtId="0" fontId="34" fillId="3" borderId="9" xfId="75" applyFont="1" applyFill="1" applyBorder="1" applyAlignment="1">
      <alignment horizontal="left" vertical="center" wrapText="1"/>
    </xf>
    <xf numFmtId="0" fontId="14" fillId="2" borderId="0" xfId="5" applyFont="1" applyFill="1" applyBorder="1" applyAlignment="1">
      <alignment horizontal="center" vertical="top" wrapText="1"/>
    </xf>
    <xf numFmtId="0" fontId="18" fillId="3" borderId="7" xfId="75" applyFont="1" applyFill="1" applyBorder="1" applyAlignment="1">
      <alignment horizontal="left" vertical="top" wrapText="1"/>
    </xf>
    <xf numFmtId="0" fontId="34" fillId="3" borderId="7" xfId="75" applyFont="1" applyFill="1" applyBorder="1" applyAlignment="1">
      <alignment horizontal="left" vertical="center" wrapText="1"/>
    </xf>
    <xf numFmtId="0" fontId="18" fillId="3" borderId="5" xfId="75" applyFont="1" applyFill="1" applyBorder="1" applyAlignment="1">
      <alignment horizontal="left" vertical="top" wrapText="1"/>
    </xf>
    <xf numFmtId="0" fontId="20" fillId="3" borderId="5" xfId="75" applyFont="1" applyFill="1" applyBorder="1" applyAlignment="1">
      <alignment horizontal="left" vertical="center" wrapText="1"/>
    </xf>
    <xf numFmtId="0" fontId="16" fillId="0" borderId="0" xfId="0" applyFont="1" applyBorder="1" applyAlignment="1">
      <alignment horizontal="left" vertical="center" wrapText="1"/>
    </xf>
    <xf numFmtId="0" fontId="16" fillId="2" borderId="0" xfId="0" applyFont="1" applyFill="1" applyBorder="1" applyAlignment="1">
      <alignment horizontal="left" vertical="top"/>
    </xf>
    <xf numFmtId="0" fontId="16" fillId="2" borderId="0" xfId="0" applyFont="1" applyFill="1" applyBorder="1" applyAlignment="1">
      <alignment horizontal="left" vertical="top" wrapText="1"/>
    </xf>
    <xf numFmtId="0" fontId="67" fillId="3" borderId="0" xfId="81" applyFont="1" applyFill="1" applyAlignment="1">
      <alignment horizontal="justify" vertical="center" wrapText="1"/>
    </xf>
    <xf numFmtId="0" fontId="69" fillId="13" borderId="17" xfId="81" applyFont="1" applyFill="1" applyBorder="1" applyAlignment="1">
      <alignment horizontal="left" vertical="center"/>
    </xf>
    <xf numFmtId="0" fontId="69" fillId="13" borderId="18" xfId="81" applyFont="1" applyFill="1" applyBorder="1" applyAlignment="1">
      <alignment horizontal="left" vertical="center"/>
    </xf>
    <xf numFmtId="0" fontId="69" fillId="13" borderId="19" xfId="81" applyFont="1" applyFill="1" applyBorder="1" applyAlignment="1">
      <alignment horizontal="left" vertical="center"/>
    </xf>
    <xf numFmtId="0" fontId="69" fillId="13" borderId="0" xfId="81" applyFont="1" applyFill="1" applyBorder="1" applyAlignment="1">
      <alignment horizontal="left" vertical="center"/>
    </xf>
    <xf numFmtId="0" fontId="67" fillId="3" borderId="0" xfId="81" applyFont="1" applyFill="1" applyAlignment="1">
      <alignment horizontal="justify" vertical="justify" wrapText="1"/>
    </xf>
    <xf numFmtId="0" fontId="67" fillId="3" borderId="0" xfId="81" applyFont="1" applyFill="1" applyAlignment="1">
      <alignment horizontal="justify" vertical="justify"/>
    </xf>
    <xf numFmtId="0" fontId="68" fillId="3" borderId="0" xfId="81" applyFont="1" applyFill="1" applyAlignment="1">
      <alignment horizontal="justify" vertical="center" wrapText="1"/>
    </xf>
    <xf numFmtId="0" fontId="67" fillId="3" borderId="0" xfId="81" applyFont="1" applyFill="1" applyAlignment="1">
      <alignment horizontal="justify" vertical="center"/>
    </xf>
    <xf numFmtId="0" fontId="67" fillId="3" borderId="0" xfId="81" applyFont="1" applyFill="1" applyAlignment="1">
      <alignment horizontal="left" vertical="center" wrapText="1"/>
    </xf>
    <xf numFmtId="0" fontId="72" fillId="3" borderId="0" xfId="81" applyFont="1" applyFill="1" applyAlignment="1">
      <alignment horizontal="justify" vertical="center" wrapText="1"/>
    </xf>
    <xf numFmtId="0" fontId="70" fillId="3" borderId="0" xfId="81" quotePrefix="1" applyFont="1" applyFill="1" applyAlignment="1">
      <alignment horizontal="justify" vertical="top" wrapText="1"/>
    </xf>
    <xf numFmtId="0" fontId="67" fillId="3" borderId="0" xfId="81" quotePrefix="1" applyFont="1" applyFill="1" applyAlignment="1">
      <alignment horizontal="left" vertical="center" wrapText="1"/>
    </xf>
  </cellXfs>
  <cellStyles count="87">
    <cellStyle name="Euro" xfId="1" xr:uid="{00000000-0005-0000-0000-000000000000}"/>
    <cellStyle name="Hiperligação" xfId="2" builtinId="8"/>
    <cellStyle name="Hiperligação 2" xfId="85" xr:uid="{F8348110-3742-455F-B290-9BAB5B8E1DFA}"/>
    <cellStyle name="Hiperligação 2 2" xfId="86" xr:uid="{611F550D-5880-4B36-A3EC-333454270147}"/>
    <cellStyle name="Normal" xfId="0" builtinId="0"/>
    <cellStyle name="Normal 2" xfId="81" xr:uid="{97D99C30-E5AC-42A3-B342-C3167DEC0243}"/>
    <cellStyle name="Normal 3" xfId="78" xr:uid="{00000000-0005-0000-0000-000003000000}"/>
    <cellStyle name="Normal 3 2" xfId="77" xr:uid="{00000000-0005-0000-0000-000004000000}"/>
    <cellStyle name="Normal 3 3" xfId="76" xr:uid="{00000000-0005-0000-0000-000005000000}"/>
    <cellStyle name="Normal 3 4" xfId="79" xr:uid="{E4E963E8-1A5A-4C0E-B11C-C32359D8104D}"/>
    <cellStyle name="Normal 3 5" xfId="83" xr:uid="{CE227745-C62E-4D1A-B619-756021D062BB}"/>
    <cellStyle name="Normal 4" xfId="84" xr:uid="{F11E1D6D-5B8C-4311-A5B6-EC5644621E66}"/>
    <cellStyle name="Normal 4 2" xfId="6" xr:uid="{00000000-0005-0000-0000-000006000000}"/>
    <cellStyle name="Normal_Book2 2" xfId="82" xr:uid="{B5F33122-7F7B-4B39-BD17-31EB1716E428}"/>
    <cellStyle name="Normal_caeremuna" xfId="3" xr:uid="{00000000-0005-0000-0000-000008000000}"/>
    <cellStyle name="Normal_ee05" xfId="4" xr:uid="{00000000-0005-0000-0000-000009000000}"/>
    <cellStyle name="Normal_Folha2" xfId="75" xr:uid="{00000000-0005-0000-0000-00000A000000}"/>
    <cellStyle name="Normal_qp_emprego06" xfId="5" xr:uid="{00000000-0005-0000-0000-00000B000000}"/>
    <cellStyle name="Normal_qp_emprego06 2" xfId="74" xr:uid="{00000000-0005-0000-0000-00000C000000}"/>
    <cellStyle name="Percentagem" xfId="80" builtinId="5"/>
    <cellStyle name="style1386169271439" xfId="11" xr:uid="{00000000-0005-0000-0000-00000D000000}"/>
    <cellStyle name="style1386169271439 2" xfId="55" xr:uid="{00000000-0005-0000-0000-00000E000000}"/>
    <cellStyle name="style1386169271674" xfId="12" xr:uid="{00000000-0005-0000-0000-00000F000000}"/>
    <cellStyle name="style1386169271674 2" xfId="56" xr:uid="{00000000-0005-0000-0000-000010000000}"/>
    <cellStyle name="style1386169271908" xfId="14" xr:uid="{00000000-0005-0000-0000-000011000000}"/>
    <cellStyle name="style1386169271908 2" xfId="58" xr:uid="{00000000-0005-0000-0000-000012000000}"/>
    <cellStyle name="style1386169272361" xfId="8" xr:uid="{00000000-0005-0000-0000-000013000000}"/>
    <cellStyle name="style1386169272361 2" xfId="52" xr:uid="{00000000-0005-0000-0000-000014000000}"/>
    <cellStyle name="style1386169272502" xfId="10" xr:uid="{00000000-0005-0000-0000-000015000000}"/>
    <cellStyle name="style1386169272502 2" xfId="54" xr:uid="{00000000-0005-0000-0000-000016000000}"/>
    <cellStyle name="style1386169273189" xfId="7" xr:uid="{00000000-0005-0000-0000-000017000000}"/>
    <cellStyle name="style1386169273189 2" xfId="51" xr:uid="{00000000-0005-0000-0000-000018000000}"/>
    <cellStyle name="style1386169273283" xfId="9" xr:uid="{00000000-0005-0000-0000-000019000000}"/>
    <cellStyle name="style1386169273283 2" xfId="53" xr:uid="{00000000-0005-0000-0000-00001A000000}"/>
    <cellStyle name="style1386169275549" xfId="13" xr:uid="{00000000-0005-0000-0000-00001B000000}"/>
    <cellStyle name="style1386169275549 2" xfId="57" xr:uid="{00000000-0005-0000-0000-00001C000000}"/>
    <cellStyle name="style1386170078719" xfId="19" xr:uid="{00000000-0005-0000-0000-00001D000000}"/>
    <cellStyle name="style1386170078719 2" xfId="63" xr:uid="{00000000-0005-0000-0000-00001E000000}"/>
    <cellStyle name="style1386170078922" xfId="20" xr:uid="{00000000-0005-0000-0000-00001F000000}"/>
    <cellStyle name="style1386170078922 2" xfId="64" xr:uid="{00000000-0005-0000-0000-000020000000}"/>
    <cellStyle name="style1386170079157" xfId="22" xr:uid="{00000000-0005-0000-0000-000021000000}"/>
    <cellStyle name="style1386170079157 2" xfId="66" xr:uid="{00000000-0005-0000-0000-000022000000}"/>
    <cellStyle name="style1386170079594" xfId="16" xr:uid="{00000000-0005-0000-0000-000023000000}"/>
    <cellStyle name="style1386170079594 2" xfId="60" xr:uid="{00000000-0005-0000-0000-000024000000}"/>
    <cellStyle name="style1386170079672" xfId="18" xr:uid="{00000000-0005-0000-0000-000025000000}"/>
    <cellStyle name="style1386170079672 2" xfId="62" xr:uid="{00000000-0005-0000-0000-000026000000}"/>
    <cellStyle name="style1386170080235" xfId="15" xr:uid="{00000000-0005-0000-0000-000027000000}"/>
    <cellStyle name="style1386170080235 2" xfId="59" xr:uid="{00000000-0005-0000-0000-000028000000}"/>
    <cellStyle name="style1386170080313" xfId="17" xr:uid="{00000000-0005-0000-0000-000029000000}"/>
    <cellStyle name="style1386170080313 2" xfId="61" xr:uid="{00000000-0005-0000-0000-00002A000000}"/>
    <cellStyle name="style1386170080735" xfId="23" xr:uid="{00000000-0005-0000-0000-00002B000000}"/>
    <cellStyle name="style1386170080735 2" xfId="67" xr:uid="{00000000-0005-0000-0000-00002C000000}"/>
    <cellStyle name="style1386170080829" xfId="24" xr:uid="{00000000-0005-0000-0000-00002D000000}"/>
    <cellStyle name="style1386170080829 2" xfId="68" xr:uid="{00000000-0005-0000-0000-00002E000000}"/>
    <cellStyle name="style1386170080938" xfId="25" xr:uid="{00000000-0005-0000-0000-00002F000000}"/>
    <cellStyle name="style1386170080938 2" xfId="69" xr:uid="{00000000-0005-0000-0000-000030000000}"/>
    <cellStyle name="style1386170082172" xfId="21" xr:uid="{00000000-0005-0000-0000-000031000000}"/>
    <cellStyle name="style1386170082172 2" xfId="65" xr:uid="{00000000-0005-0000-0000-000032000000}"/>
    <cellStyle name="style1386177057576" xfId="33" xr:uid="{00000000-0005-0000-0000-000033000000}"/>
    <cellStyle name="style1386177057826" xfId="36" xr:uid="{00000000-0005-0000-0000-000034000000}"/>
    <cellStyle name="style1386177058123" xfId="40" xr:uid="{00000000-0005-0000-0000-000035000000}"/>
    <cellStyle name="style1386177058638" xfId="37" xr:uid="{00000000-0005-0000-0000-000036000000}"/>
    <cellStyle name="style1386177059982" xfId="32" xr:uid="{00000000-0005-0000-0000-000037000000}"/>
    <cellStyle name="style1386177060076" xfId="35" xr:uid="{00000000-0005-0000-0000-000038000000}"/>
    <cellStyle name="style1386177060232" xfId="39" xr:uid="{00000000-0005-0000-0000-000039000000}"/>
    <cellStyle name="style1386177060310" xfId="38" xr:uid="{00000000-0005-0000-0000-00003A000000}"/>
    <cellStyle name="style1386177060404" xfId="34" xr:uid="{00000000-0005-0000-0000-00003B000000}"/>
    <cellStyle name="style1386177060529" xfId="41" xr:uid="{00000000-0005-0000-0000-00003C000000}"/>
    <cellStyle name="style1386178399538" xfId="26" xr:uid="{00000000-0005-0000-0000-00003D000000}"/>
    <cellStyle name="style1386178399538 2" xfId="70" xr:uid="{00000000-0005-0000-0000-00003E000000}"/>
    <cellStyle name="style1386178400116" xfId="27" xr:uid="{00000000-0005-0000-0000-00003F000000}"/>
    <cellStyle name="style1386178400116 2" xfId="71" xr:uid="{00000000-0005-0000-0000-000040000000}"/>
    <cellStyle name="style1386178799571" xfId="28" xr:uid="{00000000-0005-0000-0000-000041000000}"/>
    <cellStyle name="style1386178799571 2" xfId="72" xr:uid="{00000000-0005-0000-0000-000042000000}"/>
    <cellStyle name="style1386178799743" xfId="29" xr:uid="{00000000-0005-0000-0000-000043000000}"/>
    <cellStyle name="style1386178799743 2" xfId="73" xr:uid="{00000000-0005-0000-0000-000044000000}"/>
    <cellStyle name="style1386244786845" xfId="30" xr:uid="{00000000-0005-0000-0000-000045000000}"/>
    <cellStyle name="style1386245268236" xfId="31" xr:uid="{00000000-0005-0000-0000-000046000000}"/>
    <cellStyle name="style1386256697709" xfId="43" xr:uid="{00000000-0005-0000-0000-000047000000}"/>
    <cellStyle name="style1386256697959" xfId="46" xr:uid="{00000000-0005-0000-0000-000048000000}"/>
    <cellStyle name="style1386256698334" xfId="49" xr:uid="{00000000-0005-0000-0000-000049000000}"/>
    <cellStyle name="style1386256698693" xfId="47" xr:uid="{00000000-0005-0000-0000-00004A000000}"/>
    <cellStyle name="style1386256700272" xfId="42" xr:uid="{00000000-0005-0000-0000-00004B000000}"/>
    <cellStyle name="style1386256700365" xfId="45" xr:uid="{00000000-0005-0000-0000-00004C000000}"/>
    <cellStyle name="style1386256700522" xfId="48" xr:uid="{00000000-0005-0000-0000-00004D000000}"/>
    <cellStyle name="style1386256700615" xfId="44" xr:uid="{00000000-0005-0000-0000-00004E000000}"/>
    <cellStyle name="style1386256700709" xfId="50" xr:uid="{00000000-0005-0000-0000-00004F000000}"/>
  </cellStyles>
  <dxfs count="2823">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ont>
        <b/>
        <i val="0"/>
        <color rgb="FFFFFF00"/>
      </font>
      <fill>
        <patternFill>
          <bgColor rgb="FFFF0000"/>
        </patternFill>
      </fill>
    </dxf>
    <dxf>
      <numFmt numFmtId="180" formatCode="###0;###0;\-"/>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ont>
        <b/>
        <i val="0"/>
        <color rgb="FFFFFF00"/>
      </font>
      <fill>
        <patternFill>
          <bgColor rgb="FFFF0000"/>
        </patternFill>
      </fill>
    </dxf>
    <dxf>
      <numFmt numFmtId="180" formatCode="###0;###0;\-"/>
    </dxf>
    <dxf>
      <numFmt numFmtId="180" formatCode="###0;###0;\-"/>
    </dxf>
    <dxf>
      <numFmt numFmtId="180" formatCode="###0;###0;\-"/>
    </dxf>
    <dxf>
      <font>
        <b/>
        <i val="0"/>
        <color rgb="FFFFFF00"/>
      </font>
      <fill>
        <patternFill>
          <bgColor rgb="FFFF0000"/>
        </patternFill>
      </fill>
    </dxf>
    <dxf>
      <font>
        <b/>
        <i val="0"/>
        <color rgb="FFFFFF00"/>
      </font>
      <fill>
        <patternFill>
          <bgColor rgb="FFFF0000"/>
        </patternFill>
      </fill>
    </dxf>
    <dxf>
      <numFmt numFmtId="180" formatCode="###0;###0;\-"/>
    </dxf>
    <dxf>
      <numFmt numFmtId="180" formatCode="###0;###0;\-"/>
    </dxf>
    <dxf>
      <numFmt numFmtId="180" formatCode="###0;###0;\-"/>
    </dxf>
    <dxf>
      <font>
        <b/>
        <i val="0"/>
        <color rgb="FFFFFF00"/>
      </font>
      <fill>
        <patternFill>
          <bgColor rgb="FFFF0000"/>
        </patternFill>
      </fill>
    </dxf>
    <dxf>
      <numFmt numFmtId="180" formatCode="###0;###0;\-"/>
    </dxf>
    <dxf>
      <fill>
        <patternFill>
          <bgColor theme="9" tint="0.59996337778862885"/>
        </patternFill>
      </fill>
    </dxf>
    <dxf>
      <fill>
        <patternFill>
          <bgColor theme="9" tint="-0.24994659260841701"/>
        </patternFill>
      </fill>
    </dxf>
    <dxf>
      <fill>
        <patternFill>
          <bgColor rgb="FFFF0000"/>
        </patternFill>
      </fill>
    </dxf>
    <dxf>
      <fill>
        <patternFill>
          <bgColor theme="9" tint="0.59996337778862885"/>
        </patternFill>
      </fill>
    </dxf>
    <dxf>
      <fill>
        <patternFill>
          <bgColor theme="9" tint="-0.24994659260841701"/>
        </patternFill>
      </fill>
    </dxf>
    <dxf>
      <fill>
        <patternFill>
          <bgColor rgb="FFFF0000"/>
        </patternFill>
      </fill>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ont>
        <b/>
        <i val="0"/>
        <color rgb="FFFFFF00"/>
      </font>
      <fill>
        <patternFill>
          <bgColor rgb="FFFF0000"/>
        </patternFill>
      </fill>
    </dxf>
    <dxf>
      <numFmt numFmtId="180" formatCode="###0;###0;\-"/>
    </dxf>
    <dxf>
      <numFmt numFmtId="180" formatCode="###0;###0;\-"/>
    </dxf>
    <dxf>
      <numFmt numFmtId="180" formatCode="###0;###0;\-"/>
    </dxf>
    <dxf>
      <fill>
        <patternFill>
          <bgColor theme="9" tint="0.59996337778862885"/>
        </patternFill>
      </fill>
    </dxf>
    <dxf>
      <fill>
        <patternFill>
          <bgColor theme="9" tint="-0.24994659260841701"/>
        </patternFill>
      </fill>
    </dxf>
    <dxf>
      <fill>
        <patternFill>
          <bgColor rgb="FFFF0000"/>
        </patternFill>
      </fill>
    </dxf>
    <dxf>
      <fill>
        <patternFill>
          <bgColor theme="9" tint="0.59996337778862885"/>
        </patternFill>
      </fill>
    </dxf>
    <dxf>
      <fill>
        <patternFill>
          <bgColor theme="9" tint="-0.24994659260841701"/>
        </patternFill>
      </fill>
    </dxf>
    <dxf>
      <fill>
        <patternFill>
          <bgColor rgb="FFFF0000"/>
        </patternFill>
      </fill>
    </dxf>
    <dxf>
      <numFmt numFmtId="180" formatCode="###0;###0;\-"/>
    </dxf>
    <dxf>
      <numFmt numFmtId="180" formatCode="###0;###0;\-"/>
    </dxf>
    <dxf>
      <numFmt numFmtId="180" formatCode="###0;###0;\-"/>
    </dxf>
    <dxf>
      <font>
        <b/>
        <i val="0"/>
        <color rgb="FFFFFF00"/>
      </font>
      <fill>
        <patternFill>
          <bgColor rgb="FFFF0000"/>
        </patternFill>
      </fill>
    </dxf>
    <dxf>
      <numFmt numFmtId="180" formatCode="###0;###0;\-"/>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ont>
        <b/>
        <i val="0"/>
        <color rgb="FFFFFF00"/>
      </font>
      <fill>
        <patternFill>
          <bgColor rgb="FFFF0000"/>
        </patternFill>
      </fill>
    </dxf>
    <dxf>
      <numFmt numFmtId="180" formatCode="###0;###0;\-"/>
    </dxf>
    <dxf>
      <numFmt numFmtId="180" formatCode="###0;###0;\-"/>
    </dxf>
    <dxf>
      <numFmt numFmtId="180" formatCode="###0;###0;\-"/>
    </dxf>
    <dxf>
      <font>
        <b/>
        <i val="0"/>
        <color rgb="FFFFFF00"/>
      </font>
      <fill>
        <patternFill>
          <bgColor rgb="FFFF0000"/>
        </patternFill>
      </fill>
    </dxf>
    <dxf>
      <numFmt numFmtId="180" formatCode="###0;###0;\-"/>
    </dxf>
    <dxf>
      <numFmt numFmtId="180" formatCode="###0;###0;\-"/>
    </dxf>
    <dxf>
      <numFmt numFmtId="180" formatCode="###0;###0;\-"/>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numFmt numFmtId="180" formatCode="###0;###0;\-"/>
    </dxf>
    <dxf>
      <font>
        <b/>
        <i val="0"/>
        <color rgb="FFFFFF00"/>
      </font>
      <fill>
        <patternFill>
          <bgColor rgb="FFFF0000"/>
        </patternFill>
      </fill>
    </dxf>
    <dxf>
      <numFmt numFmtId="180" formatCode="###0;###0;\-"/>
    </dxf>
    <dxf>
      <fill>
        <patternFill>
          <bgColor theme="9" tint="0.59996337778862885"/>
        </patternFill>
      </fill>
    </dxf>
    <dxf>
      <fill>
        <patternFill>
          <bgColor theme="9" tint="-0.24994659260841701"/>
        </patternFill>
      </fill>
    </dxf>
    <dxf>
      <fill>
        <patternFill>
          <bgColor rgb="FFFF0000"/>
        </patternFill>
      </fill>
    </dxf>
    <dxf>
      <fill>
        <patternFill>
          <bgColor theme="9" tint="0.59996337778862885"/>
        </patternFill>
      </fill>
    </dxf>
    <dxf>
      <fill>
        <patternFill>
          <bgColor theme="9" tint="-0.24994659260841701"/>
        </patternFill>
      </fill>
    </dxf>
    <dxf>
      <fill>
        <patternFill>
          <bgColor rgb="FFFF0000"/>
        </patternFill>
      </fill>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ill>
        <patternFill>
          <bgColor rgb="FFFFFF00"/>
        </patternFill>
      </fill>
    </dxf>
    <dxf>
      <fill>
        <patternFill>
          <bgColor theme="9" tint="0.59996337778862885"/>
        </patternFill>
      </fill>
    </dxf>
    <dxf>
      <fill>
        <patternFill>
          <bgColor theme="9" tint="-0.24994659260841701"/>
        </patternFill>
      </fill>
    </dxf>
    <dxf>
      <fill>
        <patternFill>
          <bgColor rgb="FFFF0000"/>
        </patternFill>
      </fill>
    </dxf>
    <dxf>
      <numFmt numFmtId="180" formatCode="###0;###0;\-"/>
    </dxf>
    <dxf>
      <numFmt numFmtId="180" formatCode="###0;###0;\-"/>
    </dxf>
    <dxf>
      <fill>
        <patternFill>
          <bgColor theme="9" tint="0.59996337778862885"/>
        </patternFill>
      </fill>
    </dxf>
    <dxf>
      <fill>
        <patternFill>
          <bgColor theme="9" tint="-0.24994659260841701"/>
        </patternFill>
      </fill>
    </dxf>
    <dxf>
      <fill>
        <patternFill>
          <bgColor rgb="FFFF0000"/>
        </patternFill>
      </fill>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ont>
        <b/>
        <i val="0"/>
        <color rgb="FFFFFF00"/>
      </font>
      <fill>
        <patternFill>
          <bgColor rgb="FFFF0000"/>
        </patternFill>
      </fill>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ill>
        <patternFill>
          <bgColor rgb="FFFFFF00"/>
        </patternFill>
      </fill>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ill>
        <patternFill>
          <bgColor rgb="FFFFFF00"/>
        </patternFill>
      </fill>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ont>
        <b/>
        <i val="0"/>
        <color rgb="FFFFFF00"/>
      </font>
      <fill>
        <patternFill>
          <bgColor rgb="FFFF0000"/>
        </patternFill>
      </fill>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ont>
        <b/>
        <i val="0"/>
        <color rgb="FFFFFF00"/>
      </font>
      <fill>
        <patternFill>
          <bgColor rgb="FFFF0000"/>
        </patternFill>
      </fill>
    </dxf>
    <dxf>
      <numFmt numFmtId="180" formatCode="###0;###0;\-"/>
    </dxf>
    <dxf>
      <font>
        <b/>
        <i val="0"/>
        <color rgb="FFFFFF00"/>
      </font>
      <fill>
        <patternFill>
          <bgColor rgb="FFFF0000"/>
        </patternFill>
      </fill>
    </dxf>
    <dxf>
      <numFmt numFmtId="180" formatCode="###0;###0;\-"/>
    </dxf>
    <dxf>
      <numFmt numFmtId="180" formatCode="###0;###0;\-"/>
    </dxf>
    <dxf>
      <numFmt numFmtId="180" formatCode="###0;###0;\-"/>
    </dxf>
    <dxf>
      <numFmt numFmtId="172" formatCode="#,##0.0\ &quot;€&quot;"/>
    </dxf>
    <dxf>
      <numFmt numFmtId="172" formatCode="#,##0.0\ &quot;€&quot;"/>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numFmt numFmtId="180" formatCode="###0;###0;\-"/>
    </dxf>
    <dxf>
      <font>
        <b/>
        <color theme="1"/>
      </font>
      <border>
        <bottom style="thin">
          <color theme="4"/>
        </bottom>
        <vertical/>
        <horizontal/>
      </border>
    </dxf>
    <dxf>
      <font>
        <b val="0"/>
        <i val="0"/>
        <sz val="7"/>
        <color theme="1"/>
        <name val="Calibri"/>
        <family val="2"/>
        <scheme val="minor"/>
      </font>
      <border diagonalUp="0" diagonalDown="0">
        <left/>
        <right/>
        <top/>
        <bottom/>
        <vertical/>
        <horizontal/>
      </border>
    </dxf>
    <dxf>
      <font>
        <b/>
        <color theme="1"/>
      </font>
      <border>
        <bottom style="thin">
          <color theme="4"/>
        </bottom>
        <vertical/>
        <horizontal/>
      </border>
    </dxf>
    <dxf>
      <font>
        <b val="0"/>
        <i val="0"/>
        <sz val="7"/>
        <color theme="1"/>
        <name val="Calibri"/>
        <family val="2"/>
        <scheme val="minor"/>
      </font>
      <border>
        <left style="thin">
          <color theme="4"/>
        </left>
        <right style="thin">
          <color theme="4"/>
        </right>
        <top style="thin">
          <color theme="4"/>
        </top>
        <bottom style="thin">
          <color theme="4"/>
        </bottom>
        <vertical/>
        <horizontal/>
      </border>
    </dxf>
  </dxfs>
  <tableStyles count="2" defaultTableStyle="TableStyleMedium2" defaultPivotStyle="PivotStyleLight16">
    <tableStyle name="Ano" pivot="0" table="0" count="10" xr9:uid="{E959E7B6-D8DC-4A95-AAB4-6DA46CD13DD3}">
      <tableStyleElement type="wholeTable" dxfId="2822"/>
      <tableStyleElement type="headerRow" dxfId="2821"/>
    </tableStyle>
    <tableStyle name="Ano 2" pivot="0" table="0" count="10" xr9:uid="{70E5F699-A41B-41DA-8ED4-35F12B99345F}">
      <tableStyleElement type="wholeTable" dxfId="2820"/>
      <tableStyleElement type="headerRow" dxfId="2819"/>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556B81"/>
      <rgbColor rgb="00DBA9B3"/>
      <rgbColor rgb="00E1EAEF"/>
      <rgbColor rgb="00800000"/>
      <rgbColor rgb="00660066"/>
      <rgbColor rgb="00FF8080"/>
      <rgbColor rgb="000066CC"/>
      <rgbColor rgb="00CCCCFF"/>
      <rgbColor rgb="00DADAD8"/>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729ACA"/>
      <color rgb="FF276A7C"/>
      <color rgb="FF5F7530"/>
      <color rgb="FF4BACC6"/>
      <color rgb="FF2C4D75"/>
      <color rgb="FFFFC000"/>
      <color rgb="FF19375E"/>
      <color rgb="FF17375E"/>
      <color rgb="FF4F81BD"/>
      <color rgb="FF4572A5"/>
    </mruColors>
  </colors>
  <extLst>
    <ext xmlns:x14="http://schemas.microsoft.com/office/spreadsheetml/2009/9/main" uri="{46F421CA-312F-682f-3DD2-61675219B42D}">
      <x14:dxfs count="16">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Ano">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Ano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onnections" Target="connection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microsoft.com/office/2007/relationships/slicerCache" Target="slicerCaches/slicerCache2.xml"/><Relationship Id="rId101" Type="http://schemas.microsoft.com/office/2007/relationships/slicerCache" Target="slicerCaches/slicerCache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pivotCacheDefinition" Target="pivotCache/pivotCacheDefinition2.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microsoft.com/office/2007/relationships/slicerCache" Target="slicerCaches/slicerCache3.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microsoft.com/office/2007/relationships/slicerCache" Target="slicerCaches/slicerCach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1.xml"/></Relationships>
</file>

<file path=xl/charts/_rels/chart100.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01.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02.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03.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86.xml"/><Relationship Id="rId1" Type="http://schemas.microsoft.com/office/2011/relationships/chartStyle" Target="style86.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87.xml"/><Relationship Id="rId1" Type="http://schemas.microsoft.com/office/2011/relationships/chartStyle" Target="style87.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88.xml"/><Relationship Id="rId1" Type="http://schemas.microsoft.com/office/2011/relationships/chartStyle" Target="style88.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89.xml"/><Relationship Id="rId1" Type="http://schemas.microsoft.com/office/2011/relationships/chartStyle" Target="style89.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90.xml"/><Relationship Id="rId1" Type="http://schemas.microsoft.com/office/2011/relationships/chartStyle" Target="style90.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91.xml"/><Relationship Id="rId1" Type="http://schemas.microsoft.com/office/2011/relationships/chartStyle" Target="style91.xml"/></Relationships>
</file>

<file path=xl/charts/_rels/chart112.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92.xml"/><Relationship Id="rId1" Type="http://schemas.microsoft.com/office/2011/relationships/chartStyle" Target="style92.xml"/></Relationships>
</file>

<file path=xl/charts/_rels/chart114.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94.xml"/><Relationship Id="rId1" Type="http://schemas.microsoft.com/office/2011/relationships/chartStyle" Target="style94.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95.xml"/><Relationship Id="rId1" Type="http://schemas.microsoft.com/office/2011/relationships/chartStyle" Target="style95.xml"/></Relationships>
</file>

<file path=xl/charts/_rels/chart117.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97.xml"/><Relationship Id="rId1" Type="http://schemas.microsoft.com/office/2011/relationships/chartStyle" Target="style97.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98.xml"/><Relationship Id="rId1" Type="http://schemas.microsoft.com/office/2011/relationships/chartStyle" Target="style98.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21.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22.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23.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24.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25.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26.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2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128.xml.rels><?xml version="1.0" encoding="UTF-8" standalone="yes"?>
<Relationships xmlns="http://schemas.openxmlformats.org/package/2006/relationships"><Relationship Id="rId2" Type="http://schemas.openxmlformats.org/officeDocument/2006/relationships/chartUserShapes" Target="../drawings/drawing43.xml"/><Relationship Id="rId1" Type="http://schemas.openxmlformats.org/officeDocument/2006/relationships/themeOverride" Target="../theme/themeOverride29.xml"/></Relationships>
</file>

<file path=xl/charts/_rels/chart12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32.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33.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34.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35.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36.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1.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42.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43.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44.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45.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48.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themeOverride" Target="../theme/themeOverride31.xml"/></Relationships>
</file>

<file path=xl/charts/_rels/chart149.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15.xml"/><Relationship Id="rId1" Type="http://schemas.microsoft.com/office/2011/relationships/chartStyle" Target="style115.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51.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52.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53.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54.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120.xml"/><Relationship Id="rId1" Type="http://schemas.microsoft.com/office/2011/relationships/chartStyle" Target="style120.xml"/></Relationships>
</file>

<file path=xl/charts/_rels/chart155.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121.xml"/><Relationship Id="rId1" Type="http://schemas.microsoft.com/office/2011/relationships/chartStyle" Target="style121.xml"/></Relationships>
</file>

<file path=xl/charts/_rels/chart156.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22.xml"/><Relationship Id="rId1" Type="http://schemas.microsoft.com/office/2011/relationships/chartStyle" Target="style122.xml"/></Relationships>
</file>

<file path=xl/charts/_rels/chart157.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58.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59.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6.xml"/><Relationship Id="rId1" Type="http://schemas.microsoft.com/office/2011/relationships/chartStyle" Target="style16.xml"/></Relationships>
</file>

<file path=xl/charts/_rels/chart163.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132.xml"/><Relationship Id="rId1" Type="http://schemas.microsoft.com/office/2011/relationships/chartStyle" Target="style132.xml"/></Relationships>
</file>

<file path=xl/charts/_rels/chart16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133.xml"/><Relationship Id="rId1" Type="http://schemas.microsoft.com/office/2011/relationships/chartStyle" Target="style133.xml"/></Relationships>
</file>

<file path=xl/charts/_rels/chart165.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134.xml"/><Relationship Id="rId1" Type="http://schemas.microsoft.com/office/2011/relationships/chartStyle" Target="style134.xml"/></Relationships>
</file>

<file path=xl/charts/_rels/chart166.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67.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68.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69.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71.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72.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73.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74.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75.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76.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77.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78.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79.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180.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81.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82.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83.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84.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85.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86.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87.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88.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89.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193.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159.xml"/><Relationship Id="rId1" Type="http://schemas.microsoft.com/office/2011/relationships/chartStyle" Target="style159.xml"/></Relationships>
</file>

<file path=xl/charts/_rels/chart194.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160.xml"/><Relationship Id="rId1" Type="http://schemas.microsoft.com/office/2011/relationships/chartStyle" Target="style160.xml"/></Relationships>
</file>

<file path=xl/charts/_rels/chart19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161.xml"/><Relationship Id="rId1" Type="http://schemas.microsoft.com/office/2011/relationships/chartStyle" Target="style161.xml"/></Relationships>
</file>

<file path=xl/charts/_rels/chart196.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97.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1.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202.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203.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204.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205.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206.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207.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208.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209.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2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10.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211.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212.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213.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214.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215.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216.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217.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218.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219.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182.xml"/><Relationship Id="rId1" Type="http://schemas.microsoft.com/office/2011/relationships/chartStyle" Target="style182.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5.xml"/><Relationship Id="rId1" Type="http://schemas.microsoft.com/office/2011/relationships/chartStyle" Target="style25.xml"/></Relationships>
</file>

<file path=xl/charts/_rels/chart220.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183.xml"/><Relationship Id="rId1" Type="http://schemas.microsoft.com/office/2011/relationships/chartStyle" Target="style183.xml"/></Relationships>
</file>

<file path=xl/charts/_rels/chart221.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222.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223.xml.rels><?xml version="1.0" encoding="UTF-8" standalone="yes"?>
<Relationships xmlns="http://schemas.openxmlformats.org/package/2006/relationships"><Relationship Id="rId2" Type="http://schemas.openxmlformats.org/officeDocument/2006/relationships/chartUserShapes" Target="../drawings/drawing66.xml"/><Relationship Id="rId1" Type="http://schemas.openxmlformats.org/officeDocument/2006/relationships/themeOverride" Target="../theme/themeOverride36.xml"/></Relationships>
</file>

<file path=xl/charts/_rels/chart224.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184.xml"/><Relationship Id="rId1" Type="http://schemas.microsoft.com/office/2011/relationships/chartStyle" Target="style184.xml"/></Relationships>
</file>

<file path=xl/charts/_rels/chart225.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226.xml.rels><?xml version="1.0" encoding="UTF-8" standalone="yes"?>
<Relationships xmlns="http://schemas.openxmlformats.org/package/2006/relationships"><Relationship Id="rId2" Type="http://schemas.openxmlformats.org/officeDocument/2006/relationships/chartUserShapes" Target="../drawings/drawing67.xml"/><Relationship Id="rId1" Type="http://schemas.openxmlformats.org/officeDocument/2006/relationships/themeOverride" Target="../theme/themeOverride39.xml"/></Relationships>
</file>

<file path=xl/charts/_rels/chart227.xml.rels><?xml version="1.0" encoding="UTF-8" standalone="yes"?>
<Relationships xmlns="http://schemas.openxmlformats.org/package/2006/relationships"><Relationship Id="rId2" Type="http://schemas.openxmlformats.org/officeDocument/2006/relationships/chartUserShapes" Target="../drawings/drawing68.xml"/><Relationship Id="rId1" Type="http://schemas.openxmlformats.org/officeDocument/2006/relationships/themeOverride" Target="../theme/themeOverride40.xml"/></Relationships>
</file>

<file path=xl/charts/_rels/chart228.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185.xml"/><Relationship Id="rId1" Type="http://schemas.microsoft.com/office/2011/relationships/chartStyle" Target="style185.xml"/></Relationships>
</file>

<file path=xl/charts/_rels/chart229.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6.xml"/><Relationship Id="rId1" Type="http://schemas.microsoft.com/office/2011/relationships/chartStyle" Target="style26.xml"/></Relationships>
</file>

<file path=xl/charts/_rels/chart230.xml.rels><?xml version="1.0" encoding="UTF-8" standalone="yes"?>
<Relationships xmlns="http://schemas.openxmlformats.org/package/2006/relationships"><Relationship Id="rId2" Type="http://schemas.openxmlformats.org/officeDocument/2006/relationships/chartUserShapes" Target="../drawings/drawing69.xml"/><Relationship Id="rId1" Type="http://schemas.openxmlformats.org/officeDocument/2006/relationships/themeOverride" Target="../theme/themeOverride43.xml"/></Relationships>
</file>

<file path=xl/charts/_rels/chart231.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186.xml"/><Relationship Id="rId1" Type="http://schemas.microsoft.com/office/2011/relationships/chartStyle" Target="style186.xml"/></Relationships>
</file>

<file path=xl/charts/_rels/chart232.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187.xml"/><Relationship Id="rId1" Type="http://schemas.microsoft.com/office/2011/relationships/chartStyle" Target="style187.xml"/></Relationships>
</file>

<file path=xl/charts/_rels/chart233.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234.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235.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188.xml"/><Relationship Id="rId1" Type="http://schemas.microsoft.com/office/2011/relationships/chartStyle" Target="style188.xml"/></Relationships>
</file>

<file path=xl/charts/_rels/chart236.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189.xml"/><Relationship Id="rId1" Type="http://schemas.microsoft.com/office/2011/relationships/chartStyle" Target="style189.xml"/></Relationships>
</file>

<file path=xl/charts/_rels/chart237.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238.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239.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190.xml"/><Relationship Id="rId1" Type="http://schemas.microsoft.com/office/2011/relationships/chartStyle" Target="style190.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7.xml"/><Relationship Id="rId1" Type="http://schemas.microsoft.com/office/2011/relationships/chartStyle" Target="style27.xml"/></Relationships>
</file>

<file path=xl/charts/_rels/chart240.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191.xml"/><Relationship Id="rId1" Type="http://schemas.microsoft.com/office/2011/relationships/chartStyle" Target="style191.xml"/></Relationships>
</file>

<file path=xl/charts/_rels/chart241.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192.xml"/><Relationship Id="rId1" Type="http://schemas.microsoft.com/office/2011/relationships/chartStyle" Target="style192.xml"/></Relationships>
</file>

<file path=xl/charts/_rels/chart242.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193.xml"/><Relationship Id="rId1" Type="http://schemas.microsoft.com/office/2011/relationships/chartStyle" Target="style193.xml"/></Relationships>
</file>

<file path=xl/charts/_rels/chart243.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194.xml"/><Relationship Id="rId1" Type="http://schemas.microsoft.com/office/2011/relationships/chartStyle" Target="style194.xml"/></Relationships>
</file>

<file path=xl/charts/_rels/chart244.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195.xml"/><Relationship Id="rId1" Type="http://schemas.microsoft.com/office/2011/relationships/chartStyle" Target="style195.xml"/></Relationships>
</file>

<file path=xl/charts/_rels/chart245.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2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2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5.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6.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39.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1.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2.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3.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4.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5.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6.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7.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8.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54.xml"/><Relationship Id="rId1" Type="http://schemas.microsoft.com/office/2011/relationships/chartStyle" Target="style54.xml"/></Relationships>
</file>

<file path=xl/charts/_rels/chart58.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9.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1.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2.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3.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4.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5.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6.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7.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8.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9.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1.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2.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3.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4.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5.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6.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2.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73.xml"/><Relationship Id="rId1" Type="http://schemas.microsoft.com/office/2011/relationships/chartStyle" Target="style73.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4.xml"/><Relationship Id="rId1" Type="http://schemas.microsoft.com/office/2011/relationships/chartStyle" Target="style74.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5.xml"/><Relationship Id="rId1" Type="http://schemas.microsoft.com/office/2011/relationships/chartStyle" Target="style75.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1.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7.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84.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10.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76.xml"/><Relationship Id="rId1" Type="http://schemas.microsoft.com/office/2011/relationships/chartStyle" Target="style76.xml"/></Relationships>
</file>

<file path=xl/charts/_rels/chart86.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87.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3.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77.xml"/><Relationship Id="rId1" Type="http://schemas.microsoft.com/office/2011/relationships/chartStyle" Target="style77.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78.xml"/><Relationship Id="rId1" Type="http://schemas.microsoft.com/office/2011/relationships/chartStyle" Target="style78.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79.xml"/><Relationship Id="rId1" Type="http://schemas.microsoft.com/office/2011/relationships/chartStyle" Target="style79.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80.xml"/><Relationship Id="rId1" Type="http://schemas.microsoft.com/office/2011/relationships/chartStyle" Target="style80.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95.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19.xml"/></Relationships>
</file>

<file path=xl/charts/_rels/chart96.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99.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Ex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Ex10.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Ex11.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Ex12.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Ex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Ex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Ex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Ex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Ex6.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Ex7.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Ex8.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Ex9.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PT" sz="900" b="1">
                <a:solidFill>
                  <a:schemeClr val="tx2">
                    <a:lumMod val="75000"/>
                  </a:schemeClr>
                </a:solidFill>
              </a:rPr>
              <a:t>...por Secção de Atividade Económica*</a:t>
            </a:r>
          </a:p>
        </c:rich>
      </c:tx>
      <c:layout>
        <c:manualLayout>
          <c:xMode val="edge"/>
          <c:yMode val="edge"/>
          <c:x val="0.39621045751633988"/>
          <c:y val="5.163203957382039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PT"/>
        </a:p>
      </c:txPr>
    </c:title>
    <c:autoTitleDeleted val="0"/>
    <c:plotArea>
      <c:layout>
        <c:manualLayout>
          <c:layoutTarget val="inner"/>
          <c:xMode val="edge"/>
          <c:yMode val="edge"/>
          <c:x val="0.14150091351812158"/>
          <c:y val="0.12376265621471384"/>
          <c:w val="0.81533369443537229"/>
          <c:h val="0.53951055810791471"/>
        </c:manualLayout>
      </c:layout>
      <c:barChart>
        <c:barDir val="col"/>
        <c:grouping val="stacked"/>
        <c:varyColors val="0"/>
        <c:ser>
          <c:idx val="0"/>
          <c:order val="0"/>
          <c:tx>
            <c:strRef>
              <c:f>q1_q2_q5_q6_Fig!$R$7</c:f>
              <c:strCache>
                <c:ptCount val="1"/>
                <c:pt idx="0">
                  <c:v>A</c:v>
                </c:pt>
              </c:strCache>
            </c:strRef>
          </c:tx>
          <c:spPr>
            <a:solidFill>
              <a:schemeClr val="accent1"/>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q1_q2_q5_q6_Fig!$S$7:$AC$7</c:f>
              <c:numCache>
                <c:formatCode>General</c:formatCode>
                <c:ptCount val="11"/>
                <c:pt idx="0">
                  <c:v>13063</c:v>
                </c:pt>
                <c:pt idx="1">
                  <c:v>13445</c:v>
                </c:pt>
                <c:pt idx="2">
                  <c:v>13755</c:v>
                </c:pt>
                <c:pt idx="3">
                  <c:v>13847</c:v>
                </c:pt>
                <c:pt idx="4">
                  <c:v>13971</c:v>
                </c:pt>
                <c:pt idx="5">
                  <c:v>13547</c:v>
                </c:pt>
                <c:pt idx="6">
                  <c:v>13691</c:v>
                </c:pt>
                <c:pt idx="7">
                  <c:v>13199</c:v>
                </c:pt>
                <c:pt idx="8">
                  <c:v>13618</c:v>
                </c:pt>
                <c:pt idx="9">
                  <c:v>13805</c:v>
                </c:pt>
                <c:pt idx="10">
                  <c:v>13716</c:v>
                </c:pt>
              </c:numCache>
            </c:numRef>
          </c:val>
          <c:extLst xmlns:c15="http://schemas.microsoft.com/office/drawing/2012/chart">
            <c:ext xmlns:c16="http://schemas.microsoft.com/office/drawing/2014/chart" uri="{C3380CC4-5D6E-409C-BE32-E72D297353CC}">
              <c16:uniqueId val="{00000000-36A6-4DB9-ACAB-37F6B09D60FE}"/>
            </c:ext>
          </c:extLst>
        </c:ser>
        <c:ser>
          <c:idx val="1"/>
          <c:order val="1"/>
          <c:tx>
            <c:strRef>
              <c:f>q1_q2_q5_q6_Fig!$R$8</c:f>
              <c:strCache>
                <c:ptCount val="1"/>
                <c:pt idx="0">
                  <c:v>B</c:v>
                </c:pt>
              </c:strCache>
            </c:strRef>
          </c:tx>
          <c:spPr>
            <a:solidFill>
              <a:schemeClr val="accent3"/>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q1_q2_q5_q6_Fig!$S$8:$AC$8</c:f>
              <c:numCache>
                <c:formatCode>General</c:formatCode>
                <c:ptCount val="11"/>
                <c:pt idx="0">
                  <c:v>564</c:v>
                </c:pt>
                <c:pt idx="1">
                  <c:v>558</c:v>
                </c:pt>
                <c:pt idx="2">
                  <c:v>536</c:v>
                </c:pt>
                <c:pt idx="3">
                  <c:v>542</c:v>
                </c:pt>
                <c:pt idx="4">
                  <c:v>526</c:v>
                </c:pt>
                <c:pt idx="5">
                  <c:v>510</c:v>
                </c:pt>
                <c:pt idx="6">
                  <c:v>504</c:v>
                </c:pt>
                <c:pt idx="7">
                  <c:v>486</c:v>
                </c:pt>
                <c:pt idx="8">
                  <c:v>494</c:v>
                </c:pt>
                <c:pt idx="9">
                  <c:v>499</c:v>
                </c:pt>
                <c:pt idx="10">
                  <c:v>467</c:v>
                </c:pt>
              </c:numCache>
            </c:numRef>
          </c:val>
          <c:extLst>
            <c:ext xmlns:c16="http://schemas.microsoft.com/office/drawing/2014/chart" uri="{C3380CC4-5D6E-409C-BE32-E72D297353CC}">
              <c16:uniqueId val="{00000001-36A6-4DB9-ACAB-37F6B09D60FE}"/>
            </c:ext>
          </c:extLst>
        </c:ser>
        <c:ser>
          <c:idx val="2"/>
          <c:order val="2"/>
          <c:tx>
            <c:strRef>
              <c:f>q1_q2_q5_q6_Fig!$R$9</c:f>
              <c:strCache>
                <c:ptCount val="1"/>
                <c:pt idx="0">
                  <c:v>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q1_q2_q5_q6_Fig!$S$9:$AC$9</c:f>
              <c:numCache>
                <c:formatCode>General</c:formatCode>
                <c:ptCount val="11"/>
                <c:pt idx="0">
                  <c:v>32895</c:v>
                </c:pt>
                <c:pt idx="1">
                  <c:v>32998</c:v>
                </c:pt>
                <c:pt idx="2">
                  <c:v>33278</c:v>
                </c:pt>
                <c:pt idx="3">
                  <c:v>33315</c:v>
                </c:pt>
                <c:pt idx="4">
                  <c:v>33177</c:v>
                </c:pt>
                <c:pt idx="5">
                  <c:v>31905</c:v>
                </c:pt>
                <c:pt idx="6">
                  <c:v>31715</c:v>
                </c:pt>
                <c:pt idx="7">
                  <c:v>30818</c:v>
                </c:pt>
                <c:pt idx="8">
                  <c:v>31733</c:v>
                </c:pt>
                <c:pt idx="9">
                  <c:v>31551</c:v>
                </c:pt>
                <c:pt idx="10">
                  <c:v>30548</c:v>
                </c:pt>
              </c:numCache>
            </c:numRef>
          </c:val>
          <c:extLst>
            <c:ext xmlns:c16="http://schemas.microsoft.com/office/drawing/2014/chart" uri="{C3380CC4-5D6E-409C-BE32-E72D297353CC}">
              <c16:uniqueId val="{00000002-36A6-4DB9-ACAB-37F6B09D60FE}"/>
            </c:ext>
          </c:extLst>
        </c:ser>
        <c:ser>
          <c:idx val="3"/>
          <c:order val="3"/>
          <c:tx>
            <c:strRef>
              <c:f>q1_q2_q5_q6_Fig!$R$10</c:f>
              <c:strCache>
                <c:ptCount val="1"/>
                <c:pt idx="0">
                  <c:v>D</c:v>
                </c:pt>
              </c:strCache>
            </c:strRef>
          </c:tx>
          <c:spPr>
            <a:solidFill>
              <a:schemeClr val="accent1">
                <a:lumMod val="6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q1_q2_q5_q6_Fig!$S$10:$AC$10</c:f>
              <c:numCache>
                <c:formatCode>General</c:formatCode>
                <c:ptCount val="11"/>
                <c:pt idx="0">
                  <c:v>193</c:v>
                </c:pt>
                <c:pt idx="1">
                  <c:v>211</c:v>
                </c:pt>
                <c:pt idx="2">
                  <c:v>204</c:v>
                </c:pt>
                <c:pt idx="3">
                  <c:v>194</c:v>
                </c:pt>
                <c:pt idx="4">
                  <c:v>183</c:v>
                </c:pt>
                <c:pt idx="5">
                  <c:v>185</c:v>
                </c:pt>
                <c:pt idx="6">
                  <c:v>198</c:v>
                </c:pt>
                <c:pt idx="7">
                  <c:v>192</c:v>
                </c:pt>
                <c:pt idx="8">
                  <c:v>209</c:v>
                </c:pt>
                <c:pt idx="9">
                  <c:v>236</c:v>
                </c:pt>
                <c:pt idx="10">
                  <c:v>244</c:v>
                </c:pt>
              </c:numCache>
            </c:numRef>
          </c:val>
          <c:extLst>
            <c:ext xmlns:c16="http://schemas.microsoft.com/office/drawing/2014/chart" uri="{C3380CC4-5D6E-409C-BE32-E72D297353CC}">
              <c16:uniqueId val="{00000003-36A6-4DB9-ACAB-37F6B09D60FE}"/>
            </c:ext>
          </c:extLst>
        </c:ser>
        <c:ser>
          <c:idx val="4"/>
          <c:order val="4"/>
          <c:tx>
            <c:strRef>
              <c:f>q1_q2_q5_q6_Fig!$R$11</c:f>
              <c:strCache>
                <c:ptCount val="1"/>
                <c:pt idx="0">
                  <c:v>E</c:v>
                </c:pt>
              </c:strCache>
            </c:strRef>
          </c:tx>
          <c:spPr>
            <a:solidFill>
              <a:schemeClr val="accent3">
                <a:lumMod val="6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q1_q2_q5_q6_Fig!$S$11:$AC$11</c:f>
              <c:numCache>
                <c:formatCode>General</c:formatCode>
                <c:ptCount val="11"/>
                <c:pt idx="0">
                  <c:v>637</c:v>
                </c:pt>
                <c:pt idx="1">
                  <c:v>623</c:v>
                </c:pt>
                <c:pt idx="2">
                  <c:v>605</c:v>
                </c:pt>
                <c:pt idx="3">
                  <c:v>607</c:v>
                </c:pt>
                <c:pt idx="4">
                  <c:v>602</c:v>
                </c:pt>
                <c:pt idx="5">
                  <c:v>617</c:v>
                </c:pt>
                <c:pt idx="6">
                  <c:v>625</c:v>
                </c:pt>
                <c:pt idx="7">
                  <c:v>620</c:v>
                </c:pt>
                <c:pt idx="8">
                  <c:v>636</c:v>
                </c:pt>
                <c:pt idx="9">
                  <c:v>648</c:v>
                </c:pt>
                <c:pt idx="10">
                  <c:v>630</c:v>
                </c:pt>
              </c:numCache>
            </c:numRef>
          </c:val>
          <c:extLst>
            <c:ext xmlns:c16="http://schemas.microsoft.com/office/drawing/2014/chart" uri="{C3380CC4-5D6E-409C-BE32-E72D297353CC}">
              <c16:uniqueId val="{00000004-36A6-4DB9-ACAB-37F6B09D60FE}"/>
            </c:ext>
          </c:extLst>
        </c:ser>
        <c:ser>
          <c:idx val="5"/>
          <c:order val="5"/>
          <c:tx>
            <c:strRef>
              <c:f>q1_q2_q5_q6_Fig!$R$12</c:f>
              <c:strCache>
                <c:ptCount val="1"/>
                <c:pt idx="0">
                  <c:v>F</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q1_q2_q5_q6_Fig!$S$12:$AC$12</c:f>
              <c:numCache>
                <c:formatCode>General</c:formatCode>
                <c:ptCount val="11"/>
                <c:pt idx="0">
                  <c:v>27621</c:v>
                </c:pt>
                <c:pt idx="1">
                  <c:v>27400</c:v>
                </c:pt>
                <c:pt idx="2">
                  <c:v>27945</c:v>
                </c:pt>
                <c:pt idx="3">
                  <c:v>28669</c:v>
                </c:pt>
                <c:pt idx="4">
                  <c:v>29662</c:v>
                </c:pt>
                <c:pt idx="5">
                  <c:v>30134</c:v>
                </c:pt>
                <c:pt idx="6">
                  <c:v>31394</c:v>
                </c:pt>
                <c:pt idx="7">
                  <c:v>31375</c:v>
                </c:pt>
                <c:pt idx="8">
                  <c:v>33643</c:v>
                </c:pt>
                <c:pt idx="9">
                  <c:v>35137</c:v>
                </c:pt>
                <c:pt idx="10">
                  <c:v>35614</c:v>
                </c:pt>
              </c:numCache>
            </c:numRef>
          </c:val>
          <c:extLst>
            <c:ext xmlns:c16="http://schemas.microsoft.com/office/drawing/2014/chart" uri="{C3380CC4-5D6E-409C-BE32-E72D297353CC}">
              <c16:uniqueId val="{00000005-36A6-4DB9-ACAB-37F6B09D60FE}"/>
            </c:ext>
          </c:extLst>
        </c:ser>
        <c:ser>
          <c:idx val="6"/>
          <c:order val="6"/>
          <c:tx>
            <c:strRef>
              <c:f>q1_q2_q5_q6_Fig!$R$13</c:f>
              <c:strCache>
                <c:ptCount val="1"/>
                <c:pt idx="0">
                  <c:v>G</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q1_q2_q5_q6_Fig!$S$13:$AC$13</c:f>
              <c:numCache>
                <c:formatCode>General</c:formatCode>
                <c:ptCount val="11"/>
                <c:pt idx="0">
                  <c:v>74208</c:v>
                </c:pt>
                <c:pt idx="1">
                  <c:v>74441</c:v>
                </c:pt>
                <c:pt idx="2">
                  <c:v>74332</c:v>
                </c:pt>
                <c:pt idx="3">
                  <c:v>73637</c:v>
                </c:pt>
                <c:pt idx="4">
                  <c:v>73191</c:v>
                </c:pt>
                <c:pt idx="5">
                  <c:v>69985</c:v>
                </c:pt>
                <c:pt idx="6">
                  <c:v>69568</c:v>
                </c:pt>
                <c:pt idx="7">
                  <c:v>67802</c:v>
                </c:pt>
                <c:pt idx="8">
                  <c:v>69554</c:v>
                </c:pt>
                <c:pt idx="9">
                  <c:v>69619</c:v>
                </c:pt>
                <c:pt idx="10">
                  <c:v>67579</c:v>
                </c:pt>
              </c:numCache>
            </c:numRef>
          </c:val>
          <c:extLst>
            <c:ext xmlns:c16="http://schemas.microsoft.com/office/drawing/2014/chart" uri="{C3380CC4-5D6E-409C-BE32-E72D297353CC}">
              <c16:uniqueId val="{00000006-36A6-4DB9-ACAB-37F6B09D60FE}"/>
            </c:ext>
          </c:extLst>
        </c:ser>
        <c:ser>
          <c:idx val="7"/>
          <c:order val="7"/>
          <c:tx>
            <c:strRef>
              <c:f>q1_q2_q5_q6_Fig!$R$14</c:f>
              <c:strCache>
                <c:ptCount val="1"/>
                <c:pt idx="0">
                  <c:v>H</c:v>
                </c:pt>
              </c:strCache>
            </c:strRef>
          </c:tx>
          <c:spPr>
            <a:solidFill>
              <a:schemeClr val="accent3">
                <a:lumMod val="80000"/>
                <a:lumOff val="2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q1_q2_q5_q6_Fig!$S$14:$AC$14</c:f>
              <c:numCache>
                <c:formatCode>General</c:formatCode>
                <c:ptCount val="11"/>
                <c:pt idx="0">
                  <c:v>10632</c:v>
                </c:pt>
                <c:pt idx="1">
                  <c:v>10537</c:v>
                </c:pt>
                <c:pt idx="2">
                  <c:v>10462</c:v>
                </c:pt>
                <c:pt idx="3">
                  <c:v>10490</c:v>
                </c:pt>
                <c:pt idx="4">
                  <c:v>10497</c:v>
                </c:pt>
                <c:pt idx="5">
                  <c:v>10339</c:v>
                </c:pt>
                <c:pt idx="6">
                  <c:v>10288</c:v>
                </c:pt>
                <c:pt idx="7">
                  <c:v>9821</c:v>
                </c:pt>
                <c:pt idx="8">
                  <c:v>10445</c:v>
                </c:pt>
                <c:pt idx="9">
                  <c:v>11013</c:v>
                </c:pt>
                <c:pt idx="10">
                  <c:v>10965</c:v>
                </c:pt>
              </c:numCache>
            </c:numRef>
          </c:val>
          <c:extLst>
            <c:ext xmlns:c16="http://schemas.microsoft.com/office/drawing/2014/chart" uri="{C3380CC4-5D6E-409C-BE32-E72D297353CC}">
              <c16:uniqueId val="{00000007-36A6-4DB9-ACAB-37F6B09D60FE}"/>
            </c:ext>
          </c:extLst>
        </c:ser>
        <c:ser>
          <c:idx val="8"/>
          <c:order val="8"/>
          <c:tx>
            <c:strRef>
              <c:f>q1_q2_q5_q6_Fig!$R$15</c:f>
              <c:strCache>
                <c:ptCount val="1"/>
                <c:pt idx="0">
                  <c:v>I</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q1_q2_q5_q6_Fig!$S$15:$AC$15</c:f>
              <c:numCache>
                <c:formatCode>General</c:formatCode>
                <c:ptCount val="11"/>
                <c:pt idx="0">
                  <c:v>31162</c:v>
                </c:pt>
                <c:pt idx="1">
                  <c:v>32218</c:v>
                </c:pt>
                <c:pt idx="2">
                  <c:v>33270</c:v>
                </c:pt>
                <c:pt idx="3">
                  <c:v>34159</c:v>
                </c:pt>
                <c:pt idx="4">
                  <c:v>34949</c:v>
                </c:pt>
                <c:pt idx="5">
                  <c:v>33798</c:v>
                </c:pt>
                <c:pt idx="6">
                  <c:v>33300</c:v>
                </c:pt>
                <c:pt idx="7">
                  <c:v>32645</c:v>
                </c:pt>
                <c:pt idx="8">
                  <c:v>34416</c:v>
                </c:pt>
                <c:pt idx="9">
                  <c:v>35628</c:v>
                </c:pt>
                <c:pt idx="10">
                  <c:v>35543</c:v>
                </c:pt>
              </c:numCache>
            </c:numRef>
          </c:val>
          <c:extLst>
            <c:ext xmlns:c16="http://schemas.microsoft.com/office/drawing/2014/chart" uri="{C3380CC4-5D6E-409C-BE32-E72D297353CC}">
              <c16:uniqueId val="{00000008-36A6-4DB9-ACAB-37F6B09D60FE}"/>
            </c:ext>
          </c:extLst>
        </c:ser>
        <c:ser>
          <c:idx val="9"/>
          <c:order val="9"/>
          <c:tx>
            <c:strRef>
              <c:f>q1_q2_q5_q6_Fig!$R$16</c:f>
              <c:strCache>
                <c:ptCount val="1"/>
                <c:pt idx="0">
                  <c:v>J</c:v>
                </c:pt>
              </c:strCache>
            </c:strRef>
          </c:tx>
          <c:spPr>
            <a:solidFill>
              <a:schemeClr val="accent1">
                <a:lumMod val="8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q1_q2_q5_q6_Fig!$S$16:$AC$16</c:f>
              <c:numCache>
                <c:formatCode>General</c:formatCode>
                <c:ptCount val="11"/>
                <c:pt idx="0">
                  <c:v>4637</c:v>
                </c:pt>
                <c:pt idx="1">
                  <c:v>4749</c:v>
                </c:pt>
                <c:pt idx="2">
                  <c:v>4883</c:v>
                </c:pt>
                <c:pt idx="3">
                  <c:v>5130</c:v>
                </c:pt>
                <c:pt idx="4">
                  <c:v>5304</c:v>
                </c:pt>
                <c:pt idx="5">
                  <c:v>5356</c:v>
                </c:pt>
                <c:pt idx="6">
                  <c:v>5633</c:v>
                </c:pt>
                <c:pt idx="7">
                  <c:v>5723</c:v>
                </c:pt>
                <c:pt idx="8">
                  <c:v>6314</c:v>
                </c:pt>
                <c:pt idx="9">
                  <c:v>6698</c:v>
                </c:pt>
                <c:pt idx="10">
                  <c:v>6857</c:v>
                </c:pt>
              </c:numCache>
            </c:numRef>
          </c:val>
          <c:extLst>
            <c:ext xmlns:c16="http://schemas.microsoft.com/office/drawing/2014/chart" uri="{C3380CC4-5D6E-409C-BE32-E72D297353CC}">
              <c16:uniqueId val="{00000009-36A6-4DB9-ACAB-37F6B09D60FE}"/>
            </c:ext>
          </c:extLst>
        </c:ser>
        <c:ser>
          <c:idx val="10"/>
          <c:order val="10"/>
          <c:tx>
            <c:strRef>
              <c:f>q1_q2_q5_q6_Fig!$R$17</c:f>
              <c:strCache>
                <c:ptCount val="1"/>
                <c:pt idx="0">
                  <c:v>K</c:v>
                </c:pt>
              </c:strCache>
            </c:strRef>
          </c:tx>
          <c:spPr>
            <a:solidFill>
              <a:schemeClr val="accent3">
                <a:lumMod val="8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q1_q2_q5_q6_Fig!$S$17:$AC$17</c:f>
              <c:numCache>
                <c:formatCode>General</c:formatCode>
                <c:ptCount val="11"/>
                <c:pt idx="0">
                  <c:v>3675</c:v>
                </c:pt>
                <c:pt idx="1">
                  <c:v>3674</c:v>
                </c:pt>
                <c:pt idx="2">
                  <c:v>3659</c:v>
                </c:pt>
                <c:pt idx="3">
                  <c:v>3692</c:v>
                </c:pt>
                <c:pt idx="4">
                  <c:v>3685</c:v>
                </c:pt>
                <c:pt idx="5">
                  <c:v>3647</c:v>
                </c:pt>
                <c:pt idx="6">
                  <c:v>3710</c:v>
                </c:pt>
                <c:pt idx="7">
                  <c:v>3599</c:v>
                </c:pt>
                <c:pt idx="8">
                  <c:v>3755</c:v>
                </c:pt>
                <c:pt idx="9">
                  <c:v>3781</c:v>
                </c:pt>
                <c:pt idx="10">
                  <c:v>3799</c:v>
                </c:pt>
              </c:numCache>
            </c:numRef>
          </c:val>
          <c:extLst>
            <c:ext xmlns:c16="http://schemas.microsoft.com/office/drawing/2014/chart" uri="{C3380CC4-5D6E-409C-BE32-E72D297353CC}">
              <c16:uniqueId val="{0000000A-36A6-4DB9-ACAB-37F6B09D60FE}"/>
            </c:ext>
          </c:extLst>
        </c:ser>
        <c:ser>
          <c:idx val="11"/>
          <c:order val="11"/>
          <c:tx>
            <c:strRef>
              <c:f>q1_q2_q5_q6_Fig!$R$18</c:f>
              <c:strCache>
                <c:ptCount val="1"/>
                <c:pt idx="0">
                  <c:v>L</c:v>
                </c:pt>
              </c:strCache>
            </c:strRef>
          </c:tx>
          <c:spPr>
            <a:solidFill>
              <a:schemeClr val="accent5">
                <a:lumMod val="8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q1_q2_q5_q6_Fig!$S$18:$AC$18</c:f>
              <c:numCache>
                <c:formatCode>General</c:formatCode>
                <c:ptCount val="11"/>
                <c:pt idx="0">
                  <c:v>6325</c:v>
                </c:pt>
                <c:pt idx="1">
                  <c:v>6641</c:v>
                </c:pt>
                <c:pt idx="2">
                  <c:v>7069</c:v>
                </c:pt>
                <c:pt idx="3">
                  <c:v>7649</c:v>
                </c:pt>
                <c:pt idx="4">
                  <c:v>8416</c:v>
                </c:pt>
                <c:pt idx="5">
                  <c:v>8804</c:v>
                </c:pt>
                <c:pt idx="6">
                  <c:v>9411</c:v>
                </c:pt>
                <c:pt idx="7">
                  <c:v>9635</c:v>
                </c:pt>
                <c:pt idx="8">
                  <c:v>10313</c:v>
                </c:pt>
                <c:pt idx="9">
                  <c:v>11022</c:v>
                </c:pt>
                <c:pt idx="10">
                  <c:v>11090</c:v>
                </c:pt>
              </c:numCache>
            </c:numRef>
          </c:val>
          <c:extLst>
            <c:ext xmlns:c16="http://schemas.microsoft.com/office/drawing/2014/chart" uri="{C3380CC4-5D6E-409C-BE32-E72D297353CC}">
              <c16:uniqueId val="{0000000B-36A6-4DB9-ACAB-37F6B09D60FE}"/>
            </c:ext>
          </c:extLst>
        </c:ser>
        <c:ser>
          <c:idx val="12"/>
          <c:order val="12"/>
          <c:tx>
            <c:strRef>
              <c:f>q1_q2_q5_q6_Fig!$R$19</c:f>
              <c:strCache>
                <c:ptCount val="1"/>
                <c:pt idx="0">
                  <c:v>M</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q1_q2_q5_q6_Fig!$S$19:$AC$19</c:f>
              <c:numCache>
                <c:formatCode>General</c:formatCode>
                <c:ptCount val="11"/>
                <c:pt idx="0">
                  <c:v>21426</c:v>
                </c:pt>
                <c:pt idx="1">
                  <c:v>21717</c:v>
                </c:pt>
                <c:pt idx="2">
                  <c:v>22039</c:v>
                </c:pt>
                <c:pt idx="3">
                  <c:v>22524</c:v>
                </c:pt>
                <c:pt idx="4">
                  <c:v>23187</c:v>
                </c:pt>
                <c:pt idx="5">
                  <c:v>22977</c:v>
                </c:pt>
                <c:pt idx="6">
                  <c:v>23504</c:v>
                </c:pt>
                <c:pt idx="7">
                  <c:v>23335</c:v>
                </c:pt>
                <c:pt idx="8">
                  <c:v>24442</c:v>
                </c:pt>
                <c:pt idx="9">
                  <c:v>25202</c:v>
                </c:pt>
                <c:pt idx="10">
                  <c:v>25302</c:v>
                </c:pt>
              </c:numCache>
            </c:numRef>
          </c:val>
          <c:extLst>
            <c:ext xmlns:c16="http://schemas.microsoft.com/office/drawing/2014/chart" uri="{C3380CC4-5D6E-409C-BE32-E72D297353CC}">
              <c16:uniqueId val="{0000000C-36A6-4DB9-ACAB-37F6B09D60FE}"/>
            </c:ext>
          </c:extLst>
        </c:ser>
        <c:ser>
          <c:idx val="13"/>
          <c:order val="13"/>
          <c:tx>
            <c:strRef>
              <c:f>q1_q2_q5_q6_Fig!$R$20</c:f>
              <c:strCache>
                <c:ptCount val="1"/>
                <c:pt idx="0">
                  <c:v>N</c:v>
                </c:pt>
              </c:strCache>
            </c:strRef>
          </c:tx>
          <c:spPr>
            <a:solidFill>
              <a:schemeClr val="accent3">
                <a:lumMod val="60000"/>
                <a:lumOff val="4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q1_q2_q5_q6_Fig!$S$20:$AC$20</c:f>
              <c:numCache>
                <c:formatCode>General</c:formatCode>
                <c:ptCount val="11"/>
                <c:pt idx="0">
                  <c:v>7438</c:v>
                </c:pt>
                <c:pt idx="1">
                  <c:v>7568</c:v>
                </c:pt>
                <c:pt idx="2">
                  <c:v>7855</c:v>
                </c:pt>
                <c:pt idx="3">
                  <c:v>7959</c:v>
                </c:pt>
                <c:pt idx="4">
                  <c:v>7811</c:v>
                </c:pt>
                <c:pt idx="5">
                  <c:v>7970</c:v>
                </c:pt>
                <c:pt idx="6">
                  <c:v>8005</c:v>
                </c:pt>
                <c:pt idx="7">
                  <c:v>7640</c:v>
                </c:pt>
                <c:pt idx="8">
                  <c:v>8560</c:v>
                </c:pt>
                <c:pt idx="9">
                  <c:v>8903</c:v>
                </c:pt>
                <c:pt idx="10">
                  <c:v>9033</c:v>
                </c:pt>
              </c:numCache>
            </c:numRef>
          </c:val>
          <c:extLst>
            <c:ext xmlns:c16="http://schemas.microsoft.com/office/drawing/2014/chart" uri="{C3380CC4-5D6E-409C-BE32-E72D297353CC}">
              <c16:uniqueId val="{0000000D-36A6-4DB9-ACAB-37F6B09D60FE}"/>
            </c:ext>
          </c:extLst>
        </c:ser>
        <c:ser>
          <c:idx val="14"/>
          <c:order val="14"/>
          <c:tx>
            <c:strRef>
              <c:f>q1_q2_q5_q6_Fig!$R$21</c:f>
              <c:strCache>
                <c:ptCount val="1"/>
                <c:pt idx="0">
                  <c:v>O</c:v>
                </c:pt>
              </c:strCache>
            </c:strRef>
          </c:tx>
          <c:spPr>
            <a:solidFill>
              <a:schemeClr val="accent5">
                <a:lumMod val="60000"/>
                <a:lumOff val="4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q1_q2_q5_q6_Fig!$S$21:$AC$21</c:f>
              <c:numCache>
                <c:formatCode>General</c:formatCode>
                <c:ptCount val="11"/>
                <c:pt idx="0">
                  <c:v>599</c:v>
                </c:pt>
                <c:pt idx="1">
                  <c:v>596</c:v>
                </c:pt>
                <c:pt idx="2">
                  <c:v>560</c:v>
                </c:pt>
                <c:pt idx="3">
                  <c:v>559</c:v>
                </c:pt>
                <c:pt idx="4">
                  <c:v>564</c:v>
                </c:pt>
                <c:pt idx="5">
                  <c:v>546</c:v>
                </c:pt>
                <c:pt idx="6">
                  <c:v>558</c:v>
                </c:pt>
                <c:pt idx="7">
                  <c:v>517</c:v>
                </c:pt>
                <c:pt idx="8">
                  <c:v>520</c:v>
                </c:pt>
                <c:pt idx="9">
                  <c:v>534</c:v>
                </c:pt>
                <c:pt idx="10">
                  <c:v>553</c:v>
                </c:pt>
              </c:numCache>
            </c:numRef>
          </c:val>
          <c:extLst>
            <c:ext xmlns:c16="http://schemas.microsoft.com/office/drawing/2014/chart" uri="{C3380CC4-5D6E-409C-BE32-E72D297353CC}">
              <c16:uniqueId val="{0000000E-36A6-4DB9-ACAB-37F6B09D60FE}"/>
            </c:ext>
          </c:extLst>
        </c:ser>
        <c:ser>
          <c:idx val="15"/>
          <c:order val="15"/>
          <c:tx>
            <c:strRef>
              <c:f>q1_q2_q5_q6_Fig!$R$22</c:f>
              <c:strCache>
                <c:ptCount val="1"/>
                <c:pt idx="0">
                  <c:v>P</c:v>
                </c:pt>
              </c:strCache>
            </c:strRef>
          </c:tx>
          <c:spPr>
            <a:solidFill>
              <a:schemeClr val="accent1">
                <a:lumMod val="5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q1_q2_q5_q6_Fig!$S$22:$AC$22</c:f>
              <c:numCache>
                <c:formatCode>General</c:formatCode>
                <c:ptCount val="11"/>
                <c:pt idx="0">
                  <c:v>3802</c:v>
                </c:pt>
                <c:pt idx="1">
                  <c:v>3857</c:v>
                </c:pt>
                <c:pt idx="2">
                  <c:v>3829</c:v>
                </c:pt>
                <c:pt idx="3">
                  <c:v>3817</c:v>
                </c:pt>
                <c:pt idx="4">
                  <c:v>3764</c:v>
                </c:pt>
                <c:pt idx="5">
                  <c:v>3671</c:v>
                </c:pt>
                <c:pt idx="6">
                  <c:v>3680</c:v>
                </c:pt>
                <c:pt idx="7">
                  <c:v>3577</c:v>
                </c:pt>
                <c:pt idx="8">
                  <c:v>3747</c:v>
                </c:pt>
                <c:pt idx="9">
                  <c:v>3850</c:v>
                </c:pt>
                <c:pt idx="10">
                  <c:v>3912</c:v>
                </c:pt>
              </c:numCache>
            </c:numRef>
          </c:val>
          <c:extLst>
            <c:ext xmlns:c16="http://schemas.microsoft.com/office/drawing/2014/chart" uri="{C3380CC4-5D6E-409C-BE32-E72D297353CC}">
              <c16:uniqueId val="{0000000F-36A6-4DB9-ACAB-37F6B09D60FE}"/>
            </c:ext>
          </c:extLst>
        </c:ser>
        <c:ser>
          <c:idx val="16"/>
          <c:order val="16"/>
          <c:tx>
            <c:strRef>
              <c:f>q1_q2_q5_q6_Fig!$R$23</c:f>
              <c:strCache>
                <c:ptCount val="1"/>
                <c:pt idx="0">
                  <c:v>Q</c:v>
                </c:pt>
              </c:strCache>
            </c:strRef>
          </c:tx>
          <c:spPr>
            <a:solidFill>
              <a:schemeClr val="accent3">
                <a:lumMod val="5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q1_q2_q5_q6_Fig!$S$23:$AC$23</c:f>
              <c:numCache>
                <c:formatCode>General</c:formatCode>
                <c:ptCount val="11"/>
                <c:pt idx="0">
                  <c:v>14787</c:v>
                </c:pt>
                <c:pt idx="1">
                  <c:v>15110</c:v>
                </c:pt>
                <c:pt idx="2">
                  <c:v>15253</c:v>
                </c:pt>
                <c:pt idx="3">
                  <c:v>15453</c:v>
                </c:pt>
                <c:pt idx="4">
                  <c:v>15499</c:v>
                </c:pt>
                <c:pt idx="5">
                  <c:v>15300</c:v>
                </c:pt>
                <c:pt idx="6">
                  <c:v>15658</c:v>
                </c:pt>
                <c:pt idx="7">
                  <c:v>15268</c:v>
                </c:pt>
                <c:pt idx="8">
                  <c:v>16093</c:v>
                </c:pt>
                <c:pt idx="9">
                  <c:v>16702</c:v>
                </c:pt>
                <c:pt idx="10">
                  <c:v>16778</c:v>
                </c:pt>
              </c:numCache>
            </c:numRef>
          </c:val>
          <c:extLst>
            <c:ext xmlns:c16="http://schemas.microsoft.com/office/drawing/2014/chart" uri="{C3380CC4-5D6E-409C-BE32-E72D297353CC}">
              <c16:uniqueId val="{00000010-36A6-4DB9-ACAB-37F6B09D60FE}"/>
            </c:ext>
          </c:extLst>
        </c:ser>
        <c:ser>
          <c:idx val="17"/>
          <c:order val="17"/>
          <c:tx>
            <c:strRef>
              <c:f>q1_q2_q5_q6_Fig!$R$24</c:f>
              <c:strCache>
                <c:ptCount val="1"/>
                <c:pt idx="0">
                  <c:v>R</c:v>
                </c:pt>
              </c:strCache>
            </c:strRef>
          </c:tx>
          <c:spPr>
            <a:solidFill>
              <a:schemeClr val="accent5">
                <a:lumMod val="5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q1_q2_q5_q6_Fig!$S$24:$AC$24</c:f>
              <c:numCache>
                <c:formatCode>General</c:formatCode>
                <c:ptCount val="11"/>
                <c:pt idx="0">
                  <c:v>3087</c:v>
                </c:pt>
                <c:pt idx="1">
                  <c:v>3213</c:v>
                </c:pt>
                <c:pt idx="2">
                  <c:v>3351</c:v>
                </c:pt>
                <c:pt idx="3">
                  <c:v>3605</c:v>
                </c:pt>
                <c:pt idx="4">
                  <c:v>3886</c:v>
                </c:pt>
                <c:pt idx="5">
                  <c:v>3917</c:v>
                </c:pt>
                <c:pt idx="6">
                  <c:v>3922</c:v>
                </c:pt>
                <c:pt idx="7">
                  <c:v>3932</c:v>
                </c:pt>
                <c:pt idx="8">
                  <c:v>4293</c:v>
                </c:pt>
                <c:pt idx="9">
                  <c:v>4544</c:v>
                </c:pt>
                <c:pt idx="10">
                  <c:v>4657</c:v>
                </c:pt>
              </c:numCache>
            </c:numRef>
          </c:val>
          <c:extLst>
            <c:ext xmlns:c16="http://schemas.microsoft.com/office/drawing/2014/chart" uri="{C3380CC4-5D6E-409C-BE32-E72D297353CC}">
              <c16:uniqueId val="{00000011-36A6-4DB9-ACAB-37F6B09D60FE}"/>
            </c:ext>
          </c:extLst>
        </c:ser>
        <c:ser>
          <c:idx val="18"/>
          <c:order val="18"/>
          <c:tx>
            <c:strRef>
              <c:f>q1_q2_q5_q6_Fig!$R$25</c:f>
              <c:strCache>
                <c:ptCount val="1"/>
                <c:pt idx="0">
                  <c:v>S</c:v>
                </c:pt>
              </c:strCache>
            </c:strRef>
          </c:tx>
          <c:spPr>
            <a:solidFill>
              <a:schemeClr val="accent1">
                <a:lumMod val="70000"/>
                <a:lumOff val="3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q1_q2_q5_q6_Fig!$S$25:$AC$25</c:f>
              <c:numCache>
                <c:formatCode>General</c:formatCode>
                <c:ptCount val="11"/>
                <c:pt idx="0">
                  <c:v>13415</c:v>
                </c:pt>
                <c:pt idx="1">
                  <c:v>13491</c:v>
                </c:pt>
                <c:pt idx="2">
                  <c:v>13431</c:v>
                </c:pt>
                <c:pt idx="3">
                  <c:v>13330</c:v>
                </c:pt>
                <c:pt idx="4">
                  <c:v>13348</c:v>
                </c:pt>
                <c:pt idx="5">
                  <c:v>12528</c:v>
                </c:pt>
                <c:pt idx="6">
                  <c:v>12260</c:v>
                </c:pt>
                <c:pt idx="7">
                  <c:v>11606</c:v>
                </c:pt>
                <c:pt idx="8">
                  <c:v>12060</c:v>
                </c:pt>
                <c:pt idx="9">
                  <c:v>11864</c:v>
                </c:pt>
                <c:pt idx="10">
                  <c:v>11458</c:v>
                </c:pt>
              </c:numCache>
            </c:numRef>
          </c:val>
          <c:extLst>
            <c:ext xmlns:c16="http://schemas.microsoft.com/office/drawing/2014/chart" uri="{C3380CC4-5D6E-409C-BE32-E72D297353CC}">
              <c16:uniqueId val="{00000012-36A6-4DB9-ACAB-37F6B09D60FE}"/>
            </c:ext>
          </c:extLst>
        </c:ser>
        <c:ser>
          <c:idx val="19"/>
          <c:order val="19"/>
          <c:tx>
            <c:strRef>
              <c:f>q1_q2_q5_q6_Fig!$R$26</c:f>
              <c:strCache>
                <c:ptCount val="1"/>
                <c:pt idx="0">
                  <c:v>U</c:v>
                </c:pt>
              </c:strCache>
            </c:strRef>
          </c:tx>
          <c:spPr>
            <a:solidFill>
              <a:schemeClr val="accent3">
                <a:lumMod val="70000"/>
                <a:lumOff val="3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q1_q2_q5_q6_Fig!$S$26:$AC$26</c:f>
              <c:numCache>
                <c:formatCode>General</c:formatCode>
                <c:ptCount val="11"/>
                <c:pt idx="0">
                  <c:v>15</c:v>
                </c:pt>
                <c:pt idx="1">
                  <c:v>13</c:v>
                </c:pt>
                <c:pt idx="2">
                  <c:v>16</c:v>
                </c:pt>
                <c:pt idx="3">
                  <c:v>13</c:v>
                </c:pt>
                <c:pt idx="4">
                  <c:v>14</c:v>
                </c:pt>
                <c:pt idx="5">
                  <c:v>15</c:v>
                </c:pt>
                <c:pt idx="6">
                  <c:v>17</c:v>
                </c:pt>
                <c:pt idx="7">
                  <c:v>16</c:v>
                </c:pt>
                <c:pt idx="8">
                  <c:v>15</c:v>
                </c:pt>
                <c:pt idx="9">
                  <c:v>16</c:v>
                </c:pt>
                <c:pt idx="10">
                  <c:v>18</c:v>
                </c:pt>
              </c:numCache>
            </c:numRef>
          </c:val>
          <c:extLst>
            <c:ext xmlns:c16="http://schemas.microsoft.com/office/drawing/2014/chart" uri="{C3380CC4-5D6E-409C-BE32-E72D297353CC}">
              <c16:uniqueId val="{00000013-36A6-4DB9-ACAB-37F6B09D60FE}"/>
            </c:ext>
          </c:extLst>
        </c:ser>
        <c:dLbls>
          <c:showLegendKey val="0"/>
          <c:showVal val="0"/>
          <c:showCatName val="0"/>
          <c:showSerName val="0"/>
          <c:showPercent val="0"/>
          <c:showBubbleSize val="0"/>
        </c:dLbls>
        <c:gapWidth val="50"/>
        <c:overlap val="100"/>
        <c:axId val="211072368"/>
        <c:axId val="1682385520"/>
        <c:extLst/>
      </c:barChart>
      <c:catAx>
        <c:axId val="21107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crossAx val="1682385520"/>
        <c:crosses val="autoZero"/>
        <c:auto val="1"/>
        <c:lblAlgn val="ctr"/>
        <c:lblOffset val="100"/>
        <c:noMultiLvlLbl val="0"/>
      </c:catAx>
      <c:valAx>
        <c:axId val="1682385520"/>
        <c:scaling>
          <c:orientation val="minMax"/>
          <c:max val="35000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211072368"/>
        <c:crosses val="autoZero"/>
        <c:crossBetween val="between"/>
      </c:valAx>
      <c:spPr>
        <a:noFill/>
        <a:ln>
          <a:noFill/>
        </a:ln>
        <a:effectLst/>
      </c:spPr>
    </c:plotArea>
    <c:legend>
      <c:legendPos val="b"/>
      <c:layout>
        <c:manualLayout>
          <c:xMode val="edge"/>
          <c:yMode val="edge"/>
          <c:x val="3.011737747848859E-2"/>
          <c:y val="0.78282191025325509"/>
          <c:w val="0.95120931537598208"/>
          <c:h val="9.90242480049109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7015773028371451"/>
          <c:y val="0.22899703122140164"/>
          <c:w val="0.56635020622422194"/>
          <c:h val="0.77100296877859842"/>
        </c:manualLayout>
      </c:layout>
      <c:barChart>
        <c:barDir val="bar"/>
        <c:grouping val="clustered"/>
        <c:varyColors val="0"/>
        <c:ser>
          <c:idx val="0"/>
          <c:order val="0"/>
          <c:tx>
            <c:strRef>
              <c:f>q22_q23_q34_q35_Fig!$BM$20</c:f>
              <c:strCache>
                <c:ptCount val="1"/>
                <c:pt idx="0">
                  <c:v>Base - H</c:v>
                </c:pt>
              </c:strCache>
            </c:strRef>
          </c:tx>
          <c:spPr>
            <a:solidFill>
              <a:srgbClr val="4F81BD"/>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q22_q23_q34_q35_Fig!$BL$21:$BL$24</c:f>
              <c:strCache>
                <c:ptCount val="4"/>
                <c:pt idx="0">
                  <c:v>Micro (1-9 pessoas)</c:v>
                </c:pt>
                <c:pt idx="1">
                  <c:v>Pequenos (10 - 49 pessoas)</c:v>
                </c:pt>
                <c:pt idx="2">
                  <c:v>Médios (50 - 249 pessoas)</c:v>
                </c:pt>
                <c:pt idx="3">
                  <c:v>Grandes (250 ou + pessoas)</c:v>
                </c:pt>
              </c:strCache>
            </c:strRef>
          </c:cat>
          <c:val>
            <c:numRef>
              <c:f>q22_q23_q34_q35_Fig!$BM$21:$BM$24</c:f>
              <c:numCache>
                <c:formatCode>#,##0.00\ "€"</c:formatCode>
                <c:ptCount val="4"/>
                <c:pt idx="0">
                  <c:v>-1120.5396858895213</c:v>
                </c:pt>
                <c:pt idx="1">
                  <c:v>-1271.7886090185459</c:v>
                </c:pt>
                <c:pt idx="2">
                  <c:v>-1485.057317005522</c:v>
                </c:pt>
                <c:pt idx="3">
                  <c:v>-1696.6928720265187</c:v>
                </c:pt>
              </c:numCache>
            </c:numRef>
          </c:val>
          <c:extLst>
            <c:ext xmlns:c16="http://schemas.microsoft.com/office/drawing/2014/chart" uri="{C3380CC4-5D6E-409C-BE32-E72D297353CC}">
              <c16:uniqueId val="{00000000-C062-4168-B10E-D6E99FAE3C23}"/>
            </c:ext>
          </c:extLst>
        </c:ser>
        <c:ser>
          <c:idx val="1"/>
          <c:order val="1"/>
          <c:tx>
            <c:strRef>
              <c:f>q22_q23_q34_q35_Fig!$BN$20</c:f>
              <c:strCache>
                <c:ptCount val="1"/>
                <c:pt idx="0">
                  <c:v>Ganho - H</c:v>
                </c:pt>
              </c:strCache>
            </c:strRef>
          </c:tx>
          <c:spPr>
            <a:solidFill>
              <a:srgbClr val="FFC000"/>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square" lIns="38100" tIns="0" rIns="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q22_q23_q34_q35_Fig!$BL$21:$BL$24</c:f>
              <c:strCache>
                <c:ptCount val="4"/>
                <c:pt idx="0">
                  <c:v>Micro (1-9 pessoas)</c:v>
                </c:pt>
                <c:pt idx="1">
                  <c:v>Pequenos (10 - 49 pessoas)</c:v>
                </c:pt>
                <c:pt idx="2">
                  <c:v>Médios (50 - 249 pessoas)</c:v>
                </c:pt>
                <c:pt idx="3">
                  <c:v>Grandes (250 ou + pessoas)</c:v>
                </c:pt>
              </c:strCache>
            </c:strRef>
          </c:cat>
          <c:val>
            <c:numRef>
              <c:f>q22_q23_q34_q35_Fig!$BN$21:$BN$24</c:f>
              <c:numCache>
                <c:formatCode>#,##0.00\ "€"</c:formatCode>
                <c:ptCount val="4"/>
                <c:pt idx="0">
                  <c:v>-1311.3349269916257</c:v>
                </c:pt>
                <c:pt idx="1">
                  <c:v>-1538.4811929701916</c:v>
                </c:pt>
                <c:pt idx="2">
                  <c:v>-1836.3561464348047</c:v>
                </c:pt>
                <c:pt idx="3">
                  <c:v>-2144.4478157429194</c:v>
                </c:pt>
              </c:numCache>
            </c:numRef>
          </c:val>
          <c:extLst>
            <c:ext xmlns:c16="http://schemas.microsoft.com/office/drawing/2014/chart" uri="{C3380CC4-5D6E-409C-BE32-E72D297353CC}">
              <c16:uniqueId val="{00000001-C062-4168-B10E-D6E99FAE3C23}"/>
            </c:ext>
          </c:extLst>
        </c:ser>
        <c:dLbls>
          <c:showLegendKey val="0"/>
          <c:showVal val="0"/>
          <c:showCatName val="0"/>
          <c:showSerName val="0"/>
          <c:showPercent val="0"/>
          <c:showBubbleSize val="0"/>
        </c:dLbls>
        <c:gapWidth val="42"/>
        <c:axId val="1261817855"/>
        <c:axId val="267587263"/>
      </c:barChart>
      <c:barChart>
        <c:barDir val="bar"/>
        <c:grouping val="clustered"/>
        <c:varyColors val="0"/>
        <c:ser>
          <c:idx val="2"/>
          <c:order val="2"/>
          <c:tx>
            <c:strRef>
              <c:f>q22_q23_q34_q35_Fig!$BO$20</c:f>
              <c:strCache>
                <c:ptCount val="1"/>
                <c:pt idx="0">
                  <c:v>Base - M</c:v>
                </c:pt>
              </c:strCache>
            </c:strRef>
          </c:tx>
          <c:spPr>
            <a:solidFill>
              <a:srgbClr val="95B3D7"/>
            </a:solidFill>
          </c:spPr>
          <c:invertIfNegative val="0"/>
          <c:dLbls>
            <c:spPr>
              <a:noFill/>
              <a:ln>
                <a:noFill/>
              </a:ln>
              <a:effectLst/>
            </c:spPr>
            <c:txPr>
              <a:bodyPr wrap="square" lIns="38100" tIns="19050" rIns="38100" bIns="19050" anchor="ctr">
                <a:spAutoFit/>
              </a:bodyPr>
              <a:lstStyle/>
              <a:p>
                <a:pPr>
                  <a:defRPr sz="700" b="0">
                    <a:solidFill>
                      <a:sysClr val="windowText" lastClr="000000"/>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q22_q23_q34_q35_Fig!$BL$21:$BL$24</c:f>
              <c:strCache>
                <c:ptCount val="4"/>
                <c:pt idx="0">
                  <c:v>Micro (1-9 pessoas)</c:v>
                </c:pt>
                <c:pt idx="1">
                  <c:v>Pequenos (10 - 49 pessoas)</c:v>
                </c:pt>
                <c:pt idx="2">
                  <c:v>Médios (50 - 249 pessoas)</c:v>
                </c:pt>
                <c:pt idx="3">
                  <c:v>Grandes (250 ou + pessoas)</c:v>
                </c:pt>
              </c:strCache>
            </c:strRef>
          </c:cat>
          <c:val>
            <c:numRef>
              <c:f>q22_q23_q34_q35_Fig!$BO$21:$BO$24</c:f>
              <c:numCache>
                <c:formatCode>#,##0.00\ "€"</c:formatCode>
                <c:ptCount val="4"/>
                <c:pt idx="0">
                  <c:v>1034.5808613752467</c:v>
                </c:pt>
                <c:pt idx="1">
                  <c:v>1136.6835068486735</c:v>
                </c:pt>
                <c:pt idx="2">
                  <c:v>1290.870053540666</c:v>
                </c:pt>
                <c:pt idx="3">
                  <c:v>1456.3128685964136</c:v>
                </c:pt>
              </c:numCache>
            </c:numRef>
          </c:val>
          <c:extLst>
            <c:ext xmlns:c16="http://schemas.microsoft.com/office/drawing/2014/chart" uri="{C3380CC4-5D6E-409C-BE32-E72D297353CC}">
              <c16:uniqueId val="{00000002-C062-4168-B10E-D6E99FAE3C23}"/>
            </c:ext>
          </c:extLst>
        </c:ser>
        <c:ser>
          <c:idx val="3"/>
          <c:order val="3"/>
          <c:tx>
            <c:strRef>
              <c:f>q22_q23_q34_q35_Fig!$BP$20</c:f>
              <c:strCache>
                <c:ptCount val="1"/>
                <c:pt idx="0">
                  <c:v>Ganho - M</c:v>
                </c:pt>
              </c:strCache>
            </c:strRef>
          </c:tx>
          <c:spPr>
            <a:solidFill>
              <a:srgbClr val="FFEF57"/>
            </a:solidFill>
          </c:spPr>
          <c:invertIfNegative val="0"/>
          <c:dLbls>
            <c:spPr>
              <a:noFill/>
              <a:ln>
                <a:noFill/>
              </a:ln>
              <a:effectLst/>
            </c:spPr>
            <c:txPr>
              <a:bodyPr wrap="square" lIns="38100" tIns="19050" rIns="38100" bIns="19050" anchor="ctr">
                <a:sp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q22_q23_q34_q35_Fig!$BL$21:$BL$24</c:f>
              <c:strCache>
                <c:ptCount val="4"/>
                <c:pt idx="0">
                  <c:v>Micro (1-9 pessoas)</c:v>
                </c:pt>
                <c:pt idx="1">
                  <c:v>Pequenos (10 - 49 pessoas)</c:v>
                </c:pt>
                <c:pt idx="2">
                  <c:v>Médios (50 - 249 pessoas)</c:v>
                </c:pt>
                <c:pt idx="3">
                  <c:v>Grandes (250 ou + pessoas)</c:v>
                </c:pt>
              </c:strCache>
            </c:strRef>
          </c:cat>
          <c:val>
            <c:numRef>
              <c:f>q22_q23_q34_q35_Fig!$BP$21:$BP$24</c:f>
              <c:numCache>
                <c:formatCode>#,##0.00\ "€"</c:formatCode>
                <c:ptCount val="4"/>
                <c:pt idx="0">
                  <c:v>1203.1785746469959</c:v>
                </c:pt>
                <c:pt idx="1">
                  <c:v>1331.5030199164923</c:v>
                </c:pt>
                <c:pt idx="2">
                  <c:v>1532.2239568867822</c:v>
                </c:pt>
                <c:pt idx="3">
                  <c:v>1790.0339973099788</c:v>
                </c:pt>
              </c:numCache>
            </c:numRef>
          </c:val>
          <c:extLst>
            <c:ext xmlns:c16="http://schemas.microsoft.com/office/drawing/2014/chart" uri="{C3380CC4-5D6E-409C-BE32-E72D297353CC}">
              <c16:uniqueId val="{00000003-C062-4168-B10E-D6E99FAE3C23}"/>
            </c:ext>
          </c:extLst>
        </c:ser>
        <c:dLbls>
          <c:showLegendKey val="0"/>
          <c:showVal val="0"/>
          <c:showCatName val="0"/>
          <c:showSerName val="0"/>
          <c:showPercent val="0"/>
          <c:showBubbleSize val="0"/>
        </c:dLbls>
        <c:gapWidth val="42"/>
        <c:axId val="1450336576"/>
        <c:axId val="1128689328"/>
      </c:barChart>
      <c:catAx>
        <c:axId val="1261817855"/>
        <c:scaling>
          <c:orientation val="maxMin"/>
        </c:scaling>
        <c:delete val="0"/>
        <c:axPos val="l"/>
        <c:majorGridlines>
          <c:spPr>
            <a:ln>
              <a:solidFill>
                <a:srgbClr val="D9D9D9"/>
              </a:solidFill>
            </a:ln>
          </c:spPr>
        </c:majorGridlines>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max val="2000"/>
          <c:min val="-2000"/>
        </c:scaling>
        <c:delete val="1"/>
        <c:axPos val="t"/>
        <c:numFmt formatCode="#,##0;#,##0" sourceLinked="0"/>
        <c:majorTickMark val="out"/>
        <c:minorTickMark val="none"/>
        <c:tickLblPos val="nextTo"/>
        <c:crossAx val="1261817855"/>
        <c:crosses val="autoZero"/>
        <c:crossBetween val="between"/>
        <c:majorUnit val="200"/>
      </c:valAx>
      <c:valAx>
        <c:axId val="1128689328"/>
        <c:scaling>
          <c:orientation val="minMax"/>
        </c:scaling>
        <c:delete val="1"/>
        <c:axPos val="b"/>
        <c:numFmt formatCode="#,##0.00\ &quot;€&quot;" sourceLinked="1"/>
        <c:majorTickMark val="out"/>
        <c:minorTickMark val="none"/>
        <c:tickLblPos val="nextTo"/>
        <c:crossAx val="1450336576"/>
        <c:crosses val="max"/>
        <c:crossBetween val="between"/>
      </c:valAx>
      <c:catAx>
        <c:axId val="1450336576"/>
        <c:scaling>
          <c:orientation val="maxMin"/>
        </c:scaling>
        <c:delete val="1"/>
        <c:axPos val="r"/>
        <c:numFmt formatCode="General" sourceLinked="1"/>
        <c:majorTickMark val="out"/>
        <c:minorTickMark val="none"/>
        <c:tickLblPos val="nextTo"/>
        <c:crossAx val="1128689328"/>
        <c:crosses val="max"/>
        <c:auto val="1"/>
        <c:lblAlgn val="ctr"/>
        <c:lblOffset val="100"/>
        <c:noMultiLvlLbl val="0"/>
      </c:catAx>
      <c:spPr>
        <a:noFill/>
        <a:ln>
          <a:noFill/>
        </a:ln>
        <a:effectLst/>
      </c:spPr>
    </c:plotArea>
    <c:legend>
      <c:legendPos val="t"/>
      <c:layout>
        <c:manualLayout>
          <c:xMode val="edge"/>
          <c:yMode val="edge"/>
          <c:x val="1.9703630883867528E-2"/>
          <c:y val="5.4883908742176461E-2"/>
          <c:w val="0.26873604492770614"/>
          <c:h val="0.11112416717141127"/>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q9_13_16_27_28_39_40_E_Fig!$Y$126</c:f>
              <c:strCache>
                <c:ptCount val="1"/>
                <c:pt idx="0">
                  <c:v>TCO</c:v>
                </c:pt>
              </c:strCache>
            </c:strRef>
          </c:tx>
          <c:spPr>
            <a:solidFill>
              <a:srgbClr val="5F7530"/>
            </a:solidFill>
            <a:ln>
              <a:noFill/>
            </a:ln>
            <a:effectLst/>
          </c:spPr>
          <c:invertIfNegative val="0"/>
          <c:dLbls>
            <c:spPr>
              <a:noFill/>
              <a:ln>
                <a:noFill/>
              </a:ln>
              <a:effectLst/>
            </c:spPr>
            <c:txPr>
              <a:bodyPr rot="0" spcFirstLastPara="1" vertOverflow="ellipsis" horzOverflow="clip"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q9_13_16_27_28_39_40_E_Fig!$X$127:$X$133</c15:sqref>
                  </c15:fullRef>
                </c:ext>
              </c:extLst>
              <c:f>q9_13_16_27_28_39_40_E_Fig!$X$131</c:f>
              <c:strCache>
                <c:ptCount val="1"/>
                <c:pt idx="0">
                  <c:v>Península de Setúbal</c:v>
                </c:pt>
              </c:strCache>
            </c:strRef>
          </c:cat>
          <c:val>
            <c:numRef>
              <c:extLst>
                <c:ext xmlns:c15="http://schemas.microsoft.com/office/drawing/2012/chart" uri="{02D57815-91ED-43cb-92C2-25804820EDAC}">
                  <c15:fullRef>
                    <c15:sqref>q9_13_16_27_28_39_40_E_Fig!$Y$127:$Y$133</c15:sqref>
                  </c15:fullRef>
                </c:ext>
              </c:extLst>
              <c:f>q9_13_16_27_28_39_40_E_Fig!$Y$131</c:f>
              <c:numCache>
                <c:formatCode>#,##0</c:formatCode>
                <c:ptCount val="1"/>
                <c:pt idx="0">
                  <c:v>33366</c:v>
                </c:pt>
              </c:numCache>
            </c:numRef>
          </c:val>
          <c:extLst>
            <c:ext xmlns:c16="http://schemas.microsoft.com/office/drawing/2014/chart" uri="{C3380CC4-5D6E-409C-BE32-E72D297353CC}">
              <c16:uniqueId val="{00000000-86FC-4D31-82DD-D7AA930A5ACB}"/>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0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q9_13_16_27_28_39_40_E_Fig!$Y$126</c:f>
              <c:strCache>
                <c:ptCount val="1"/>
                <c:pt idx="0">
                  <c:v>TCO</c:v>
                </c:pt>
              </c:strCache>
            </c:strRef>
          </c:tx>
          <c:spPr>
            <a:solidFill>
              <a:srgbClr val="2C4D75"/>
            </a:solidFill>
            <a:ln>
              <a:noFill/>
            </a:ln>
            <a:effectLst/>
          </c:spPr>
          <c:invertIfNegative val="0"/>
          <c:dLbls>
            <c:spPr>
              <a:noFill/>
              <a:ln>
                <a:noFill/>
              </a:ln>
              <a:effectLst/>
            </c:spPr>
            <c:txPr>
              <a:bodyPr rot="0" spcFirstLastPara="1" vertOverflow="ellipsis" horzOverflow="clip" vert="horz" wrap="non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q9_13_16_27_28_39_40_E_Fig!$X$127:$X$133</c15:sqref>
                  </c15:fullRef>
                </c:ext>
              </c:extLst>
              <c:f>q9_13_16_27_28_39_40_E_Fig!$X$130</c:f>
              <c:strCache>
                <c:ptCount val="1"/>
                <c:pt idx="0">
                  <c:v>Grande Lisboa</c:v>
                </c:pt>
              </c:strCache>
            </c:strRef>
          </c:cat>
          <c:val>
            <c:numRef>
              <c:extLst>
                <c:ext xmlns:c15="http://schemas.microsoft.com/office/drawing/2012/chart" uri="{02D57815-91ED-43cb-92C2-25804820EDAC}">
                  <c15:fullRef>
                    <c15:sqref>q9_13_16_27_28_39_40_E_Fig!$Y$127:$Y$133</c15:sqref>
                  </c15:fullRef>
                </c:ext>
              </c:extLst>
              <c:f>q9_13_16_27_28_39_40_E_Fig!$Y$130</c:f>
              <c:numCache>
                <c:formatCode>#,##0</c:formatCode>
                <c:ptCount val="1"/>
                <c:pt idx="0">
                  <c:v>192040</c:v>
                </c:pt>
              </c:numCache>
            </c:numRef>
          </c:val>
          <c:extLst>
            <c:ext xmlns:c16="http://schemas.microsoft.com/office/drawing/2014/chart" uri="{C3380CC4-5D6E-409C-BE32-E72D297353CC}">
              <c16:uniqueId val="{00000000-44CF-491E-B556-313A67F6B683}"/>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0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q9_13_16_27_28_39_40_E_Fig!$Y$126</c:f>
              <c:strCache>
                <c:ptCount val="1"/>
                <c:pt idx="0">
                  <c:v>TCO</c:v>
                </c:pt>
              </c:strCache>
            </c:strRef>
          </c:tx>
          <c:spPr>
            <a:solidFill>
              <a:srgbClr val="4572A5"/>
            </a:solidFill>
            <a:ln>
              <a:noFill/>
            </a:ln>
            <a:effectLst/>
          </c:spPr>
          <c:invertIfNegative val="0"/>
          <c:dPt>
            <c:idx val="0"/>
            <c:invertIfNegative val="0"/>
            <c:bubble3D val="0"/>
            <c:spPr>
              <a:solidFill>
                <a:srgbClr val="276A7C"/>
              </a:solidFill>
              <a:ln>
                <a:noFill/>
              </a:ln>
              <a:effectLst/>
            </c:spPr>
            <c:extLst>
              <c:ext xmlns:c16="http://schemas.microsoft.com/office/drawing/2014/chart" uri="{C3380CC4-5D6E-409C-BE32-E72D297353CC}">
                <c16:uniqueId val="{00000001-16E5-4BCA-982E-1E387E7FDADF}"/>
              </c:ext>
            </c:extLst>
          </c:dPt>
          <c:dLbls>
            <c:spPr>
              <a:noFill/>
              <a:ln>
                <a:noFill/>
              </a:ln>
              <a:effectLst/>
            </c:spPr>
            <c:txPr>
              <a:bodyPr rot="0" spcFirstLastPara="1" vertOverflow="ellipsis" horzOverflow="clip"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q9_13_16_27_28_39_40_E_Fig!$X$127:$X$133</c15:sqref>
                  </c15:fullRef>
                </c:ext>
              </c:extLst>
              <c:f>q9_13_16_27_28_39_40_E_Fig!$X$132</c:f>
              <c:strCache>
                <c:ptCount val="1"/>
                <c:pt idx="0">
                  <c:v>Alentejo</c:v>
                </c:pt>
              </c:strCache>
            </c:strRef>
          </c:cat>
          <c:val>
            <c:numRef>
              <c:extLst>
                <c:ext xmlns:c15="http://schemas.microsoft.com/office/drawing/2012/chart" uri="{02D57815-91ED-43cb-92C2-25804820EDAC}">
                  <c15:fullRef>
                    <c15:sqref>q9_13_16_27_28_39_40_E_Fig!$Y$127:$Y$133</c15:sqref>
                  </c15:fullRef>
                </c:ext>
              </c:extLst>
              <c:f>q9_13_16_27_28_39_40_E_Fig!$Y$132</c:f>
              <c:numCache>
                <c:formatCode>#,##0</c:formatCode>
                <c:ptCount val="1"/>
                <c:pt idx="0">
                  <c:v>25468.000000000011</c:v>
                </c:pt>
              </c:numCache>
            </c:numRef>
          </c:val>
          <c:extLst>
            <c:ext xmlns:c16="http://schemas.microsoft.com/office/drawing/2014/chart" uri="{C3380CC4-5D6E-409C-BE32-E72D297353CC}">
              <c16:uniqueId val="{00000002-16E5-4BCA-982E-1E387E7FDADF}"/>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0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q9_13_16_27_28_39_40_E_Fig!$Y$126</c:f>
              <c:strCache>
                <c:ptCount val="1"/>
                <c:pt idx="0">
                  <c:v>TCO</c:v>
                </c:pt>
              </c:strCache>
            </c:strRef>
          </c:tx>
          <c:spPr>
            <a:solidFill>
              <a:srgbClr val="729ACA"/>
            </a:solidFill>
            <a:ln>
              <a:noFill/>
            </a:ln>
            <a:effectLst/>
          </c:spPr>
          <c:invertIfNegative val="0"/>
          <c:dLbls>
            <c:spPr>
              <a:noFill/>
              <a:ln>
                <a:noFill/>
              </a:ln>
              <a:effectLst/>
            </c:spPr>
            <c:txPr>
              <a:bodyPr rot="0" spcFirstLastPara="1" vertOverflow="ellipsis" horzOverflow="clip"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q9_13_16_27_28_39_40_E_Fig!$X$127:$X$133</c15:sqref>
                  </c15:fullRef>
                </c:ext>
              </c:extLst>
              <c:f>q9_13_16_27_28_39_40_E_Fig!$X$133</c:f>
              <c:strCache>
                <c:ptCount val="1"/>
                <c:pt idx="0">
                  <c:v>Algarve</c:v>
                </c:pt>
              </c:strCache>
            </c:strRef>
          </c:cat>
          <c:val>
            <c:numRef>
              <c:extLst>
                <c:ext xmlns:c15="http://schemas.microsoft.com/office/drawing/2012/chart" uri="{02D57815-91ED-43cb-92C2-25804820EDAC}">
                  <c15:fullRef>
                    <c15:sqref>q9_13_16_27_28_39_40_E_Fig!$Y$127:$Y$133</c15:sqref>
                  </c15:fullRef>
                </c:ext>
              </c:extLst>
              <c:f>q9_13_16_27_28_39_40_E_Fig!$Y$133</c:f>
              <c:numCache>
                <c:formatCode>#,##0</c:formatCode>
                <c:ptCount val="1"/>
                <c:pt idx="0">
                  <c:v>52164.000000000007</c:v>
                </c:pt>
              </c:numCache>
            </c:numRef>
          </c:val>
          <c:extLst>
            <c:ext xmlns:c16="http://schemas.microsoft.com/office/drawing/2014/chart" uri="{C3380CC4-5D6E-409C-BE32-E72D297353CC}">
              <c16:uniqueId val="{00000000-A52A-4F7A-92BD-24D58B68CD04}"/>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0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q9_13_16_27_28_39_40_E_Fig!$Y$126</c:f>
              <c:strCache>
                <c:ptCount val="1"/>
                <c:pt idx="0">
                  <c:v>TCO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AE2-46F4-94CF-DCCC6053B5B7}"/>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CAE2-46F4-94CF-DCCC6053B5B7}"/>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CAE2-46F4-94CF-DCCC6053B5B7}"/>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CAE2-46F4-94CF-DCCC6053B5B7}"/>
              </c:ext>
            </c:extLst>
          </c:dPt>
          <c:dPt>
            <c:idx val="4"/>
            <c:bubble3D val="0"/>
            <c:spPr>
              <a:solidFill>
                <a:srgbClr val="5F7530"/>
              </a:solidFill>
              <a:ln w="19050">
                <a:solidFill>
                  <a:schemeClr val="lt1"/>
                </a:solidFill>
              </a:ln>
              <a:effectLst/>
            </c:spPr>
            <c:extLst>
              <c:ext xmlns:c16="http://schemas.microsoft.com/office/drawing/2014/chart" uri="{C3380CC4-5D6E-409C-BE32-E72D297353CC}">
                <c16:uniqueId val="{00000009-CAE2-46F4-94CF-DCCC6053B5B7}"/>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CAE2-46F4-94CF-DCCC6053B5B7}"/>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CAE2-46F4-94CF-DCCC6053B5B7}"/>
              </c:ext>
            </c:extLst>
          </c:dPt>
          <c:dLbls>
            <c:dLbl>
              <c:idx val="0"/>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CAE2-46F4-94CF-DCCC6053B5B7}"/>
                </c:ext>
              </c:extLst>
            </c:dLbl>
            <c:dLbl>
              <c:idx val="1"/>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CAE2-46F4-94CF-DCCC6053B5B7}"/>
                </c:ext>
              </c:extLst>
            </c:dLbl>
            <c:dLbl>
              <c:idx val="2"/>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CAE2-46F4-94CF-DCCC6053B5B7}"/>
                </c:ext>
              </c:extLst>
            </c:dLbl>
            <c:dLbl>
              <c:idx val="3"/>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CAE2-46F4-94CF-DCCC6053B5B7}"/>
                </c:ext>
              </c:extLst>
            </c:dLbl>
            <c:dLbl>
              <c:idx val="4"/>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CAE2-46F4-94CF-DCCC6053B5B7}"/>
                </c:ext>
              </c:extLst>
            </c:dLbl>
            <c:dLbl>
              <c:idx val="5"/>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CAE2-46F4-94CF-DCCC6053B5B7}"/>
                </c:ext>
              </c:extLst>
            </c:dLbl>
            <c:dLbl>
              <c:idx val="6"/>
              <c:layout>
                <c:manualLayout>
                  <c:x val="0.1138839717386077"/>
                  <c:y val="0.10377857313290378"/>
                </c:manualLayout>
              </c:layout>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CAE2-46F4-94CF-DCCC6053B5B7}"/>
                </c:ext>
              </c:extLst>
            </c:dLbl>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q9_13_16_27_28_39_40_E_Fig!$X$127:$X$133</c:f>
              <c:strCache>
                <c:ptCount val="7"/>
                <c:pt idx="0">
                  <c:v>Norte</c:v>
                </c:pt>
                <c:pt idx="1">
                  <c:v>Centro</c:v>
                </c:pt>
                <c:pt idx="2">
                  <c:v>Oeste e Vale do Tejo</c:v>
                </c:pt>
                <c:pt idx="3">
                  <c:v>Grande Lisboa</c:v>
                </c:pt>
                <c:pt idx="4">
                  <c:v>Península de Setúbal</c:v>
                </c:pt>
                <c:pt idx="5">
                  <c:v>Alentejo</c:v>
                </c:pt>
                <c:pt idx="6">
                  <c:v>Algarve</c:v>
                </c:pt>
              </c:strCache>
            </c:strRef>
          </c:cat>
          <c:val>
            <c:numRef>
              <c:f>q9_13_16_27_28_39_40_E_Fig!$Y$127:$Y$133</c:f>
              <c:numCache>
                <c:formatCode>#,##0</c:formatCode>
                <c:ptCount val="7"/>
                <c:pt idx="0">
                  <c:v>108225.99999999999</c:v>
                </c:pt>
                <c:pt idx="1">
                  <c:v>57574.999999999993</c:v>
                </c:pt>
                <c:pt idx="2">
                  <c:v>40944.000000000007</c:v>
                </c:pt>
                <c:pt idx="3">
                  <c:v>192040</c:v>
                </c:pt>
                <c:pt idx="4">
                  <c:v>33366</c:v>
                </c:pt>
                <c:pt idx="5">
                  <c:v>25468.000000000011</c:v>
                </c:pt>
                <c:pt idx="6">
                  <c:v>52164.000000000007</c:v>
                </c:pt>
              </c:numCache>
            </c:numRef>
          </c:val>
          <c:extLst>
            <c:ext xmlns:c16="http://schemas.microsoft.com/office/drawing/2014/chart" uri="{C3380CC4-5D6E-409C-BE32-E72D297353CC}">
              <c16:uniqueId val="{0000000E-CAE2-46F4-94CF-DCCC6053B5B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51811908323250411"/>
          <c:y val="2.4662769901172842E-2"/>
          <c:w val="0.42427931394519619"/>
          <c:h val="0.92049561986569861"/>
        </c:manualLayout>
      </c:layout>
      <c:barChart>
        <c:barDir val="bar"/>
        <c:grouping val="clustered"/>
        <c:varyColors val="0"/>
        <c:ser>
          <c:idx val="0"/>
          <c:order val="0"/>
          <c:tx>
            <c:strRef>
              <c:f>q9_13_16_27_28_39_40_E_Fig!$Y$96</c:f>
              <c:strCache>
                <c:ptCount val="1"/>
                <c:pt idx="0">
                  <c:v>TCO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Pt>
            <c:idx val="0"/>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2F48-4D82-AA76-91DEA1BB47EC}"/>
              </c:ext>
            </c:extLst>
          </c:dPt>
          <c:dPt>
            <c:idx val="1"/>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2F48-4D82-AA76-91DEA1BB47EC}"/>
              </c:ext>
            </c:extLst>
          </c:dPt>
          <c:dPt>
            <c:idx val="2"/>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2F48-4D82-AA76-91DEA1BB47EC}"/>
              </c:ext>
            </c:extLst>
          </c:dPt>
          <c:dPt>
            <c:idx val="3"/>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2F48-4D82-AA76-91DEA1BB47EC}"/>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2F48-4D82-AA76-91DEA1BB47EC}"/>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2F48-4D82-AA76-91DEA1BB47EC}"/>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2F48-4D82-AA76-91DEA1BB47EC}"/>
              </c:ext>
            </c:extLst>
          </c:dPt>
          <c:dPt>
            <c:idx val="7"/>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2F48-4D82-AA76-91DEA1BB47EC}"/>
              </c:ext>
            </c:extLst>
          </c:dPt>
          <c:dPt>
            <c:idx val="8"/>
            <c:invertIfNegative val="0"/>
            <c:bubble3D val="0"/>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1-2F48-4D82-AA76-91DEA1BB47EC}"/>
              </c:ext>
            </c:extLst>
          </c:dPt>
          <c:dPt>
            <c:idx val="9"/>
            <c:invertIfNegative val="0"/>
            <c:bubble3D val="0"/>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2F48-4D82-AA76-91DEA1BB47EC}"/>
              </c:ext>
            </c:extLst>
          </c:dPt>
          <c:dPt>
            <c:idx val="10"/>
            <c:invertIfNegative val="0"/>
            <c:bubble3D val="0"/>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2F48-4D82-AA76-91DEA1BB47EC}"/>
              </c:ext>
            </c:extLst>
          </c:dPt>
          <c:dPt>
            <c:idx val="11"/>
            <c:invertIfNegative val="0"/>
            <c:bubble3D val="0"/>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7-2F48-4D82-AA76-91DEA1BB47EC}"/>
              </c:ext>
            </c:extLst>
          </c:dPt>
          <c:dPt>
            <c:idx val="12"/>
            <c:invertIfNegative val="0"/>
            <c:bubble3D val="0"/>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9-2F48-4D82-AA76-91DEA1BB47EC}"/>
              </c:ext>
            </c:extLst>
          </c:dPt>
          <c:dPt>
            <c:idx val="13"/>
            <c:invertIfNegative val="0"/>
            <c:bubble3D val="0"/>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B-2F48-4D82-AA76-91DEA1BB47EC}"/>
              </c:ext>
            </c:extLst>
          </c:dPt>
          <c:dPt>
            <c:idx val="14"/>
            <c:invertIfNegative val="0"/>
            <c:bubble3D val="0"/>
            <c:spPr>
              <a:solidFill>
                <a:schemeClr val="accent5"/>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D-2F48-4D82-AA76-91DEA1BB47EC}"/>
              </c:ext>
            </c:extLst>
          </c:dPt>
          <c:dPt>
            <c:idx val="15"/>
            <c:invertIfNegative val="0"/>
            <c:bubble3D val="0"/>
            <c:spPr>
              <a:solidFill>
                <a:schemeClr val="accent5"/>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F-2F48-4D82-AA76-91DEA1BB47EC}"/>
              </c:ext>
            </c:extLst>
          </c:dPt>
          <c:dPt>
            <c:idx val="16"/>
            <c:invertIfNegative val="0"/>
            <c:bubble3D val="0"/>
            <c:spPr>
              <a:solidFill>
                <a:schemeClr val="accent5"/>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1-2F48-4D82-AA76-91DEA1BB47EC}"/>
              </c:ext>
            </c:extLst>
          </c:dPt>
          <c:dPt>
            <c:idx val="17"/>
            <c:invertIfNegative val="0"/>
            <c:bubble3D val="0"/>
            <c:spPr>
              <a:solidFill>
                <a:srgbClr val="2C4D75"/>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3-2F48-4D82-AA76-91DEA1BB47EC}"/>
              </c:ext>
            </c:extLst>
          </c:dPt>
          <c:dPt>
            <c:idx val="18"/>
            <c:invertIfNegative val="0"/>
            <c:bubble3D val="0"/>
            <c:spPr>
              <a:solidFill>
                <a:srgbClr val="5F753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5-2F48-4D82-AA76-91DEA1BB47EC}"/>
              </c:ext>
            </c:extLst>
          </c:dPt>
          <c:dPt>
            <c:idx val="19"/>
            <c:invertIfNegative val="0"/>
            <c:bubble3D val="0"/>
            <c:spPr>
              <a:solidFill>
                <a:srgbClr val="276A7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7-2F48-4D82-AA76-91DEA1BB47EC}"/>
              </c:ext>
            </c:extLst>
          </c:dPt>
          <c:dPt>
            <c:idx val="20"/>
            <c:invertIfNegative val="0"/>
            <c:bubble3D val="0"/>
            <c:spPr>
              <a:solidFill>
                <a:srgbClr val="276A7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9-2F48-4D82-AA76-91DEA1BB47EC}"/>
              </c:ext>
            </c:extLst>
          </c:dPt>
          <c:dPt>
            <c:idx val="21"/>
            <c:invertIfNegative val="0"/>
            <c:bubble3D val="0"/>
            <c:spPr>
              <a:solidFill>
                <a:srgbClr val="276A7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B-2F48-4D82-AA76-91DEA1BB47EC}"/>
              </c:ext>
            </c:extLst>
          </c:dPt>
          <c:dPt>
            <c:idx val="22"/>
            <c:invertIfNegative val="0"/>
            <c:bubble3D val="0"/>
            <c:spPr>
              <a:solidFill>
                <a:srgbClr val="276A7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D-2F48-4D82-AA76-91DEA1BB47EC}"/>
              </c:ext>
            </c:extLst>
          </c:dPt>
          <c:dPt>
            <c:idx val="23"/>
            <c:invertIfNegative val="0"/>
            <c:bubble3D val="0"/>
            <c:spPr>
              <a:solidFill>
                <a:srgbClr val="729ACA"/>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F-2F48-4D82-AA76-91DEA1BB47EC}"/>
              </c:ext>
            </c:extLst>
          </c:dPt>
          <c:dLbls>
            <c:dLbl>
              <c:idx val="17"/>
              <c:numFmt formatCode="#,##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3-2F48-4D82-AA76-91DEA1BB47EC}"/>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tx2">
                          <a:lumMod val="35000"/>
                          <a:lumOff val="65000"/>
                        </a:schemeClr>
                      </a:solidFill>
                    </a:ln>
                    <a:effectLst/>
                  </c:spPr>
                </c15:leaderLines>
              </c:ext>
            </c:extLst>
          </c:dLbls>
          <c:cat>
            <c:strRef>
              <c:f>q9_13_16_27_28_39_40_E_Fig!$V$97:$V$120</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q9_13_16_27_28_39_40_E_Fig!$Y$97:$Y$120</c:f>
              <c:numCache>
                <c:formatCode>#,##0</c:formatCode>
                <c:ptCount val="24"/>
                <c:pt idx="0">
                  <c:v>8918</c:v>
                </c:pt>
                <c:pt idx="1">
                  <c:v>16614.999999999996</c:v>
                </c:pt>
                <c:pt idx="2">
                  <c:v>8530</c:v>
                </c:pt>
                <c:pt idx="3">
                  <c:v>59436</c:v>
                </c:pt>
                <c:pt idx="4">
                  <c:v>1000.9999999999999</c:v>
                </c:pt>
                <c:pt idx="5">
                  <c:v>8817</c:v>
                </c:pt>
                <c:pt idx="6">
                  <c:v>3321.0000000000005</c:v>
                </c:pt>
                <c:pt idx="7">
                  <c:v>1588</c:v>
                </c:pt>
                <c:pt idx="8">
                  <c:v>16595</c:v>
                </c:pt>
                <c:pt idx="9">
                  <c:v>12388</c:v>
                </c:pt>
                <c:pt idx="10">
                  <c:v>15258</c:v>
                </c:pt>
                <c:pt idx="11">
                  <c:v>6921</c:v>
                </c:pt>
                <c:pt idx="12">
                  <c:v>2616</c:v>
                </c:pt>
                <c:pt idx="13">
                  <c:v>3797</c:v>
                </c:pt>
                <c:pt idx="14">
                  <c:v>18310</c:v>
                </c:pt>
                <c:pt idx="15">
                  <c:v>6903</c:v>
                </c:pt>
                <c:pt idx="16">
                  <c:v>15731</c:v>
                </c:pt>
                <c:pt idx="17">
                  <c:v>192040</c:v>
                </c:pt>
                <c:pt idx="18">
                  <c:v>33366</c:v>
                </c:pt>
                <c:pt idx="19">
                  <c:v>13062</c:v>
                </c:pt>
                <c:pt idx="20">
                  <c:v>5654.0000000000009</c:v>
                </c:pt>
                <c:pt idx="21">
                  <c:v>1982</c:v>
                </c:pt>
                <c:pt idx="22">
                  <c:v>4770</c:v>
                </c:pt>
                <c:pt idx="23">
                  <c:v>52164.000000000007</c:v>
                </c:pt>
              </c:numCache>
            </c:numRef>
          </c:val>
          <c:extLst>
            <c:ext xmlns:c16="http://schemas.microsoft.com/office/drawing/2014/chart" uri="{C3380CC4-5D6E-409C-BE32-E72D297353CC}">
              <c16:uniqueId val="{00000030-2F48-4D82-AA76-91DEA1BB47EC}"/>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ax val="200000"/>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8038397288886921E-2"/>
          <c:y val="0.13305232558139532"/>
          <c:w val="0.74059544722107495"/>
          <c:h val="0.74988738326313853"/>
        </c:manualLayout>
      </c:layout>
      <c:barChart>
        <c:barDir val="col"/>
        <c:grouping val="stacked"/>
        <c:varyColors val="0"/>
        <c:ser>
          <c:idx val="0"/>
          <c:order val="0"/>
          <c:tx>
            <c:strRef>
              <c:f>q21_q32_Fig!$A$6</c:f>
              <c:strCache>
                <c:ptCount val="1"/>
                <c:pt idx="0">
                  <c:v>&lt; RMMG**</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elete val="1"/>
          </c:dLbls>
          <c:cat>
            <c:numRef>
              <c:f>q21_q32_Fig!$B$5:$L$5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q21_q32_Fig!$B$6:$L$6</c:f>
              <c:numCache>
                <c:formatCode>0.0%</c:formatCode>
                <c:ptCount val="11"/>
                <c:pt idx="0">
                  <c:v>7.5470347823245985E-3</c:v>
                </c:pt>
                <c:pt idx="1">
                  <c:v>5.8283457994476508E-3</c:v>
                </c:pt>
                <c:pt idx="2">
                  <c:v>5.3890411798856496E-3</c:v>
                </c:pt>
                <c:pt idx="3">
                  <c:v>5.3899189612480261E-3</c:v>
                </c:pt>
                <c:pt idx="4">
                  <c:v>4.6670768628066213E-3</c:v>
                </c:pt>
                <c:pt idx="5">
                  <c:v>4.9964164128292422E-3</c:v>
                </c:pt>
                <c:pt idx="6">
                  <c:v>4.6522416984656105E-3</c:v>
                </c:pt>
                <c:pt idx="7">
                  <c:v>5.0086476651304149E-3</c:v>
                </c:pt>
                <c:pt idx="8">
                  <c:v>4.7863844973833336E-3</c:v>
                </c:pt>
                <c:pt idx="9">
                  <c:v>4.5003242016534283E-3</c:v>
                </c:pt>
                <c:pt idx="10">
                  <c:v>3.8617246483820125E-3</c:v>
                </c:pt>
              </c:numCache>
            </c:numRef>
          </c:val>
          <c:extLst>
            <c:ext xmlns:c16="http://schemas.microsoft.com/office/drawing/2014/chart" uri="{C3380CC4-5D6E-409C-BE32-E72D297353CC}">
              <c16:uniqueId val="{00000000-B90D-4524-BF0F-2EA66C5BDD0B}"/>
            </c:ext>
          </c:extLst>
        </c:ser>
        <c:ser>
          <c:idx val="1"/>
          <c:order val="1"/>
          <c:tx>
            <c:strRef>
              <c:f>q21_q32_Fig!$A$7</c:f>
              <c:strCache>
                <c:ptCount val="1"/>
                <c:pt idx="0">
                  <c:v> = RMMG</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q21_q32_Fig!$B$5:$L$5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q21_q32_Fig!$B$7:$L$7</c:f>
              <c:numCache>
                <c:formatCode>0.0%</c:formatCode>
                <c:ptCount val="11"/>
                <c:pt idx="0">
                  <c:v>0.20369215067932647</c:v>
                </c:pt>
                <c:pt idx="1">
                  <c:v>0.18384224845075486</c:v>
                </c:pt>
                <c:pt idx="2">
                  <c:v>0.22109181370872022</c:v>
                </c:pt>
                <c:pt idx="3">
                  <c:v>0.22888510621531627</c:v>
                </c:pt>
                <c:pt idx="4">
                  <c:v>0.22317088266380225</c:v>
                </c:pt>
                <c:pt idx="5">
                  <c:v>0.20974556531087618</c:v>
                </c:pt>
                <c:pt idx="6">
                  <c:v>0.23879843890213009</c:v>
                </c:pt>
                <c:pt idx="7">
                  <c:v>0.23485068122516012</c:v>
                </c:pt>
                <c:pt idx="8">
                  <c:v>0.23346050170130656</c:v>
                </c:pt>
                <c:pt idx="9">
                  <c:v>0.20624493434916519</c:v>
                </c:pt>
                <c:pt idx="10">
                  <c:v>0.20405750343749737</c:v>
                </c:pt>
              </c:numCache>
            </c:numRef>
          </c:val>
          <c:extLst>
            <c:ext xmlns:c16="http://schemas.microsoft.com/office/drawing/2014/chart" uri="{C3380CC4-5D6E-409C-BE32-E72D297353CC}">
              <c16:uniqueId val="{00000001-B90D-4524-BF0F-2EA66C5BDD0B}"/>
            </c:ext>
          </c:extLst>
        </c:ser>
        <c:ser>
          <c:idx val="2"/>
          <c:order val="2"/>
          <c:tx>
            <c:strRef>
              <c:f>q21_q32_Fig!$A$8</c:f>
              <c:strCache>
                <c:ptCount val="1"/>
                <c:pt idx="0">
                  <c:v>&gt;RMMG e &lt;= 999,99 €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q21_q32_Fig!$B$5:$L$5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q21_q32_Fig!$B$8:$L$8</c:f>
              <c:numCache>
                <c:formatCode>0.0%</c:formatCode>
                <c:ptCount val="11"/>
                <c:pt idx="0">
                  <c:v>0.54175553996329417</c:v>
                </c:pt>
                <c:pt idx="1">
                  <c:v>0.5613940017005411</c:v>
                </c:pt>
                <c:pt idx="2">
                  <c:v>0.52377937535980879</c:v>
                </c:pt>
                <c:pt idx="3">
                  <c:v>0.50997986343912571</c:v>
                </c:pt>
                <c:pt idx="4">
                  <c:v>0.50294203130519</c:v>
                </c:pt>
                <c:pt idx="5">
                  <c:v>0.49900779430209641</c:v>
                </c:pt>
                <c:pt idx="6">
                  <c:v>0.44975874698144924</c:v>
                </c:pt>
                <c:pt idx="7">
                  <c:v>0.43323348150544805</c:v>
                </c:pt>
                <c:pt idx="8">
                  <c:v>0.40428893382685605</c:v>
                </c:pt>
                <c:pt idx="9">
                  <c:v>0.38834576106338142</c:v>
                </c:pt>
                <c:pt idx="10">
                  <c:v>0.33477056026320839</c:v>
                </c:pt>
              </c:numCache>
            </c:numRef>
          </c:val>
          <c:extLst>
            <c:ext xmlns:c16="http://schemas.microsoft.com/office/drawing/2014/chart" uri="{C3380CC4-5D6E-409C-BE32-E72D297353CC}">
              <c16:uniqueId val="{00000002-B90D-4524-BF0F-2EA66C5BDD0B}"/>
            </c:ext>
          </c:extLst>
        </c:ser>
        <c:ser>
          <c:idx val="4"/>
          <c:order val="3"/>
          <c:tx>
            <c:strRef>
              <c:f>q21_q32_Fig!$A$9</c:f>
              <c:strCache>
                <c:ptCount val="1"/>
                <c:pt idx="0">
                  <c:v>1 000,00 - 1 499,99  €</c:v>
                </c:pt>
              </c:strCache>
            </c:strRef>
          </c:tx>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q21_q32_Fig!$B$5:$L$5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q21_q32_Fig!$B$9:$L$9</c:f>
              <c:numCache>
                <c:formatCode>0.0%</c:formatCode>
                <c:ptCount val="11"/>
                <c:pt idx="0">
                  <c:v>0.13515638329373902</c:v>
                </c:pt>
                <c:pt idx="1">
                  <c:v>0.13673033065127307</c:v>
                </c:pt>
                <c:pt idx="2">
                  <c:v>0.13732516882726309</c:v>
                </c:pt>
                <c:pt idx="3">
                  <c:v>0.1414573466551404</c:v>
                </c:pt>
                <c:pt idx="4">
                  <c:v>0.14863141246975106</c:v>
                </c:pt>
                <c:pt idx="5">
                  <c:v>0.15694678373051424</c:v>
                </c:pt>
                <c:pt idx="6">
                  <c:v>0.16926526187573876</c:v>
                </c:pt>
                <c:pt idx="7">
                  <c:v>0.17971693097409155</c:v>
                </c:pt>
                <c:pt idx="8">
                  <c:v>0.19453183031966045</c:v>
                </c:pt>
                <c:pt idx="9">
                  <c:v>0.21866266817960772</c:v>
                </c:pt>
                <c:pt idx="10">
                  <c:v>0.24863228092261752</c:v>
                </c:pt>
              </c:numCache>
            </c:numRef>
          </c:val>
          <c:extLst>
            <c:ext xmlns:c16="http://schemas.microsoft.com/office/drawing/2014/chart" uri="{C3380CC4-5D6E-409C-BE32-E72D297353CC}">
              <c16:uniqueId val="{00000004-B90D-4524-BF0F-2EA66C5BDD0B}"/>
            </c:ext>
          </c:extLst>
        </c:ser>
        <c:ser>
          <c:idx val="5"/>
          <c:order val="4"/>
          <c:tx>
            <c:strRef>
              <c:f>q21_q32_Fig!$A$10</c:f>
              <c:strCache>
                <c:ptCount val="1"/>
                <c:pt idx="0">
                  <c:v>1 500,00 - 2 499,99  €</c:v>
                </c:pt>
              </c:strCache>
            </c:strRef>
          </c:tx>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q21_q32_Fig!$B$5:$L$5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q21_q32_Fig!$B$10:$L$10</c:f>
              <c:numCache>
                <c:formatCode>0.0%</c:formatCode>
                <c:ptCount val="11"/>
                <c:pt idx="0">
                  <c:v>7.6610207814419587E-2</c:v>
                </c:pt>
                <c:pt idx="1">
                  <c:v>7.6416368385605976E-2</c:v>
                </c:pt>
                <c:pt idx="2">
                  <c:v>7.5857299902526196E-2</c:v>
                </c:pt>
                <c:pt idx="3">
                  <c:v>7.7197654909160335E-2</c:v>
                </c:pt>
                <c:pt idx="4">
                  <c:v>8.1324936554869331E-2</c:v>
                </c:pt>
                <c:pt idx="5">
                  <c:v>8.6777011288299594E-2</c:v>
                </c:pt>
                <c:pt idx="6">
                  <c:v>9.2550406216296899E-2</c:v>
                </c:pt>
                <c:pt idx="7">
                  <c:v>9.8043982670133603E-2</c:v>
                </c:pt>
                <c:pt idx="8">
                  <c:v>0.10679828206968098</c:v>
                </c:pt>
                <c:pt idx="9">
                  <c:v>0.11902577403144755</c:v>
                </c:pt>
                <c:pt idx="10">
                  <c:v>0.13502074864245281</c:v>
                </c:pt>
              </c:numCache>
            </c:numRef>
          </c:val>
          <c:extLst>
            <c:ext xmlns:c16="http://schemas.microsoft.com/office/drawing/2014/chart" uri="{C3380CC4-5D6E-409C-BE32-E72D297353CC}">
              <c16:uniqueId val="{00000005-B90D-4524-BF0F-2EA66C5BDD0B}"/>
            </c:ext>
          </c:extLst>
        </c:ser>
        <c:ser>
          <c:idx val="6"/>
          <c:order val="5"/>
          <c:tx>
            <c:strRef>
              <c:f>q21_q32_Fig!$A$11</c:f>
              <c:strCache>
                <c:ptCount val="1"/>
                <c:pt idx="0">
                  <c:v>2 500,00 - 3 749,99  €</c:v>
                </c:pt>
              </c:strCache>
            </c:strRef>
          </c:tx>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q21_q32_Fig!$B$5:$L$5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q21_q32_Fig!$B$11:$L$11</c:f>
              <c:numCache>
                <c:formatCode>0.0%</c:formatCode>
                <c:ptCount val="11"/>
                <c:pt idx="0">
                  <c:v>2.339357788982771E-2</c:v>
                </c:pt>
                <c:pt idx="1">
                  <c:v>2.3905006752443711E-2</c:v>
                </c:pt>
                <c:pt idx="2">
                  <c:v>2.4396190394620498E-2</c:v>
                </c:pt>
                <c:pt idx="3">
                  <c:v>2.4870739977569757E-2</c:v>
                </c:pt>
                <c:pt idx="4">
                  <c:v>2.6643100792627713E-2</c:v>
                </c:pt>
                <c:pt idx="5">
                  <c:v>2.8876545421967388E-2</c:v>
                </c:pt>
                <c:pt idx="6">
                  <c:v>3.0903582891505917E-2</c:v>
                </c:pt>
                <c:pt idx="7">
                  <c:v>3.3638190415860442E-2</c:v>
                </c:pt>
                <c:pt idx="8">
                  <c:v>3.7576464102116271E-2</c:v>
                </c:pt>
                <c:pt idx="9">
                  <c:v>4.157278327119468E-2</c:v>
                </c:pt>
                <c:pt idx="10">
                  <c:v>4.7016028889737209E-2</c:v>
                </c:pt>
              </c:numCache>
            </c:numRef>
          </c:val>
          <c:extLst>
            <c:ext xmlns:c16="http://schemas.microsoft.com/office/drawing/2014/chart" uri="{C3380CC4-5D6E-409C-BE32-E72D297353CC}">
              <c16:uniqueId val="{00000006-B90D-4524-BF0F-2EA66C5BDD0B}"/>
            </c:ext>
          </c:extLst>
        </c:ser>
        <c:ser>
          <c:idx val="7"/>
          <c:order val="6"/>
          <c:tx>
            <c:strRef>
              <c:f>q21_q32_Fig!$A$12</c:f>
              <c:strCache>
                <c:ptCount val="1"/>
                <c:pt idx="0">
                  <c:v>3 750,00 - 4 999,99 €</c:v>
                </c:pt>
              </c:strCache>
            </c:strRef>
          </c:tx>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elete val="1"/>
          </c:dLbls>
          <c:cat>
            <c:numRef>
              <c:f>q21_q32_Fig!$B$5:$L$5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q21_q32_Fig!$B$12:$L$12</c:f>
              <c:numCache>
                <c:formatCode>0.0%</c:formatCode>
                <c:ptCount val="11"/>
                <c:pt idx="0">
                  <c:v>6.3013825080757372E-3</c:v>
                </c:pt>
                <c:pt idx="1">
                  <c:v>6.294412572552986E-3</c:v>
                </c:pt>
                <c:pt idx="2">
                  <c:v>6.5929862655852252E-3</c:v>
                </c:pt>
                <c:pt idx="3">
                  <c:v>6.6052422602292842E-3</c:v>
                </c:pt>
                <c:pt idx="4">
                  <c:v>6.8258209552794014E-3</c:v>
                </c:pt>
                <c:pt idx="5">
                  <c:v>7.3396344741085825E-3</c:v>
                </c:pt>
                <c:pt idx="6">
                  <c:v>7.7306320635011586E-3</c:v>
                </c:pt>
                <c:pt idx="7">
                  <c:v>8.580410561875567E-3</c:v>
                </c:pt>
                <c:pt idx="8">
                  <c:v>1.0213310382704541E-2</c:v>
                </c:pt>
                <c:pt idx="9">
                  <c:v>1.179202463932566E-2</c:v>
                </c:pt>
                <c:pt idx="10">
                  <c:v>1.4989363403806518E-2</c:v>
                </c:pt>
              </c:numCache>
            </c:numRef>
          </c:val>
          <c:extLst>
            <c:ext xmlns:c16="http://schemas.microsoft.com/office/drawing/2014/chart" uri="{C3380CC4-5D6E-409C-BE32-E72D297353CC}">
              <c16:uniqueId val="{00000007-B90D-4524-BF0F-2EA66C5BDD0B}"/>
            </c:ext>
          </c:extLst>
        </c:ser>
        <c:ser>
          <c:idx val="8"/>
          <c:order val="7"/>
          <c:tx>
            <c:strRef>
              <c:f>q21_q32_Fig!$A$13</c:f>
              <c:strCache>
                <c:ptCount val="1"/>
                <c:pt idx="0">
                  <c:v>5 000,00 e +  Euros</c:v>
                </c:pt>
              </c:strCache>
            </c:strRef>
          </c:tx>
          <c:spPr>
            <a:gradFill rotWithShape="1">
              <a:gsLst>
                <a:gs pos="0">
                  <a:schemeClr val="accent5">
                    <a:lumMod val="80000"/>
                    <a:lumOff val="20000"/>
                    <a:shade val="51000"/>
                    <a:satMod val="130000"/>
                  </a:schemeClr>
                </a:gs>
                <a:gs pos="80000">
                  <a:schemeClr val="accent5">
                    <a:lumMod val="80000"/>
                    <a:lumOff val="20000"/>
                    <a:shade val="93000"/>
                    <a:satMod val="130000"/>
                  </a:schemeClr>
                </a:gs>
                <a:gs pos="100000">
                  <a:schemeClr val="accent5">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elete val="1"/>
          </c:dLbls>
          <c:cat>
            <c:numRef>
              <c:f>q21_q32_Fig!$B$5:$L$5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q21_q32_Fig!$B$13:$L$13</c:f>
              <c:numCache>
                <c:formatCode>0.0%</c:formatCode>
                <c:ptCount val="11"/>
                <c:pt idx="0">
                  <c:v>5.5437230689926445E-3</c:v>
                </c:pt>
                <c:pt idx="1">
                  <c:v>5.58928568738069E-3</c:v>
                </c:pt>
                <c:pt idx="2">
                  <c:v>5.5681243615903556E-3</c:v>
                </c:pt>
                <c:pt idx="3">
                  <c:v>5.6141275822102184E-3</c:v>
                </c:pt>
                <c:pt idx="4">
                  <c:v>5.7947383956736247E-3</c:v>
                </c:pt>
                <c:pt idx="5">
                  <c:v>6.3102490593083677E-3</c:v>
                </c:pt>
                <c:pt idx="6">
                  <c:v>6.340689370912307E-3</c:v>
                </c:pt>
                <c:pt idx="7">
                  <c:v>6.9276749823002333E-3</c:v>
                </c:pt>
                <c:pt idx="8">
                  <c:v>8.3442931002918625E-3</c:v>
                </c:pt>
                <c:pt idx="9">
                  <c:v>9.8557302642243473E-3</c:v>
                </c:pt>
                <c:pt idx="10">
                  <c:v>1.1651789792298171E-2</c:v>
                </c:pt>
              </c:numCache>
            </c:numRef>
          </c:val>
          <c:extLst>
            <c:ext xmlns:c16="http://schemas.microsoft.com/office/drawing/2014/chart" uri="{C3380CC4-5D6E-409C-BE32-E72D297353CC}">
              <c16:uniqueId val="{00000008-B90D-4524-BF0F-2EA66C5BDD0B}"/>
            </c:ext>
          </c:extLst>
        </c:ser>
        <c:dLbls>
          <c:dLblPos val="ctr"/>
          <c:showLegendKey val="0"/>
          <c:showVal val="1"/>
          <c:showCatName val="0"/>
          <c:showSerName val="0"/>
          <c:showPercent val="0"/>
          <c:showBubbleSize val="0"/>
        </c:dLbls>
        <c:gapWidth val="20"/>
        <c:overlap val="100"/>
        <c:axId val="1253721152"/>
        <c:axId val="1452306752"/>
      </c:barChart>
      <c:catAx>
        <c:axId val="12537211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1F497D"/>
                </a:solidFill>
                <a:latin typeface="+mn-lt"/>
                <a:ea typeface="+mn-ea"/>
                <a:cs typeface="+mn-cs"/>
              </a:defRPr>
            </a:pPr>
            <a:endParaRPr lang="pt-PT"/>
          </a:p>
        </c:txPr>
        <c:crossAx val="1452306752"/>
        <c:crosses val="autoZero"/>
        <c:auto val="1"/>
        <c:lblAlgn val="ctr"/>
        <c:lblOffset val="100"/>
        <c:noMultiLvlLbl val="0"/>
      </c:catAx>
      <c:valAx>
        <c:axId val="1452306752"/>
        <c:scaling>
          <c:orientation val="minMax"/>
          <c:max val="1"/>
          <c:min val="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253721152"/>
        <c:crosses val="autoZero"/>
        <c:crossBetween val="between"/>
        <c:majorUnit val="0.1"/>
        <c:minorUnit val="5.0000000000000012E-4"/>
      </c:valAx>
      <c:spPr>
        <a:noFill/>
        <a:ln>
          <a:noFill/>
        </a:ln>
        <a:effectLst/>
      </c:spPr>
    </c:plotArea>
    <c:legend>
      <c:legendPos val="r"/>
      <c:layout>
        <c:manualLayout>
          <c:xMode val="edge"/>
          <c:yMode val="edge"/>
          <c:x val="0.81165842097773233"/>
          <c:y val="8.6394371814666263E-2"/>
          <c:w val="0.18834138026711106"/>
          <c:h val="0.85906990481946943"/>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8038397288886921E-2"/>
          <c:y val="0.13305232558139532"/>
          <c:w val="0.76942714940518253"/>
          <c:h val="0.74988738326313853"/>
        </c:manualLayout>
      </c:layout>
      <c:barChart>
        <c:barDir val="col"/>
        <c:grouping val="stacked"/>
        <c:varyColors val="0"/>
        <c:ser>
          <c:idx val="0"/>
          <c:order val="0"/>
          <c:tx>
            <c:strRef>
              <c:f>q21_q32_Fig!$A$21</c:f>
              <c:strCache>
                <c:ptCount val="1"/>
                <c:pt idx="0">
                  <c:v>&lt; RMMG**</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q21_q32_Fig!$B$20:$L$20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q21_q32_Fig!$B$21:$L$21</c:f>
              <c:numCache>
                <c:formatCode>0.0%</c:formatCode>
                <c:ptCount val="11"/>
                <c:pt idx="0">
                  <c:v>2.7480064118420976E-3</c:v>
                </c:pt>
                <c:pt idx="1">
                  <c:v>2.4257570195029862E-3</c:v>
                </c:pt>
                <c:pt idx="2">
                  <c:v>2.4886722587985563E-3</c:v>
                </c:pt>
                <c:pt idx="3">
                  <c:v>2.1126268385224184E-3</c:v>
                </c:pt>
                <c:pt idx="4">
                  <c:v>1.7647200184633606E-3</c:v>
                </c:pt>
                <c:pt idx="5">
                  <c:v>1.8872065938003943E-3</c:v>
                </c:pt>
                <c:pt idx="6">
                  <c:v>1.6981513947021373E-3</c:v>
                </c:pt>
                <c:pt idx="7">
                  <c:v>1.7358949447285597E-3</c:v>
                </c:pt>
                <c:pt idx="8">
                  <c:v>1.761278389303548E-3</c:v>
                </c:pt>
                <c:pt idx="9">
                  <c:v>1.5618414653914734E-3</c:v>
                </c:pt>
                <c:pt idx="10">
                  <c:v>1.2337893128236304E-3</c:v>
                </c:pt>
              </c:numCache>
            </c:numRef>
          </c:val>
          <c:extLst>
            <c:ext xmlns:c16="http://schemas.microsoft.com/office/drawing/2014/chart" uri="{C3380CC4-5D6E-409C-BE32-E72D297353CC}">
              <c16:uniqueId val="{00000000-B6C3-4DD4-A621-BFCA97281971}"/>
            </c:ext>
          </c:extLst>
        </c:ser>
        <c:ser>
          <c:idx val="1"/>
          <c:order val="1"/>
          <c:tx>
            <c:strRef>
              <c:f>q21_q32_Fig!$A$22</c:f>
              <c:strCache>
                <c:ptCount val="1"/>
                <c:pt idx="0">
                  <c:v> = RMMG</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q21_q32_Fig!$B$20:$L$20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q21_q32_Fig!$B$22:$L$22</c:f>
              <c:numCache>
                <c:formatCode>0.0%</c:formatCode>
                <c:ptCount val="11"/>
                <c:pt idx="0">
                  <c:v>4.9883135828475443E-2</c:v>
                </c:pt>
                <c:pt idx="1">
                  <c:v>4.7405720668303591E-2</c:v>
                </c:pt>
                <c:pt idx="2">
                  <c:v>5.4094800212758608E-2</c:v>
                </c:pt>
                <c:pt idx="3">
                  <c:v>5.3383697406544174E-2</c:v>
                </c:pt>
                <c:pt idx="4">
                  <c:v>5.2246503999865787E-2</c:v>
                </c:pt>
                <c:pt idx="5">
                  <c:v>4.8300483784268052E-2</c:v>
                </c:pt>
                <c:pt idx="6">
                  <c:v>4.9281970761298595E-2</c:v>
                </c:pt>
                <c:pt idx="7">
                  <c:v>4.6096644814990859E-2</c:v>
                </c:pt>
                <c:pt idx="8">
                  <c:v>4.5002451480673285E-2</c:v>
                </c:pt>
                <c:pt idx="9">
                  <c:v>4.1181715026746633E-2</c:v>
                </c:pt>
                <c:pt idx="10">
                  <c:v>4.006923261336362E-2</c:v>
                </c:pt>
              </c:numCache>
            </c:numRef>
          </c:val>
          <c:extLst>
            <c:ext xmlns:c16="http://schemas.microsoft.com/office/drawing/2014/chart" uri="{C3380CC4-5D6E-409C-BE32-E72D297353CC}">
              <c16:uniqueId val="{00000001-B6C3-4DD4-A621-BFCA97281971}"/>
            </c:ext>
          </c:extLst>
        </c:ser>
        <c:ser>
          <c:idx val="2"/>
          <c:order val="2"/>
          <c:tx>
            <c:strRef>
              <c:f>q21_q32_Fig!$A$23</c:f>
              <c:strCache>
                <c:ptCount val="1"/>
                <c:pt idx="0">
                  <c:v>&gt;RMMG e &lt;= 999,99 €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q21_q32_Fig!$B$20:$L$20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q21_q32_Fig!$B$23:$L$23</c:f>
              <c:numCache>
                <c:formatCode>0.0%</c:formatCode>
                <c:ptCount val="11"/>
                <c:pt idx="0">
                  <c:v>0.6144576563794043</c:v>
                </c:pt>
                <c:pt idx="1">
                  <c:v>0.61444575972148496</c:v>
                </c:pt>
                <c:pt idx="2">
                  <c:v>0.60386167576114003</c:v>
                </c:pt>
                <c:pt idx="3">
                  <c:v>0.59158476563397799</c:v>
                </c:pt>
                <c:pt idx="4">
                  <c:v>0.56911857857515635</c:v>
                </c:pt>
                <c:pt idx="5">
                  <c:v>0.54308860419279703</c:v>
                </c:pt>
                <c:pt idx="6">
                  <c:v>0.5133172035905621</c:v>
                </c:pt>
                <c:pt idx="7">
                  <c:v>0.48613783369399355</c:v>
                </c:pt>
                <c:pt idx="8">
                  <c:v>0.43309814550221687</c:v>
                </c:pt>
                <c:pt idx="9">
                  <c:v>0.34796685038093694</c:v>
                </c:pt>
                <c:pt idx="10">
                  <c:v>0.23146214604347742</c:v>
                </c:pt>
              </c:numCache>
            </c:numRef>
          </c:val>
          <c:extLst>
            <c:ext xmlns:c16="http://schemas.microsoft.com/office/drawing/2014/chart" uri="{C3380CC4-5D6E-409C-BE32-E72D297353CC}">
              <c16:uniqueId val="{00000002-B6C3-4DD4-A621-BFCA97281971}"/>
            </c:ext>
          </c:extLst>
        </c:ser>
        <c:ser>
          <c:idx val="4"/>
          <c:order val="3"/>
          <c:tx>
            <c:strRef>
              <c:f>q21_q32_Fig!$A$24</c:f>
              <c:strCache>
                <c:ptCount val="1"/>
                <c:pt idx="0">
                  <c:v>1 000,00 - 1 499,99  €</c:v>
                </c:pt>
              </c:strCache>
            </c:strRef>
          </c:tx>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q21_q32_Fig!$B$20:$L$20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q21_q32_Fig!$B$24:$L$24</c:f>
              <c:numCache>
                <c:formatCode>0.0%</c:formatCode>
                <c:ptCount val="11"/>
                <c:pt idx="0">
                  <c:v>0.16805000448580024</c:v>
                </c:pt>
                <c:pt idx="1">
                  <c:v>0.17108266608274392</c:v>
                </c:pt>
                <c:pt idx="2">
                  <c:v>0.17426058841477807</c:v>
                </c:pt>
                <c:pt idx="3">
                  <c:v>0.18309823480271284</c:v>
                </c:pt>
                <c:pt idx="4">
                  <c:v>0.19677308339480987</c:v>
                </c:pt>
                <c:pt idx="5">
                  <c:v>0.21366197814011825</c:v>
                </c:pt>
                <c:pt idx="6">
                  <c:v>0.22926383866314129</c:v>
                </c:pt>
                <c:pt idx="7">
                  <c:v>0.24640756086765664</c:v>
                </c:pt>
                <c:pt idx="8">
                  <c:v>0.27650387291860873</c:v>
                </c:pt>
                <c:pt idx="9">
                  <c:v>0.33085021883611604</c:v>
                </c:pt>
                <c:pt idx="10">
                  <c:v>0.40596016372340304</c:v>
                </c:pt>
              </c:numCache>
            </c:numRef>
          </c:val>
          <c:extLst>
            <c:ext xmlns:c16="http://schemas.microsoft.com/office/drawing/2014/chart" uri="{C3380CC4-5D6E-409C-BE32-E72D297353CC}">
              <c16:uniqueId val="{00000004-B6C3-4DD4-A621-BFCA97281971}"/>
            </c:ext>
          </c:extLst>
        </c:ser>
        <c:ser>
          <c:idx val="5"/>
          <c:order val="4"/>
          <c:tx>
            <c:strRef>
              <c:f>q21_q32_Fig!$A$25</c:f>
              <c:strCache>
                <c:ptCount val="1"/>
                <c:pt idx="0">
                  <c:v>1 500,00 - 2 499,99  €</c:v>
                </c:pt>
              </c:strCache>
            </c:strRef>
          </c:tx>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q21_q32_Fig!$B$20:$L$20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q21_q32_Fig!$B$25:$L$25</c:f>
              <c:numCache>
                <c:formatCode>0.0%</c:formatCode>
                <c:ptCount val="11"/>
                <c:pt idx="0">
                  <c:v>0.10662150788230297</c:v>
                </c:pt>
                <c:pt idx="1">
                  <c:v>0.10646562179987153</c:v>
                </c:pt>
                <c:pt idx="2">
                  <c:v>0.10664549462239484</c:v>
                </c:pt>
                <c:pt idx="3">
                  <c:v>0.11032658940694005</c:v>
                </c:pt>
                <c:pt idx="4">
                  <c:v>0.11769757541434873</c:v>
                </c:pt>
                <c:pt idx="5">
                  <c:v>0.12736964701666367</c:v>
                </c:pt>
                <c:pt idx="6">
                  <c:v>0.13675455774592699</c:v>
                </c:pt>
                <c:pt idx="7">
                  <c:v>0.14504629204660197</c:v>
                </c:pt>
                <c:pt idx="8">
                  <c:v>0.15884584710756844</c:v>
                </c:pt>
                <c:pt idx="9">
                  <c:v>0.18160196142000323</c:v>
                </c:pt>
                <c:pt idx="10">
                  <c:v>0.20814620064294265</c:v>
                </c:pt>
              </c:numCache>
            </c:numRef>
          </c:val>
          <c:extLst>
            <c:ext xmlns:c16="http://schemas.microsoft.com/office/drawing/2014/chart" uri="{C3380CC4-5D6E-409C-BE32-E72D297353CC}">
              <c16:uniqueId val="{00000005-B6C3-4DD4-A621-BFCA97281971}"/>
            </c:ext>
          </c:extLst>
        </c:ser>
        <c:ser>
          <c:idx val="6"/>
          <c:order val="5"/>
          <c:tx>
            <c:strRef>
              <c:f>q21_q32_Fig!$A$26</c:f>
              <c:strCache>
                <c:ptCount val="1"/>
                <c:pt idx="0">
                  <c:v>2 500,00 - 3 749,99  €</c:v>
                </c:pt>
              </c:strCache>
            </c:strRef>
          </c:tx>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6C3-4DD4-A621-BFCA97281971}"/>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q21_q32_Fig!$B$20:$L$20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q21_q32_Fig!$B$26:$L$26</c:f>
              <c:numCache>
                <c:formatCode>0.0%</c:formatCode>
                <c:ptCount val="11"/>
                <c:pt idx="0">
                  <c:v>3.8366297482714112E-2</c:v>
                </c:pt>
                <c:pt idx="1">
                  <c:v>3.8309885185856679E-2</c:v>
                </c:pt>
                <c:pt idx="2">
                  <c:v>3.8479525390637356E-2</c:v>
                </c:pt>
                <c:pt idx="3">
                  <c:v>3.9048886391427916E-2</c:v>
                </c:pt>
                <c:pt idx="4">
                  <c:v>4.0913210869986109E-2</c:v>
                </c:pt>
                <c:pt idx="5">
                  <c:v>4.3067998566565131E-2</c:v>
                </c:pt>
                <c:pt idx="6">
                  <c:v>4.6109315665781622E-2</c:v>
                </c:pt>
                <c:pt idx="7">
                  <c:v>4.8960871473792987E-2</c:v>
                </c:pt>
                <c:pt idx="8">
                  <c:v>5.5147583345082206E-2</c:v>
                </c:pt>
                <c:pt idx="9">
                  <c:v>6.1939131139568809E-2</c:v>
                </c:pt>
                <c:pt idx="10">
                  <c:v>7.0512275864599905E-2</c:v>
                </c:pt>
              </c:numCache>
            </c:numRef>
          </c:val>
          <c:extLst>
            <c:ext xmlns:c16="http://schemas.microsoft.com/office/drawing/2014/chart" uri="{C3380CC4-5D6E-409C-BE32-E72D297353CC}">
              <c16:uniqueId val="{00000007-B6C3-4DD4-A621-BFCA97281971}"/>
            </c:ext>
          </c:extLst>
        </c:ser>
        <c:ser>
          <c:idx val="7"/>
          <c:order val="6"/>
          <c:tx>
            <c:strRef>
              <c:f>q21_q32_Fig!$A$27</c:f>
              <c:strCache>
                <c:ptCount val="1"/>
                <c:pt idx="0">
                  <c:v>3 750,00 - 4 999,99 €</c:v>
                </c:pt>
              </c:strCache>
            </c:strRef>
          </c:tx>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q21_q32_Fig!$B$20:$L$20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q21_q32_Fig!$B$27:$L$27</c:f>
              <c:numCache>
                <c:formatCode>0.0%</c:formatCode>
                <c:ptCount val="11"/>
                <c:pt idx="0">
                  <c:v>1.1010694873793437E-2</c:v>
                </c:pt>
                <c:pt idx="1">
                  <c:v>1.1017356467254038E-2</c:v>
                </c:pt>
                <c:pt idx="2">
                  <c:v>1.1287106838203699E-2</c:v>
                </c:pt>
                <c:pt idx="3">
                  <c:v>1.1404151049066509E-2</c:v>
                </c:pt>
                <c:pt idx="4">
                  <c:v>1.1988941934272794E-2</c:v>
                </c:pt>
                <c:pt idx="5">
                  <c:v>1.2757122379501881E-2</c:v>
                </c:pt>
                <c:pt idx="6">
                  <c:v>1.3377274252143367E-2</c:v>
                </c:pt>
                <c:pt idx="7">
                  <c:v>1.4589697145407103E-2</c:v>
                </c:pt>
                <c:pt idx="8">
                  <c:v>1.6623774522697764E-2</c:v>
                </c:pt>
                <c:pt idx="9">
                  <c:v>1.9549359701734478E-2</c:v>
                </c:pt>
                <c:pt idx="10">
                  <c:v>2.3664182733252197E-2</c:v>
                </c:pt>
              </c:numCache>
            </c:numRef>
          </c:val>
          <c:extLst>
            <c:ext xmlns:c16="http://schemas.microsoft.com/office/drawing/2014/chart" uri="{C3380CC4-5D6E-409C-BE32-E72D297353CC}">
              <c16:uniqueId val="{00000008-B6C3-4DD4-A621-BFCA97281971}"/>
            </c:ext>
          </c:extLst>
        </c:ser>
        <c:ser>
          <c:idx val="8"/>
          <c:order val="7"/>
          <c:tx>
            <c:strRef>
              <c:f>q21_q32_Fig!$A$28</c:f>
              <c:strCache>
                <c:ptCount val="1"/>
                <c:pt idx="0">
                  <c:v>5 000,00 e +  Euros</c:v>
                </c:pt>
              </c:strCache>
            </c:strRef>
          </c:tx>
          <c:spPr>
            <a:gradFill rotWithShape="1">
              <a:gsLst>
                <a:gs pos="0">
                  <a:schemeClr val="accent5">
                    <a:lumMod val="80000"/>
                    <a:lumOff val="20000"/>
                    <a:shade val="51000"/>
                    <a:satMod val="130000"/>
                  </a:schemeClr>
                </a:gs>
                <a:gs pos="80000">
                  <a:schemeClr val="accent5">
                    <a:lumMod val="80000"/>
                    <a:lumOff val="20000"/>
                    <a:shade val="93000"/>
                    <a:satMod val="130000"/>
                  </a:schemeClr>
                </a:gs>
                <a:gs pos="100000">
                  <a:schemeClr val="accent5">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q21_q32_Fig!$B$20:$L$20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q21_q32_Fig!$B$28:$L$28</c:f>
              <c:numCache>
                <c:formatCode>0.0%</c:formatCode>
                <c:ptCount val="11"/>
                <c:pt idx="0">
                  <c:v>8.8626966556673813E-3</c:v>
                </c:pt>
                <c:pt idx="1">
                  <c:v>8.8472330549823185E-3</c:v>
                </c:pt>
                <c:pt idx="2">
                  <c:v>8.8821365012888634E-3</c:v>
                </c:pt>
                <c:pt idx="3">
                  <c:v>9.0410484708080847E-3</c:v>
                </c:pt>
                <c:pt idx="4">
                  <c:v>9.497385793097007E-3</c:v>
                </c:pt>
                <c:pt idx="5">
                  <c:v>9.8669593262856112E-3</c:v>
                </c:pt>
                <c:pt idx="6">
                  <c:v>1.0197687926443938E-2</c:v>
                </c:pt>
                <c:pt idx="7">
                  <c:v>1.1025205012828354E-2</c:v>
                </c:pt>
                <c:pt idx="8">
                  <c:v>1.3017046733849161E-2</c:v>
                </c:pt>
                <c:pt idx="9">
                  <c:v>1.5348922029502351E-2</c:v>
                </c:pt>
                <c:pt idx="10">
                  <c:v>1.895200906613757E-2</c:v>
                </c:pt>
              </c:numCache>
            </c:numRef>
          </c:val>
          <c:extLst>
            <c:ext xmlns:c16="http://schemas.microsoft.com/office/drawing/2014/chart" uri="{C3380CC4-5D6E-409C-BE32-E72D297353CC}">
              <c16:uniqueId val="{00000009-B6C3-4DD4-A621-BFCA97281971}"/>
            </c:ext>
          </c:extLst>
        </c:ser>
        <c:dLbls>
          <c:showLegendKey val="0"/>
          <c:showVal val="0"/>
          <c:showCatName val="0"/>
          <c:showSerName val="0"/>
          <c:showPercent val="0"/>
          <c:showBubbleSize val="0"/>
        </c:dLbls>
        <c:gapWidth val="20"/>
        <c:overlap val="100"/>
        <c:axId val="1253721152"/>
        <c:axId val="1452306752"/>
      </c:barChart>
      <c:catAx>
        <c:axId val="12537211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452306752"/>
        <c:crosses val="autoZero"/>
        <c:auto val="1"/>
        <c:lblAlgn val="ctr"/>
        <c:lblOffset val="100"/>
        <c:noMultiLvlLbl val="0"/>
      </c:catAx>
      <c:valAx>
        <c:axId val="1452306752"/>
        <c:scaling>
          <c:orientation val="minMax"/>
          <c:max val="1"/>
          <c:min val="0"/>
        </c:scaling>
        <c:delete val="0"/>
        <c:axPos val="l"/>
        <c:majorGridlines>
          <c:spPr>
            <a:ln w="9525" cap="flat" cmpd="sng" algn="ctr">
              <a:noFill/>
              <a:round/>
            </a:ln>
            <a:effectLst/>
          </c:spPr>
        </c:majorGridlines>
        <c:numFmt formatCode="0%" sourceLinked="0"/>
        <c:majorTickMark val="none"/>
        <c:minorTickMark val="none"/>
        <c:tickLblPos val="none"/>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pt-PT"/>
          </a:p>
        </c:txPr>
        <c:crossAx val="1253721152"/>
        <c:crosses val="autoZero"/>
        <c:crossBetween val="between"/>
        <c:majorUnit val="0.1"/>
        <c:minorUnit val="5.0000000000000012E-4"/>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579149606299213"/>
          <c:y val="0.12026229508196722"/>
          <c:w val="0.74945871766029237"/>
          <c:h val="0.77416152489135581"/>
        </c:manualLayout>
      </c:layout>
      <c:lineChart>
        <c:grouping val="standard"/>
        <c:varyColors val="0"/>
        <c:ser>
          <c:idx val="0"/>
          <c:order val="0"/>
          <c:tx>
            <c:strRef>
              <c:f>q20_q30_q42_Fig!$A$5</c:f>
              <c:strCache>
                <c:ptCount val="1"/>
                <c:pt idx="0">
                  <c:v>Total</c:v>
                </c:pt>
              </c:strCache>
            </c:strRef>
          </c:tx>
          <c:spPr>
            <a:ln w="31750" cap="rnd">
              <a:solidFill>
                <a:srgbClr val="C0504D"/>
              </a:solidFill>
              <a:round/>
            </a:ln>
            <a:effectLst>
              <a:outerShdw blurRad="40000" dist="23000" dir="5400000" rotWithShape="0">
                <a:srgbClr val="000000">
                  <a:alpha val="35000"/>
                </a:srgbClr>
              </a:outerShdw>
            </a:effectLst>
          </c:spPr>
          <c:marker>
            <c:symbol val="none"/>
          </c:marker>
          <c:cat>
            <c:numRef>
              <c:f>q20_q30_q42_Fig!$B$4:$L$4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q20_q30_q42_Fig!$B$5:$L$5</c:f>
              <c:numCache>
                <c:formatCode>#,##0</c:formatCode>
                <c:ptCount val="11"/>
                <c:pt idx="0">
                  <c:v>2458163</c:v>
                </c:pt>
                <c:pt idx="1">
                  <c:v>2537653</c:v>
                </c:pt>
                <c:pt idx="2">
                  <c:v>2641919</c:v>
                </c:pt>
                <c:pt idx="3">
                  <c:v>2767521</c:v>
                </c:pt>
                <c:pt idx="4">
                  <c:v>2877918</c:v>
                </c:pt>
                <c:pt idx="5">
                  <c:v>2930482</c:v>
                </c:pt>
                <c:pt idx="6">
                  <c:v>2902825</c:v>
                </c:pt>
                <c:pt idx="7">
                  <c:v>2922343</c:v>
                </c:pt>
                <c:pt idx="8">
                  <c:v>3148147</c:v>
                </c:pt>
                <c:pt idx="9">
                  <c:v>3296134</c:v>
                </c:pt>
                <c:pt idx="10">
                  <c:v>3354136</c:v>
                </c:pt>
              </c:numCache>
            </c:numRef>
          </c:val>
          <c:smooth val="0"/>
          <c:extLst xmlns:c15="http://schemas.microsoft.com/office/drawing/2012/chart">
            <c:ext xmlns:c16="http://schemas.microsoft.com/office/drawing/2014/chart" uri="{C3380CC4-5D6E-409C-BE32-E72D297353CC}">
              <c16:uniqueId val="{00000000-20B8-469E-BB4C-D853424C39EE}"/>
            </c:ext>
          </c:extLst>
        </c:ser>
        <c:ser>
          <c:idx val="1"/>
          <c:order val="1"/>
          <c:tx>
            <c:strRef>
              <c:f>q20_q30_q42_Fig!$A$6</c:f>
              <c:strCache>
                <c:ptCount val="1"/>
                <c:pt idx="0">
                  <c:v>Contrato Coletivo de Trabalho (CCT)</c:v>
                </c:pt>
              </c:strCache>
            </c:strRef>
          </c:tx>
          <c:spPr>
            <a:ln w="31750" cap="rnd">
              <a:solidFill>
                <a:schemeClr val="accent1">
                  <a:shade val="70000"/>
                </a:schemeClr>
              </a:solidFill>
              <a:round/>
            </a:ln>
            <a:effectLst>
              <a:outerShdw blurRad="40000" dist="23000" dir="5400000" rotWithShape="0">
                <a:srgbClr val="000000">
                  <a:alpha val="35000"/>
                </a:srgbClr>
              </a:outerShdw>
            </a:effectLst>
          </c:spPr>
          <c:marker>
            <c:symbol val="none"/>
          </c:marker>
          <c:cat>
            <c:numRef>
              <c:f>q20_q30_q42_Fig!$B$4:$L$4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q20_q30_q42_Fig!$B$6:$L$6</c:f>
              <c:numCache>
                <c:formatCode>#,##0</c:formatCode>
                <c:ptCount val="11"/>
                <c:pt idx="0">
                  <c:v>1802130</c:v>
                </c:pt>
                <c:pt idx="1">
                  <c:v>1855203</c:v>
                </c:pt>
                <c:pt idx="2">
                  <c:v>1911498</c:v>
                </c:pt>
                <c:pt idx="3">
                  <c:v>1975887</c:v>
                </c:pt>
                <c:pt idx="4">
                  <c:v>2073822</c:v>
                </c:pt>
                <c:pt idx="5">
                  <c:v>2078465</c:v>
                </c:pt>
                <c:pt idx="6">
                  <c:v>2014412</c:v>
                </c:pt>
                <c:pt idx="7">
                  <c:v>2031422</c:v>
                </c:pt>
                <c:pt idx="8">
                  <c:v>2174986</c:v>
                </c:pt>
                <c:pt idx="9">
                  <c:v>2283826</c:v>
                </c:pt>
                <c:pt idx="10">
                  <c:v>2309722</c:v>
                </c:pt>
              </c:numCache>
            </c:numRef>
          </c:val>
          <c:smooth val="0"/>
          <c:extLst>
            <c:ext xmlns:c16="http://schemas.microsoft.com/office/drawing/2014/chart" uri="{C3380CC4-5D6E-409C-BE32-E72D297353CC}">
              <c16:uniqueId val="{00000001-20B8-469E-BB4C-D853424C39EE}"/>
            </c:ext>
          </c:extLst>
        </c:ser>
        <c:ser>
          <c:idx val="2"/>
          <c:order val="2"/>
          <c:tx>
            <c:strRef>
              <c:f>q20_q30_q42_Fig!$A$7</c:f>
              <c:strCache>
                <c:ptCount val="1"/>
                <c:pt idx="0">
                  <c:v>Acordo Coletivo de Trabalho (ACT)</c:v>
                </c:pt>
              </c:strCache>
            </c:strRef>
          </c:tx>
          <c:spPr>
            <a:ln w="31750" cap="rnd">
              <a:solidFill>
                <a:schemeClr val="accent1">
                  <a:shade val="90000"/>
                </a:schemeClr>
              </a:solidFill>
              <a:prstDash val="sysDash"/>
              <a:round/>
            </a:ln>
            <a:effectLst>
              <a:outerShdw blurRad="40000" dist="23000" dir="5400000" rotWithShape="0">
                <a:srgbClr val="000000">
                  <a:alpha val="35000"/>
                </a:srgbClr>
              </a:outerShdw>
            </a:effectLst>
          </c:spPr>
          <c:marker>
            <c:symbol val="none"/>
          </c:marker>
          <c:cat>
            <c:numRef>
              <c:f>q20_q30_q42_Fig!$B$4:$L$4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q20_q30_q42_Fig!$B$7:$L$7</c:f>
              <c:numCache>
                <c:formatCode>#,##0</c:formatCode>
                <c:ptCount val="11"/>
                <c:pt idx="0">
                  <c:v>97038</c:v>
                </c:pt>
                <c:pt idx="1">
                  <c:v>99532</c:v>
                </c:pt>
                <c:pt idx="2">
                  <c:v>101183</c:v>
                </c:pt>
                <c:pt idx="3">
                  <c:v>106693</c:v>
                </c:pt>
                <c:pt idx="4">
                  <c:v>109690</c:v>
                </c:pt>
                <c:pt idx="5">
                  <c:v>104297</c:v>
                </c:pt>
                <c:pt idx="6">
                  <c:v>118636</c:v>
                </c:pt>
                <c:pt idx="7">
                  <c:v>118983</c:v>
                </c:pt>
                <c:pt idx="8">
                  <c:v>122759</c:v>
                </c:pt>
                <c:pt idx="9">
                  <c:v>125278</c:v>
                </c:pt>
                <c:pt idx="10">
                  <c:v>126087</c:v>
                </c:pt>
              </c:numCache>
            </c:numRef>
          </c:val>
          <c:smooth val="0"/>
          <c:extLst>
            <c:ext xmlns:c16="http://schemas.microsoft.com/office/drawing/2014/chart" uri="{C3380CC4-5D6E-409C-BE32-E72D297353CC}">
              <c16:uniqueId val="{00000002-20B8-469E-BB4C-D853424C39EE}"/>
            </c:ext>
          </c:extLst>
        </c:ser>
        <c:ser>
          <c:idx val="3"/>
          <c:order val="3"/>
          <c:tx>
            <c:strRef>
              <c:f>q20_q30_q42_Fig!$A$8</c:f>
              <c:strCache>
                <c:ptCount val="1"/>
                <c:pt idx="0">
                  <c:v>Portaria de Cond. de Trabalho (PCT)</c:v>
                </c:pt>
              </c:strCache>
            </c:strRef>
          </c:tx>
          <c:spPr>
            <a:ln w="31750" cap="rnd">
              <a:solidFill>
                <a:schemeClr val="accent1">
                  <a:tint val="90000"/>
                </a:schemeClr>
              </a:solidFill>
              <a:round/>
            </a:ln>
            <a:effectLst>
              <a:outerShdw blurRad="40000" dist="23000" dir="5400000" rotWithShape="0">
                <a:srgbClr val="000000">
                  <a:alpha val="35000"/>
                </a:srgbClr>
              </a:outerShdw>
            </a:effectLst>
          </c:spPr>
          <c:marker>
            <c:symbol val="none"/>
          </c:marker>
          <c:cat>
            <c:numRef>
              <c:f>q20_q30_q42_Fig!$B$4:$L$4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q20_q30_q42_Fig!$B$8:$L$8</c:f>
              <c:numCache>
                <c:formatCode>#,##0</c:formatCode>
                <c:ptCount val="11"/>
                <c:pt idx="0">
                  <c:v>205896</c:v>
                </c:pt>
                <c:pt idx="1">
                  <c:v>212238</c:v>
                </c:pt>
                <c:pt idx="2">
                  <c:v>219677</c:v>
                </c:pt>
                <c:pt idx="3">
                  <c:v>226793</c:v>
                </c:pt>
                <c:pt idx="4">
                  <c:v>211503</c:v>
                </c:pt>
                <c:pt idx="5">
                  <c:v>219272</c:v>
                </c:pt>
                <c:pt idx="6">
                  <c:v>221568</c:v>
                </c:pt>
                <c:pt idx="7">
                  <c:v>214401</c:v>
                </c:pt>
                <c:pt idx="8">
                  <c:v>232081</c:v>
                </c:pt>
                <c:pt idx="9">
                  <c:v>241230</c:v>
                </c:pt>
                <c:pt idx="10">
                  <c:v>243628</c:v>
                </c:pt>
              </c:numCache>
            </c:numRef>
          </c:val>
          <c:smooth val="0"/>
          <c:extLst>
            <c:ext xmlns:c16="http://schemas.microsoft.com/office/drawing/2014/chart" uri="{C3380CC4-5D6E-409C-BE32-E72D297353CC}">
              <c16:uniqueId val="{00000003-20B8-469E-BB4C-D853424C39EE}"/>
            </c:ext>
          </c:extLst>
        </c:ser>
        <c:ser>
          <c:idx val="4"/>
          <c:order val="4"/>
          <c:tx>
            <c:strRef>
              <c:f>q20_q30_q42_Fig!$A$9</c:f>
              <c:strCache>
                <c:ptCount val="1"/>
                <c:pt idx="0">
                  <c:v>Acordo de Empresa (AE)</c:v>
                </c:pt>
              </c:strCache>
            </c:strRef>
          </c:tx>
          <c:spPr>
            <a:ln w="31750" cap="rnd">
              <a:solidFill>
                <a:schemeClr val="accent1">
                  <a:tint val="70000"/>
                </a:schemeClr>
              </a:solidFill>
              <a:round/>
            </a:ln>
            <a:effectLst>
              <a:outerShdw blurRad="40000" dist="23000" dir="5400000" rotWithShape="0">
                <a:srgbClr val="000000">
                  <a:alpha val="35000"/>
                </a:srgbClr>
              </a:outerShdw>
            </a:effectLst>
          </c:spPr>
          <c:marker>
            <c:symbol val="none"/>
          </c:marker>
          <c:cat>
            <c:numRef>
              <c:f>q20_q30_q42_Fig!$B$4:$L$4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q20_q30_q42_Fig!$B$9:$L$9</c:f>
              <c:numCache>
                <c:formatCode>#,##0</c:formatCode>
                <c:ptCount val="11"/>
                <c:pt idx="0">
                  <c:v>80029</c:v>
                </c:pt>
                <c:pt idx="1">
                  <c:v>78163</c:v>
                </c:pt>
                <c:pt idx="2">
                  <c:v>79933</c:v>
                </c:pt>
                <c:pt idx="3">
                  <c:v>85752</c:v>
                </c:pt>
                <c:pt idx="4">
                  <c:v>86043</c:v>
                </c:pt>
                <c:pt idx="5">
                  <c:v>91984</c:v>
                </c:pt>
                <c:pt idx="6">
                  <c:v>90179</c:v>
                </c:pt>
                <c:pt idx="7">
                  <c:v>89882</c:v>
                </c:pt>
                <c:pt idx="8">
                  <c:v>92151</c:v>
                </c:pt>
                <c:pt idx="9">
                  <c:v>93763</c:v>
                </c:pt>
                <c:pt idx="10">
                  <c:v>97792</c:v>
                </c:pt>
              </c:numCache>
            </c:numRef>
          </c:val>
          <c:smooth val="0"/>
          <c:extLst>
            <c:ext xmlns:c16="http://schemas.microsoft.com/office/drawing/2014/chart" uri="{C3380CC4-5D6E-409C-BE32-E72D297353CC}">
              <c16:uniqueId val="{00000004-20B8-469E-BB4C-D853424C39EE}"/>
            </c:ext>
          </c:extLst>
        </c:ser>
        <c:ser>
          <c:idx val="5"/>
          <c:order val="5"/>
          <c:tx>
            <c:strRef>
              <c:f>q20_q30_q42_Fig!$A$10</c:f>
              <c:strCache>
                <c:ptCount val="1"/>
                <c:pt idx="0">
                  <c:v>Não Abrangidos por Regulamentação Coletiva</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cat>
            <c:numRef>
              <c:f>q20_q30_q42_Fig!$B$4:$L$4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q20_q30_q42_Fig!$B$10:$L$10</c:f>
              <c:numCache>
                <c:formatCode>#,##0</c:formatCode>
                <c:ptCount val="11"/>
                <c:pt idx="0">
                  <c:v>273070</c:v>
                </c:pt>
                <c:pt idx="1">
                  <c:v>292517</c:v>
                </c:pt>
                <c:pt idx="2">
                  <c:v>329628</c:v>
                </c:pt>
                <c:pt idx="3">
                  <c:v>372396</c:v>
                </c:pt>
                <c:pt idx="4">
                  <c:v>396860</c:v>
                </c:pt>
                <c:pt idx="5">
                  <c:v>436464</c:v>
                </c:pt>
                <c:pt idx="6">
                  <c:v>458030</c:v>
                </c:pt>
                <c:pt idx="7">
                  <c:v>467655</c:v>
                </c:pt>
                <c:pt idx="8">
                  <c:v>526170</c:v>
                </c:pt>
                <c:pt idx="9">
                  <c:v>552037</c:v>
                </c:pt>
                <c:pt idx="10">
                  <c:v>576907</c:v>
                </c:pt>
              </c:numCache>
            </c:numRef>
          </c:val>
          <c:smooth val="0"/>
          <c:extLst>
            <c:ext xmlns:c16="http://schemas.microsoft.com/office/drawing/2014/chart" uri="{C3380CC4-5D6E-409C-BE32-E72D297353CC}">
              <c16:uniqueId val="{00000005-20B8-469E-BB4C-D853424C39EE}"/>
            </c:ext>
          </c:extLst>
        </c:ser>
        <c:dLbls>
          <c:showLegendKey val="0"/>
          <c:showVal val="0"/>
          <c:showCatName val="0"/>
          <c:showSerName val="0"/>
          <c:showPercent val="0"/>
          <c:showBubbleSize val="0"/>
        </c:dLbls>
        <c:smooth val="0"/>
        <c:axId val="164075663"/>
        <c:axId val="442964127"/>
        <c:extLst/>
      </c:lineChart>
      <c:catAx>
        <c:axId val="16407566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442964127"/>
        <c:crosses val="autoZero"/>
        <c:auto val="1"/>
        <c:lblAlgn val="ctr"/>
        <c:lblOffset val="100"/>
        <c:noMultiLvlLbl val="0"/>
      </c:catAx>
      <c:valAx>
        <c:axId val="442964127"/>
        <c:scaling>
          <c:orientation val="minMax"/>
          <c:max val="3500000"/>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64075663"/>
        <c:crosses val="autoZero"/>
        <c:crossBetween val="between"/>
        <c:majorUnit val="50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960500801841724E-2"/>
          <c:y val="6.5949345426542308E-2"/>
          <c:w val="0.77681941078122041"/>
          <c:h val="0.74648887800473851"/>
        </c:manualLayout>
      </c:layout>
      <c:lineChart>
        <c:grouping val="standard"/>
        <c:varyColors val="0"/>
        <c:ser>
          <c:idx val="0"/>
          <c:order val="0"/>
          <c:tx>
            <c:strRef>
              <c:f>q20_q30_q42_Fig!$A$15</c:f>
              <c:strCache>
                <c:ptCount val="1"/>
                <c:pt idx="0">
                  <c:v>Total</c:v>
                </c:pt>
              </c:strCache>
            </c:strRef>
          </c:tx>
          <c:spPr>
            <a:ln w="31750" cap="rnd">
              <a:solidFill>
                <a:srgbClr val="C0504D"/>
              </a:solidFill>
              <a:round/>
            </a:ln>
            <a:effectLst>
              <a:outerShdw blurRad="40000" dist="23000" dir="5400000" rotWithShape="0">
                <a:srgbClr val="000000">
                  <a:alpha val="35000"/>
                </a:srgbClr>
              </a:outerShdw>
            </a:effectLst>
          </c:spPr>
          <c:marker>
            <c:symbol val="none"/>
          </c:marker>
          <c:cat>
            <c:numRef>
              <c:f>q20_q30_q42_Fig!$B$14:$L$14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q20_q30_q42_Fig!$B$15:$L$15</c:f>
              <c:numCache>
                <c:formatCode>#,##0.00\ "€"</c:formatCode>
                <c:ptCount val="11"/>
                <c:pt idx="0">
                  <c:v>909.49</c:v>
                </c:pt>
                <c:pt idx="1">
                  <c:v>913.93</c:v>
                </c:pt>
                <c:pt idx="2">
                  <c:v>924.94</c:v>
                </c:pt>
                <c:pt idx="3">
                  <c:v>943</c:v>
                </c:pt>
                <c:pt idx="4">
                  <c:v>970.42</c:v>
                </c:pt>
                <c:pt idx="5">
                  <c:v>1005.09</c:v>
                </c:pt>
                <c:pt idx="6">
                  <c:v>1041.99</c:v>
                </c:pt>
                <c:pt idx="7">
                  <c:v>1082.77</c:v>
                </c:pt>
                <c:pt idx="8">
                  <c:v>1143.45</c:v>
                </c:pt>
                <c:pt idx="9">
                  <c:v>1219.8699999999999</c:v>
                </c:pt>
                <c:pt idx="10">
                  <c:v>1308.96</c:v>
                </c:pt>
              </c:numCache>
            </c:numRef>
          </c:val>
          <c:smooth val="0"/>
          <c:extLst xmlns:c15="http://schemas.microsoft.com/office/drawing/2012/chart">
            <c:ext xmlns:c16="http://schemas.microsoft.com/office/drawing/2014/chart" uri="{C3380CC4-5D6E-409C-BE32-E72D297353CC}">
              <c16:uniqueId val="{00000000-1577-4B7B-9D22-942E73EEF126}"/>
            </c:ext>
          </c:extLst>
        </c:ser>
        <c:ser>
          <c:idx val="1"/>
          <c:order val="1"/>
          <c:tx>
            <c:strRef>
              <c:f>q20_q30_q42_Fig!$A$16</c:f>
              <c:strCache>
                <c:ptCount val="1"/>
                <c:pt idx="0">
                  <c:v>Contrato Coletivo de Trabalho (CCT)</c:v>
                </c:pt>
              </c:strCache>
            </c:strRef>
          </c:tx>
          <c:spPr>
            <a:ln w="31750" cap="rnd">
              <a:solidFill>
                <a:schemeClr val="accent1">
                  <a:shade val="70000"/>
                </a:schemeClr>
              </a:solidFill>
              <a:round/>
            </a:ln>
            <a:effectLst>
              <a:outerShdw blurRad="40000" dist="23000" dir="5400000" rotWithShape="0">
                <a:srgbClr val="000000">
                  <a:alpha val="35000"/>
                </a:srgbClr>
              </a:outerShdw>
            </a:effectLst>
          </c:spPr>
          <c:marker>
            <c:symbol val="none"/>
          </c:marker>
          <c:cat>
            <c:numRef>
              <c:f>q20_q30_q42_Fig!$B$14:$L$14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q20_q30_q42_Fig!$B$16:$L$16</c:f>
              <c:numCache>
                <c:formatCode>#,##0.00\ "€"</c:formatCode>
                <c:ptCount val="11"/>
                <c:pt idx="0">
                  <c:v>814.02</c:v>
                </c:pt>
                <c:pt idx="1">
                  <c:v>822.04</c:v>
                </c:pt>
                <c:pt idx="2">
                  <c:v>834.1</c:v>
                </c:pt>
                <c:pt idx="3">
                  <c:v>851.63</c:v>
                </c:pt>
                <c:pt idx="4">
                  <c:v>878.73</c:v>
                </c:pt>
                <c:pt idx="5">
                  <c:v>910.7</c:v>
                </c:pt>
                <c:pt idx="6">
                  <c:v>946.93</c:v>
                </c:pt>
                <c:pt idx="7">
                  <c:v>985.26</c:v>
                </c:pt>
                <c:pt idx="8">
                  <c:v>1034.9100000000001</c:v>
                </c:pt>
                <c:pt idx="9">
                  <c:v>1104.8399999999999</c:v>
                </c:pt>
                <c:pt idx="10">
                  <c:v>1180.44</c:v>
                </c:pt>
              </c:numCache>
            </c:numRef>
          </c:val>
          <c:smooth val="0"/>
          <c:extLst>
            <c:ext xmlns:c16="http://schemas.microsoft.com/office/drawing/2014/chart" uri="{C3380CC4-5D6E-409C-BE32-E72D297353CC}">
              <c16:uniqueId val="{00000001-1577-4B7B-9D22-942E73EEF126}"/>
            </c:ext>
          </c:extLst>
        </c:ser>
        <c:ser>
          <c:idx val="2"/>
          <c:order val="2"/>
          <c:tx>
            <c:strRef>
              <c:f>q20_q30_q42_Fig!$A$17</c:f>
              <c:strCache>
                <c:ptCount val="1"/>
                <c:pt idx="0">
                  <c:v>Acordo Coletivo de Trabalho (ACT)</c:v>
                </c:pt>
              </c:strCache>
            </c:strRef>
          </c:tx>
          <c:spPr>
            <a:ln w="31750" cap="rnd">
              <a:solidFill>
                <a:schemeClr val="accent1">
                  <a:shade val="90000"/>
                </a:schemeClr>
              </a:solidFill>
              <a:prstDash val="sysDash"/>
              <a:round/>
            </a:ln>
            <a:effectLst>
              <a:outerShdw blurRad="40000" dist="23000" dir="5400000" rotWithShape="0">
                <a:srgbClr val="000000">
                  <a:alpha val="35000"/>
                </a:srgbClr>
              </a:outerShdw>
            </a:effectLst>
          </c:spPr>
          <c:marker>
            <c:symbol val="none"/>
          </c:marker>
          <c:cat>
            <c:numRef>
              <c:f>q20_q30_q42_Fig!$B$14:$L$14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q20_q30_q42_Fig!$B$17:$L$17</c:f>
              <c:numCache>
                <c:formatCode>#,##0.00\ "€"</c:formatCode>
                <c:ptCount val="11"/>
                <c:pt idx="0">
                  <c:v>1355.5</c:v>
                </c:pt>
                <c:pt idx="1">
                  <c:v>1369.22</c:v>
                </c:pt>
                <c:pt idx="2">
                  <c:v>1380.34</c:v>
                </c:pt>
                <c:pt idx="3">
                  <c:v>1384.89</c:v>
                </c:pt>
                <c:pt idx="4">
                  <c:v>1383.1</c:v>
                </c:pt>
                <c:pt idx="5">
                  <c:v>1377.83</c:v>
                </c:pt>
                <c:pt idx="6">
                  <c:v>1398.04</c:v>
                </c:pt>
                <c:pt idx="7">
                  <c:v>1401.27</c:v>
                </c:pt>
                <c:pt idx="8">
                  <c:v>1434.7</c:v>
                </c:pt>
                <c:pt idx="9">
                  <c:v>1540.55</c:v>
                </c:pt>
                <c:pt idx="10">
                  <c:v>1675.48</c:v>
                </c:pt>
              </c:numCache>
            </c:numRef>
          </c:val>
          <c:smooth val="0"/>
          <c:extLst>
            <c:ext xmlns:c16="http://schemas.microsoft.com/office/drawing/2014/chart" uri="{C3380CC4-5D6E-409C-BE32-E72D297353CC}">
              <c16:uniqueId val="{00000002-1577-4B7B-9D22-942E73EEF126}"/>
            </c:ext>
          </c:extLst>
        </c:ser>
        <c:ser>
          <c:idx val="3"/>
          <c:order val="3"/>
          <c:tx>
            <c:strRef>
              <c:f>q20_q30_q42_Fig!$A$18</c:f>
              <c:strCache>
                <c:ptCount val="1"/>
                <c:pt idx="0">
                  <c:v>Portaria de Cond. de Trabalho (PCT)</c:v>
                </c:pt>
              </c:strCache>
            </c:strRef>
          </c:tx>
          <c:spPr>
            <a:ln w="31750" cap="rnd">
              <a:solidFill>
                <a:schemeClr val="accent1">
                  <a:tint val="90000"/>
                </a:schemeClr>
              </a:solidFill>
              <a:round/>
            </a:ln>
            <a:effectLst>
              <a:outerShdw blurRad="40000" dist="23000" dir="5400000" rotWithShape="0">
                <a:srgbClr val="000000">
                  <a:alpha val="35000"/>
                </a:srgbClr>
              </a:outerShdw>
            </a:effectLst>
          </c:spPr>
          <c:marker>
            <c:symbol val="none"/>
          </c:marker>
          <c:cat>
            <c:numRef>
              <c:f>q20_q30_q42_Fig!$B$14:$L$14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q20_q30_q42_Fig!$B$18:$L$18</c:f>
              <c:numCache>
                <c:formatCode>#,##0.00\ "€"</c:formatCode>
                <c:ptCount val="11"/>
                <c:pt idx="0">
                  <c:v>972.19</c:v>
                </c:pt>
                <c:pt idx="1">
                  <c:v>967.53</c:v>
                </c:pt>
                <c:pt idx="2">
                  <c:v>971.01</c:v>
                </c:pt>
                <c:pt idx="3">
                  <c:v>992.05</c:v>
                </c:pt>
                <c:pt idx="4">
                  <c:v>1032.1099999999999</c:v>
                </c:pt>
                <c:pt idx="5">
                  <c:v>1074.6099999999999</c:v>
                </c:pt>
                <c:pt idx="6">
                  <c:v>1119.8599999999999</c:v>
                </c:pt>
                <c:pt idx="7">
                  <c:v>1179.75</c:v>
                </c:pt>
                <c:pt idx="8">
                  <c:v>1261.6500000000001</c:v>
                </c:pt>
                <c:pt idx="9">
                  <c:v>1353.7</c:v>
                </c:pt>
                <c:pt idx="10">
                  <c:v>1439.19</c:v>
                </c:pt>
              </c:numCache>
            </c:numRef>
          </c:val>
          <c:smooth val="0"/>
          <c:extLst>
            <c:ext xmlns:c16="http://schemas.microsoft.com/office/drawing/2014/chart" uri="{C3380CC4-5D6E-409C-BE32-E72D297353CC}">
              <c16:uniqueId val="{00000003-1577-4B7B-9D22-942E73EEF126}"/>
            </c:ext>
          </c:extLst>
        </c:ser>
        <c:ser>
          <c:idx val="4"/>
          <c:order val="4"/>
          <c:tx>
            <c:strRef>
              <c:f>q20_q30_q42_Fig!$A$19</c:f>
              <c:strCache>
                <c:ptCount val="1"/>
                <c:pt idx="0">
                  <c:v>Acordo de Empresa (AE)</c:v>
                </c:pt>
              </c:strCache>
            </c:strRef>
          </c:tx>
          <c:spPr>
            <a:ln w="31750" cap="rnd">
              <a:solidFill>
                <a:schemeClr val="accent1">
                  <a:tint val="70000"/>
                </a:schemeClr>
              </a:solidFill>
              <a:round/>
            </a:ln>
            <a:effectLst>
              <a:outerShdw blurRad="40000" dist="23000" dir="5400000" rotWithShape="0">
                <a:srgbClr val="000000">
                  <a:alpha val="35000"/>
                </a:srgbClr>
              </a:outerShdw>
            </a:effectLst>
          </c:spPr>
          <c:marker>
            <c:symbol val="none"/>
          </c:marker>
          <c:cat>
            <c:numRef>
              <c:f>q20_q30_q42_Fig!$B$14:$L$14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q20_q30_q42_Fig!$B$19:$L$19</c:f>
              <c:numCache>
                <c:formatCode>#,##0.00\ "€"</c:formatCode>
                <c:ptCount val="11"/>
                <c:pt idx="0">
                  <c:v>1444.7</c:v>
                </c:pt>
                <c:pt idx="1">
                  <c:v>1449</c:v>
                </c:pt>
                <c:pt idx="2">
                  <c:v>1443.02</c:v>
                </c:pt>
                <c:pt idx="3">
                  <c:v>1460.94</c:v>
                </c:pt>
                <c:pt idx="4">
                  <c:v>1499.23</c:v>
                </c:pt>
                <c:pt idx="5">
                  <c:v>1520.65</c:v>
                </c:pt>
                <c:pt idx="6">
                  <c:v>1451.9</c:v>
                </c:pt>
                <c:pt idx="7">
                  <c:v>1476.86</c:v>
                </c:pt>
                <c:pt idx="8">
                  <c:v>1594.67</c:v>
                </c:pt>
                <c:pt idx="9">
                  <c:v>1672.43</c:v>
                </c:pt>
                <c:pt idx="10">
                  <c:v>1750.46</c:v>
                </c:pt>
              </c:numCache>
            </c:numRef>
          </c:val>
          <c:smooth val="0"/>
          <c:extLst>
            <c:ext xmlns:c16="http://schemas.microsoft.com/office/drawing/2014/chart" uri="{C3380CC4-5D6E-409C-BE32-E72D297353CC}">
              <c16:uniqueId val="{00000004-1577-4B7B-9D22-942E73EEF126}"/>
            </c:ext>
          </c:extLst>
        </c:ser>
        <c:ser>
          <c:idx val="5"/>
          <c:order val="5"/>
          <c:tx>
            <c:strRef>
              <c:f>q20_q30_q42_Fig!$A$20</c:f>
              <c:strCache>
                <c:ptCount val="1"/>
                <c:pt idx="0">
                  <c:v>Não Abrangidos por Regulamentação Coletiva</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cat>
            <c:numRef>
              <c:f>q20_q30_q42_Fig!$B$14:$L$14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q20_q30_q42_Fig!$B$20:$L$20</c:f>
              <c:numCache>
                <c:formatCode>#,##0.00\ "€"</c:formatCode>
                <c:ptCount val="11"/>
                <c:pt idx="0">
                  <c:v>1121.4000000000001</c:v>
                </c:pt>
                <c:pt idx="1">
                  <c:v>1104.3499999999999</c:v>
                </c:pt>
                <c:pt idx="2">
                  <c:v>1107.47</c:v>
                </c:pt>
                <c:pt idx="3">
                  <c:v>1109.81</c:v>
                </c:pt>
                <c:pt idx="4">
                  <c:v>1145.6199999999999</c:v>
                </c:pt>
                <c:pt idx="5">
                  <c:v>1184.1099999999999</c:v>
                </c:pt>
                <c:pt idx="6">
                  <c:v>1211.97</c:v>
                </c:pt>
                <c:pt idx="7">
                  <c:v>1273.56</c:v>
                </c:pt>
                <c:pt idx="8">
                  <c:v>1356.61</c:v>
                </c:pt>
                <c:pt idx="9">
                  <c:v>1446.74</c:v>
                </c:pt>
                <c:pt idx="10">
                  <c:v>1568.84</c:v>
                </c:pt>
              </c:numCache>
            </c:numRef>
          </c:val>
          <c:smooth val="0"/>
          <c:extLst>
            <c:ext xmlns:c16="http://schemas.microsoft.com/office/drawing/2014/chart" uri="{C3380CC4-5D6E-409C-BE32-E72D297353CC}">
              <c16:uniqueId val="{00000005-1577-4B7B-9D22-942E73EEF126}"/>
            </c:ext>
          </c:extLst>
        </c:ser>
        <c:dLbls>
          <c:showLegendKey val="0"/>
          <c:showVal val="0"/>
          <c:showCatName val="0"/>
          <c:showSerName val="0"/>
          <c:showPercent val="0"/>
          <c:showBubbleSize val="0"/>
        </c:dLbls>
        <c:smooth val="0"/>
        <c:axId val="164075663"/>
        <c:axId val="442964127"/>
      </c:lineChart>
      <c:catAx>
        <c:axId val="16407566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442964127"/>
        <c:crosses val="autoZero"/>
        <c:auto val="1"/>
        <c:lblAlgn val="ctr"/>
        <c:lblOffset val="100"/>
        <c:noMultiLvlLbl val="0"/>
      </c:catAx>
      <c:valAx>
        <c:axId val="442964127"/>
        <c:scaling>
          <c:orientation val="minMax"/>
          <c:max val="2500"/>
          <c:min val="0"/>
        </c:scaling>
        <c:delete val="0"/>
        <c:axPos val="l"/>
        <c:majorGridlines>
          <c:spPr>
            <a:ln w="9525" cap="flat" cmpd="sng" algn="ctr">
              <a:noFill/>
              <a:round/>
            </a:ln>
            <a:effectLst/>
          </c:spPr>
        </c:majorGridlines>
        <c:numFmt formatCode="#,##0\ &quot;€&quot;" sourceLinked="0"/>
        <c:majorTickMark val="none"/>
        <c:minorTickMark val="none"/>
        <c:tickLblPos val="high"/>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64075663"/>
        <c:crosses val="autoZero"/>
        <c:crossBetween val="between"/>
        <c:majorUnit val="500"/>
        <c:minorUnit val="5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02415867900997E-2"/>
          <c:y val="0.18472812943831005"/>
          <c:w val="0.80869505356964055"/>
          <c:h val="0.58657484618386491"/>
        </c:manualLayout>
      </c:layout>
      <c:lineChart>
        <c:grouping val="standard"/>
        <c:varyColors val="0"/>
        <c:ser>
          <c:idx val="0"/>
          <c:order val="0"/>
          <c:tx>
            <c:strRef>
              <c:f>q22_q23_q34_q35_Fig!$R$51</c:f>
              <c:strCache>
                <c:ptCount val="1"/>
                <c:pt idx="0">
                  <c:v>Micro (1-9 pessoas)</c:v>
                </c:pt>
              </c:strCache>
            </c:strRef>
          </c:tx>
          <c:spPr>
            <a:ln w="31750" cap="rnd">
              <a:solidFill>
                <a:srgbClr val="3C1692"/>
              </a:solidFill>
              <a:round/>
            </a:ln>
            <a:effectLst/>
          </c:spPr>
          <c:marker>
            <c:symbol val="circle"/>
            <c:size val="6"/>
            <c:spPr>
              <a:solidFill>
                <a:srgbClr val="3C1692"/>
              </a:solidFill>
              <a:ln w="9525">
                <a:noFill/>
              </a:ln>
              <a:effectLst/>
            </c:spPr>
          </c:marker>
          <c:cat>
            <c:numRef>
              <c:f>q22_q23_q34_q35_Fig!$S$50:$AC$50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q22_q23_q34_q35_Fig!$S$51:$AC$51</c:f>
              <c:numCache>
                <c:formatCode>0.00</c:formatCode>
                <c:ptCount val="11"/>
                <c:pt idx="0">
                  <c:v>743.20795656208907</c:v>
                </c:pt>
                <c:pt idx="1">
                  <c:v>741.78689645003453</c:v>
                </c:pt>
                <c:pt idx="2">
                  <c:v>755.94167163114048</c:v>
                </c:pt>
                <c:pt idx="3">
                  <c:v>774.65604370609594</c:v>
                </c:pt>
                <c:pt idx="4">
                  <c:v>798.65344060954112</c:v>
                </c:pt>
                <c:pt idx="5">
                  <c:v>825.58911691889443</c:v>
                </c:pt>
                <c:pt idx="6">
                  <c:v>862.21451500695696</c:v>
                </c:pt>
                <c:pt idx="7">
                  <c:v>898.02663930564074</c:v>
                </c:pt>
                <c:pt idx="8">
                  <c:v>944.6909195144126</c:v>
                </c:pt>
                <c:pt idx="9">
                  <c:v>1010.4312129193138</c:v>
                </c:pt>
                <c:pt idx="10">
                  <c:v>1080.0451885767829</c:v>
                </c:pt>
              </c:numCache>
            </c:numRef>
          </c:val>
          <c:smooth val="0"/>
          <c:extLst>
            <c:ext xmlns:c16="http://schemas.microsoft.com/office/drawing/2014/chart" uri="{C3380CC4-5D6E-409C-BE32-E72D297353CC}">
              <c16:uniqueId val="{00000000-929F-482E-8BF0-AED3B1FB5309}"/>
            </c:ext>
          </c:extLst>
        </c:ser>
        <c:ser>
          <c:idx val="1"/>
          <c:order val="1"/>
          <c:tx>
            <c:strRef>
              <c:f>q22_q23_q34_q35_Fig!$R$52</c:f>
              <c:strCache>
                <c:ptCount val="1"/>
                <c:pt idx="0">
                  <c:v>Pequenos (10 - 49 pessoas)</c:v>
                </c:pt>
              </c:strCache>
            </c:strRef>
          </c:tx>
          <c:spPr>
            <a:ln w="31750" cap="rnd">
              <a:solidFill>
                <a:srgbClr val="1403EB"/>
              </a:solidFill>
              <a:round/>
            </a:ln>
            <a:effectLst/>
          </c:spPr>
          <c:marker>
            <c:symbol val="circle"/>
            <c:size val="6"/>
            <c:spPr>
              <a:solidFill>
                <a:srgbClr val="1403EB"/>
              </a:solidFill>
              <a:ln w="9525">
                <a:noFill/>
              </a:ln>
              <a:effectLst/>
            </c:spPr>
          </c:marker>
          <c:cat>
            <c:numRef>
              <c:f>q22_q23_q34_q35_Fig!$S$50:$AC$50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q22_q23_q34_q35_Fig!$S$52:$AC$52</c:f>
              <c:numCache>
                <c:formatCode>0.00</c:formatCode>
                <c:ptCount val="11"/>
                <c:pt idx="0">
                  <c:v>874.69302032816984</c:v>
                </c:pt>
                <c:pt idx="1">
                  <c:v>874.77236221024111</c:v>
                </c:pt>
                <c:pt idx="2">
                  <c:v>881.83878051639738</c:v>
                </c:pt>
                <c:pt idx="3">
                  <c:v>895.9812325341743</c:v>
                </c:pt>
                <c:pt idx="4">
                  <c:v>919.10627144533146</c:v>
                </c:pt>
                <c:pt idx="5">
                  <c:v>947.21197629910625</c:v>
                </c:pt>
                <c:pt idx="6">
                  <c:v>989.29209724149632</c:v>
                </c:pt>
                <c:pt idx="7">
                  <c:v>1023.6176880858063</c:v>
                </c:pt>
                <c:pt idx="8">
                  <c:v>1069.3807933486928</c:v>
                </c:pt>
                <c:pt idx="9">
                  <c:v>1141.4113559330783</c:v>
                </c:pt>
                <c:pt idx="10">
                  <c:v>1212.7913689942682</c:v>
                </c:pt>
              </c:numCache>
            </c:numRef>
          </c:val>
          <c:smooth val="0"/>
          <c:extLst>
            <c:ext xmlns:c16="http://schemas.microsoft.com/office/drawing/2014/chart" uri="{C3380CC4-5D6E-409C-BE32-E72D297353CC}">
              <c16:uniqueId val="{00000001-929F-482E-8BF0-AED3B1FB5309}"/>
            </c:ext>
          </c:extLst>
        </c:ser>
        <c:ser>
          <c:idx val="2"/>
          <c:order val="2"/>
          <c:tx>
            <c:strRef>
              <c:f>q22_q23_q34_q35_Fig!$R$53</c:f>
              <c:strCache>
                <c:ptCount val="1"/>
                <c:pt idx="0">
                  <c:v>Médios (50 - 249 pessoas)</c:v>
                </c:pt>
              </c:strCache>
            </c:strRef>
          </c:tx>
          <c:spPr>
            <a:ln w="31750" cap="rnd">
              <a:solidFill>
                <a:srgbClr val="558ED5"/>
              </a:solidFill>
              <a:round/>
            </a:ln>
            <a:effectLst/>
          </c:spPr>
          <c:marker>
            <c:symbol val="circle"/>
            <c:size val="6"/>
            <c:spPr>
              <a:solidFill>
                <a:srgbClr val="558ED5"/>
              </a:solidFill>
              <a:ln w="9525">
                <a:noFill/>
              </a:ln>
              <a:effectLst/>
            </c:spPr>
          </c:marker>
          <c:cat>
            <c:numRef>
              <c:f>q22_q23_q34_q35_Fig!$S$50:$AC$50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q22_q23_q34_q35_Fig!$S$53:$AC$53</c:f>
              <c:numCache>
                <c:formatCode>0.00</c:formatCode>
                <c:ptCount val="11"/>
                <c:pt idx="0">
                  <c:v>1030.3012322105706</c:v>
                </c:pt>
                <c:pt idx="1">
                  <c:v>1037.7742553924222</c:v>
                </c:pt>
                <c:pt idx="2">
                  <c:v>1042.8491928354968</c:v>
                </c:pt>
                <c:pt idx="3">
                  <c:v>1055.918660825165</c:v>
                </c:pt>
                <c:pt idx="4">
                  <c:v>1083.9322384634481</c:v>
                </c:pt>
                <c:pt idx="5">
                  <c:v>1112.7469412139121</c:v>
                </c:pt>
                <c:pt idx="6">
                  <c:v>1156.9571340205018</c:v>
                </c:pt>
                <c:pt idx="7">
                  <c:v>1189.0174465158286</c:v>
                </c:pt>
                <c:pt idx="8">
                  <c:v>1246.2383636445311</c:v>
                </c:pt>
                <c:pt idx="9">
                  <c:v>1321.8781510809069</c:v>
                </c:pt>
                <c:pt idx="10">
                  <c:v>1398.8434401374552</c:v>
                </c:pt>
              </c:numCache>
            </c:numRef>
          </c:val>
          <c:smooth val="0"/>
          <c:extLst>
            <c:ext xmlns:c16="http://schemas.microsoft.com/office/drawing/2014/chart" uri="{C3380CC4-5D6E-409C-BE32-E72D297353CC}">
              <c16:uniqueId val="{00000002-929F-482E-8BF0-AED3B1FB5309}"/>
            </c:ext>
          </c:extLst>
        </c:ser>
        <c:ser>
          <c:idx val="3"/>
          <c:order val="3"/>
          <c:tx>
            <c:strRef>
              <c:f>q22_q23_q34_q35_Fig!$R$54</c:f>
              <c:strCache>
                <c:ptCount val="1"/>
                <c:pt idx="0">
                  <c:v>Grandes (250 ou + pessoas)</c:v>
                </c:pt>
              </c:strCache>
            </c:strRef>
          </c:tx>
          <c:spPr>
            <a:ln w="31750" cap="rnd">
              <a:solidFill>
                <a:srgbClr val="B6C3FF"/>
              </a:solidFill>
              <a:round/>
            </a:ln>
            <a:effectLst/>
          </c:spPr>
          <c:marker>
            <c:symbol val="circle"/>
            <c:size val="6"/>
            <c:spPr>
              <a:solidFill>
                <a:srgbClr val="B6C3FF"/>
              </a:solidFill>
              <a:ln w="9525">
                <a:noFill/>
              </a:ln>
              <a:effectLst/>
            </c:spPr>
          </c:marker>
          <c:cat>
            <c:numRef>
              <c:f>q22_q23_q34_q35_Fig!$S$50:$AC$50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q22_q23_q34_q35_Fig!$S$54:$AC$54</c:f>
              <c:numCache>
                <c:formatCode>0.00</c:formatCode>
                <c:ptCount val="11"/>
                <c:pt idx="0">
                  <c:v>1082.3316942828576</c:v>
                </c:pt>
                <c:pt idx="1">
                  <c:v>1089.5805250625856</c:v>
                </c:pt>
                <c:pt idx="2">
                  <c:v>1103.5962996393494</c:v>
                </c:pt>
                <c:pt idx="3">
                  <c:v>1117.8228410271711</c:v>
                </c:pt>
                <c:pt idx="4">
                  <c:v>1146.4864034939196</c:v>
                </c:pt>
                <c:pt idx="5">
                  <c:v>1192.8973877014769</c:v>
                </c:pt>
                <c:pt idx="6">
                  <c:v>1206.670574012823</c:v>
                </c:pt>
                <c:pt idx="7">
                  <c:v>1272.873442046483</c:v>
                </c:pt>
                <c:pt idx="8">
                  <c:v>1363.1229781849545</c:v>
                </c:pt>
                <c:pt idx="9">
                  <c:v>1455.9608662508945</c:v>
                </c:pt>
                <c:pt idx="10">
                  <c:v>1591.0486395335852</c:v>
                </c:pt>
              </c:numCache>
            </c:numRef>
          </c:val>
          <c:smooth val="0"/>
          <c:extLst>
            <c:ext xmlns:c16="http://schemas.microsoft.com/office/drawing/2014/chart" uri="{C3380CC4-5D6E-409C-BE32-E72D297353CC}">
              <c16:uniqueId val="{00000003-929F-482E-8BF0-AED3B1FB5309}"/>
            </c:ext>
          </c:extLst>
        </c:ser>
        <c:dLbls>
          <c:showLegendKey val="0"/>
          <c:showVal val="0"/>
          <c:showCatName val="0"/>
          <c:showSerName val="0"/>
          <c:showPercent val="0"/>
          <c:showBubbleSize val="0"/>
        </c:dLbls>
        <c:marker val="1"/>
        <c:smooth val="0"/>
        <c:axId val="903145471"/>
        <c:axId val="857673247"/>
      </c:lineChart>
      <c:catAx>
        <c:axId val="903145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PT"/>
          </a:p>
        </c:txPr>
        <c:crossAx val="857673247"/>
        <c:crosses val="autoZero"/>
        <c:auto val="1"/>
        <c:lblAlgn val="ctr"/>
        <c:lblOffset val="100"/>
        <c:noMultiLvlLbl val="0"/>
      </c:catAx>
      <c:valAx>
        <c:axId val="857673247"/>
        <c:scaling>
          <c:orientation val="minMax"/>
          <c:max val="2000"/>
          <c:min val="0"/>
        </c:scaling>
        <c:delete val="0"/>
        <c:axPos val="l"/>
        <c:majorGridlines>
          <c:spPr>
            <a:ln w="9525" cap="flat" cmpd="sng" algn="ctr">
              <a:noFill/>
              <a:round/>
            </a:ln>
            <a:effectLst/>
          </c:spPr>
        </c:majorGridlines>
        <c:numFmt formatCode="#,##0\ &quot;€&quot;"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crossAx val="903145471"/>
        <c:crosses val="autoZero"/>
        <c:crossBetween val="between"/>
        <c:majorUnit val="200"/>
      </c:valAx>
      <c:spPr>
        <a:noFill/>
        <a:ln>
          <a:noFill/>
        </a:ln>
        <a:effectLst/>
      </c:spPr>
    </c:plotArea>
    <c:legend>
      <c:legendPos val="b"/>
      <c:layout>
        <c:manualLayout>
          <c:xMode val="edge"/>
          <c:yMode val="edge"/>
          <c:x val="4.8193870222194721E-2"/>
          <c:y val="0.86939811246391219"/>
          <c:w val="0.88139020122484701"/>
          <c:h val="0.12002934858142644"/>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22003499562555"/>
          <c:y val="0.13152482269503546"/>
          <c:w val="0.84854399038524708"/>
          <c:h val="0.68091324320084134"/>
        </c:manualLayout>
      </c:layout>
      <c:lineChart>
        <c:grouping val="standard"/>
        <c:varyColors val="0"/>
        <c:ser>
          <c:idx val="0"/>
          <c:order val="0"/>
          <c:tx>
            <c:strRef>
              <c:f>q20_q30_q42_Fig!$A$26</c:f>
              <c:strCache>
                <c:ptCount val="1"/>
                <c:pt idx="0">
                  <c:v>Total</c:v>
                </c:pt>
              </c:strCache>
            </c:strRef>
          </c:tx>
          <c:spPr>
            <a:ln w="31750" cap="rnd">
              <a:solidFill>
                <a:srgbClr val="C0504D"/>
              </a:solidFill>
              <a:round/>
            </a:ln>
            <a:effectLst>
              <a:outerShdw blurRad="40000" dist="23000" dir="5400000" rotWithShape="0">
                <a:srgbClr val="000000">
                  <a:alpha val="35000"/>
                </a:srgbClr>
              </a:outerShdw>
            </a:effectLst>
          </c:spPr>
          <c:marker>
            <c:symbol val="none"/>
          </c:marker>
          <c:cat>
            <c:numRef>
              <c:f>q20_q30_q42_Fig!$B$25:$L$25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q20_q30_q42_Fig!$B$26:$L$26</c:f>
              <c:numCache>
                <c:formatCode>#,##0.00\ "€"</c:formatCode>
                <c:ptCount val="11"/>
                <c:pt idx="0">
                  <c:v>1093.21</c:v>
                </c:pt>
                <c:pt idx="1">
                  <c:v>1096.6600000000001</c:v>
                </c:pt>
                <c:pt idx="2">
                  <c:v>1107.8599999999999</c:v>
                </c:pt>
                <c:pt idx="3">
                  <c:v>1133.3399999999999</c:v>
                </c:pt>
                <c:pt idx="4">
                  <c:v>1170.25</c:v>
                </c:pt>
                <c:pt idx="5">
                  <c:v>1209.94</c:v>
                </c:pt>
                <c:pt idx="6">
                  <c:v>1250.75</c:v>
                </c:pt>
                <c:pt idx="7">
                  <c:v>1294.1099999999999</c:v>
                </c:pt>
                <c:pt idx="8">
                  <c:v>1368</c:v>
                </c:pt>
                <c:pt idx="9">
                  <c:v>1466.66</c:v>
                </c:pt>
                <c:pt idx="10">
                  <c:v>1582.75</c:v>
                </c:pt>
              </c:numCache>
            </c:numRef>
          </c:val>
          <c:smooth val="0"/>
          <c:extLst xmlns:c15="http://schemas.microsoft.com/office/drawing/2012/chart">
            <c:ext xmlns:c16="http://schemas.microsoft.com/office/drawing/2014/chart" uri="{C3380CC4-5D6E-409C-BE32-E72D297353CC}">
              <c16:uniqueId val="{00000000-B297-49E2-8F45-2ACDF6C0187E}"/>
            </c:ext>
          </c:extLst>
        </c:ser>
        <c:ser>
          <c:idx val="1"/>
          <c:order val="1"/>
          <c:tx>
            <c:strRef>
              <c:f>q20_q30_q42_Fig!$A$27</c:f>
              <c:strCache>
                <c:ptCount val="1"/>
                <c:pt idx="0">
                  <c:v>Contrato Coletivo de Trabalho (CCT)</c:v>
                </c:pt>
              </c:strCache>
            </c:strRef>
          </c:tx>
          <c:spPr>
            <a:ln w="31750" cap="rnd">
              <a:solidFill>
                <a:schemeClr val="accent1">
                  <a:shade val="70000"/>
                </a:schemeClr>
              </a:solidFill>
              <a:round/>
            </a:ln>
            <a:effectLst>
              <a:outerShdw blurRad="40000" dist="23000" dir="5400000" rotWithShape="0">
                <a:srgbClr val="000000">
                  <a:alpha val="35000"/>
                </a:srgbClr>
              </a:outerShdw>
            </a:effectLst>
          </c:spPr>
          <c:marker>
            <c:symbol val="none"/>
          </c:marker>
          <c:cat>
            <c:numRef>
              <c:f>q20_q30_q42_Fig!$B$25:$L$25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q20_q30_q42_Fig!$B$27:$L$27</c:f>
              <c:numCache>
                <c:formatCode>#,##0.00\ "€"</c:formatCode>
                <c:ptCount val="11"/>
                <c:pt idx="0">
                  <c:v>958.21</c:v>
                </c:pt>
                <c:pt idx="1">
                  <c:v>967.68</c:v>
                </c:pt>
                <c:pt idx="2">
                  <c:v>981.32</c:v>
                </c:pt>
                <c:pt idx="3">
                  <c:v>1003.59</c:v>
                </c:pt>
                <c:pt idx="4">
                  <c:v>1039.96</c:v>
                </c:pt>
                <c:pt idx="5">
                  <c:v>1077.22</c:v>
                </c:pt>
                <c:pt idx="6">
                  <c:v>1117.7</c:v>
                </c:pt>
                <c:pt idx="7">
                  <c:v>1159.75</c:v>
                </c:pt>
                <c:pt idx="8">
                  <c:v>1221.48</c:v>
                </c:pt>
                <c:pt idx="9">
                  <c:v>1310.4000000000001</c:v>
                </c:pt>
                <c:pt idx="10">
                  <c:v>1409.17</c:v>
                </c:pt>
              </c:numCache>
            </c:numRef>
          </c:val>
          <c:smooth val="0"/>
          <c:extLst>
            <c:ext xmlns:c16="http://schemas.microsoft.com/office/drawing/2014/chart" uri="{C3380CC4-5D6E-409C-BE32-E72D297353CC}">
              <c16:uniqueId val="{00000001-B297-49E2-8F45-2ACDF6C0187E}"/>
            </c:ext>
          </c:extLst>
        </c:ser>
        <c:ser>
          <c:idx val="2"/>
          <c:order val="2"/>
          <c:tx>
            <c:strRef>
              <c:f>q20_q30_q42_Fig!$A$28</c:f>
              <c:strCache>
                <c:ptCount val="1"/>
                <c:pt idx="0">
                  <c:v>Acordo Coletivo de Trabalho (ACT)</c:v>
                </c:pt>
              </c:strCache>
            </c:strRef>
          </c:tx>
          <c:spPr>
            <a:ln w="31750" cap="rnd">
              <a:solidFill>
                <a:schemeClr val="accent1">
                  <a:shade val="90000"/>
                </a:schemeClr>
              </a:solidFill>
              <a:prstDash val="sysDash"/>
              <a:round/>
            </a:ln>
            <a:effectLst>
              <a:outerShdw blurRad="40000" dist="23000" dir="5400000" rotWithShape="0">
                <a:srgbClr val="000000">
                  <a:alpha val="35000"/>
                </a:srgbClr>
              </a:outerShdw>
            </a:effectLst>
          </c:spPr>
          <c:marker>
            <c:symbol val="none"/>
          </c:marker>
          <c:cat>
            <c:numRef>
              <c:f>q20_q30_q42_Fig!$B$25:$L$25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q20_q30_q42_Fig!$B$28:$L$28</c:f>
              <c:numCache>
                <c:formatCode>#,##0.00\ "€"</c:formatCode>
                <c:ptCount val="11"/>
                <c:pt idx="0">
                  <c:v>1928.43</c:v>
                </c:pt>
                <c:pt idx="1">
                  <c:v>1936.67</c:v>
                </c:pt>
                <c:pt idx="2">
                  <c:v>1944.81</c:v>
                </c:pt>
                <c:pt idx="3">
                  <c:v>1970.67</c:v>
                </c:pt>
                <c:pt idx="4">
                  <c:v>1974.69</c:v>
                </c:pt>
                <c:pt idx="5">
                  <c:v>1933.53</c:v>
                </c:pt>
                <c:pt idx="6">
                  <c:v>1966.25</c:v>
                </c:pt>
                <c:pt idx="7">
                  <c:v>1956.61</c:v>
                </c:pt>
                <c:pt idx="8">
                  <c:v>2014.6</c:v>
                </c:pt>
                <c:pt idx="9">
                  <c:v>2185.2800000000002</c:v>
                </c:pt>
                <c:pt idx="10">
                  <c:v>2405.85</c:v>
                </c:pt>
              </c:numCache>
            </c:numRef>
          </c:val>
          <c:smooth val="0"/>
          <c:extLst>
            <c:ext xmlns:c16="http://schemas.microsoft.com/office/drawing/2014/chart" uri="{C3380CC4-5D6E-409C-BE32-E72D297353CC}">
              <c16:uniqueId val="{00000002-B297-49E2-8F45-2ACDF6C0187E}"/>
            </c:ext>
          </c:extLst>
        </c:ser>
        <c:ser>
          <c:idx val="3"/>
          <c:order val="3"/>
          <c:tx>
            <c:strRef>
              <c:f>q20_q30_q42_Fig!$A$29</c:f>
              <c:strCache>
                <c:ptCount val="1"/>
                <c:pt idx="0">
                  <c:v>Portaria de Cond. de Trabalho (PCT)</c:v>
                </c:pt>
              </c:strCache>
            </c:strRef>
          </c:tx>
          <c:spPr>
            <a:ln w="31750" cap="rnd">
              <a:solidFill>
                <a:schemeClr val="accent1">
                  <a:tint val="90000"/>
                </a:schemeClr>
              </a:solidFill>
              <a:round/>
            </a:ln>
            <a:effectLst>
              <a:outerShdw blurRad="40000" dist="23000" dir="5400000" rotWithShape="0">
                <a:srgbClr val="000000">
                  <a:alpha val="35000"/>
                </a:srgbClr>
              </a:outerShdw>
            </a:effectLst>
          </c:spPr>
          <c:marker>
            <c:symbol val="none"/>
          </c:marker>
          <c:cat>
            <c:numRef>
              <c:f>q20_q30_q42_Fig!$B$25:$L$25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q20_q30_q42_Fig!$B$29:$L$29</c:f>
              <c:numCache>
                <c:formatCode>#,##0.00\ "€"</c:formatCode>
                <c:ptCount val="11"/>
                <c:pt idx="0">
                  <c:v>1112.83</c:v>
                </c:pt>
                <c:pt idx="1">
                  <c:v>1108.6500000000001</c:v>
                </c:pt>
                <c:pt idx="2">
                  <c:v>1109.69</c:v>
                </c:pt>
                <c:pt idx="3">
                  <c:v>1137.24</c:v>
                </c:pt>
                <c:pt idx="4">
                  <c:v>1189.52</c:v>
                </c:pt>
                <c:pt idx="5">
                  <c:v>1243.71</c:v>
                </c:pt>
                <c:pt idx="6">
                  <c:v>1290.47</c:v>
                </c:pt>
                <c:pt idx="7">
                  <c:v>1355.96</c:v>
                </c:pt>
                <c:pt idx="8">
                  <c:v>1448.63</c:v>
                </c:pt>
                <c:pt idx="9">
                  <c:v>1565.83</c:v>
                </c:pt>
                <c:pt idx="10">
                  <c:v>1674.27</c:v>
                </c:pt>
              </c:numCache>
            </c:numRef>
          </c:val>
          <c:smooth val="0"/>
          <c:extLst>
            <c:ext xmlns:c16="http://schemas.microsoft.com/office/drawing/2014/chart" uri="{C3380CC4-5D6E-409C-BE32-E72D297353CC}">
              <c16:uniqueId val="{00000003-B297-49E2-8F45-2ACDF6C0187E}"/>
            </c:ext>
          </c:extLst>
        </c:ser>
        <c:ser>
          <c:idx val="4"/>
          <c:order val="4"/>
          <c:tx>
            <c:strRef>
              <c:f>q20_q30_q42_Fig!$A$30</c:f>
              <c:strCache>
                <c:ptCount val="1"/>
                <c:pt idx="0">
                  <c:v>Acordo de Empresa (AE)</c:v>
                </c:pt>
              </c:strCache>
            </c:strRef>
          </c:tx>
          <c:spPr>
            <a:ln w="31750" cap="rnd">
              <a:solidFill>
                <a:schemeClr val="accent1">
                  <a:tint val="70000"/>
                </a:schemeClr>
              </a:solidFill>
              <a:round/>
            </a:ln>
            <a:effectLst>
              <a:outerShdw blurRad="40000" dist="23000" dir="5400000" rotWithShape="0">
                <a:srgbClr val="000000">
                  <a:alpha val="35000"/>
                </a:srgbClr>
              </a:outerShdw>
            </a:effectLst>
          </c:spPr>
          <c:marker>
            <c:symbol val="none"/>
          </c:marker>
          <c:cat>
            <c:numRef>
              <c:f>q20_q30_q42_Fig!$B$25:$L$25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q20_q30_q42_Fig!$B$30:$L$30</c:f>
              <c:numCache>
                <c:formatCode>#,##0.00\ "€"</c:formatCode>
                <c:ptCount val="11"/>
                <c:pt idx="0">
                  <c:v>2002.28</c:v>
                </c:pt>
                <c:pt idx="1">
                  <c:v>1985.41</c:v>
                </c:pt>
                <c:pt idx="2">
                  <c:v>1982.63</c:v>
                </c:pt>
                <c:pt idx="3">
                  <c:v>2024.68</c:v>
                </c:pt>
                <c:pt idx="4">
                  <c:v>2085.6</c:v>
                </c:pt>
                <c:pt idx="5">
                  <c:v>2111.4</c:v>
                </c:pt>
                <c:pt idx="6">
                  <c:v>1993.24</c:v>
                </c:pt>
                <c:pt idx="7">
                  <c:v>2027.84</c:v>
                </c:pt>
                <c:pt idx="8">
                  <c:v>2202.54</c:v>
                </c:pt>
                <c:pt idx="9">
                  <c:v>2332.16</c:v>
                </c:pt>
                <c:pt idx="10">
                  <c:v>2393.0300000000002</c:v>
                </c:pt>
              </c:numCache>
            </c:numRef>
          </c:val>
          <c:smooth val="0"/>
          <c:extLst>
            <c:ext xmlns:c16="http://schemas.microsoft.com/office/drawing/2014/chart" uri="{C3380CC4-5D6E-409C-BE32-E72D297353CC}">
              <c16:uniqueId val="{00000004-B297-49E2-8F45-2ACDF6C0187E}"/>
            </c:ext>
          </c:extLst>
        </c:ser>
        <c:ser>
          <c:idx val="5"/>
          <c:order val="5"/>
          <c:tx>
            <c:strRef>
              <c:f>q20_q30_q42_Fig!$A$31</c:f>
              <c:strCache>
                <c:ptCount val="1"/>
                <c:pt idx="0">
                  <c:v>Não Abrangidos por Regulamentação Coletiva</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cat>
            <c:numRef>
              <c:f>q20_q30_q42_Fig!$B$25:$L$25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q20_q30_q42_Fig!$B$31:$L$31</c:f>
              <c:numCache>
                <c:formatCode>#,##0.00\ "€"</c:formatCode>
                <c:ptCount val="11"/>
                <c:pt idx="0">
                  <c:v>1313.3</c:v>
                </c:pt>
                <c:pt idx="1">
                  <c:v>1292.21</c:v>
                </c:pt>
                <c:pt idx="2">
                  <c:v>1292.3699999999999</c:v>
                </c:pt>
                <c:pt idx="3">
                  <c:v>1303.6199999999999</c:v>
                </c:pt>
                <c:pt idx="4">
                  <c:v>1350.43</c:v>
                </c:pt>
                <c:pt idx="5">
                  <c:v>1400.22</c:v>
                </c:pt>
                <c:pt idx="6">
                  <c:v>1426.6</c:v>
                </c:pt>
                <c:pt idx="7">
                  <c:v>1489.71</c:v>
                </c:pt>
                <c:pt idx="8">
                  <c:v>1584.35</c:v>
                </c:pt>
                <c:pt idx="9">
                  <c:v>1696.04</c:v>
                </c:pt>
                <c:pt idx="10">
                  <c:v>1853.4</c:v>
                </c:pt>
              </c:numCache>
            </c:numRef>
          </c:val>
          <c:smooth val="0"/>
          <c:extLst>
            <c:ext xmlns:c16="http://schemas.microsoft.com/office/drawing/2014/chart" uri="{C3380CC4-5D6E-409C-BE32-E72D297353CC}">
              <c16:uniqueId val="{00000005-B297-49E2-8F45-2ACDF6C0187E}"/>
            </c:ext>
          </c:extLst>
        </c:ser>
        <c:dLbls>
          <c:showLegendKey val="0"/>
          <c:showVal val="0"/>
          <c:showCatName val="0"/>
          <c:showSerName val="0"/>
          <c:showPercent val="0"/>
          <c:showBubbleSize val="0"/>
        </c:dLbls>
        <c:smooth val="0"/>
        <c:axId val="164075663"/>
        <c:axId val="442964127"/>
      </c:lineChart>
      <c:catAx>
        <c:axId val="16407566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442964127"/>
        <c:crosses val="autoZero"/>
        <c:auto val="1"/>
        <c:lblAlgn val="ctr"/>
        <c:lblOffset val="100"/>
        <c:noMultiLvlLbl val="0"/>
      </c:catAx>
      <c:valAx>
        <c:axId val="442964127"/>
        <c:scaling>
          <c:orientation val="minMax"/>
          <c:max val="2500"/>
          <c:min val="0"/>
        </c:scaling>
        <c:delete val="1"/>
        <c:axPos val="l"/>
        <c:majorGridlines>
          <c:spPr>
            <a:ln w="9525" cap="flat" cmpd="sng" algn="ctr">
              <a:noFill/>
              <a:round/>
            </a:ln>
            <a:effectLst/>
          </c:spPr>
        </c:majorGridlines>
        <c:numFmt formatCode="#,##0\ &quot;€&quot;" sourceLinked="0"/>
        <c:majorTickMark val="out"/>
        <c:minorTickMark val="none"/>
        <c:tickLblPos val="nextTo"/>
        <c:crossAx val="164075663"/>
        <c:crosses val="autoZero"/>
        <c:crossBetween val="between"/>
        <c:majorUnit val="500"/>
        <c:minorUnit val="5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313135065521442E-2"/>
          <c:y val="0.12367253030827709"/>
          <c:w val="0.88699439169412064"/>
          <c:h val="0.63459157017137569"/>
        </c:manualLayout>
      </c:layout>
      <c:barChart>
        <c:barDir val="col"/>
        <c:grouping val="clustered"/>
        <c:varyColors val="0"/>
        <c:ser>
          <c:idx val="0"/>
          <c:order val="0"/>
          <c:tx>
            <c:strRef>
              <c:f>q31_q33_Fig!$A$72</c:f>
              <c:strCache>
                <c:ptCount val="1"/>
                <c:pt idx="0">
                  <c:v>Ganho mensal mediano (euros)</c:v>
                </c:pt>
              </c:strCache>
            </c:strRef>
          </c:tx>
          <c:spPr>
            <a:solidFill>
              <a:schemeClr val="accent1"/>
            </a:solidFill>
            <a:ln>
              <a:noFill/>
            </a:ln>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2-487B-8013-2C85337C2CE6}"/>
                </c:ext>
              </c:extLst>
            </c:dLbl>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q31_q33_Fig!$B$71:$L$71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q31_q33_Fig!$B$72:$L$72</c:f>
              <c:numCache>
                <c:formatCode>#,##0\ "€"</c:formatCode>
                <c:ptCount val="11"/>
                <c:pt idx="0">
                  <c:v>786.99</c:v>
                </c:pt>
                <c:pt idx="1">
                  <c:v>790.03</c:v>
                </c:pt>
                <c:pt idx="2">
                  <c:v>800</c:v>
                </c:pt>
                <c:pt idx="3">
                  <c:v>822.95</c:v>
                </c:pt>
                <c:pt idx="4">
                  <c:v>854.8</c:v>
                </c:pt>
                <c:pt idx="5">
                  <c:v>892.01</c:v>
                </c:pt>
                <c:pt idx="6">
                  <c:v>926.14</c:v>
                </c:pt>
                <c:pt idx="7">
                  <c:v>962.2</c:v>
                </c:pt>
                <c:pt idx="8">
                  <c:v>1017.5</c:v>
                </c:pt>
                <c:pt idx="9">
                  <c:v>1100.17</c:v>
                </c:pt>
                <c:pt idx="10">
                  <c:v>1191.02</c:v>
                </c:pt>
              </c:numCache>
            </c:numRef>
          </c:val>
          <c:extLst>
            <c:ext xmlns:c16="http://schemas.microsoft.com/office/drawing/2014/chart" uri="{C3380CC4-5D6E-409C-BE32-E72D297353CC}">
              <c16:uniqueId val="{00000001-50E2-487B-8013-2C85337C2CE6}"/>
            </c:ext>
          </c:extLst>
        </c:ser>
        <c:ser>
          <c:idx val="1"/>
          <c:order val="1"/>
          <c:tx>
            <c:strRef>
              <c:f>q31_q33_Fig!$A$73</c:f>
              <c:strCache>
                <c:ptCount val="1"/>
                <c:pt idx="0">
                  <c:v>Limiar de baixos salários (euros)</c:v>
                </c:pt>
              </c:strCache>
            </c:strRef>
          </c:tx>
          <c:spPr>
            <a:solidFill>
              <a:schemeClr val="accent1">
                <a:lumMod val="20000"/>
                <a:lumOff val="80000"/>
              </a:schemeClr>
            </a:solidFill>
            <a:ln>
              <a:noFill/>
            </a:ln>
            <a:effectLst/>
          </c:spPr>
          <c:invertIfNegative val="0"/>
          <c:dLbls>
            <c:spPr>
              <a:noFill/>
              <a:ln>
                <a:noFill/>
              </a:ln>
              <a:effectLst/>
            </c:spPr>
            <c:txPr>
              <a:bodyPr rot="-5400000" spcFirstLastPara="1" vertOverflow="ellipsis" wrap="square" anchor="ctr" anchorCtr="1"/>
              <a:lstStyle/>
              <a:p>
                <a:pPr>
                  <a:defRPr sz="700" b="0"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q31_q33_Fig!$B$71:$L$71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q31_q33_Fig!$B$73:$L$73</c:f>
              <c:numCache>
                <c:formatCode>#,##0\ "€"</c:formatCode>
                <c:ptCount val="11"/>
                <c:pt idx="0">
                  <c:v>524.66</c:v>
                </c:pt>
                <c:pt idx="1">
                  <c:v>526.69000000000005</c:v>
                </c:pt>
                <c:pt idx="2">
                  <c:v>533.33000000000004</c:v>
                </c:pt>
                <c:pt idx="3">
                  <c:v>548.63</c:v>
                </c:pt>
                <c:pt idx="4">
                  <c:v>569.87</c:v>
                </c:pt>
                <c:pt idx="5">
                  <c:v>594.66999999999996</c:v>
                </c:pt>
                <c:pt idx="6">
                  <c:v>617.42999999999995</c:v>
                </c:pt>
                <c:pt idx="7">
                  <c:v>641.47</c:v>
                </c:pt>
                <c:pt idx="8">
                  <c:v>678.33</c:v>
                </c:pt>
                <c:pt idx="9">
                  <c:v>733.45</c:v>
                </c:pt>
                <c:pt idx="10">
                  <c:v>794.01</c:v>
                </c:pt>
              </c:numCache>
            </c:numRef>
          </c:val>
          <c:extLst>
            <c:ext xmlns:c16="http://schemas.microsoft.com/office/drawing/2014/chart" uri="{C3380CC4-5D6E-409C-BE32-E72D297353CC}">
              <c16:uniqueId val="{00000002-50E2-487B-8013-2C85337C2CE6}"/>
            </c:ext>
          </c:extLst>
        </c:ser>
        <c:ser>
          <c:idx val="2"/>
          <c:order val="2"/>
          <c:tx>
            <c:strRef>
              <c:f>q31_q33_Fig!$A$74</c:f>
              <c:strCache>
                <c:ptCount val="1"/>
                <c:pt idx="0">
                  <c:v>Remuneração Mínima Mensal Garantida (RMMG)</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q31_q33_Fig!$B$71:$L$71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q31_q33_Fig!$B$74:$L$74</c:f>
              <c:numCache>
                <c:formatCode>#,##0\ "€"</c:formatCode>
                <c:ptCount val="11"/>
                <c:pt idx="0">
                  <c:v>505</c:v>
                </c:pt>
                <c:pt idx="1">
                  <c:v>505</c:v>
                </c:pt>
                <c:pt idx="2">
                  <c:v>530</c:v>
                </c:pt>
                <c:pt idx="3">
                  <c:v>557</c:v>
                </c:pt>
                <c:pt idx="4">
                  <c:v>580</c:v>
                </c:pt>
                <c:pt idx="5">
                  <c:v>600</c:v>
                </c:pt>
                <c:pt idx="6">
                  <c:v>635</c:v>
                </c:pt>
                <c:pt idx="7">
                  <c:v>665</c:v>
                </c:pt>
                <c:pt idx="8">
                  <c:v>705</c:v>
                </c:pt>
                <c:pt idx="9">
                  <c:v>760</c:v>
                </c:pt>
                <c:pt idx="10">
                  <c:v>820</c:v>
                </c:pt>
              </c:numCache>
            </c:numRef>
          </c:val>
          <c:extLst>
            <c:ext xmlns:c16="http://schemas.microsoft.com/office/drawing/2014/chart" uri="{C3380CC4-5D6E-409C-BE32-E72D297353CC}">
              <c16:uniqueId val="{00000003-50E2-487B-8013-2C85337C2CE6}"/>
            </c:ext>
          </c:extLst>
        </c:ser>
        <c:dLbls>
          <c:showLegendKey val="0"/>
          <c:showVal val="0"/>
          <c:showCatName val="0"/>
          <c:showSerName val="0"/>
          <c:showPercent val="0"/>
          <c:showBubbleSize val="0"/>
        </c:dLbls>
        <c:gapWidth val="150"/>
        <c:axId val="1417600943"/>
        <c:axId val="1841201583"/>
      </c:barChart>
      <c:lineChart>
        <c:grouping val="standard"/>
        <c:varyColors val="0"/>
        <c:ser>
          <c:idx val="3"/>
          <c:order val="3"/>
          <c:tx>
            <c:strRef>
              <c:f>q31_q33_Fig!$A$75</c:f>
              <c:strCache>
                <c:ptCount val="1"/>
                <c:pt idx="0">
                  <c:v>Incidência de baixos salários (%) - Total</c:v>
                </c:pt>
              </c:strCache>
            </c:strRef>
          </c:tx>
          <c:spPr>
            <a:ln w="15875" cap="rnd">
              <a:solidFill>
                <a:srgbClr val="C27535"/>
              </a:solidFill>
              <a:round/>
            </a:ln>
            <a:effectLst/>
          </c:spPr>
          <c:marker>
            <c:symbol val="none"/>
          </c:marker>
          <c:cat>
            <c:numRef>
              <c:f>q31_q33_Fig!$B$71:$L$71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q31_q33_Fig!$B$75:$L$75</c:f>
              <c:numCache>
                <c:formatCode>0.00</c:formatCode>
                <c:ptCount val="11"/>
                <c:pt idx="0">
                  <c:v>6.78</c:v>
                </c:pt>
                <c:pt idx="1">
                  <c:v>6.7</c:v>
                </c:pt>
                <c:pt idx="2">
                  <c:v>5.86</c:v>
                </c:pt>
                <c:pt idx="3">
                  <c:v>0.19</c:v>
                </c:pt>
                <c:pt idx="4">
                  <c:v>0.16</c:v>
                </c:pt>
                <c:pt idx="5">
                  <c:v>0.18</c:v>
                </c:pt>
                <c:pt idx="6">
                  <c:v>0.14000000000000001</c:v>
                </c:pt>
                <c:pt idx="7">
                  <c:v>0.11</c:v>
                </c:pt>
                <c:pt idx="8">
                  <c:v>0.11</c:v>
                </c:pt>
                <c:pt idx="9">
                  <c:v>0.1</c:v>
                </c:pt>
                <c:pt idx="10">
                  <c:v>0.09</c:v>
                </c:pt>
              </c:numCache>
            </c:numRef>
          </c:val>
          <c:smooth val="0"/>
          <c:extLst>
            <c:ext xmlns:c16="http://schemas.microsoft.com/office/drawing/2014/chart" uri="{C3380CC4-5D6E-409C-BE32-E72D297353CC}">
              <c16:uniqueId val="{00000004-50E2-487B-8013-2C85337C2CE6}"/>
            </c:ext>
          </c:extLst>
        </c:ser>
        <c:ser>
          <c:idx val="4"/>
          <c:order val="4"/>
          <c:tx>
            <c:strRef>
              <c:f>q31_q33_Fig!$A$76</c:f>
              <c:strCache>
                <c:ptCount val="1"/>
                <c:pt idx="0">
                  <c:v>Incidência de baixos salários (%) - Homens</c:v>
                </c:pt>
              </c:strCache>
            </c:strRef>
          </c:tx>
          <c:spPr>
            <a:ln w="15875" cap="rnd">
              <a:solidFill>
                <a:srgbClr val="F8AA79"/>
              </a:solidFill>
              <a:round/>
            </a:ln>
            <a:effectLst/>
          </c:spPr>
          <c:marker>
            <c:symbol val="none"/>
          </c:marker>
          <c:cat>
            <c:numRef>
              <c:f>q31_q33_Fig!$B$71:$L$71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q31_q33_Fig!$B$76:$L$76</c:f>
              <c:numCache>
                <c:formatCode>0.00</c:formatCode>
                <c:ptCount val="11"/>
                <c:pt idx="0">
                  <c:v>5.01</c:v>
                </c:pt>
                <c:pt idx="1">
                  <c:v>4.99</c:v>
                </c:pt>
                <c:pt idx="2">
                  <c:v>4.38</c:v>
                </c:pt>
                <c:pt idx="3">
                  <c:v>0.1</c:v>
                </c:pt>
                <c:pt idx="4">
                  <c:v>0.08</c:v>
                </c:pt>
                <c:pt idx="5">
                  <c:v>0.09</c:v>
                </c:pt>
                <c:pt idx="6">
                  <c:v>7.0000000000000007E-2</c:v>
                </c:pt>
                <c:pt idx="7">
                  <c:v>7.0000000000000007E-2</c:v>
                </c:pt>
                <c:pt idx="8">
                  <c:v>0.08</c:v>
                </c:pt>
                <c:pt idx="9">
                  <c:v>0.08</c:v>
                </c:pt>
                <c:pt idx="10">
                  <c:v>7.0000000000000007E-2</c:v>
                </c:pt>
              </c:numCache>
            </c:numRef>
          </c:val>
          <c:smooth val="0"/>
          <c:extLst>
            <c:ext xmlns:c16="http://schemas.microsoft.com/office/drawing/2014/chart" uri="{C3380CC4-5D6E-409C-BE32-E72D297353CC}">
              <c16:uniqueId val="{00000005-50E2-487B-8013-2C85337C2CE6}"/>
            </c:ext>
          </c:extLst>
        </c:ser>
        <c:ser>
          <c:idx val="5"/>
          <c:order val="5"/>
          <c:tx>
            <c:strRef>
              <c:f>q31_q33_Fig!$A$77</c:f>
              <c:strCache>
                <c:ptCount val="1"/>
                <c:pt idx="0">
                  <c:v>Incidência de baixos salários (%) - Mulheres</c:v>
                </c:pt>
              </c:strCache>
            </c:strRef>
          </c:tx>
          <c:spPr>
            <a:ln w="15875" cap="rnd">
              <a:solidFill>
                <a:srgbClr val="FACBB4"/>
              </a:solidFill>
              <a:round/>
            </a:ln>
            <a:effectLst/>
          </c:spPr>
          <c:marker>
            <c:symbol val="none"/>
          </c:marker>
          <c:cat>
            <c:numRef>
              <c:f>q31_q33_Fig!$B$71:$L$71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q31_q33_Fig!$B$77:$L$77</c:f>
              <c:numCache>
                <c:formatCode>0.00</c:formatCode>
                <c:ptCount val="11"/>
                <c:pt idx="0">
                  <c:v>8.8699999999999992</c:v>
                </c:pt>
                <c:pt idx="1">
                  <c:v>8.6999999999999993</c:v>
                </c:pt>
                <c:pt idx="2">
                  <c:v>7.59</c:v>
                </c:pt>
                <c:pt idx="3">
                  <c:v>0.28999999999999998</c:v>
                </c:pt>
                <c:pt idx="4">
                  <c:v>0.24</c:v>
                </c:pt>
                <c:pt idx="5">
                  <c:v>0.28000000000000003</c:v>
                </c:pt>
                <c:pt idx="6">
                  <c:v>0.21</c:v>
                </c:pt>
                <c:pt idx="7">
                  <c:v>0.15</c:v>
                </c:pt>
                <c:pt idx="8">
                  <c:v>0.15</c:v>
                </c:pt>
                <c:pt idx="9">
                  <c:v>0.13</c:v>
                </c:pt>
                <c:pt idx="10">
                  <c:v>0.11</c:v>
                </c:pt>
              </c:numCache>
            </c:numRef>
          </c:val>
          <c:smooth val="0"/>
          <c:extLst>
            <c:ext xmlns:c16="http://schemas.microsoft.com/office/drawing/2014/chart" uri="{C3380CC4-5D6E-409C-BE32-E72D297353CC}">
              <c16:uniqueId val="{00000006-50E2-487B-8013-2C85337C2CE6}"/>
            </c:ext>
          </c:extLst>
        </c:ser>
        <c:dLbls>
          <c:showLegendKey val="0"/>
          <c:showVal val="0"/>
          <c:showCatName val="0"/>
          <c:showSerName val="0"/>
          <c:showPercent val="0"/>
          <c:showBubbleSize val="0"/>
        </c:dLbls>
        <c:marker val="1"/>
        <c:smooth val="0"/>
        <c:axId val="1043261775"/>
        <c:axId val="636615199"/>
      </c:lineChart>
      <c:catAx>
        <c:axId val="141760094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1F497D"/>
                </a:solidFill>
                <a:latin typeface="+mn-lt"/>
                <a:ea typeface="+mn-ea"/>
                <a:cs typeface="+mn-cs"/>
              </a:defRPr>
            </a:pPr>
            <a:endParaRPr lang="pt-PT"/>
          </a:p>
        </c:txPr>
        <c:crossAx val="1841201583"/>
        <c:crosses val="autoZero"/>
        <c:auto val="1"/>
        <c:lblAlgn val="ctr"/>
        <c:lblOffset val="100"/>
        <c:noMultiLvlLbl val="0"/>
      </c:catAx>
      <c:valAx>
        <c:axId val="1841201583"/>
        <c:scaling>
          <c:orientation val="minMax"/>
          <c:max val="1400"/>
          <c:min val="0"/>
        </c:scaling>
        <c:delete val="0"/>
        <c:axPos val="l"/>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pt-PT" b="1"/>
                  <a:t>Euros</a:t>
                </a:r>
              </a:p>
            </c:rich>
          </c:tx>
          <c:layout>
            <c:manualLayout>
              <c:xMode val="edge"/>
              <c:yMode val="edge"/>
              <c:x val="8.6198295445675723E-3"/>
              <c:y val="1.9930596498683378E-2"/>
            </c:manualLayout>
          </c:layout>
          <c:overlay val="0"/>
          <c:spPr>
            <a:solidFill>
              <a:sysClr val="window" lastClr="FFFFFF">
                <a:lumMod val="95000"/>
              </a:sysClr>
            </a:solid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title>
        <c:numFmt formatCode="#,##0\ &quot;€&quot;"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1F497D"/>
                </a:solidFill>
                <a:latin typeface="+mn-lt"/>
                <a:ea typeface="+mn-ea"/>
                <a:cs typeface="+mn-cs"/>
              </a:defRPr>
            </a:pPr>
            <a:endParaRPr lang="pt-PT"/>
          </a:p>
        </c:txPr>
        <c:crossAx val="1417600943"/>
        <c:crosses val="autoZero"/>
        <c:crossBetween val="between"/>
        <c:majorUnit val="200"/>
      </c:valAx>
      <c:valAx>
        <c:axId val="636615199"/>
        <c:scaling>
          <c:orientation val="minMax"/>
          <c:max val="20"/>
        </c:scaling>
        <c:delete val="0"/>
        <c:axPos val="r"/>
        <c:title>
          <c:tx>
            <c:rich>
              <a:bodyPr rot="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r>
                  <a:rPr lang="pt-PT" b="1"/>
                  <a:t>%</a:t>
                </a:r>
              </a:p>
            </c:rich>
          </c:tx>
          <c:layout>
            <c:manualLayout>
              <c:xMode val="edge"/>
              <c:yMode val="edge"/>
              <c:x val="0.96980009752700702"/>
              <c:y val="2.1581401317370762E-2"/>
            </c:manualLayout>
          </c:layout>
          <c:overlay val="0"/>
          <c:spPr>
            <a:solidFill>
              <a:sysClr val="window" lastClr="FFFFFF">
                <a:lumMod val="95000"/>
              </a:sysClr>
            </a:solidFill>
            <a:ln>
              <a:noFill/>
            </a:ln>
            <a:effectLst/>
          </c:spPr>
          <c:txPr>
            <a:bodyPr rot="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1043261775"/>
        <c:crosses val="max"/>
        <c:crossBetween val="between"/>
        <c:majorUnit val="2"/>
      </c:valAx>
      <c:catAx>
        <c:axId val="1043261775"/>
        <c:scaling>
          <c:orientation val="minMax"/>
        </c:scaling>
        <c:delete val="1"/>
        <c:axPos val="b"/>
        <c:numFmt formatCode="General" sourceLinked="1"/>
        <c:majorTickMark val="out"/>
        <c:minorTickMark val="none"/>
        <c:tickLblPos val="nextTo"/>
        <c:crossAx val="636615199"/>
        <c:crosses val="autoZero"/>
        <c:auto val="1"/>
        <c:lblAlgn val="ctr"/>
        <c:lblOffset val="100"/>
        <c:noMultiLvlLbl val="0"/>
      </c:catAx>
      <c:spPr>
        <a:noFill/>
        <a:ln>
          <a:noFill/>
        </a:ln>
        <a:effectLst/>
      </c:spPr>
    </c:plotArea>
    <c:legend>
      <c:legendPos val="b"/>
      <c:layout>
        <c:manualLayout>
          <c:xMode val="edge"/>
          <c:yMode val="edge"/>
          <c:x val="1.8805914785277107E-2"/>
          <c:y val="0.84262862436313113"/>
          <c:w val="0.96495900920077704"/>
          <c:h val="0.1058969219756621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pt-PT"/>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700"/>
      </a:pPr>
      <a:endParaRPr lang="pt-PT"/>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006098566012853E-2"/>
          <c:y val="0.13444518649588777"/>
          <c:w val="0.89162801798624847"/>
          <c:h val="0.72472874959741795"/>
        </c:manualLayout>
      </c:layout>
      <c:lineChart>
        <c:grouping val="standard"/>
        <c:varyColors val="0"/>
        <c:ser>
          <c:idx val="3"/>
          <c:order val="0"/>
          <c:tx>
            <c:strRef>
              <c:f>q31_q33_Fig!$A$38</c:f>
              <c:strCache>
                <c:ptCount val="1"/>
                <c:pt idx="0">
                  <c:v>P20</c:v>
                </c:pt>
              </c:strCache>
            </c:strRef>
          </c:tx>
          <c:spPr>
            <a:ln w="28575" cap="rnd">
              <a:noFill/>
              <a:round/>
            </a:ln>
            <a:effectLst/>
          </c:spPr>
          <c:marker>
            <c:symbol val="dash"/>
            <c:size val="5"/>
            <c:spPr>
              <a:solidFill>
                <a:schemeClr val="accent4"/>
              </a:solidFill>
              <a:ln w="25400">
                <a:solidFill>
                  <a:schemeClr val="accent1"/>
                </a:solidFill>
              </a:ln>
              <a:effectLst/>
            </c:spPr>
          </c:marker>
          <c:dLbls>
            <c:dLbl>
              <c:idx val="0"/>
              <c:layout>
                <c:manualLayout>
                  <c:x val="1.0749222928015713E-3"/>
                  <c:y val="-1.241027247890967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44C9-456C-AC8E-3040E8A8AF8C}"/>
                </c:ext>
              </c:extLst>
            </c:dLbl>
            <c:dLbl>
              <c:idx val="1"/>
              <c:layout>
                <c:manualLayout>
                  <c:x val="4.6665343448171184E-3"/>
                  <c:y val="-1.9065018041589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C9-456C-AC8E-3040E8A8AF8C}"/>
                </c:ext>
              </c:extLst>
            </c:dLbl>
            <c:dLbl>
              <c:idx val="2"/>
              <c:layout>
                <c:manualLayout>
                  <c:x val="-9.7794939380095179E-4"/>
                  <c:y val="-2.1664057416465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C9-456C-AC8E-3040E8A8AF8C}"/>
                </c:ext>
              </c:extLst>
            </c:dLbl>
            <c:dLbl>
              <c:idx val="3"/>
              <c:layout>
                <c:manualLayout>
                  <c:x val="2.5610041042107554E-3"/>
                  <c:y val="-1.90649468867967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C9-456C-AC8E-3040E8A8AF8C}"/>
                </c:ext>
              </c:extLst>
            </c:dLbl>
            <c:dLbl>
              <c:idx val="4"/>
              <c:layout>
                <c:manualLayout>
                  <c:x val="7.6421889514150453E-4"/>
                  <c:y val="-2.1969619865218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C9-456C-AC8E-3040E8A8AF8C}"/>
                </c:ext>
              </c:extLst>
            </c:dLbl>
            <c:dLbl>
              <c:idx val="5"/>
              <c:layout>
                <c:manualLayout>
                  <c:x val="-9.7794939380088674E-4"/>
                  <c:y val="-2.1664057416464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C9-456C-AC8E-3040E8A8AF8C}"/>
                </c:ext>
              </c:extLst>
            </c:dLbl>
            <c:dLbl>
              <c:idx val="6"/>
              <c:layout>
                <c:manualLayout>
                  <c:x val="2.5610041042107554E-3"/>
                  <c:y val="-2.1664057416464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C9-456C-AC8E-3040E8A8AF8C}"/>
                </c:ext>
              </c:extLst>
            </c:dLbl>
            <c:dLbl>
              <c:idx val="7"/>
              <c:layout>
                <c:manualLayout>
                  <c:x val="2.6154816954596758E-3"/>
                  <c:y val="-1.8759384438042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C9-456C-AC8E-3040E8A8AF8C}"/>
                </c:ext>
              </c:extLst>
            </c:dLbl>
            <c:dLbl>
              <c:idx val="8"/>
              <c:layout>
                <c:manualLayout>
                  <c:x val="2.5610041042107554E-3"/>
                  <c:y val="-2.45687303948869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C9-456C-AC8E-3040E8A8AF8C}"/>
                </c:ext>
              </c:extLst>
            </c:dLbl>
            <c:dLbl>
              <c:idx val="9"/>
              <c:layout>
                <c:manualLayout>
                  <c:x val="-9.7794939380108146E-4"/>
                  <c:y val="-2.48742928436406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C9-456C-AC8E-3040E8A8AF8C}"/>
                </c:ext>
              </c:extLst>
            </c:dLbl>
            <c:dLbl>
              <c:idx val="10"/>
              <c:layout>
                <c:manualLayout>
                  <c:x val="1.6716822754529896E-2"/>
                  <c:y val="-1.3461497671726294E-2"/>
                </c:manualLayout>
              </c:layout>
              <c:tx>
                <c:rich>
                  <a:bodyPr/>
                  <a:lstStyle/>
                  <a:p>
                    <a:fld id="{911B36C7-7B88-4D5A-BD1C-09A6550FCEC2}" type="VALUE">
                      <a:rPr lang="en-US"/>
                      <a:pPr/>
                      <a:t>[VALOR]</a:t>
                    </a:fld>
                    <a:r>
                      <a:rPr lang="en-US"/>
                      <a:t>  →  P20</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44C9-456C-AC8E-3040E8A8AF8C}"/>
                </c:ext>
              </c:extLst>
            </c:dLbl>
            <c:dLbl>
              <c:idx val="11"/>
              <c:layout>
                <c:manualLayout>
                  <c:x val="-2.2266218149659376E-2"/>
                  <c:y val="-4.2607806767563865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44C9-456C-AC8E-3040E8A8AF8C}"/>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ot"/>
                      <a:round/>
                    </a:ln>
                    <a:effectLst/>
                  </c:spPr>
                </c15:leaderLines>
              </c:ext>
            </c:extLst>
          </c:dLbls>
          <c:cat>
            <c:numRef>
              <c:extLst>
                <c:ext xmlns:c15="http://schemas.microsoft.com/office/drawing/2012/chart" uri="{02D57815-91ED-43cb-92C2-25804820EDAC}">
                  <c15:fullRef>
                    <c15:sqref>q31_q33_Fig!$B$34:$M$34</c15:sqref>
                  </c15:fullRef>
                </c:ext>
              </c:extLst>
              <c:f>q31_q33_Fig!$B$34:$M$34</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extLst>
                <c:ext xmlns:c15="http://schemas.microsoft.com/office/drawing/2012/chart" uri="{02D57815-91ED-43cb-92C2-25804820EDAC}">
                  <c15:fullRef>
                    <c15:sqref>q31_q33_Fig!$B$38:$L$38</c15:sqref>
                  </c15:fullRef>
                </c:ext>
              </c:extLst>
              <c:f>q31_q33_Fig!$B$38:$L$38</c:f>
              <c:numCache>
                <c:formatCode>#,##0\ "€"</c:formatCode>
                <c:ptCount val="11"/>
                <c:pt idx="0">
                  <c:v>603</c:v>
                </c:pt>
                <c:pt idx="1">
                  <c:v>599.86</c:v>
                </c:pt>
                <c:pt idx="2">
                  <c:v>618.22</c:v>
                </c:pt>
                <c:pt idx="3">
                  <c:v>651.55999999999995</c:v>
                </c:pt>
                <c:pt idx="4">
                  <c:v>681.85</c:v>
                </c:pt>
                <c:pt idx="5">
                  <c:v>709.7</c:v>
                </c:pt>
                <c:pt idx="6">
                  <c:v>737.42</c:v>
                </c:pt>
                <c:pt idx="7">
                  <c:v>766</c:v>
                </c:pt>
                <c:pt idx="8">
                  <c:v>809.94</c:v>
                </c:pt>
                <c:pt idx="9">
                  <c:v>885</c:v>
                </c:pt>
                <c:pt idx="10">
                  <c:v>958</c:v>
                </c:pt>
              </c:numCache>
            </c:numRef>
          </c:val>
          <c:smooth val="0"/>
          <c:extLst>
            <c:ext xmlns:c16="http://schemas.microsoft.com/office/drawing/2014/chart" uri="{C3380CC4-5D6E-409C-BE32-E72D297353CC}">
              <c16:uniqueId val="{0000000C-44C9-456C-AC8E-3040E8A8AF8C}"/>
            </c:ext>
          </c:extLst>
        </c:ser>
        <c:ser>
          <c:idx val="0"/>
          <c:order val="1"/>
          <c:tx>
            <c:strRef>
              <c:f>q31_q33_Fig!$A$35</c:f>
              <c:strCache>
                <c:ptCount val="1"/>
                <c:pt idx="0">
                  <c:v>P90</c:v>
                </c:pt>
              </c:strCache>
            </c:strRef>
          </c:tx>
          <c:spPr>
            <a:ln w="28575" cap="rnd">
              <a:noFill/>
              <a:round/>
            </a:ln>
            <a:effectLst/>
          </c:spPr>
          <c:marker>
            <c:symbol val="dash"/>
            <c:size val="5"/>
            <c:spPr>
              <a:solidFill>
                <a:schemeClr val="accent1"/>
              </a:solidFill>
              <a:ln w="25400">
                <a:solidFill>
                  <a:schemeClr val="accent1"/>
                </a:solidFill>
              </a:ln>
              <a:effectLst/>
            </c:spPr>
          </c:marker>
          <c:dLbls>
            <c:dLbl>
              <c:idx val="0"/>
              <c:layout>
                <c:manualLayout>
                  <c:x val="-3.3801464430103803E-2"/>
                  <c:y val="-4.1457002263129095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44C9-456C-AC8E-3040E8A8AF8C}"/>
                </c:ext>
              </c:extLst>
            </c:dLbl>
            <c:dLbl>
              <c:idx val="1"/>
              <c:layout>
                <c:manualLayout>
                  <c:x val="-3.4448048412030474E-2"/>
                  <c:y val="-4.58767469754188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4C9-456C-AC8E-3040E8A8AF8C}"/>
                </c:ext>
              </c:extLst>
            </c:dLbl>
            <c:dLbl>
              <c:idx val="2"/>
              <c:layout>
                <c:manualLayout>
                  <c:x val="-3.4448048412030474E-2"/>
                  <c:y val="-4.2662405850809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C9-456C-AC8E-3040E8A8AF8C}"/>
                </c:ext>
              </c:extLst>
            </c:dLbl>
            <c:dLbl>
              <c:idx val="3"/>
              <c:layout>
                <c:manualLayout>
                  <c:x val="-3.4448048412030509E-2"/>
                  <c:y val="-3.94480647262001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4C9-456C-AC8E-3040E8A8AF8C}"/>
                </c:ext>
              </c:extLst>
            </c:dLbl>
            <c:dLbl>
              <c:idx val="4"/>
              <c:layout>
                <c:manualLayout>
                  <c:x val="-3.4448048412030544E-2"/>
                  <c:y val="-4.5876746975418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4C9-456C-AC8E-3040E8A8AF8C}"/>
                </c:ext>
              </c:extLst>
            </c:dLbl>
            <c:dLbl>
              <c:idx val="5"/>
              <c:layout>
                <c:manualLayout>
                  <c:x val="-3.4448048412030544E-2"/>
                  <c:y val="-3.9448064726200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4C9-456C-AC8E-3040E8A8AF8C}"/>
                </c:ext>
              </c:extLst>
            </c:dLbl>
            <c:dLbl>
              <c:idx val="6"/>
              <c:layout>
                <c:manualLayout>
                  <c:x val="-3.4448048412030474E-2"/>
                  <c:y val="-3.94480647262001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4C9-456C-AC8E-3040E8A8AF8C}"/>
                </c:ext>
              </c:extLst>
            </c:dLbl>
            <c:dLbl>
              <c:idx val="7"/>
              <c:layout>
                <c:manualLayout>
                  <c:x val="-3.4448048412030474E-2"/>
                  <c:y val="-4.2662405850809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4C9-456C-AC8E-3040E8A8AF8C}"/>
                </c:ext>
              </c:extLst>
            </c:dLbl>
            <c:dLbl>
              <c:idx val="8"/>
              <c:layout>
                <c:manualLayout>
                  <c:x val="-3.4448048412030544E-2"/>
                  <c:y val="-3.94480647262001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4C9-456C-AC8E-3040E8A8AF8C}"/>
                </c:ext>
              </c:extLst>
            </c:dLbl>
            <c:dLbl>
              <c:idx val="9"/>
              <c:layout>
                <c:manualLayout>
                  <c:x val="-3.4448048412030474E-2"/>
                  <c:y val="-3.94480647262001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4C9-456C-AC8E-3040E8A8AF8C}"/>
                </c:ext>
              </c:extLst>
            </c:dLbl>
            <c:dLbl>
              <c:idx val="10"/>
              <c:layout>
                <c:manualLayout>
                  <c:x val="9.4144549013892625E-4"/>
                  <c:y val="-3.3972931038533015E-2"/>
                </c:manualLayout>
              </c:layout>
              <c:tx>
                <c:rich>
                  <a:bodyPr/>
                  <a:lstStyle/>
                  <a:p>
                    <a:fld id="{9683D013-A4A6-44B2-99E5-63F9F488E35E}" type="VALUE">
                      <a:rPr lang="en-US"/>
                      <a:pPr/>
                      <a:t>[VALOR]</a:t>
                    </a:fld>
                    <a:r>
                      <a:rPr lang="en-US"/>
                      <a:t>   →  P90</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44C9-456C-AC8E-3040E8A8AF8C}"/>
                </c:ext>
              </c:extLst>
            </c:dLbl>
            <c:dLbl>
              <c:idx val="11"/>
              <c:layout>
                <c:manualLayout>
                  <c:x val="-3.4448048412030474E-2"/>
                  <c:y val="-4.5876746975418908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8-44C9-456C-AC8E-3040E8A8AF8C}"/>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ash"/>
                      <a:round/>
                    </a:ln>
                    <a:effectLst/>
                  </c:spPr>
                </c15:leaderLines>
              </c:ext>
            </c:extLst>
          </c:dLbls>
          <c:cat>
            <c:numRef>
              <c:extLst>
                <c:ext xmlns:c15="http://schemas.microsoft.com/office/drawing/2012/chart" uri="{02D57815-91ED-43cb-92C2-25804820EDAC}">
                  <c15:fullRef>
                    <c15:sqref>q31_q33_Fig!$B$34:$M$34</c15:sqref>
                  </c15:fullRef>
                </c:ext>
              </c:extLst>
              <c:f>q31_q33_Fig!$B$34:$M$34</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extLst>
                <c:ext xmlns:c15="http://schemas.microsoft.com/office/drawing/2012/chart" uri="{02D57815-91ED-43cb-92C2-25804820EDAC}">
                  <c15:fullRef>
                    <c15:sqref>q31_q33_Fig!$B$35:$L$35</c15:sqref>
                  </c15:fullRef>
                </c:ext>
              </c:extLst>
              <c:f>q31_q33_Fig!$B$35:$L$35</c:f>
              <c:numCache>
                <c:formatCode>#,##0\ "€"</c:formatCode>
                <c:ptCount val="11"/>
                <c:pt idx="0">
                  <c:v>1932.5</c:v>
                </c:pt>
                <c:pt idx="1">
                  <c:v>1929.23</c:v>
                </c:pt>
                <c:pt idx="2">
                  <c:v>1934.8</c:v>
                </c:pt>
                <c:pt idx="3">
                  <c:v>1951.52</c:v>
                </c:pt>
                <c:pt idx="4">
                  <c:v>2000</c:v>
                </c:pt>
                <c:pt idx="5">
                  <c:v>2061.38</c:v>
                </c:pt>
                <c:pt idx="6">
                  <c:v>2123.3000000000002</c:v>
                </c:pt>
                <c:pt idx="7">
                  <c:v>2181.67</c:v>
                </c:pt>
                <c:pt idx="8">
                  <c:v>2306.09</c:v>
                </c:pt>
                <c:pt idx="9">
                  <c:v>2460.2399999999998</c:v>
                </c:pt>
                <c:pt idx="10">
                  <c:v>2644.06</c:v>
                </c:pt>
              </c:numCache>
            </c:numRef>
          </c:val>
          <c:smooth val="0"/>
          <c:extLst>
            <c:ext xmlns:c16="http://schemas.microsoft.com/office/drawing/2014/chart" uri="{C3380CC4-5D6E-409C-BE32-E72D297353CC}">
              <c16:uniqueId val="{00000019-44C9-456C-AC8E-3040E8A8AF8C}"/>
            </c:ext>
          </c:extLst>
        </c:ser>
        <c:ser>
          <c:idx val="2"/>
          <c:order val="2"/>
          <c:tx>
            <c:strRef>
              <c:f>q31_q33_Fig!$A$37</c:f>
              <c:strCache>
                <c:ptCount val="1"/>
                <c:pt idx="0">
                  <c:v>P50</c:v>
                </c:pt>
              </c:strCache>
            </c:strRef>
          </c:tx>
          <c:spPr>
            <a:ln w="28575" cap="rnd">
              <a:noFill/>
              <a:round/>
            </a:ln>
            <a:effectLst/>
          </c:spPr>
          <c:marker>
            <c:symbol val="dash"/>
            <c:size val="5"/>
            <c:spPr>
              <a:solidFill>
                <a:schemeClr val="accent3"/>
              </a:solidFill>
              <a:ln w="25400">
                <a:solidFill>
                  <a:schemeClr val="accent1"/>
                </a:solidFill>
              </a:ln>
              <a:effectLst/>
            </c:spPr>
          </c:marker>
          <c:dLbls>
            <c:dLbl>
              <c:idx val="0"/>
              <c:layout>
                <c:manualLayout>
                  <c:x val="-1.5038601762259513E-2"/>
                  <c:y val="-3.290674284381207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44C9-456C-AC8E-3040E8A8AF8C}"/>
                </c:ext>
              </c:extLst>
            </c:dLbl>
            <c:dLbl>
              <c:idx val="1"/>
              <c:layout>
                <c:manualLayout>
                  <c:x val="-2.2266218149659407E-2"/>
                  <c:y val="-4.2607806767563865E-2"/>
                </c:manualLayout>
              </c:layout>
              <c:spPr>
                <a:noFill/>
                <a:ln>
                  <a:noFill/>
                </a:ln>
                <a:effectLst/>
              </c:spPr>
              <c:txPr>
                <a:bodyPr rot="0" spcFirstLastPara="1" vertOverflow="ellipsis" vert="horz" wrap="none" lIns="38100" tIns="19050" rIns="38100" bIns="19050" anchor="ctr" anchorCtr="1">
                  <a:noAutofit/>
                </a:bodyPr>
                <a:lstStyle/>
                <a:p>
                  <a:pPr>
                    <a:defRPr sz="700" b="1" i="0" u="none" strike="noStrike" kern="1200" baseline="0">
                      <a:solidFill>
                        <a:schemeClr val="tx1"/>
                      </a:solidFill>
                      <a:latin typeface="+mn-lt"/>
                      <a:ea typeface="+mn-ea"/>
                      <a:cs typeface="+mn-cs"/>
                    </a:defRPr>
                  </a:pPr>
                  <a:endParaRPr lang="pt-PT"/>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B-44C9-456C-AC8E-3040E8A8AF8C}"/>
                </c:ext>
              </c:extLst>
            </c:dLbl>
            <c:dLbl>
              <c:idx val="2"/>
              <c:layout>
                <c:manualLayout>
                  <c:x val="-1.8863859092054406E-2"/>
                  <c:y val="-4.278879281798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4C9-456C-AC8E-3040E8A8AF8C}"/>
                </c:ext>
              </c:extLst>
            </c:dLbl>
            <c:dLbl>
              <c:idx val="3"/>
              <c:layout>
                <c:manualLayout>
                  <c:x val="-2.0660605735639714E-2"/>
                  <c:y val="-4.5999020248699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4C9-456C-AC8E-3040E8A8AF8C}"/>
                </c:ext>
              </c:extLst>
            </c:dLbl>
            <c:dLbl>
              <c:idx val="4"/>
              <c:layout>
                <c:manualLayout>
                  <c:x val="-1.8863859092054406E-2"/>
                  <c:y val="-4.5999020248699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4C9-456C-AC8E-3040E8A8AF8C}"/>
                </c:ext>
              </c:extLst>
            </c:dLbl>
            <c:dLbl>
              <c:idx val="5"/>
              <c:layout>
                <c:manualLayout>
                  <c:x val="-2.0660605735639714E-2"/>
                  <c:y val="-4.278879281798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4C9-456C-AC8E-3040E8A8AF8C}"/>
                </c:ext>
              </c:extLst>
            </c:dLbl>
            <c:dLbl>
              <c:idx val="6"/>
              <c:layout>
                <c:manualLayout>
                  <c:x val="-2.066060573563978E-2"/>
                  <c:y val="-4.27887928179883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4C9-456C-AC8E-3040E8A8AF8C}"/>
                </c:ext>
              </c:extLst>
            </c:dLbl>
            <c:dLbl>
              <c:idx val="7"/>
              <c:layout>
                <c:manualLayout>
                  <c:x val="-2.0660605735639714E-2"/>
                  <c:y val="-4.278879281798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4C9-456C-AC8E-3040E8A8AF8C}"/>
                </c:ext>
              </c:extLst>
            </c:dLbl>
            <c:dLbl>
              <c:idx val="8"/>
              <c:layout>
                <c:manualLayout>
                  <c:x val="-1.3246681980974843E-2"/>
                  <c:y val="-4.9209223083827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4C9-456C-AC8E-3040E8A8AF8C}"/>
                </c:ext>
              </c:extLst>
            </c:dLbl>
            <c:dLbl>
              <c:idx val="9"/>
              <c:layout>
                <c:manualLayout>
                  <c:x val="-1.7067112448469226E-2"/>
                  <c:y val="-4.599902024869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4C9-456C-AC8E-3040E8A8AF8C}"/>
                </c:ext>
              </c:extLst>
            </c:dLbl>
            <c:dLbl>
              <c:idx val="10"/>
              <c:layout>
                <c:manualLayout>
                  <c:x val="1.3041325931995506E-2"/>
                  <c:y val="-2.2826821001514626E-2"/>
                </c:manualLayout>
              </c:layout>
              <c:tx>
                <c:rich>
                  <a:bodyPr/>
                  <a:lstStyle/>
                  <a:p>
                    <a:fld id="{FA269642-5558-45EE-AB1A-6433A33E01F2}" type="VALUE">
                      <a:rPr lang="en-US"/>
                      <a:pPr/>
                      <a:t>[VALOR]</a:t>
                    </a:fld>
                    <a:r>
                      <a:rPr lang="en-US"/>
                      <a:t>  →  P50</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4-44C9-456C-AC8E-3040E8A8AF8C}"/>
                </c:ext>
              </c:extLst>
            </c:dLbl>
            <c:dLbl>
              <c:idx val="11"/>
              <c:layout>
                <c:manualLayout>
                  <c:x val="-1.8863859092054406E-2"/>
                  <c:y val="-5.2419475110120968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5-44C9-456C-AC8E-3040E8A8AF8C}"/>
                </c:ext>
              </c:extLst>
            </c:dLbl>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ysClr val="windowText" lastClr="000000">
                          <a:lumMod val="35000"/>
                          <a:lumOff val="65000"/>
                        </a:sysClr>
                      </a:solidFill>
                      <a:prstDash val="sysDot"/>
                      <a:round/>
                    </a:ln>
                    <a:effectLst/>
                  </c:spPr>
                </c15:leaderLines>
              </c:ext>
            </c:extLst>
          </c:dLbls>
          <c:cat>
            <c:numRef>
              <c:extLst>
                <c:ext xmlns:c15="http://schemas.microsoft.com/office/drawing/2012/chart" uri="{02D57815-91ED-43cb-92C2-25804820EDAC}">
                  <c15:fullRef>
                    <c15:sqref>q31_q33_Fig!$B$34:$M$34</c15:sqref>
                  </c15:fullRef>
                </c:ext>
              </c:extLst>
              <c:f>q31_q33_Fig!$B$34:$M$34</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extLst>
                <c:ext xmlns:c15="http://schemas.microsoft.com/office/drawing/2012/chart" uri="{02D57815-91ED-43cb-92C2-25804820EDAC}">
                  <c15:fullRef>
                    <c15:sqref>q31_q33_Fig!$B$37:$L$37</c15:sqref>
                  </c15:fullRef>
                </c:ext>
              </c:extLst>
              <c:f>q31_q33_Fig!$B$37:$L$37</c:f>
              <c:numCache>
                <c:formatCode>#,##0\ "€"</c:formatCode>
                <c:ptCount val="11"/>
                <c:pt idx="0">
                  <c:v>786.98</c:v>
                </c:pt>
                <c:pt idx="1">
                  <c:v>790.03</c:v>
                </c:pt>
                <c:pt idx="2">
                  <c:v>800</c:v>
                </c:pt>
                <c:pt idx="3">
                  <c:v>822.95</c:v>
                </c:pt>
                <c:pt idx="4">
                  <c:v>854.8</c:v>
                </c:pt>
                <c:pt idx="5">
                  <c:v>892.01</c:v>
                </c:pt>
                <c:pt idx="6">
                  <c:v>926.14</c:v>
                </c:pt>
                <c:pt idx="7">
                  <c:v>962.2</c:v>
                </c:pt>
                <c:pt idx="8">
                  <c:v>1017.5</c:v>
                </c:pt>
                <c:pt idx="9">
                  <c:v>1100.17</c:v>
                </c:pt>
                <c:pt idx="10">
                  <c:v>1191.02</c:v>
                </c:pt>
              </c:numCache>
            </c:numRef>
          </c:val>
          <c:smooth val="0"/>
          <c:extLst>
            <c:ext xmlns:c16="http://schemas.microsoft.com/office/drawing/2014/chart" uri="{C3380CC4-5D6E-409C-BE32-E72D297353CC}">
              <c16:uniqueId val="{00000026-44C9-456C-AC8E-3040E8A8AF8C}"/>
            </c:ext>
          </c:extLst>
        </c:ser>
        <c:ser>
          <c:idx val="4"/>
          <c:order val="3"/>
          <c:tx>
            <c:strRef>
              <c:f>q31_q33_Fig!$A$39</c:f>
              <c:strCache>
                <c:ptCount val="1"/>
                <c:pt idx="0">
                  <c:v>P10</c:v>
                </c:pt>
              </c:strCache>
            </c:strRef>
          </c:tx>
          <c:spPr>
            <a:ln w="28575" cap="rnd">
              <a:noFill/>
              <a:round/>
            </a:ln>
            <a:effectLst/>
          </c:spPr>
          <c:marker>
            <c:symbol val="dash"/>
            <c:size val="5"/>
            <c:spPr>
              <a:solidFill>
                <a:schemeClr val="accent5"/>
              </a:solidFill>
              <a:ln w="25400">
                <a:solidFill>
                  <a:schemeClr val="accent1"/>
                </a:solidFill>
              </a:ln>
              <a:effectLst/>
            </c:spPr>
          </c:marker>
          <c:dLbls>
            <c:dLbl>
              <c:idx val="0"/>
              <c:layout>
                <c:manualLayout>
                  <c:x val="-2.9561102374952467E-2"/>
                  <c:y val="4.2662369417242198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7-44C9-456C-AC8E-3040E8A8AF8C}"/>
                </c:ext>
              </c:extLst>
            </c:dLbl>
            <c:dLbl>
              <c:idx val="1"/>
              <c:layout>
                <c:manualLayout>
                  <c:x val="-2.9561102374952467E-2"/>
                  <c:y val="4.266236941724230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8-44C9-456C-AC8E-3040E8A8AF8C}"/>
                </c:ext>
              </c:extLst>
            </c:dLbl>
            <c:dLbl>
              <c:idx val="2"/>
              <c:layout>
                <c:manualLayout>
                  <c:x val="-2.9561102374952498E-2"/>
                  <c:y val="4.266236941724230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9-44C9-456C-AC8E-3040E8A8AF8C}"/>
                </c:ext>
              </c:extLst>
            </c:dLbl>
            <c:dLbl>
              <c:idx val="3"/>
              <c:layout>
                <c:manualLayout>
                  <c:x val="-2.9561102374952467E-2"/>
                  <c:y val="4.266236941724230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A-44C9-456C-AC8E-3040E8A8AF8C}"/>
                </c:ext>
              </c:extLst>
            </c:dLbl>
            <c:dLbl>
              <c:idx val="4"/>
              <c:layout>
                <c:manualLayout>
                  <c:x val="-2.9561102374952467E-2"/>
                  <c:y val="4.2662369417242198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B-44C9-456C-AC8E-3040E8A8AF8C}"/>
                </c:ext>
              </c:extLst>
            </c:dLbl>
            <c:dLbl>
              <c:idx val="5"/>
              <c:layout>
                <c:manualLayout>
                  <c:x val="-2.9561102374952467E-2"/>
                  <c:y val="4.266236941724230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C-44C9-456C-AC8E-3040E8A8AF8C}"/>
                </c:ext>
              </c:extLst>
            </c:dLbl>
            <c:dLbl>
              <c:idx val="6"/>
              <c:layout>
                <c:manualLayout>
                  <c:x val="-2.9561102374952533E-2"/>
                  <c:y val="4.266236941724230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D-44C9-456C-AC8E-3040E8A8AF8C}"/>
                </c:ext>
              </c:extLst>
            </c:dLbl>
            <c:dLbl>
              <c:idx val="7"/>
              <c:layout>
                <c:manualLayout>
                  <c:x val="-2.9561102374952467E-2"/>
                  <c:y val="4.2662369417242198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E-44C9-456C-AC8E-3040E8A8AF8C}"/>
                </c:ext>
              </c:extLst>
            </c:dLbl>
            <c:dLbl>
              <c:idx val="8"/>
              <c:layout>
                <c:manualLayout>
                  <c:x val="-2.9561102374952467E-2"/>
                  <c:y val="4.266236941724230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F-44C9-456C-AC8E-3040E8A8AF8C}"/>
                </c:ext>
              </c:extLst>
            </c:dLbl>
            <c:dLbl>
              <c:idx val="9"/>
              <c:layout>
                <c:manualLayout>
                  <c:x val="-2.9561102374952467E-2"/>
                  <c:y val="4.2662369417242198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0-44C9-456C-AC8E-3040E8A8AF8C}"/>
                </c:ext>
              </c:extLst>
            </c:dLbl>
            <c:dLbl>
              <c:idx val="10"/>
              <c:layout>
                <c:manualLayout>
                  <c:x val="1.6445410024799025E-2"/>
                  <c:y val="2.528338524633722E-2"/>
                </c:manualLayout>
              </c:layout>
              <c:tx>
                <c:rich>
                  <a:bodyPr/>
                  <a:lstStyle/>
                  <a:p>
                    <a:fld id="{F127EA96-2B6A-4708-961B-27357BD702B1}" type="VALUE">
                      <a:rPr lang="en-US"/>
                      <a:pPr/>
                      <a:t>[VALOR]</a:t>
                    </a:fld>
                    <a:r>
                      <a:rPr lang="en-US" baseline="0"/>
                      <a:t>  →  </a:t>
                    </a:r>
                    <a:r>
                      <a:rPr lang="en-US"/>
                      <a:t>P10</a:t>
                    </a:r>
                  </a:p>
                </c:rich>
              </c:tx>
              <c:dLblPos val="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1-44C9-456C-AC8E-3040E8A8AF8C}"/>
                </c:ext>
              </c:extLst>
            </c:dLbl>
            <c:numFmt formatCode="#,##0\ &quot;€&quot;"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pt-PT"/>
              </a:p>
            </c:txPr>
            <c:dLblPos val="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ash"/>
                      <a:round/>
                    </a:ln>
                    <a:effectLst/>
                  </c:spPr>
                </c15:leaderLines>
              </c:ext>
            </c:extLst>
          </c:dLbls>
          <c:cat>
            <c:numRef>
              <c:extLst>
                <c:ext xmlns:c15="http://schemas.microsoft.com/office/drawing/2012/chart" uri="{02D57815-91ED-43cb-92C2-25804820EDAC}">
                  <c15:fullRef>
                    <c15:sqref>q31_q33_Fig!$B$34:$M$34</c15:sqref>
                  </c15:fullRef>
                </c:ext>
              </c:extLst>
              <c:f>q31_q33_Fig!$B$34:$M$34</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extLst>
                <c:ext xmlns:c15="http://schemas.microsoft.com/office/drawing/2012/chart" uri="{02D57815-91ED-43cb-92C2-25804820EDAC}">
                  <c15:fullRef>
                    <c15:sqref>q31_q33_Fig!$B$39:$L$39</c15:sqref>
                  </c15:fullRef>
                </c:ext>
              </c:extLst>
              <c:f>q31_q33_Fig!$B$39:$L$39</c:f>
              <c:numCache>
                <c:formatCode>#,##0\ "€"</c:formatCode>
                <c:ptCount val="11"/>
                <c:pt idx="0">
                  <c:v>555.6</c:v>
                </c:pt>
                <c:pt idx="1">
                  <c:v>557.4</c:v>
                </c:pt>
                <c:pt idx="2">
                  <c:v>578</c:v>
                </c:pt>
                <c:pt idx="3">
                  <c:v>605</c:v>
                </c:pt>
                <c:pt idx="4">
                  <c:v>632.79999999999995</c:v>
                </c:pt>
                <c:pt idx="5">
                  <c:v>655.20000000000005</c:v>
                </c:pt>
                <c:pt idx="6">
                  <c:v>695</c:v>
                </c:pt>
                <c:pt idx="7">
                  <c:v>728</c:v>
                </c:pt>
                <c:pt idx="8">
                  <c:v>775</c:v>
                </c:pt>
                <c:pt idx="9">
                  <c:v>839.6</c:v>
                </c:pt>
                <c:pt idx="10">
                  <c:v>911</c:v>
                </c:pt>
              </c:numCache>
            </c:numRef>
          </c:val>
          <c:smooth val="0"/>
          <c:extLst>
            <c:ext xmlns:c15="http://schemas.microsoft.com/office/drawing/2012/chart" uri="{02D57815-91ED-43cb-92C2-25804820EDAC}">
              <c15:datalabelsRange>
                <c15:f>q31_q33_Fig!$M$39</c15:f>
                <c15:dlblRangeCache>
                  <c:ptCount val="1"/>
                </c15:dlblRangeCache>
              </c15:datalabelsRange>
            </c:ext>
            <c:ext xmlns:c16="http://schemas.microsoft.com/office/drawing/2014/chart" uri="{C3380CC4-5D6E-409C-BE32-E72D297353CC}">
              <c16:uniqueId val="{00000032-44C9-456C-AC8E-3040E8A8AF8C}"/>
            </c:ext>
          </c:extLst>
        </c:ser>
        <c:ser>
          <c:idx val="1"/>
          <c:order val="4"/>
          <c:tx>
            <c:strRef>
              <c:f>q31_q33_Fig!$A$36</c:f>
              <c:strCache>
                <c:ptCount val="1"/>
                <c:pt idx="0">
                  <c:v>P80</c:v>
                </c:pt>
              </c:strCache>
            </c:strRef>
          </c:tx>
          <c:spPr>
            <a:ln w="28575" cap="rnd">
              <a:noFill/>
              <a:round/>
            </a:ln>
            <a:effectLst/>
          </c:spPr>
          <c:marker>
            <c:symbol val="dash"/>
            <c:size val="5"/>
            <c:spPr>
              <a:solidFill>
                <a:schemeClr val="accent2"/>
              </a:solidFill>
              <a:ln w="25400">
                <a:solidFill>
                  <a:schemeClr val="accent1"/>
                </a:solidFill>
              </a:ln>
              <a:effectLst/>
            </c:spPr>
          </c:marker>
          <c:dLbls>
            <c:dLbl>
              <c:idx val="0"/>
              <c:layout>
                <c:manualLayout>
                  <c:x val="-1.2567743442033544E-2"/>
                  <c:y val="-3.855232928470712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3-44C9-456C-AC8E-3040E8A8AF8C}"/>
                </c:ext>
              </c:extLst>
            </c:dLbl>
            <c:dLbl>
              <c:idx val="1"/>
              <c:layout>
                <c:manualLayout>
                  <c:x val="-2.5338654910190255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44C9-456C-AC8E-3040E8A8AF8C}"/>
                </c:ext>
              </c:extLst>
            </c:dLbl>
            <c:dLbl>
              <c:idx val="2"/>
              <c:layout>
                <c:manualLayout>
                  <c:x val="-2.7135401553775598E-2"/>
                  <c:y val="-3.939757933685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44C9-456C-AC8E-3040E8A8AF8C}"/>
                </c:ext>
              </c:extLst>
            </c:dLbl>
            <c:dLbl>
              <c:idx val="3"/>
              <c:layout>
                <c:manualLayout>
                  <c:x val="-2.1745161623019604E-2"/>
                  <c:y val="-3.939757933685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44C9-456C-AC8E-3040E8A8AF8C}"/>
                </c:ext>
              </c:extLst>
            </c:dLbl>
            <c:dLbl>
              <c:idx val="4"/>
              <c:layout>
                <c:manualLayout>
                  <c:x val="-2.7135401553775567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44C9-456C-AC8E-3040E8A8AF8C}"/>
                </c:ext>
              </c:extLst>
            </c:dLbl>
            <c:dLbl>
              <c:idx val="5"/>
              <c:layout>
                <c:manualLayout>
                  <c:x val="-2.5338654910190255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44C9-456C-AC8E-3040E8A8AF8C}"/>
                </c:ext>
              </c:extLst>
            </c:dLbl>
            <c:dLbl>
              <c:idx val="6"/>
              <c:layout>
                <c:manualLayout>
                  <c:x val="-2.5338654910190255E-2"/>
                  <c:y val="-3.939757933685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44C9-456C-AC8E-3040E8A8AF8C}"/>
                </c:ext>
              </c:extLst>
            </c:dLbl>
            <c:dLbl>
              <c:idx val="7"/>
              <c:layout>
                <c:manualLayout>
                  <c:x val="-2.1745161623019635E-2"/>
                  <c:y val="-4.260780676756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44C9-456C-AC8E-3040E8A8AF8C}"/>
                </c:ext>
              </c:extLst>
            </c:dLbl>
            <c:dLbl>
              <c:idx val="8"/>
              <c:layout>
                <c:manualLayout>
                  <c:x val="-2.5338654910190189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44C9-456C-AC8E-3040E8A8AF8C}"/>
                </c:ext>
              </c:extLst>
            </c:dLbl>
            <c:dLbl>
              <c:idx val="9"/>
              <c:layout>
                <c:manualLayout>
                  <c:x val="-2.5338654910190255E-2"/>
                  <c:y val="-4.260780676756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44C9-456C-AC8E-3040E8A8AF8C}"/>
                </c:ext>
              </c:extLst>
            </c:dLbl>
            <c:dLbl>
              <c:idx val="10"/>
              <c:layout>
                <c:manualLayout>
                  <c:x val="1.1793078167284149E-2"/>
                  <c:y val="-1.6539102157812641E-2"/>
                </c:manualLayout>
              </c:layout>
              <c:tx>
                <c:rich>
                  <a:bodyPr/>
                  <a:lstStyle/>
                  <a:p>
                    <a:fld id="{7DBCAAD3-4591-432D-A2D1-9FD73A61948A}" type="VALUE">
                      <a:rPr lang="en-US"/>
                      <a:pPr/>
                      <a:t>[VALOR]</a:t>
                    </a:fld>
                    <a:r>
                      <a:rPr lang="en-US"/>
                      <a:t>  →  P80</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D-44C9-456C-AC8E-3040E8A8AF8C}"/>
                </c:ext>
              </c:extLst>
            </c:dLbl>
            <c:dLbl>
              <c:idx val="11"/>
              <c:layout>
                <c:manualLayout>
                  <c:x val="-2.7135401553775567E-2"/>
                  <c:y val="-4.5818034198274828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E-44C9-456C-AC8E-3040E8A8AF8C}"/>
                </c:ext>
              </c:extLst>
            </c:dLbl>
            <c:numFmt formatCode="#,##0\ &quot;€&quot;"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ot"/>
                      <a:round/>
                    </a:ln>
                    <a:effectLst/>
                  </c:spPr>
                </c15:leaderLines>
              </c:ext>
            </c:extLst>
          </c:dLbls>
          <c:cat>
            <c:numRef>
              <c:extLst>
                <c:ext xmlns:c15="http://schemas.microsoft.com/office/drawing/2012/chart" uri="{02D57815-91ED-43cb-92C2-25804820EDAC}">
                  <c15:fullRef>
                    <c15:sqref>q31_q33_Fig!$B$34:$M$34</c15:sqref>
                  </c15:fullRef>
                </c:ext>
              </c:extLst>
              <c:f>q31_q33_Fig!$B$34:$M$34</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extLst>
                <c:ext xmlns:c15="http://schemas.microsoft.com/office/drawing/2012/chart" uri="{02D57815-91ED-43cb-92C2-25804820EDAC}">
                  <c15:fullRef>
                    <c15:sqref>q31_q33_Fig!$B$36:$O$36</c15:sqref>
                  </c15:fullRef>
                </c:ext>
              </c:extLst>
              <c:f>q31_q33_Fig!$B$36:$M$36</c:f>
              <c:numCache>
                <c:formatCode>#,##0\ "€"</c:formatCode>
                <c:ptCount val="12"/>
                <c:pt idx="0">
                  <c:v>1349.76</c:v>
                </c:pt>
                <c:pt idx="1">
                  <c:v>1350</c:v>
                </c:pt>
                <c:pt idx="2">
                  <c:v>1351.02</c:v>
                </c:pt>
                <c:pt idx="3">
                  <c:v>1374.6</c:v>
                </c:pt>
                <c:pt idx="4">
                  <c:v>1417.92</c:v>
                </c:pt>
                <c:pt idx="5">
                  <c:v>1471.67</c:v>
                </c:pt>
                <c:pt idx="6">
                  <c:v>1517.99</c:v>
                </c:pt>
                <c:pt idx="7">
                  <c:v>1569.5</c:v>
                </c:pt>
                <c:pt idx="8">
                  <c:v>1652.03</c:v>
                </c:pt>
                <c:pt idx="9">
                  <c:v>1763.96</c:v>
                </c:pt>
                <c:pt idx="10">
                  <c:v>1893.43</c:v>
                </c:pt>
              </c:numCache>
            </c:numRef>
          </c:val>
          <c:smooth val="0"/>
          <c:extLst>
            <c:ext xmlns:c16="http://schemas.microsoft.com/office/drawing/2014/chart" uri="{C3380CC4-5D6E-409C-BE32-E72D297353CC}">
              <c16:uniqueId val="{0000003F-44C9-456C-AC8E-3040E8A8AF8C}"/>
            </c:ext>
          </c:extLst>
        </c:ser>
        <c:dLbls>
          <c:showLegendKey val="0"/>
          <c:showVal val="0"/>
          <c:showCatName val="0"/>
          <c:showSerName val="0"/>
          <c:showPercent val="0"/>
          <c:showBubbleSize val="0"/>
        </c:dLbls>
        <c:hiLowLines>
          <c:spPr>
            <a:ln w="9525" cap="flat" cmpd="sng" algn="ctr">
              <a:solidFill>
                <a:schemeClr val="tx1">
                  <a:lumMod val="75000"/>
                  <a:lumOff val="25000"/>
                  <a:alpha val="21000"/>
                </a:schemeClr>
              </a:solidFill>
              <a:round/>
            </a:ln>
            <a:effectLst/>
          </c:spPr>
        </c:hiLowLines>
        <c:upDownBars>
          <c:gapWidth val="219"/>
          <c:upBars>
            <c:spPr>
              <a:solidFill>
                <a:srgbClr val="4F81BD">
                  <a:lumMod val="60000"/>
                  <a:lumOff val="40000"/>
                  <a:alpha val="57000"/>
                </a:srgbClr>
              </a:solidFill>
              <a:ln w="34925">
                <a:solidFill>
                  <a:schemeClr val="tx2">
                    <a:lumMod val="20000"/>
                    <a:lumOff val="80000"/>
                  </a:schemeClr>
                </a:solidFill>
              </a:ln>
              <a:effectLst/>
              <a:scene3d>
                <a:camera prst="orthographicFront"/>
                <a:lightRig rig="threePt" dir="t"/>
              </a:scene3d>
              <a:sp3d>
                <a:bevelB w="133350"/>
              </a:sp3d>
            </c:spPr>
          </c:upBars>
          <c:downBars>
            <c:spPr>
              <a:solidFill>
                <a:schemeClr val="dk1">
                  <a:lumMod val="65000"/>
                  <a:lumOff val="35000"/>
                </a:schemeClr>
              </a:solidFill>
              <a:ln w="9525">
                <a:solidFill>
                  <a:schemeClr val="tx1">
                    <a:lumMod val="65000"/>
                    <a:lumOff val="35000"/>
                  </a:schemeClr>
                </a:solidFill>
              </a:ln>
              <a:effectLst/>
            </c:spPr>
          </c:downBars>
        </c:upDownBars>
        <c:marker val="1"/>
        <c:smooth val="0"/>
        <c:axId val="1516193728"/>
        <c:axId val="243822752"/>
      </c:lineChart>
      <c:catAx>
        <c:axId val="151619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243822752"/>
        <c:crosses val="autoZero"/>
        <c:auto val="1"/>
        <c:lblAlgn val="ctr"/>
        <c:lblOffset val="100"/>
        <c:noMultiLvlLbl val="0"/>
      </c:catAx>
      <c:valAx>
        <c:axId val="243822752"/>
        <c:scaling>
          <c:orientation val="minMax"/>
          <c:max val="2800"/>
          <c:min val="0"/>
        </c:scaling>
        <c:delete val="0"/>
        <c:axPos val="l"/>
        <c:majorGridlines>
          <c:spPr>
            <a:ln w="9525" cap="flat" cmpd="sng" algn="ctr">
              <a:noFill/>
              <a:round/>
            </a:ln>
            <a:effectLst/>
          </c:spPr>
        </c:majorGridlines>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516193728"/>
        <c:crosses val="autoZero"/>
        <c:crossBetween val="between"/>
        <c:majorUnit val="400"/>
        <c:minorUnit val="2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PT" sz="900" b="1">
                <a:solidFill>
                  <a:schemeClr val="tx2">
                    <a:lumMod val="75000"/>
                  </a:schemeClr>
                </a:solidFill>
              </a:rPr>
              <a:t>...por Secção de Atividade Económica</a:t>
            </a:r>
          </a:p>
        </c:rich>
      </c:tx>
      <c:layout>
        <c:manualLayout>
          <c:xMode val="edge"/>
          <c:yMode val="edge"/>
          <c:x val="0.46600349040139616"/>
          <c:y val="3.71345029239766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PT"/>
        </a:p>
      </c:txPr>
    </c:title>
    <c:autoTitleDeleted val="0"/>
    <c:plotArea>
      <c:layout/>
      <c:barChart>
        <c:barDir val="col"/>
        <c:grouping val="stacked"/>
        <c:varyColors val="0"/>
        <c:ser>
          <c:idx val="0"/>
          <c:order val="0"/>
          <c:tx>
            <c:strRef>
              <c:f>q1_q2_q5_q6_Fig!$R$7</c:f>
              <c:strCache>
                <c:ptCount val="1"/>
                <c:pt idx="0">
                  <c:v>A</c:v>
                </c:pt>
              </c:strCache>
            </c:strRef>
          </c:tx>
          <c:spPr>
            <a:solidFill>
              <a:schemeClr val="accent1"/>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q1_q2_q5_q6_Fig!$S$7:$AC$7</c:f>
              <c:numCache>
                <c:formatCode>General</c:formatCode>
                <c:ptCount val="11"/>
                <c:pt idx="0">
                  <c:v>13063</c:v>
                </c:pt>
                <c:pt idx="1">
                  <c:v>13445</c:v>
                </c:pt>
                <c:pt idx="2">
                  <c:v>13755</c:v>
                </c:pt>
                <c:pt idx="3">
                  <c:v>13847</c:v>
                </c:pt>
                <c:pt idx="4">
                  <c:v>13971</c:v>
                </c:pt>
                <c:pt idx="5">
                  <c:v>13547</c:v>
                </c:pt>
                <c:pt idx="6">
                  <c:v>13691</c:v>
                </c:pt>
                <c:pt idx="7">
                  <c:v>13199</c:v>
                </c:pt>
                <c:pt idx="8">
                  <c:v>13618</c:v>
                </c:pt>
                <c:pt idx="9">
                  <c:v>13805</c:v>
                </c:pt>
                <c:pt idx="10">
                  <c:v>13716</c:v>
                </c:pt>
              </c:numCache>
            </c:numRef>
          </c:val>
          <c:extLst xmlns:c15="http://schemas.microsoft.com/office/drawing/2012/chart">
            <c:ext xmlns:c16="http://schemas.microsoft.com/office/drawing/2014/chart" uri="{C3380CC4-5D6E-409C-BE32-E72D297353CC}">
              <c16:uniqueId val="{0000001F-37F2-45F6-A984-AC81FAFEB245}"/>
            </c:ext>
          </c:extLst>
        </c:ser>
        <c:ser>
          <c:idx val="1"/>
          <c:order val="1"/>
          <c:tx>
            <c:strRef>
              <c:f>q1_q2_q5_q6_Fig!$R$8</c:f>
              <c:strCache>
                <c:ptCount val="1"/>
                <c:pt idx="0">
                  <c:v>B</c:v>
                </c:pt>
              </c:strCache>
            </c:strRef>
          </c:tx>
          <c:spPr>
            <a:solidFill>
              <a:schemeClr val="accent3"/>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q1_q2_q5_q6_Fig!$S$8:$AC$8</c:f>
              <c:numCache>
                <c:formatCode>General</c:formatCode>
                <c:ptCount val="11"/>
                <c:pt idx="0">
                  <c:v>564</c:v>
                </c:pt>
                <c:pt idx="1">
                  <c:v>558</c:v>
                </c:pt>
                <c:pt idx="2">
                  <c:v>536</c:v>
                </c:pt>
                <c:pt idx="3">
                  <c:v>542</c:v>
                </c:pt>
                <c:pt idx="4">
                  <c:v>526</c:v>
                </c:pt>
                <c:pt idx="5">
                  <c:v>510</c:v>
                </c:pt>
                <c:pt idx="6">
                  <c:v>504</c:v>
                </c:pt>
                <c:pt idx="7">
                  <c:v>486</c:v>
                </c:pt>
                <c:pt idx="8">
                  <c:v>494</c:v>
                </c:pt>
                <c:pt idx="9">
                  <c:v>499</c:v>
                </c:pt>
                <c:pt idx="10">
                  <c:v>467</c:v>
                </c:pt>
              </c:numCache>
            </c:numRef>
          </c:val>
          <c:extLst>
            <c:ext xmlns:c16="http://schemas.microsoft.com/office/drawing/2014/chart" uri="{C3380CC4-5D6E-409C-BE32-E72D297353CC}">
              <c16:uniqueId val="{00000000-37F2-45F6-A984-AC81FAFEB245}"/>
            </c:ext>
          </c:extLst>
        </c:ser>
        <c:ser>
          <c:idx val="2"/>
          <c:order val="2"/>
          <c:tx>
            <c:strRef>
              <c:f>q1_q2_q5_q6_Fig!$R$9</c:f>
              <c:strCache>
                <c:ptCount val="1"/>
                <c:pt idx="0">
                  <c:v>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q1_q2_q5_q6_Fig!$S$9:$AC$9</c:f>
              <c:numCache>
                <c:formatCode>General</c:formatCode>
                <c:ptCount val="11"/>
                <c:pt idx="0">
                  <c:v>32895</c:v>
                </c:pt>
                <c:pt idx="1">
                  <c:v>32998</c:v>
                </c:pt>
                <c:pt idx="2">
                  <c:v>33278</c:v>
                </c:pt>
                <c:pt idx="3">
                  <c:v>33315</c:v>
                </c:pt>
                <c:pt idx="4">
                  <c:v>33177</c:v>
                </c:pt>
                <c:pt idx="5">
                  <c:v>31905</c:v>
                </c:pt>
                <c:pt idx="6">
                  <c:v>31715</c:v>
                </c:pt>
                <c:pt idx="7">
                  <c:v>30818</c:v>
                </c:pt>
                <c:pt idx="8">
                  <c:v>31733</c:v>
                </c:pt>
                <c:pt idx="9">
                  <c:v>31551</c:v>
                </c:pt>
                <c:pt idx="10">
                  <c:v>30548</c:v>
                </c:pt>
              </c:numCache>
            </c:numRef>
          </c:val>
          <c:extLst>
            <c:ext xmlns:c16="http://schemas.microsoft.com/office/drawing/2014/chart" uri="{C3380CC4-5D6E-409C-BE32-E72D297353CC}">
              <c16:uniqueId val="{00000001-37F2-45F6-A984-AC81FAFEB245}"/>
            </c:ext>
          </c:extLst>
        </c:ser>
        <c:ser>
          <c:idx val="3"/>
          <c:order val="3"/>
          <c:tx>
            <c:strRef>
              <c:f>q1_q2_q5_q6_Fig!$R$10</c:f>
              <c:strCache>
                <c:ptCount val="1"/>
                <c:pt idx="0">
                  <c:v>D</c:v>
                </c:pt>
              </c:strCache>
            </c:strRef>
          </c:tx>
          <c:spPr>
            <a:solidFill>
              <a:schemeClr val="accent1">
                <a:lumMod val="6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q1_q2_q5_q6_Fig!$S$10:$AC$10</c:f>
              <c:numCache>
                <c:formatCode>General</c:formatCode>
                <c:ptCount val="11"/>
                <c:pt idx="0">
                  <c:v>193</c:v>
                </c:pt>
                <c:pt idx="1">
                  <c:v>211</c:v>
                </c:pt>
                <c:pt idx="2">
                  <c:v>204</c:v>
                </c:pt>
                <c:pt idx="3">
                  <c:v>194</c:v>
                </c:pt>
                <c:pt idx="4">
                  <c:v>183</c:v>
                </c:pt>
                <c:pt idx="5">
                  <c:v>185</c:v>
                </c:pt>
                <c:pt idx="6">
                  <c:v>198</c:v>
                </c:pt>
                <c:pt idx="7">
                  <c:v>192</c:v>
                </c:pt>
                <c:pt idx="8">
                  <c:v>209</c:v>
                </c:pt>
                <c:pt idx="9">
                  <c:v>236</c:v>
                </c:pt>
                <c:pt idx="10">
                  <c:v>244</c:v>
                </c:pt>
              </c:numCache>
            </c:numRef>
          </c:val>
          <c:extLst>
            <c:ext xmlns:c16="http://schemas.microsoft.com/office/drawing/2014/chart" uri="{C3380CC4-5D6E-409C-BE32-E72D297353CC}">
              <c16:uniqueId val="{00000003-37F2-45F6-A984-AC81FAFEB245}"/>
            </c:ext>
          </c:extLst>
        </c:ser>
        <c:ser>
          <c:idx val="4"/>
          <c:order val="4"/>
          <c:tx>
            <c:strRef>
              <c:f>q1_q2_q5_q6_Fig!$R$11</c:f>
              <c:strCache>
                <c:ptCount val="1"/>
                <c:pt idx="0">
                  <c:v>E</c:v>
                </c:pt>
              </c:strCache>
            </c:strRef>
          </c:tx>
          <c:spPr>
            <a:solidFill>
              <a:schemeClr val="accent3">
                <a:lumMod val="6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q1_q2_q5_q6_Fig!$S$11:$AC$11</c:f>
              <c:numCache>
                <c:formatCode>General</c:formatCode>
                <c:ptCount val="11"/>
                <c:pt idx="0">
                  <c:v>637</c:v>
                </c:pt>
                <c:pt idx="1">
                  <c:v>623</c:v>
                </c:pt>
                <c:pt idx="2">
                  <c:v>605</c:v>
                </c:pt>
                <c:pt idx="3">
                  <c:v>607</c:v>
                </c:pt>
                <c:pt idx="4">
                  <c:v>602</c:v>
                </c:pt>
                <c:pt idx="5">
                  <c:v>617</c:v>
                </c:pt>
                <c:pt idx="6">
                  <c:v>625</c:v>
                </c:pt>
                <c:pt idx="7">
                  <c:v>620</c:v>
                </c:pt>
                <c:pt idx="8">
                  <c:v>636</c:v>
                </c:pt>
                <c:pt idx="9">
                  <c:v>648</c:v>
                </c:pt>
                <c:pt idx="10">
                  <c:v>630</c:v>
                </c:pt>
              </c:numCache>
            </c:numRef>
          </c:val>
          <c:extLst>
            <c:ext xmlns:c16="http://schemas.microsoft.com/office/drawing/2014/chart" uri="{C3380CC4-5D6E-409C-BE32-E72D297353CC}">
              <c16:uniqueId val="{00000004-37F2-45F6-A984-AC81FAFEB245}"/>
            </c:ext>
          </c:extLst>
        </c:ser>
        <c:ser>
          <c:idx val="5"/>
          <c:order val="5"/>
          <c:tx>
            <c:strRef>
              <c:f>q1_q2_q5_q6_Fig!$R$12</c:f>
              <c:strCache>
                <c:ptCount val="1"/>
                <c:pt idx="0">
                  <c:v>F</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q1_q2_q5_q6_Fig!$S$12:$AC$12</c:f>
              <c:numCache>
                <c:formatCode>General</c:formatCode>
                <c:ptCount val="11"/>
                <c:pt idx="0">
                  <c:v>27621</c:v>
                </c:pt>
                <c:pt idx="1">
                  <c:v>27400</c:v>
                </c:pt>
                <c:pt idx="2">
                  <c:v>27945</c:v>
                </c:pt>
                <c:pt idx="3">
                  <c:v>28669</c:v>
                </c:pt>
                <c:pt idx="4">
                  <c:v>29662</c:v>
                </c:pt>
                <c:pt idx="5">
                  <c:v>30134</c:v>
                </c:pt>
                <c:pt idx="6">
                  <c:v>31394</c:v>
                </c:pt>
                <c:pt idx="7">
                  <c:v>31375</c:v>
                </c:pt>
                <c:pt idx="8">
                  <c:v>33643</c:v>
                </c:pt>
                <c:pt idx="9">
                  <c:v>35137</c:v>
                </c:pt>
                <c:pt idx="10">
                  <c:v>35614</c:v>
                </c:pt>
              </c:numCache>
            </c:numRef>
          </c:val>
          <c:extLst>
            <c:ext xmlns:c16="http://schemas.microsoft.com/office/drawing/2014/chart" uri="{C3380CC4-5D6E-409C-BE32-E72D297353CC}">
              <c16:uniqueId val="{00000005-37F2-45F6-A984-AC81FAFEB245}"/>
            </c:ext>
          </c:extLst>
        </c:ser>
        <c:ser>
          <c:idx val="6"/>
          <c:order val="6"/>
          <c:tx>
            <c:strRef>
              <c:f>q1_q2_q5_q6_Fig!$R$13</c:f>
              <c:strCache>
                <c:ptCount val="1"/>
                <c:pt idx="0">
                  <c:v>G</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q1_q2_q5_q6_Fig!$S$13:$AC$13</c:f>
              <c:numCache>
                <c:formatCode>General</c:formatCode>
                <c:ptCount val="11"/>
                <c:pt idx="0">
                  <c:v>74208</c:v>
                </c:pt>
                <c:pt idx="1">
                  <c:v>74441</c:v>
                </c:pt>
                <c:pt idx="2">
                  <c:v>74332</c:v>
                </c:pt>
                <c:pt idx="3">
                  <c:v>73637</c:v>
                </c:pt>
                <c:pt idx="4">
                  <c:v>73191</c:v>
                </c:pt>
                <c:pt idx="5">
                  <c:v>69985</c:v>
                </c:pt>
                <c:pt idx="6">
                  <c:v>69568</c:v>
                </c:pt>
                <c:pt idx="7">
                  <c:v>67802</c:v>
                </c:pt>
                <c:pt idx="8">
                  <c:v>69554</c:v>
                </c:pt>
                <c:pt idx="9">
                  <c:v>69619</c:v>
                </c:pt>
                <c:pt idx="10">
                  <c:v>67579</c:v>
                </c:pt>
              </c:numCache>
            </c:numRef>
          </c:val>
          <c:extLst>
            <c:ext xmlns:c16="http://schemas.microsoft.com/office/drawing/2014/chart" uri="{C3380CC4-5D6E-409C-BE32-E72D297353CC}">
              <c16:uniqueId val="{0000000F-37F2-45F6-A984-AC81FAFEB245}"/>
            </c:ext>
          </c:extLst>
        </c:ser>
        <c:ser>
          <c:idx val="7"/>
          <c:order val="7"/>
          <c:tx>
            <c:strRef>
              <c:f>q1_q2_q5_q6_Fig!$R$14</c:f>
              <c:strCache>
                <c:ptCount val="1"/>
                <c:pt idx="0">
                  <c:v>H</c:v>
                </c:pt>
              </c:strCache>
            </c:strRef>
          </c:tx>
          <c:spPr>
            <a:solidFill>
              <a:schemeClr val="accent3">
                <a:lumMod val="80000"/>
                <a:lumOff val="2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q1_q2_q5_q6_Fig!$S$14:$AC$14</c:f>
              <c:numCache>
                <c:formatCode>General</c:formatCode>
                <c:ptCount val="11"/>
                <c:pt idx="0">
                  <c:v>10632</c:v>
                </c:pt>
                <c:pt idx="1">
                  <c:v>10537</c:v>
                </c:pt>
                <c:pt idx="2">
                  <c:v>10462</c:v>
                </c:pt>
                <c:pt idx="3">
                  <c:v>10490</c:v>
                </c:pt>
                <c:pt idx="4">
                  <c:v>10497</c:v>
                </c:pt>
                <c:pt idx="5">
                  <c:v>10339</c:v>
                </c:pt>
                <c:pt idx="6">
                  <c:v>10288</c:v>
                </c:pt>
                <c:pt idx="7">
                  <c:v>9821</c:v>
                </c:pt>
                <c:pt idx="8">
                  <c:v>10445</c:v>
                </c:pt>
                <c:pt idx="9">
                  <c:v>11013</c:v>
                </c:pt>
                <c:pt idx="10">
                  <c:v>10965</c:v>
                </c:pt>
              </c:numCache>
            </c:numRef>
          </c:val>
          <c:extLst>
            <c:ext xmlns:c16="http://schemas.microsoft.com/office/drawing/2014/chart" uri="{C3380CC4-5D6E-409C-BE32-E72D297353CC}">
              <c16:uniqueId val="{00000010-37F2-45F6-A984-AC81FAFEB245}"/>
            </c:ext>
          </c:extLst>
        </c:ser>
        <c:ser>
          <c:idx val="8"/>
          <c:order val="8"/>
          <c:tx>
            <c:strRef>
              <c:f>q1_q2_q5_q6_Fig!$R$15</c:f>
              <c:strCache>
                <c:ptCount val="1"/>
                <c:pt idx="0">
                  <c:v>I</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q1_q2_q5_q6_Fig!$S$15:$AC$15</c:f>
              <c:numCache>
                <c:formatCode>General</c:formatCode>
                <c:ptCount val="11"/>
                <c:pt idx="0">
                  <c:v>31162</c:v>
                </c:pt>
                <c:pt idx="1">
                  <c:v>32218</c:v>
                </c:pt>
                <c:pt idx="2">
                  <c:v>33270</c:v>
                </c:pt>
                <c:pt idx="3">
                  <c:v>34159</c:v>
                </c:pt>
                <c:pt idx="4">
                  <c:v>34949</c:v>
                </c:pt>
                <c:pt idx="5">
                  <c:v>33798</c:v>
                </c:pt>
                <c:pt idx="6">
                  <c:v>33300</c:v>
                </c:pt>
                <c:pt idx="7">
                  <c:v>32645</c:v>
                </c:pt>
                <c:pt idx="8">
                  <c:v>34416</c:v>
                </c:pt>
                <c:pt idx="9">
                  <c:v>35628</c:v>
                </c:pt>
                <c:pt idx="10">
                  <c:v>35543</c:v>
                </c:pt>
              </c:numCache>
            </c:numRef>
          </c:val>
          <c:extLst>
            <c:ext xmlns:c16="http://schemas.microsoft.com/office/drawing/2014/chart" uri="{C3380CC4-5D6E-409C-BE32-E72D297353CC}">
              <c16:uniqueId val="{00000011-37F2-45F6-A984-AC81FAFEB245}"/>
            </c:ext>
          </c:extLst>
        </c:ser>
        <c:ser>
          <c:idx val="9"/>
          <c:order val="9"/>
          <c:tx>
            <c:strRef>
              <c:f>q1_q2_q5_q6_Fig!$R$16</c:f>
              <c:strCache>
                <c:ptCount val="1"/>
                <c:pt idx="0">
                  <c:v>J</c:v>
                </c:pt>
              </c:strCache>
            </c:strRef>
          </c:tx>
          <c:spPr>
            <a:solidFill>
              <a:schemeClr val="accent1">
                <a:lumMod val="8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q1_q2_q5_q6_Fig!$S$16:$AC$16</c:f>
              <c:numCache>
                <c:formatCode>General</c:formatCode>
                <c:ptCount val="11"/>
                <c:pt idx="0">
                  <c:v>4637</c:v>
                </c:pt>
                <c:pt idx="1">
                  <c:v>4749</c:v>
                </c:pt>
                <c:pt idx="2">
                  <c:v>4883</c:v>
                </c:pt>
                <c:pt idx="3">
                  <c:v>5130</c:v>
                </c:pt>
                <c:pt idx="4">
                  <c:v>5304</c:v>
                </c:pt>
                <c:pt idx="5">
                  <c:v>5356</c:v>
                </c:pt>
                <c:pt idx="6">
                  <c:v>5633</c:v>
                </c:pt>
                <c:pt idx="7">
                  <c:v>5723</c:v>
                </c:pt>
                <c:pt idx="8">
                  <c:v>6314</c:v>
                </c:pt>
                <c:pt idx="9">
                  <c:v>6698</c:v>
                </c:pt>
                <c:pt idx="10">
                  <c:v>6857</c:v>
                </c:pt>
              </c:numCache>
            </c:numRef>
          </c:val>
          <c:extLst>
            <c:ext xmlns:c16="http://schemas.microsoft.com/office/drawing/2014/chart" uri="{C3380CC4-5D6E-409C-BE32-E72D297353CC}">
              <c16:uniqueId val="{00000013-37F2-45F6-A984-AC81FAFEB245}"/>
            </c:ext>
          </c:extLst>
        </c:ser>
        <c:ser>
          <c:idx val="10"/>
          <c:order val="10"/>
          <c:tx>
            <c:strRef>
              <c:f>q1_q2_q5_q6_Fig!$R$17</c:f>
              <c:strCache>
                <c:ptCount val="1"/>
                <c:pt idx="0">
                  <c:v>K</c:v>
                </c:pt>
              </c:strCache>
            </c:strRef>
          </c:tx>
          <c:spPr>
            <a:solidFill>
              <a:schemeClr val="accent3">
                <a:lumMod val="8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q1_q2_q5_q6_Fig!$S$17:$AC$17</c:f>
              <c:numCache>
                <c:formatCode>General</c:formatCode>
                <c:ptCount val="11"/>
                <c:pt idx="0">
                  <c:v>3675</c:v>
                </c:pt>
                <c:pt idx="1">
                  <c:v>3674</c:v>
                </c:pt>
                <c:pt idx="2">
                  <c:v>3659</c:v>
                </c:pt>
                <c:pt idx="3">
                  <c:v>3692</c:v>
                </c:pt>
                <c:pt idx="4">
                  <c:v>3685</c:v>
                </c:pt>
                <c:pt idx="5">
                  <c:v>3647</c:v>
                </c:pt>
                <c:pt idx="6">
                  <c:v>3710</c:v>
                </c:pt>
                <c:pt idx="7">
                  <c:v>3599</c:v>
                </c:pt>
                <c:pt idx="8">
                  <c:v>3755</c:v>
                </c:pt>
                <c:pt idx="9">
                  <c:v>3781</c:v>
                </c:pt>
                <c:pt idx="10">
                  <c:v>3799</c:v>
                </c:pt>
              </c:numCache>
            </c:numRef>
          </c:val>
          <c:extLst>
            <c:ext xmlns:c16="http://schemas.microsoft.com/office/drawing/2014/chart" uri="{C3380CC4-5D6E-409C-BE32-E72D297353CC}">
              <c16:uniqueId val="{00000014-37F2-45F6-A984-AC81FAFEB245}"/>
            </c:ext>
          </c:extLst>
        </c:ser>
        <c:ser>
          <c:idx val="11"/>
          <c:order val="11"/>
          <c:tx>
            <c:strRef>
              <c:f>q1_q2_q5_q6_Fig!$R$18</c:f>
              <c:strCache>
                <c:ptCount val="1"/>
                <c:pt idx="0">
                  <c:v>L</c:v>
                </c:pt>
              </c:strCache>
            </c:strRef>
          </c:tx>
          <c:spPr>
            <a:solidFill>
              <a:schemeClr val="accent5">
                <a:lumMod val="8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q1_q2_q5_q6_Fig!$S$18:$AC$18</c:f>
              <c:numCache>
                <c:formatCode>General</c:formatCode>
                <c:ptCount val="11"/>
                <c:pt idx="0">
                  <c:v>6325</c:v>
                </c:pt>
                <c:pt idx="1">
                  <c:v>6641</c:v>
                </c:pt>
                <c:pt idx="2">
                  <c:v>7069</c:v>
                </c:pt>
                <c:pt idx="3">
                  <c:v>7649</c:v>
                </c:pt>
                <c:pt idx="4">
                  <c:v>8416</c:v>
                </c:pt>
                <c:pt idx="5">
                  <c:v>8804</c:v>
                </c:pt>
                <c:pt idx="6">
                  <c:v>9411</c:v>
                </c:pt>
                <c:pt idx="7">
                  <c:v>9635</c:v>
                </c:pt>
                <c:pt idx="8">
                  <c:v>10313</c:v>
                </c:pt>
                <c:pt idx="9">
                  <c:v>11022</c:v>
                </c:pt>
                <c:pt idx="10">
                  <c:v>11090</c:v>
                </c:pt>
              </c:numCache>
            </c:numRef>
          </c:val>
          <c:extLst>
            <c:ext xmlns:c16="http://schemas.microsoft.com/office/drawing/2014/chart" uri="{C3380CC4-5D6E-409C-BE32-E72D297353CC}">
              <c16:uniqueId val="{00000015-37F2-45F6-A984-AC81FAFEB245}"/>
            </c:ext>
          </c:extLst>
        </c:ser>
        <c:ser>
          <c:idx val="12"/>
          <c:order val="12"/>
          <c:tx>
            <c:strRef>
              <c:f>q1_q2_q5_q6_Fig!$R$19</c:f>
              <c:strCache>
                <c:ptCount val="1"/>
                <c:pt idx="0">
                  <c:v>M</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q1_q2_q5_q6_Fig!$S$19:$AC$19</c:f>
              <c:numCache>
                <c:formatCode>General</c:formatCode>
                <c:ptCount val="11"/>
                <c:pt idx="0">
                  <c:v>21426</c:v>
                </c:pt>
                <c:pt idx="1">
                  <c:v>21717</c:v>
                </c:pt>
                <c:pt idx="2">
                  <c:v>22039</c:v>
                </c:pt>
                <c:pt idx="3">
                  <c:v>22524</c:v>
                </c:pt>
                <c:pt idx="4">
                  <c:v>23187</c:v>
                </c:pt>
                <c:pt idx="5">
                  <c:v>22977</c:v>
                </c:pt>
                <c:pt idx="6">
                  <c:v>23504</c:v>
                </c:pt>
                <c:pt idx="7">
                  <c:v>23335</c:v>
                </c:pt>
                <c:pt idx="8">
                  <c:v>24442</c:v>
                </c:pt>
                <c:pt idx="9">
                  <c:v>25202</c:v>
                </c:pt>
                <c:pt idx="10">
                  <c:v>25302</c:v>
                </c:pt>
              </c:numCache>
            </c:numRef>
          </c:val>
          <c:extLst>
            <c:ext xmlns:c16="http://schemas.microsoft.com/office/drawing/2014/chart" uri="{C3380CC4-5D6E-409C-BE32-E72D297353CC}">
              <c16:uniqueId val="{00000016-37F2-45F6-A984-AC81FAFEB245}"/>
            </c:ext>
          </c:extLst>
        </c:ser>
        <c:ser>
          <c:idx val="13"/>
          <c:order val="13"/>
          <c:tx>
            <c:strRef>
              <c:f>q1_q2_q5_q6_Fig!$R$20</c:f>
              <c:strCache>
                <c:ptCount val="1"/>
                <c:pt idx="0">
                  <c:v>N</c:v>
                </c:pt>
              </c:strCache>
            </c:strRef>
          </c:tx>
          <c:spPr>
            <a:solidFill>
              <a:schemeClr val="accent3">
                <a:lumMod val="60000"/>
                <a:lumOff val="4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q1_q2_q5_q6_Fig!$S$20:$AC$20</c:f>
              <c:numCache>
                <c:formatCode>General</c:formatCode>
                <c:ptCount val="11"/>
                <c:pt idx="0">
                  <c:v>7438</c:v>
                </c:pt>
                <c:pt idx="1">
                  <c:v>7568</c:v>
                </c:pt>
                <c:pt idx="2">
                  <c:v>7855</c:v>
                </c:pt>
                <c:pt idx="3">
                  <c:v>7959</c:v>
                </c:pt>
                <c:pt idx="4">
                  <c:v>7811</c:v>
                </c:pt>
                <c:pt idx="5">
                  <c:v>7970</c:v>
                </c:pt>
                <c:pt idx="6">
                  <c:v>8005</c:v>
                </c:pt>
                <c:pt idx="7">
                  <c:v>7640</c:v>
                </c:pt>
                <c:pt idx="8">
                  <c:v>8560</c:v>
                </c:pt>
                <c:pt idx="9">
                  <c:v>8903</c:v>
                </c:pt>
                <c:pt idx="10">
                  <c:v>9033</c:v>
                </c:pt>
              </c:numCache>
            </c:numRef>
          </c:val>
          <c:extLst>
            <c:ext xmlns:c16="http://schemas.microsoft.com/office/drawing/2014/chart" uri="{C3380CC4-5D6E-409C-BE32-E72D297353CC}">
              <c16:uniqueId val="{00000017-37F2-45F6-A984-AC81FAFEB245}"/>
            </c:ext>
          </c:extLst>
        </c:ser>
        <c:ser>
          <c:idx val="14"/>
          <c:order val="14"/>
          <c:tx>
            <c:strRef>
              <c:f>q1_q2_q5_q6_Fig!$R$21</c:f>
              <c:strCache>
                <c:ptCount val="1"/>
                <c:pt idx="0">
                  <c:v>O</c:v>
                </c:pt>
              </c:strCache>
            </c:strRef>
          </c:tx>
          <c:spPr>
            <a:solidFill>
              <a:schemeClr val="accent5">
                <a:lumMod val="60000"/>
                <a:lumOff val="4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q1_q2_q5_q6_Fig!$S$21:$AC$21</c:f>
              <c:numCache>
                <c:formatCode>General</c:formatCode>
                <c:ptCount val="11"/>
                <c:pt idx="0">
                  <c:v>599</c:v>
                </c:pt>
                <c:pt idx="1">
                  <c:v>596</c:v>
                </c:pt>
                <c:pt idx="2">
                  <c:v>560</c:v>
                </c:pt>
                <c:pt idx="3">
                  <c:v>559</c:v>
                </c:pt>
                <c:pt idx="4">
                  <c:v>564</c:v>
                </c:pt>
                <c:pt idx="5">
                  <c:v>546</c:v>
                </c:pt>
                <c:pt idx="6">
                  <c:v>558</c:v>
                </c:pt>
                <c:pt idx="7">
                  <c:v>517</c:v>
                </c:pt>
                <c:pt idx="8">
                  <c:v>520</c:v>
                </c:pt>
                <c:pt idx="9">
                  <c:v>534</c:v>
                </c:pt>
                <c:pt idx="10">
                  <c:v>553</c:v>
                </c:pt>
              </c:numCache>
            </c:numRef>
          </c:val>
          <c:extLst>
            <c:ext xmlns:c16="http://schemas.microsoft.com/office/drawing/2014/chart" uri="{C3380CC4-5D6E-409C-BE32-E72D297353CC}">
              <c16:uniqueId val="{00000018-37F2-45F6-A984-AC81FAFEB245}"/>
            </c:ext>
          </c:extLst>
        </c:ser>
        <c:ser>
          <c:idx val="15"/>
          <c:order val="15"/>
          <c:tx>
            <c:strRef>
              <c:f>q1_q2_q5_q6_Fig!$R$22</c:f>
              <c:strCache>
                <c:ptCount val="1"/>
                <c:pt idx="0">
                  <c:v>P</c:v>
                </c:pt>
              </c:strCache>
            </c:strRef>
          </c:tx>
          <c:spPr>
            <a:solidFill>
              <a:schemeClr val="accent1">
                <a:lumMod val="5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q1_q2_q5_q6_Fig!$S$22:$AC$22</c:f>
              <c:numCache>
                <c:formatCode>General</c:formatCode>
                <c:ptCount val="11"/>
                <c:pt idx="0">
                  <c:v>3802</c:v>
                </c:pt>
                <c:pt idx="1">
                  <c:v>3857</c:v>
                </c:pt>
                <c:pt idx="2">
                  <c:v>3829</c:v>
                </c:pt>
                <c:pt idx="3">
                  <c:v>3817</c:v>
                </c:pt>
                <c:pt idx="4">
                  <c:v>3764</c:v>
                </c:pt>
                <c:pt idx="5">
                  <c:v>3671</c:v>
                </c:pt>
                <c:pt idx="6">
                  <c:v>3680</c:v>
                </c:pt>
                <c:pt idx="7">
                  <c:v>3577</c:v>
                </c:pt>
                <c:pt idx="8">
                  <c:v>3747</c:v>
                </c:pt>
                <c:pt idx="9">
                  <c:v>3850</c:v>
                </c:pt>
                <c:pt idx="10">
                  <c:v>3912</c:v>
                </c:pt>
              </c:numCache>
            </c:numRef>
          </c:val>
          <c:extLst>
            <c:ext xmlns:c16="http://schemas.microsoft.com/office/drawing/2014/chart" uri="{C3380CC4-5D6E-409C-BE32-E72D297353CC}">
              <c16:uniqueId val="{00000019-37F2-45F6-A984-AC81FAFEB245}"/>
            </c:ext>
          </c:extLst>
        </c:ser>
        <c:ser>
          <c:idx val="16"/>
          <c:order val="16"/>
          <c:tx>
            <c:strRef>
              <c:f>q1_q2_q5_q6_Fig!$R$23</c:f>
              <c:strCache>
                <c:ptCount val="1"/>
                <c:pt idx="0">
                  <c:v>Q</c:v>
                </c:pt>
              </c:strCache>
            </c:strRef>
          </c:tx>
          <c:spPr>
            <a:solidFill>
              <a:schemeClr val="accent3">
                <a:lumMod val="5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q1_q2_q5_q6_Fig!$S$23:$AC$23</c:f>
              <c:numCache>
                <c:formatCode>General</c:formatCode>
                <c:ptCount val="11"/>
                <c:pt idx="0">
                  <c:v>14787</c:v>
                </c:pt>
                <c:pt idx="1">
                  <c:v>15110</c:v>
                </c:pt>
                <c:pt idx="2">
                  <c:v>15253</c:v>
                </c:pt>
                <c:pt idx="3">
                  <c:v>15453</c:v>
                </c:pt>
                <c:pt idx="4">
                  <c:v>15499</c:v>
                </c:pt>
                <c:pt idx="5">
                  <c:v>15300</c:v>
                </c:pt>
                <c:pt idx="6">
                  <c:v>15658</c:v>
                </c:pt>
                <c:pt idx="7">
                  <c:v>15268</c:v>
                </c:pt>
                <c:pt idx="8">
                  <c:v>16093</c:v>
                </c:pt>
                <c:pt idx="9">
                  <c:v>16702</c:v>
                </c:pt>
                <c:pt idx="10">
                  <c:v>16778</c:v>
                </c:pt>
              </c:numCache>
            </c:numRef>
          </c:val>
          <c:extLst>
            <c:ext xmlns:c16="http://schemas.microsoft.com/office/drawing/2014/chart" uri="{C3380CC4-5D6E-409C-BE32-E72D297353CC}">
              <c16:uniqueId val="{0000001A-37F2-45F6-A984-AC81FAFEB245}"/>
            </c:ext>
          </c:extLst>
        </c:ser>
        <c:ser>
          <c:idx val="17"/>
          <c:order val="17"/>
          <c:tx>
            <c:strRef>
              <c:f>q1_q2_q5_q6_Fig!$R$24</c:f>
              <c:strCache>
                <c:ptCount val="1"/>
                <c:pt idx="0">
                  <c:v>R</c:v>
                </c:pt>
              </c:strCache>
            </c:strRef>
          </c:tx>
          <c:spPr>
            <a:solidFill>
              <a:schemeClr val="accent5">
                <a:lumMod val="5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q1_q2_q5_q6_Fig!$S$24:$AC$24</c:f>
              <c:numCache>
                <c:formatCode>General</c:formatCode>
                <c:ptCount val="11"/>
                <c:pt idx="0">
                  <c:v>3087</c:v>
                </c:pt>
                <c:pt idx="1">
                  <c:v>3213</c:v>
                </c:pt>
                <c:pt idx="2">
                  <c:v>3351</c:v>
                </c:pt>
                <c:pt idx="3">
                  <c:v>3605</c:v>
                </c:pt>
                <c:pt idx="4">
                  <c:v>3886</c:v>
                </c:pt>
                <c:pt idx="5">
                  <c:v>3917</c:v>
                </c:pt>
                <c:pt idx="6">
                  <c:v>3922</c:v>
                </c:pt>
                <c:pt idx="7">
                  <c:v>3932</c:v>
                </c:pt>
                <c:pt idx="8">
                  <c:v>4293</c:v>
                </c:pt>
                <c:pt idx="9">
                  <c:v>4544</c:v>
                </c:pt>
                <c:pt idx="10">
                  <c:v>4657</c:v>
                </c:pt>
              </c:numCache>
            </c:numRef>
          </c:val>
          <c:extLst>
            <c:ext xmlns:c16="http://schemas.microsoft.com/office/drawing/2014/chart" uri="{C3380CC4-5D6E-409C-BE32-E72D297353CC}">
              <c16:uniqueId val="{0000001B-37F2-45F6-A984-AC81FAFEB245}"/>
            </c:ext>
          </c:extLst>
        </c:ser>
        <c:ser>
          <c:idx val="18"/>
          <c:order val="18"/>
          <c:tx>
            <c:strRef>
              <c:f>q1_q2_q5_q6_Fig!$R$25</c:f>
              <c:strCache>
                <c:ptCount val="1"/>
                <c:pt idx="0">
                  <c:v>S</c:v>
                </c:pt>
              </c:strCache>
            </c:strRef>
          </c:tx>
          <c:spPr>
            <a:solidFill>
              <a:schemeClr val="accent1">
                <a:lumMod val="70000"/>
                <a:lumOff val="3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q1_q2_q5_q6_Fig!$S$25:$AC$25</c:f>
              <c:numCache>
                <c:formatCode>General</c:formatCode>
                <c:ptCount val="11"/>
                <c:pt idx="0">
                  <c:v>13415</c:v>
                </c:pt>
                <c:pt idx="1">
                  <c:v>13491</c:v>
                </c:pt>
                <c:pt idx="2">
                  <c:v>13431</c:v>
                </c:pt>
                <c:pt idx="3">
                  <c:v>13330</c:v>
                </c:pt>
                <c:pt idx="4">
                  <c:v>13348</c:v>
                </c:pt>
                <c:pt idx="5">
                  <c:v>12528</c:v>
                </c:pt>
                <c:pt idx="6">
                  <c:v>12260</c:v>
                </c:pt>
                <c:pt idx="7">
                  <c:v>11606</c:v>
                </c:pt>
                <c:pt idx="8">
                  <c:v>12060</c:v>
                </c:pt>
                <c:pt idx="9">
                  <c:v>11864</c:v>
                </c:pt>
                <c:pt idx="10">
                  <c:v>11458</c:v>
                </c:pt>
              </c:numCache>
            </c:numRef>
          </c:val>
          <c:extLst>
            <c:ext xmlns:c16="http://schemas.microsoft.com/office/drawing/2014/chart" uri="{C3380CC4-5D6E-409C-BE32-E72D297353CC}">
              <c16:uniqueId val="{0000001C-37F2-45F6-A984-AC81FAFEB245}"/>
            </c:ext>
          </c:extLst>
        </c:ser>
        <c:ser>
          <c:idx val="19"/>
          <c:order val="19"/>
          <c:tx>
            <c:strRef>
              <c:f>q1_q2_q5_q6_Fig!$R$26</c:f>
              <c:strCache>
                <c:ptCount val="1"/>
                <c:pt idx="0">
                  <c:v>U</c:v>
                </c:pt>
              </c:strCache>
            </c:strRef>
          </c:tx>
          <c:spPr>
            <a:solidFill>
              <a:schemeClr val="accent3">
                <a:lumMod val="70000"/>
                <a:lumOff val="30000"/>
              </a:schemeClr>
            </a:solidFill>
            <a:ln>
              <a:noFill/>
            </a:ln>
            <a:effectLst/>
          </c:spPr>
          <c:invertIfNegative val="0"/>
          <c:cat>
            <c:numRef>
              <c:f>q1_q2_q5_q6_Fig!$S$6:$AC$6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q1_q2_q5_q6_Fig!$S$26:$AC$26</c:f>
              <c:numCache>
                <c:formatCode>General</c:formatCode>
                <c:ptCount val="11"/>
                <c:pt idx="0">
                  <c:v>15</c:v>
                </c:pt>
                <c:pt idx="1">
                  <c:v>13</c:v>
                </c:pt>
                <c:pt idx="2">
                  <c:v>16</c:v>
                </c:pt>
                <c:pt idx="3">
                  <c:v>13</c:v>
                </c:pt>
                <c:pt idx="4">
                  <c:v>14</c:v>
                </c:pt>
                <c:pt idx="5">
                  <c:v>15</c:v>
                </c:pt>
                <c:pt idx="6">
                  <c:v>17</c:v>
                </c:pt>
                <c:pt idx="7">
                  <c:v>16</c:v>
                </c:pt>
                <c:pt idx="8">
                  <c:v>15</c:v>
                </c:pt>
                <c:pt idx="9">
                  <c:v>16</c:v>
                </c:pt>
                <c:pt idx="10">
                  <c:v>18</c:v>
                </c:pt>
              </c:numCache>
            </c:numRef>
          </c:val>
          <c:extLst>
            <c:ext xmlns:c16="http://schemas.microsoft.com/office/drawing/2014/chart" uri="{C3380CC4-5D6E-409C-BE32-E72D297353CC}">
              <c16:uniqueId val="{0000001D-37F2-45F6-A984-AC81FAFEB245}"/>
            </c:ext>
          </c:extLst>
        </c:ser>
        <c:dLbls>
          <c:showLegendKey val="0"/>
          <c:showVal val="0"/>
          <c:showCatName val="0"/>
          <c:showSerName val="0"/>
          <c:showPercent val="0"/>
          <c:showBubbleSize val="0"/>
        </c:dLbls>
        <c:gapWidth val="50"/>
        <c:overlap val="100"/>
        <c:axId val="211072368"/>
        <c:axId val="1682385520"/>
        <c:extLst/>
      </c:barChart>
      <c:catAx>
        <c:axId val="21107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crossAx val="1682385520"/>
        <c:crosses val="autoZero"/>
        <c:auto val="1"/>
        <c:lblAlgn val="ctr"/>
        <c:lblOffset val="100"/>
        <c:noMultiLvlLbl val="0"/>
      </c:catAx>
      <c:valAx>
        <c:axId val="1682385520"/>
        <c:scaling>
          <c:orientation val="minMax"/>
          <c:max val="35000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211072368"/>
        <c:crosses val="autoZero"/>
        <c:crossBetween val="between"/>
      </c:valAx>
      <c:spPr>
        <a:noFill/>
        <a:ln>
          <a:noFill/>
        </a:ln>
        <a:effectLst/>
      </c:spPr>
    </c:plotArea>
    <c:legend>
      <c:legendPos val="b"/>
      <c:layout>
        <c:manualLayout>
          <c:xMode val="edge"/>
          <c:yMode val="edge"/>
          <c:x val="0.13543103448275862"/>
          <c:y val="0.82244956140350878"/>
          <c:w val="0.81429118773946374"/>
          <c:h val="0.14969956140350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legend>
    <c:plotVisOnly val="1"/>
    <c:dispBlanksAs val="gap"/>
    <c:showDLblsOverMax val="0"/>
  </c:chart>
  <c:spPr>
    <a:solidFill>
      <a:schemeClr val="bg1"/>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pt-PT" sz="900">
                <a:solidFill>
                  <a:schemeClr val="tx2">
                    <a:lumMod val="75000"/>
                  </a:schemeClr>
                </a:solidFill>
              </a:rPr>
              <a:t>...por dimensão</a:t>
            </a:r>
          </a:p>
        </c:rich>
      </c:tx>
      <c:layout>
        <c:manualLayout>
          <c:xMode val="edge"/>
          <c:yMode val="edge"/>
          <c:x val="0.75006003767601337"/>
          <c:y val="3.404253798289474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pt-PT"/>
        </a:p>
      </c:txPr>
    </c:title>
    <c:autoTitleDeleted val="0"/>
    <c:plotArea>
      <c:layout/>
      <c:lineChart>
        <c:grouping val="standard"/>
        <c:varyColors val="0"/>
        <c:ser>
          <c:idx val="0"/>
          <c:order val="0"/>
          <c:tx>
            <c:strRef>
              <c:f>q1_q2_q5_q6_Fig!$R$31</c:f>
              <c:strCache>
                <c:ptCount val="1"/>
                <c:pt idx="0">
                  <c:v>Micro (1-9 pessoas)</c:v>
                </c:pt>
              </c:strCache>
            </c:strRef>
          </c:tx>
          <c:spPr>
            <a:ln w="25400" cap="rnd">
              <a:solidFill>
                <a:srgbClr val="3C1692"/>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7831-476F-934F-887DEBFD77DA}"/>
                </c:ext>
              </c:extLst>
            </c:dLbl>
            <c:dLbl>
              <c:idx val="1"/>
              <c:delete val="1"/>
              <c:extLst>
                <c:ext xmlns:c15="http://schemas.microsoft.com/office/drawing/2012/chart" uri="{CE6537A1-D6FC-4f65-9D91-7224C49458BB}"/>
                <c:ext xmlns:c16="http://schemas.microsoft.com/office/drawing/2014/chart" uri="{C3380CC4-5D6E-409C-BE32-E72D297353CC}">
                  <c16:uniqueId val="{00000001-7831-476F-934F-887DEBFD77DA}"/>
                </c:ext>
              </c:extLst>
            </c:dLbl>
            <c:dLbl>
              <c:idx val="2"/>
              <c:delete val="1"/>
              <c:extLst>
                <c:ext xmlns:c15="http://schemas.microsoft.com/office/drawing/2012/chart" uri="{CE6537A1-D6FC-4f65-9D91-7224C49458BB}"/>
                <c:ext xmlns:c16="http://schemas.microsoft.com/office/drawing/2014/chart" uri="{C3380CC4-5D6E-409C-BE32-E72D297353CC}">
                  <c16:uniqueId val="{00000002-7831-476F-934F-887DEBFD77DA}"/>
                </c:ext>
              </c:extLst>
            </c:dLbl>
            <c:dLbl>
              <c:idx val="3"/>
              <c:layout>
                <c:manualLayout>
                  <c:x val="0.22531828099800777"/>
                  <c:y val="0.10212761394868422"/>
                </c:manualLayout>
              </c:layout>
              <c:tx>
                <c:rich>
                  <a:bodyPr/>
                  <a:lstStyle/>
                  <a:p>
                    <a:fld id="{9CE6EBA3-6B90-4494-A3EB-93CA4F92D163}" type="SERIESNAME">
                      <a:rPr lang="en-US">
                        <a:solidFill>
                          <a:srgbClr val="3C1692"/>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7831-476F-934F-887DEBFD77DA}"/>
                </c:ext>
              </c:extLst>
            </c:dLbl>
            <c:dLbl>
              <c:idx val="4"/>
              <c:delete val="1"/>
              <c:extLst>
                <c:ext xmlns:c15="http://schemas.microsoft.com/office/drawing/2012/chart" uri="{CE6537A1-D6FC-4f65-9D91-7224C49458BB}"/>
                <c:ext xmlns:c16="http://schemas.microsoft.com/office/drawing/2014/chart" uri="{C3380CC4-5D6E-409C-BE32-E72D297353CC}">
                  <c16:uniqueId val="{00000004-7831-476F-934F-887DEBFD77DA}"/>
                </c:ext>
              </c:extLst>
            </c:dLbl>
            <c:dLbl>
              <c:idx val="5"/>
              <c:delete val="1"/>
              <c:extLst>
                <c:ext xmlns:c15="http://schemas.microsoft.com/office/drawing/2012/chart" uri="{CE6537A1-D6FC-4f65-9D91-7224C49458BB}"/>
                <c:ext xmlns:c16="http://schemas.microsoft.com/office/drawing/2014/chart" uri="{C3380CC4-5D6E-409C-BE32-E72D297353CC}">
                  <c16:uniqueId val="{00000005-7831-476F-934F-887DEBFD77DA}"/>
                </c:ext>
              </c:extLst>
            </c:dLbl>
            <c:dLbl>
              <c:idx val="6"/>
              <c:delete val="1"/>
              <c:extLst>
                <c:ext xmlns:c15="http://schemas.microsoft.com/office/drawing/2012/chart" uri="{CE6537A1-D6FC-4f65-9D91-7224C49458BB}"/>
                <c:ext xmlns:c16="http://schemas.microsoft.com/office/drawing/2014/chart" uri="{C3380CC4-5D6E-409C-BE32-E72D297353CC}">
                  <c16:uniqueId val="{00000006-7831-476F-934F-887DEBFD77DA}"/>
                </c:ext>
              </c:extLst>
            </c:dLbl>
            <c:dLbl>
              <c:idx val="7"/>
              <c:delete val="1"/>
              <c:extLst>
                <c:ext xmlns:c15="http://schemas.microsoft.com/office/drawing/2012/chart" uri="{CE6537A1-D6FC-4f65-9D91-7224C49458BB}"/>
                <c:ext xmlns:c16="http://schemas.microsoft.com/office/drawing/2014/chart" uri="{C3380CC4-5D6E-409C-BE32-E72D297353CC}">
                  <c16:uniqueId val="{00000007-7831-476F-934F-887DEBFD77DA}"/>
                </c:ext>
              </c:extLst>
            </c:dLbl>
            <c:dLbl>
              <c:idx val="8"/>
              <c:delete val="1"/>
              <c:extLst>
                <c:ext xmlns:c15="http://schemas.microsoft.com/office/drawing/2012/chart" uri="{CE6537A1-D6FC-4f65-9D91-7224C49458BB}"/>
                <c:ext xmlns:c16="http://schemas.microsoft.com/office/drawing/2014/chart" uri="{C3380CC4-5D6E-409C-BE32-E72D297353CC}">
                  <c16:uniqueId val="{00000008-7831-476F-934F-887DEBFD77DA}"/>
                </c:ext>
              </c:extLst>
            </c:dLbl>
            <c:dLbl>
              <c:idx val="9"/>
              <c:delete val="1"/>
              <c:extLst>
                <c:ext xmlns:c15="http://schemas.microsoft.com/office/drawing/2012/chart" uri="{CE6537A1-D6FC-4f65-9D91-7224C49458BB}"/>
                <c:ext xmlns:c16="http://schemas.microsoft.com/office/drawing/2014/chart" uri="{C3380CC4-5D6E-409C-BE32-E72D297353CC}">
                  <c16:uniqueId val="{00000009-7831-476F-934F-887DEBFD77DA}"/>
                </c:ext>
              </c:extLst>
            </c:dLbl>
            <c:dLbl>
              <c:idx val="10"/>
              <c:delete val="1"/>
              <c:extLst>
                <c:ext xmlns:c15="http://schemas.microsoft.com/office/drawing/2012/chart" uri="{CE6537A1-D6FC-4f65-9D91-7224C49458BB}"/>
                <c:ext xmlns:c16="http://schemas.microsoft.com/office/drawing/2014/chart" uri="{C3380CC4-5D6E-409C-BE32-E72D297353CC}">
                  <c16:uniqueId val="{0000000A-7831-476F-934F-887DEBFD77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3C1692"/>
                      </a:solidFill>
                    </a:ln>
                    <a:effectLst/>
                  </c:spPr>
                </c15:leaderLines>
              </c:ext>
            </c:extLst>
          </c:dLbls>
          <c:cat>
            <c:numRef>
              <c:f>q1_q2_q5_q6_Fig!$S$30:$AC$30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q1_q2_q5_q6_Fig!$S$31:$AC$31</c:f>
              <c:numCache>
                <c:formatCode>General</c:formatCode>
                <c:ptCount val="11"/>
                <c:pt idx="0">
                  <c:v>229780</c:v>
                </c:pt>
                <c:pt idx="1">
                  <c:v>231213</c:v>
                </c:pt>
                <c:pt idx="2">
                  <c:v>233164</c:v>
                </c:pt>
                <c:pt idx="3">
                  <c:v>233903</c:v>
                </c:pt>
                <c:pt idx="4">
                  <c:v>235072</c:v>
                </c:pt>
                <c:pt idx="5">
                  <c:v>227861</c:v>
                </c:pt>
                <c:pt idx="6">
                  <c:v>230234</c:v>
                </c:pt>
                <c:pt idx="7">
                  <c:v>224289</c:v>
                </c:pt>
                <c:pt idx="8">
                  <c:v>233788</c:v>
                </c:pt>
                <c:pt idx="9">
                  <c:v>237708</c:v>
                </c:pt>
                <c:pt idx="10">
                  <c:v>234618</c:v>
                </c:pt>
              </c:numCache>
            </c:numRef>
          </c:val>
          <c:smooth val="0"/>
          <c:extLst>
            <c:ext xmlns:c16="http://schemas.microsoft.com/office/drawing/2014/chart" uri="{C3380CC4-5D6E-409C-BE32-E72D297353CC}">
              <c16:uniqueId val="{0000000B-7831-476F-934F-887DEBFD77DA}"/>
            </c:ext>
          </c:extLst>
        </c:ser>
        <c:ser>
          <c:idx val="1"/>
          <c:order val="1"/>
          <c:tx>
            <c:strRef>
              <c:f>q1_q2_q5_q6_Fig!$R$32</c:f>
              <c:strCache>
                <c:ptCount val="1"/>
                <c:pt idx="0">
                  <c:v>Pequenas (10 - 49 pessoas)</c:v>
                </c:pt>
              </c:strCache>
            </c:strRef>
          </c:tx>
          <c:spPr>
            <a:ln w="25400" cap="rnd">
              <a:solidFill>
                <a:srgbClr val="1403EB"/>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C-7831-476F-934F-887DEBFD77DA}"/>
                </c:ext>
              </c:extLst>
            </c:dLbl>
            <c:dLbl>
              <c:idx val="1"/>
              <c:delete val="1"/>
              <c:extLst>
                <c:ext xmlns:c15="http://schemas.microsoft.com/office/drawing/2012/chart" uri="{CE6537A1-D6FC-4f65-9D91-7224C49458BB}"/>
                <c:ext xmlns:c16="http://schemas.microsoft.com/office/drawing/2014/chart" uri="{C3380CC4-5D6E-409C-BE32-E72D297353CC}">
                  <c16:uniqueId val="{0000000D-7831-476F-934F-887DEBFD77DA}"/>
                </c:ext>
              </c:extLst>
            </c:dLbl>
            <c:dLbl>
              <c:idx val="2"/>
              <c:delete val="1"/>
              <c:extLst>
                <c:ext xmlns:c15="http://schemas.microsoft.com/office/drawing/2012/chart" uri="{CE6537A1-D6FC-4f65-9D91-7224C49458BB}"/>
                <c:ext xmlns:c16="http://schemas.microsoft.com/office/drawing/2014/chart" uri="{C3380CC4-5D6E-409C-BE32-E72D297353CC}">
                  <c16:uniqueId val="{0000000E-7831-476F-934F-887DEBFD77DA}"/>
                </c:ext>
              </c:extLst>
            </c:dLbl>
            <c:dLbl>
              <c:idx val="3"/>
              <c:layout>
                <c:manualLayout>
                  <c:x val="5.0748505834361066E-2"/>
                  <c:y val="-0.17021268991447372"/>
                </c:manualLayout>
              </c:layout>
              <c:tx>
                <c:rich>
                  <a:bodyPr/>
                  <a:lstStyle/>
                  <a:p>
                    <a:fld id="{14240C8F-AF37-4B43-AB3A-8831BB2E3D41}" type="SERIESNAME">
                      <a:rPr lang="en-US">
                        <a:solidFill>
                          <a:srgbClr val="1403EB"/>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7831-476F-934F-887DEBFD77DA}"/>
                </c:ext>
              </c:extLst>
            </c:dLbl>
            <c:dLbl>
              <c:idx val="4"/>
              <c:delete val="1"/>
              <c:extLst>
                <c:ext xmlns:c15="http://schemas.microsoft.com/office/drawing/2012/chart" uri="{CE6537A1-D6FC-4f65-9D91-7224C49458BB}"/>
                <c:ext xmlns:c16="http://schemas.microsoft.com/office/drawing/2014/chart" uri="{C3380CC4-5D6E-409C-BE32-E72D297353CC}">
                  <c16:uniqueId val="{00000010-7831-476F-934F-887DEBFD77DA}"/>
                </c:ext>
              </c:extLst>
            </c:dLbl>
            <c:dLbl>
              <c:idx val="5"/>
              <c:delete val="1"/>
              <c:extLst>
                <c:ext xmlns:c15="http://schemas.microsoft.com/office/drawing/2012/chart" uri="{CE6537A1-D6FC-4f65-9D91-7224C49458BB}"/>
                <c:ext xmlns:c16="http://schemas.microsoft.com/office/drawing/2014/chart" uri="{C3380CC4-5D6E-409C-BE32-E72D297353CC}">
                  <c16:uniqueId val="{00000011-7831-476F-934F-887DEBFD77DA}"/>
                </c:ext>
              </c:extLst>
            </c:dLbl>
            <c:dLbl>
              <c:idx val="6"/>
              <c:delete val="1"/>
              <c:extLst>
                <c:ext xmlns:c15="http://schemas.microsoft.com/office/drawing/2012/chart" uri="{CE6537A1-D6FC-4f65-9D91-7224C49458BB}"/>
                <c:ext xmlns:c16="http://schemas.microsoft.com/office/drawing/2014/chart" uri="{C3380CC4-5D6E-409C-BE32-E72D297353CC}">
                  <c16:uniqueId val="{00000012-7831-476F-934F-887DEBFD77DA}"/>
                </c:ext>
              </c:extLst>
            </c:dLbl>
            <c:dLbl>
              <c:idx val="7"/>
              <c:delete val="1"/>
              <c:extLst>
                <c:ext xmlns:c15="http://schemas.microsoft.com/office/drawing/2012/chart" uri="{CE6537A1-D6FC-4f65-9D91-7224C49458BB}"/>
                <c:ext xmlns:c16="http://schemas.microsoft.com/office/drawing/2014/chart" uri="{C3380CC4-5D6E-409C-BE32-E72D297353CC}">
                  <c16:uniqueId val="{00000013-7831-476F-934F-887DEBFD77DA}"/>
                </c:ext>
              </c:extLst>
            </c:dLbl>
            <c:dLbl>
              <c:idx val="8"/>
              <c:delete val="1"/>
              <c:extLst>
                <c:ext xmlns:c15="http://schemas.microsoft.com/office/drawing/2012/chart" uri="{CE6537A1-D6FC-4f65-9D91-7224C49458BB}"/>
                <c:ext xmlns:c16="http://schemas.microsoft.com/office/drawing/2014/chart" uri="{C3380CC4-5D6E-409C-BE32-E72D297353CC}">
                  <c16:uniqueId val="{00000014-7831-476F-934F-887DEBFD77DA}"/>
                </c:ext>
              </c:extLst>
            </c:dLbl>
            <c:dLbl>
              <c:idx val="9"/>
              <c:delete val="1"/>
              <c:extLst>
                <c:ext xmlns:c15="http://schemas.microsoft.com/office/drawing/2012/chart" uri="{CE6537A1-D6FC-4f65-9D91-7224C49458BB}"/>
                <c:ext xmlns:c16="http://schemas.microsoft.com/office/drawing/2014/chart" uri="{C3380CC4-5D6E-409C-BE32-E72D297353CC}">
                  <c16:uniqueId val="{00000015-7831-476F-934F-887DEBFD77DA}"/>
                </c:ext>
              </c:extLst>
            </c:dLbl>
            <c:dLbl>
              <c:idx val="10"/>
              <c:delete val="1"/>
              <c:extLst>
                <c:ext xmlns:c15="http://schemas.microsoft.com/office/drawing/2012/chart" uri="{CE6537A1-D6FC-4f65-9D91-7224C49458BB}"/>
                <c:ext xmlns:c16="http://schemas.microsoft.com/office/drawing/2014/chart" uri="{C3380CC4-5D6E-409C-BE32-E72D297353CC}">
                  <c16:uniqueId val="{00000016-7831-476F-934F-887DEBFD77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1403EB"/>
                      </a:solidFill>
                    </a:ln>
                    <a:effectLst/>
                  </c:spPr>
                </c15:leaderLines>
              </c:ext>
            </c:extLst>
          </c:dLbls>
          <c:cat>
            <c:numRef>
              <c:f>q1_q2_q5_q6_Fig!$S$30:$AC$30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q1_q2_q5_q6_Fig!$S$32:$AC$32</c:f>
              <c:numCache>
                <c:formatCode>General</c:formatCode>
                <c:ptCount val="11"/>
                <c:pt idx="0">
                  <c:v>33792</c:v>
                </c:pt>
                <c:pt idx="1">
                  <c:v>34986</c:v>
                </c:pt>
                <c:pt idx="2">
                  <c:v>35995</c:v>
                </c:pt>
                <c:pt idx="3">
                  <c:v>37757</c:v>
                </c:pt>
                <c:pt idx="4">
                  <c:v>39285</c:v>
                </c:pt>
                <c:pt idx="5">
                  <c:v>39814</c:v>
                </c:pt>
                <c:pt idx="6">
                  <c:v>39436</c:v>
                </c:pt>
                <c:pt idx="7">
                  <c:v>39403</c:v>
                </c:pt>
                <c:pt idx="8">
                  <c:v>42196</c:v>
                </c:pt>
                <c:pt idx="9">
                  <c:v>44179</c:v>
                </c:pt>
                <c:pt idx="10">
                  <c:v>44619</c:v>
                </c:pt>
              </c:numCache>
            </c:numRef>
          </c:val>
          <c:smooth val="0"/>
          <c:extLst>
            <c:ext xmlns:c16="http://schemas.microsoft.com/office/drawing/2014/chart" uri="{C3380CC4-5D6E-409C-BE32-E72D297353CC}">
              <c16:uniqueId val="{00000017-7831-476F-934F-887DEBFD77DA}"/>
            </c:ext>
          </c:extLst>
        </c:ser>
        <c:ser>
          <c:idx val="2"/>
          <c:order val="2"/>
          <c:tx>
            <c:strRef>
              <c:f>q1_q2_q5_q6_Fig!$R$33</c:f>
              <c:strCache>
                <c:ptCount val="1"/>
                <c:pt idx="0">
                  <c:v>Médias (50 - 249 pessoas)</c:v>
                </c:pt>
              </c:strCache>
            </c:strRef>
          </c:tx>
          <c:spPr>
            <a:ln w="25400" cap="rnd">
              <a:solidFill>
                <a:schemeClr val="tx2">
                  <a:lumMod val="60000"/>
                  <a:lumOff val="40000"/>
                </a:schemeClr>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8-7831-476F-934F-887DEBFD77DA}"/>
                </c:ext>
              </c:extLst>
            </c:dLbl>
            <c:dLbl>
              <c:idx val="1"/>
              <c:delete val="1"/>
              <c:extLst>
                <c:ext xmlns:c15="http://schemas.microsoft.com/office/drawing/2012/chart" uri="{CE6537A1-D6FC-4f65-9D91-7224C49458BB}"/>
                <c:ext xmlns:c16="http://schemas.microsoft.com/office/drawing/2014/chart" uri="{C3380CC4-5D6E-409C-BE32-E72D297353CC}">
                  <c16:uniqueId val="{00000019-7831-476F-934F-887DEBFD77DA}"/>
                </c:ext>
              </c:extLst>
            </c:dLbl>
            <c:dLbl>
              <c:idx val="2"/>
              <c:layout>
                <c:manualLayout>
                  <c:x val="-0.18290891349424698"/>
                  <c:y val="-0.20992898422785092"/>
                </c:manualLayout>
              </c:layout>
              <c:tx>
                <c:rich>
                  <a:bodyPr/>
                  <a:lstStyle/>
                  <a:p>
                    <a:fld id="{C6AEB162-9E37-4A50-B5DB-382998C59862}" type="SERIESNAME">
                      <a:rPr lang="en-US">
                        <a:solidFill>
                          <a:srgbClr val="558ED5"/>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7831-476F-934F-887DEBFD77DA}"/>
                </c:ext>
              </c:extLst>
            </c:dLbl>
            <c:dLbl>
              <c:idx val="3"/>
              <c:delete val="1"/>
              <c:extLst>
                <c:ext xmlns:c15="http://schemas.microsoft.com/office/drawing/2012/chart" uri="{CE6537A1-D6FC-4f65-9D91-7224C49458BB}"/>
                <c:ext xmlns:c16="http://schemas.microsoft.com/office/drawing/2014/chart" uri="{C3380CC4-5D6E-409C-BE32-E72D297353CC}">
                  <c16:uniqueId val="{0000001B-7831-476F-934F-887DEBFD77DA}"/>
                </c:ext>
              </c:extLst>
            </c:dLbl>
            <c:dLbl>
              <c:idx val="4"/>
              <c:delete val="1"/>
              <c:extLst>
                <c:ext xmlns:c15="http://schemas.microsoft.com/office/drawing/2012/chart" uri="{CE6537A1-D6FC-4f65-9D91-7224C49458BB}"/>
                <c:ext xmlns:c16="http://schemas.microsoft.com/office/drawing/2014/chart" uri="{C3380CC4-5D6E-409C-BE32-E72D297353CC}">
                  <c16:uniqueId val="{0000001C-7831-476F-934F-887DEBFD77DA}"/>
                </c:ext>
              </c:extLst>
            </c:dLbl>
            <c:dLbl>
              <c:idx val="5"/>
              <c:delete val="1"/>
              <c:extLst>
                <c:ext xmlns:c15="http://schemas.microsoft.com/office/drawing/2012/chart" uri="{CE6537A1-D6FC-4f65-9D91-7224C49458BB}"/>
                <c:ext xmlns:c16="http://schemas.microsoft.com/office/drawing/2014/chart" uri="{C3380CC4-5D6E-409C-BE32-E72D297353CC}">
                  <c16:uniqueId val="{0000001D-7831-476F-934F-887DEBFD77DA}"/>
                </c:ext>
              </c:extLst>
            </c:dLbl>
            <c:dLbl>
              <c:idx val="6"/>
              <c:delete val="1"/>
              <c:extLst>
                <c:ext xmlns:c15="http://schemas.microsoft.com/office/drawing/2012/chart" uri="{CE6537A1-D6FC-4f65-9D91-7224C49458BB}"/>
                <c:ext xmlns:c16="http://schemas.microsoft.com/office/drawing/2014/chart" uri="{C3380CC4-5D6E-409C-BE32-E72D297353CC}">
                  <c16:uniqueId val="{0000001E-7831-476F-934F-887DEBFD77DA}"/>
                </c:ext>
              </c:extLst>
            </c:dLbl>
            <c:dLbl>
              <c:idx val="7"/>
              <c:delete val="1"/>
              <c:extLst>
                <c:ext xmlns:c15="http://schemas.microsoft.com/office/drawing/2012/chart" uri="{CE6537A1-D6FC-4f65-9D91-7224C49458BB}"/>
                <c:ext xmlns:c16="http://schemas.microsoft.com/office/drawing/2014/chart" uri="{C3380CC4-5D6E-409C-BE32-E72D297353CC}">
                  <c16:uniqueId val="{0000001F-7831-476F-934F-887DEBFD77DA}"/>
                </c:ext>
              </c:extLst>
            </c:dLbl>
            <c:dLbl>
              <c:idx val="8"/>
              <c:delete val="1"/>
              <c:extLst>
                <c:ext xmlns:c15="http://schemas.microsoft.com/office/drawing/2012/chart" uri="{CE6537A1-D6FC-4f65-9D91-7224C49458BB}"/>
                <c:ext xmlns:c16="http://schemas.microsoft.com/office/drawing/2014/chart" uri="{C3380CC4-5D6E-409C-BE32-E72D297353CC}">
                  <c16:uniqueId val="{00000020-7831-476F-934F-887DEBFD77DA}"/>
                </c:ext>
              </c:extLst>
            </c:dLbl>
            <c:dLbl>
              <c:idx val="9"/>
              <c:delete val="1"/>
              <c:extLst>
                <c:ext xmlns:c15="http://schemas.microsoft.com/office/drawing/2012/chart" uri="{CE6537A1-D6FC-4f65-9D91-7224C49458BB}"/>
                <c:ext xmlns:c16="http://schemas.microsoft.com/office/drawing/2014/chart" uri="{C3380CC4-5D6E-409C-BE32-E72D297353CC}">
                  <c16:uniqueId val="{00000021-7831-476F-934F-887DEBFD77DA}"/>
                </c:ext>
              </c:extLst>
            </c:dLbl>
            <c:dLbl>
              <c:idx val="10"/>
              <c:delete val="1"/>
              <c:extLst>
                <c:ext xmlns:c15="http://schemas.microsoft.com/office/drawing/2012/chart" uri="{CE6537A1-D6FC-4f65-9D91-7224C49458BB}"/>
                <c:ext xmlns:c16="http://schemas.microsoft.com/office/drawing/2014/chart" uri="{C3380CC4-5D6E-409C-BE32-E72D297353CC}">
                  <c16:uniqueId val="{00000022-7831-476F-934F-887DEBFD77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558ED5"/>
                      </a:solidFill>
                    </a:ln>
                    <a:effectLst/>
                  </c:spPr>
                </c15:leaderLines>
              </c:ext>
            </c:extLst>
          </c:dLbls>
          <c:cat>
            <c:numRef>
              <c:f>q1_q2_q5_q6_Fig!$S$30:$AC$30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q1_q2_q5_q6_Fig!$S$33:$AC$33</c:f>
              <c:numCache>
                <c:formatCode>General</c:formatCode>
                <c:ptCount val="11"/>
                <c:pt idx="0">
                  <c:v>5763</c:v>
                </c:pt>
                <c:pt idx="1">
                  <c:v>5976</c:v>
                </c:pt>
                <c:pt idx="2">
                  <c:v>6231</c:v>
                </c:pt>
                <c:pt idx="3">
                  <c:v>6533</c:v>
                </c:pt>
                <c:pt idx="4">
                  <c:v>6824</c:v>
                </c:pt>
                <c:pt idx="5">
                  <c:v>6978</c:v>
                </c:pt>
                <c:pt idx="6">
                  <c:v>6898</c:v>
                </c:pt>
                <c:pt idx="7">
                  <c:v>7034</c:v>
                </c:pt>
                <c:pt idx="8">
                  <c:v>7691</c:v>
                </c:pt>
                <c:pt idx="9">
                  <c:v>8089</c:v>
                </c:pt>
                <c:pt idx="10">
                  <c:v>8207</c:v>
                </c:pt>
              </c:numCache>
            </c:numRef>
          </c:val>
          <c:smooth val="0"/>
          <c:extLst>
            <c:ext xmlns:c16="http://schemas.microsoft.com/office/drawing/2014/chart" uri="{C3380CC4-5D6E-409C-BE32-E72D297353CC}">
              <c16:uniqueId val="{00000023-7831-476F-934F-887DEBFD77DA}"/>
            </c:ext>
          </c:extLst>
        </c:ser>
        <c:ser>
          <c:idx val="3"/>
          <c:order val="3"/>
          <c:tx>
            <c:strRef>
              <c:f>q1_q2_q5_q6_Fig!$R$34</c:f>
              <c:strCache>
                <c:ptCount val="1"/>
                <c:pt idx="0">
                  <c:v>Grandes (250 ou + pessoas)</c:v>
                </c:pt>
              </c:strCache>
            </c:strRef>
          </c:tx>
          <c:spPr>
            <a:ln w="25400" cap="rnd">
              <a:solidFill>
                <a:srgbClr val="B6C3FF"/>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4-7831-476F-934F-887DEBFD77DA}"/>
                </c:ext>
              </c:extLst>
            </c:dLbl>
            <c:dLbl>
              <c:idx val="1"/>
              <c:delete val="1"/>
              <c:extLst>
                <c:ext xmlns:c15="http://schemas.microsoft.com/office/drawing/2012/chart" uri="{CE6537A1-D6FC-4f65-9D91-7224C49458BB}"/>
                <c:ext xmlns:c16="http://schemas.microsoft.com/office/drawing/2014/chart" uri="{C3380CC4-5D6E-409C-BE32-E72D297353CC}">
                  <c16:uniqueId val="{00000025-7831-476F-934F-887DEBFD77DA}"/>
                </c:ext>
              </c:extLst>
            </c:dLbl>
            <c:dLbl>
              <c:idx val="2"/>
              <c:delete val="1"/>
              <c:extLst>
                <c:ext xmlns:c15="http://schemas.microsoft.com/office/drawing/2012/chart" uri="{CE6537A1-D6FC-4f65-9D91-7224C49458BB}"/>
                <c:ext xmlns:c16="http://schemas.microsoft.com/office/drawing/2014/chart" uri="{C3380CC4-5D6E-409C-BE32-E72D297353CC}">
                  <c16:uniqueId val="{00000026-7831-476F-934F-887DEBFD77DA}"/>
                </c:ext>
              </c:extLst>
            </c:dLbl>
            <c:dLbl>
              <c:idx val="3"/>
              <c:delete val="1"/>
              <c:extLst>
                <c:ext xmlns:c15="http://schemas.microsoft.com/office/drawing/2012/chart" uri="{CE6537A1-D6FC-4f65-9D91-7224C49458BB}"/>
                <c:ext xmlns:c16="http://schemas.microsoft.com/office/drawing/2014/chart" uri="{C3380CC4-5D6E-409C-BE32-E72D297353CC}">
                  <c16:uniqueId val="{00000027-7831-476F-934F-887DEBFD77DA}"/>
                </c:ext>
              </c:extLst>
            </c:dLbl>
            <c:dLbl>
              <c:idx val="4"/>
              <c:delete val="1"/>
              <c:extLst>
                <c:ext xmlns:c15="http://schemas.microsoft.com/office/drawing/2012/chart" uri="{CE6537A1-D6FC-4f65-9D91-7224C49458BB}"/>
                <c:ext xmlns:c16="http://schemas.microsoft.com/office/drawing/2014/chart" uri="{C3380CC4-5D6E-409C-BE32-E72D297353CC}">
                  <c16:uniqueId val="{00000028-7831-476F-934F-887DEBFD77DA}"/>
                </c:ext>
              </c:extLst>
            </c:dLbl>
            <c:dLbl>
              <c:idx val="5"/>
              <c:delete val="1"/>
              <c:extLst>
                <c:ext xmlns:c15="http://schemas.microsoft.com/office/drawing/2012/chart" uri="{CE6537A1-D6FC-4f65-9D91-7224C49458BB}"/>
                <c:ext xmlns:c16="http://schemas.microsoft.com/office/drawing/2014/chart" uri="{C3380CC4-5D6E-409C-BE32-E72D297353CC}">
                  <c16:uniqueId val="{00000029-7831-476F-934F-887DEBFD77DA}"/>
                </c:ext>
              </c:extLst>
            </c:dLbl>
            <c:dLbl>
              <c:idx val="6"/>
              <c:delete val="1"/>
              <c:extLst>
                <c:ext xmlns:c15="http://schemas.microsoft.com/office/drawing/2012/chart" uri="{CE6537A1-D6FC-4f65-9D91-7224C49458BB}"/>
                <c:ext xmlns:c16="http://schemas.microsoft.com/office/drawing/2014/chart" uri="{C3380CC4-5D6E-409C-BE32-E72D297353CC}">
                  <c16:uniqueId val="{0000002A-7831-476F-934F-887DEBFD77DA}"/>
                </c:ext>
              </c:extLst>
            </c:dLbl>
            <c:dLbl>
              <c:idx val="7"/>
              <c:delete val="1"/>
              <c:extLst>
                <c:ext xmlns:c15="http://schemas.microsoft.com/office/drawing/2012/chart" uri="{CE6537A1-D6FC-4f65-9D91-7224C49458BB}"/>
                <c:ext xmlns:c16="http://schemas.microsoft.com/office/drawing/2014/chart" uri="{C3380CC4-5D6E-409C-BE32-E72D297353CC}">
                  <c16:uniqueId val="{0000002B-7831-476F-934F-887DEBFD77DA}"/>
                </c:ext>
              </c:extLst>
            </c:dLbl>
            <c:dLbl>
              <c:idx val="8"/>
              <c:layout>
                <c:manualLayout>
                  <c:x val="-1.1325301204819277E-2"/>
                  <c:y val="-0.19858147156688605"/>
                </c:manualLayout>
              </c:layout>
              <c:tx>
                <c:rich>
                  <a:bodyPr/>
                  <a:lstStyle/>
                  <a:p>
                    <a:fld id="{9A72A3DB-84FE-459E-8AE0-97A949F82F8A}" type="SERIESNAME">
                      <a:rPr lang="en-US">
                        <a:solidFill>
                          <a:srgbClr val="B6C3FF"/>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C-7831-476F-934F-887DEBFD77DA}"/>
                </c:ext>
              </c:extLst>
            </c:dLbl>
            <c:dLbl>
              <c:idx val="9"/>
              <c:delete val="1"/>
              <c:extLst>
                <c:ext xmlns:c15="http://schemas.microsoft.com/office/drawing/2012/chart" uri="{CE6537A1-D6FC-4f65-9D91-7224C49458BB}"/>
                <c:ext xmlns:c16="http://schemas.microsoft.com/office/drawing/2014/chart" uri="{C3380CC4-5D6E-409C-BE32-E72D297353CC}">
                  <c16:uniqueId val="{0000002D-7831-476F-934F-887DEBFD77DA}"/>
                </c:ext>
              </c:extLst>
            </c:dLbl>
            <c:dLbl>
              <c:idx val="10"/>
              <c:delete val="1"/>
              <c:extLst>
                <c:ext xmlns:c15="http://schemas.microsoft.com/office/drawing/2012/chart" uri="{CE6537A1-D6FC-4f65-9D91-7224C49458BB}"/>
                <c:ext xmlns:c16="http://schemas.microsoft.com/office/drawing/2014/chart" uri="{C3380CC4-5D6E-409C-BE32-E72D297353CC}">
                  <c16:uniqueId val="{0000002E-7831-476F-934F-887DEBFD77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B6C3FF"/>
                      </a:solidFill>
                    </a:ln>
                    <a:effectLst/>
                  </c:spPr>
                </c15:leaderLines>
              </c:ext>
            </c:extLst>
          </c:dLbls>
          <c:cat>
            <c:numRef>
              <c:f>q1_q2_q5_q6_Fig!$S$30:$AC$30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q1_q2_q5_q6_Fig!$S$34:$AC$34</c:f>
              <c:numCache>
                <c:formatCode>General</c:formatCode>
                <c:ptCount val="11"/>
                <c:pt idx="0">
                  <c:v>846</c:v>
                </c:pt>
                <c:pt idx="1">
                  <c:v>885</c:v>
                </c:pt>
                <c:pt idx="2">
                  <c:v>942</c:v>
                </c:pt>
                <c:pt idx="3">
                  <c:v>998</c:v>
                </c:pt>
                <c:pt idx="4">
                  <c:v>1055</c:v>
                </c:pt>
                <c:pt idx="5">
                  <c:v>1098</c:v>
                </c:pt>
                <c:pt idx="6">
                  <c:v>1073</c:v>
                </c:pt>
                <c:pt idx="7">
                  <c:v>1080</c:v>
                </c:pt>
                <c:pt idx="8">
                  <c:v>1185</c:v>
                </c:pt>
                <c:pt idx="9">
                  <c:v>1276</c:v>
                </c:pt>
                <c:pt idx="10">
                  <c:v>1319</c:v>
                </c:pt>
              </c:numCache>
            </c:numRef>
          </c:val>
          <c:smooth val="0"/>
          <c:extLst>
            <c:ext xmlns:c16="http://schemas.microsoft.com/office/drawing/2014/chart" uri="{C3380CC4-5D6E-409C-BE32-E72D297353CC}">
              <c16:uniqueId val="{0000002F-7831-476F-934F-887DEBFD77DA}"/>
            </c:ext>
          </c:extLst>
        </c:ser>
        <c:dLbls>
          <c:dLblPos val="ctr"/>
          <c:showLegendKey val="0"/>
          <c:showVal val="1"/>
          <c:showCatName val="0"/>
          <c:showSerName val="0"/>
          <c:showPercent val="0"/>
          <c:showBubbleSize val="0"/>
        </c:dLbls>
        <c:smooth val="0"/>
        <c:axId val="1734530655"/>
        <c:axId val="1715689631"/>
      </c:lineChart>
      <c:catAx>
        <c:axId val="1734530655"/>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mn-lt"/>
                <a:ea typeface="+mn-ea"/>
                <a:cs typeface="+mn-cs"/>
              </a:defRPr>
            </a:pPr>
            <a:endParaRPr lang="pt-PT"/>
          </a:p>
        </c:txPr>
        <c:crossAx val="1715689631"/>
        <c:crosses val="autoZero"/>
        <c:auto val="1"/>
        <c:lblAlgn val="ctr"/>
        <c:lblOffset val="100"/>
        <c:tickMarkSkip val="1"/>
        <c:noMultiLvlLbl val="0"/>
      </c:catAx>
      <c:valAx>
        <c:axId val="1715689631"/>
        <c:scaling>
          <c:orientation val="minMax"/>
          <c:max val="300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1734530655"/>
        <c:crosses val="autoZero"/>
        <c:crossBetween val="between"/>
        <c:majorUnit val="5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q1_q2_q5_q6_Fig!$AS$4</c:f>
              <c:strCache>
                <c:ptCount val="1"/>
                <c:pt idx="0">
                  <c:v>Empresas</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1.4299842519685028E-2"/>
                  <c:y val="1.9559194284403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EA-4849-B71D-96754438CC87}"/>
                </c:ext>
              </c:extLst>
            </c:dLbl>
            <c:dLbl>
              <c:idx val="10"/>
              <c:layout>
                <c:manualLayout>
                  <c:x val="8.9841469816271981E-3"/>
                  <c:y val="1.46693957133022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EA-4849-B71D-96754438CC87}"/>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EA-4849-B71D-96754438CC8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q1_q2_q5_q6_Fig!$AT$3:$BD$3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q1_q2_q5_q6_Fig!$AT$4:$BD$4</c:f>
              <c:numCache>
                <c:formatCode>#\ ###\ ##0</c:formatCode>
                <c:ptCount val="11"/>
                <c:pt idx="0">
                  <c:v>270181</c:v>
                </c:pt>
                <c:pt idx="1">
                  <c:v>273060</c:v>
                </c:pt>
                <c:pt idx="2">
                  <c:v>276332</c:v>
                </c:pt>
                <c:pt idx="3">
                  <c:v>279191</c:v>
                </c:pt>
                <c:pt idx="4">
                  <c:v>282236</c:v>
                </c:pt>
                <c:pt idx="5">
                  <c:v>275751</c:v>
                </c:pt>
                <c:pt idx="6">
                  <c:v>277641</c:v>
                </c:pt>
                <c:pt idx="7">
                  <c:v>271806</c:v>
                </c:pt>
                <c:pt idx="8">
                  <c:v>284860</c:v>
                </c:pt>
                <c:pt idx="9">
                  <c:v>291252</c:v>
                </c:pt>
                <c:pt idx="10">
                  <c:v>288763</c:v>
                </c:pt>
              </c:numCache>
            </c:numRef>
          </c:val>
          <c:extLst>
            <c:ext xmlns:c16="http://schemas.microsoft.com/office/drawing/2014/chart" uri="{C3380CC4-5D6E-409C-BE32-E72D297353CC}">
              <c16:uniqueId val="{00000003-20EA-4849-B71D-96754438CC87}"/>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q1_q2_q5_q6_Fig!$AS$5</c:f>
              <c:strCache>
                <c:ptCount val="1"/>
                <c:pt idx="0">
                  <c:v>Estabelecimentos</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20EA-4849-B71D-96754438CC87}"/>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20EA-4849-B71D-96754438CC87}"/>
              </c:ext>
            </c:extLst>
          </c:dPt>
          <c:dLbls>
            <c:dLbl>
              <c:idx val="0"/>
              <c:layout>
                <c:manualLayout>
                  <c:x val="2.9545616797900239E-2"/>
                  <c:y val="-6.2709164021555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EA-4849-B71D-96754438CC87}"/>
                </c:ext>
              </c:extLst>
            </c:dLbl>
            <c:dLbl>
              <c:idx val="10"/>
              <c:layout>
                <c:manualLayout>
                  <c:x val="-4.3894173228346454E-2"/>
                  <c:y val="-8.3126575708712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EA-4849-B71D-96754438CC87}"/>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EA-4849-B71D-96754438CC87}"/>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q1_q2_q5_q6_Fig!$AT$3:$BD$3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q1_q2_q5_q6_Fig!$AT$5:$BD$5</c:f>
              <c:numCache>
                <c:formatCode>#\ ###\ ##0</c:formatCode>
                <c:ptCount val="11"/>
                <c:pt idx="0">
                  <c:v>318886</c:v>
                </c:pt>
                <c:pt idx="1">
                  <c:v>321500</c:v>
                </c:pt>
                <c:pt idx="2">
                  <c:v>324933</c:v>
                </c:pt>
                <c:pt idx="3">
                  <c:v>327295</c:v>
                </c:pt>
                <c:pt idx="4">
                  <c:v>330668</c:v>
                </c:pt>
                <c:pt idx="5">
                  <c:v>322978</c:v>
                </c:pt>
                <c:pt idx="6">
                  <c:v>324959</c:v>
                </c:pt>
                <c:pt idx="7">
                  <c:v>318254</c:v>
                </c:pt>
                <c:pt idx="8">
                  <c:v>332683</c:v>
                </c:pt>
                <c:pt idx="9">
                  <c:v>340364</c:v>
                </c:pt>
                <c:pt idx="10">
                  <c:v>338026</c:v>
                </c:pt>
              </c:numCache>
            </c:numRef>
          </c:val>
          <c:smooth val="0"/>
          <c:extLst>
            <c:ext xmlns:c16="http://schemas.microsoft.com/office/drawing/2014/chart" uri="{C3380CC4-5D6E-409C-BE32-E72D297353CC}">
              <c16:uniqueId val="{00000007-20EA-4849-B71D-96754438CC87}"/>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2.4221308218089335E-2"/>
          <c:y val="0.886956194263678"/>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PT" sz="900" b="1">
                <a:solidFill>
                  <a:schemeClr val="tx2">
                    <a:lumMod val="75000"/>
                  </a:schemeClr>
                </a:solidFill>
              </a:rPr>
              <a:t>...por Secção de Atividade Económica* do</a:t>
            </a:r>
            <a:r>
              <a:rPr lang="pt-PT" sz="900" b="1" baseline="0">
                <a:solidFill>
                  <a:schemeClr val="tx2">
                    <a:lumMod val="75000"/>
                  </a:schemeClr>
                </a:solidFill>
              </a:rPr>
              <a:t> estabelecimento</a:t>
            </a:r>
            <a:endParaRPr lang="pt-PT" sz="900" b="1">
              <a:solidFill>
                <a:schemeClr val="tx2">
                  <a:lumMod val="75000"/>
                </a:schemeClr>
              </a:solidFill>
            </a:endParaRPr>
          </a:p>
        </c:rich>
      </c:tx>
      <c:layout>
        <c:manualLayout>
          <c:xMode val="edge"/>
          <c:yMode val="edge"/>
          <c:x val="0.46600349040139616"/>
          <c:y val="3.71345029239766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PT"/>
        </a:p>
      </c:txPr>
    </c:title>
    <c:autoTitleDeleted val="0"/>
    <c:plotArea>
      <c:layout/>
      <c:barChart>
        <c:barDir val="col"/>
        <c:grouping val="stacked"/>
        <c:varyColors val="0"/>
        <c:ser>
          <c:idx val="0"/>
          <c:order val="0"/>
          <c:tx>
            <c:strRef>
              <c:f>q11_q13_q15_q17_Fig!$R$7</c:f>
              <c:strCache>
                <c:ptCount val="1"/>
                <c:pt idx="0">
                  <c:v>A</c:v>
                </c:pt>
              </c:strCache>
            </c:strRef>
          </c:tx>
          <c:spPr>
            <a:solidFill>
              <a:schemeClr val="accent1"/>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q11_q13_q15_q17_Fig!$S$7:$AC$7</c:f>
              <c:numCache>
                <c:formatCode>General</c:formatCode>
                <c:ptCount val="11"/>
                <c:pt idx="0">
                  <c:v>54661</c:v>
                </c:pt>
                <c:pt idx="1">
                  <c:v>57045</c:v>
                </c:pt>
                <c:pt idx="2">
                  <c:v>60375</c:v>
                </c:pt>
                <c:pt idx="3">
                  <c:v>61737</c:v>
                </c:pt>
                <c:pt idx="4">
                  <c:v>65121</c:v>
                </c:pt>
                <c:pt idx="5">
                  <c:v>66106</c:v>
                </c:pt>
                <c:pt idx="6">
                  <c:v>69923</c:v>
                </c:pt>
                <c:pt idx="7">
                  <c:v>68486</c:v>
                </c:pt>
                <c:pt idx="8">
                  <c:v>74274</c:v>
                </c:pt>
                <c:pt idx="9">
                  <c:v>78184</c:v>
                </c:pt>
                <c:pt idx="10">
                  <c:v>80117</c:v>
                </c:pt>
              </c:numCache>
            </c:numRef>
          </c:val>
          <c:extLst xmlns:c15="http://schemas.microsoft.com/office/drawing/2012/chart">
            <c:ext xmlns:c16="http://schemas.microsoft.com/office/drawing/2014/chart" uri="{C3380CC4-5D6E-409C-BE32-E72D297353CC}">
              <c16:uniqueId val="{00000000-68C7-4D1C-AF9C-5392E67CF5C4}"/>
            </c:ext>
          </c:extLst>
        </c:ser>
        <c:ser>
          <c:idx val="1"/>
          <c:order val="1"/>
          <c:tx>
            <c:strRef>
              <c:f>q11_q13_q15_q17_Fig!$R$8</c:f>
              <c:strCache>
                <c:ptCount val="1"/>
                <c:pt idx="0">
                  <c:v>B</c:v>
                </c:pt>
              </c:strCache>
            </c:strRef>
          </c:tx>
          <c:spPr>
            <a:solidFill>
              <a:schemeClr val="accent3"/>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q11_q13_q15_q17_Fig!$S$8:$AC$8</c:f>
              <c:numCache>
                <c:formatCode>General</c:formatCode>
                <c:ptCount val="11"/>
                <c:pt idx="0">
                  <c:v>8158</c:v>
                </c:pt>
                <c:pt idx="1">
                  <c:v>8132</c:v>
                </c:pt>
                <c:pt idx="2">
                  <c:v>8049</c:v>
                </c:pt>
                <c:pt idx="3">
                  <c:v>8407</c:v>
                </c:pt>
                <c:pt idx="4">
                  <c:v>8338</c:v>
                </c:pt>
                <c:pt idx="5">
                  <c:v>8161</c:v>
                </c:pt>
                <c:pt idx="6">
                  <c:v>8029</c:v>
                </c:pt>
                <c:pt idx="7">
                  <c:v>8140</c:v>
                </c:pt>
                <c:pt idx="8">
                  <c:v>8518</c:v>
                </c:pt>
                <c:pt idx="9">
                  <c:v>9125</c:v>
                </c:pt>
                <c:pt idx="10">
                  <c:v>9139</c:v>
                </c:pt>
              </c:numCache>
            </c:numRef>
          </c:val>
          <c:extLst>
            <c:ext xmlns:c16="http://schemas.microsoft.com/office/drawing/2014/chart" uri="{C3380CC4-5D6E-409C-BE32-E72D297353CC}">
              <c16:uniqueId val="{00000001-68C7-4D1C-AF9C-5392E67CF5C4}"/>
            </c:ext>
          </c:extLst>
        </c:ser>
        <c:ser>
          <c:idx val="2"/>
          <c:order val="2"/>
          <c:tx>
            <c:strRef>
              <c:f>q11_q13_q15_q17_Fig!$R$9</c:f>
              <c:strCache>
                <c:ptCount val="1"/>
                <c:pt idx="0">
                  <c:v>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q11_q13_q15_q17_Fig!$S$9:$AC$9</c:f>
              <c:numCache>
                <c:formatCode>General</c:formatCode>
                <c:ptCount val="11"/>
                <c:pt idx="0">
                  <c:v>557477</c:v>
                </c:pt>
                <c:pt idx="1">
                  <c:v>572207</c:v>
                </c:pt>
                <c:pt idx="2">
                  <c:v>589603</c:v>
                </c:pt>
                <c:pt idx="3">
                  <c:v>613379</c:v>
                </c:pt>
                <c:pt idx="4">
                  <c:v>633595</c:v>
                </c:pt>
                <c:pt idx="5">
                  <c:v>625633</c:v>
                </c:pt>
                <c:pt idx="6">
                  <c:v>614674</c:v>
                </c:pt>
                <c:pt idx="7">
                  <c:v>612054</c:v>
                </c:pt>
                <c:pt idx="8">
                  <c:v>642354</c:v>
                </c:pt>
                <c:pt idx="9">
                  <c:v>650876</c:v>
                </c:pt>
                <c:pt idx="10">
                  <c:v>641915</c:v>
                </c:pt>
              </c:numCache>
            </c:numRef>
          </c:val>
          <c:extLst>
            <c:ext xmlns:c16="http://schemas.microsoft.com/office/drawing/2014/chart" uri="{C3380CC4-5D6E-409C-BE32-E72D297353CC}">
              <c16:uniqueId val="{00000002-68C7-4D1C-AF9C-5392E67CF5C4}"/>
            </c:ext>
          </c:extLst>
        </c:ser>
        <c:ser>
          <c:idx val="3"/>
          <c:order val="3"/>
          <c:tx>
            <c:strRef>
              <c:f>q11_q13_q15_q17_Fig!$R$10</c:f>
              <c:strCache>
                <c:ptCount val="1"/>
                <c:pt idx="0">
                  <c:v>D</c:v>
                </c:pt>
              </c:strCache>
            </c:strRef>
          </c:tx>
          <c:spPr>
            <a:solidFill>
              <a:schemeClr val="accent1">
                <a:lumMod val="6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q11_q13_q15_q17_Fig!$S$10:$AC$10</c:f>
              <c:numCache>
                <c:formatCode>General</c:formatCode>
                <c:ptCount val="11"/>
                <c:pt idx="0">
                  <c:v>6277</c:v>
                </c:pt>
                <c:pt idx="1">
                  <c:v>6611</c:v>
                </c:pt>
                <c:pt idx="2">
                  <c:v>6390</c:v>
                </c:pt>
                <c:pt idx="3">
                  <c:v>6505</c:v>
                </c:pt>
                <c:pt idx="4">
                  <c:v>6748</c:v>
                </c:pt>
                <c:pt idx="5">
                  <c:v>6736</c:v>
                </c:pt>
                <c:pt idx="6">
                  <c:v>6671</c:v>
                </c:pt>
                <c:pt idx="7">
                  <c:v>6574</c:v>
                </c:pt>
                <c:pt idx="8">
                  <c:v>6551</c:v>
                </c:pt>
                <c:pt idx="9">
                  <c:v>6954</c:v>
                </c:pt>
                <c:pt idx="10">
                  <c:v>7070</c:v>
                </c:pt>
              </c:numCache>
            </c:numRef>
          </c:val>
          <c:extLst>
            <c:ext xmlns:c16="http://schemas.microsoft.com/office/drawing/2014/chart" uri="{C3380CC4-5D6E-409C-BE32-E72D297353CC}">
              <c16:uniqueId val="{00000003-68C7-4D1C-AF9C-5392E67CF5C4}"/>
            </c:ext>
          </c:extLst>
        </c:ser>
        <c:ser>
          <c:idx val="4"/>
          <c:order val="4"/>
          <c:tx>
            <c:strRef>
              <c:f>q11_q13_q15_q17_Fig!$R$11</c:f>
              <c:strCache>
                <c:ptCount val="1"/>
                <c:pt idx="0">
                  <c:v>E</c:v>
                </c:pt>
              </c:strCache>
            </c:strRef>
          </c:tx>
          <c:spPr>
            <a:solidFill>
              <a:schemeClr val="accent3">
                <a:lumMod val="6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q11_q13_q15_q17_Fig!$S$11:$AC$11</c:f>
              <c:numCache>
                <c:formatCode>General</c:formatCode>
                <c:ptCount val="11"/>
                <c:pt idx="0">
                  <c:v>20348</c:v>
                </c:pt>
                <c:pt idx="1">
                  <c:v>20860</c:v>
                </c:pt>
                <c:pt idx="2">
                  <c:v>22233</c:v>
                </c:pt>
                <c:pt idx="3">
                  <c:v>23079</c:v>
                </c:pt>
                <c:pt idx="4">
                  <c:v>23567</c:v>
                </c:pt>
                <c:pt idx="5">
                  <c:v>24904</c:v>
                </c:pt>
                <c:pt idx="6">
                  <c:v>25711</c:v>
                </c:pt>
                <c:pt idx="7">
                  <c:v>27469</c:v>
                </c:pt>
                <c:pt idx="8">
                  <c:v>28585</c:v>
                </c:pt>
                <c:pt idx="9">
                  <c:v>29229</c:v>
                </c:pt>
                <c:pt idx="10">
                  <c:v>30260</c:v>
                </c:pt>
              </c:numCache>
            </c:numRef>
          </c:val>
          <c:extLst>
            <c:ext xmlns:c16="http://schemas.microsoft.com/office/drawing/2014/chart" uri="{C3380CC4-5D6E-409C-BE32-E72D297353CC}">
              <c16:uniqueId val="{00000004-68C7-4D1C-AF9C-5392E67CF5C4}"/>
            </c:ext>
          </c:extLst>
        </c:ser>
        <c:ser>
          <c:idx val="5"/>
          <c:order val="5"/>
          <c:tx>
            <c:strRef>
              <c:f>q11_q13_q15_q17_Fig!$R$12</c:f>
              <c:strCache>
                <c:ptCount val="1"/>
                <c:pt idx="0">
                  <c:v>F</c:v>
                </c:pt>
              </c:strCache>
            </c:strRef>
          </c:tx>
          <c:spPr>
            <a:solidFill>
              <a:schemeClr val="accent5">
                <a:lumMod val="60000"/>
              </a:schemeClr>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5-68C7-4D1C-AF9C-5392E67CF5C4}"/>
                </c:ext>
              </c:extLst>
            </c:dLbl>
            <c:dLbl>
              <c:idx val="5"/>
              <c:delete val="1"/>
              <c:extLst>
                <c:ext xmlns:c15="http://schemas.microsoft.com/office/drawing/2012/chart" uri="{CE6537A1-D6FC-4f65-9D91-7224C49458BB}"/>
                <c:ext xmlns:c16="http://schemas.microsoft.com/office/drawing/2014/chart" uri="{C3380CC4-5D6E-409C-BE32-E72D297353CC}">
                  <c16:uniqueId val="{00000006-68C7-4D1C-AF9C-5392E67CF5C4}"/>
                </c:ext>
              </c:extLst>
            </c:dLbl>
            <c:dLbl>
              <c:idx val="6"/>
              <c:delete val="1"/>
              <c:extLst>
                <c:ext xmlns:c15="http://schemas.microsoft.com/office/drawing/2012/chart" uri="{CE6537A1-D6FC-4f65-9D91-7224C49458BB}"/>
                <c:ext xmlns:c16="http://schemas.microsoft.com/office/drawing/2014/chart" uri="{C3380CC4-5D6E-409C-BE32-E72D297353CC}">
                  <c16:uniqueId val="{00000007-68C7-4D1C-AF9C-5392E67CF5C4}"/>
                </c:ext>
              </c:extLst>
            </c:dLbl>
            <c:dLbl>
              <c:idx val="7"/>
              <c:delete val="1"/>
              <c:extLst>
                <c:ext xmlns:c15="http://schemas.microsoft.com/office/drawing/2012/chart" uri="{CE6537A1-D6FC-4f65-9D91-7224C49458BB}"/>
                <c:ext xmlns:c16="http://schemas.microsoft.com/office/drawing/2014/chart" uri="{C3380CC4-5D6E-409C-BE32-E72D297353CC}">
                  <c16:uniqueId val="{00000008-68C7-4D1C-AF9C-5392E67CF5C4}"/>
                </c:ext>
              </c:extLst>
            </c:dLbl>
            <c:dLbl>
              <c:idx val="8"/>
              <c:delete val="1"/>
              <c:extLst>
                <c:ext xmlns:c15="http://schemas.microsoft.com/office/drawing/2012/chart" uri="{CE6537A1-D6FC-4f65-9D91-7224C49458BB}"/>
                <c:ext xmlns:c16="http://schemas.microsoft.com/office/drawing/2014/chart" uri="{C3380CC4-5D6E-409C-BE32-E72D297353CC}">
                  <c16:uniqueId val="{00000009-68C7-4D1C-AF9C-5392E67CF5C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q11_q13_q15_q17_Fig!$S$12:$AC$12</c:f>
              <c:numCache>
                <c:formatCode>General</c:formatCode>
                <c:ptCount val="11"/>
                <c:pt idx="0">
                  <c:v>178366</c:v>
                </c:pt>
                <c:pt idx="1">
                  <c:v>178864</c:v>
                </c:pt>
                <c:pt idx="2">
                  <c:v>183547</c:v>
                </c:pt>
                <c:pt idx="3">
                  <c:v>195420</c:v>
                </c:pt>
                <c:pt idx="4">
                  <c:v>206868</c:v>
                </c:pt>
                <c:pt idx="5">
                  <c:v>219984</c:v>
                </c:pt>
                <c:pt idx="6">
                  <c:v>232381</c:v>
                </c:pt>
                <c:pt idx="7">
                  <c:v>234450</c:v>
                </c:pt>
                <c:pt idx="8">
                  <c:v>253501</c:v>
                </c:pt>
                <c:pt idx="9">
                  <c:v>275564</c:v>
                </c:pt>
                <c:pt idx="10">
                  <c:v>287512</c:v>
                </c:pt>
              </c:numCache>
            </c:numRef>
          </c:val>
          <c:extLst>
            <c:ext xmlns:c16="http://schemas.microsoft.com/office/drawing/2014/chart" uri="{C3380CC4-5D6E-409C-BE32-E72D297353CC}">
              <c16:uniqueId val="{0000000A-68C7-4D1C-AF9C-5392E67CF5C4}"/>
            </c:ext>
          </c:extLst>
        </c:ser>
        <c:ser>
          <c:idx val="6"/>
          <c:order val="6"/>
          <c:tx>
            <c:strRef>
              <c:f>q11_q13_q15_q17_Fig!$R$13</c:f>
              <c:strCache>
                <c:ptCount val="1"/>
                <c:pt idx="0">
                  <c:v>G</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q11_q13_q15_q17_Fig!$S$13:$AC$13</c:f>
              <c:numCache>
                <c:formatCode>General</c:formatCode>
                <c:ptCount val="11"/>
                <c:pt idx="0">
                  <c:v>463519</c:v>
                </c:pt>
                <c:pt idx="1">
                  <c:v>478256</c:v>
                </c:pt>
                <c:pt idx="2">
                  <c:v>492250</c:v>
                </c:pt>
                <c:pt idx="3">
                  <c:v>507360</c:v>
                </c:pt>
                <c:pt idx="4">
                  <c:v>522673</c:v>
                </c:pt>
                <c:pt idx="5">
                  <c:v>538367</c:v>
                </c:pt>
                <c:pt idx="6">
                  <c:v>525816</c:v>
                </c:pt>
                <c:pt idx="7">
                  <c:v>533620</c:v>
                </c:pt>
                <c:pt idx="8">
                  <c:v>559353</c:v>
                </c:pt>
                <c:pt idx="9">
                  <c:v>577407</c:v>
                </c:pt>
                <c:pt idx="10">
                  <c:v>583143</c:v>
                </c:pt>
              </c:numCache>
            </c:numRef>
          </c:val>
          <c:extLst>
            <c:ext xmlns:c16="http://schemas.microsoft.com/office/drawing/2014/chart" uri="{C3380CC4-5D6E-409C-BE32-E72D297353CC}">
              <c16:uniqueId val="{0000000B-68C7-4D1C-AF9C-5392E67CF5C4}"/>
            </c:ext>
          </c:extLst>
        </c:ser>
        <c:ser>
          <c:idx val="7"/>
          <c:order val="7"/>
          <c:tx>
            <c:strRef>
              <c:f>q11_q13_q15_q17_Fig!$R$14</c:f>
              <c:strCache>
                <c:ptCount val="1"/>
                <c:pt idx="0">
                  <c:v>H</c:v>
                </c:pt>
              </c:strCache>
            </c:strRef>
          </c:tx>
          <c:spPr>
            <a:solidFill>
              <a:schemeClr val="accent3">
                <a:lumMod val="80000"/>
                <a:lumOff val="2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q11_q13_q15_q17_Fig!$S$14:$AC$14</c:f>
              <c:numCache>
                <c:formatCode>General</c:formatCode>
                <c:ptCount val="11"/>
                <c:pt idx="0">
                  <c:v>122986</c:v>
                </c:pt>
                <c:pt idx="1">
                  <c:v>127238</c:v>
                </c:pt>
                <c:pt idx="2">
                  <c:v>132842</c:v>
                </c:pt>
                <c:pt idx="3">
                  <c:v>140148</c:v>
                </c:pt>
                <c:pt idx="4">
                  <c:v>145741</c:v>
                </c:pt>
                <c:pt idx="5">
                  <c:v>147408</c:v>
                </c:pt>
                <c:pt idx="6">
                  <c:v>146314</c:v>
                </c:pt>
                <c:pt idx="7">
                  <c:v>142969</c:v>
                </c:pt>
                <c:pt idx="8">
                  <c:v>149925</c:v>
                </c:pt>
                <c:pt idx="9">
                  <c:v>159412</c:v>
                </c:pt>
                <c:pt idx="10">
                  <c:v>163507</c:v>
                </c:pt>
              </c:numCache>
            </c:numRef>
          </c:val>
          <c:extLst>
            <c:ext xmlns:c16="http://schemas.microsoft.com/office/drawing/2014/chart" uri="{C3380CC4-5D6E-409C-BE32-E72D297353CC}">
              <c16:uniqueId val="{0000000C-68C7-4D1C-AF9C-5392E67CF5C4}"/>
            </c:ext>
          </c:extLst>
        </c:ser>
        <c:ser>
          <c:idx val="8"/>
          <c:order val="8"/>
          <c:tx>
            <c:strRef>
              <c:f>q11_q13_q15_q17_Fig!$R$15</c:f>
              <c:strCache>
                <c:ptCount val="1"/>
                <c:pt idx="0">
                  <c:v>I</c:v>
                </c:pt>
              </c:strCache>
            </c:strRef>
          </c:tx>
          <c:spPr>
            <a:solidFill>
              <a:schemeClr val="accent5">
                <a:lumMod val="80000"/>
                <a:lumOff val="2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68C7-4D1C-AF9C-5392E67CF5C4}"/>
                </c:ext>
              </c:extLst>
            </c:dLbl>
            <c:dLbl>
              <c:idx val="1"/>
              <c:delete val="1"/>
              <c:extLst>
                <c:ext xmlns:c15="http://schemas.microsoft.com/office/drawing/2012/chart" uri="{CE6537A1-D6FC-4f65-9D91-7224C49458BB}"/>
                <c:ext xmlns:c16="http://schemas.microsoft.com/office/drawing/2014/chart" uri="{C3380CC4-5D6E-409C-BE32-E72D297353CC}">
                  <c16:uniqueId val="{0000000E-68C7-4D1C-AF9C-5392E67CF5C4}"/>
                </c:ext>
              </c:extLst>
            </c:dLbl>
            <c:dLbl>
              <c:idx val="2"/>
              <c:delete val="1"/>
              <c:extLst>
                <c:ext xmlns:c15="http://schemas.microsoft.com/office/drawing/2012/chart" uri="{CE6537A1-D6FC-4f65-9D91-7224C49458BB}"/>
                <c:ext xmlns:c16="http://schemas.microsoft.com/office/drawing/2014/chart" uri="{C3380CC4-5D6E-409C-BE32-E72D297353CC}">
                  <c16:uniqueId val="{0000000F-68C7-4D1C-AF9C-5392E67CF5C4}"/>
                </c:ext>
              </c:extLst>
            </c:dLbl>
            <c:dLbl>
              <c:idx val="3"/>
              <c:delete val="1"/>
              <c:extLst>
                <c:ext xmlns:c15="http://schemas.microsoft.com/office/drawing/2012/chart" uri="{CE6537A1-D6FC-4f65-9D91-7224C49458BB}"/>
                <c:ext xmlns:c16="http://schemas.microsoft.com/office/drawing/2014/chart" uri="{C3380CC4-5D6E-409C-BE32-E72D297353CC}">
                  <c16:uniqueId val="{00000010-68C7-4D1C-AF9C-5392E67CF5C4}"/>
                </c:ext>
              </c:extLst>
            </c:dLbl>
            <c:dLbl>
              <c:idx val="9"/>
              <c:delete val="1"/>
              <c:extLst>
                <c:ext xmlns:c15="http://schemas.microsoft.com/office/drawing/2012/chart" uri="{CE6537A1-D6FC-4f65-9D91-7224C49458BB}"/>
                <c:ext xmlns:c16="http://schemas.microsoft.com/office/drawing/2014/chart" uri="{C3380CC4-5D6E-409C-BE32-E72D297353CC}">
                  <c16:uniqueId val="{00000011-68C7-4D1C-AF9C-5392E67CF5C4}"/>
                </c:ext>
              </c:extLst>
            </c:dLbl>
            <c:dLbl>
              <c:idx val="10"/>
              <c:delete val="1"/>
              <c:extLst>
                <c:ext xmlns:c15="http://schemas.microsoft.com/office/drawing/2012/chart" uri="{CE6537A1-D6FC-4f65-9D91-7224C49458BB}"/>
                <c:ext xmlns:c16="http://schemas.microsoft.com/office/drawing/2014/chart" uri="{C3380CC4-5D6E-409C-BE32-E72D297353CC}">
                  <c16:uniqueId val="{00000012-68C7-4D1C-AF9C-5392E67CF5C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q11_q13_q15_q17_Fig!$S$15:$AC$15</c:f>
              <c:numCache>
                <c:formatCode>General</c:formatCode>
                <c:ptCount val="11"/>
                <c:pt idx="0">
                  <c:v>174663</c:v>
                </c:pt>
                <c:pt idx="1">
                  <c:v>189219</c:v>
                </c:pt>
                <c:pt idx="2">
                  <c:v>204110</c:v>
                </c:pt>
                <c:pt idx="3">
                  <c:v>223805</c:v>
                </c:pt>
                <c:pt idx="4">
                  <c:v>241853</c:v>
                </c:pt>
                <c:pt idx="5">
                  <c:v>251350</c:v>
                </c:pt>
                <c:pt idx="6">
                  <c:v>214079</c:v>
                </c:pt>
                <c:pt idx="7">
                  <c:v>220649</c:v>
                </c:pt>
                <c:pt idx="8">
                  <c:v>259660</c:v>
                </c:pt>
                <c:pt idx="9">
                  <c:v>286812</c:v>
                </c:pt>
                <c:pt idx="10">
                  <c:v>295279</c:v>
                </c:pt>
              </c:numCache>
            </c:numRef>
          </c:val>
          <c:extLst>
            <c:ext xmlns:c16="http://schemas.microsoft.com/office/drawing/2014/chart" uri="{C3380CC4-5D6E-409C-BE32-E72D297353CC}">
              <c16:uniqueId val="{00000013-68C7-4D1C-AF9C-5392E67CF5C4}"/>
            </c:ext>
          </c:extLst>
        </c:ser>
        <c:ser>
          <c:idx val="9"/>
          <c:order val="9"/>
          <c:tx>
            <c:strRef>
              <c:f>q11_q13_q15_q17_Fig!$R$16</c:f>
              <c:strCache>
                <c:ptCount val="1"/>
                <c:pt idx="0">
                  <c:v>J</c:v>
                </c:pt>
              </c:strCache>
            </c:strRef>
          </c:tx>
          <c:spPr>
            <a:solidFill>
              <a:schemeClr val="accent1">
                <a:lumMod val="8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q11_q13_q15_q17_Fig!$S$16:$AC$16</c:f>
              <c:numCache>
                <c:formatCode>General</c:formatCode>
                <c:ptCount val="11"/>
                <c:pt idx="0">
                  <c:v>67783</c:v>
                </c:pt>
                <c:pt idx="1">
                  <c:v>68812</c:v>
                </c:pt>
                <c:pt idx="2">
                  <c:v>72936</c:v>
                </c:pt>
                <c:pt idx="3">
                  <c:v>79205</c:v>
                </c:pt>
                <c:pt idx="4">
                  <c:v>86973</c:v>
                </c:pt>
                <c:pt idx="5">
                  <c:v>94794</c:v>
                </c:pt>
                <c:pt idx="6">
                  <c:v>102655</c:v>
                </c:pt>
                <c:pt idx="7">
                  <c:v>109224</c:v>
                </c:pt>
                <c:pt idx="8">
                  <c:v>127560</c:v>
                </c:pt>
                <c:pt idx="9">
                  <c:v>130681</c:v>
                </c:pt>
                <c:pt idx="10">
                  <c:v>136793</c:v>
                </c:pt>
              </c:numCache>
            </c:numRef>
          </c:val>
          <c:extLst>
            <c:ext xmlns:c16="http://schemas.microsoft.com/office/drawing/2014/chart" uri="{C3380CC4-5D6E-409C-BE32-E72D297353CC}">
              <c16:uniqueId val="{00000014-68C7-4D1C-AF9C-5392E67CF5C4}"/>
            </c:ext>
          </c:extLst>
        </c:ser>
        <c:ser>
          <c:idx val="10"/>
          <c:order val="10"/>
          <c:tx>
            <c:strRef>
              <c:f>q11_q13_q15_q17_Fig!$R$17</c:f>
              <c:strCache>
                <c:ptCount val="1"/>
                <c:pt idx="0">
                  <c:v>K</c:v>
                </c:pt>
              </c:strCache>
            </c:strRef>
          </c:tx>
          <c:spPr>
            <a:solidFill>
              <a:schemeClr val="accent3">
                <a:lumMod val="8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q11_q13_q15_q17_Fig!$S$17:$AC$17</c:f>
              <c:numCache>
                <c:formatCode>General</c:formatCode>
                <c:ptCount val="11"/>
                <c:pt idx="0">
                  <c:v>79315</c:v>
                </c:pt>
                <c:pt idx="1">
                  <c:v>77783</c:v>
                </c:pt>
                <c:pt idx="2">
                  <c:v>76080</c:v>
                </c:pt>
                <c:pt idx="3">
                  <c:v>74708</c:v>
                </c:pt>
                <c:pt idx="4">
                  <c:v>75395</c:v>
                </c:pt>
                <c:pt idx="5">
                  <c:v>69033</c:v>
                </c:pt>
                <c:pt idx="6">
                  <c:v>75376</c:v>
                </c:pt>
                <c:pt idx="7">
                  <c:v>74155</c:v>
                </c:pt>
                <c:pt idx="8">
                  <c:v>76725</c:v>
                </c:pt>
                <c:pt idx="9">
                  <c:v>79929</c:v>
                </c:pt>
                <c:pt idx="10">
                  <c:v>81427</c:v>
                </c:pt>
              </c:numCache>
            </c:numRef>
          </c:val>
          <c:extLst>
            <c:ext xmlns:c16="http://schemas.microsoft.com/office/drawing/2014/chart" uri="{C3380CC4-5D6E-409C-BE32-E72D297353CC}">
              <c16:uniqueId val="{00000015-68C7-4D1C-AF9C-5392E67CF5C4}"/>
            </c:ext>
          </c:extLst>
        </c:ser>
        <c:ser>
          <c:idx val="11"/>
          <c:order val="11"/>
          <c:tx>
            <c:strRef>
              <c:f>q11_q13_q15_q17_Fig!$R$18</c:f>
              <c:strCache>
                <c:ptCount val="1"/>
                <c:pt idx="0">
                  <c:v>L</c:v>
                </c:pt>
              </c:strCache>
            </c:strRef>
          </c:tx>
          <c:spPr>
            <a:solidFill>
              <a:schemeClr val="accent5">
                <a:lumMod val="8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q11_q13_q15_q17_Fig!$S$18:$AC$18</c:f>
              <c:numCache>
                <c:formatCode>General</c:formatCode>
                <c:ptCount val="11"/>
                <c:pt idx="0">
                  <c:v>16356</c:v>
                </c:pt>
                <c:pt idx="1">
                  <c:v>17668</c:v>
                </c:pt>
                <c:pt idx="2">
                  <c:v>18643</c:v>
                </c:pt>
                <c:pt idx="3">
                  <c:v>20754</c:v>
                </c:pt>
                <c:pt idx="4">
                  <c:v>23132</c:v>
                </c:pt>
                <c:pt idx="5">
                  <c:v>24348</c:v>
                </c:pt>
                <c:pt idx="6">
                  <c:v>24974</c:v>
                </c:pt>
                <c:pt idx="7">
                  <c:v>26345</c:v>
                </c:pt>
                <c:pt idx="8">
                  <c:v>28809</c:v>
                </c:pt>
                <c:pt idx="9">
                  <c:v>31375</c:v>
                </c:pt>
                <c:pt idx="10">
                  <c:v>32991</c:v>
                </c:pt>
              </c:numCache>
            </c:numRef>
          </c:val>
          <c:extLst>
            <c:ext xmlns:c16="http://schemas.microsoft.com/office/drawing/2014/chart" uri="{C3380CC4-5D6E-409C-BE32-E72D297353CC}">
              <c16:uniqueId val="{00000016-68C7-4D1C-AF9C-5392E67CF5C4}"/>
            </c:ext>
          </c:extLst>
        </c:ser>
        <c:ser>
          <c:idx val="12"/>
          <c:order val="12"/>
          <c:tx>
            <c:strRef>
              <c:f>q11_q13_q15_q17_Fig!$R$19</c:f>
              <c:strCache>
                <c:ptCount val="1"/>
                <c:pt idx="0">
                  <c:v>M</c:v>
                </c:pt>
              </c:strCache>
            </c:strRef>
          </c:tx>
          <c:spPr>
            <a:solidFill>
              <a:schemeClr val="accent1">
                <a:lumMod val="60000"/>
                <a:lumOff val="4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q11_q13_q15_q17_Fig!$S$19:$AC$19</c:f>
              <c:numCache>
                <c:formatCode>General</c:formatCode>
                <c:ptCount val="11"/>
                <c:pt idx="0">
                  <c:v>105085</c:v>
                </c:pt>
                <c:pt idx="1">
                  <c:v>109770</c:v>
                </c:pt>
                <c:pt idx="2">
                  <c:v>111974</c:v>
                </c:pt>
                <c:pt idx="3">
                  <c:v>113617</c:v>
                </c:pt>
                <c:pt idx="4">
                  <c:v>123636</c:v>
                </c:pt>
                <c:pt idx="5">
                  <c:v>132611</c:v>
                </c:pt>
                <c:pt idx="6">
                  <c:v>134408</c:v>
                </c:pt>
                <c:pt idx="7">
                  <c:v>139839</c:v>
                </c:pt>
                <c:pt idx="8">
                  <c:v>159252</c:v>
                </c:pt>
                <c:pt idx="9">
                  <c:v>173417</c:v>
                </c:pt>
                <c:pt idx="10">
                  <c:v>184737</c:v>
                </c:pt>
              </c:numCache>
            </c:numRef>
          </c:val>
          <c:extLst>
            <c:ext xmlns:c16="http://schemas.microsoft.com/office/drawing/2014/chart" uri="{C3380CC4-5D6E-409C-BE32-E72D297353CC}">
              <c16:uniqueId val="{00000017-68C7-4D1C-AF9C-5392E67CF5C4}"/>
            </c:ext>
          </c:extLst>
        </c:ser>
        <c:ser>
          <c:idx val="13"/>
          <c:order val="13"/>
          <c:tx>
            <c:strRef>
              <c:f>q11_q13_q15_q17_Fig!$R$20</c:f>
              <c:strCache>
                <c:ptCount val="1"/>
                <c:pt idx="0">
                  <c:v>N</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q11_q13_q15_q17_Fig!$S$20:$AC$20</c:f>
              <c:numCache>
                <c:formatCode>General</c:formatCode>
                <c:ptCount val="11"/>
                <c:pt idx="0">
                  <c:v>238916</c:v>
                </c:pt>
                <c:pt idx="1">
                  <c:v>246451</c:v>
                </c:pt>
                <c:pt idx="2">
                  <c:v>268226</c:v>
                </c:pt>
                <c:pt idx="3">
                  <c:v>294174</c:v>
                </c:pt>
                <c:pt idx="4">
                  <c:v>293550</c:v>
                </c:pt>
                <c:pt idx="5">
                  <c:v>293948</c:v>
                </c:pt>
                <c:pt idx="6">
                  <c:v>285919</c:v>
                </c:pt>
                <c:pt idx="7">
                  <c:v>275843</c:v>
                </c:pt>
                <c:pt idx="8">
                  <c:v>307876</c:v>
                </c:pt>
                <c:pt idx="9">
                  <c:v>323487</c:v>
                </c:pt>
                <c:pt idx="10">
                  <c:v>325009</c:v>
                </c:pt>
              </c:numCache>
            </c:numRef>
          </c:val>
          <c:extLst>
            <c:ext xmlns:c16="http://schemas.microsoft.com/office/drawing/2014/chart" uri="{C3380CC4-5D6E-409C-BE32-E72D297353CC}">
              <c16:uniqueId val="{00000018-68C7-4D1C-AF9C-5392E67CF5C4}"/>
            </c:ext>
          </c:extLst>
        </c:ser>
        <c:ser>
          <c:idx val="14"/>
          <c:order val="14"/>
          <c:tx>
            <c:strRef>
              <c:f>q11_q13_q15_q17_Fig!$R$21</c:f>
              <c:strCache>
                <c:ptCount val="1"/>
                <c:pt idx="0">
                  <c:v>O</c:v>
                </c:pt>
              </c:strCache>
            </c:strRef>
          </c:tx>
          <c:spPr>
            <a:solidFill>
              <a:schemeClr val="accent5">
                <a:lumMod val="60000"/>
                <a:lumOff val="4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q11_q13_q15_q17_Fig!$S$21:$AC$21</c:f>
              <c:numCache>
                <c:formatCode>General</c:formatCode>
                <c:ptCount val="11"/>
                <c:pt idx="0">
                  <c:v>10787</c:v>
                </c:pt>
                <c:pt idx="1">
                  <c:v>10612</c:v>
                </c:pt>
                <c:pt idx="2">
                  <c:v>10688</c:v>
                </c:pt>
                <c:pt idx="3">
                  <c:v>11236</c:v>
                </c:pt>
                <c:pt idx="4">
                  <c:v>11602</c:v>
                </c:pt>
                <c:pt idx="5">
                  <c:v>11794</c:v>
                </c:pt>
                <c:pt idx="6">
                  <c:v>12327</c:v>
                </c:pt>
                <c:pt idx="7">
                  <c:v>11997</c:v>
                </c:pt>
                <c:pt idx="8">
                  <c:v>13111</c:v>
                </c:pt>
                <c:pt idx="9">
                  <c:v>14202</c:v>
                </c:pt>
                <c:pt idx="10">
                  <c:v>14524</c:v>
                </c:pt>
              </c:numCache>
            </c:numRef>
          </c:val>
          <c:extLst>
            <c:ext xmlns:c16="http://schemas.microsoft.com/office/drawing/2014/chart" uri="{C3380CC4-5D6E-409C-BE32-E72D297353CC}">
              <c16:uniqueId val="{00000019-68C7-4D1C-AF9C-5392E67CF5C4}"/>
            </c:ext>
          </c:extLst>
        </c:ser>
        <c:ser>
          <c:idx val="15"/>
          <c:order val="15"/>
          <c:tx>
            <c:strRef>
              <c:f>q11_q13_q15_q17_Fig!$R$22</c:f>
              <c:strCache>
                <c:ptCount val="1"/>
                <c:pt idx="0">
                  <c:v>P</c:v>
                </c:pt>
              </c:strCache>
            </c:strRef>
          </c:tx>
          <c:spPr>
            <a:solidFill>
              <a:schemeClr val="accent1">
                <a:lumMod val="5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q11_q13_q15_q17_Fig!$S$22:$AC$22</c:f>
              <c:numCache>
                <c:formatCode>General</c:formatCode>
                <c:ptCount val="11"/>
                <c:pt idx="0">
                  <c:v>50957</c:v>
                </c:pt>
                <c:pt idx="1">
                  <c:v>53876</c:v>
                </c:pt>
                <c:pt idx="2">
                  <c:v>53906</c:v>
                </c:pt>
                <c:pt idx="3">
                  <c:v>53502</c:v>
                </c:pt>
                <c:pt idx="4">
                  <c:v>57690</c:v>
                </c:pt>
                <c:pt idx="5">
                  <c:v>58269</c:v>
                </c:pt>
                <c:pt idx="6">
                  <c:v>59807</c:v>
                </c:pt>
                <c:pt idx="7">
                  <c:v>58921</c:v>
                </c:pt>
                <c:pt idx="8">
                  <c:v>62076</c:v>
                </c:pt>
                <c:pt idx="9">
                  <c:v>66613</c:v>
                </c:pt>
                <c:pt idx="10">
                  <c:v>69990</c:v>
                </c:pt>
              </c:numCache>
            </c:numRef>
          </c:val>
          <c:extLst>
            <c:ext xmlns:c16="http://schemas.microsoft.com/office/drawing/2014/chart" uri="{C3380CC4-5D6E-409C-BE32-E72D297353CC}">
              <c16:uniqueId val="{0000001A-68C7-4D1C-AF9C-5392E67CF5C4}"/>
            </c:ext>
          </c:extLst>
        </c:ser>
        <c:ser>
          <c:idx val="16"/>
          <c:order val="16"/>
          <c:tx>
            <c:strRef>
              <c:f>q11_q13_q15_q17_Fig!$R$23</c:f>
              <c:strCache>
                <c:ptCount val="1"/>
                <c:pt idx="0">
                  <c:v>Q</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q11_q13_q15_q17_Fig!$S$23:$AC$23</c:f>
              <c:numCache>
                <c:formatCode>General</c:formatCode>
                <c:ptCount val="11"/>
                <c:pt idx="0">
                  <c:v>221126</c:v>
                </c:pt>
                <c:pt idx="1">
                  <c:v>232717</c:v>
                </c:pt>
                <c:pt idx="2">
                  <c:v>246800</c:v>
                </c:pt>
                <c:pt idx="3">
                  <c:v>257306</c:v>
                </c:pt>
                <c:pt idx="4">
                  <c:v>263021</c:v>
                </c:pt>
                <c:pt idx="5">
                  <c:v>269760</c:v>
                </c:pt>
                <c:pt idx="6">
                  <c:v>280115</c:v>
                </c:pt>
                <c:pt idx="7">
                  <c:v>286750</c:v>
                </c:pt>
                <c:pt idx="8">
                  <c:v>299622</c:v>
                </c:pt>
                <c:pt idx="9">
                  <c:v>309289</c:v>
                </c:pt>
                <c:pt idx="10">
                  <c:v>316504</c:v>
                </c:pt>
              </c:numCache>
            </c:numRef>
          </c:val>
          <c:extLst>
            <c:ext xmlns:c16="http://schemas.microsoft.com/office/drawing/2014/chart" uri="{C3380CC4-5D6E-409C-BE32-E72D297353CC}">
              <c16:uniqueId val="{0000001B-68C7-4D1C-AF9C-5392E67CF5C4}"/>
            </c:ext>
          </c:extLst>
        </c:ser>
        <c:ser>
          <c:idx val="17"/>
          <c:order val="17"/>
          <c:tx>
            <c:strRef>
              <c:f>q11_q13_q15_q17_Fig!$R$24</c:f>
              <c:strCache>
                <c:ptCount val="1"/>
                <c:pt idx="0">
                  <c:v>R</c:v>
                </c:pt>
              </c:strCache>
            </c:strRef>
          </c:tx>
          <c:spPr>
            <a:solidFill>
              <a:schemeClr val="accent5">
                <a:lumMod val="5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q11_q13_q15_q17_Fig!$S$24:$AC$24</c:f>
              <c:numCache>
                <c:formatCode>General</c:formatCode>
                <c:ptCount val="11"/>
                <c:pt idx="0">
                  <c:v>18760</c:v>
                </c:pt>
                <c:pt idx="1">
                  <c:v>21039</c:v>
                </c:pt>
                <c:pt idx="2">
                  <c:v>22077</c:v>
                </c:pt>
                <c:pt idx="3">
                  <c:v>24123</c:v>
                </c:pt>
                <c:pt idx="4">
                  <c:v>26529</c:v>
                </c:pt>
                <c:pt idx="5">
                  <c:v>28069</c:v>
                </c:pt>
                <c:pt idx="6">
                  <c:v>26263</c:v>
                </c:pt>
                <c:pt idx="7">
                  <c:v>28680</c:v>
                </c:pt>
                <c:pt idx="8">
                  <c:v>30827</c:v>
                </c:pt>
                <c:pt idx="9">
                  <c:v>34107</c:v>
                </c:pt>
                <c:pt idx="10">
                  <c:v>36494</c:v>
                </c:pt>
              </c:numCache>
            </c:numRef>
          </c:val>
          <c:extLst>
            <c:ext xmlns:c16="http://schemas.microsoft.com/office/drawing/2014/chart" uri="{C3380CC4-5D6E-409C-BE32-E72D297353CC}">
              <c16:uniqueId val="{0000001C-68C7-4D1C-AF9C-5392E67CF5C4}"/>
            </c:ext>
          </c:extLst>
        </c:ser>
        <c:ser>
          <c:idx val="18"/>
          <c:order val="18"/>
          <c:tx>
            <c:strRef>
              <c:f>q11_q13_q15_q17_Fig!$R$25</c:f>
              <c:strCache>
                <c:ptCount val="1"/>
                <c:pt idx="0">
                  <c:v>S</c:v>
                </c:pt>
              </c:strCache>
            </c:strRef>
          </c:tx>
          <c:spPr>
            <a:solidFill>
              <a:schemeClr val="accent1">
                <a:lumMod val="70000"/>
                <a:lumOff val="3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q11_q13_q15_q17_Fig!$S$25:$AC$25</c:f>
              <c:numCache>
                <c:formatCode>General</c:formatCode>
                <c:ptCount val="11"/>
                <c:pt idx="0">
                  <c:v>62532</c:v>
                </c:pt>
                <c:pt idx="1">
                  <c:v>60404</c:v>
                </c:pt>
                <c:pt idx="2">
                  <c:v>61086</c:v>
                </c:pt>
                <c:pt idx="3">
                  <c:v>58964</c:v>
                </c:pt>
                <c:pt idx="4">
                  <c:v>61792</c:v>
                </c:pt>
                <c:pt idx="5">
                  <c:v>59107</c:v>
                </c:pt>
                <c:pt idx="6">
                  <c:v>57266</c:v>
                </c:pt>
                <c:pt idx="7">
                  <c:v>56071</c:v>
                </c:pt>
                <c:pt idx="8">
                  <c:v>59443</c:v>
                </c:pt>
                <c:pt idx="9">
                  <c:v>59326</c:v>
                </c:pt>
                <c:pt idx="10">
                  <c:v>57571</c:v>
                </c:pt>
              </c:numCache>
            </c:numRef>
          </c:val>
          <c:extLst>
            <c:ext xmlns:c16="http://schemas.microsoft.com/office/drawing/2014/chart" uri="{C3380CC4-5D6E-409C-BE32-E72D297353CC}">
              <c16:uniqueId val="{0000001D-68C7-4D1C-AF9C-5392E67CF5C4}"/>
            </c:ext>
          </c:extLst>
        </c:ser>
        <c:ser>
          <c:idx val="19"/>
          <c:order val="19"/>
          <c:tx>
            <c:strRef>
              <c:f>q11_q13_q15_q17_Fig!$R$26</c:f>
              <c:strCache>
                <c:ptCount val="1"/>
                <c:pt idx="0">
                  <c:v>U</c:v>
                </c:pt>
              </c:strCache>
            </c:strRef>
          </c:tx>
          <c:spPr>
            <a:solidFill>
              <a:schemeClr val="accent3">
                <a:lumMod val="70000"/>
                <a:lumOff val="3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q11_q13_q15_q17_Fig!$S$26:$AC$26</c:f>
              <c:numCache>
                <c:formatCode>General</c:formatCode>
                <c:ptCount val="11"/>
                <c:pt idx="0">
                  <c:v>91</c:v>
                </c:pt>
                <c:pt idx="1">
                  <c:v>89</c:v>
                </c:pt>
                <c:pt idx="2">
                  <c:v>104</c:v>
                </c:pt>
                <c:pt idx="3">
                  <c:v>92</c:v>
                </c:pt>
                <c:pt idx="4">
                  <c:v>94</c:v>
                </c:pt>
                <c:pt idx="5">
                  <c:v>100</c:v>
                </c:pt>
                <c:pt idx="6">
                  <c:v>117</c:v>
                </c:pt>
                <c:pt idx="7">
                  <c:v>107</c:v>
                </c:pt>
                <c:pt idx="8">
                  <c:v>125</c:v>
                </c:pt>
                <c:pt idx="9">
                  <c:v>145</c:v>
                </c:pt>
                <c:pt idx="10">
                  <c:v>154</c:v>
                </c:pt>
              </c:numCache>
            </c:numRef>
          </c:val>
          <c:extLst>
            <c:ext xmlns:c16="http://schemas.microsoft.com/office/drawing/2014/chart" uri="{C3380CC4-5D6E-409C-BE32-E72D297353CC}">
              <c16:uniqueId val="{0000001E-68C7-4D1C-AF9C-5392E67CF5C4}"/>
            </c:ext>
          </c:extLst>
        </c:ser>
        <c:dLbls>
          <c:showLegendKey val="0"/>
          <c:showVal val="0"/>
          <c:showCatName val="0"/>
          <c:showSerName val="0"/>
          <c:showPercent val="0"/>
          <c:showBubbleSize val="0"/>
        </c:dLbls>
        <c:gapWidth val="50"/>
        <c:overlap val="100"/>
        <c:axId val="211072368"/>
        <c:axId val="1682385520"/>
        <c:extLst/>
      </c:barChart>
      <c:catAx>
        <c:axId val="21107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crossAx val="1682385520"/>
        <c:crosses val="autoZero"/>
        <c:auto val="1"/>
        <c:lblAlgn val="ctr"/>
        <c:lblOffset val="100"/>
        <c:noMultiLvlLbl val="0"/>
      </c:catAx>
      <c:valAx>
        <c:axId val="1682385520"/>
        <c:scaling>
          <c:orientation val="minMax"/>
          <c:max val="3500000"/>
          <c:min val="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211072368"/>
        <c:crosses val="autoZero"/>
        <c:crossBetween val="between"/>
      </c:valAx>
      <c:spPr>
        <a:noFill/>
        <a:ln>
          <a:noFill/>
        </a:ln>
        <a:effectLst/>
      </c:spPr>
    </c:plotArea>
    <c:legend>
      <c:legendPos val="b"/>
      <c:layout>
        <c:manualLayout>
          <c:xMode val="edge"/>
          <c:yMode val="edge"/>
          <c:x val="3.7437102506546943E-2"/>
          <c:y val="0.89261540822590557"/>
          <c:w val="0.94198021885521888"/>
          <c:h val="7.953376304481277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pt-PT" sz="900">
                <a:solidFill>
                  <a:schemeClr val="tx2">
                    <a:lumMod val="75000"/>
                  </a:schemeClr>
                </a:solidFill>
              </a:rPr>
              <a:t>...por dimensão do estabelecimento</a:t>
            </a:r>
          </a:p>
        </c:rich>
      </c:tx>
      <c:layout>
        <c:manualLayout>
          <c:xMode val="edge"/>
          <c:yMode val="edge"/>
          <c:x val="0.75006003767601337"/>
          <c:y val="3.404253798289474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pt-PT"/>
        </a:p>
      </c:txPr>
    </c:title>
    <c:autoTitleDeleted val="0"/>
    <c:plotArea>
      <c:layout/>
      <c:lineChart>
        <c:grouping val="standard"/>
        <c:varyColors val="0"/>
        <c:ser>
          <c:idx val="0"/>
          <c:order val="0"/>
          <c:tx>
            <c:strRef>
              <c:f>q11_q13_q15_q17_Fig!$R$31</c:f>
              <c:strCache>
                <c:ptCount val="1"/>
                <c:pt idx="0">
                  <c:v>Micro (1-9 pessoas)</c:v>
                </c:pt>
              </c:strCache>
            </c:strRef>
          </c:tx>
          <c:spPr>
            <a:ln w="25400" cap="rnd">
              <a:solidFill>
                <a:srgbClr val="3C1692"/>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E35B-4366-8AB9-607A1685C114}"/>
                </c:ext>
              </c:extLst>
            </c:dLbl>
            <c:dLbl>
              <c:idx val="1"/>
              <c:delete val="1"/>
              <c:extLst>
                <c:ext xmlns:c15="http://schemas.microsoft.com/office/drawing/2012/chart" uri="{CE6537A1-D6FC-4f65-9D91-7224C49458BB}"/>
                <c:ext xmlns:c16="http://schemas.microsoft.com/office/drawing/2014/chart" uri="{C3380CC4-5D6E-409C-BE32-E72D297353CC}">
                  <c16:uniqueId val="{00000001-E35B-4366-8AB9-607A1685C114}"/>
                </c:ext>
              </c:extLst>
            </c:dLbl>
            <c:dLbl>
              <c:idx val="2"/>
              <c:delete val="1"/>
              <c:extLst>
                <c:ext xmlns:c15="http://schemas.microsoft.com/office/drawing/2012/chart" uri="{CE6537A1-D6FC-4f65-9D91-7224C49458BB}"/>
                <c:ext xmlns:c16="http://schemas.microsoft.com/office/drawing/2014/chart" uri="{C3380CC4-5D6E-409C-BE32-E72D297353CC}">
                  <c16:uniqueId val="{00000002-E35B-4366-8AB9-607A1685C114}"/>
                </c:ext>
              </c:extLst>
            </c:dLbl>
            <c:dLbl>
              <c:idx val="3"/>
              <c:layout>
                <c:manualLayout>
                  <c:x val="5.2322336290242126E-2"/>
                  <c:y val="8.1294291338582722E-2"/>
                </c:manualLayout>
              </c:layout>
              <c:tx>
                <c:rich>
                  <a:bodyPr/>
                  <a:lstStyle/>
                  <a:p>
                    <a:fld id="{A8C9B93E-BD4A-47C8-81CF-FD69EB3EB9F8}" type="SERIESNAME">
                      <a:rPr lang="en-US">
                        <a:solidFill>
                          <a:srgbClr val="3C1692"/>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E35B-4366-8AB9-607A1685C114}"/>
                </c:ext>
              </c:extLst>
            </c:dLbl>
            <c:dLbl>
              <c:idx val="4"/>
              <c:delete val="1"/>
              <c:extLst>
                <c:ext xmlns:c15="http://schemas.microsoft.com/office/drawing/2012/chart" uri="{CE6537A1-D6FC-4f65-9D91-7224C49458BB}"/>
                <c:ext xmlns:c16="http://schemas.microsoft.com/office/drawing/2014/chart" uri="{C3380CC4-5D6E-409C-BE32-E72D297353CC}">
                  <c16:uniqueId val="{00000004-E35B-4366-8AB9-607A1685C114}"/>
                </c:ext>
              </c:extLst>
            </c:dLbl>
            <c:dLbl>
              <c:idx val="5"/>
              <c:delete val="1"/>
              <c:extLst>
                <c:ext xmlns:c15="http://schemas.microsoft.com/office/drawing/2012/chart" uri="{CE6537A1-D6FC-4f65-9D91-7224C49458BB}"/>
                <c:ext xmlns:c16="http://schemas.microsoft.com/office/drawing/2014/chart" uri="{C3380CC4-5D6E-409C-BE32-E72D297353CC}">
                  <c16:uniqueId val="{00000005-E35B-4366-8AB9-607A1685C114}"/>
                </c:ext>
              </c:extLst>
            </c:dLbl>
            <c:dLbl>
              <c:idx val="6"/>
              <c:delete val="1"/>
              <c:extLst>
                <c:ext xmlns:c15="http://schemas.microsoft.com/office/drawing/2012/chart" uri="{CE6537A1-D6FC-4f65-9D91-7224C49458BB}"/>
                <c:ext xmlns:c16="http://schemas.microsoft.com/office/drawing/2014/chart" uri="{C3380CC4-5D6E-409C-BE32-E72D297353CC}">
                  <c16:uniqueId val="{00000006-E35B-4366-8AB9-607A1685C114}"/>
                </c:ext>
              </c:extLst>
            </c:dLbl>
            <c:dLbl>
              <c:idx val="7"/>
              <c:delete val="1"/>
              <c:extLst>
                <c:ext xmlns:c15="http://schemas.microsoft.com/office/drawing/2012/chart" uri="{CE6537A1-D6FC-4f65-9D91-7224C49458BB}"/>
                <c:ext xmlns:c16="http://schemas.microsoft.com/office/drawing/2014/chart" uri="{C3380CC4-5D6E-409C-BE32-E72D297353CC}">
                  <c16:uniqueId val="{00000007-E35B-4366-8AB9-607A1685C114}"/>
                </c:ext>
              </c:extLst>
            </c:dLbl>
            <c:dLbl>
              <c:idx val="8"/>
              <c:delete val="1"/>
              <c:extLst>
                <c:ext xmlns:c15="http://schemas.microsoft.com/office/drawing/2012/chart" uri="{CE6537A1-D6FC-4f65-9D91-7224C49458BB}"/>
                <c:ext xmlns:c16="http://schemas.microsoft.com/office/drawing/2014/chart" uri="{C3380CC4-5D6E-409C-BE32-E72D297353CC}">
                  <c16:uniqueId val="{00000008-E35B-4366-8AB9-607A1685C114}"/>
                </c:ext>
              </c:extLst>
            </c:dLbl>
            <c:dLbl>
              <c:idx val="9"/>
              <c:delete val="1"/>
              <c:extLst>
                <c:ext xmlns:c15="http://schemas.microsoft.com/office/drawing/2012/chart" uri="{CE6537A1-D6FC-4f65-9D91-7224C49458BB}"/>
                <c:ext xmlns:c16="http://schemas.microsoft.com/office/drawing/2014/chart" uri="{C3380CC4-5D6E-409C-BE32-E72D297353CC}">
                  <c16:uniqueId val="{00000009-E35B-4366-8AB9-607A1685C114}"/>
                </c:ext>
              </c:extLst>
            </c:dLbl>
            <c:dLbl>
              <c:idx val="10"/>
              <c:delete val="1"/>
              <c:extLst>
                <c:ext xmlns:c15="http://schemas.microsoft.com/office/drawing/2012/chart" uri="{CE6537A1-D6FC-4f65-9D91-7224C49458BB}"/>
                <c:ext xmlns:c16="http://schemas.microsoft.com/office/drawing/2014/chart" uri="{C3380CC4-5D6E-409C-BE32-E72D297353CC}">
                  <c16:uniqueId val="{0000000A-E35B-4366-8AB9-607A1685C11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3C1692"/>
                      </a:solidFill>
                    </a:ln>
                    <a:effectLst/>
                  </c:spPr>
                </c15:leaderLines>
              </c:ext>
            </c:extLst>
          </c:dLbls>
          <c:cat>
            <c:numRef>
              <c:f>q11_q13_q15_q17_Fig!$S$30:$AC$30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q11_q13_q15_q17_Fig!$S$31:$AC$31</c:f>
              <c:numCache>
                <c:formatCode>General</c:formatCode>
                <c:ptCount val="11"/>
                <c:pt idx="0">
                  <c:v>664177</c:v>
                </c:pt>
                <c:pt idx="1">
                  <c:v>675159</c:v>
                </c:pt>
                <c:pt idx="2">
                  <c:v>686327</c:v>
                </c:pt>
                <c:pt idx="3">
                  <c:v>693453</c:v>
                </c:pt>
                <c:pt idx="4">
                  <c:v>703921</c:v>
                </c:pt>
                <c:pt idx="5">
                  <c:v>690476</c:v>
                </c:pt>
                <c:pt idx="6">
                  <c:v>691923</c:v>
                </c:pt>
                <c:pt idx="7">
                  <c:v>678736</c:v>
                </c:pt>
                <c:pt idx="8">
                  <c:v>710989</c:v>
                </c:pt>
                <c:pt idx="9">
                  <c:v>727162</c:v>
                </c:pt>
                <c:pt idx="10">
                  <c:v>722178</c:v>
                </c:pt>
              </c:numCache>
            </c:numRef>
          </c:val>
          <c:smooth val="0"/>
          <c:extLst>
            <c:ext xmlns:c16="http://schemas.microsoft.com/office/drawing/2014/chart" uri="{C3380CC4-5D6E-409C-BE32-E72D297353CC}">
              <c16:uniqueId val="{0000000B-E35B-4366-8AB9-607A1685C114}"/>
            </c:ext>
          </c:extLst>
        </c:ser>
        <c:ser>
          <c:idx val="1"/>
          <c:order val="1"/>
          <c:tx>
            <c:strRef>
              <c:f>q11_q13_q15_q17_Fig!$R$32</c:f>
              <c:strCache>
                <c:ptCount val="1"/>
                <c:pt idx="0">
                  <c:v>Pequenos (10 - 49 pessoas)</c:v>
                </c:pt>
              </c:strCache>
            </c:strRef>
          </c:tx>
          <c:spPr>
            <a:ln w="25400" cap="rnd">
              <a:solidFill>
                <a:srgbClr val="1403EB"/>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C-E35B-4366-8AB9-607A1685C114}"/>
                </c:ext>
              </c:extLst>
            </c:dLbl>
            <c:dLbl>
              <c:idx val="1"/>
              <c:delete val="1"/>
              <c:extLst>
                <c:ext xmlns:c15="http://schemas.microsoft.com/office/drawing/2012/chart" uri="{CE6537A1-D6FC-4f65-9D91-7224C49458BB}"/>
                <c:ext xmlns:c16="http://schemas.microsoft.com/office/drawing/2014/chart" uri="{C3380CC4-5D6E-409C-BE32-E72D297353CC}">
                  <c16:uniqueId val="{0000000D-E35B-4366-8AB9-607A1685C114}"/>
                </c:ext>
              </c:extLst>
            </c:dLbl>
            <c:dLbl>
              <c:idx val="2"/>
              <c:delete val="1"/>
              <c:extLst>
                <c:ext xmlns:c15="http://schemas.microsoft.com/office/drawing/2012/chart" uri="{CE6537A1-D6FC-4f65-9D91-7224C49458BB}"/>
                <c:ext xmlns:c16="http://schemas.microsoft.com/office/drawing/2014/chart" uri="{C3380CC4-5D6E-409C-BE32-E72D297353CC}">
                  <c16:uniqueId val="{0000000E-E35B-4366-8AB9-607A1685C114}"/>
                </c:ext>
              </c:extLst>
            </c:dLbl>
            <c:dLbl>
              <c:idx val="3"/>
              <c:layout>
                <c:manualLayout>
                  <c:x val="-7.5833748629522579E-2"/>
                  <c:y val="-0.19104617782152231"/>
                </c:manualLayout>
              </c:layout>
              <c:tx>
                <c:rich>
                  <a:bodyPr/>
                  <a:lstStyle/>
                  <a:p>
                    <a:fld id="{BE7735F4-BAB8-4FFE-9997-93C135EB11A4}" type="SERIESNAME">
                      <a:rPr lang="en-US">
                        <a:solidFill>
                          <a:srgbClr val="1403EB"/>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E35B-4366-8AB9-607A1685C114}"/>
                </c:ext>
              </c:extLst>
            </c:dLbl>
            <c:dLbl>
              <c:idx val="4"/>
              <c:delete val="1"/>
              <c:extLst>
                <c:ext xmlns:c15="http://schemas.microsoft.com/office/drawing/2012/chart" uri="{CE6537A1-D6FC-4f65-9D91-7224C49458BB}"/>
                <c:ext xmlns:c16="http://schemas.microsoft.com/office/drawing/2014/chart" uri="{C3380CC4-5D6E-409C-BE32-E72D297353CC}">
                  <c16:uniqueId val="{00000010-E35B-4366-8AB9-607A1685C114}"/>
                </c:ext>
              </c:extLst>
            </c:dLbl>
            <c:dLbl>
              <c:idx val="5"/>
              <c:delete val="1"/>
              <c:extLst>
                <c:ext xmlns:c15="http://schemas.microsoft.com/office/drawing/2012/chart" uri="{CE6537A1-D6FC-4f65-9D91-7224C49458BB}"/>
                <c:ext xmlns:c16="http://schemas.microsoft.com/office/drawing/2014/chart" uri="{C3380CC4-5D6E-409C-BE32-E72D297353CC}">
                  <c16:uniqueId val="{00000011-E35B-4366-8AB9-607A1685C114}"/>
                </c:ext>
              </c:extLst>
            </c:dLbl>
            <c:dLbl>
              <c:idx val="6"/>
              <c:delete val="1"/>
              <c:extLst>
                <c:ext xmlns:c15="http://schemas.microsoft.com/office/drawing/2012/chart" uri="{CE6537A1-D6FC-4f65-9D91-7224C49458BB}"/>
                <c:ext xmlns:c16="http://schemas.microsoft.com/office/drawing/2014/chart" uri="{C3380CC4-5D6E-409C-BE32-E72D297353CC}">
                  <c16:uniqueId val="{00000012-E35B-4366-8AB9-607A1685C114}"/>
                </c:ext>
              </c:extLst>
            </c:dLbl>
            <c:dLbl>
              <c:idx val="7"/>
              <c:delete val="1"/>
              <c:extLst>
                <c:ext xmlns:c15="http://schemas.microsoft.com/office/drawing/2012/chart" uri="{CE6537A1-D6FC-4f65-9D91-7224C49458BB}"/>
                <c:ext xmlns:c16="http://schemas.microsoft.com/office/drawing/2014/chart" uri="{C3380CC4-5D6E-409C-BE32-E72D297353CC}">
                  <c16:uniqueId val="{00000013-E35B-4366-8AB9-607A1685C114}"/>
                </c:ext>
              </c:extLst>
            </c:dLbl>
            <c:dLbl>
              <c:idx val="8"/>
              <c:delete val="1"/>
              <c:extLst>
                <c:ext xmlns:c15="http://schemas.microsoft.com/office/drawing/2012/chart" uri="{CE6537A1-D6FC-4f65-9D91-7224C49458BB}"/>
                <c:ext xmlns:c16="http://schemas.microsoft.com/office/drawing/2014/chart" uri="{C3380CC4-5D6E-409C-BE32-E72D297353CC}">
                  <c16:uniqueId val="{00000014-E35B-4366-8AB9-607A1685C114}"/>
                </c:ext>
              </c:extLst>
            </c:dLbl>
            <c:dLbl>
              <c:idx val="9"/>
              <c:delete val="1"/>
              <c:extLst>
                <c:ext xmlns:c15="http://schemas.microsoft.com/office/drawing/2012/chart" uri="{CE6537A1-D6FC-4f65-9D91-7224C49458BB}"/>
                <c:ext xmlns:c16="http://schemas.microsoft.com/office/drawing/2014/chart" uri="{C3380CC4-5D6E-409C-BE32-E72D297353CC}">
                  <c16:uniqueId val="{00000015-E35B-4366-8AB9-607A1685C114}"/>
                </c:ext>
              </c:extLst>
            </c:dLbl>
            <c:dLbl>
              <c:idx val="10"/>
              <c:delete val="1"/>
              <c:extLst>
                <c:ext xmlns:c15="http://schemas.microsoft.com/office/drawing/2012/chart" uri="{CE6537A1-D6FC-4f65-9D91-7224C49458BB}"/>
                <c:ext xmlns:c16="http://schemas.microsoft.com/office/drawing/2014/chart" uri="{C3380CC4-5D6E-409C-BE32-E72D297353CC}">
                  <c16:uniqueId val="{00000016-E35B-4366-8AB9-607A1685C11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1403EB"/>
                      </a:solidFill>
                    </a:ln>
                    <a:effectLst/>
                  </c:spPr>
                </c15:leaderLines>
              </c:ext>
            </c:extLst>
          </c:dLbls>
          <c:cat>
            <c:numRef>
              <c:f>q11_q13_q15_q17_Fig!$S$30:$AC$30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q11_q13_q15_q17_Fig!$S$32:$AC$32</c:f>
              <c:numCache>
                <c:formatCode>General</c:formatCode>
                <c:ptCount val="11"/>
                <c:pt idx="0">
                  <c:v>751440</c:v>
                </c:pt>
                <c:pt idx="1">
                  <c:v>776454</c:v>
                </c:pt>
                <c:pt idx="2">
                  <c:v>805324</c:v>
                </c:pt>
                <c:pt idx="3">
                  <c:v>844629</c:v>
                </c:pt>
                <c:pt idx="4">
                  <c:v>879333</c:v>
                </c:pt>
                <c:pt idx="5">
                  <c:v>898123</c:v>
                </c:pt>
                <c:pt idx="6">
                  <c:v>887304</c:v>
                </c:pt>
                <c:pt idx="7">
                  <c:v>894687</c:v>
                </c:pt>
                <c:pt idx="8">
                  <c:v>963576</c:v>
                </c:pt>
                <c:pt idx="9">
                  <c:v>1013588</c:v>
                </c:pt>
                <c:pt idx="10">
                  <c:v>1027002</c:v>
                </c:pt>
              </c:numCache>
            </c:numRef>
          </c:val>
          <c:smooth val="0"/>
          <c:extLst>
            <c:ext xmlns:c16="http://schemas.microsoft.com/office/drawing/2014/chart" uri="{C3380CC4-5D6E-409C-BE32-E72D297353CC}">
              <c16:uniqueId val="{00000017-E35B-4366-8AB9-607A1685C114}"/>
            </c:ext>
          </c:extLst>
        </c:ser>
        <c:ser>
          <c:idx val="2"/>
          <c:order val="2"/>
          <c:tx>
            <c:strRef>
              <c:f>q11_q13_q15_q17_Fig!$R$33</c:f>
              <c:strCache>
                <c:ptCount val="1"/>
                <c:pt idx="0">
                  <c:v>Médios (50 - 249 pessoas)</c:v>
                </c:pt>
              </c:strCache>
            </c:strRef>
          </c:tx>
          <c:spPr>
            <a:ln w="25400" cap="rnd">
              <a:solidFill>
                <a:schemeClr val="tx2">
                  <a:lumMod val="60000"/>
                  <a:lumOff val="40000"/>
                </a:schemeClr>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8-E35B-4366-8AB9-607A1685C114}"/>
                </c:ext>
              </c:extLst>
            </c:dLbl>
            <c:dLbl>
              <c:idx val="1"/>
              <c:delete val="1"/>
              <c:extLst>
                <c:ext xmlns:c15="http://schemas.microsoft.com/office/drawing/2012/chart" uri="{CE6537A1-D6FC-4f65-9D91-7224C49458BB}"/>
                <c:ext xmlns:c16="http://schemas.microsoft.com/office/drawing/2014/chart" uri="{C3380CC4-5D6E-409C-BE32-E72D297353CC}">
                  <c16:uniqueId val="{00000019-E35B-4366-8AB9-607A1685C114}"/>
                </c:ext>
              </c:extLst>
            </c:dLbl>
            <c:dLbl>
              <c:idx val="2"/>
              <c:layout>
                <c:manualLayout>
                  <c:x val="-2.2571514003787579E-2"/>
                  <c:y val="0.13382094816272966"/>
                </c:manualLayout>
              </c:layout>
              <c:tx>
                <c:rich>
                  <a:bodyPr/>
                  <a:lstStyle/>
                  <a:p>
                    <a:fld id="{66688D69-0E74-4700-B821-CD6491C19966}" type="SERIESNAME">
                      <a:rPr lang="en-US">
                        <a:solidFill>
                          <a:srgbClr val="558ED5"/>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E35B-4366-8AB9-607A1685C114}"/>
                </c:ext>
              </c:extLst>
            </c:dLbl>
            <c:dLbl>
              <c:idx val="3"/>
              <c:delete val="1"/>
              <c:extLst>
                <c:ext xmlns:c15="http://schemas.microsoft.com/office/drawing/2012/chart" uri="{CE6537A1-D6FC-4f65-9D91-7224C49458BB}"/>
                <c:ext xmlns:c16="http://schemas.microsoft.com/office/drawing/2014/chart" uri="{C3380CC4-5D6E-409C-BE32-E72D297353CC}">
                  <c16:uniqueId val="{0000001B-E35B-4366-8AB9-607A1685C114}"/>
                </c:ext>
              </c:extLst>
            </c:dLbl>
            <c:dLbl>
              <c:idx val="4"/>
              <c:delete val="1"/>
              <c:extLst>
                <c:ext xmlns:c15="http://schemas.microsoft.com/office/drawing/2012/chart" uri="{CE6537A1-D6FC-4f65-9D91-7224C49458BB}"/>
                <c:ext xmlns:c16="http://schemas.microsoft.com/office/drawing/2014/chart" uri="{C3380CC4-5D6E-409C-BE32-E72D297353CC}">
                  <c16:uniqueId val="{0000001C-E35B-4366-8AB9-607A1685C114}"/>
                </c:ext>
              </c:extLst>
            </c:dLbl>
            <c:dLbl>
              <c:idx val="5"/>
              <c:delete val="1"/>
              <c:extLst>
                <c:ext xmlns:c15="http://schemas.microsoft.com/office/drawing/2012/chart" uri="{CE6537A1-D6FC-4f65-9D91-7224C49458BB}"/>
                <c:ext xmlns:c16="http://schemas.microsoft.com/office/drawing/2014/chart" uri="{C3380CC4-5D6E-409C-BE32-E72D297353CC}">
                  <c16:uniqueId val="{0000001D-E35B-4366-8AB9-607A1685C114}"/>
                </c:ext>
              </c:extLst>
            </c:dLbl>
            <c:dLbl>
              <c:idx val="6"/>
              <c:delete val="1"/>
              <c:extLst>
                <c:ext xmlns:c15="http://schemas.microsoft.com/office/drawing/2012/chart" uri="{CE6537A1-D6FC-4f65-9D91-7224C49458BB}"/>
                <c:ext xmlns:c16="http://schemas.microsoft.com/office/drawing/2014/chart" uri="{C3380CC4-5D6E-409C-BE32-E72D297353CC}">
                  <c16:uniqueId val="{0000001E-E35B-4366-8AB9-607A1685C114}"/>
                </c:ext>
              </c:extLst>
            </c:dLbl>
            <c:dLbl>
              <c:idx val="7"/>
              <c:delete val="1"/>
              <c:extLst>
                <c:ext xmlns:c15="http://schemas.microsoft.com/office/drawing/2012/chart" uri="{CE6537A1-D6FC-4f65-9D91-7224C49458BB}"/>
                <c:ext xmlns:c16="http://schemas.microsoft.com/office/drawing/2014/chart" uri="{C3380CC4-5D6E-409C-BE32-E72D297353CC}">
                  <c16:uniqueId val="{0000001F-E35B-4366-8AB9-607A1685C114}"/>
                </c:ext>
              </c:extLst>
            </c:dLbl>
            <c:dLbl>
              <c:idx val="8"/>
              <c:delete val="1"/>
              <c:extLst>
                <c:ext xmlns:c15="http://schemas.microsoft.com/office/drawing/2012/chart" uri="{CE6537A1-D6FC-4f65-9D91-7224C49458BB}"/>
                <c:ext xmlns:c16="http://schemas.microsoft.com/office/drawing/2014/chart" uri="{C3380CC4-5D6E-409C-BE32-E72D297353CC}">
                  <c16:uniqueId val="{00000020-E35B-4366-8AB9-607A1685C114}"/>
                </c:ext>
              </c:extLst>
            </c:dLbl>
            <c:dLbl>
              <c:idx val="9"/>
              <c:delete val="1"/>
              <c:extLst>
                <c:ext xmlns:c15="http://schemas.microsoft.com/office/drawing/2012/chart" uri="{CE6537A1-D6FC-4f65-9D91-7224C49458BB}"/>
                <c:ext xmlns:c16="http://schemas.microsoft.com/office/drawing/2014/chart" uri="{C3380CC4-5D6E-409C-BE32-E72D297353CC}">
                  <c16:uniqueId val="{00000021-E35B-4366-8AB9-607A1685C114}"/>
                </c:ext>
              </c:extLst>
            </c:dLbl>
            <c:dLbl>
              <c:idx val="10"/>
              <c:delete val="1"/>
              <c:extLst>
                <c:ext xmlns:c15="http://schemas.microsoft.com/office/drawing/2012/chart" uri="{CE6537A1-D6FC-4f65-9D91-7224C49458BB}"/>
                <c:ext xmlns:c16="http://schemas.microsoft.com/office/drawing/2014/chart" uri="{C3380CC4-5D6E-409C-BE32-E72D297353CC}">
                  <c16:uniqueId val="{00000022-E35B-4366-8AB9-607A1685C11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558ED5"/>
                      </a:solidFill>
                    </a:ln>
                    <a:effectLst/>
                  </c:spPr>
                </c15:leaderLines>
              </c:ext>
            </c:extLst>
          </c:dLbls>
          <c:cat>
            <c:numRef>
              <c:f>q11_q13_q15_q17_Fig!$S$30:$AC$30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q11_q13_q15_q17_Fig!$S$33:$AC$33</c:f>
              <c:numCache>
                <c:formatCode>General</c:formatCode>
                <c:ptCount val="11"/>
                <c:pt idx="0">
                  <c:v>588868</c:v>
                </c:pt>
                <c:pt idx="1">
                  <c:v>609333</c:v>
                </c:pt>
                <c:pt idx="2">
                  <c:v>637668</c:v>
                </c:pt>
                <c:pt idx="3">
                  <c:v>669638</c:v>
                </c:pt>
                <c:pt idx="4">
                  <c:v>705658</c:v>
                </c:pt>
                <c:pt idx="5">
                  <c:v>722607</c:v>
                </c:pt>
                <c:pt idx="6">
                  <c:v>712172</c:v>
                </c:pt>
                <c:pt idx="7">
                  <c:v>730932</c:v>
                </c:pt>
                <c:pt idx="8">
                  <c:v>799590</c:v>
                </c:pt>
                <c:pt idx="9">
                  <c:v>840662</c:v>
                </c:pt>
                <c:pt idx="10">
                  <c:v>859516</c:v>
                </c:pt>
              </c:numCache>
            </c:numRef>
          </c:val>
          <c:smooth val="0"/>
          <c:extLst>
            <c:ext xmlns:c16="http://schemas.microsoft.com/office/drawing/2014/chart" uri="{C3380CC4-5D6E-409C-BE32-E72D297353CC}">
              <c16:uniqueId val="{00000023-E35B-4366-8AB9-607A1685C114}"/>
            </c:ext>
          </c:extLst>
        </c:ser>
        <c:ser>
          <c:idx val="3"/>
          <c:order val="3"/>
          <c:tx>
            <c:strRef>
              <c:f>q11_q13_q15_q17_Fig!$R$34</c:f>
              <c:strCache>
                <c:ptCount val="1"/>
                <c:pt idx="0">
                  <c:v>Grandes (250 ou + pessoas)</c:v>
                </c:pt>
              </c:strCache>
            </c:strRef>
          </c:tx>
          <c:spPr>
            <a:ln w="25400" cap="rnd">
              <a:solidFill>
                <a:srgbClr val="B6C3FF"/>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4-E35B-4366-8AB9-607A1685C114}"/>
                </c:ext>
              </c:extLst>
            </c:dLbl>
            <c:dLbl>
              <c:idx val="1"/>
              <c:delete val="1"/>
              <c:extLst>
                <c:ext xmlns:c15="http://schemas.microsoft.com/office/drawing/2012/chart" uri="{CE6537A1-D6FC-4f65-9D91-7224C49458BB}"/>
                <c:ext xmlns:c16="http://schemas.microsoft.com/office/drawing/2014/chart" uri="{C3380CC4-5D6E-409C-BE32-E72D297353CC}">
                  <c16:uniqueId val="{00000025-E35B-4366-8AB9-607A1685C114}"/>
                </c:ext>
              </c:extLst>
            </c:dLbl>
            <c:dLbl>
              <c:idx val="2"/>
              <c:delete val="1"/>
              <c:extLst>
                <c:ext xmlns:c15="http://schemas.microsoft.com/office/drawing/2012/chart" uri="{CE6537A1-D6FC-4f65-9D91-7224C49458BB}"/>
                <c:ext xmlns:c16="http://schemas.microsoft.com/office/drawing/2014/chart" uri="{C3380CC4-5D6E-409C-BE32-E72D297353CC}">
                  <c16:uniqueId val="{00000026-E35B-4366-8AB9-607A1685C114}"/>
                </c:ext>
              </c:extLst>
            </c:dLbl>
            <c:dLbl>
              <c:idx val="3"/>
              <c:delete val="1"/>
              <c:extLst>
                <c:ext xmlns:c15="http://schemas.microsoft.com/office/drawing/2012/chart" uri="{CE6537A1-D6FC-4f65-9D91-7224C49458BB}"/>
                <c:ext xmlns:c16="http://schemas.microsoft.com/office/drawing/2014/chart" uri="{C3380CC4-5D6E-409C-BE32-E72D297353CC}">
                  <c16:uniqueId val="{00000027-E35B-4366-8AB9-607A1685C114}"/>
                </c:ext>
              </c:extLst>
            </c:dLbl>
            <c:dLbl>
              <c:idx val="4"/>
              <c:delete val="1"/>
              <c:extLst>
                <c:ext xmlns:c15="http://schemas.microsoft.com/office/drawing/2012/chart" uri="{CE6537A1-D6FC-4f65-9D91-7224C49458BB}"/>
                <c:ext xmlns:c16="http://schemas.microsoft.com/office/drawing/2014/chart" uri="{C3380CC4-5D6E-409C-BE32-E72D297353CC}">
                  <c16:uniqueId val="{00000028-E35B-4366-8AB9-607A1685C114}"/>
                </c:ext>
              </c:extLst>
            </c:dLbl>
            <c:dLbl>
              <c:idx val="5"/>
              <c:delete val="1"/>
              <c:extLst>
                <c:ext xmlns:c15="http://schemas.microsoft.com/office/drawing/2012/chart" uri="{CE6537A1-D6FC-4f65-9D91-7224C49458BB}"/>
                <c:ext xmlns:c16="http://schemas.microsoft.com/office/drawing/2014/chart" uri="{C3380CC4-5D6E-409C-BE32-E72D297353CC}">
                  <c16:uniqueId val="{00000029-E35B-4366-8AB9-607A1685C114}"/>
                </c:ext>
              </c:extLst>
            </c:dLbl>
            <c:dLbl>
              <c:idx val="6"/>
              <c:delete val="1"/>
              <c:extLst>
                <c:ext xmlns:c15="http://schemas.microsoft.com/office/drawing/2012/chart" uri="{CE6537A1-D6FC-4f65-9D91-7224C49458BB}"/>
                <c:ext xmlns:c16="http://schemas.microsoft.com/office/drawing/2014/chart" uri="{C3380CC4-5D6E-409C-BE32-E72D297353CC}">
                  <c16:uniqueId val="{0000002A-E35B-4366-8AB9-607A1685C114}"/>
                </c:ext>
              </c:extLst>
            </c:dLbl>
            <c:dLbl>
              <c:idx val="7"/>
              <c:delete val="1"/>
              <c:extLst>
                <c:ext xmlns:c15="http://schemas.microsoft.com/office/drawing/2012/chart" uri="{CE6537A1-D6FC-4f65-9D91-7224C49458BB}"/>
                <c:ext xmlns:c16="http://schemas.microsoft.com/office/drawing/2014/chart" uri="{C3380CC4-5D6E-409C-BE32-E72D297353CC}">
                  <c16:uniqueId val="{0000002B-E35B-4366-8AB9-607A1685C114}"/>
                </c:ext>
              </c:extLst>
            </c:dLbl>
            <c:dLbl>
              <c:idx val="8"/>
              <c:layout>
                <c:manualLayout>
                  <c:x val="-1.9764111764510449E-2"/>
                  <c:y val="0.18162688648293954"/>
                </c:manualLayout>
              </c:layout>
              <c:tx>
                <c:rich>
                  <a:bodyPr/>
                  <a:lstStyle/>
                  <a:p>
                    <a:fld id="{2774078E-33D2-4E65-92A4-30963C09B901}" type="SERIESNAME">
                      <a:rPr lang="en-US">
                        <a:solidFill>
                          <a:srgbClr val="B6C3FF"/>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C-E35B-4366-8AB9-607A1685C114}"/>
                </c:ext>
              </c:extLst>
            </c:dLbl>
            <c:dLbl>
              <c:idx val="9"/>
              <c:delete val="1"/>
              <c:extLst>
                <c:ext xmlns:c15="http://schemas.microsoft.com/office/drawing/2012/chart" uri="{CE6537A1-D6FC-4f65-9D91-7224C49458BB}"/>
                <c:ext xmlns:c16="http://schemas.microsoft.com/office/drawing/2014/chart" uri="{C3380CC4-5D6E-409C-BE32-E72D297353CC}">
                  <c16:uniqueId val="{0000002D-E35B-4366-8AB9-607A1685C114}"/>
                </c:ext>
              </c:extLst>
            </c:dLbl>
            <c:dLbl>
              <c:idx val="10"/>
              <c:delete val="1"/>
              <c:extLst>
                <c:ext xmlns:c15="http://schemas.microsoft.com/office/drawing/2012/chart" uri="{CE6537A1-D6FC-4f65-9D91-7224C49458BB}"/>
                <c:ext xmlns:c16="http://schemas.microsoft.com/office/drawing/2014/chart" uri="{C3380CC4-5D6E-409C-BE32-E72D297353CC}">
                  <c16:uniqueId val="{0000002E-E35B-4366-8AB9-607A1685C11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q11_q13_q15_q17_Fig!$S$30:$AC$30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q11_q13_q15_q17_Fig!$S$34:$AC$34</c:f>
              <c:numCache>
                <c:formatCode>General</c:formatCode>
                <c:ptCount val="11"/>
                <c:pt idx="0">
                  <c:v>453678</c:v>
                </c:pt>
                <c:pt idx="1">
                  <c:v>476707</c:v>
                </c:pt>
                <c:pt idx="2">
                  <c:v>512600</c:v>
                </c:pt>
                <c:pt idx="3">
                  <c:v>559801</c:v>
                </c:pt>
                <c:pt idx="4">
                  <c:v>589006</c:v>
                </c:pt>
                <c:pt idx="5">
                  <c:v>619276</c:v>
                </c:pt>
                <c:pt idx="6">
                  <c:v>611426</c:v>
                </c:pt>
                <c:pt idx="7">
                  <c:v>617988</c:v>
                </c:pt>
                <c:pt idx="8">
                  <c:v>673992</c:v>
                </c:pt>
                <c:pt idx="9">
                  <c:v>714722</c:v>
                </c:pt>
                <c:pt idx="10">
                  <c:v>745440</c:v>
                </c:pt>
              </c:numCache>
            </c:numRef>
          </c:val>
          <c:smooth val="0"/>
          <c:extLst>
            <c:ext xmlns:c16="http://schemas.microsoft.com/office/drawing/2014/chart" uri="{C3380CC4-5D6E-409C-BE32-E72D297353CC}">
              <c16:uniqueId val="{0000002F-E35B-4366-8AB9-607A1685C114}"/>
            </c:ext>
          </c:extLst>
        </c:ser>
        <c:dLbls>
          <c:dLblPos val="ctr"/>
          <c:showLegendKey val="0"/>
          <c:showVal val="1"/>
          <c:showCatName val="0"/>
          <c:showSerName val="0"/>
          <c:showPercent val="0"/>
          <c:showBubbleSize val="0"/>
        </c:dLbls>
        <c:smooth val="0"/>
        <c:axId val="1734530655"/>
        <c:axId val="1715689631"/>
      </c:lineChart>
      <c:catAx>
        <c:axId val="1734530655"/>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715689631"/>
        <c:crosses val="autoZero"/>
        <c:auto val="1"/>
        <c:lblAlgn val="ctr"/>
        <c:lblOffset val="100"/>
        <c:tickMarkSkip val="1"/>
        <c:noMultiLvlLbl val="0"/>
      </c:catAx>
      <c:valAx>
        <c:axId val="1715689631"/>
        <c:scaling>
          <c:orientation val="minMax"/>
          <c:max val="1250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1734530655"/>
        <c:crosses val="autoZero"/>
        <c:crossBetween val="between"/>
        <c:majorUnit val="25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q11_q13_q15_q17_Fig!$AS$4</c:f>
              <c:strCache>
                <c:ptCount val="1"/>
                <c:pt idx="0">
                  <c:v>Pessoas ao serviço</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1.1633263966213881E-2"/>
                  <c:y val="-8.04259153830711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B9-448C-8274-62D038DE3BE5}"/>
                </c:ext>
              </c:extLst>
            </c:dLbl>
            <c:dLbl>
              <c:idx val="10"/>
              <c:layout>
                <c:manualLayout>
                  <c:x val="5.5720542022900242E-2"/>
                  <c:y val="-8.0425915383071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B9-448C-8274-62D038DE3BE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q11_q13_q15_q17_Fig!$AT$3:$BD$3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q11_q13_q15_q17_Fig!$AT$4:$BD$4</c:f>
              <c:numCache>
                <c:formatCode>#,##0</c:formatCode>
                <c:ptCount val="11"/>
                <c:pt idx="0">
                  <c:v>2636881</c:v>
                </c:pt>
                <c:pt idx="1">
                  <c:v>2716011</c:v>
                </c:pt>
                <c:pt idx="2">
                  <c:v>2819978</c:v>
                </c:pt>
                <c:pt idx="3">
                  <c:v>2946903</c:v>
                </c:pt>
                <c:pt idx="4">
                  <c:v>3060489</c:v>
                </c:pt>
                <c:pt idx="5">
                  <c:v>3110949</c:v>
                </c:pt>
                <c:pt idx="6">
                  <c:v>3085566</c:v>
                </c:pt>
                <c:pt idx="7">
                  <c:v>3102345</c:v>
                </c:pt>
                <c:pt idx="8">
                  <c:v>3337082</c:v>
                </c:pt>
                <c:pt idx="9">
                  <c:v>3489583</c:v>
                </c:pt>
                <c:pt idx="10">
                  <c:v>3544955</c:v>
                </c:pt>
              </c:numCache>
            </c:numRef>
          </c:val>
          <c:extLst>
            <c:ext xmlns:c16="http://schemas.microsoft.com/office/drawing/2014/chart" uri="{C3380CC4-5D6E-409C-BE32-E72D297353CC}">
              <c16:uniqueId val="{00000002-CFB9-448C-8274-62D038DE3BE5}"/>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q11_q13_q15_q17_Fig!$AS$5</c:f>
              <c:strCache>
                <c:ptCount val="1"/>
                <c:pt idx="0">
                  <c:v>TCO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3-CFB9-448C-8274-62D038DE3BE5}"/>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CFB9-448C-8274-62D038DE3BE5}"/>
              </c:ext>
            </c:extLst>
          </c:dPt>
          <c:dLbls>
            <c:dLbl>
              <c:idx val="0"/>
              <c:layout>
                <c:manualLayout>
                  <c:x val="4.5508842286244036E-2"/>
                  <c:y val="-5.0294751963788437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C000"/>
                      </a:solidFill>
                      <a:latin typeface="+mn-lt"/>
                      <a:ea typeface="+mn-ea"/>
                      <a:cs typeface="+mn-cs"/>
                    </a:defRPr>
                  </a:pPr>
                  <a:endParaRPr lang="pt-PT"/>
                </a:p>
              </c:txPr>
              <c:showLegendKey val="0"/>
              <c:showVal val="1"/>
              <c:showCatName val="0"/>
              <c:showSerName val="0"/>
              <c:showPercent val="0"/>
              <c:showBubbleSize val="0"/>
              <c:extLst>
                <c:ext xmlns:c15="http://schemas.microsoft.com/office/drawing/2012/chart" uri="{CE6537A1-D6FC-4f65-9D91-7224C49458BB}">
                  <c15:layout>
                    <c:manualLayout>
                      <c:w val="0.15235967373628478"/>
                      <c:h val="5.2349626592401534E-2"/>
                    </c:manualLayout>
                  </c15:layout>
                </c:ext>
                <c:ext xmlns:c16="http://schemas.microsoft.com/office/drawing/2014/chart" uri="{C3380CC4-5D6E-409C-BE32-E72D297353CC}">
                  <c16:uniqueId val="{00000003-CFB9-448C-8274-62D038DE3BE5}"/>
                </c:ext>
              </c:extLst>
            </c:dLbl>
            <c:dLbl>
              <c:idx val="10"/>
              <c:layout>
                <c:manualLayout>
                  <c:x val="1.318458355744118E-2"/>
                  <c:y val="-1.0969271600849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B9-448C-8274-62D038DE3BE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q11_q13_q15_q17_Fig!$AT$3:$BD$3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q11_q13_q15_q17_Fig!$AT$5:$BD$5</c:f>
              <c:numCache>
                <c:formatCode>#,##0</c:formatCode>
                <c:ptCount val="11"/>
                <c:pt idx="0">
                  <c:v>2458163</c:v>
                </c:pt>
                <c:pt idx="1">
                  <c:v>2537653</c:v>
                </c:pt>
                <c:pt idx="2">
                  <c:v>2641919</c:v>
                </c:pt>
                <c:pt idx="3">
                  <c:v>2767521</c:v>
                </c:pt>
                <c:pt idx="4">
                  <c:v>2877918</c:v>
                </c:pt>
                <c:pt idx="5">
                  <c:v>2930482</c:v>
                </c:pt>
                <c:pt idx="6">
                  <c:v>2902825</c:v>
                </c:pt>
                <c:pt idx="7">
                  <c:v>2922343</c:v>
                </c:pt>
                <c:pt idx="8">
                  <c:v>3148147</c:v>
                </c:pt>
                <c:pt idx="9">
                  <c:v>3296134</c:v>
                </c:pt>
                <c:pt idx="10">
                  <c:v>3354136</c:v>
                </c:pt>
              </c:numCache>
            </c:numRef>
          </c:val>
          <c:smooth val="0"/>
          <c:extLst>
            <c:ext xmlns:c16="http://schemas.microsoft.com/office/drawing/2014/chart" uri="{C3380CC4-5D6E-409C-BE32-E72D297353CC}">
              <c16:uniqueId val="{00000006-CFB9-448C-8274-62D038DE3BE5}"/>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360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majorUnit val="400000"/>
      </c:valAx>
      <c:spPr>
        <a:noFill/>
        <a:ln>
          <a:noFill/>
        </a:ln>
        <a:effectLst/>
      </c:spPr>
    </c:plotArea>
    <c:legend>
      <c:legendPos val="b"/>
      <c:layout>
        <c:manualLayout>
          <c:xMode val="edge"/>
          <c:yMode val="edge"/>
          <c:x val="1.3975067550970277E-2"/>
          <c:y val="0.87446938131313134"/>
          <c:w val="0.56198825022516985"/>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PT" sz="900" b="1">
                <a:solidFill>
                  <a:schemeClr val="tx2">
                    <a:lumMod val="75000"/>
                  </a:schemeClr>
                </a:solidFill>
              </a:rPr>
              <a:t>...por Secção de Atividade Económica* do</a:t>
            </a:r>
            <a:r>
              <a:rPr lang="pt-PT" sz="900" b="1" baseline="0">
                <a:solidFill>
                  <a:schemeClr val="tx2">
                    <a:lumMod val="75000"/>
                  </a:schemeClr>
                </a:solidFill>
              </a:rPr>
              <a:t> estabelecimento</a:t>
            </a:r>
            <a:endParaRPr lang="pt-PT" sz="900" b="1">
              <a:solidFill>
                <a:schemeClr val="tx2">
                  <a:lumMod val="75000"/>
                </a:schemeClr>
              </a:solidFill>
            </a:endParaRPr>
          </a:p>
        </c:rich>
      </c:tx>
      <c:layout>
        <c:manualLayout>
          <c:xMode val="edge"/>
          <c:yMode val="edge"/>
          <c:x val="0.46600349040139616"/>
          <c:y val="3.71345029239766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PT"/>
        </a:p>
      </c:txPr>
    </c:title>
    <c:autoTitleDeleted val="0"/>
    <c:plotArea>
      <c:layout/>
      <c:barChart>
        <c:barDir val="col"/>
        <c:grouping val="stacked"/>
        <c:varyColors val="0"/>
        <c:ser>
          <c:idx val="0"/>
          <c:order val="0"/>
          <c:tx>
            <c:strRef>
              <c:f>q9_13_16_27_28_39_40_E_Fig!$R$7</c:f>
              <c:strCache>
                <c:ptCount val="1"/>
                <c:pt idx="0">
                  <c:v>A</c:v>
                </c:pt>
              </c:strCache>
            </c:strRef>
          </c:tx>
          <c:spPr>
            <a:solidFill>
              <a:schemeClr val="accent1"/>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q9_13_16_27_28_39_40_E_Fig!$S$7:$AC$7</c:f>
              <c:numCache>
                <c:formatCode>General</c:formatCode>
                <c:ptCount val="11"/>
                <c:pt idx="0">
                  <c:v>7205</c:v>
                </c:pt>
                <c:pt idx="1">
                  <c:v>7947</c:v>
                </c:pt>
                <c:pt idx="2">
                  <c:v>9445</c:v>
                </c:pt>
                <c:pt idx="3">
                  <c:v>10109</c:v>
                </c:pt>
                <c:pt idx="4">
                  <c:v>12079</c:v>
                </c:pt>
                <c:pt idx="5">
                  <c:v>14470</c:v>
                </c:pt>
                <c:pt idx="6">
                  <c:v>19004</c:v>
                </c:pt>
                <c:pt idx="7">
                  <c:v>18272</c:v>
                </c:pt>
                <c:pt idx="8">
                  <c:v>22728</c:v>
                </c:pt>
                <c:pt idx="9">
                  <c:v>26238</c:v>
                </c:pt>
                <c:pt idx="10">
                  <c:v>31117</c:v>
                </c:pt>
              </c:numCache>
            </c:numRef>
          </c:val>
          <c:extLst xmlns:c15="http://schemas.microsoft.com/office/drawing/2012/chart">
            <c:ext xmlns:c16="http://schemas.microsoft.com/office/drawing/2014/chart" uri="{C3380CC4-5D6E-409C-BE32-E72D297353CC}">
              <c16:uniqueId val="{00000000-626F-4842-8F16-2D11C9B8785E}"/>
            </c:ext>
          </c:extLst>
        </c:ser>
        <c:ser>
          <c:idx val="1"/>
          <c:order val="1"/>
          <c:tx>
            <c:strRef>
              <c:f>q9_13_16_27_28_39_40_E_Fig!$R$8</c:f>
              <c:strCache>
                <c:ptCount val="1"/>
                <c:pt idx="0">
                  <c:v>B</c:v>
                </c:pt>
              </c:strCache>
            </c:strRef>
          </c:tx>
          <c:spPr>
            <a:solidFill>
              <a:schemeClr val="accent3"/>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q9_13_16_27_28_39_40_E_Fig!$S$8:$AC$8</c:f>
              <c:numCache>
                <c:formatCode>General</c:formatCode>
                <c:ptCount val="11"/>
                <c:pt idx="0">
                  <c:v>231</c:v>
                </c:pt>
                <c:pt idx="1">
                  <c:v>229</c:v>
                </c:pt>
                <c:pt idx="2">
                  <c:v>221</c:v>
                </c:pt>
                <c:pt idx="3">
                  <c:v>234</c:v>
                </c:pt>
                <c:pt idx="4">
                  <c:v>250</c:v>
                </c:pt>
                <c:pt idx="5">
                  <c:v>276</c:v>
                </c:pt>
                <c:pt idx="6">
                  <c:v>289</c:v>
                </c:pt>
                <c:pt idx="7">
                  <c:v>352</c:v>
                </c:pt>
                <c:pt idx="8">
                  <c:v>530</c:v>
                </c:pt>
                <c:pt idx="9">
                  <c:v>741</c:v>
                </c:pt>
                <c:pt idx="10">
                  <c:v>1039</c:v>
                </c:pt>
              </c:numCache>
            </c:numRef>
          </c:val>
          <c:extLst>
            <c:ext xmlns:c16="http://schemas.microsoft.com/office/drawing/2014/chart" uri="{C3380CC4-5D6E-409C-BE32-E72D297353CC}">
              <c16:uniqueId val="{00000001-626F-4842-8F16-2D11C9B8785E}"/>
            </c:ext>
          </c:extLst>
        </c:ser>
        <c:ser>
          <c:idx val="2"/>
          <c:order val="2"/>
          <c:tx>
            <c:strRef>
              <c:f>q9_13_16_27_28_39_40_E_Fig!$R$9</c:f>
              <c:strCache>
                <c:ptCount val="1"/>
                <c:pt idx="0">
                  <c:v>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q9_13_16_27_28_39_40_E_Fig!$S$9:$AC$9</c:f>
              <c:numCache>
                <c:formatCode>General</c:formatCode>
                <c:ptCount val="11"/>
                <c:pt idx="0">
                  <c:v>11696</c:v>
                </c:pt>
                <c:pt idx="1">
                  <c:v>12230</c:v>
                </c:pt>
                <c:pt idx="2">
                  <c:v>12876</c:v>
                </c:pt>
                <c:pt idx="3">
                  <c:v>13906</c:v>
                </c:pt>
                <c:pt idx="4">
                  <c:v>17154</c:v>
                </c:pt>
                <c:pt idx="5">
                  <c:v>20859</c:v>
                </c:pt>
                <c:pt idx="6">
                  <c:v>22497</c:v>
                </c:pt>
                <c:pt idx="7">
                  <c:v>24420</c:v>
                </c:pt>
                <c:pt idx="8">
                  <c:v>36582</c:v>
                </c:pt>
                <c:pt idx="9">
                  <c:v>49355</c:v>
                </c:pt>
                <c:pt idx="10">
                  <c:v>60489</c:v>
                </c:pt>
              </c:numCache>
            </c:numRef>
          </c:val>
          <c:extLst>
            <c:ext xmlns:c16="http://schemas.microsoft.com/office/drawing/2014/chart" uri="{C3380CC4-5D6E-409C-BE32-E72D297353CC}">
              <c16:uniqueId val="{00000002-626F-4842-8F16-2D11C9B8785E}"/>
            </c:ext>
          </c:extLst>
        </c:ser>
        <c:ser>
          <c:idx val="3"/>
          <c:order val="3"/>
          <c:tx>
            <c:strRef>
              <c:f>q9_13_16_27_28_39_40_E_Fig!$R$10</c:f>
              <c:strCache>
                <c:ptCount val="1"/>
                <c:pt idx="0">
                  <c:v>D</c:v>
                </c:pt>
              </c:strCache>
            </c:strRef>
          </c:tx>
          <c:spPr>
            <a:solidFill>
              <a:schemeClr val="accent1">
                <a:lumMod val="6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q9_13_16_27_28_39_40_E_Fig!$S$10:$AC$10</c:f>
              <c:numCache>
                <c:formatCode>General</c:formatCode>
                <c:ptCount val="11"/>
                <c:pt idx="0">
                  <c:v>62</c:v>
                </c:pt>
                <c:pt idx="1">
                  <c:v>61</c:v>
                </c:pt>
                <c:pt idx="2">
                  <c:v>65</c:v>
                </c:pt>
                <c:pt idx="3">
                  <c:v>65</c:v>
                </c:pt>
                <c:pt idx="4">
                  <c:v>104</c:v>
                </c:pt>
                <c:pt idx="5">
                  <c:v>99</c:v>
                </c:pt>
                <c:pt idx="6">
                  <c:v>115</c:v>
                </c:pt>
                <c:pt idx="7">
                  <c:v>120</c:v>
                </c:pt>
                <c:pt idx="8">
                  <c:v>156</c:v>
                </c:pt>
                <c:pt idx="9">
                  <c:v>231</c:v>
                </c:pt>
                <c:pt idx="10">
                  <c:v>306</c:v>
                </c:pt>
              </c:numCache>
            </c:numRef>
          </c:val>
          <c:extLst>
            <c:ext xmlns:c16="http://schemas.microsoft.com/office/drawing/2014/chart" uri="{C3380CC4-5D6E-409C-BE32-E72D297353CC}">
              <c16:uniqueId val="{00000003-626F-4842-8F16-2D11C9B8785E}"/>
            </c:ext>
          </c:extLst>
        </c:ser>
        <c:ser>
          <c:idx val="4"/>
          <c:order val="4"/>
          <c:tx>
            <c:strRef>
              <c:f>q9_13_16_27_28_39_40_E_Fig!$R$11</c:f>
              <c:strCache>
                <c:ptCount val="1"/>
                <c:pt idx="0">
                  <c:v>E</c:v>
                </c:pt>
              </c:strCache>
            </c:strRef>
          </c:tx>
          <c:spPr>
            <a:solidFill>
              <a:schemeClr val="accent3">
                <a:lumMod val="6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q9_13_16_27_28_39_40_E_Fig!$S$11:$AC$11</c:f>
              <c:numCache>
                <c:formatCode>General</c:formatCode>
                <c:ptCount val="11"/>
                <c:pt idx="0">
                  <c:v>958</c:v>
                </c:pt>
                <c:pt idx="1">
                  <c:v>955</c:v>
                </c:pt>
                <c:pt idx="2">
                  <c:v>964</c:v>
                </c:pt>
                <c:pt idx="3">
                  <c:v>982</c:v>
                </c:pt>
                <c:pt idx="4">
                  <c:v>1060</c:v>
                </c:pt>
                <c:pt idx="5">
                  <c:v>1261</c:v>
                </c:pt>
                <c:pt idx="6">
                  <c:v>1592</c:v>
                </c:pt>
                <c:pt idx="7">
                  <c:v>1754</c:v>
                </c:pt>
                <c:pt idx="8">
                  <c:v>1887</c:v>
                </c:pt>
                <c:pt idx="9">
                  <c:v>2290</c:v>
                </c:pt>
                <c:pt idx="10">
                  <c:v>3083</c:v>
                </c:pt>
              </c:numCache>
            </c:numRef>
          </c:val>
          <c:extLst>
            <c:ext xmlns:c16="http://schemas.microsoft.com/office/drawing/2014/chart" uri="{C3380CC4-5D6E-409C-BE32-E72D297353CC}">
              <c16:uniqueId val="{00000004-626F-4842-8F16-2D11C9B8785E}"/>
            </c:ext>
          </c:extLst>
        </c:ser>
        <c:ser>
          <c:idx val="5"/>
          <c:order val="5"/>
          <c:tx>
            <c:strRef>
              <c:f>q9_13_16_27_28_39_40_E_Fig!$R$12</c:f>
              <c:strCache>
                <c:ptCount val="1"/>
                <c:pt idx="0">
                  <c:v>F</c:v>
                </c:pt>
              </c:strCache>
            </c:strRef>
          </c:tx>
          <c:spPr>
            <a:solidFill>
              <a:schemeClr val="accent5">
                <a:lumMod val="60000"/>
              </a:schemeClr>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5-626F-4842-8F16-2D11C9B8785E}"/>
                </c:ext>
              </c:extLst>
            </c:dLbl>
            <c:dLbl>
              <c:idx val="5"/>
              <c:delete val="1"/>
              <c:extLst>
                <c:ext xmlns:c15="http://schemas.microsoft.com/office/drawing/2012/chart" uri="{CE6537A1-D6FC-4f65-9D91-7224C49458BB}"/>
                <c:ext xmlns:c16="http://schemas.microsoft.com/office/drawing/2014/chart" uri="{C3380CC4-5D6E-409C-BE32-E72D297353CC}">
                  <c16:uniqueId val="{00000006-626F-4842-8F16-2D11C9B8785E}"/>
                </c:ext>
              </c:extLst>
            </c:dLbl>
            <c:dLbl>
              <c:idx val="6"/>
              <c:delete val="1"/>
              <c:extLst>
                <c:ext xmlns:c15="http://schemas.microsoft.com/office/drawing/2012/chart" uri="{CE6537A1-D6FC-4f65-9D91-7224C49458BB}"/>
                <c:ext xmlns:c16="http://schemas.microsoft.com/office/drawing/2014/chart" uri="{C3380CC4-5D6E-409C-BE32-E72D297353CC}">
                  <c16:uniqueId val="{00000007-626F-4842-8F16-2D11C9B8785E}"/>
                </c:ext>
              </c:extLst>
            </c:dLbl>
            <c:dLbl>
              <c:idx val="7"/>
              <c:delete val="1"/>
              <c:extLst>
                <c:ext xmlns:c15="http://schemas.microsoft.com/office/drawing/2012/chart" uri="{CE6537A1-D6FC-4f65-9D91-7224C49458BB}"/>
                <c:ext xmlns:c16="http://schemas.microsoft.com/office/drawing/2014/chart" uri="{C3380CC4-5D6E-409C-BE32-E72D297353CC}">
                  <c16:uniqueId val="{00000008-626F-4842-8F16-2D11C9B8785E}"/>
                </c:ext>
              </c:extLst>
            </c:dLbl>
            <c:dLbl>
              <c:idx val="8"/>
              <c:delete val="1"/>
              <c:extLst>
                <c:ext xmlns:c15="http://schemas.microsoft.com/office/drawing/2012/chart" uri="{CE6537A1-D6FC-4f65-9D91-7224C49458BB}"/>
                <c:ext xmlns:c16="http://schemas.microsoft.com/office/drawing/2014/chart" uri="{C3380CC4-5D6E-409C-BE32-E72D297353CC}">
                  <c16:uniqueId val="{00000009-626F-4842-8F16-2D11C9B8785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q9_13_16_27_28_39_40_E_Fig!$S$12:$AC$12</c:f>
              <c:numCache>
                <c:formatCode>General</c:formatCode>
                <c:ptCount val="11"/>
                <c:pt idx="0">
                  <c:v>9907</c:v>
                </c:pt>
                <c:pt idx="1">
                  <c:v>10112</c:v>
                </c:pt>
                <c:pt idx="2">
                  <c:v>10815</c:v>
                </c:pt>
                <c:pt idx="3">
                  <c:v>12528</c:v>
                </c:pt>
                <c:pt idx="4">
                  <c:v>15987</c:v>
                </c:pt>
                <c:pt idx="5">
                  <c:v>21695</c:v>
                </c:pt>
                <c:pt idx="6">
                  <c:v>25598</c:v>
                </c:pt>
                <c:pt idx="7">
                  <c:v>26636</c:v>
                </c:pt>
                <c:pt idx="8">
                  <c:v>37834</c:v>
                </c:pt>
                <c:pt idx="9">
                  <c:v>50985</c:v>
                </c:pt>
                <c:pt idx="10">
                  <c:v>67631</c:v>
                </c:pt>
              </c:numCache>
            </c:numRef>
          </c:val>
          <c:extLst>
            <c:ext xmlns:c16="http://schemas.microsoft.com/office/drawing/2014/chart" uri="{C3380CC4-5D6E-409C-BE32-E72D297353CC}">
              <c16:uniqueId val="{0000000A-626F-4842-8F16-2D11C9B8785E}"/>
            </c:ext>
          </c:extLst>
        </c:ser>
        <c:ser>
          <c:idx val="6"/>
          <c:order val="6"/>
          <c:tx>
            <c:strRef>
              <c:f>q9_13_16_27_28_39_40_E_Fig!$R$13</c:f>
              <c:strCache>
                <c:ptCount val="1"/>
                <c:pt idx="0">
                  <c:v>G</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q9_13_16_27_28_39_40_E_Fig!$S$13:$AC$13</c:f>
              <c:numCache>
                <c:formatCode>General</c:formatCode>
                <c:ptCount val="11"/>
                <c:pt idx="0">
                  <c:v>17426</c:v>
                </c:pt>
                <c:pt idx="1">
                  <c:v>18321</c:v>
                </c:pt>
                <c:pt idx="2">
                  <c:v>18275</c:v>
                </c:pt>
                <c:pt idx="3">
                  <c:v>18846</c:v>
                </c:pt>
                <c:pt idx="4">
                  <c:v>21580</c:v>
                </c:pt>
                <c:pt idx="5">
                  <c:v>25528</c:v>
                </c:pt>
                <c:pt idx="6">
                  <c:v>25321</c:v>
                </c:pt>
                <c:pt idx="7">
                  <c:v>26532</c:v>
                </c:pt>
                <c:pt idx="8">
                  <c:v>34265</c:v>
                </c:pt>
                <c:pt idx="9">
                  <c:v>46202</c:v>
                </c:pt>
                <c:pt idx="10">
                  <c:v>58057</c:v>
                </c:pt>
              </c:numCache>
            </c:numRef>
          </c:val>
          <c:extLst>
            <c:ext xmlns:c16="http://schemas.microsoft.com/office/drawing/2014/chart" uri="{C3380CC4-5D6E-409C-BE32-E72D297353CC}">
              <c16:uniqueId val="{0000000B-626F-4842-8F16-2D11C9B8785E}"/>
            </c:ext>
          </c:extLst>
        </c:ser>
        <c:ser>
          <c:idx val="7"/>
          <c:order val="7"/>
          <c:tx>
            <c:strRef>
              <c:f>q9_13_16_27_28_39_40_E_Fig!$R$14</c:f>
              <c:strCache>
                <c:ptCount val="1"/>
                <c:pt idx="0">
                  <c:v>H</c:v>
                </c:pt>
              </c:strCache>
            </c:strRef>
          </c:tx>
          <c:spPr>
            <a:solidFill>
              <a:schemeClr val="accent3">
                <a:lumMod val="80000"/>
                <a:lumOff val="2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q9_13_16_27_28_39_40_E_Fig!$S$14:$AC$14</c:f>
              <c:numCache>
                <c:formatCode>General</c:formatCode>
                <c:ptCount val="11"/>
                <c:pt idx="0">
                  <c:v>5440</c:v>
                </c:pt>
                <c:pt idx="1">
                  <c:v>5485</c:v>
                </c:pt>
                <c:pt idx="2">
                  <c:v>5241</c:v>
                </c:pt>
                <c:pt idx="3">
                  <c:v>5422</c:v>
                </c:pt>
                <c:pt idx="4">
                  <c:v>6418</c:v>
                </c:pt>
                <c:pt idx="5">
                  <c:v>6978</c:v>
                </c:pt>
                <c:pt idx="6">
                  <c:v>7193</c:v>
                </c:pt>
                <c:pt idx="7">
                  <c:v>7404</c:v>
                </c:pt>
                <c:pt idx="8">
                  <c:v>9136</c:v>
                </c:pt>
                <c:pt idx="9">
                  <c:v>12863</c:v>
                </c:pt>
                <c:pt idx="10">
                  <c:v>18524</c:v>
                </c:pt>
              </c:numCache>
            </c:numRef>
          </c:val>
          <c:extLst>
            <c:ext xmlns:c16="http://schemas.microsoft.com/office/drawing/2014/chart" uri="{C3380CC4-5D6E-409C-BE32-E72D297353CC}">
              <c16:uniqueId val="{0000000C-626F-4842-8F16-2D11C9B8785E}"/>
            </c:ext>
          </c:extLst>
        </c:ser>
        <c:ser>
          <c:idx val="8"/>
          <c:order val="8"/>
          <c:tx>
            <c:strRef>
              <c:f>q9_13_16_27_28_39_40_E_Fig!$R$15</c:f>
              <c:strCache>
                <c:ptCount val="1"/>
                <c:pt idx="0">
                  <c:v>I</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q9_13_16_27_28_39_40_E_Fig!$S$15:$AC$15</c:f>
              <c:numCache>
                <c:formatCode>General</c:formatCode>
                <c:ptCount val="11"/>
                <c:pt idx="0">
                  <c:v>22421</c:v>
                </c:pt>
                <c:pt idx="1">
                  <c:v>24396</c:v>
                </c:pt>
                <c:pt idx="2">
                  <c:v>26994</c:v>
                </c:pt>
                <c:pt idx="3">
                  <c:v>30926</c:v>
                </c:pt>
                <c:pt idx="4">
                  <c:v>37855</c:v>
                </c:pt>
                <c:pt idx="5">
                  <c:v>46407</c:v>
                </c:pt>
                <c:pt idx="6">
                  <c:v>36187</c:v>
                </c:pt>
                <c:pt idx="7">
                  <c:v>37538</c:v>
                </c:pt>
                <c:pt idx="8">
                  <c:v>58475</c:v>
                </c:pt>
                <c:pt idx="9">
                  <c:v>77812</c:v>
                </c:pt>
                <c:pt idx="10">
                  <c:v>95946</c:v>
                </c:pt>
              </c:numCache>
            </c:numRef>
          </c:val>
          <c:extLst>
            <c:ext xmlns:c16="http://schemas.microsoft.com/office/drawing/2014/chart" uri="{C3380CC4-5D6E-409C-BE32-E72D297353CC}">
              <c16:uniqueId val="{00000013-626F-4842-8F16-2D11C9B8785E}"/>
            </c:ext>
          </c:extLst>
        </c:ser>
        <c:ser>
          <c:idx val="9"/>
          <c:order val="9"/>
          <c:tx>
            <c:strRef>
              <c:f>q9_13_16_27_28_39_40_E_Fig!$R$16</c:f>
              <c:strCache>
                <c:ptCount val="1"/>
                <c:pt idx="0">
                  <c:v>J</c:v>
                </c:pt>
              </c:strCache>
            </c:strRef>
          </c:tx>
          <c:spPr>
            <a:solidFill>
              <a:schemeClr val="accent1">
                <a:lumMod val="8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q9_13_16_27_28_39_40_E_Fig!$S$16:$AC$16</c:f>
              <c:numCache>
                <c:formatCode>General</c:formatCode>
                <c:ptCount val="11"/>
                <c:pt idx="0">
                  <c:v>1730</c:v>
                </c:pt>
                <c:pt idx="1">
                  <c:v>1981</c:v>
                </c:pt>
                <c:pt idx="2">
                  <c:v>2350</c:v>
                </c:pt>
                <c:pt idx="3">
                  <c:v>2901</c:v>
                </c:pt>
                <c:pt idx="4">
                  <c:v>3983</c:v>
                </c:pt>
                <c:pt idx="5">
                  <c:v>6025</c:v>
                </c:pt>
                <c:pt idx="6">
                  <c:v>8114</c:v>
                </c:pt>
                <c:pt idx="7">
                  <c:v>9191</c:v>
                </c:pt>
                <c:pt idx="8">
                  <c:v>14392</c:v>
                </c:pt>
                <c:pt idx="9">
                  <c:v>16133</c:v>
                </c:pt>
                <c:pt idx="10">
                  <c:v>18637</c:v>
                </c:pt>
              </c:numCache>
            </c:numRef>
          </c:val>
          <c:extLst>
            <c:ext xmlns:c16="http://schemas.microsoft.com/office/drawing/2014/chart" uri="{C3380CC4-5D6E-409C-BE32-E72D297353CC}">
              <c16:uniqueId val="{00000014-626F-4842-8F16-2D11C9B8785E}"/>
            </c:ext>
          </c:extLst>
        </c:ser>
        <c:ser>
          <c:idx val="10"/>
          <c:order val="10"/>
          <c:tx>
            <c:strRef>
              <c:f>q9_13_16_27_28_39_40_E_Fig!$R$17</c:f>
              <c:strCache>
                <c:ptCount val="1"/>
                <c:pt idx="0">
                  <c:v>K</c:v>
                </c:pt>
              </c:strCache>
            </c:strRef>
          </c:tx>
          <c:spPr>
            <a:solidFill>
              <a:schemeClr val="accent3">
                <a:lumMod val="8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q9_13_16_27_28_39_40_E_Fig!$S$17:$AC$17</c:f>
              <c:numCache>
                <c:formatCode>General</c:formatCode>
                <c:ptCount val="11"/>
                <c:pt idx="0">
                  <c:v>979</c:v>
                </c:pt>
                <c:pt idx="1">
                  <c:v>1003</c:v>
                </c:pt>
                <c:pt idx="2">
                  <c:v>1048</c:v>
                </c:pt>
                <c:pt idx="3">
                  <c:v>1178</c:v>
                </c:pt>
                <c:pt idx="4">
                  <c:v>1413</c:v>
                </c:pt>
                <c:pt idx="5">
                  <c:v>1648</c:v>
                </c:pt>
                <c:pt idx="6">
                  <c:v>1808</c:v>
                </c:pt>
                <c:pt idx="7">
                  <c:v>2044</c:v>
                </c:pt>
                <c:pt idx="8">
                  <c:v>2562</c:v>
                </c:pt>
                <c:pt idx="9">
                  <c:v>3219</c:v>
                </c:pt>
                <c:pt idx="10">
                  <c:v>3728</c:v>
                </c:pt>
              </c:numCache>
            </c:numRef>
          </c:val>
          <c:extLst>
            <c:ext xmlns:c16="http://schemas.microsoft.com/office/drawing/2014/chart" uri="{C3380CC4-5D6E-409C-BE32-E72D297353CC}">
              <c16:uniqueId val="{00000015-626F-4842-8F16-2D11C9B8785E}"/>
            </c:ext>
          </c:extLst>
        </c:ser>
        <c:ser>
          <c:idx val="11"/>
          <c:order val="11"/>
          <c:tx>
            <c:strRef>
              <c:f>q9_13_16_27_28_39_40_E_Fig!$R$18</c:f>
              <c:strCache>
                <c:ptCount val="1"/>
                <c:pt idx="0">
                  <c:v>L</c:v>
                </c:pt>
              </c:strCache>
            </c:strRef>
          </c:tx>
          <c:spPr>
            <a:solidFill>
              <a:schemeClr val="accent5">
                <a:lumMod val="8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q9_13_16_27_28_39_40_E_Fig!$S$18:$AC$18</c:f>
              <c:numCache>
                <c:formatCode>General</c:formatCode>
                <c:ptCount val="11"/>
                <c:pt idx="0">
                  <c:v>1522</c:v>
                </c:pt>
                <c:pt idx="1">
                  <c:v>1648</c:v>
                </c:pt>
                <c:pt idx="2">
                  <c:v>1618</c:v>
                </c:pt>
                <c:pt idx="3">
                  <c:v>1894</c:v>
                </c:pt>
                <c:pt idx="4">
                  <c:v>2187</c:v>
                </c:pt>
                <c:pt idx="5">
                  <c:v>2377</c:v>
                </c:pt>
                <c:pt idx="6">
                  <c:v>2320</c:v>
                </c:pt>
                <c:pt idx="7">
                  <c:v>2472</c:v>
                </c:pt>
                <c:pt idx="8">
                  <c:v>3007</c:v>
                </c:pt>
                <c:pt idx="9">
                  <c:v>3763</c:v>
                </c:pt>
                <c:pt idx="10">
                  <c:v>4904</c:v>
                </c:pt>
              </c:numCache>
            </c:numRef>
          </c:val>
          <c:extLst>
            <c:ext xmlns:c16="http://schemas.microsoft.com/office/drawing/2014/chart" uri="{C3380CC4-5D6E-409C-BE32-E72D297353CC}">
              <c16:uniqueId val="{00000016-626F-4842-8F16-2D11C9B8785E}"/>
            </c:ext>
          </c:extLst>
        </c:ser>
        <c:ser>
          <c:idx val="12"/>
          <c:order val="12"/>
          <c:tx>
            <c:strRef>
              <c:f>q9_13_16_27_28_39_40_E_Fig!$R$19</c:f>
              <c:strCache>
                <c:ptCount val="1"/>
                <c:pt idx="0">
                  <c:v>M</c:v>
                </c:pt>
              </c:strCache>
            </c:strRef>
          </c:tx>
          <c:spPr>
            <a:solidFill>
              <a:schemeClr val="accent1">
                <a:lumMod val="60000"/>
                <a:lumOff val="4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q9_13_16_27_28_39_40_E_Fig!$S$19:$AC$19</c:f>
              <c:numCache>
                <c:formatCode>General</c:formatCode>
                <c:ptCount val="11"/>
                <c:pt idx="0">
                  <c:v>2980</c:v>
                </c:pt>
                <c:pt idx="1">
                  <c:v>3156</c:v>
                </c:pt>
                <c:pt idx="2">
                  <c:v>3496</c:v>
                </c:pt>
                <c:pt idx="3">
                  <c:v>3594</c:v>
                </c:pt>
                <c:pt idx="4">
                  <c:v>4961</c:v>
                </c:pt>
                <c:pt idx="5">
                  <c:v>6898</c:v>
                </c:pt>
                <c:pt idx="6">
                  <c:v>7218</c:v>
                </c:pt>
                <c:pt idx="7">
                  <c:v>7523</c:v>
                </c:pt>
                <c:pt idx="8">
                  <c:v>10332</c:v>
                </c:pt>
                <c:pt idx="9">
                  <c:v>14066</c:v>
                </c:pt>
                <c:pt idx="10">
                  <c:v>18678</c:v>
                </c:pt>
              </c:numCache>
            </c:numRef>
          </c:val>
          <c:extLst>
            <c:ext xmlns:c16="http://schemas.microsoft.com/office/drawing/2014/chart" uri="{C3380CC4-5D6E-409C-BE32-E72D297353CC}">
              <c16:uniqueId val="{00000017-626F-4842-8F16-2D11C9B8785E}"/>
            </c:ext>
          </c:extLst>
        </c:ser>
        <c:ser>
          <c:idx val="13"/>
          <c:order val="13"/>
          <c:tx>
            <c:strRef>
              <c:f>q9_13_16_27_28_39_40_E_Fig!$R$20</c:f>
              <c:strCache>
                <c:ptCount val="1"/>
                <c:pt idx="0">
                  <c:v>N</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q9_13_16_27_28_39_40_E_Fig!$S$20:$AC$20</c:f>
              <c:numCache>
                <c:formatCode>General</c:formatCode>
                <c:ptCount val="11"/>
                <c:pt idx="0">
                  <c:v>21681</c:v>
                </c:pt>
                <c:pt idx="1">
                  <c:v>22250</c:v>
                </c:pt>
                <c:pt idx="2">
                  <c:v>27492</c:v>
                </c:pt>
                <c:pt idx="3">
                  <c:v>30903</c:v>
                </c:pt>
                <c:pt idx="4">
                  <c:v>36229</c:v>
                </c:pt>
                <c:pt idx="5">
                  <c:v>45543</c:v>
                </c:pt>
                <c:pt idx="6">
                  <c:v>48376</c:v>
                </c:pt>
                <c:pt idx="7">
                  <c:v>51133</c:v>
                </c:pt>
                <c:pt idx="8">
                  <c:v>72441</c:v>
                </c:pt>
                <c:pt idx="9">
                  <c:v>86959</c:v>
                </c:pt>
                <c:pt idx="10">
                  <c:v>97612</c:v>
                </c:pt>
              </c:numCache>
            </c:numRef>
          </c:val>
          <c:extLst>
            <c:ext xmlns:c16="http://schemas.microsoft.com/office/drawing/2014/chart" uri="{C3380CC4-5D6E-409C-BE32-E72D297353CC}">
              <c16:uniqueId val="{00000018-626F-4842-8F16-2D11C9B8785E}"/>
            </c:ext>
          </c:extLst>
        </c:ser>
        <c:ser>
          <c:idx val="14"/>
          <c:order val="14"/>
          <c:tx>
            <c:strRef>
              <c:f>q9_13_16_27_28_39_40_E_Fig!$R$21</c:f>
              <c:strCache>
                <c:ptCount val="1"/>
                <c:pt idx="0">
                  <c:v>O</c:v>
                </c:pt>
              </c:strCache>
            </c:strRef>
          </c:tx>
          <c:spPr>
            <a:solidFill>
              <a:schemeClr val="accent5">
                <a:lumMod val="60000"/>
                <a:lumOff val="4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q9_13_16_27_28_39_40_E_Fig!$S$21:$AC$21</c:f>
              <c:numCache>
                <c:formatCode>General</c:formatCode>
                <c:ptCount val="11"/>
                <c:pt idx="0">
                  <c:v>112</c:v>
                </c:pt>
                <c:pt idx="1">
                  <c:v>111</c:v>
                </c:pt>
                <c:pt idx="2">
                  <c:v>109</c:v>
                </c:pt>
                <c:pt idx="3">
                  <c:v>113</c:v>
                </c:pt>
                <c:pt idx="4">
                  <c:v>105</c:v>
                </c:pt>
                <c:pt idx="5">
                  <c:v>105</c:v>
                </c:pt>
                <c:pt idx="6">
                  <c:v>116</c:v>
                </c:pt>
                <c:pt idx="7">
                  <c:v>115</c:v>
                </c:pt>
                <c:pt idx="8">
                  <c:v>182</c:v>
                </c:pt>
                <c:pt idx="9">
                  <c:v>274</c:v>
                </c:pt>
                <c:pt idx="10">
                  <c:v>476</c:v>
                </c:pt>
              </c:numCache>
            </c:numRef>
          </c:val>
          <c:extLst>
            <c:ext xmlns:c16="http://schemas.microsoft.com/office/drawing/2014/chart" uri="{C3380CC4-5D6E-409C-BE32-E72D297353CC}">
              <c16:uniqueId val="{00000019-626F-4842-8F16-2D11C9B8785E}"/>
            </c:ext>
          </c:extLst>
        </c:ser>
        <c:ser>
          <c:idx val="15"/>
          <c:order val="15"/>
          <c:tx>
            <c:strRef>
              <c:f>q9_13_16_27_28_39_40_E_Fig!$R$22</c:f>
              <c:strCache>
                <c:ptCount val="1"/>
                <c:pt idx="0">
                  <c:v>P</c:v>
                </c:pt>
              </c:strCache>
            </c:strRef>
          </c:tx>
          <c:spPr>
            <a:solidFill>
              <a:schemeClr val="accent1">
                <a:lumMod val="5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q9_13_16_27_28_39_40_E_Fig!$S$22:$AC$22</c:f>
              <c:numCache>
                <c:formatCode>General</c:formatCode>
                <c:ptCount val="11"/>
                <c:pt idx="0">
                  <c:v>1797</c:v>
                </c:pt>
                <c:pt idx="1">
                  <c:v>1863</c:v>
                </c:pt>
                <c:pt idx="2">
                  <c:v>1877</c:v>
                </c:pt>
                <c:pt idx="3">
                  <c:v>1874</c:v>
                </c:pt>
                <c:pt idx="4">
                  <c:v>2052</c:v>
                </c:pt>
                <c:pt idx="5">
                  <c:v>2338</c:v>
                </c:pt>
                <c:pt idx="6">
                  <c:v>2589</c:v>
                </c:pt>
                <c:pt idx="7">
                  <c:v>2706</c:v>
                </c:pt>
                <c:pt idx="8">
                  <c:v>2960</c:v>
                </c:pt>
                <c:pt idx="9">
                  <c:v>3878</c:v>
                </c:pt>
                <c:pt idx="10">
                  <c:v>4584</c:v>
                </c:pt>
              </c:numCache>
            </c:numRef>
          </c:val>
          <c:extLst>
            <c:ext xmlns:c16="http://schemas.microsoft.com/office/drawing/2014/chart" uri="{C3380CC4-5D6E-409C-BE32-E72D297353CC}">
              <c16:uniqueId val="{0000001A-626F-4842-8F16-2D11C9B8785E}"/>
            </c:ext>
          </c:extLst>
        </c:ser>
        <c:ser>
          <c:idx val="16"/>
          <c:order val="16"/>
          <c:tx>
            <c:strRef>
              <c:f>q9_13_16_27_28_39_40_E_Fig!$R$23</c:f>
              <c:strCache>
                <c:ptCount val="1"/>
                <c:pt idx="0">
                  <c:v>Q</c:v>
                </c:pt>
              </c:strCache>
            </c:strRef>
          </c:tx>
          <c:spPr>
            <a:solidFill>
              <a:schemeClr val="accent3">
                <a:lumMod val="5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q9_13_16_27_28_39_40_E_Fig!$S$23:$AC$23</c:f>
              <c:numCache>
                <c:formatCode>General</c:formatCode>
                <c:ptCount val="11"/>
                <c:pt idx="0">
                  <c:v>6267</c:v>
                </c:pt>
                <c:pt idx="1">
                  <c:v>6493</c:v>
                </c:pt>
                <c:pt idx="2">
                  <c:v>6806</c:v>
                </c:pt>
                <c:pt idx="3">
                  <c:v>7204</c:v>
                </c:pt>
                <c:pt idx="4">
                  <c:v>8283</c:v>
                </c:pt>
                <c:pt idx="5">
                  <c:v>10226</c:v>
                </c:pt>
                <c:pt idx="6">
                  <c:v>12107</c:v>
                </c:pt>
                <c:pt idx="7">
                  <c:v>12960</c:v>
                </c:pt>
                <c:pt idx="8">
                  <c:v>16549</c:v>
                </c:pt>
                <c:pt idx="9">
                  <c:v>21307</c:v>
                </c:pt>
                <c:pt idx="10">
                  <c:v>26915</c:v>
                </c:pt>
              </c:numCache>
            </c:numRef>
          </c:val>
          <c:extLst>
            <c:ext xmlns:c16="http://schemas.microsoft.com/office/drawing/2014/chart" uri="{C3380CC4-5D6E-409C-BE32-E72D297353CC}">
              <c16:uniqueId val="{0000001B-626F-4842-8F16-2D11C9B8785E}"/>
            </c:ext>
          </c:extLst>
        </c:ser>
        <c:ser>
          <c:idx val="17"/>
          <c:order val="17"/>
          <c:tx>
            <c:strRef>
              <c:f>q9_13_16_27_28_39_40_E_Fig!$R$24</c:f>
              <c:strCache>
                <c:ptCount val="1"/>
                <c:pt idx="0">
                  <c:v>R</c:v>
                </c:pt>
              </c:strCache>
            </c:strRef>
          </c:tx>
          <c:spPr>
            <a:solidFill>
              <a:schemeClr val="accent5">
                <a:lumMod val="5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q9_13_16_27_28_39_40_E_Fig!$S$24:$AC$24</c:f>
              <c:numCache>
                <c:formatCode>General</c:formatCode>
                <c:ptCount val="11"/>
                <c:pt idx="0">
                  <c:v>1357</c:v>
                </c:pt>
                <c:pt idx="1">
                  <c:v>1580</c:v>
                </c:pt>
                <c:pt idx="2">
                  <c:v>1556</c:v>
                </c:pt>
                <c:pt idx="3">
                  <c:v>1738</c:v>
                </c:pt>
                <c:pt idx="4">
                  <c:v>2069</c:v>
                </c:pt>
                <c:pt idx="5">
                  <c:v>2363</c:v>
                </c:pt>
                <c:pt idx="6">
                  <c:v>2178</c:v>
                </c:pt>
                <c:pt idx="7">
                  <c:v>2347</c:v>
                </c:pt>
                <c:pt idx="8">
                  <c:v>3016</c:v>
                </c:pt>
                <c:pt idx="9">
                  <c:v>3744</c:v>
                </c:pt>
                <c:pt idx="10">
                  <c:v>4642</c:v>
                </c:pt>
              </c:numCache>
            </c:numRef>
          </c:val>
          <c:extLst>
            <c:ext xmlns:c16="http://schemas.microsoft.com/office/drawing/2014/chart" uri="{C3380CC4-5D6E-409C-BE32-E72D297353CC}">
              <c16:uniqueId val="{0000001C-626F-4842-8F16-2D11C9B8785E}"/>
            </c:ext>
          </c:extLst>
        </c:ser>
        <c:ser>
          <c:idx val="18"/>
          <c:order val="18"/>
          <c:tx>
            <c:strRef>
              <c:f>q9_13_16_27_28_39_40_E_Fig!$R$25</c:f>
              <c:strCache>
                <c:ptCount val="1"/>
                <c:pt idx="0">
                  <c:v>S</c:v>
                </c:pt>
              </c:strCache>
            </c:strRef>
          </c:tx>
          <c:spPr>
            <a:solidFill>
              <a:schemeClr val="accent1">
                <a:lumMod val="70000"/>
                <a:lumOff val="3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q9_13_16_27_28_39_40_E_Fig!$S$25:$AC$25</c:f>
              <c:numCache>
                <c:formatCode>General</c:formatCode>
                <c:ptCount val="11"/>
                <c:pt idx="0">
                  <c:v>3061</c:v>
                </c:pt>
                <c:pt idx="1">
                  <c:v>3074</c:v>
                </c:pt>
                <c:pt idx="2">
                  <c:v>3180</c:v>
                </c:pt>
                <c:pt idx="3">
                  <c:v>3326</c:v>
                </c:pt>
                <c:pt idx="4">
                  <c:v>3658</c:v>
                </c:pt>
                <c:pt idx="5">
                  <c:v>3877</c:v>
                </c:pt>
                <c:pt idx="6">
                  <c:v>3691</c:v>
                </c:pt>
                <c:pt idx="7">
                  <c:v>3507</c:v>
                </c:pt>
                <c:pt idx="8">
                  <c:v>4459</c:v>
                </c:pt>
                <c:pt idx="9">
                  <c:v>5364</c:v>
                </c:pt>
                <c:pt idx="10">
                  <c:v>6581</c:v>
                </c:pt>
              </c:numCache>
            </c:numRef>
          </c:val>
          <c:extLst>
            <c:ext xmlns:c16="http://schemas.microsoft.com/office/drawing/2014/chart" uri="{C3380CC4-5D6E-409C-BE32-E72D297353CC}">
              <c16:uniqueId val="{0000001D-626F-4842-8F16-2D11C9B8785E}"/>
            </c:ext>
          </c:extLst>
        </c:ser>
        <c:ser>
          <c:idx val="19"/>
          <c:order val="19"/>
          <c:tx>
            <c:strRef>
              <c:f>q9_13_16_27_28_39_40_E_Fig!$R$26</c:f>
              <c:strCache>
                <c:ptCount val="1"/>
                <c:pt idx="0">
                  <c:v>U</c:v>
                </c:pt>
              </c:strCache>
            </c:strRef>
          </c:tx>
          <c:spPr>
            <a:solidFill>
              <a:schemeClr val="accent3">
                <a:lumMod val="70000"/>
                <a:lumOff val="3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q9_13_16_27_28_39_40_E_Fig!$S$26:$AC$26</c:f>
              <c:numCache>
                <c:formatCode>General</c:formatCode>
                <c:ptCount val="11"/>
                <c:pt idx="0">
                  <c:v>17</c:v>
                </c:pt>
                <c:pt idx="1">
                  <c:v>15</c:v>
                </c:pt>
                <c:pt idx="2">
                  <c:v>15</c:v>
                </c:pt>
                <c:pt idx="3">
                  <c:v>13</c:v>
                </c:pt>
                <c:pt idx="4">
                  <c:v>11</c:v>
                </c:pt>
                <c:pt idx="5">
                  <c:v>9</c:v>
                </c:pt>
                <c:pt idx="6">
                  <c:v>14</c:v>
                </c:pt>
                <c:pt idx="7">
                  <c:v>32</c:v>
                </c:pt>
                <c:pt idx="8">
                  <c:v>35</c:v>
                </c:pt>
                <c:pt idx="9">
                  <c:v>39</c:v>
                </c:pt>
                <c:pt idx="10">
                  <c:v>41</c:v>
                </c:pt>
              </c:numCache>
            </c:numRef>
          </c:val>
          <c:extLst>
            <c:ext xmlns:c16="http://schemas.microsoft.com/office/drawing/2014/chart" uri="{C3380CC4-5D6E-409C-BE32-E72D297353CC}">
              <c16:uniqueId val="{0000001E-626F-4842-8F16-2D11C9B8785E}"/>
            </c:ext>
          </c:extLst>
        </c:ser>
        <c:dLbls>
          <c:showLegendKey val="0"/>
          <c:showVal val="0"/>
          <c:showCatName val="0"/>
          <c:showSerName val="0"/>
          <c:showPercent val="0"/>
          <c:showBubbleSize val="0"/>
        </c:dLbls>
        <c:gapWidth val="50"/>
        <c:overlap val="100"/>
        <c:axId val="211072368"/>
        <c:axId val="1682385520"/>
        <c:extLst/>
      </c:barChart>
      <c:catAx>
        <c:axId val="21107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crossAx val="1682385520"/>
        <c:crosses val="autoZero"/>
        <c:auto val="1"/>
        <c:lblAlgn val="ctr"/>
        <c:lblOffset val="100"/>
        <c:noMultiLvlLbl val="0"/>
      </c:catAx>
      <c:valAx>
        <c:axId val="1682385520"/>
        <c:scaling>
          <c:orientation val="minMax"/>
          <c:max val="600000"/>
          <c:min val="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211072368"/>
        <c:crosses val="autoZero"/>
        <c:crossBetween val="between"/>
        <c:majorUnit val="100000"/>
      </c:valAx>
      <c:spPr>
        <a:noFill/>
        <a:ln>
          <a:noFill/>
        </a:ln>
        <a:effectLst/>
      </c:spPr>
    </c:plotArea>
    <c:legend>
      <c:legendPos val="b"/>
      <c:layout>
        <c:manualLayout>
          <c:xMode val="edge"/>
          <c:yMode val="edge"/>
          <c:x val="3.7437102506546943E-2"/>
          <c:y val="0.89261540822590557"/>
          <c:w val="0.94198021885521888"/>
          <c:h val="7.953376304481277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739160909181934E-2"/>
          <c:y val="0.18472812943831005"/>
          <c:w val="0.9205216781816361"/>
          <c:h val="0.59150628175582409"/>
        </c:manualLayout>
      </c:layout>
      <c:lineChart>
        <c:grouping val="standard"/>
        <c:varyColors val="0"/>
        <c:ser>
          <c:idx val="0"/>
          <c:order val="0"/>
          <c:tx>
            <c:strRef>
              <c:f>q22_q23_q34_q35_Fig!$R$59</c:f>
              <c:strCache>
                <c:ptCount val="1"/>
                <c:pt idx="0">
                  <c:v>Micro (1-9 pessoas)</c:v>
                </c:pt>
              </c:strCache>
            </c:strRef>
          </c:tx>
          <c:spPr>
            <a:ln w="31750" cap="rnd">
              <a:solidFill>
                <a:srgbClr val="C27535"/>
              </a:solidFill>
              <a:round/>
            </a:ln>
            <a:effectLst/>
          </c:spPr>
          <c:marker>
            <c:symbol val="circle"/>
            <c:size val="6"/>
            <c:spPr>
              <a:solidFill>
                <a:srgbClr val="C27535"/>
              </a:solidFill>
              <a:ln w="9525">
                <a:noFill/>
              </a:ln>
              <a:effectLst/>
            </c:spPr>
          </c:marker>
          <c:cat>
            <c:numRef>
              <c:f>q22_q23_q34_q35_Fig!$S$58:$AC$58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q22_q23_q34_q35_Fig!$S$59:$AC$59</c:f>
              <c:numCache>
                <c:formatCode>0.00</c:formatCode>
                <c:ptCount val="11"/>
                <c:pt idx="0">
                  <c:v>874.38436612750547</c:v>
                </c:pt>
                <c:pt idx="1">
                  <c:v>869.12276441572385</c:v>
                </c:pt>
                <c:pt idx="2">
                  <c:v>881.40512820235597</c:v>
                </c:pt>
                <c:pt idx="3">
                  <c:v>903.93939883921951</c:v>
                </c:pt>
                <c:pt idx="4">
                  <c:v>932.82112641795084</c:v>
                </c:pt>
                <c:pt idx="5">
                  <c:v>964.9013625736294</c:v>
                </c:pt>
                <c:pt idx="6">
                  <c:v>1001.2044941363545</c:v>
                </c:pt>
                <c:pt idx="7">
                  <c:v>1038.1806040678803</c:v>
                </c:pt>
                <c:pt idx="8">
                  <c:v>1089.2710386651693</c:v>
                </c:pt>
                <c:pt idx="9">
                  <c:v>1172.1326870057369</c:v>
                </c:pt>
                <c:pt idx="10">
                  <c:v>1260.3809432033565</c:v>
                </c:pt>
              </c:numCache>
            </c:numRef>
          </c:val>
          <c:smooth val="0"/>
          <c:extLst>
            <c:ext xmlns:c16="http://schemas.microsoft.com/office/drawing/2014/chart" uri="{C3380CC4-5D6E-409C-BE32-E72D297353CC}">
              <c16:uniqueId val="{00000000-6602-4A98-B107-4B4B252E4B3A}"/>
            </c:ext>
          </c:extLst>
        </c:ser>
        <c:ser>
          <c:idx val="1"/>
          <c:order val="1"/>
          <c:tx>
            <c:strRef>
              <c:f>q22_q23_q34_q35_Fig!$R$60</c:f>
              <c:strCache>
                <c:ptCount val="1"/>
                <c:pt idx="0">
                  <c:v>Pequenos (10 - 49 pessoas)</c:v>
                </c:pt>
              </c:strCache>
            </c:strRef>
          </c:tx>
          <c:spPr>
            <a:ln w="31750" cap="rnd">
              <a:solidFill>
                <a:srgbClr val="E78C41"/>
              </a:solidFill>
              <a:round/>
            </a:ln>
            <a:effectLst/>
          </c:spPr>
          <c:marker>
            <c:symbol val="circle"/>
            <c:size val="6"/>
            <c:spPr>
              <a:solidFill>
                <a:srgbClr val="E78C41"/>
              </a:solidFill>
              <a:ln w="9525">
                <a:noFill/>
              </a:ln>
              <a:effectLst/>
            </c:spPr>
          </c:marker>
          <c:cat>
            <c:numRef>
              <c:f>q22_q23_q34_q35_Fig!$S$58:$AC$58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q22_q23_q34_q35_Fig!$S$60:$AC$60</c:f>
              <c:numCache>
                <c:formatCode>0.00</c:formatCode>
                <c:ptCount val="11"/>
                <c:pt idx="0">
                  <c:v>1037.6006240969584</c:v>
                </c:pt>
                <c:pt idx="1">
                  <c:v>1035.1865874443888</c:v>
                </c:pt>
                <c:pt idx="2">
                  <c:v>1040.5432494420013</c:v>
                </c:pt>
                <c:pt idx="3">
                  <c:v>1062.0631016188092</c:v>
                </c:pt>
                <c:pt idx="4">
                  <c:v>1092.2485129611412</c:v>
                </c:pt>
                <c:pt idx="5">
                  <c:v>1126.8547486372413</c:v>
                </c:pt>
                <c:pt idx="6">
                  <c:v>1172.4223622753868</c:v>
                </c:pt>
                <c:pt idx="7">
                  <c:v>1208.4921346318265</c:v>
                </c:pt>
                <c:pt idx="8">
                  <c:v>1261.8200779433143</c:v>
                </c:pt>
                <c:pt idx="9">
                  <c:v>1353.931007657292</c:v>
                </c:pt>
                <c:pt idx="10">
                  <c:v>1448.0976118612928</c:v>
                </c:pt>
              </c:numCache>
            </c:numRef>
          </c:val>
          <c:smooth val="0"/>
          <c:extLst>
            <c:ext xmlns:c16="http://schemas.microsoft.com/office/drawing/2014/chart" uri="{C3380CC4-5D6E-409C-BE32-E72D297353CC}">
              <c16:uniqueId val="{00000001-6602-4A98-B107-4B4B252E4B3A}"/>
            </c:ext>
          </c:extLst>
        </c:ser>
        <c:ser>
          <c:idx val="2"/>
          <c:order val="2"/>
          <c:tx>
            <c:strRef>
              <c:f>q22_q23_q34_q35_Fig!$R$61</c:f>
              <c:strCache>
                <c:ptCount val="1"/>
                <c:pt idx="0">
                  <c:v>Médios (50 - 249 pessoas)</c:v>
                </c:pt>
              </c:strCache>
            </c:strRef>
          </c:tx>
          <c:spPr>
            <a:ln w="31750" cap="rnd">
              <a:solidFill>
                <a:srgbClr val="F8AA79"/>
              </a:solidFill>
              <a:round/>
            </a:ln>
            <a:effectLst/>
          </c:spPr>
          <c:marker>
            <c:symbol val="circle"/>
            <c:size val="6"/>
            <c:spPr>
              <a:solidFill>
                <a:srgbClr val="F8AA79"/>
              </a:solidFill>
              <a:ln w="9525">
                <a:noFill/>
              </a:ln>
              <a:effectLst/>
            </c:spPr>
          </c:marker>
          <c:cat>
            <c:numRef>
              <c:f>q22_q23_q34_q35_Fig!$S$58:$AC$58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q22_q23_q34_q35_Fig!$S$61:$AC$61</c:f>
              <c:numCache>
                <c:formatCode>0.00</c:formatCode>
                <c:ptCount val="11"/>
                <c:pt idx="0">
                  <c:v>1248.6811036820754</c:v>
                </c:pt>
                <c:pt idx="1">
                  <c:v>1256.3213446357925</c:v>
                </c:pt>
                <c:pt idx="2">
                  <c:v>1260.9841138399006</c:v>
                </c:pt>
                <c:pt idx="3">
                  <c:v>1280.1375315323639</c:v>
                </c:pt>
                <c:pt idx="4">
                  <c:v>1318.3099653190882</c:v>
                </c:pt>
                <c:pt idx="5">
                  <c:v>1346.9581295749031</c:v>
                </c:pt>
                <c:pt idx="6">
                  <c:v>1398.2108743778072</c:v>
                </c:pt>
                <c:pt idx="7">
                  <c:v>1433.697122712397</c:v>
                </c:pt>
                <c:pt idx="8">
                  <c:v>1504.3707328427417</c:v>
                </c:pt>
                <c:pt idx="9">
                  <c:v>1601.5759696250366</c:v>
                </c:pt>
                <c:pt idx="10">
                  <c:v>1701.3275748885435</c:v>
                </c:pt>
              </c:numCache>
            </c:numRef>
          </c:val>
          <c:smooth val="0"/>
          <c:extLst>
            <c:ext xmlns:c16="http://schemas.microsoft.com/office/drawing/2014/chart" uri="{C3380CC4-5D6E-409C-BE32-E72D297353CC}">
              <c16:uniqueId val="{00000002-6602-4A98-B107-4B4B252E4B3A}"/>
            </c:ext>
          </c:extLst>
        </c:ser>
        <c:ser>
          <c:idx val="3"/>
          <c:order val="3"/>
          <c:tx>
            <c:strRef>
              <c:f>q22_q23_q34_q35_Fig!$R$62</c:f>
              <c:strCache>
                <c:ptCount val="1"/>
                <c:pt idx="0">
                  <c:v>Grandes (250 ou + pessoas)</c:v>
                </c:pt>
              </c:strCache>
            </c:strRef>
          </c:tx>
          <c:spPr>
            <a:ln w="31750" cap="rnd">
              <a:solidFill>
                <a:srgbClr val="FACBB4">
                  <a:alpha val="97647"/>
                </a:srgbClr>
              </a:solidFill>
              <a:round/>
            </a:ln>
            <a:effectLst/>
          </c:spPr>
          <c:marker>
            <c:symbol val="circle"/>
            <c:size val="6"/>
            <c:spPr>
              <a:solidFill>
                <a:srgbClr val="FACBB4"/>
              </a:solidFill>
              <a:ln w="9525">
                <a:noFill/>
              </a:ln>
              <a:effectLst/>
            </c:spPr>
          </c:marker>
          <c:cat>
            <c:numRef>
              <c:f>q22_q23_q34_q35_Fig!$S$58:$AC$58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q22_q23_q34_q35_Fig!$S$62:$AC$62</c:f>
              <c:numCache>
                <c:formatCode>0.00</c:formatCode>
                <c:ptCount val="11"/>
                <c:pt idx="0">
                  <c:v>1345.0363768324278</c:v>
                </c:pt>
                <c:pt idx="1">
                  <c:v>1352.8574877439646</c:v>
                </c:pt>
                <c:pt idx="2">
                  <c:v>1371.8676367835099</c:v>
                </c:pt>
                <c:pt idx="3">
                  <c:v>1393.9052874294284</c:v>
                </c:pt>
                <c:pt idx="4">
                  <c:v>1437.9076145135105</c:v>
                </c:pt>
                <c:pt idx="5">
                  <c:v>1485.7730804180874</c:v>
                </c:pt>
                <c:pt idx="6">
                  <c:v>1502.5346094245592</c:v>
                </c:pt>
                <c:pt idx="7">
                  <c:v>1573.1822719813581</c:v>
                </c:pt>
                <c:pt idx="8">
                  <c:v>1689.4825648140356</c:v>
                </c:pt>
                <c:pt idx="9">
                  <c:v>1813.3635405012035</c:v>
                </c:pt>
                <c:pt idx="10">
                  <c:v>1988.6904912527966</c:v>
                </c:pt>
              </c:numCache>
            </c:numRef>
          </c:val>
          <c:smooth val="0"/>
          <c:extLst>
            <c:ext xmlns:c16="http://schemas.microsoft.com/office/drawing/2014/chart" uri="{C3380CC4-5D6E-409C-BE32-E72D297353CC}">
              <c16:uniqueId val="{00000003-6602-4A98-B107-4B4B252E4B3A}"/>
            </c:ext>
          </c:extLst>
        </c:ser>
        <c:dLbls>
          <c:showLegendKey val="0"/>
          <c:showVal val="0"/>
          <c:showCatName val="0"/>
          <c:showSerName val="0"/>
          <c:showPercent val="0"/>
          <c:showBubbleSize val="0"/>
        </c:dLbls>
        <c:marker val="1"/>
        <c:smooth val="0"/>
        <c:axId val="903145471"/>
        <c:axId val="857673247"/>
      </c:lineChart>
      <c:catAx>
        <c:axId val="903145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PT"/>
          </a:p>
        </c:txPr>
        <c:crossAx val="857673247"/>
        <c:crosses val="autoZero"/>
        <c:auto val="1"/>
        <c:lblAlgn val="ctr"/>
        <c:lblOffset val="100"/>
        <c:noMultiLvlLbl val="0"/>
      </c:catAx>
      <c:valAx>
        <c:axId val="857673247"/>
        <c:scaling>
          <c:orientation val="minMax"/>
          <c:max val="2000"/>
          <c:min val="0"/>
        </c:scaling>
        <c:delete val="1"/>
        <c:axPos val="l"/>
        <c:majorGridlines>
          <c:spPr>
            <a:ln w="9525" cap="flat" cmpd="sng" algn="ctr">
              <a:noFill/>
              <a:round/>
            </a:ln>
            <a:effectLst/>
          </c:spPr>
        </c:majorGridlines>
        <c:numFmt formatCode="#,##0\ &quot;€&quot;" sourceLinked="0"/>
        <c:majorTickMark val="out"/>
        <c:minorTickMark val="none"/>
        <c:tickLblPos val="nextTo"/>
        <c:crossAx val="903145471"/>
        <c:crosses val="autoZero"/>
        <c:crossBetween val="between"/>
        <c:majorUnit val="200"/>
      </c:valAx>
      <c:spPr>
        <a:noFill/>
        <a:ln>
          <a:noFill/>
        </a:ln>
        <a:effectLst/>
      </c:spPr>
    </c:plotArea>
    <c:legend>
      <c:legendPos val="b"/>
      <c:layout>
        <c:manualLayout>
          <c:xMode val="edge"/>
          <c:yMode val="edge"/>
          <c:x val="1.3448542886017892E-2"/>
          <c:y val="0.86939811246391219"/>
          <c:w val="0.94643320407438769"/>
          <c:h val="0.11362950338713067"/>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4464500581950948"/>
          <c:h val="0.59496464109460301"/>
        </c:manualLayout>
      </c:layout>
      <c:barChart>
        <c:barDir val="col"/>
        <c:grouping val="clustered"/>
        <c:varyColors val="0"/>
        <c:ser>
          <c:idx val="0"/>
          <c:order val="0"/>
          <c:tx>
            <c:strRef>
              <c:f>q9_13_16_27_28_39_40_E_Fig!$AS$4</c:f>
              <c:strCache>
                <c:ptCount val="1"/>
                <c:pt idx="0">
                  <c:v>Pessoas ao serviço de nacionalidade estrangeira</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4.5531446592532977E-2"/>
                  <c:y val="-0.114582488610416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14-4915-92CC-A12DFFE02F54}"/>
                </c:ext>
              </c:extLst>
            </c:dLbl>
            <c:dLbl>
              <c:idx val="10"/>
              <c:layout>
                <c:manualLayout>
                  <c:x val="3.4894098865656857E-2"/>
                  <c:y val="-2.4127774614921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14-4915-92CC-A12DFFE02F54}"/>
                </c:ext>
              </c:extLst>
            </c:dLbl>
            <c:spPr>
              <a:noFill/>
              <a:ln>
                <a:noFill/>
              </a:ln>
              <a:effectLst/>
            </c:spPr>
            <c:txPr>
              <a:bodyPr rot="0" spcFirstLastPara="1" vertOverflow="ellipsis" vert="horz" wrap="non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tx2">
                          <a:lumMod val="35000"/>
                          <a:lumOff val="65000"/>
                        </a:schemeClr>
                      </a:solidFill>
                    </a:ln>
                    <a:effectLst/>
                  </c:spPr>
                </c15:leaderLines>
              </c:ext>
            </c:extLst>
          </c:dLbls>
          <c:cat>
            <c:numRef>
              <c:f>q9_13_16_27_28_39_40_E_Fig!$AT$3:$BD$3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q9_13_16_27_28_39_40_E_Fig!$AT$4:$BD$4</c:f>
              <c:numCache>
                <c:formatCode>#,##0</c:formatCode>
                <c:ptCount val="11"/>
                <c:pt idx="0">
                  <c:v>116849</c:v>
                </c:pt>
                <c:pt idx="1">
                  <c:v>122910</c:v>
                </c:pt>
                <c:pt idx="2">
                  <c:v>134443</c:v>
                </c:pt>
                <c:pt idx="3">
                  <c:v>147756</c:v>
                </c:pt>
                <c:pt idx="4">
                  <c:v>177438</c:v>
                </c:pt>
                <c:pt idx="5">
                  <c:v>218982</c:v>
                </c:pt>
                <c:pt idx="6">
                  <c:v>226327</c:v>
                </c:pt>
                <c:pt idx="7">
                  <c:v>237058</c:v>
                </c:pt>
                <c:pt idx="8">
                  <c:v>331528</c:v>
                </c:pt>
                <c:pt idx="9">
                  <c:v>425463</c:v>
                </c:pt>
                <c:pt idx="10">
                  <c:v>522990</c:v>
                </c:pt>
              </c:numCache>
            </c:numRef>
          </c:val>
          <c:extLst>
            <c:ext xmlns:c16="http://schemas.microsoft.com/office/drawing/2014/chart" uri="{C3380CC4-5D6E-409C-BE32-E72D297353CC}">
              <c16:uniqueId val="{00000002-3414-4915-92CC-A12DFFE02F54}"/>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q9_13_16_27_28_39_40_E_Fig!$AS$5</c:f>
              <c:strCache>
                <c:ptCount val="1"/>
                <c:pt idx="0">
                  <c:v>TCO de nacionalidade estrangeira</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3-3414-4915-92CC-A12DFFE02F54}"/>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3414-4915-92CC-A12DFFE02F54}"/>
              </c:ext>
            </c:extLst>
          </c:dPt>
          <c:dLbls>
            <c:dLbl>
              <c:idx val="0"/>
              <c:layout>
                <c:manualLayout>
                  <c:x val="-6.620998856596544E-3"/>
                  <c:y val="-6.6078597017401763E-2"/>
                </c:manualLayout>
              </c:layout>
              <c:spPr>
                <a:noFill/>
                <a:ln>
                  <a:noFill/>
                </a:ln>
                <a:effectLst/>
              </c:spPr>
              <c:txPr>
                <a:bodyPr rot="0" spcFirstLastPara="1" vertOverflow="ellipsis" vert="horz" wrap="none" lIns="38100" tIns="19050" rIns="38100" bIns="19050" anchor="ctr" anchorCtr="1">
                  <a:noAutofit/>
                </a:bodyPr>
                <a:lstStyle/>
                <a:p>
                  <a:pPr>
                    <a:defRPr sz="900" b="1" i="0" u="none" strike="noStrike" kern="1200" baseline="0">
                      <a:solidFill>
                        <a:srgbClr val="FFC000"/>
                      </a:solidFill>
                      <a:latin typeface="+mn-lt"/>
                      <a:ea typeface="+mn-ea"/>
                      <a:cs typeface="+mn-cs"/>
                    </a:defRPr>
                  </a:pPr>
                  <a:endParaRPr lang="pt-PT"/>
                </a:p>
              </c:txPr>
              <c:showLegendKey val="0"/>
              <c:showVal val="1"/>
              <c:showCatName val="0"/>
              <c:showSerName val="0"/>
              <c:showPercent val="0"/>
              <c:showBubbleSize val="0"/>
              <c:extLst>
                <c:ext xmlns:c15="http://schemas.microsoft.com/office/drawing/2012/chart" uri="{CE6537A1-D6FC-4f65-9D91-7224C49458BB}">
                  <c15:layout>
                    <c:manualLayout>
                      <c:w val="0.15235967373628478"/>
                      <c:h val="5.2349626592401534E-2"/>
                    </c:manualLayout>
                  </c15:layout>
                </c:ext>
                <c:ext xmlns:c16="http://schemas.microsoft.com/office/drawing/2014/chart" uri="{C3380CC4-5D6E-409C-BE32-E72D297353CC}">
                  <c16:uniqueId val="{00000003-3414-4915-92CC-A12DFFE02F54}"/>
                </c:ext>
              </c:extLst>
            </c:dLbl>
            <c:dLbl>
              <c:idx val="10"/>
              <c:layout>
                <c:manualLayout>
                  <c:x val="-0.13780696939048692"/>
                  <c:y val="-3.10757504466171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14-4915-92CC-A12DFFE02F54}"/>
                </c:ext>
              </c:extLst>
            </c:dLbl>
            <c:spPr>
              <a:noFill/>
              <a:ln>
                <a:noFill/>
              </a:ln>
              <a:effectLst/>
            </c:spPr>
            <c:txPr>
              <a:bodyPr rot="0" spcFirstLastPara="1" vertOverflow="ellipsis" vert="horz" wrap="non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rgbClr val="FFC000"/>
                      </a:solidFill>
                    </a:ln>
                    <a:effectLst/>
                  </c:spPr>
                </c15:leaderLines>
              </c:ext>
            </c:extLst>
          </c:dLbls>
          <c:cat>
            <c:numRef>
              <c:f>q9_13_16_27_28_39_40_E_Fig!$AT$3:$BD$3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q9_13_16_27_28_39_40_E_Fig!$AT$5:$BD$5</c:f>
              <c:numCache>
                <c:formatCode>#,##0</c:formatCode>
                <c:ptCount val="11"/>
                <c:pt idx="0">
                  <c:v>110391</c:v>
                </c:pt>
                <c:pt idx="1">
                  <c:v>116011</c:v>
                </c:pt>
                <c:pt idx="2">
                  <c:v>127236</c:v>
                </c:pt>
                <c:pt idx="3">
                  <c:v>140295</c:v>
                </c:pt>
                <c:pt idx="4">
                  <c:v>169295</c:v>
                </c:pt>
                <c:pt idx="5">
                  <c:v>210583</c:v>
                </c:pt>
                <c:pt idx="6">
                  <c:v>217761</c:v>
                </c:pt>
                <c:pt idx="7">
                  <c:v>228523</c:v>
                </c:pt>
                <c:pt idx="8">
                  <c:v>322028</c:v>
                </c:pt>
                <c:pt idx="9">
                  <c:v>414783</c:v>
                </c:pt>
                <c:pt idx="10">
                  <c:v>509783</c:v>
                </c:pt>
              </c:numCache>
            </c:numRef>
          </c:val>
          <c:smooth val="0"/>
          <c:extLst>
            <c:ext xmlns:c16="http://schemas.microsoft.com/office/drawing/2014/chart" uri="{C3380CC4-5D6E-409C-BE32-E72D297353CC}">
              <c16:uniqueId val="{00000006-3414-4915-92CC-A12DFFE02F54}"/>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60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15773631"/>
        <c:crosses val="autoZero"/>
        <c:crossBetween val="between"/>
        <c:majorUnit val="100000"/>
      </c:valAx>
      <c:spPr>
        <a:noFill/>
        <a:ln>
          <a:noFill/>
        </a:ln>
        <a:effectLst/>
      </c:spPr>
    </c:plotArea>
    <c:legend>
      <c:legendPos val="b"/>
      <c:layout>
        <c:manualLayout>
          <c:xMode val="edge"/>
          <c:yMode val="edge"/>
          <c:x val="1.3975067550970277E-2"/>
          <c:y val="0.87446938131313134"/>
          <c:w val="0.64529402769504374"/>
          <c:h val="7.4781715189435743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1"/>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q9_13_16_27_28_39_40_E_Fig!$W$197</c:f>
              <c:strCache>
                <c:ptCount val="1"/>
                <c:pt idx="0">
                  <c:v>TCO</c:v>
                </c:pt>
              </c:strCache>
            </c:strRef>
          </c:tx>
          <c:spPr>
            <a:solidFill>
              <a:srgbClr val="4572A5"/>
            </a:solidFill>
            <a:ln>
              <a:noFill/>
            </a:ln>
            <a:effectLst/>
          </c:spPr>
          <c:invertIfNegative val="0"/>
          <c:dLbls>
            <c:spPr>
              <a:noFill/>
              <a:ln>
                <a:noFill/>
              </a:ln>
              <a:effectLst/>
            </c:spPr>
            <c:txPr>
              <a:bodyPr rot="0" spcFirstLastPara="1" vertOverflow="ellipsis" horzOverflow="clip"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q9_13_16_27_28_39_40_E_Fig!$V$198:$V$202</c15:sqref>
                  </c15:fullRef>
                </c:ext>
              </c:extLst>
              <c:f>q9_13_16_27_28_39_40_E_Fig!$V$198</c:f>
              <c:strCache>
                <c:ptCount val="1"/>
                <c:pt idx="0">
                  <c:v>Norte</c:v>
                </c:pt>
              </c:strCache>
            </c:strRef>
          </c:cat>
          <c:val>
            <c:numRef>
              <c:extLst>
                <c:ext xmlns:c15="http://schemas.microsoft.com/office/drawing/2012/chart" uri="{02D57815-91ED-43cb-92C2-25804820EDAC}">
                  <c15:fullRef>
                    <c15:sqref>q9_13_16_27_28_39_40_E_Fig!$W$198:$W$202</c15:sqref>
                  </c15:fullRef>
                </c:ext>
              </c:extLst>
              <c:f>q9_13_16_27_28_39_40_E_Fig!$W$198</c:f>
              <c:numCache>
                <c:formatCode>#,##0</c:formatCode>
                <c:ptCount val="1"/>
                <c:pt idx="0">
                  <c:v>108225.99999999999</c:v>
                </c:pt>
              </c:numCache>
            </c:numRef>
          </c:val>
          <c:extLst>
            <c:ext xmlns:c16="http://schemas.microsoft.com/office/drawing/2014/chart" uri="{C3380CC4-5D6E-409C-BE32-E72D297353CC}">
              <c16:uniqueId val="{00000000-233E-47B0-9761-F7DC4D1F5EFA}"/>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5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q9_13_16_27_28_39_40_E_Fig!$W$197</c:f>
              <c:strCache>
                <c:ptCount val="1"/>
                <c:pt idx="0">
                  <c:v>TCO</c:v>
                </c:pt>
              </c:strCache>
            </c:strRef>
          </c:tx>
          <c:spPr>
            <a:solidFill>
              <a:srgbClr val="4572A5"/>
            </a:solidFill>
            <a:ln>
              <a:noFill/>
            </a:ln>
            <a:effectLst/>
          </c:spPr>
          <c:invertIfNegative val="0"/>
          <c:dLbls>
            <c:spPr>
              <a:noFill/>
              <a:ln>
                <a:noFill/>
              </a:ln>
              <a:effectLst/>
            </c:spPr>
            <c:txPr>
              <a:bodyPr rot="0" spcFirstLastPara="1" vertOverflow="ellipsis" horzOverflow="clip"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q9_13_16_27_28_39_40_E_Fig!$V$198:$V$202</c15:sqref>
                  </c15:fullRef>
                </c:ext>
              </c:extLst>
              <c:f>q9_13_16_27_28_39_40_E_Fig!$V$199</c:f>
              <c:strCache>
                <c:ptCount val="1"/>
                <c:pt idx="0">
                  <c:v>Centro</c:v>
                </c:pt>
              </c:strCache>
            </c:strRef>
          </c:cat>
          <c:val>
            <c:numRef>
              <c:extLst>
                <c:ext xmlns:c15="http://schemas.microsoft.com/office/drawing/2012/chart" uri="{02D57815-91ED-43cb-92C2-25804820EDAC}">
                  <c15:fullRef>
                    <c15:sqref>q9_13_16_27_28_39_40_E_Fig!$W$198:$W$202</c15:sqref>
                  </c15:fullRef>
                </c:ext>
              </c:extLst>
              <c:f>q9_13_16_27_28_39_40_E_Fig!$W$199</c:f>
              <c:numCache>
                <c:formatCode>#,##0</c:formatCode>
                <c:ptCount val="1"/>
                <c:pt idx="0">
                  <c:v>82788.000000000015</c:v>
                </c:pt>
              </c:numCache>
            </c:numRef>
          </c:val>
          <c:extLst>
            <c:ext xmlns:c16="http://schemas.microsoft.com/office/drawing/2014/chart" uri="{C3380CC4-5D6E-409C-BE32-E72D297353CC}">
              <c16:uniqueId val="{00000000-711A-4763-8BB5-90056CA7DEF0}"/>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5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q9_13_16_27_28_39_40_E_Fig!$W$197</c:f>
              <c:strCache>
                <c:ptCount val="1"/>
                <c:pt idx="0">
                  <c:v>TCO</c:v>
                </c:pt>
              </c:strCache>
            </c:strRef>
          </c:tx>
          <c:spPr>
            <a:solidFill>
              <a:srgbClr val="4572A5"/>
            </a:solidFill>
            <a:ln>
              <a:noFill/>
            </a:ln>
            <a:effectLst/>
          </c:spPr>
          <c:invertIfNegative val="0"/>
          <c:dLbls>
            <c:spPr>
              <a:noFill/>
              <a:ln>
                <a:noFill/>
              </a:ln>
              <a:effectLst/>
            </c:spPr>
            <c:txPr>
              <a:bodyPr rot="0" spcFirstLastPara="1" vertOverflow="ellipsis" horzOverflow="clip" vert="horz" wrap="non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q9_13_16_27_28_39_40_E_Fig!$V$198:$V$202</c15:sqref>
                  </c15:fullRef>
                </c:ext>
              </c:extLst>
              <c:f>q9_13_16_27_28_39_40_E_Fig!$V$200</c:f>
              <c:strCache>
                <c:ptCount val="1"/>
                <c:pt idx="0">
                  <c:v>Área Metropolitana de Lisboa</c:v>
                </c:pt>
              </c:strCache>
            </c:strRef>
          </c:cat>
          <c:val>
            <c:numRef>
              <c:extLst>
                <c:ext xmlns:c15="http://schemas.microsoft.com/office/drawing/2012/chart" uri="{02D57815-91ED-43cb-92C2-25804820EDAC}">
                  <c15:fullRef>
                    <c15:sqref>q9_13_16_27_28_39_40_E_Fig!$W$198:$W$202</c15:sqref>
                  </c15:fullRef>
                </c:ext>
              </c:extLst>
              <c:f>q9_13_16_27_28_39_40_E_Fig!$W$200</c:f>
              <c:numCache>
                <c:formatCode>#,##0</c:formatCode>
                <c:ptCount val="1"/>
                <c:pt idx="0">
                  <c:v>225406.00000000003</c:v>
                </c:pt>
              </c:numCache>
            </c:numRef>
          </c:val>
          <c:extLst>
            <c:ext xmlns:c16="http://schemas.microsoft.com/office/drawing/2014/chart" uri="{C3380CC4-5D6E-409C-BE32-E72D297353CC}">
              <c16:uniqueId val="{00000000-0955-4A9F-9B7A-5A19F8B3A127}"/>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5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q9_13_16_27_28_39_40_E_Fig!$W$197</c:f>
              <c:strCache>
                <c:ptCount val="1"/>
                <c:pt idx="0">
                  <c:v>TCO</c:v>
                </c:pt>
              </c:strCache>
            </c:strRef>
          </c:tx>
          <c:spPr>
            <a:solidFill>
              <a:srgbClr val="4572A5"/>
            </a:solidFill>
            <a:ln>
              <a:noFill/>
            </a:ln>
            <a:effectLst/>
          </c:spPr>
          <c:invertIfNegative val="0"/>
          <c:dLbls>
            <c:spPr>
              <a:noFill/>
              <a:ln>
                <a:noFill/>
              </a:ln>
              <a:effectLst/>
            </c:spPr>
            <c:txPr>
              <a:bodyPr rot="0" spcFirstLastPara="1" vertOverflow="ellipsis" horzOverflow="clip"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q9_13_16_27_28_39_40_E_Fig!$V$198:$V$202</c15:sqref>
                  </c15:fullRef>
                </c:ext>
              </c:extLst>
              <c:f>q9_13_16_27_28_39_40_E_Fig!$V$201</c:f>
              <c:strCache>
                <c:ptCount val="1"/>
                <c:pt idx="0">
                  <c:v>Alentejo</c:v>
                </c:pt>
              </c:strCache>
            </c:strRef>
          </c:cat>
          <c:val>
            <c:numRef>
              <c:extLst>
                <c:ext xmlns:c15="http://schemas.microsoft.com/office/drawing/2012/chart" uri="{02D57815-91ED-43cb-92C2-25804820EDAC}">
                  <c15:fullRef>
                    <c15:sqref>q9_13_16_27_28_39_40_E_Fig!$W$198:$W$202</c15:sqref>
                  </c15:fullRef>
                </c:ext>
              </c:extLst>
              <c:f>q9_13_16_27_28_39_40_E_Fig!$W$201</c:f>
              <c:numCache>
                <c:formatCode>#,##0</c:formatCode>
                <c:ptCount val="1"/>
                <c:pt idx="0">
                  <c:v>41198.999999999993</c:v>
                </c:pt>
              </c:numCache>
            </c:numRef>
          </c:val>
          <c:extLst>
            <c:ext xmlns:c16="http://schemas.microsoft.com/office/drawing/2014/chart" uri="{C3380CC4-5D6E-409C-BE32-E72D297353CC}">
              <c16:uniqueId val="{00000000-4E0A-41B9-B453-61DEBD899809}"/>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5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q9_13_16_27_28_39_40_E_Fig!$W$197</c:f>
              <c:strCache>
                <c:ptCount val="1"/>
                <c:pt idx="0">
                  <c:v>TCO</c:v>
                </c:pt>
              </c:strCache>
            </c:strRef>
          </c:tx>
          <c:spPr>
            <a:solidFill>
              <a:srgbClr val="4572A5"/>
            </a:solidFill>
            <a:ln>
              <a:noFill/>
            </a:ln>
            <a:effectLst/>
          </c:spPr>
          <c:invertIfNegative val="0"/>
          <c:dLbls>
            <c:spPr>
              <a:noFill/>
              <a:ln>
                <a:noFill/>
              </a:ln>
              <a:effectLst/>
            </c:spPr>
            <c:txPr>
              <a:bodyPr rot="0" spcFirstLastPara="1" vertOverflow="ellipsis" horzOverflow="clip"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q9_13_16_27_28_39_40_E_Fig!$V$198:$V$202</c15:sqref>
                  </c15:fullRef>
                </c:ext>
              </c:extLst>
              <c:f>q9_13_16_27_28_39_40_E_Fig!$V$202</c:f>
              <c:strCache>
                <c:ptCount val="1"/>
                <c:pt idx="0">
                  <c:v>Algarve</c:v>
                </c:pt>
              </c:strCache>
            </c:strRef>
          </c:cat>
          <c:val>
            <c:numRef>
              <c:extLst>
                <c:ext xmlns:c15="http://schemas.microsoft.com/office/drawing/2012/chart" uri="{02D57815-91ED-43cb-92C2-25804820EDAC}">
                  <c15:fullRef>
                    <c15:sqref>q9_13_16_27_28_39_40_E_Fig!$W$198:$W$202</c15:sqref>
                  </c15:fullRef>
                </c:ext>
              </c:extLst>
              <c:f>q9_13_16_27_28_39_40_E_Fig!$W$202</c:f>
              <c:numCache>
                <c:formatCode>#,##0</c:formatCode>
                <c:ptCount val="1"/>
                <c:pt idx="0">
                  <c:v>52164.000000000007</c:v>
                </c:pt>
              </c:numCache>
            </c:numRef>
          </c:val>
          <c:extLst>
            <c:ext xmlns:c16="http://schemas.microsoft.com/office/drawing/2014/chart" uri="{C3380CC4-5D6E-409C-BE32-E72D297353CC}">
              <c16:uniqueId val="{00000000-907A-4875-9714-1EBD29716D3C}"/>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5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4079071908493499"/>
          <c:y val="3.567815386713024E-2"/>
          <c:w val="0.5148606616425655"/>
          <c:h val="0.92049561986569861"/>
        </c:manualLayout>
      </c:layout>
      <c:barChart>
        <c:barDir val="bar"/>
        <c:grouping val="clustered"/>
        <c:varyColors val="0"/>
        <c:ser>
          <c:idx val="0"/>
          <c:order val="0"/>
          <c:tx>
            <c:strRef>
              <c:f>q9_13_16_27_28_39_40_E_Fig!$X$167</c:f>
              <c:strCache>
                <c:ptCount val="1"/>
                <c:pt idx="0">
                  <c:v>TCO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q9_13_16_27_28_39_40_E_Fig!$W$168:$W$190</c:f>
              <c:strCache>
                <c:ptCount val="23"/>
                <c:pt idx="0">
                  <c:v>Alto Minho</c:v>
                </c:pt>
                <c:pt idx="1">
                  <c:v>Cávado</c:v>
                </c:pt>
                <c:pt idx="2">
                  <c:v>Ave</c:v>
                </c:pt>
                <c:pt idx="3">
                  <c:v>Área Metropolitana do Porto</c:v>
                </c:pt>
                <c:pt idx="4">
                  <c:v>Alto Tâmega</c:v>
                </c:pt>
                <c:pt idx="5">
                  <c:v>Tâmega e Sousa</c:v>
                </c:pt>
                <c:pt idx="6">
                  <c:v>Douro</c:v>
                </c:pt>
                <c:pt idx="7">
                  <c:v>Terras de Trás-os-Montes</c:v>
                </c:pt>
                <c:pt idx="8">
                  <c:v>Oeste</c:v>
                </c:pt>
                <c:pt idx="9">
                  <c:v>Região de Aveiro</c:v>
                </c:pt>
                <c:pt idx="10">
                  <c:v>Região de Coimbra</c:v>
                </c:pt>
                <c:pt idx="11">
                  <c:v>Região de Leiria</c:v>
                </c:pt>
                <c:pt idx="12">
                  <c:v>Viseu Dão Lafões</c:v>
                </c:pt>
                <c:pt idx="13">
                  <c:v>Beira Baixa</c:v>
                </c:pt>
                <c:pt idx="14">
                  <c:v>Médio Tejo</c:v>
                </c:pt>
                <c:pt idx="15">
                  <c:v>Beiras e Serra da Estrela</c:v>
                </c:pt>
                <c:pt idx="16">
                  <c:v>Área Metropolitana de Lisboa</c:v>
                </c:pt>
                <c:pt idx="17">
                  <c:v>Alentejo Litoral</c:v>
                </c:pt>
                <c:pt idx="18">
                  <c:v>Baixo Alentejo</c:v>
                </c:pt>
                <c:pt idx="19">
                  <c:v>Lezíria do Tejo</c:v>
                </c:pt>
                <c:pt idx="20">
                  <c:v>Alto Alentejo</c:v>
                </c:pt>
                <c:pt idx="21">
                  <c:v>Alentejo Central</c:v>
                </c:pt>
                <c:pt idx="22">
                  <c:v>Algarve</c:v>
                </c:pt>
              </c:strCache>
            </c:strRef>
          </c:cat>
          <c:val>
            <c:numRef>
              <c:f>q9_13_16_27_28_39_40_E_Fig!$X$168:$X$190</c:f>
              <c:numCache>
                <c:formatCode>#,##0</c:formatCode>
                <c:ptCount val="23"/>
                <c:pt idx="0">
                  <c:v>8918</c:v>
                </c:pt>
                <c:pt idx="1">
                  <c:v>16614.999999999996</c:v>
                </c:pt>
                <c:pt idx="2">
                  <c:v>8530</c:v>
                </c:pt>
                <c:pt idx="3">
                  <c:v>59436</c:v>
                </c:pt>
                <c:pt idx="4">
                  <c:v>1000.9999999999999</c:v>
                </c:pt>
                <c:pt idx="5">
                  <c:v>8817</c:v>
                </c:pt>
                <c:pt idx="6">
                  <c:v>3321.0000000000005</c:v>
                </c:pt>
                <c:pt idx="7">
                  <c:v>1588</c:v>
                </c:pt>
                <c:pt idx="8">
                  <c:v>18310</c:v>
                </c:pt>
                <c:pt idx="9">
                  <c:v>16595</c:v>
                </c:pt>
                <c:pt idx="10">
                  <c:v>12388</c:v>
                </c:pt>
                <c:pt idx="11">
                  <c:v>15258</c:v>
                </c:pt>
                <c:pt idx="12">
                  <c:v>6921</c:v>
                </c:pt>
                <c:pt idx="13">
                  <c:v>2305</c:v>
                </c:pt>
                <c:pt idx="14">
                  <c:v>7214</c:v>
                </c:pt>
                <c:pt idx="15">
                  <c:v>3797</c:v>
                </c:pt>
                <c:pt idx="16">
                  <c:v>225406.00000000003</c:v>
                </c:pt>
                <c:pt idx="17">
                  <c:v>13062</c:v>
                </c:pt>
                <c:pt idx="18">
                  <c:v>5654.0000000000009</c:v>
                </c:pt>
                <c:pt idx="19">
                  <c:v>15731</c:v>
                </c:pt>
                <c:pt idx="20">
                  <c:v>1982</c:v>
                </c:pt>
                <c:pt idx="21">
                  <c:v>4770</c:v>
                </c:pt>
                <c:pt idx="22">
                  <c:v>52164.000000000007</c:v>
                </c:pt>
              </c:numCache>
            </c:numRef>
          </c:val>
          <c:extLst>
            <c:ext xmlns:c16="http://schemas.microsoft.com/office/drawing/2014/chart" uri="{C3380CC4-5D6E-409C-BE32-E72D297353CC}">
              <c16:uniqueId val="{00000000-DE56-4F6C-9B02-9CC6F96071A2}"/>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1213051209"/>
          <c:y val="0.8958285000206182"/>
          <c:w val="0.33981512399659702"/>
          <c:h val="7.6847968932930055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700"/>
      </a:pPr>
      <a:endParaRPr lang="pt-PT"/>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13893333333333333"/>
          <c:w val="0.564163817970042"/>
          <c:h val="0.78091002624671901"/>
        </c:manualLayout>
      </c:layout>
      <c:barChart>
        <c:barDir val="bar"/>
        <c:grouping val="clustered"/>
        <c:varyColors val="0"/>
        <c:ser>
          <c:idx val="0"/>
          <c:order val="0"/>
          <c:tx>
            <c:strRef>
              <c:f>q9_13_16_27_28_39_40_E_Fig!$S$250</c:f>
              <c:strCache>
                <c:ptCount val="1"/>
                <c:pt idx="0">
                  <c:v>Base </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0-99A7-4EC0-B6D8-F3097E3F2586}"/>
              </c:ext>
            </c:extLst>
          </c:dPt>
          <c:dPt>
            <c:idx val="1"/>
            <c:invertIfNegative val="0"/>
            <c:bubble3D val="0"/>
            <c:extLst>
              <c:ext xmlns:c16="http://schemas.microsoft.com/office/drawing/2014/chart" uri="{C3380CC4-5D6E-409C-BE32-E72D297353CC}">
                <c16:uniqueId val="{00000001-99A7-4EC0-B6D8-F3097E3F2586}"/>
              </c:ext>
            </c:extLst>
          </c:dPt>
          <c:dPt>
            <c:idx val="2"/>
            <c:invertIfNegative val="0"/>
            <c:bubble3D val="0"/>
            <c:extLst>
              <c:ext xmlns:c16="http://schemas.microsoft.com/office/drawing/2014/chart" uri="{C3380CC4-5D6E-409C-BE32-E72D297353CC}">
                <c16:uniqueId val="{00000002-99A7-4EC0-B6D8-F3097E3F2586}"/>
              </c:ext>
            </c:extLst>
          </c:dPt>
          <c:dPt>
            <c:idx val="3"/>
            <c:invertIfNegative val="0"/>
            <c:bubble3D val="0"/>
            <c:extLst>
              <c:ext xmlns:c16="http://schemas.microsoft.com/office/drawing/2014/chart" uri="{C3380CC4-5D6E-409C-BE32-E72D297353CC}">
                <c16:uniqueId val="{00000003-99A7-4EC0-B6D8-F3097E3F2586}"/>
              </c:ext>
            </c:extLst>
          </c:dPt>
          <c:dPt>
            <c:idx val="4"/>
            <c:invertIfNegative val="0"/>
            <c:bubble3D val="0"/>
            <c:extLst>
              <c:ext xmlns:c16="http://schemas.microsoft.com/office/drawing/2014/chart" uri="{C3380CC4-5D6E-409C-BE32-E72D297353CC}">
                <c16:uniqueId val="{00000004-99A7-4EC0-B6D8-F3097E3F2586}"/>
              </c:ext>
            </c:extLst>
          </c:dPt>
          <c:dLbls>
            <c:numFmt formatCode="#,##0.00\ &quot;€&quot;" sourceLinked="0"/>
            <c:spPr>
              <a:noFill/>
              <a:ln>
                <a:noFill/>
              </a:ln>
              <a:effectLst/>
            </c:spPr>
            <c:txPr>
              <a:bodyPr wrap="none" lIns="38100" tIns="19050" rIns="38100" bIns="19050" anchor="ctr">
                <a:spAutoFit/>
              </a:bodyPr>
              <a:lstStyle/>
              <a:p>
                <a:pPr>
                  <a:defRPr sz="700" b="1">
                    <a:solidFill>
                      <a:schemeClr val="tx1"/>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q9_13_16_27_28_39_40_E_Fig!$T$249:$AB$249</c15:sqref>
                  </c15:fullRef>
                </c:ext>
              </c:extLst>
              <c:f>q9_13_16_27_28_39_40_E_Fig!$U$249:$AB$249</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extLst>
                <c:ext xmlns:c15="http://schemas.microsoft.com/office/drawing/2012/chart" uri="{02D57815-91ED-43cb-92C2-25804820EDAC}">
                  <c15:fullRef>
                    <c15:sqref>q9_13_16_27_28_39_40_E_Fig!$T$250:$AB$250</c15:sqref>
                  </c15:fullRef>
                </c:ext>
              </c:extLst>
              <c:f>q9_13_16_27_28_39_40_E_Fig!$U$250:$AB$250</c:f>
              <c:numCache>
                <c:formatCode>#,##0.00\ "€"</c:formatCode>
                <c:ptCount val="8"/>
                <c:pt idx="0">
                  <c:v>3338.86</c:v>
                </c:pt>
                <c:pt idx="1">
                  <c:v>2106.92</c:v>
                </c:pt>
                <c:pt idx="2">
                  <c:v>1976.21</c:v>
                </c:pt>
                <c:pt idx="3">
                  <c:v>1809.22</c:v>
                </c:pt>
                <c:pt idx="4">
                  <c:v>985.49</c:v>
                </c:pt>
                <c:pt idx="5">
                  <c:v>879.94</c:v>
                </c:pt>
                <c:pt idx="6">
                  <c:v>844.25</c:v>
                </c:pt>
                <c:pt idx="7">
                  <c:v>850.36</c:v>
                </c:pt>
              </c:numCache>
            </c:numRef>
          </c:val>
          <c:extLst>
            <c:ext xmlns:c16="http://schemas.microsoft.com/office/drawing/2014/chart" uri="{C3380CC4-5D6E-409C-BE32-E72D297353CC}">
              <c16:uniqueId val="{00000005-99A7-4EC0-B6D8-F3097E3F2586}"/>
            </c:ext>
          </c:extLst>
        </c:ser>
        <c:ser>
          <c:idx val="1"/>
          <c:order val="1"/>
          <c:tx>
            <c:strRef>
              <c:f>q9_13_16_27_28_39_40_E_Fig!$S$251</c:f>
              <c:strCache>
                <c:ptCount val="1"/>
                <c:pt idx="0">
                  <c:v>Ganho</c:v>
                </c:pt>
              </c:strCache>
            </c:strRef>
          </c:tx>
          <c:spPr>
            <a:solidFill>
              <a:srgbClr val="FFC000"/>
            </a:solidFill>
            <a:ln w="19050">
              <a:solidFill>
                <a:schemeClr val="lt1"/>
              </a:solidFill>
            </a:ln>
            <a:effectLst/>
          </c:spPr>
          <c:invertIfNegative val="0"/>
          <c:dLbls>
            <c:numFmt formatCode="#,##0.00\ &quot;€&quot;" sourceLinked="0"/>
            <c:spPr>
              <a:noFill/>
              <a:ln>
                <a:noFill/>
              </a:ln>
              <a:effectLst/>
            </c:spPr>
            <c:txPr>
              <a:bodyPr wrap="none" lIns="38100" tIns="19050" rIns="38100" bIns="19050" anchor="ctr">
                <a:spAutoFit/>
              </a:bodyPr>
              <a:lstStyle/>
              <a:p>
                <a:pPr>
                  <a:defRPr sz="700"/>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q9_13_16_27_28_39_40_E_Fig!$T$249:$AB$249</c15:sqref>
                  </c15:fullRef>
                </c:ext>
              </c:extLst>
              <c:f>q9_13_16_27_28_39_40_E_Fig!$U$249:$AB$249</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extLst>
                <c:ext xmlns:c15="http://schemas.microsoft.com/office/drawing/2012/chart" uri="{02D57815-91ED-43cb-92C2-25804820EDAC}">
                  <c15:fullRef>
                    <c15:sqref>q9_13_16_27_28_39_40_E_Fig!$T$251:$AB$251</c15:sqref>
                  </c15:fullRef>
                </c:ext>
              </c:extLst>
              <c:f>q9_13_16_27_28_39_40_E_Fig!$U$251:$AB$251</c:f>
              <c:numCache>
                <c:formatCode>#,##0.00\ "€"</c:formatCode>
                <c:ptCount val="8"/>
                <c:pt idx="0">
                  <c:v>3824.49</c:v>
                </c:pt>
                <c:pt idx="1">
                  <c:v>2446.27</c:v>
                </c:pt>
                <c:pt idx="2">
                  <c:v>2304.77</c:v>
                </c:pt>
                <c:pt idx="3">
                  <c:v>2088.37</c:v>
                </c:pt>
                <c:pt idx="4">
                  <c:v>1202.1600000000001</c:v>
                </c:pt>
                <c:pt idx="5">
                  <c:v>1065.8699999999999</c:v>
                </c:pt>
                <c:pt idx="6">
                  <c:v>1005.17</c:v>
                </c:pt>
                <c:pt idx="7">
                  <c:v>999.06</c:v>
                </c:pt>
              </c:numCache>
            </c:numRef>
          </c:val>
          <c:extLst>
            <c:ext xmlns:c16="http://schemas.microsoft.com/office/drawing/2014/chart" uri="{C3380CC4-5D6E-409C-BE32-E72D297353CC}">
              <c16:uniqueId val="{00000006-99A7-4EC0-B6D8-F3097E3F2586}"/>
            </c:ext>
          </c:extLst>
        </c:ser>
        <c:dLbls>
          <c:showLegendKey val="0"/>
          <c:showVal val="0"/>
          <c:showCatName val="0"/>
          <c:showSerName val="0"/>
          <c:showPercent val="0"/>
          <c:showBubbleSize val="0"/>
        </c:dLbls>
        <c:gapWidth val="42"/>
        <c:axId val="891633855"/>
        <c:axId val="1319480015"/>
      </c:barChart>
      <c:valAx>
        <c:axId val="1319480015"/>
        <c:scaling>
          <c:orientation val="minMax"/>
          <c:max val="4000"/>
          <c:min val="0"/>
        </c:scaling>
        <c:delete val="1"/>
        <c:axPos val="t"/>
        <c:numFmt formatCode="#,##0.00\ &quot;€&quot;" sourceLinked="1"/>
        <c:majorTickMark val="out"/>
        <c:minorTickMark val="none"/>
        <c:tickLblPos val="nextTo"/>
        <c:crossAx val="891633855"/>
        <c:crosses val="autoZero"/>
        <c:crossBetween val="between"/>
        <c:majorUnit val="500"/>
      </c:valAx>
      <c:catAx>
        <c:axId val="89163385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022566875875509"/>
          <c:y val="3.2000000000000001E-2"/>
          <c:w val="0.26686175496572434"/>
          <c:h val="7.711706036745406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67446682230048"/>
          <c:y val="0.22899703122140164"/>
          <c:w val="0.76325533177699523"/>
          <c:h val="0.77100296877859842"/>
        </c:manualLayout>
      </c:layout>
      <c:barChart>
        <c:barDir val="bar"/>
        <c:grouping val="clustered"/>
        <c:varyColors val="0"/>
        <c:ser>
          <c:idx val="0"/>
          <c:order val="0"/>
          <c:tx>
            <c:strRef>
              <c:f>q9_13_16_27_28_39_40_E_Fig!$T$238</c:f>
              <c:strCache>
                <c:ptCount val="1"/>
                <c:pt idx="0">
                  <c:v>Base - H</c:v>
                </c:pt>
              </c:strCache>
            </c:strRef>
          </c:tx>
          <c:spPr>
            <a:solidFill>
              <a:srgbClr val="4F81BD"/>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q9_13_16_27_28_39_40_E_Fig!$S$239:$S$246</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q9_13_16_27_28_39_40_E_Fig!$T$239:$T$246</c:f>
              <c:numCache>
                <c:formatCode>#,##0.00\ "€"</c:formatCode>
                <c:ptCount val="8"/>
                <c:pt idx="0">
                  <c:v>-3670.58</c:v>
                </c:pt>
                <c:pt idx="1">
                  <c:v>-2239.0700000000002</c:v>
                </c:pt>
                <c:pt idx="2">
                  <c:v>-2008.05</c:v>
                </c:pt>
                <c:pt idx="3">
                  <c:v>-2180.5300000000002</c:v>
                </c:pt>
                <c:pt idx="4">
                  <c:v>-991.02</c:v>
                </c:pt>
                <c:pt idx="5">
                  <c:v>-891.09</c:v>
                </c:pt>
                <c:pt idx="6">
                  <c:v>-849.19</c:v>
                </c:pt>
                <c:pt idx="7">
                  <c:v>-852.66</c:v>
                </c:pt>
              </c:numCache>
            </c:numRef>
          </c:val>
          <c:extLst>
            <c:ext xmlns:c16="http://schemas.microsoft.com/office/drawing/2014/chart" uri="{C3380CC4-5D6E-409C-BE32-E72D297353CC}">
              <c16:uniqueId val="{00000000-3CEB-4536-86DD-9D6F4736F48B}"/>
            </c:ext>
          </c:extLst>
        </c:ser>
        <c:ser>
          <c:idx val="1"/>
          <c:order val="1"/>
          <c:tx>
            <c:strRef>
              <c:f>q9_13_16_27_28_39_40_E_Fig!$U$238</c:f>
              <c:strCache>
                <c:ptCount val="1"/>
                <c:pt idx="0">
                  <c:v>Ganho - H</c:v>
                </c:pt>
              </c:strCache>
            </c:strRef>
          </c:tx>
          <c:spPr>
            <a:solidFill>
              <a:srgbClr val="FFC000"/>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q9_13_16_27_28_39_40_E_Fig!$S$239:$S$246</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q9_13_16_27_28_39_40_E_Fig!$U$239:$U$246</c:f>
              <c:numCache>
                <c:formatCode>#,##0.00\ "€"</c:formatCode>
                <c:ptCount val="8"/>
                <c:pt idx="0">
                  <c:v>-4178.83</c:v>
                </c:pt>
                <c:pt idx="1">
                  <c:v>-2598.15</c:v>
                </c:pt>
                <c:pt idx="2">
                  <c:v>-2363.9</c:v>
                </c:pt>
                <c:pt idx="3">
                  <c:v>-2497.88</c:v>
                </c:pt>
                <c:pt idx="4">
                  <c:v>-1226.06</c:v>
                </c:pt>
                <c:pt idx="5">
                  <c:v>-1093.5999999999999</c:v>
                </c:pt>
                <c:pt idx="6">
                  <c:v>-1023.89</c:v>
                </c:pt>
                <c:pt idx="7">
                  <c:v>-1011.47</c:v>
                </c:pt>
              </c:numCache>
            </c:numRef>
          </c:val>
          <c:extLst>
            <c:ext xmlns:c16="http://schemas.microsoft.com/office/drawing/2014/chart" uri="{C3380CC4-5D6E-409C-BE32-E72D297353CC}">
              <c16:uniqueId val="{00000001-3CEB-4536-86DD-9D6F4736F48B}"/>
            </c:ext>
          </c:extLst>
        </c:ser>
        <c:dLbls>
          <c:showLegendKey val="0"/>
          <c:showVal val="0"/>
          <c:showCatName val="0"/>
          <c:showSerName val="0"/>
          <c:showPercent val="0"/>
          <c:showBubbleSize val="0"/>
        </c:dLbls>
        <c:gapWidth val="42"/>
        <c:axId val="1261817855"/>
        <c:axId val="267587263"/>
      </c:barChart>
      <c:barChart>
        <c:barDir val="bar"/>
        <c:grouping val="clustered"/>
        <c:varyColors val="0"/>
        <c:ser>
          <c:idx val="2"/>
          <c:order val="2"/>
          <c:tx>
            <c:strRef>
              <c:f>q9_13_16_27_28_39_40_E_Fig!$V$238</c:f>
              <c:strCache>
                <c:ptCount val="1"/>
                <c:pt idx="0">
                  <c:v>Base - M</c:v>
                </c:pt>
              </c:strCache>
            </c:strRef>
          </c:tx>
          <c:spPr>
            <a:solidFill>
              <a:srgbClr val="95B3D7"/>
            </a:solidFill>
          </c:spPr>
          <c:invertIfNegative val="0"/>
          <c:dLbls>
            <c:spPr>
              <a:noFill/>
              <a:ln>
                <a:noFill/>
              </a:ln>
              <a:effectLst/>
            </c:spPr>
            <c:txPr>
              <a:bodyPr wrap="none" lIns="38100" tIns="19050" rIns="38100" bIns="19050" anchor="ctr">
                <a:spAutoFit/>
              </a:bodyPr>
              <a:lstStyle/>
              <a:p>
                <a:pPr>
                  <a:defRPr sz="700" b="0">
                    <a:solidFill>
                      <a:sysClr val="windowText" lastClr="000000"/>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q9_13_16_27_28_39_40_E_Fig!$S$239:$S$246</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q9_13_16_27_28_39_40_E_Fig!$V$239:$V$246</c:f>
              <c:numCache>
                <c:formatCode>#,##0.00\ "€"</c:formatCode>
                <c:ptCount val="8"/>
                <c:pt idx="0">
                  <c:v>2716.25</c:v>
                </c:pt>
                <c:pt idx="1">
                  <c:v>1899.64</c:v>
                </c:pt>
                <c:pt idx="2">
                  <c:v>1926.26</c:v>
                </c:pt>
                <c:pt idx="3">
                  <c:v>1258.3</c:v>
                </c:pt>
                <c:pt idx="4">
                  <c:v>973.58</c:v>
                </c:pt>
                <c:pt idx="5">
                  <c:v>865.85</c:v>
                </c:pt>
                <c:pt idx="6">
                  <c:v>835.52</c:v>
                </c:pt>
                <c:pt idx="7">
                  <c:v>846.31</c:v>
                </c:pt>
              </c:numCache>
            </c:numRef>
          </c:val>
          <c:extLst>
            <c:ext xmlns:c16="http://schemas.microsoft.com/office/drawing/2014/chart" uri="{C3380CC4-5D6E-409C-BE32-E72D297353CC}">
              <c16:uniqueId val="{00000002-3CEB-4536-86DD-9D6F4736F48B}"/>
            </c:ext>
          </c:extLst>
        </c:ser>
        <c:ser>
          <c:idx val="3"/>
          <c:order val="3"/>
          <c:tx>
            <c:strRef>
              <c:f>q9_13_16_27_28_39_40_E_Fig!$W$238</c:f>
              <c:strCache>
                <c:ptCount val="1"/>
                <c:pt idx="0">
                  <c:v>Ganho - M</c:v>
                </c:pt>
              </c:strCache>
            </c:strRef>
          </c:tx>
          <c:spPr>
            <a:solidFill>
              <a:srgbClr val="FFEF57"/>
            </a:solidFill>
          </c:spPr>
          <c:invertIfNegative val="0"/>
          <c:dLbls>
            <c:dLbl>
              <c:idx val="2"/>
              <c:spPr>
                <a:noFill/>
                <a:ln>
                  <a:noFill/>
                </a:ln>
                <a:effectLst/>
              </c:spPr>
              <c:txPr>
                <a:bodyPr wrap="none" lIns="38100" tIns="19050" rIns="38100" bIns="19050" anchor="ctr">
                  <a:no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3CEB-4536-86DD-9D6F4736F48B}"/>
                </c:ext>
              </c:extLst>
            </c:dLbl>
            <c:spPr>
              <a:noFill/>
              <a:ln>
                <a:noFill/>
              </a:ln>
              <a:effectLst/>
            </c:spPr>
            <c:txPr>
              <a:bodyPr wrap="none" lIns="38100" tIns="19050" rIns="38100" bIns="19050" anchor="ctr">
                <a:sp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q9_13_16_27_28_39_40_E_Fig!$S$239:$S$246</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q9_13_16_27_28_39_40_E_Fig!$W$239:$W$246</c:f>
              <c:numCache>
                <c:formatCode>#,##0.00\ "€"</c:formatCode>
                <c:ptCount val="8"/>
                <c:pt idx="0">
                  <c:v>3159.42</c:v>
                </c:pt>
                <c:pt idx="1">
                  <c:v>2208.0300000000002</c:v>
                </c:pt>
                <c:pt idx="2">
                  <c:v>2212.02</c:v>
                </c:pt>
                <c:pt idx="3">
                  <c:v>1480.77</c:v>
                </c:pt>
                <c:pt idx="4">
                  <c:v>1150.71</c:v>
                </c:pt>
                <c:pt idx="5">
                  <c:v>1030.8399999999999</c:v>
                </c:pt>
                <c:pt idx="6">
                  <c:v>972.11</c:v>
                </c:pt>
                <c:pt idx="7">
                  <c:v>977.21</c:v>
                </c:pt>
              </c:numCache>
            </c:numRef>
          </c:val>
          <c:extLst>
            <c:ext xmlns:c16="http://schemas.microsoft.com/office/drawing/2014/chart" uri="{C3380CC4-5D6E-409C-BE32-E72D297353CC}">
              <c16:uniqueId val="{00000004-3CEB-4536-86DD-9D6F4736F48B}"/>
            </c:ext>
          </c:extLst>
        </c:ser>
        <c:dLbls>
          <c:showLegendKey val="0"/>
          <c:showVal val="0"/>
          <c:showCatName val="0"/>
          <c:showSerName val="0"/>
          <c:showPercent val="0"/>
          <c:showBubbleSize val="0"/>
        </c:dLbls>
        <c:gapWidth val="42"/>
        <c:axId val="1450336976"/>
        <c:axId val="465148416"/>
      </c:barChart>
      <c:catAx>
        <c:axId val="1261817855"/>
        <c:scaling>
          <c:orientation val="maxMin"/>
        </c:scaling>
        <c:delete val="0"/>
        <c:axPos val="l"/>
        <c:majorGridlines>
          <c:spPr>
            <a:ln>
              <a:solidFill>
                <a:srgbClr val="D9D9D9"/>
              </a:solidFill>
            </a:ln>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scaling>
        <c:delete val="1"/>
        <c:axPos val="t"/>
        <c:numFmt formatCode="#,##0;#,##0" sourceLinked="0"/>
        <c:majorTickMark val="out"/>
        <c:minorTickMark val="none"/>
        <c:tickLblPos val="nextTo"/>
        <c:crossAx val="1261817855"/>
        <c:crosses val="autoZero"/>
        <c:crossBetween val="between"/>
        <c:majorUnit val="500"/>
      </c:valAx>
      <c:valAx>
        <c:axId val="465148416"/>
        <c:scaling>
          <c:orientation val="minMax"/>
        </c:scaling>
        <c:delete val="1"/>
        <c:axPos val="b"/>
        <c:numFmt formatCode="#,##0.00\ &quot;€&quot;" sourceLinked="1"/>
        <c:majorTickMark val="out"/>
        <c:minorTickMark val="none"/>
        <c:tickLblPos val="nextTo"/>
        <c:crossAx val="1450336976"/>
        <c:crosses val="max"/>
        <c:crossBetween val="between"/>
      </c:valAx>
      <c:catAx>
        <c:axId val="1450336976"/>
        <c:scaling>
          <c:orientation val="maxMin"/>
        </c:scaling>
        <c:delete val="1"/>
        <c:axPos val="r"/>
        <c:numFmt formatCode="General" sourceLinked="1"/>
        <c:majorTickMark val="out"/>
        <c:minorTickMark val="none"/>
        <c:tickLblPos val="nextTo"/>
        <c:crossAx val="465148416"/>
        <c:crosses val="max"/>
        <c:auto val="1"/>
        <c:lblAlgn val="ctr"/>
        <c:lblOffset val="100"/>
        <c:noMultiLvlLbl val="0"/>
      </c:catAx>
      <c:spPr>
        <a:noFill/>
        <a:ln>
          <a:noFill/>
        </a:ln>
        <a:effectLst/>
      </c:spPr>
    </c:plotArea>
    <c:legend>
      <c:legendPos val="t"/>
      <c:layout>
        <c:manualLayout>
          <c:xMode val="edge"/>
          <c:yMode val="edge"/>
          <c:x val="0.18002599047564213"/>
          <c:y val="4.1970662888849528E-2"/>
          <c:w val="0.72325983073291489"/>
          <c:h val="5.4940430513743782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345665328524363E-2"/>
          <c:y val="0.14696557342948274"/>
          <c:w val="0.46826480651678509"/>
          <c:h val="0.79171744577056835"/>
        </c:manualLayout>
      </c:layout>
      <c:barChart>
        <c:barDir val="bar"/>
        <c:grouping val="clustered"/>
        <c:varyColors val="0"/>
        <c:ser>
          <c:idx val="1"/>
          <c:order val="1"/>
          <c:tx>
            <c:strRef>
              <c:f>q9_13_16_27_28_39_40_E_Fig!$T$292</c:f>
              <c:strCache>
                <c:ptCount val="1"/>
                <c:pt idx="0">
                  <c:v>Base</c:v>
                </c:pt>
              </c:strCache>
            </c:strRef>
          </c:tx>
          <c:spPr>
            <a:solidFill>
              <a:srgbClr val="4F81BD"/>
            </a:solidFill>
            <a:ln w="19050">
              <a:solidFill>
                <a:schemeClr val="lt1"/>
              </a:solidFill>
            </a:ln>
            <a:effectLst/>
          </c:spPr>
          <c:invertIfNegative val="0"/>
          <c:dLbls>
            <c:numFmt formatCode="#,##0.00\ &quot;€&quot;" sourceLinked="0"/>
            <c:spPr>
              <a:noFill/>
              <a:ln>
                <a:noFill/>
              </a:ln>
              <a:effectLst/>
            </c:spPr>
            <c:txPr>
              <a:bodyPr rot="0" spcFirstLastPara="1" vertOverflow="ellipsis" vert="horz" wrap="none" lIns="38100" tIns="19050" rIns="38100" bIns="19050" anchor="ctr" anchorCtr="1">
                <a:spAutoFit/>
              </a:bodyPr>
              <a:lstStyle/>
              <a:p>
                <a:pPr>
                  <a:defRPr sz="700" b="0" i="0" u="none" strike="noStrike" kern="1200" baseline="0">
                    <a:solidFill>
                      <a:schemeClr val="tx1"/>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q9_13_16_27_28_39_40_E_Fig!$S$293:$S$302</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q9_13_16_27_28_39_40_E_Fig!$T$293:$T$302</c:f>
              <c:numCache>
                <c:formatCode>#,##0.00\ "€"</c:formatCode>
                <c:ptCount val="10"/>
                <c:pt idx="0">
                  <c:v>4063.23</c:v>
                </c:pt>
                <c:pt idx="1">
                  <c:v>2512.0500000000002</c:v>
                </c:pt>
                <c:pt idx="2">
                  <c:v>2042.99</c:v>
                </c:pt>
                <c:pt idx="3">
                  <c:v>1027.46</c:v>
                </c:pt>
                <c:pt idx="4">
                  <c:v>903.77</c:v>
                </c:pt>
                <c:pt idx="5">
                  <c:v>911.75</c:v>
                </c:pt>
                <c:pt idx="6">
                  <c:v>935.01</c:v>
                </c:pt>
                <c:pt idx="7">
                  <c:v>929.07</c:v>
                </c:pt>
                <c:pt idx="8">
                  <c:v>857.81</c:v>
                </c:pt>
                <c:pt idx="9">
                  <c:v>4145.2700000000004</c:v>
                </c:pt>
              </c:numCache>
            </c:numRef>
          </c:val>
          <c:extLst>
            <c:ext xmlns:c16="http://schemas.microsoft.com/office/drawing/2014/chart" uri="{C3380CC4-5D6E-409C-BE32-E72D297353CC}">
              <c16:uniqueId val="{00000000-EC6C-40C1-BE8A-419B4B723FA0}"/>
            </c:ext>
          </c:extLst>
        </c:ser>
        <c:ser>
          <c:idx val="2"/>
          <c:order val="2"/>
          <c:tx>
            <c:strRef>
              <c:f>q9_13_16_27_28_39_40_E_Fig!$U$292</c:f>
              <c:strCache>
                <c:ptCount val="1"/>
                <c:pt idx="0">
                  <c:v>Ganho</c:v>
                </c:pt>
              </c:strCache>
            </c:strRef>
          </c:tx>
          <c:spPr>
            <a:solidFill>
              <a:srgbClr val="FFC000"/>
            </a:solidFill>
            <a:ln>
              <a:solidFill>
                <a:sysClr val="window" lastClr="FFFFFF"/>
              </a:solidFill>
            </a:ln>
          </c:spPr>
          <c:invertIfNegative val="0"/>
          <c:dLbls>
            <c:numFmt formatCode="#,##0.00\ &quot;€&quot;" sourceLinked="0"/>
            <c:spPr>
              <a:noFill/>
              <a:ln>
                <a:noFill/>
              </a:ln>
              <a:effectLst/>
            </c:spPr>
            <c:txPr>
              <a:bodyPr wrap="square" lIns="38100" tIns="19050" rIns="38100" bIns="19050" anchor="ctr">
                <a:spAutoFit/>
              </a:bodyPr>
              <a:lstStyle/>
              <a:p>
                <a:pPr>
                  <a:defRPr sz="700" b="1"/>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q9_13_16_27_28_39_40_E_Fig!$S$293:$S$302</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q9_13_16_27_28_39_40_E_Fig!$U$293:$U$302</c:f>
              <c:numCache>
                <c:formatCode>#,##0.00\ "€"</c:formatCode>
                <c:ptCount val="10"/>
                <c:pt idx="0">
                  <c:v>4558.8100000000004</c:v>
                </c:pt>
                <c:pt idx="1">
                  <c:v>2902.03</c:v>
                </c:pt>
                <c:pt idx="2">
                  <c:v>2333.11</c:v>
                </c:pt>
                <c:pt idx="3">
                  <c:v>1262.76</c:v>
                </c:pt>
                <c:pt idx="4">
                  <c:v>1058.28</c:v>
                </c:pt>
                <c:pt idx="5">
                  <c:v>1052.21</c:v>
                </c:pt>
                <c:pt idx="6">
                  <c:v>1166.3900000000001</c:v>
                </c:pt>
                <c:pt idx="7">
                  <c:v>1259.9100000000001</c:v>
                </c:pt>
                <c:pt idx="8">
                  <c:v>1008.29</c:v>
                </c:pt>
                <c:pt idx="9">
                  <c:v>4623.66</c:v>
                </c:pt>
              </c:numCache>
            </c:numRef>
          </c:val>
          <c:extLst>
            <c:ext xmlns:c16="http://schemas.microsoft.com/office/drawing/2014/chart" uri="{C3380CC4-5D6E-409C-BE32-E72D297353CC}">
              <c16:uniqueId val="{00000001-EC6C-40C1-BE8A-419B4B723FA0}"/>
            </c:ext>
          </c:extLst>
        </c:ser>
        <c:dLbls>
          <c:showLegendKey val="0"/>
          <c:showVal val="0"/>
          <c:showCatName val="0"/>
          <c:showSerName val="0"/>
          <c:showPercent val="0"/>
          <c:showBubbleSize val="0"/>
        </c:dLbls>
        <c:gapWidth val="42"/>
        <c:axId val="891633855"/>
        <c:axId val="1319480015"/>
        <c:extLst>
          <c:ext xmlns:c15="http://schemas.microsoft.com/office/drawing/2012/chart" uri="{02D57815-91ED-43cb-92C2-25804820EDAC}">
            <c15:filteredBarSeries>
              <c15:ser>
                <c:idx val="0"/>
                <c:order val="0"/>
                <c:tx>
                  <c:strRef>
                    <c:extLst>
                      <c:ext uri="{02D57815-91ED-43cb-92C2-25804820EDAC}">
                        <c15:formulaRef>
                          <c15:sqref>q19_q28_q29_q40_Fig!$T$16</c15:sqref>
                        </c15:formulaRef>
                      </c:ext>
                    </c:extLst>
                    <c:strCache>
                      <c:ptCount val="1"/>
                      <c:pt idx="0">
                        <c:v>TCO</c:v>
                      </c:pt>
                    </c:strCache>
                  </c:strRef>
                </c:tx>
                <c:spPr>
                  <a:solidFill>
                    <a:srgbClr val="4F81BD"/>
                  </a:solidFill>
                  <a:ln w="19050">
                    <a:solidFill>
                      <a:schemeClr val="lt1"/>
                    </a:solidFill>
                  </a:ln>
                  <a:effectLst/>
                </c:spPr>
                <c:invertIfNegative val="0"/>
                <c:dPt>
                  <c:idx val="1"/>
                  <c:invertIfNegative val="0"/>
                  <c:bubble3D val="0"/>
                  <c:explosion val="2"/>
                  <c:extLst>
                    <c:ext xmlns:c16="http://schemas.microsoft.com/office/drawing/2014/chart" uri="{C3380CC4-5D6E-409C-BE32-E72D297353CC}">
                      <c16:uniqueId val="{00000002-EC6C-40C1-BE8A-419B4B723FA0}"/>
                    </c:ext>
                  </c:extLst>
                </c:dPt>
                <c:dPt>
                  <c:idx val="2"/>
                  <c:invertIfNegative val="0"/>
                  <c:bubble3D val="0"/>
                  <c:extLst>
                    <c:ext xmlns:c16="http://schemas.microsoft.com/office/drawing/2014/chart" uri="{C3380CC4-5D6E-409C-BE32-E72D297353CC}">
                      <c16:uniqueId val="{00000003-EC6C-40C1-BE8A-419B4B723FA0}"/>
                    </c:ext>
                  </c:extLst>
                </c:dPt>
                <c:dPt>
                  <c:idx val="3"/>
                  <c:invertIfNegative val="0"/>
                  <c:bubble3D val="0"/>
                  <c:extLst>
                    <c:ext xmlns:c16="http://schemas.microsoft.com/office/drawing/2014/chart" uri="{C3380CC4-5D6E-409C-BE32-E72D297353CC}">
                      <c16:uniqueId val="{00000004-EC6C-40C1-BE8A-419B4B723FA0}"/>
                    </c:ext>
                  </c:extLst>
                </c:dPt>
                <c:dPt>
                  <c:idx val="4"/>
                  <c:invertIfNegative val="0"/>
                  <c:bubble3D val="0"/>
                  <c:extLst>
                    <c:ext xmlns:c16="http://schemas.microsoft.com/office/drawing/2014/chart" uri="{C3380CC4-5D6E-409C-BE32-E72D297353CC}">
                      <c16:uniqueId val="{00000005-EC6C-40C1-BE8A-419B4B723FA0}"/>
                    </c:ext>
                  </c:extLst>
                </c:dPt>
                <c:dPt>
                  <c:idx val="5"/>
                  <c:invertIfNegative val="0"/>
                  <c:bubble3D val="0"/>
                  <c:extLst>
                    <c:ext xmlns:c16="http://schemas.microsoft.com/office/drawing/2014/chart" uri="{C3380CC4-5D6E-409C-BE32-E72D297353CC}">
                      <c16:uniqueId val="{00000006-EC6C-40C1-BE8A-419B4B723FA0}"/>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q9_13_16_27_28_39_40_E_Fig!$S$293:$S$302</c15:sqref>
                        </c15:formulaRef>
                      </c:ext>
                    </c:extLst>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extLst>
                      <c:ext uri="{02D57815-91ED-43cb-92C2-25804820EDAC}">
                        <c15:formulaRef>
                          <c15:sqref>q19_q28_q29_q40_Fig!$T$17:$T$27</c15:sqref>
                        </c15:formulaRef>
                      </c:ext>
                    </c:extLst>
                    <c:numCache>
                      <c:formatCode>#,##0</c:formatCode>
                      <c:ptCount val="11"/>
                      <c:pt idx="0">
                        <c:v>114787</c:v>
                      </c:pt>
                      <c:pt idx="1">
                        <c:v>441951</c:v>
                      </c:pt>
                      <c:pt idx="2">
                        <c:v>353603</c:v>
                      </c:pt>
                      <c:pt idx="3">
                        <c:v>435944</c:v>
                      </c:pt>
                      <c:pt idx="4">
                        <c:v>700751</c:v>
                      </c:pt>
                      <c:pt idx="5">
                        <c:v>36010</c:v>
                      </c:pt>
                      <c:pt idx="6">
                        <c:v>457922</c:v>
                      </c:pt>
                      <c:pt idx="7">
                        <c:v>323244</c:v>
                      </c:pt>
                      <c:pt idx="8">
                        <c:v>485614</c:v>
                      </c:pt>
                      <c:pt idx="9">
                        <c:v>4310</c:v>
                      </c:pt>
                      <c:pt idx="10">
                        <c:v>3354136</c:v>
                      </c:pt>
                    </c:numCache>
                  </c:numRef>
                </c:val>
                <c:extLst>
                  <c:ext xmlns:c16="http://schemas.microsoft.com/office/drawing/2014/chart" uri="{C3380CC4-5D6E-409C-BE32-E72D297353CC}">
                    <c16:uniqueId val="{00000007-EC6C-40C1-BE8A-419B4B723FA0}"/>
                  </c:ext>
                </c:extLst>
              </c15:ser>
            </c15:filteredBarSeries>
          </c:ext>
        </c:extLst>
      </c:barChart>
      <c:valAx>
        <c:axId val="1319480015"/>
        <c:scaling>
          <c:orientation val="minMax"/>
          <c:max val="5000"/>
          <c:min val="0"/>
        </c:scaling>
        <c:delete val="1"/>
        <c:axPos val="t"/>
        <c:numFmt formatCode="#,##0.00\ &quot;€&quot;" sourceLinked="1"/>
        <c:majorTickMark val="out"/>
        <c:minorTickMark val="none"/>
        <c:tickLblPos val="nextTo"/>
        <c:crossAx val="891633855"/>
        <c:crosses val="autoZero"/>
        <c:crossBetween val="between"/>
        <c:majorUnit val="500"/>
      </c:valAx>
      <c:catAx>
        <c:axId val="89163385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37631274076725285"/>
          <c:y val="1.9620487218601212E-2"/>
          <c:w val="0.2791852855523726"/>
          <c:h val="8.889572494316742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8601375008343493"/>
          <c:h val="0.61909228840533581"/>
        </c:manualLayout>
      </c:layout>
      <c:barChart>
        <c:barDir val="col"/>
        <c:grouping val="clustered"/>
        <c:varyColors val="0"/>
        <c:ser>
          <c:idx val="0"/>
          <c:order val="0"/>
          <c:tx>
            <c:strRef>
              <c:f>q3_q7_q11_q15_q24_q36_Fig!$S$22</c:f>
              <c:strCache>
                <c:ptCount val="1"/>
                <c:pt idx="0">
                  <c:v>Empresas</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3.9156548280025974E-2"/>
                  <c:y val="1.5162518104348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C3-4D61-97D6-049FCE50A9A0}"/>
                </c:ext>
              </c:extLst>
            </c:dLbl>
            <c:dLbl>
              <c:idx val="10"/>
              <c:layout>
                <c:manualLayout>
                  <c:x val="2.1382411301039447E-2"/>
                  <c:y val="7.05177001583077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C3-4D61-97D6-049FCE50A9A0}"/>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C3-4D61-97D6-049FCE50A9A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q3_q7_q11_q15_q24_q36_Fig!$T$21:$AD$21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q3_q7_q11_q15_q24_q36_Fig!$T$22:$AD$22</c:f>
              <c:numCache>
                <c:formatCode>#\ ###\ ##0</c:formatCode>
                <c:ptCount val="11"/>
                <c:pt idx="0">
                  <c:v>59911</c:v>
                </c:pt>
                <c:pt idx="1">
                  <c:v>60537</c:v>
                </c:pt>
                <c:pt idx="2">
                  <c:v>60939</c:v>
                </c:pt>
                <c:pt idx="3">
                  <c:v>61816</c:v>
                </c:pt>
                <c:pt idx="4">
                  <c:v>62991</c:v>
                </c:pt>
                <c:pt idx="5">
                  <c:v>61257</c:v>
                </c:pt>
                <c:pt idx="6">
                  <c:v>62466</c:v>
                </c:pt>
                <c:pt idx="7">
                  <c:v>60609</c:v>
                </c:pt>
                <c:pt idx="8">
                  <c:v>63924</c:v>
                </c:pt>
                <c:pt idx="9">
                  <c:v>65753</c:v>
                </c:pt>
                <c:pt idx="10" formatCode="#,##0">
                  <c:v>65461</c:v>
                </c:pt>
              </c:numCache>
            </c:numRef>
          </c:val>
          <c:extLst>
            <c:ext xmlns:c16="http://schemas.microsoft.com/office/drawing/2014/chart" uri="{C3380CC4-5D6E-409C-BE32-E72D297353CC}">
              <c16:uniqueId val="{00000003-D0C3-4D61-97D6-049FCE50A9A0}"/>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q3_q7_q11_q15_q24_q36_Fig!$S$23</c:f>
              <c:strCache>
                <c:ptCount val="1"/>
                <c:pt idx="0">
                  <c:v>Estabelecimentos</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D0C3-4D61-97D6-049FCE50A9A0}"/>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D0C3-4D61-97D6-049FCE50A9A0}"/>
              </c:ext>
            </c:extLst>
          </c:dPt>
          <c:dLbls>
            <c:dLbl>
              <c:idx val="0"/>
              <c:layout>
                <c:manualLayout>
                  <c:x val="2.8066432441944428E-2"/>
                  <c:y val="-5.9913435952709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C3-4D61-97D6-049FCE50A9A0}"/>
                </c:ext>
              </c:extLst>
            </c:dLbl>
            <c:dLbl>
              <c:idx val="10"/>
              <c:layout>
                <c:manualLayout>
                  <c:x val="-8.8428567051686627E-2"/>
                  <c:y val="-6.8324732023237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0C3-4D61-97D6-049FCE50A9A0}"/>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C3-4D61-97D6-049FCE50A9A0}"/>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q3_q7_q11_q15_q24_q36_Fig!$T$21:$AD$21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q3_q7_q11_q15_q24_q36_Fig!$T$23:$AD$23</c:f>
              <c:numCache>
                <c:formatCode>#\ ###\ ##0</c:formatCode>
                <c:ptCount val="11"/>
                <c:pt idx="0">
                  <c:v>71690</c:v>
                </c:pt>
                <c:pt idx="1">
                  <c:v>72246</c:v>
                </c:pt>
                <c:pt idx="2">
                  <c:v>72756</c:v>
                </c:pt>
                <c:pt idx="3">
                  <c:v>73389</c:v>
                </c:pt>
                <c:pt idx="4">
                  <c:v>74689</c:v>
                </c:pt>
                <c:pt idx="5">
                  <c:v>72677</c:v>
                </c:pt>
                <c:pt idx="6">
                  <c:v>73809</c:v>
                </c:pt>
                <c:pt idx="7">
                  <c:v>71616</c:v>
                </c:pt>
                <c:pt idx="8">
                  <c:v>75266</c:v>
                </c:pt>
                <c:pt idx="9">
                  <c:v>77253</c:v>
                </c:pt>
                <c:pt idx="10">
                  <c:v>77003</c:v>
                </c:pt>
              </c:numCache>
            </c:numRef>
          </c:val>
          <c:smooth val="0"/>
          <c:extLst>
            <c:ext xmlns:c16="http://schemas.microsoft.com/office/drawing/2014/chart" uri="{C3380CC4-5D6E-409C-BE32-E72D297353CC}">
              <c16:uniqueId val="{00000007-D0C3-4D61-97D6-049FCE50A9A0}"/>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88994062500000004"/>
          <c:w val="0.66415393518518528"/>
          <c:h val="7.919131944444443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q9_13_16_27_28_39_40_E_Fig!$Y$126</c:f>
              <c:strCache>
                <c:ptCount val="1"/>
                <c:pt idx="0">
                  <c:v>TCO</c:v>
                </c:pt>
              </c:strCache>
            </c:strRef>
          </c:tx>
          <c:spPr>
            <a:solidFill>
              <a:schemeClr val="accent1"/>
            </a:solidFill>
            <a:ln>
              <a:no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q9_13_16_27_28_39_40_E_Fig!$X$127:$X$133</c15:sqref>
                  </c15:fullRef>
                </c:ext>
              </c:extLst>
              <c:f>q9_13_16_27_28_39_40_E_Fig!$X$127</c:f>
              <c:strCache>
                <c:ptCount val="1"/>
                <c:pt idx="0">
                  <c:v>Norte</c:v>
                </c:pt>
              </c:strCache>
            </c:strRef>
          </c:cat>
          <c:val>
            <c:numRef>
              <c:extLst>
                <c:ext xmlns:c15="http://schemas.microsoft.com/office/drawing/2012/chart" uri="{02D57815-91ED-43cb-92C2-25804820EDAC}">
                  <c15:fullRef>
                    <c15:sqref>q9_13_16_27_28_39_40_E_Fig!$Y$127:$Y$133</c15:sqref>
                  </c15:fullRef>
                </c:ext>
              </c:extLst>
              <c:f>q9_13_16_27_28_39_40_E_Fig!$Y$127</c:f>
              <c:numCache>
                <c:formatCode>#,##0</c:formatCode>
                <c:ptCount val="1"/>
                <c:pt idx="0">
                  <c:v>108225.99999999999</c:v>
                </c:pt>
              </c:numCache>
            </c:numRef>
          </c:val>
          <c:extLst>
            <c:ext xmlns:c16="http://schemas.microsoft.com/office/drawing/2014/chart" uri="{C3380CC4-5D6E-409C-BE32-E72D297353CC}">
              <c16:uniqueId val="{00000000-14AC-4FAA-939A-5491AD9ED681}"/>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0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q9_13_16_27_28_39_40_E_Fig!$Y$126</c:f>
              <c:strCache>
                <c:ptCount val="1"/>
                <c:pt idx="0">
                  <c:v>TCO</c:v>
                </c:pt>
              </c:strCache>
            </c:strRef>
          </c:tx>
          <c:spPr>
            <a:solidFill>
              <a:srgbClr val="4572A5"/>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0-1F07-4A18-B8BF-7773E9048D14}"/>
              </c:ext>
            </c:extLst>
          </c:dPt>
          <c:dLbls>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q9_13_16_27_28_39_40_E_Fig!$X$127:$X$133</c15:sqref>
                  </c15:fullRef>
                </c:ext>
              </c:extLst>
              <c:f>q9_13_16_27_28_39_40_E_Fig!$X$128</c:f>
              <c:strCache>
                <c:ptCount val="1"/>
                <c:pt idx="0">
                  <c:v>Centro</c:v>
                </c:pt>
              </c:strCache>
            </c:strRef>
          </c:cat>
          <c:val>
            <c:numRef>
              <c:extLst>
                <c:ext xmlns:c15="http://schemas.microsoft.com/office/drawing/2012/chart" uri="{02D57815-91ED-43cb-92C2-25804820EDAC}">
                  <c15:fullRef>
                    <c15:sqref>q9_13_16_27_28_39_40_E_Fig!$Y$127:$Y$133</c15:sqref>
                  </c15:fullRef>
                </c:ext>
              </c:extLst>
              <c:f>q9_13_16_27_28_39_40_E_Fig!$Y$128</c:f>
              <c:numCache>
                <c:formatCode>#,##0</c:formatCode>
                <c:ptCount val="1"/>
                <c:pt idx="0">
                  <c:v>57574.999999999993</c:v>
                </c:pt>
              </c:numCache>
            </c:numRef>
          </c:val>
          <c:extLst>
            <c:ext xmlns:c16="http://schemas.microsoft.com/office/drawing/2014/chart" uri="{C3380CC4-5D6E-409C-BE32-E72D297353CC}">
              <c16:uniqueId val="{00000000-50DF-44A3-996B-4EF21E84C357}"/>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0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q9_13_16_27_28_39_40_E_Fig!$Y$126</c:f>
              <c:strCache>
                <c:ptCount val="1"/>
                <c:pt idx="0">
                  <c:v>TCO</c:v>
                </c:pt>
              </c:strCache>
            </c:strRef>
          </c:tx>
          <c:spPr>
            <a:solidFill>
              <a:schemeClr val="accent5"/>
            </a:solidFill>
            <a:ln>
              <a:noFill/>
            </a:ln>
            <a:effectLst/>
          </c:spPr>
          <c:invertIfNegative val="0"/>
          <c:dLbls>
            <c:spPr>
              <a:noFill/>
              <a:ln>
                <a:noFill/>
              </a:ln>
              <a:effectLst/>
            </c:spPr>
            <c:txPr>
              <a:bodyPr rot="0" spcFirstLastPara="1" vertOverflow="ellipsis" horzOverflow="clip"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q9_13_16_27_28_39_40_E_Fig!$X$127:$X$133</c15:sqref>
                  </c15:fullRef>
                </c:ext>
              </c:extLst>
              <c:f>q9_13_16_27_28_39_40_E_Fig!$X$129</c:f>
              <c:strCache>
                <c:ptCount val="1"/>
                <c:pt idx="0">
                  <c:v>Oeste e Vale do Tejo</c:v>
                </c:pt>
              </c:strCache>
            </c:strRef>
          </c:cat>
          <c:val>
            <c:numRef>
              <c:extLst>
                <c:ext xmlns:c15="http://schemas.microsoft.com/office/drawing/2012/chart" uri="{02D57815-91ED-43cb-92C2-25804820EDAC}">
                  <c15:fullRef>
                    <c15:sqref>q9_13_16_27_28_39_40_E_Fig!$Y$127:$Y$133</c15:sqref>
                  </c15:fullRef>
                </c:ext>
              </c:extLst>
              <c:f>q9_13_16_27_28_39_40_E_Fig!$Y$129</c:f>
              <c:numCache>
                <c:formatCode>#,##0</c:formatCode>
                <c:ptCount val="1"/>
                <c:pt idx="0">
                  <c:v>40944.000000000007</c:v>
                </c:pt>
              </c:numCache>
            </c:numRef>
          </c:val>
          <c:extLst>
            <c:ext xmlns:c16="http://schemas.microsoft.com/office/drawing/2014/chart" uri="{C3380CC4-5D6E-409C-BE32-E72D297353CC}">
              <c16:uniqueId val="{00000000-67E1-43A4-919C-57A54872BEFA}"/>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0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q9_13_16_27_28_39_40_E_Fig!$Y$126</c:f>
              <c:strCache>
                <c:ptCount val="1"/>
                <c:pt idx="0">
                  <c:v>TCO</c:v>
                </c:pt>
              </c:strCache>
            </c:strRef>
          </c:tx>
          <c:spPr>
            <a:solidFill>
              <a:srgbClr val="5F7530"/>
            </a:solidFill>
            <a:ln>
              <a:noFill/>
            </a:ln>
            <a:effectLst/>
          </c:spPr>
          <c:invertIfNegative val="0"/>
          <c:dLbls>
            <c:spPr>
              <a:noFill/>
              <a:ln>
                <a:noFill/>
              </a:ln>
              <a:effectLst/>
            </c:spPr>
            <c:txPr>
              <a:bodyPr rot="0" spcFirstLastPara="1" vertOverflow="ellipsis" horzOverflow="clip"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q9_13_16_27_28_39_40_E_Fig!$X$127:$X$133</c15:sqref>
                  </c15:fullRef>
                </c:ext>
              </c:extLst>
              <c:f>q9_13_16_27_28_39_40_E_Fig!$X$131</c:f>
              <c:strCache>
                <c:ptCount val="1"/>
                <c:pt idx="0">
                  <c:v>Península de Setúbal</c:v>
                </c:pt>
              </c:strCache>
            </c:strRef>
          </c:cat>
          <c:val>
            <c:numRef>
              <c:extLst>
                <c:ext xmlns:c15="http://schemas.microsoft.com/office/drawing/2012/chart" uri="{02D57815-91ED-43cb-92C2-25804820EDAC}">
                  <c15:fullRef>
                    <c15:sqref>q9_13_16_27_28_39_40_E_Fig!$Y$127:$Y$133</c15:sqref>
                  </c15:fullRef>
                </c:ext>
              </c:extLst>
              <c:f>q9_13_16_27_28_39_40_E_Fig!$Y$131</c:f>
              <c:numCache>
                <c:formatCode>#,##0</c:formatCode>
                <c:ptCount val="1"/>
                <c:pt idx="0">
                  <c:v>33366</c:v>
                </c:pt>
              </c:numCache>
            </c:numRef>
          </c:val>
          <c:extLst>
            <c:ext xmlns:c16="http://schemas.microsoft.com/office/drawing/2014/chart" uri="{C3380CC4-5D6E-409C-BE32-E72D297353CC}">
              <c16:uniqueId val="{00000000-AB4B-4CDB-A1BE-0B8C258782F0}"/>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0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q9_13_16_27_28_39_40_E_Fig!$Y$126</c:f>
              <c:strCache>
                <c:ptCount val="1"/>
                <c:pt idx="0">
                  <c:v>TCO</c:v>
                </c:pt>
              </c:strCache>
            </c:strRef>
          </c:tx>
          <c:spPr>
            <a:solidFill>
              <a:srgbClr val="2C4D75"/>
            </a:solidFill>
            <a:ln>
              <a:noFill/>
            </a:ln>
            <a:effectLst/>
          </c:spPr>
          <c:invertIfNegative val="0"/>
          <c:dLbls>
            <c:spPr>
              <a:noFill/>
              <a:ln>
                <a:noFill/>
              </a:ln>
              <a:effectLst/>
            </c:spPr>
            <c:txPr>
              <a:bodyPr rot="0" spcFirstLastPara="1" vertOverflow="ellipsis" horzOverflow="clip" vert="horz" wrap="non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q9_13_16_27_28_39_40_E_Fig!$X$127:$X$133</c15:sqref>
                  </c15:fullRef>
                </c:ext>
              </c:extLst>
              <c:f>q9_13_16_27_28_39_40_E_Fig!$X$130</c:f>
              <c:strCache>
                <c:ptCount val="1"/>
                <c:pt idx="0">
                  <c:v>Grande Lisboa</c:v>
                </c:pt>
              </c:strCache>
            </c:strRef>
          </c:cat>
          <c:val>
            <c:numRef>
              <c:extLst>
                <c:ext xmlns:c15="http://schemas.microsoft.com/office/drawing/2012/chart" uri="{02D57815-91ED-43cb-92C2-25804820EDAC}">
                  <c15:fullRef>
                    <c15:sqref>q9_13_16_27_28_39_40_E_Fig!$Y$127:$Y$133</c15:sqref>
                  </c15:fullRef>
                </c:ext>
              </c:extLst>
              <c:f>q9_13_16_27_28_39_40_E_Fig!$Y$130</c:f>
              <c:numCache>
                <c:formatCode>#,##0</c:formatCode>
                <c:ptCount val="1"/>
                <c:pt idx="0">
                  <c:v>192040</c:v>
                </c:pt>
              </c:numCache>
            </c:numRef>
          </c:val>
          <c:extLst>
            <c:ext xmlns:c16="http://schemas.microsoft.com/office/drawing/2014/chart" uri="{C3380CC4-5D6E-409C-BE32-E72D297353CC}">
              <c16:uniqueId val="{00000000-C39E-4E45-8992-6E28356AA898}"/>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0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q9_13_16_27_28_39_40_E_Fig!$Y$126</c:f>
              <c:strCache>
                <c:ptCount val="1"/>
                <c:pt idx="0">
                  <c:v>TCO</c:v>
                </c:pt>
              </c:strCache>
            </c:strRef>
          </c:tx>
          <c:spPr>
            <a:solidFill>
              <a:srgbClr val="4572A5"/>
            </a:solidFill>
            <a:ln>
              <a:noFill/>
            </a:ln>
            <a:effectLst/>
          </c:spPr>
          <c:invertIfNegative val="0"/>
          <c:dPt>
            <c:idx val="0"/>
            <c:invertIfNegative val="0"/>
            <c:bubble3D val="0"/>
            <c:spPr>
              <a:solidFill>
                <a:srgbClr val="276A7C"/>
              </a:solidFill>
              <a:ln>
                <a:noFill/>
              </a:ln>
              <a:effectLst/>
            </c:spPr>
            <c:extLst>
              <c:ext xmlns:c16="http://schemas.microsoft.com/office/drawing/2014/chart" uri="{C3380CC4-5D6E-409C-BE32-E72D297353CC}">
                <c16:uniqueId val="{00000000-4CCA-4853-905A-95E8A6B3DA54}"/>
              </c:ext>
            </c:extLst>
          </c:dPt>
          <c:dLbls>
            <c:spPr>
              <a:noFill/>
              <a:ln>
                <a:noFill/>
              </a:ln>
              <a:effectLst/>
            </c:spPr>
            <c:txPr>
              <a:bodyPr rot="0" spcFirstLastPara="1" vertOverflow="ellipsis" horzOverflow="clip"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q9_13_16_27_28_39_40_E_Fig!$X$127:$X$133</c15:sqref>
                  </c15:fullRef>
                </c:ext>
              </c:extLst>
              <c:f>q9_13_16_27_28_39_40_E_Fig!$X$132</c:f>
              <c:strCache>
                <c:ptCount val="1"/>
                <c:pt idx="0">
                  <c:v>Alentejo</c:v>
                </c:pt>
              </c:strCache>
            </c:strRef>
          </c:cat>
          <c:val>
            <c:numRef>
              <c:extLst>
                <c:ext xmlns:c15="http://schemas.microsoft.com/office/drawing/2012/chart" uri="{02D57815-91ED-43cb-92C2-25804820EDAC}">
                  <c15:fullRef>
                    <c15:sqref>q9_13_16_27_28_39_40_E_Fig!$Y$127:$Y$133</c15:sqref>
                  </c15:fullRef>
                </c:ext>
              </c:extLst>
              <c:f>q9_13_16_27_28_39_40_E_Fig!$Y$132</c:f>
              <c:numCache>
                <c:formatCode>#,##0</c:formatCode>
                <c:ptCount val="1"/>
                <c:pt idx="0">
                  <c:v>25468.000000000011</c:v>
                </c:pt>
              </c:numCache>
            </c:numRef>
          </c:val>
          <c:extLst>
            <c:ext xmlns:c16="http://schemas.microsoft.com/office/drawing/2014/chart" uri="{C3380CC4-5D6E-409C-BE32-E72D297353CC}">
              <c16:uniqueId val="{00000000-1274-43F3-BCF8-69B95EAC42C3}"/>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0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q9_13_16_27_28_39_40_E_Fig!$Y$126</c:f>
              <c:strCache>
                <c:ptCount val="1"/>
                <c:pt idx="0">
                  <c:v>TCO</c:v>
                </c:pt>
              </c:strCache>
            </c:strRef>
          </c:tx>
          <c:spPr>
            <a:solidFill>
              <a:srgbClr val="729ACA"/>
            </a:solidFill>
            <a:ln>
              <a:noFill/>
            </a:ln>
            <a:effectLst/>
          </c:spPr>
          <c:invertIfNegative val="0"/>
          <c:dLbls>
            <c:spPr>
              <a:noFill/>
              <a:ln>
                <a:noFill/>
              </a:ln>
              <a:effectLst/>
            </c:spPr>
            <c:txPr>
              <a:bodyPr rot="0" spcFirstLastPara="1" vertOverflow="ellipsis" horzOverflow="clip"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q9_13_16_27_28_39_40_E_Fig!$X$127:$X$133</c15:sqref>
                  </c15:fullRef>
                </c:ext>
              </c:extLst>
              <c:f>q9_13_16_27_28_39_40_E_Fig!$X$133</c:f>
              <c:strCache>
                <c:ptCount val="1"/>
                <c:pt idx="0">
                  <c:v>Algarve</c:v>
                </c:pt>
              </c:strCache>
            </c:strRef>
          </c:cat>
          <c:val>
            <c:numRef>
              <c:extLst>
                <c:ext xmlns:c15="http://schemas.microsoft.com/office/drawing/2012/chart" uri="{02D57815-91ED-43cb-92C2-25804820EDAC}">
                  <c15:fullRef>
                    <c15:sqref>q9_13_16_27_28_39_40_E_Fig!$Y$127:$Y$133</c15:sqref>
                  </c15:fullRef>
                </c:ext>
              </c:extLst>
              <c:f>q9_13_16_27_28_39_40_E_Fig!$Y$133</c:f>
              <c:numCache>
                <c:formatCode>#,##0</c:formatCode>
                <c:ptCount val="1"/>
                <c:pt idx="0">
                  <c:v>52164.000000000007</c:v>
                </c:pt>
              </c:numCache>
            </c:numRef>
          </c:val>
          <c:extLst>
            <c:ext xmlns:c16="http://schemas.microsoft.com/office/drawing/2014/chart" uri="{C3380CC4-5D6E-409C-BE32-E72D297353CC}">
              <c16:uniqueId val="{00000000-6780-4940-8913-CF6F3DDF4715}"/>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0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51811908323250411"/>
          <c:y val="2.4662769901172842E-2"/>
          <c:w val="0.42427931394519619"/>
          <c:h val="0.92049561986569861"/>
        </c:manualLayout>
      </c:layout>
      <c:barChart>
        <c:barDir val="bar"/>
        <c:grouping val="clustered"/>
        <c:varyColors val="0"/>
        <c:ser>
          <c:idx val="0"/>
          <c:order val="0"/>
          <c:tx>
            <c:strRef>
              <c:f>q9_13_16_27_28_39_40_E_Fig!$Y$96</c:f>
              <c:strCache>
                <c:ptCount val="1"/>
                <c:pt idx="0">
                  <c:v>TCO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Pt>
            <c:idx val="0"/>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5F4B-4551-96D8-1679F13E3A98}"/>
              </c:ext>
            </c:extLst>
          </c:dPt>
          <c:dPt>
            <c:idx val="1"/>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5F4B-4551-96D8-1679F13E3A98}"/>
              </c:ext>
            </c:extLst>
          </c:dPt>
          <c:dPt>
            <c:idx val="2"/>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5F4B-4551-96D8-1679F13E3A98}"/>
              </c:ext>
            </c:extLst>
          </c:dPt>
          <c:dPt>
            <c:idx val="3"/>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6AFE-457C-8738-ABE26B8DC3A7}"/>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5F4B-4551-96D8-1679F13E3A98}"/>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5F4B-4551-96D8-1679F13E3A98}"/>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5F4B-4551-96D8-1679F13E3A98}"/>
              </c:ext>
            </c:extLst>
          </c:dPt>
          <c:dPt>
            <c:idx val="7"/>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5F4B-4551-96D8-1679F13E3A98}"/>
              </c:ext>
            </c:extLst>
          </c:dPt>
          <c:dPt>
            <c:idx val="8"/>
            <c:invertIfNegative val="0"/>
            <c:bubble3D val="0"/>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5F4B-4551-96D8-1679F13E3A98}"/>
              </c:ext>
            </c:extLst>
          </c:dPt>
          <c:dPt>
            <c:idx val="9"/>
            <c:invertIfNegative val="0"/>
            <c:bubble3D val="0"/>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5F4B-4551-96D8-1679F13E3A98}"/>
              </c:ext>
            </c:extLst>
          </c:dPt>
          <c:dPt>
            <c:idx val="10"/>
            <c:invertIfNegative val="0"/>
            <c:bubble3D val="0"/>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5F4B-4551-96D8-1679F13E3A98}"/>
              </c:ext>
            </c:extLst>
          </c:dPt>
          <c:dPt>
            <c:idx val="11"/>
            <c:invertIfNegative val="0"/>
            <c:bubble3D val="0"/>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5F4B-4551-96D8-1679F13E3A98}"/>
              </c:ext>
            </c:extLst>
          </c:dPt>
          <c:dPt>
            <c:idx val="12"/>
            <c:invertIfNegative val="0"/>
            <c:bubble3D val="0"/>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5F4B-4551-96D8-1679F13E3A98}"/>
              </c:ext>
            </c:extLst>
          </c:dPt>
          <c:dPt>
            <c:idx val="13"/>
            <c:invertIfNegative val="0"/>
            <c:bubble3D val="0"/>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5F4B-4551-96D8-1679F13E3A98}"/>
              </c:ext>
            </c:extLst>
          </c:dPt>
          <c:dPt>
            <c:idx val="14"/>
            <c:invertIfNegative val="0"/>
            <c:bubble3D val="0"/>
            <c:spPr>
              <a:solidFill>
                <a:schemeClr val="accent5"/>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5F4B-4551-96D8-1679F13E3A98}"/>
              </c:ext>
            </c:extLst>
          </c:dPt>
          <c:dPt>
            <c:idx val="15"/>
            <c:invertIfNegative val="0"/>
            <c:bubble3D val="0"/>
            <c:spPr>
              <a:solidFill>
                <a:schemeClr val="accent5"/>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5F4B-4551-96D8-1679F13E3A98}"/>
              </c:ext>
            </c:extLst>
          </c:dPt>
          <c:dPt>
            <c:idx val="16"/>
            <c:invertIfNegative val="0"/>
            <c:bubble3D val="0"/>
            <c:spPr>
              <a:solidFill>
                <a:schemeClr val="accent5"/>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1-5F4B-4551-96D8-1679F13E3A98}"/>
              </c:ext>
            </c:extLst>
          </c:dPt>
          <c:dPt>
            <c:idx val="17"/>
            <c:invertIfNegative val="0"/>
            <c:bubble3D val="0"/>
            <c:spPr>
              <a:solidFill>
                <a:srgbClr val="2C4D75"/>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5F4B-4551-96D8-1679F13E3A98}"/>
              </c:ext>
            </c:extLst>
          </c:dPt>
          <c:dPt>
            <c:idx val="18"/>
            <c:invertIfNegative val="0"/>
            <c:bubble3D val="0"/>
            <c:spPr>
              <a:solidFill>
                <a:srgbClr val="5F753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5F4B-4551-96D8-1679F13E3A98}"/>
              </c:ext>
            </c:extLst>
          </c:dPt>
          <c:dPt>
            <c:idx val="19"/>
            <c:invertIfNegative val="0"/>
            <c:bubble3D val="0"/>
            <c:spPr>
              <a:solidFill>
                <a:srgbClr val="276A7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5F4B-4551-96D8-1679F13E3A98}"/>
              </c:ext>
            </c:extLst>
          </c:dPt>
          <c:dPt>
            <c:idx val="20"/>
            <c:invertIfNegative val="0"/>
            <c:bubble3D val="0"/>
            <c:spPr>
              <a:solidFill>
                <a:srgbClr val="276A7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5F4B-4551-96D8-1679F13E3A98}"/>
              </c:ext>
            </c:extLst>
          </c:dPt>
          <c:dPt>
            <c:idx val="21"/>
            <c:invertIfNegative val="0"/>
            <c:bubble3D val="0"/>
            <c:spPr>
              <a:solidFill>
                <a:srgbClr val="276A7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5F4B-4551-96D8-1679F13E3A98}"/>
              </c:ext>
            </c:extLst>
          </c:dPt>
          <c:dPt>
            <c:idx val="22"/>
            <c:invertIfNegative val="0"/>
            <c:bubble3D val="0"/>
            <c:spPr>
              <a:solidFill>
                <a:srgbClr val="276A7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7-5F4B-4551-96D8-1679F13E3A98}"/>
              </c:ext>
            </c:extLst>
          </c:dPt>
          <c:dPt>
            <c:idx val="23"/>
            <c:invertIfNegative val="0"/>
            <c:bubble3D val="0"/>
            <c:spPr>
              <a:solidFill>
                <a:srgbClr val="729ACA"/>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5F4B-4551-96D8-1679F13E3A98}"/>
              </c:ext>
            </c:extLst>
          </c:dPt>
          <c:dLbls>
            <c:dLbl>
              <c:idx val="17"/>
              <c:layout>
                <c:manualLayout>
                  <c:x val="-9.6350686150916534E-2"/>
                  <c:y val="1.0097415248120412E-16"/>
                </c:manualLayout>
              </c:layout>
              <c:numFmt formatCode="#,##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2-5F4B-4551-96D8-1679F13E3A98}"/>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tx2">
                          <a:lumMod val="35000"/>
                          <a:lumOff val="65000"/>
                        </a:schemeClr>
                      </a:solidFill>
                    </a:ln>
                    <a:effectLst/>
                  </c:spPr>
                </c15:leaderLines>
              </c:ext>
            </c:extLst>
          </c:dLbls>
          <c:cat>
            <c:strRef>
              <c:f>q9_13_16_27_28_39_40_E_Fig!$V$97:$V$120</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q9_13_16_27_28_39_40_E_Fig!$Y$97:$Y$120</c:f>
              <c:numCache>
                <c:formatCode>#,##0</c:formatCode>
                <c:ptCount val="24"/>
                <c:pt idx="0">
                  <c:v>8918</c:v>
                </c:pt>
                <c:pt idx="1">
                  <c:v>16614.999999999996</c:v>
                </c:pt>
                <c:pt idx="2">
                  <c:v>8530</c:v>
                </c:pt>
                <c:pt idx="3">
                  <c:v>59436</c:v>
                </c:pt>
                <c:pt idx="4">
                  <c:v>1000.9999999999999</c:v>
                </c:pt>
                <c:pt idx="5">
                  <c:v>8817</c:v>
                </c:pt>
                <c:pt idx="6">
                  <c:v>3321.0000000000005</c:v>
                </c:pt>
                <c:pt idx="7">
                  <c:v>1588</c:v>
                </c:pt>
                <c:pt idx="8">
                  <c:v>16595</c:v>
                </c:pt>
                <c:pt idx="9">
                  <c:v>12388</c:v>
                </c:pt>
                <c:pt idx="10">
                  <c:v>15258</c:v>
                </c:pt>
                <c:pt idx="11">
                  <c:v>6921</c:v>
                </c:pt>
                <c:pt idx="12">
                  <c:v>2616</c:v>
                </c:pt>
                <c:pt idx="13">
                  <c:v>3797</c:v>
                </c:pt>
                <c:pt idx="14">
                  <c:v>18310</c:v>
                </c:pt>
                <c:pt idx="15">
                  <c:v>6903</c:v>
                </c:pt>
                <c:pt idx="16">
                  <c:v>15731</c:v>
                </c:pt>
                <c:pt idx="17">
                  <c:v>192040</c:v>
                </c:pt>
                <c:pt idx="18">
                  <c:v>33366</c:v>
                </c:pt>
                <c:pt idx="19">
                  <c:v>13062</c:v>
                </c:pt>
                <c:pt idx="20">
                  <c:v>5654.0000000000009</c:v>
                </c:pt>
                <c:pt idx="21">
                  <c:v>1982</c:v>
                </c:pt>
                <c:pt idx="22">
                  <c:v>4770</c:v>
                </c:pt>
                <c:pt idx="23">
                  <c:v>52164.000000000007</c:v>
                </c:pt>
              </c:numCache>
            </c:numRef>
          </c:val>
          <c:extLst>
            <c:ext xmlns:c16="http://schemas.microsoft.com/office/drawing/2014/chart" uri="{C3380CC4-5D6E-409C-BE32-E72D297353CC}">
              <c16:uniqueId val="{00000000-6AFE-457C-8738-ABE26B8DC3A7}"/>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q9_13_16_27_28_39_40_E_Fig!$Y$126</c:f>
              <c:strCache>
                <c:ptCount val="1"/>
                <c:pt idx="0">
                  <c:v>TCO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2-BCDE-4B9B-A900-173140547ED1}"/>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C74A-4219-873E-07777ADDFB9C}"/>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C74A-4219-873E-07777ADDFB9C}"/>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3-BCDE-4B9B-A900-173140547ED1}"/>
              </c:ext>
            </c:extLst>
          </c:dPt>
          <c:dPt>
            <c:idx val="4"/>
            <c:bubble3D val="0"/>
            <c:spPr>
              <a:solidFill>
                <a:srgbClr val="5F7530"/>
              </a:solidFill>
              <a:ln w="19050">
                <a:solidFill>
                  <a:schemeClr val="lt1"/>
                </a:solidFill>
              </a:ln>
              <a:effectLst/>
            </c:spPr>
            <c:extLst>
              <c:ext xmlns:c16="http://schemas.microsoft.com/office/drawing/2014/chart" uri="{C3380CC4-5D6E-409C-BE32-E72D297353CC}">
                <c16:uniqueId val="{00000009-C74A-4219-873E-07777ADDFB9C}"/>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C74A-4219-873E-07777ADDFB9C}"/>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1-BCDE-4B9B-A900-173140547ED1}"/>
              </c:ext>
            </c:extLst>
          </c:dPt>
          <c:dLbls>
            <c:dLbl>
              <c:idx val="0"/>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BCDE-4B9B-A900-173140547ED1}"/>
                </c:ext>
              </c:extLst>
            </c:dLbl>
            <c:dLbl>
              <c:idx val="1"/>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C74A-4219-873E-07777ADDFB9C}"/>
                </c:ext>
              </c:extLst>
            </c:dLbl>
            <c:dLbl>
              <c:idx val="2"/>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C74A-4219-873E-07777ADDFB9C}"/>
                </c:ext>
              </c:extLst>
            </c:dLbl>
            <c:dLbl>
              <c:idx val="3"/>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BCDE-4B9B-A900-173140547ED1}"/>
                </c:ext>
              </c:extLst>
            </c:dLbl>
            <c:dLbl>
              <c:idx val="4"/>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C74A-4219-873E-07777ADDFB9C}"/>
                </c:ext>
              </c:extLst>
            </c:dLbl>
            <c:dLbl>
              <c:idx val="5"/>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C74A-4219-873E-07777ADDFB9C}"/>
                </c:ext>
              </c:extLst>
            </c:dLbl>
            <c:dLbl>
              <c:idx val="6"/>
              <c:layout>
                <c:manualLayout>
                  <c:x val="0.1138839717386077"/>
                  <c:y val="0.10377857313290378"/>
                </c:manualLayout>
              </c:layout>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BCDE-4B9B-A900-173140547ED1}"/>
                </c:ext>
              </c:extLst>
            </c:dLbl>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q9_13_16_27_28_39_40_E_Fig!$X$127:$X$133</c:f>
              <c:strCache>
                <c:ptCount val="7"/>
                <c:pt idx="0">
                  <c:v>Norte</c:v>
                </c:pt>
                <c:pt idx="1">
                  <c:v>Centro</c:v>
                </c:pt>
                <c:pt idx="2">
                  <c:v>Oeste e Vale do Tejo</c:v>
                </c:pt>
                <c:pt idx="3">
                  <c:v>Grande Lisboa</c:v>
                </c:pt>
                <c:pt idx="4">
                  <c:v>Península de Setúbal</c:v>
                </c:pt>
                <c:pt idx="5">
                  <c:v>Alentejo</c:v>
                </c:pt>
                <c:pt idx="6">
                  <c:v>Algarve</c:v>
                </c:pt>
              </c:strCache>
            </c:strRef>
          </c:cat>
          <c:val>
            <c:numRef>
              <c:f>q9_13_16_27_28_39_40_E_Fig!$Y$127:$Y$133</c:f>
              <c:numCache>
                <c:formatCode>#,##0</c:formatCode>
                <c:ptCount val="7"/>
                <c:pt idx="0">
                  <c:v>108225.99999999999</c:v>
                </c:pt>
                <c:pt idx="1">
                  <c:v>57574.999999999993</c:v>
                </c:pt>
                <c:pt idx="2">
                  <c:v>40944.000000000007</c:v>
                </c:pt>
                <c:pt idx="3">
                  <c:v>192040</c:v>
                </c:pt>
                <c:pt idx="4">
                  <c:v>33366</c:v>
                </c:pt>
                <c:pt idx="5">
                  <c:v>25468.000000000011</c:v>
                </c:pt>
                <c:pt idx="6">
                  <c:v>52164.000000000007</c:v>
                </c:pt>
              </c:numCache>
            </c:numRef>
          </c:val>
          <c:extLst>
            <c:ext xmlns:c16="http://schemas.microsoft.com/office/drawing/2014/chart" uri="{C3380CC4-5D6E-409C-BE32-E72D297353CC}">
              <c16:uniqueId val="{00000000-BCDE-4B9B-A900-173140547ED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q9_13_16_27_28_39_40_E_Fig!$Y$126</c:f>
              <c:strCache>
                <c:ptCount val="1"/>
                <c:pt idx="0">
                  <c:v>TCO</c:v>
                </c:pt>
              </c:strCache>
            </c:strRef>
          </c:tx>
          <c:spPr>
            <a:solidFill>
              <a:schemeClr val="accent1"/>
            </a:solidFill>
            <a:ln>
              <a:no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q9_13_16_27_28_39_40_E_Fig!$X$127:$X$133</c15:sqref>
                  </c15:fullRef>
                </c:ext>
              </c:extLst>
              <c:f>q9_13_16_27_28_39_40_E_Fig!$X$127</c:f>
              <c:strCache>
                <c:ptCount val="1"/>
                <c:pt idx="0">
                  <c:v>Norte</c:v>
                </c:pt>
              </c:strCache>
            </c:strRef>
          </c:cat>
          <c:val>
            <c:numRef>
              <c:extLst>
                <c:ext xmlns:c15="http://schemas.microsoft.com/office/drawing/2012/chart" uri="{02D57815-91ED-43cb-92C2-25804820EDAC}">
                  <c15:fullRef>
                    <c15:sqref>q9_13_16_27_28_39_40_E_Fig!$Y$127:$Y$133</c15:sqref>
                  </c15:fullRef>
                </c:ext>
              </c:extLst>
              <c:f>q9_13_16_27_28_39_40_E_Fig!$Y$127</c:f>
              <c:numCache>
                <c:formatCode>#,##0</c:formatCode>
                <c:ptCount val="1"/>
                <c:pt idx="0">
                  <c:v>108225.99999999999</c:v>
                </c:pt>
              </c:numCache>
            </c:numRef>
          </c:val>
          <c:extLst>
            <c:ext xmlns:c16="http://schemas.microsoft.com/office/drawing/2014/chart" uri="{C3380CC4-5D6E-409C-BE32-E72D297353CC}">
              <c16:uniqueId val="{00000000-8688-4033-B952-36DCB5BD3E67}"/>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0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q3_q7_q11_q15_q24_q36_Fig!$AM$19</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q3_q7_q11_q15_q24_q36_Fig!$AL$20:$AL$38</c15:sqref>
                  </c15:fullRef>
                </c:ext>
              </c:extLst>
              <c:f>q3_q7_q11_q15_q24_q36_Fig!$AL$20:$AL$37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extLst>
                <c:ext xmlns:c15="http://schemas.microsoft.com/office/drawing/2012/chart" uri="{02D57815-91ED-43cb-92C2-25804820EDAC}">
                  <c15:fullRef>
                    <c15:sqref>q3_q7_q11_q15_q24_q36_Fig!$AM$20:$AM$38</c15:sqref>
                  </c15:fullRef>
                </c:ext>
              </c:extLst>
              <c:f>q3_q7_q11_q15_q24_q36_Fig!$AM$20:$AM$37</c:f>
              <c:numCache>
                <c:formatCode>#,##0</c:formatCode>
                <c:ptCount val="18"/>
                <c:pt idx="0">
                  <c:v>19732</c:v>
                </c:pt>
                <c:pt idx="1">
                  <c:v>4889</c:v>
                </c:pt>
                <c:pt idx="2">
                  <c:v>29000</c:v>
                </c:pt>
                <c:pt idx="3">
                  <c:v>3589</c:v>
                </c:pt>
                <c:pt idx="4">
                  <c:v>4621</c:v>
                </c:pt>
                <c:pt idx="5">
                  <c:v>10168</c:v>
                </c:pt>
                <c:pt idx="6">
                  <c:v>5030</c:v>
                </c:pt>
                <c:pt idx="7">
                  <c:v>18174</c:v>
                </c:pt>
                <c:pt idx="8">
                  <c:v>4165</c:v>
                </c:pt>
                <c:pt idx="9">
                  <c:v>16047</c:v>
                </c:pt>
                <c:pt idx="10">
                  <c:v>65461</c:v>
                </c:pt>
                <c:pt idx="11">
                  <c:v>2787</c:v>
                </c:pt>
                <c:pt idx="12">
                  <c:v>53824</c:v>
                </c:pt>
                <c:pt idx="13">
                  <c:v>11741</c:v>
                </c:pt>
                <c:pt idx="14">
                  <c:v>16745</c:v>
                </c:pt>
                <c:pt idx="15">
                  <c:v>7328</c:v>
                </c:pt>
                <c:pt idx="16">
                  <c:v>5212</c:v>
                </c:pt>
                <c:pt idx="17">
                  <c:v>10250</c:v>
                </c:pt>
              </c:numCache>
            </c:numRef>
          </c:val>
          <c:extLst>
            <c:ext xmlns:c16="http://schemas.microsoft.com/office/drawing/2014/chart" uri="{C3380CC4-5D6E-409C-BE32-E72D297353CC}">
              <c16:uniqueId val="{00000000-6D2B-424E-BA1B-75F5787AF016}"/>
            </c:ext>
          </c:extLst>
        </c:ser>
        <c:ser>
          <c:idx val="1"/>
          <c:order val="1"/>
          <c:tx>
            <c:strRef>
              <c:f>q3_q7_q11_q15_q24_q36_Fig!$AN$19</c:f>
              <c:strCache>
                <c:ptCount val="1"/>
                <c:pt idx="0">
                  <c:v>Estabele-
cimentos</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q3_q7_q11_q15_q24_q36_Fig!$AL$20:$AL$38</c15:sqref>
                  </c15:fullRef>
                </c:ext>
              </c:extLst>
              <c:f>q3_q7_q11_q15_q24_q36_Fig!$AL$20:$AL$37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extLst>
                <c:ext xmlns:c15="http://schemas.microsoft.com/office/drawing/2012/chart" uri="{02D57815-91ED-43cb-92C2-25804820EDAC}">
                  <c15:fullRef>
                    <c15:sqref>q3_q7_q11_q15_q24_q36_Fig!$AN$20:$AN$38</c15:sqref>
                  </c15:fullRef>
                </c:ext>
              </c:extLst>
              <c:f>q3_q7_q11_q15_q24_q36_Fig!$AN$20:$AN$37</c:f>
              <c:numCache>
                <c:formatCode>#,##0</c:formatCode>
                <c:ptCount val="18"/>
                <c:pt idx="0">
                  <c:v>22673</c:v>
                </c:pt>
                <c:pt idx="1">
                  <c:v>5657</c:v>
                </c:pt>
                <c:pt idx="2">
                  <c:v>32426</c:v>
                </c:pt>
                <c:pt idx="3">
                  <c:v>4180</c:v>
                </c:pt>
                <c:pt idx="4">
                  <c:v>5527</c:v>
                </c:pt>
                <c:pt idx="5">
                  <c:v>12400</c:v>
                </c:pt>
                <c:pt idx="6">
                  <c:v>6058</c:v>
                </c:pt>
                <c:pt idx="7">
                  <c:v>21959</c:v>
                </c:pt>
                <c:pt idx="8">
                  <c:v>4818</c:v>
                </c:pt>
                <c:pt idx="9">
                  <c:v>18700</c:v>
                </c:pt>
                <c:pt idx="10">
                  <c:v>77003</c:v>
                </c:pt>
                <c:pt idx="11">
                  <c:v>3351</c:v>
                </c:pt>
                <c:pt idx="12">
                  <c:v>62369</c:v>
                </c:pt>
                <c:pt idx="13">
                  <c:v>13985</c:v>
                </c:pt>
                <c:pt idx="14">
                  <c:v>20414</c:v>
                </c:pt>
                <c:pt idx="15">
                  <c:v>8424</c:v>
                </c:pt>
                <c:pt idx="16">
                  <c:v>6174</c:v>
                </c:pt>
                <c:pt idx="17">
                  <c:v>11908</c:v>
                </c:pt>
              </c:numCache>
            </c:numRef>
          </c:val>
          <c:extLst>
            <c:ext xmlns:c16="http://schemas.microsoft.com/office/drawing/2014/chart" uri="{C3380CC4-5D6E-409C-BE32-E72D297353CC}">
              <c16:uniqueId val="{00000001-6D2B-424E-BA1B-75F5787AF016}"/>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legend>
      <c:legendPos val="b"/>
      <c:layout>
        <c:manualLayout>
          <c:xMode val="edge"/>
          <c:yMode val="edge"/>
          <c:x val="0.57418967956808387"/>
          <c:y val="0.8958285000206182"/>
          <c:w val="0.40427923581064407"/>
          <c:h val="7.6847968932930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q9_13_16_27_28_39_40_E_Fig!$Y$126</c:f>
              <c:strCache>
                <c:ptCount val="1"/>
                <c:pt idx="0">
                  <c:v>TCO</c:v>
                </c:pt>
              </c:strCache>
            </c:strRef>
          </c:tx>
          <c:spPr>
            <a:solidFill>
              <a:srgbClr val="4572A5"/>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1-5E3E-4487-851C-FE506F9C2C51}"/>
              </c:ext>
            </c:extLst>
          </c:dPt>
          <c:dLbls>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q9_13_16_27_28_39_40_E_Fig!$X$127:$X$133</c15:sqref>
                  </c15:fullRef>
                </c:ext>
              </c:extLst>
              <c:f>q9_13_16_27_28_39_40_E_Fig!$X$128</c:f>
              <c:strCache>
                <c:ptCount val="1"/>
                <c:pt idx="0">
                  <c:v>Centro</c:v>
                </c:pt>
              </c:strCache>
            </c:strRef>
          </c:cat>
          <c:val>
            <c:numRef>
              <c:extLst>
                <c:ext xmlns:c15="http://schemas.microsoft.com/office/drawing/2012/chart" uri="{02D57815-91ED-43cb-92C2-25804820EDAC}">
                  <c15:fullRef>
                    <c15:sqref>q9_13_16_27_28_39_40_E_Fig!$Y$127:$Y$133</c15:sqref>
                  </c15:fullRef>
                </c:ext>
              </c:extLst>
              <c:f>q9_13_16_27_28_39_40_E_Fig!$Y$128</c:f>
              <c:numCache>
                <c:formatCode>#,##0</c:formatCode>
                <c:ptCount val="1"/>
                <c:pt idx="0">
                  <c:v>57574.999999999993</c:v>
                </c:pt>
              </c:numCache>
            </c:numRef>
          </c:val>
          <c:extLst>
            <c:ext xmlns:c16="http://schemas.microsoft.com/office/drawing/2014/chart" uri="{C3380CC4-5D6E-409C-BE32-E72D297353CC}">
              <c16:uniqueId val="{00000002-5E3E-4487-851C-FE506F9C2C51}"/>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0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q9_13_16_27_28_39_40_E_Fig!$Y$126</c:f>
              <c:strCache>
                <c:ptCount val="1"/>
                <c:pt idx="0">
                  <c:v>TCO</c:v>
                </c:pt>
              </c:strCache>
            </c:strRef>
          </c:tx>
          <c:spPr>
            <a:solidFill>
              <a:schemeClr val="accent5"/>
            </a:solidFill>
            <a:ln>
              <a:noFill/>
            </a:ln>
            <a:effectLst/>
          </c:spPr>
          <c:invertIfNegative val="0"/>
          <c:dLbls>
            <c:spPr>
              <a:noFill/>
              <a:ln>
                <a:noFill/>
              </a:ln>
              <a:effectLst/>
            </c:spPr>
            <c:txPr>
              <a:bodyPr rot="0" spcFirstLastPara="1" vertOverflow="ellipsis" horzOverflow="clip"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q9_13_16_27_28_39_40_E_Fig!$X$127:$X$133</c15:sqref>
                  </c15:fullRef>
                </c:ext>
              </c:extLst>
              <c:f>q9_13_16_27_28_39_40_E_Fig!$X$129</c:f>
              <c:strCache>
                <c:ptCount val="1"/>
                <c:pt idx="0">
                  <c:v>Oeste e Vale do Tejo</c:v>
                </c:pt>
              </c:strCache>
            </c:strRef>
          </c:cat>
          <c:val>
            <c:numRef>
              <c:extLst>
                <c:ext xmlns:c15="http://schemas.microsoft.com/office/drawing/2012/chart" uri="{02D57815-91ED-43cb-92C2-25804820EDAC}">
                  <c15:fullRef>
                    <c15:sqref>q9_13_16_27_28_39_40_E_Fig!$Y$127:$Y$133</c15:sqref>
                  </c15:fullRef>
                </c:ext>
              </c:extLst>
              <c:f>q9_13_16_27_28_39_40_E_Fig!$Y$129</c:f>
              <c:numCache>
                <c:formatCode>#,##0</c:formatCode>
                <c:ptCount val="1"/>
                <c:pt idx="0">
                  <c:v>40944.000000000007</c:v>
                </c:pt>
              </c:numCache>
            </c:numRef>
          </c:val>
          <c:extLst>
            <c:ext xmlns:c16="http://schemas.microsoft.com/office/drawing/2014/chart" uri="{C3380CC4-5D6E-409C-BE32-E72D297353CC}">
              <c16:uniqueId val="{00000000-83F3-4935-B06D-C9DDA120AB8E}"/>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0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q9_13_16_27_28_39_40_E_Fig!$Y$126</c:f>
              <c:strCache>
                <c:ptCount val="1"/>
                <c:pt idx="0">
                  <c:v>TCO</c:v>
                </c:pt>
              </c:strCache>
            </c:strRef>
          </c:tx>
          <c:spPr>
            <a:solidFill>
              <a:srgbClr val="5F7530"/>
            </a:solidFill>
            <a:ln>
              <a:noFill/>
            </a:ln>
            <a:effectLst/>
          </c:spPr>
          <c:invertIfNegative val="0"/>
          <c:dLbls>
            <c:spPr>
              <a:noFill/>
              <a:ln>
                <a:noFill/>
              </a:ln>
              <a:effectLst/>
            </c:spPr>
            <c:txPr>
              <a:bodyPr rot="0" spcFirstLastPara="1" vertOverflow="ellipsis" horzOverflow="clip"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q9_13_16_27_28_39_40_E_Fig!$X$127:$X$133</c15:sqref>
                  </c15:fullRef>
                </c:ext>
              </c:extLst>
              <c:f>q9_13_16_27_28_39_40_E_Fig!$X$131</c:f>
              <c:strCache>
                <c:ptCount val="1"/>
                <c:pt idx="0">
                  <c:v>Península de Setúbal</c:v>
                </c:pt>
              </c:strCache>
            </c:strRef>
          </c:cat>
          <c:val>
            <c:numRef>
              <c:extLst>
                <c:ext xmlns:c15="http://schemas.microsoft.com/office/drawing/2012/chart" uri="{02D57815-91ED-43cb-92C2-25804820EDAC}">
                  <c15:fullRef>
                    <c15:sqref>q9_13_16_27_28_39_40_E_Fig!$Y$127:$Y$133</c15:sqref>
                  </c15:fullRef>
                </c:ext>
              </c:extLst>
              <c:f>q9_13_16_27_28_39_40_E_Fig!$Y$131</c:f>
              <c:numCache>
                <c:formatCode>#,##0</c:formatCode>
                <c:ptCount val="1"/>
                <c:pt idx="0">
                  <c:v>33366</c:v>
                </c:pt>
              </c:numCache>
            </c:numRef>
          </c:val>
          <c:extLst>
            <c:ext xmlns:c16="http://schemas.microsoft.com/office/drawing/2014/chart" uri="{C3380CC4-5D6E-409C-BE32-E72D297353CC}">
              <c16:uniqueId val="{00000000-3C4F-4852-B9BB-EC6F8CBFF461}"/>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0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q9_13_16_27_28_39_40_E_Fig!$Y$126</c:f>
              <c:strCache>
                <c:ptCount val="1"/>
                <c:pt idx="0">
                  <c:v>TCO</c:v>
                </c:pt>
              </c:strCache>
            </c:strRef>
          </c:tx>
          <c:spPr>
            <a:solidFill>
              <a:srgbClr val="2C4D75"/>
            </a:solidFill>
            <a:ln>
              <a:noFill/>
            </a:ln>
            <a:effectLst/>
          </c:spPr>
          <c:invertIfNegative val="0"/>
          <c:dLbls>
            <c:spPr>
              <a:noFill/>
              <a:ln>
                <a:noFill/>
              </a:ln>
              <a:effectLst/>
            </c:spPr>
            <c:txPr>
              <a:bodyPr rot="0" spcFirstLastPara="1" vertOverflow="ellipsis" horzOverflow="clip" vert="horz" wrap="non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q9_13_16_27_28_39_40_E_Fig!$X$127:$X$133</c15:sqref>
                  </c15:fullRef>
                </c:ext>
              </c:extLst>
              <c:f>q9_13_16_27_28_39_40_E_Fig!$X$130</c:f>
              <c:strCache>
                <c:ptCount val="1"/>
                <c:pt idx="0">
                  <c:v>Grande Lisboa</c:v>
                </c:pt>
              </c:strCache>
            </c:strRef>
          </c:cat>
          <c:val>
            <c:numRef>
              <c:extLst>
                <c:ext xmlns:c15="http://schemas.microsoft.com/office/drawing/2012/chart" uri="{02D57815-91ED-43cb-92C2-25804820EDAC}">
                  <c15:fullRef>
                    <c15:sqref>q9_13_16_27_28_39_40_E_Fig!$Y$127:$Y$133</c15:sqref>
                  </c15:fullRef>
                </c:ext>
              </c:extLst>
              <c:f>q9_13_16_27_28_39_40_E_Fig!$Y$130</c:f>
              <c:numCache>
                <c:formatCode>#,##0</c:formatCode>
                <c:ptCount val="1"/>
                <c:pt idx="0">
                  <c:v>192040</c:v>
                </c:pt>
              </c:numCache>
            </c:numRef>
          </c:val>
          <c:extLst>
            <c:ext xmlns:c16="http://schemas.microsoft.com/office/drawing/2014/chart" uri="{C3380CC4-5D6E-409C-BE32-E72D297353CC}">
              <c16:uniqueId val="{00000000-E344-4B66-82C2-B60C85DD0103}"/>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0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q9_13_16_27_28_39_40_E_Fig!$Y$126</c:f>
              <c:strCache>
                <c:ptCount val="1"/>
                <c:pt idx="0">
                  <c:v>TCO</c:v>
                </c:pt>
              </c:strCache>
            </c:strRef>
          </c:tx>
          <c:spPr>
            <a:solidFill>
              <a:srgbClr val="4572A5"/>
            </a:solidFill>
            <a:ln>
              <a:noFill/>
            </a:ln>
            <a:effectLst/>
          </c:spPr>
          <c:invertIfNegative val="0"/>
          <c:dPt>
            <c:idx val="0"/>
            <c:invertIfNegative val="0"/>
            <c:bubble3D val="0"/>
            <c:spPr>
              <a:solidFill>
                <a:srgbClr val="276A7C"/>
              </a:solidFill>
              <a:ln>
                <a:noFill/>
              </a:ln>
              <a:effectLst/>
            </c:spPr>
            <c:extLst>
              <c:ext xmlns:c16="http://schemas.microsoft.com/office/drawing/2014/chart" uri="{C3380CC4-5D6E-409C-BE32-E72D297353CC}">
                <c16:uniqueId val="{00000001-4622-4C08-8AEF-4052DD4756D4}"/>
              </c:ext>
            </c:extLst>
          </c:dPt>
          <c:dLbls>
            <c:spPr>
              <a:noFill/>
              <a:ln>
                <a:noFill/>
              </a:ln>
              <a:effectLst/>
            </c:spPr>
            <c:txPr>
              <a:bodyPr rot="0" spcFirstLastPara="1" vertOverflow="ellipsis" horzOverflow="clip"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q9_13_16_27_28_39_40_E_Fig!$X$127:$X$133</c15:sqref>
                  </c15:fullRef>
                </c:ext>
              </c:extLst>
              <c:f>q9_13_16_27_28_39_40_E_Fig!$X$132</c:f>
              <c:strCache>
                <c:ptCount val="1"/>
                <c:pt idx="0">
                  <c:v>Alentejo</c:v>
                </c:pt>
              </c:strCache>
            </c:strRef>
          </c:cat>
          <c:val>
            <c:numRef>
              <c:extLst>
                <c:ext xmlns:c15="http://schemas.microsoft.com/office/drawing/2012/chart" uri="{02D57815-91ED-43cb-92C2-25804820EDAC}">
                  <c15:fullRef>
                    <c15:sqref>q9_13_16_27_28_39_40_E_Fig!$Y$127:$Y$133</c15:sqref>
                  </c15:fullRef>
                </c:ext>
              </c:extLst>
              <c:f>q9_13_16_27_28_39_40_E_Fig!$Y$132</c:f>
              <c:numCache>
                <c:formatCode>#,##0</c:formatCode>
                <c:ptCount val="1"/>
                <c:pt idx="0">
                  <c:v>25468.000000000011</c:v>
                </c:pt>
              </c:numCache>
            </c:numRef>
          </c:val>
          <c:extLst>
            <c:ext xmlns:c16="http://schemas.microsoft.com/office/drawing/2014/chart" uri="{C3380CC4-5D6E-409C-BE32-E72D297353CC}">
              <c16:uniqueId val="{00000002-4622-4C08-8AEF-4052DD4756D4}"/>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0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q9_13_16_27_28_39_40_E_Fig!$Y$126</c:f>
              <c:strCache>
                <c:ptCount val="1"/>
                <c:pt idx="0">
                  <c:v>TCO</c:v>
                </c:pt>
              </c:strCache>
            </c:strRef>
          </c:tx>
          <c:spPr>
            <a:solidFill>
              <a:srgbClr val="729ACA"/>
            </a:solidFill>
            <a:ln>
              <a:noFill/>
            </a:ln>
            <a:effectLst/>
          </c:spPr>
          <c:invertIfNegative val="0"/>
          <c:dLbls>
            <c:spPr>
              <a:noFill/>
              <a:ln>
                <a:noFill/>
              </a:ln>
              <a:effectLst/>
            </c:spPr>
            <c:txPr>
              <a:bodyPr rot="0" spcFirstLastPara="1" vertOverflow="ellipsis" horzOverflow="clip"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q9_13_16_27_28_39_40_E_Fig!$X$127:$X$133</c15:sqref>
                  </c15:fullRef>
                </c:ext>
              </c:extLst>
              <c:f>q9_13_16_27_28_39_40_E_Fig!$X$133</c:f>
              <c:strCache>
                <c:ptCount val="1"/>
                <c:pt idx="0">
                  <c:v>Algarve</c:v>
                </c:pt>
              </c:strCache>
            </c:strRef>
          </c:cat>
          <c:val>
            <c:numRef>
              <c:extLst>
                <c:ext xmlns:c15="http://schemas.microsoft.com/office/drawing/2012/chart" uri="{02D57815-91ED-43cb-92C2-25804820EDAC}">
                  <c15:fullRef>
                    <c15:sqref>q9_13_16_27_28_39_40_E_Fig!$Y$127:$Y$133</c15:sqref>
                  </c15:fullRef>
                </c:ext>
              </c:extLst>
              <c:f>q9_13_16_27_28_39_40_E_Fig!$Y$133</c:f>
              <c:numCache>
                <c:formatCode>#,##0</c:formatCode>
                <c:ptCount val="1"/>
                <c:pt idx="0">
                  <c:v>52164.000000000007</c:v>
                </c:pt>
              </c:numCache>
            </c:numRef>
          </c:val>
          <c:extLst>
            <c:ext xmlns:c16="http://schemas.microsoft.com/office/drawing/2014/chart" uri="{C3380CC4-5D6E-409C-BE32-E72D297353CC}">
              <c16:uniqueId val="{00000000-9FAF-48D6-98F4-97C6F05C1908}"/>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0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51811908323250411"/>
          <c:y val="2.4662769901172842E-2"/>
          <c:w val="0.42427931394519619"/>
          <c:h val="0.92049561986569861"/>
        </c:manualLayout>
      </c:layout>
      <c:barChart>
        <c:barDir val="bar"/>
        <c:grouping val="clustered"/>
        <c:varyColors val="0"/>
        <c:ser>
          <c:idx val="0"/>
          <c:order val="0"/>
          <c:tx>
            <c:strRef>
              <c:f>q9_13_16_27_28_39_40_E_Fig!$Y$96</c:f>
              <c:strCache>
                <c:ptCount val="1"/>
                <c:pt idx="0">
                  <c:v>TCO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Pt>
            <c:idx val="0"/>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A472-4166-A4EE-6682067B450C}"/>
              </c:ext>
            </c:extLst>
          </c:dPt>
          <c:dPt>
            <c:idx val="1"/>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A472-4166-A4EE-6682067B450C}"/>
              </c:ext>
            </c:extLst>
          </c:dPt>
          <c:dPt>
            <c:idx val="2"/>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A472-4166-A4EE-6682067B450C}"/>
              </c:ext>
            </c:extLst>
          </c:dPt>
          <c:dPt>
            <c:idx val="3"/>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A472-4166-A4EE-6682067B450C}"/>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A472-4166-A4EE-6682067B450C}"/>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A472-4166-A4EE-6682067B450C}"/>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A472-4166-A4EE-6682067B450C}"/>
              </c:ext>
            </c:extLst>
          </c:dPt>
          <c:dPt>
            <c:idx val="7"/>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A472-4166-A4EE-6682067B450C}"/>
              </c:ext>
            </c:extLst>
          </c:dPt>
          <c:dPt>
            <c:idx val="8"/>
            <c:invertIfNegative val="0"/>
            <c:bubble3D val="0"/>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1-A472-4166-A4EE-6682067B450C}"/>
              </c:ext>
            </c:extLst>
          </c:dPt>
          <c:dPt>
            <c:idx val="9"/>
            <c:invertIfNegative val="0"/>
            <c:bubble3D val="0"/>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A472-4166-A4EE-6682067B450C}"/>
              </c:ext>
            </c:extLst>
          </c:dPt>
          <c:dPt>
            <c:idx val="10"/>
            <c:invertIfNegative val="0"/>
            <c:bubble3D val="0"/>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A472-4166-A4EE-6682067B450C}"/>
              </c:ext>
            </c:extLst>
          </c:dPt>
          <c:dPt>
            <c:idx val="11"/>
            <c:invertIfNegative val="0"/>
            <c:bubble3D val="0"/>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7-A472-4166-A4EE-6682067B450C}"/>
              </c:ext>
            </c:extLst>
          </c:dPt>
          <c:dPt>
            <c:idx val="12"/>
            <c:invertIfNegative val="0"/>
            <c:bubble3D val="0"/>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9-A472-4166-A4EE-6682067B450C}"/>
              </c:ext>
            </c:extLst>
          </c:dPt>
          <c:dPt>
            <c:idx val="13"/>
            <c:invertIfNegative val="0"/>
            <c:bubble3D val="0"/>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B-A472-4166-A4EE-6682067B450C}"/>
              </c:ext>
            </c:extLst>
          </c:dPt>
          <c:dPt>
            <c:idx val="14"/>
            <c:invertIfNegative val="0"/>
            <c:bubble3D val="0"/>
            <c:spPr>
              <a:solidFill>
                <a:schemeClr val="accent5"/>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D-A472-4166-A4EE-6682067B450C}"/>
              </c:ext>
            </c:extLst>
          </c:dPt>
          <c:dPt>
            <c:idx val="15"/>
            <c:invertIfNegative val="0"/>
            <c:bubble3D val="0"/>
            <c:spPr>
              <a:solidFill>
                <a:schemeClr val="accent5"/>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F-A472-4166-A4EE-6682067B450C}"/>
              </c:ext>
            </c:extLst>
          </c:dPt>
          <c:dPt>
            <c:idx val="16"/>
            <c:invertIfNegative val="0"/>
            <c:bubble3D val="0"/>
            <c:spPr>
              <a:solidFill>
                <a:schemeClr val="accent5"/>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1-A472-4166-A4EE-6682067B450C}"/>
              </c:ext>
            </c:extLst>
          </c:dPt>
          <c:dPt>
            <c:idx val="17"/>
            <c:invertIfNegative val="0"/>
            <c:bubble3D val="0"/>
            <c:spPr>
              <a:solidFill>
                <a:srgbClr val="2C4D75"/>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3-A472-4166-A4EE-6682067B450C}"/>
              </c:ext>
            </c:extLst>
          </c:dPt>
          <c:dPt>
            <c:idx val="18"/>
            <c:invertIfNegative val="0"/>
            <c:bubble3D val="0"/>
            <c:spPr>
              <a:solidFill>
                <a:srgbClr val="5F753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5-A472-4166-A4EE-6682067B450C}"/>
              </c:ext>
            </c:extLst>
          </c:dPt>
          <c:dPt>
            <c:idx val="19"/>
            <c:invertIfNegative val="0"/>
            <c:bubble3D val="0"/>
            <c:spPr>
              <a:solidFill>
                <a:srgbClr val="276A7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7-A472-4166-A4EE-6682067B450C}"/>
              </c:ext>
            </c:extLst>
          </c:dPt>
          <c:dPt>
            <c:idx val="20"/>
            <c:invertIfNegative val="0"/>
            <c:bubble3D val="0"/>
            <c:spPr>
              <a:solidFill>
                <a:srgbClr val="276A7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9-A472-4166-A4EE-6682067B450C}"/>
              </c:ext>
            </c:extLst>
          </c:dPt>
          <c:dPt>
            <c:idx val="21"/>
            <c:invertIfNegative val="0"/>
            <c:bubble3D val="0"/>
            <c:spPr>
              <a:solidFill>
                <a:srgbClr val="276A7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B-A472-4166-A4EE-6682067B450C}"/>
              </c:ext>
            </c:extLst>
          </c:dPt>
          <c:dPt>
            <c:idx val="22"/>
            <c:invertIfNegative val="0"/>
            <c:bubble3D val="0"/>
            <c:spPr>
              <a:solidFill>
                <a:srgbClr val="276A7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D-A472-4166-A4EE-6682067B450C}"/>
              </c:ext>
            </c:extLst>
          </c:dPt>
          <c:dPt>
            <c:idx val="23"/>
            <c:invertIfNegative val="0"/>
            <c:bubble3D val="0"/>
            <c:spPr>
              <a:solidFill>
                <a:srgbClr val="729ACA"/>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F-A472-4166-A4EE-6682067B450C}"/>
              </c:ext>
            </c:extLst>
          </c:dPt>
          <c:dLbls>
            <c:dLbl>
              <c:idx val="17"/>
              <c:layout>
                <c:manualLayout>
                  <c:x val="-9.6350686150916534E-2"/>
                  <c:y val="1.0097415248120412E-16"/>
                </c:manualLayout>
              </c:layout>
              <c:numFmt formatCode="#,##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3-A472-4166-A4EE-6682067B450C}"/>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tx2">
                          <a:lumMod val="35000"/>
                          <a:lumOff val="65000"/>
                        </a:schemeClr>
                      </a:solidFill>
                    </a:ln>
                    <a:effectLst/>
                  </c:spPr>
                </c15:leaderLines>
              </c:ext>
            </c:extLst>
          </c:dLbls>
          <c:cat>
            <c:strRef>
              <c:f>q9_13_16_27_28_39_40_E_Fig!$V$97:$V$120</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q9_13_16_27_28_39_40_E_Fig!$Y$97:$Y$120</c:f>
              <c:numCache>
                <c:formatCode>#,##0</c:formatCode>
                <c:ptCount val="24"/>
                <c:pt idx="0">
                  <c:v>8918</c:v>
                </c:pt>
                <c:pt idx="1">
                  <c:v>16614.999999999996</c:v>
                </c:pt>
                <c:pt idx="2">
                  <c:v>8530</c:v>
                </c:pt>
                <c:pt idx="3">
                  <c:v>59436</c:v>
                </c:pt>
                <c:pt idx="4">
                  <c:v>1000.9999999999999</c:v>
                </c:pt>
                <c:pt idx="5">
                  <c:v>8817</c:v>
                </c:pt>
                <c:pt idx="6">
                  <c:v>3321.0000000000005</c:v>
                </c:pt>
                <c:pt idx="7">
                  <c:v>1588</c:v>
                </c:pt>
                <c:pt idx="8">
                  <c:v>16595</c:v>
                </c:pt>
                <c:pt idx="9">
                  <c:v>12388</c:v>
                </c:pt>
                <c:pt idx="10">
                  <c:v>15258</c:v>
                </c:pt>
                <c:pt idx="11">
                  <c:v>6921</c:v>
                </c:pt>
                <c:pt idx="12">
                  <c:v>2616</c:v>
                </c:pt>
                <c:pt idx="13">
                  <c:v>3797</c:v>
                </c:pt>
                <c:pt idx="14">
                  <c:v>18310</c:v>
                </c:pt>
                <c:pt idx="15">
                  <c:v>6903</c:v>
                </c:pt>
                <c:pt idx="16">
                  <c:v>15731</c:v>
                </c:pt>
                <c:pt idx="17">
                  <c:v>192040</c:v>
                </c:pt>
                <c:pt idx="18">
                  <c:v>33366</c:v>
                </c:pt>
                <c:pt idx="19">
                  <c:v>13062</c:v>
                </c:pt>
                <c:pt idx="20">
                  <c:v>5654.0000000000009</c:v>
                </c:pt>
                <c:pt idx="21">
                  <c:v>1982</c:v>
                </c:pt>
                <c:pt idx="22">
                  <c:v>4770</c:v>
                </c:pt>
                <c:pt idx="23">
                  <c:v>52164.000000000007</c:v>
                </c:pt>
              </c:numCache>
            </c:numRef>
          </c:val>
          <c:extLst>
            <c:ext xmlns:c16="http://schemas.microsoft.com/office/drawing/2014/chart" uri="{C3380CC4-5D6E-409C-BE32-E72D297353CC}">
              <c16:uniqueId val="{00000030-A472-4166-A4EE-6682067B450C}"/>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q9_13_16_27_28_39_40_E_Fig!$Y$126</c:f>
              <c:strCache>
                <c:ptCount val="1"/>
                <c:pt idx="0">
                  <c:v>TCO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50F-4927-912E-0451EE3BC22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450F-4927-912E-0451EE3BC22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450F-4927-912E-0451EE3BC22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450F-4927-912E-0451EE3BC224}"/>
              </c:ext>
            </c:extLst>
          </c:dPt>
          <c:dPt>
            <c:idx val="4"/>
            <c:bubble3D val="0"/>
            <c:spPr>
              <a:solidFill>
                <a:srgbClr val="5F7530"/>
              </a:solidFill>
              <a:ln w="19050">
                <a:solidFill>
                  <a:schemeClr val="lt1"/>
                </a:solidFill>
              </a:ln>
              <a:effectLst/>
            </c:spPr>
            <c:extLst>
              <c:ext xmlns:c16="http://schemas.microsoft.com/office/drawing/2014/chart" uri="{C3380CC4-5D6E-409C-BE32-E72D297353CC}">
                <c16:uniqueId val="{00000009-450F-4927-912E-0451EE3BC22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450F-4927-912E-0451EE3BC22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450F-4927-912E-0451EE3BC224}"/>
              </c:ext>
            </c:extLst>
          </c:dPt>
          <c:dLbls>
            <c:dLbl>
              <c:idx val="0"/>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450F-4927-912E-0451EE3BC224}"/>
                </c:ext>
              </c:extLst>
            </c:dLbl>
            <c:dLbl>
              <c:idx val="1"/>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450F-4927-912E-0451EE3BC224}"/>
                </c:ext>
              </c:extLst>
            </c:dLbl>
            <c:dLbl>
              <c:idx val="2"/>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450F-4927-912E-0451EE3BC224}"/>
                </c:ext>
              </c:extLst>
            </c:dLbl>
            <c:dLbl>
              <c:idx val="3"/>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450F-4927-912E-0451EE3BC224}"/>
                </c:ext>
              </c:extLst>
            </c:dLbl>
            <c:dLbl>
              <c:idx val="4"/>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450F-4927-912E-0451EE3BC224}"/>
                </c:ext>
              </c:extLst>
            </c:dLbl>
            <c:dLbl>
              <c:idx val="5"/>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450F-4927-912E-0451EE3BC224}"/>
                </c:ext>
              </c:extLst>
            </c:dLbl>
            <c:dLbl>
              <c:idx val="6"/>
              <c:layout>
                <c:manualLayout>
                  <c:x val="0.1138839717386077"/>
                  <c:y val="0.10377857313290378"/>
                </c:manualLayout>
              </c:layout>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450F-4927-912E-0451EE3BC224}"/>
                </c:ext>
              </c:extLst>
            </c:dLbl>
            <c:numFmt formatCode="0.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q9_13_16_27_28_39_40_E_Fig!$X$127:$X$133</c:f>
              <c:strCache>
                <c:ptCount val="7"/>
                <c:pt idx="0">
                  <c:v>Norte</c:v>
                </c:pt>
                <c:pt idx="1">
                  <c:v>Centro</c:v>
                </c:pt>
                <c:pt idx="2">
                  <c:v>Oeste e Vale do Tejo</c:v>
                </c:pt>
                <c:pt idx="3">
                  <c:v>Grande Lisboa</c:v>
                </c:pt>
                <c:pt idx="4">
                  <c:v>Península de Setúbal</c:v>
                </c:pt>
                <c:pt idx="5">
                  <c:v>Alentejo</c:v>
                </c:pt>
                <c:pt idx="6">
                  <c:v>Algarve</c:v>
                </c:pt>
              </c:strCache>
            </c:strRef>
          </c:cat>
          <c:val>
            <c:numRef>
              <c:f>q9_13_16_27_28_39_40_E_Fig!$Y$127:$Y$133</c:f>
              <c:numCache>
                <c:formatCode>#,##0</c:formatCode>
                <c:ptCount val="7"/>
                <c:pt idx="0">
                  <c:v>108225.99999999999</c:v>
                </c:pt>
                <c:pt idx="1">
                  <c:v>57574.999999999993</c:v>
                </c:pt>
                <c:pt idx="2">
                  <c:v>40944.000000000007</c:v>
                </c:pt>
                <c:pt idx="3">
                  <c:v>192040</c:v>
                </c:pt>
                <c:pt idx="4">
                  <c:v>33366</c:v>
                </c:pt>
                <c:pt idx="5">
                  <c:v>25468.000000000011</c:v>
                </c:pt>
                <c:pt idx="6">
                  <c:v>52164.000000000007</c:v>
                </c:pt>
              </c:numCache>
            </c:numRef>
          </c:val>
          <c:extLst>
            <c:ext xmlns:c16="http://schemas.microsoft.com/office/drawing/2014/chart" uri="{C3380CC4-5D6E-409C-BE32-E72D297353CC}">
              <c16:uniqueId val="{0000000E-450F-4927-912E-0451EE3BC22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7015773028371451"/>
          <c:y val="0.22899703122140164"/>
          <c:w val="0.56635020622422194"/>
          <c:h val="0.77100296877859842"/>
        </c:manualLayout>
      </c:layout>
      <c:barChart>
        <c:barDir val="bar"/>
        <c:grouping val="clustered"/>
        <c:varyColors val="0"/>
        <c:ser>
          <c:idx val="0"/>
          <c:order val="0"/>
          <c:tx>
            <c:strRef>
              <c:f>q22_q23_q34_q35_Fig!$BM$20</c:f>
              <c:strCache>
                <c:ptCount val="1"/>
                <c:pt idx="0">
                  <c:v>Base - H</c:v>
                </c:pt>
              </c:strCache>
            </c:strRef>
          </c:tx>
          <c:spPr>
            <a:solidFill>
              <a:srgbClr val="4F81BD"/>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q22_q23_q34_q35_Fig!$BL$21:$BL$24</c:f>
              <c:strCache>
                <c:ptCount val="4"/>
                <c:pt idx="0">
                  <c:v>Micro (1-9 pessoas)</c:v>
                </c:pt>
                <c:pt idx="1">
                  <c:v>Pequenos (10 - 49 pessoas)</c:v>
                </c:pt>
                <c:pt idx="2">
                  <c:v>Médios (50 - 249 pessoas)</c:v>
                </c:pt>
                <c:pt idx="3">
                  <c:v>Grandes (250 ou + pessoas)</c:v>
                </c:pt>
              </c:strCache>
            </c:strRef>
          </c:cat>
          <c:val>
            <c:numRef>
              <c:f>q22_q23_q34_q35_Fig!$BM$21:$BM$24</c:f>
              <c:numCache>
                <c:formatCode>#,##0.00\ "€"</c:formatCode>
                <c:ptCount val="4"/>
                <c:pt idx="0">
                  <c:v>-1120.5396858895213</c:v>
                </c:pt>
                <c:pt idx="1">
                  <c:v>-1271.7886090185459</c:v>
                </c:pt>
                <c:pt idx="2">
                  <c:v>-1485.057317005522</c:v>
                </c:pt>
                <c:pt idx="3">
                  <c:v>-1696.6928720265187</c:v>
                </c:pt>
              </c:numCache>
            </c:numRef>
          </c:val>
          <c:extLst>
            <c:ext xmlns:c16="http://schemas.microsoft.com/office/drawing/2014/chart" uri="{C3380CC4-5D6E-409C-BE32-E72D297353CC}">
              <c16:uniqueId val="{00000000-B1D9-4032-B25D-A6BBC0F36310}"/>
            </c:ext>
          </c:extLst>
        </c:ser>
        <c:ser>
          <c:idx val="1"/>
          <c:order val="1"/>
          <c:tx>
            <c:strRef>
              <c:f>q22_q23_q34_q35_Fig!$BN$20</c:f>
              <c:strCache>
                <c:ptCount val="1"/>
                <c:pt idx="0">
                  <c:v>Ganho - H</c:v>
                </c:pt>
              </c:strCache>
            </c:strRef>
          </c:tx>
          <c:spPr>
            <a:solidFill>
              <a:srgbClr val="FFC000"/>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square" lIns="38100" tIns="0" rIns="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q22_q23_q34_q35_Fig!$BL$21:$BL$24</c:f>
              <c:strCache>
                <c:ptCount val="4"/>
                <c:pt idx="0">
                  <c:v>Micro (1-9 pessoas)</c:v>
                </c:pt>
                <c:pt idx="1">
                  <c:v>Pequenos (10 - 49 pessoas)</c:v>
                </c:pt>
                <c:pt idx="2">
                  <c:v>Médios (50 - 249 pessoas)</c:v>
                </c:pt>
                <c:pt idx="3">
                  <c:v>Grandes (250 ou + pessoas)</c:v>
                </c:pt>
              </c:strCache>
            </c:strRef>
          </c:cat>
          <c:val>
            <c:numRef>
              <c:f>q22_q23_q34_q35_Fig!$BN$21:$BN$24</c:f>
              <c:numCache>
                <c:formatCode>#,##0.00\ "€"</c:formatCode>
                <c:ptCount val="4"/>
                <c:pt idx="0">
                  <c:v>-1311.3349269916257</c:v>
                </c:pt>
                <c:pt idx="1">
                  <c:v>-1538.4811929701916</c:v>
                </c:pt>
                <c:pt idx="2">
                  <c:v>-1836.3561464348047</c:v>
                </c:pt>
                <c:pt idx="3">
                  <c:v>-2144.4478157429194</c:v>
                </c:pt>
              </c:numCache>
            </c:numRef>
          </c:val>
          <c:extLst>
            <c:ext xmlns:c16="http://schemas.microsoft.com/office/drawing/2014/chart" uri="{C3380CC4-5D6E-409C-BE32-E72D297353CC}">
              <c16:uniqueId val="{00000001-B1D9-4032-B25D-A6BBC0F36310}"/>
            </c:ext>
          </c:extLst>
        </c:ser>
        <c:dLbls>
          <c:showLegendKey val="0"/>
          <c:showVal val="0"/>
          <c:showCatName val="0"/>
          <c:showSerName val="0"/>
          <c:showPercent val="0"/>
          <c:showBubbleSize val="0"/>
        </c:dLbls>
        <c:gapWidth val="42"/>
        <c:axId val="1261817855"/>
        <c:axId val="267587263"/>
      </c:barChart>
      <c:barChart>
        <c:barDir val="bar"/>
        <c:grouping val="clustered"/>
        <c:varyColors val="0"/>
        <c:ser>
          <c:idx val="2"/>
          <c:order val="2"/>
          <c:tx>
            <c:strRef>
              <c:f>q22_q23_q34_q35_Fig!$BO$20</c:f>
              <c:strCache>
                <c:ptCount val="1"/>
                <c:pt idx="0">
                  <c:v>Base - M</c:v>
                </c:pt>
              </c:strCache>
            </c:strRef>
          </c:tx>
          <c:spPr>
            <a:solidFill>
              <a:srgbClr val="95B3D7"/>
            </a:solidFill>
          </c:spPr>
          <c:invertIfNegative val="0"/>
          <c:dLbls>
            <c:spPr>
              <a:noFill/>
              <a:ln>
                <a:noFill/>
              </a:ln>
              <a:effectLst/>
            </c:spPr>
            <c:txPr>
              <a:bodyPr wrap="square" lIns="38100" tIns="19050" rIns="38100" bIns="19050" anchor="ctr">
                <a:spAutoFit/>
              </a:bodyPr>
              <a:lstStyle/>
              <a:p>
                <a:pPr>
                  <a:defRPr sz="700" b="0">
                    <a:solidFill>
                      <a:sysClr val="windowText" lastClr="000000"/>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q22_q23_q34_q35_Fig!$BL$21:$BL$24</c:f>
              <c:strCache>
                <c:ptCount val="4"/>
                <c:pt idx="0">
                  <c:v>Micro (1-9 pessoas)</c:v>
                </c:pt>
                <c:pt idx="1">
                  <c:v>Pequenos (10 - 49 pessoas)</c:v>
                </c:pt>
                <c:pt idx="2">
                  <c:v>Médios (50 - 249 pessoas)</c:v>
                </c:pt>
                <c:pt idx="3">
                  <c:v>Grandes (250 ou + pessoas)</c:v>
                </c:pt>
              </c:strCache>
            </c:strRef>
          </c:cat>
          <c:val>
            <c:numRef>
              <c:f>q22_q23_q34_q35_Fig!$BO$21:$BO$24</c:f>
              <c:numCache>
                <c:formatCode>#,##0.00\ "€"</c:formatCode>
                <c:ptCount val="4"/>
                <c:pt idx="0">
                  <c:v>1034.5808613752467</c:v>
                </c:pt>
                <c:pt idx="1">
                  <c:v>1136.6835068486735</c:v>
                </c:pt>
                <c:pt idx="2">
                  <c:v>1290.870053540666</c:v>
                </c:pt>
                <c:pt idx="3">
                  <c:v>1456.3128685964136</c:v>
                </c:pt>
              </c:numCache>
            </c:numRef>
          </c:val>
          <c:extLst>
            <c:ext xmlns:c16="http://schemas.microsoft.com/office/drawing/2014/chart" uri="{C3380CC4-5D6E-409C-BE32-E72D297353CC}">
              <c16:uniqueId val="{00000002-B1D9-4032-B25D-A6BBC0F36310}"/>
            </c:ext>
          </c:extLst>
        </c:ser>
        <c:ser>
          <c:idx val="3"/>
          <c:order val="3"/>
          <c:tx>
            <c:strRef>
              <c:f>q22_q23_q34_q35_Fig!$BP$20</c:f>
              <c:strCache>
                <c:ptCount val="1"/>
                <c:pt idx="0">
                  <c:v>Ganho - M</c:v>
                </c:pt>
              </c:strCache>
            </c:strRef>
          </c:tx>
          <c:spPr>
            <a:solidFill>
              <a:srgbClr val="FFEF57"/>
            </a:solidFill>
          </c:spPr>
          <c:invertIfNegative val="0"/>
          <c:dLbls>
            <c:spPr>
              <a:noFill/>
              <a:ln>
                <a:noFill/>
              </a:ln>
              <a:effectLst/>
            </c:spPr>
            <c:txPr>
              <a:bodyPr wrap="square" lIns="38100" tIns="19050" rIns="38100" bIns="19050" anchor="ctr">
                <a:sp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q22_q23_q34_q35_Fig!$BL$21:$BL$24</c:f>
              <c:strCache>
                <c:ptCount val="4"/>
                <c:pt idx="0">
                  <c:v>Micro (1-9 pessoas)</c:v>
                </c:pt>
                <c:pt idx="1">
                  <c:v>Pequenos (10 - 49 pessoas)</c:v>
                </c:pt>
                <c:pt idx="2">
                  <c:v>Médios (50 - 249 pessoas)</c:v>
                </c:pt>
                <c:pt idx="3">
                  <c:v>Grandes (250 ou + pessoas)</c:v>
                </c:pt>
              </c:strCache>
            </c:strRef>
          </c:cat>
          <c:val>
            <c:numRef>
              <c:f>q22_q23_q34_q35_Fig!$BP$21:$BP$24</c:f>
              <c:numCache>
                <c:formatCode>#,##0.00\ "€"</c:formatCode>
                <c:ptCount val="4"/>
                <c:pt idx="0">
                  <c:v>1203.1785746469959</c:v>
                </c:pt>
                <c:pt idx="1">
                  <c:v>1331.5030199164923</c:v>
                </c:pt>
                <c:pt idx="2">
                  <c:v>1532.2239568867822</c:v>
                </c:pt>
                <c:pt idx="3">
                  <c:v>1790.0339973099788</c:v>
                </c:pt>
              </c:numCache>
            </c:numRef>
          </c:val>
          <c:extLst>
            <c:ext xmlns:c16="http://schemas.microsoft.com/office/drawing/2014/chart" uri="{C3380CC4-5D6E-409C-BE32-E72D297353CC}">
              <c16:uniqueId val="{00000003-B1D9-4032-B25D-A6BBC0F36310}"/>
            </c:ext>
          </c:extLst>
        </c:ser>
        <c:dLbls>
          <c:showLegendKey val="0"/>
          <c:showVal val="0"/>
          <c:showCatName val="0"/>
          <c:showSerName val="0"/>
          <c:showPercent val="0"/>
          <c:showBubbleSize val="0"/>
        </c:dLbls>
        <c:gapWidth val="42"/>
        <c:axId val="1450336576"/>
        <c:axId val="1128689328"/>
      </c:barChart>
      <c:catAx>
        <c:axId val="1261817855"/>
        <c:scaling>
          <c:orientation val="maxMin"/>
        </c:scaling>
        <c:delete val="0"/>
        <c:axPos val="l"/>
        <c:majorGridlines>
          <c:spPr>
            <a:ln>
              <a:solidFill>
                <a:srgbClr val="D9D9D9"/>
              </a:solidFill>
            </a:ln>
          </c:spPr>
        </c:majorGridlines>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max val="2000"/>
          <c:min val="-2000"/>
        </c:scaling>
        <c:delete val="1"/>
        <c:axPos val="t"/>
        <c:numFmt formatCode="#,##0;#,##0" sourceLinked="0"/>
        <c:majorTickMark val="out"/>
        <c:minorTickMark val="none"/>
        <c:tickLblPos val="nextTo"/>
        <c:crossAx val="1261817855"/>
        <c:crosses val="autoZero"/>
        <c:crossBetween val="between"/>
        <c:majorUnit val="200"/>
      </c:valAx>
      <c:valAx>
        <c:axId val="1128689328"/>
        <c:scaling>
          <c:orientation val="minMax"/>
        </c:scaling>
        <c:delete val="1"/>
        <c:axPos val="b"/>
        <c:numFmt formatCode="#,##0.00\ &quot;€&quot;" sourceLinked="1"/>
        <c:majorTickMark val="out"/>
        <c:minorTickMark val="none"/>
        <c:tickLblPos val="nextTo"/>
        <c:crossAx val="1450336576"/>
        <c:crosses val="max"/>
        <c:crossBetween val="between"/>
      </c:valAx>
      <c:catAx>
        <c:axId val="1450336576"/>
        <c:scaling>
          <c:orientation val="maxMin"/>
        </c:scaling>
        <c:delete val="1"/>
        <c:axPos val="r"/>
        <c:numFmt formatCode="General" sourceLinked="1"/>
        <c:majorTickMark val="out"/>
        <c:minorTickMark val="none"/>
        <c:tickLblPos val="nextTo"/>
        <c:crossAx val="1128689328"/>
        <c:crosses val="max"/>
        <c:auto val="1"/>
        <c:lblAlgn val="ctr"/>
        <c:lblOffset val="100"/>
        <c:noMultiLvlLbl val="0"/>
      </c:catAx>
      <c:spPr>
        <a:noFill/>
        <a:ln>
          <a:noFill/>
        </a:ln>
        <a:effectLst/>
      </c:spPr>
    </c:plotArea>
    <c:legend>
      <c:legendPos val="t"/>
      <c:layout>
        <c:manualLayout>
          <c:xMode val="edge"/>
          <c:yMode val="edge"/>
          <c:x val="6.0333417610469058E-2"/>
          <c:y val="1.385837479029243E-2"/>
          <c:w val="0.89849809005671954"/>
          <c:h val="9.0611448323966642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q22_q23_q34_q35_Fig!$AS$4</c:f>
              <c:strCache>
                <c:ptCount val="1"/>
                <c:pt idx="0">
                  <c:v>Remuneração 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3.0450466947445524E-2"/>
                  <c:y val="1.62528955922576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29-4E51-B316-FA31BD9CA197}"/>
                </c:ext>
              </c:extLst>
            </c:dLbl>
            <c:dLbl>
              <c:idx val="10"/>
              <c:layout>
                <c:manualLayout>
                  <c:x val="6.5324697316061298E-3"/>
                  <c:y val="9.7795971422014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29-4E51-B316-FA31BD9CA197}"/>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q22_q23_q34_q35_Fig!$AT$3:$BD$3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q22_q23_q34_q35_Fig!$AT$4:$BD$4</c:f>
              <c:numCache>
                <c:formatCode>#,##0.00</c:formatCode>
                <c:ptCount val="11"/>
                <c:pt idx="0">
                  <c:v>909.49</c:v>
                </c:pt>
                <c:pt idx="1">
                  <c:v>913.93</c:v>
                </c:pt>
                <c:pt idx="2">
                  <c:v>924.94</c:v>
                </c:pt>
                <c:pt idx="3">
                  <c:v>943</c:v>
                </c:pt>
                <c:pt idx="4">
                  <c:v>970.42</c:v>
                </c:pt>
                <c:pt idx="5">
                  <c:v>1005.09</c:v>
                </c:pt>
                <c:pt idx="6">
                  <c:v>1041.99</c:v>
                </c:pt>
                <c:pt idx="7">
                  <c:v>1082.77</c:v>
                </c:pt>
                <c:pt idx="8">
                  <c:v>1143.45</c:v>
                </c:pt>
                <c:pt idx="9">
                  <c:v>1219.8699999999999</c:v>
                </c:pt>
                <c:pt idx="10">
                  <c:v>1308.96</c:v>
                </c:pt>
              </c:numCache>
            </c:numRef>
          </c:val>
          <c:extLst>
            <c:ext xmlns:c16="http://schemas.microsoft.com/office/drawing/2014/chart" uri="{C3380CC4-5D6E-409C-BE32-E72D297353CC}">
              <c16:uniqueId val="{00000002-9B29-4E51-B316-FA31BD9CA197}"/>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q22_q23_q34_q35_Fig!$AS$5</c:f>
              <c:strCache>
                <c:ptCount val="1"/>
                <c:pt idx="0">
                  <c:v>Remuneração Ganho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3-9B29-4E51-B316-FA31BD9CA197}"/>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9B29-4E51-B316-FA31BD9CA197}"/>
              </c:ext>
            </c:extLst>
          </c:dPt>
          <c:dLbls>
            <c:dLbl>
              <c:idx val="0"/>
              <c:layout>
                <c:manualLayout>
                  <c:x val="2.1333290999915332E-2"/>
                  <c:y val="-8.80163742798135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29-4E51-B316-FA31BD9CA197}"/>
                </c:ext>
              </c:extLst>
            </c:dLbl>
            <c:dLbl>
              <c:idx val="10"/>
              <c:layout>
                <c:manualLayout>
                  <c:x val="8.064516129032159E-3"/>
                  <c:y val="-5.8677582853209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29-4E51-B316-FA31BD9CA197}"/>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q22_q23_q34_q35_Fig!$AT$3:$BD$3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q22_q23_q34_q35_Fig!$AT$5:$BD$5</c:f>
              <c:numCache>
                <c:formatCode>#,##0.00</c:formatCode>
                <c:ptCount val="11"/>
                <c:pt idx="0">
                  <c:v>1093.21</c:v>
                </c:pt>
                <c:pt idx="1">
                  <c:v>1096.6600000000001</c:v>
                </c:pt>
                <c:pt idx="2">
                  <c:v>1107.8599999999999</c:v>
                </c:pt>
                <c:pt idx="3">
                  <c:v>1133.3399999999999</c:v>
                </c:pt>
                <c:pt idx="4">
                  <c:v>1170.25</c:v>
                </c:pt>
                <c:pt idx="5">
                  <c:v>1209.94</c:v>
                </c:pt>
                <c:pt idx="6">
                  <c:v>1250.75</c:v>
                </c:pt>
                <c:pt idx="7">
                  <c:v>1294.1099999999999</c:v>
                </c:pt>
                <c:pt idx="8">
                  <c:v>1368</c:v>
                </c:pt>
                <c:pt idx="9">
                  <c:v>1466.66</c:v>
                </c:pt>
                <c:pt idx="10">
                  <c:v>1582.75</c:v>
                </c:pt>
              </c:numCache>
            </c:numRef>
          </c:val>
          <c:smooth val="0"/>
          <c:extLst>
            <c:ext xmlns:c16="http://schemas.microsoft.com/office/drawing/2014/chart" uri="{C3380CC4-5D6E-409C-BE32-E72D297353CC}">
              <c16:uniqueId val="{00000006-9B29-4E51-B316-FA31BD9CA197}"/>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1600"/>
          <c:min val="0"/>
        </c:scaling>
        <c:delete val="0"/>
        <c:axPos val="l"/>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majorUnit val="200"/>
      </c:valAx>
      <c:spPr>
        <a:noFill/>
        <a:ln>
          <a:noFill/>
        </a:ln>
        <a:effectLst/>
      </c:spPr>
    </c:plotArea>
    <c:legend>
      <c:legendPos val="b"/>
      <c:layout>
        <c:manualLayout>
          <c:xMode val="edge"/>
          <c:yMode val="edge"/>
          <c:x val="0"/>
          <c:y val="0.90565922955255651"/>
          <c:w val="0.64269409872153083"/>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9894576291867485"/>
          <c:h val="0.61909228840533581"/>
        </c:manualLayout>
      </c:layout>
      <c:barChart>
        <c:barDir val="col"/>
        <c:grouping val="clustered"/>
        <c:varyColors val="0"/>
        <c:ser>
          <c:idx val="0"/>
          <c:order val="0"/>
          <c:tx>
            <c:strRef>
              <c:f>q3_q7_q11_q15_q24_q36_Fig!$S$62</c:f>
              <c:strCache>
                <c:ptCount val="1"/>
                <c:pt idx="0">
                  <c:v>Pessoas ao serviço</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4.8718601826090363E-2"/>
                  <c:y val="-5.5776006812251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F9-4298-81D7-A53EFE6A7603}"/>
                </c:ext>
              </c:extLst>
            </c:dLbl>
            <c:dLbl>
              <c:idx val="10"/>
              <c:layout>
                <c:manualLayout>
                  <c:x val="8.8657097699379912E-3"/>
                  <c:y val="-8.85258227609060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F9-4298-81D7-A53EFE6A7603}"/>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F9-4298-81D7-A53EFE6A760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q3_q7_q11_q15_q24_q36_Fig!$T$61:$AD$61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q3_q7_q11_q15_q24_q36_Fig!$T$62:$AD$62</c:f>
              <c:numCache>
                <c:formatCode>#\ ###\ ##0</c:formatCode>
                <c:ptCount val="11"/>
                <c:pt idx="0">
                  <c:v>764524</c:v>
                </c:pt>
                <c:pt idx="1">
                  <c:v>780947</c:v>
                </c:pt>
                <c:pt idx="2">
                  <c:v>817508</c:v>
                </c:pt>
                <c:pt idx="3">
                  <c:v>847011</c:v>
                </c:pt>
                <c:pt idx="4">
                  <c:v>886123</c:v>
                </c:pt>
                <c:pt idx="5">
                  <c:v>905022</c:v>
                </c:pt>
                <c:pt idx="6">
                  <c:v>895425</c:v>
                </c:pt>
                <c:pt idx="7">
                  <c:v>900307</c:v>
                </c:pt>
                <c:pt idx="8">
                  <c:v>981424</c:v>
                </c:pt>
                <c:pt idx="9">
                  <c:v>1039751</c:v>
                </c:pt>
                <c:pt idx="10">
                  <c:v>1068615</c:v>
                </c:pt>
              </c:numCache>
            </c:numRef>
          </c:val>
          <c:extLst>
            <c:ext xmlns:c16="http://schemas.microsoft.com/office/drawing/2014/chart" uri="{C3380CC4-5D6E-409C-BE32-E72D297353CC}">
              <c16:uniqueId val="{00000003-04F9-4298-81D7-A53EFE6A7603}"/>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q3_q7_q11_q15_q24_q36_Fig!$S$63</c:f>
              <c:strCache>
                <c:ptCount val="1"/>
                <c:pt idx="0">
                  <c:v>TCO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04F9-4298-81D7-A53EFE6A7603}"/>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04F9-4298-81D7-A53EFE6A7603}"/>
              </c:ext>
            </c:extLst>
          </c:dPt>
          <c:dLbls>
            <c:dLbl>
              <c:idx val="0"/>
              <c:layout>
                <c:manualLayout>
                  <c:x val="2.0741548314141284E-2"/>
                  <c:y val="-6.45899147876240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F9-4298-81D7-A53EFE6A7603}"/>
                </c:ext>
              </c:extLst>
            </c:dLbl>
            <c:dLbl>
              <c:idx val="10"/>
              <c:layout>
                <c:manualLayout>
                  <c:x val="-0.18669245317552327"/>
                  <c:y val="-0.108327326619286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4F9-4298-81D7-A53EFE6A7603}"/>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F9-4298-81D7-A53EFE6A7603}"/>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q3_q7_q11_q15_q24_q36_Fig!$T$61:$AD$61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q3_q7_q11_q15_q24_q36_Fig!$T$63:$AD$63</c:f>
              <c:numCache>
                <c:formatCode>#\ ###\ ##0</c:formatCode>
                <c:ptCount val="11"/>
                <c:pt idx="0">
                  <c:v>722854</c:v>
                </c:pt>
                <c:pt idx="1">
                  <c:v>739126</c:v>
                </c:pt>
                <c:pt idx="2">
                  <c:v>776535</c:v>
                </c:pt>
                <c:pt idx="3">
                  <c:v>805619</c:v>
                </c:pt>
                <c:pt idx="4">
                  <c:v>843599</c:v>
                </c:pt>
                <c:pt idx="5">
                  <c:v>863493</c:v>
                </c:pt>
                <c:pt idx="6">
                  <c:v>853268</c:v>
                </c:pt>
                <c:pt idx="7">
                  <c:v>859051</c:v>
                </c:pt>
                <c:pt idx="8">
                  <c:v>937531</c:v>
                </c:pt>
                <c:pt idx="9">
                  <c:v>994831</c:v>
                </c:pt>
                <c:pt idx="10">
                  <c:v>1024115</c:v>
                </c:pt>
              </c:numCache>
            </c:numRef>
          </c:val>
          <c:smooth val="0"/>
          <c:extLst>
            <c:ext xmlns:c16="http://schemas.microsoft.com/office/drawing/2014/chart" uri="{C3380CC4-5D6E-409C-BE32-E72D297353CC}">
              <c16:uniqueId val="{00000007-04F9-4298-81D7-A53EFE6A7603}"/>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88764639535528711"/>
          <c:w val="0.62299652777777781"/>
          <c:h val="8.1485416666666671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02415867900997E-2"/>
          <c:y val="0.18472812943831005"/>
          <c:w val="0.80869505356964055"/>
          <c:h val="0.58657484618386491"/>
        </c:manualLayout>
      </c:layout>
      <c:lineChart>
        <c:grouping val="standard"/>
        <c:varyColors val="0"/>
        <c:ser>
          <c:idx val="0"/>
          <c:order val="0"/>
          <c:tx>
            <c:strRef>
              <c:f>q22_q23_q34_q35_Fig!$R$51</c:f>
              <c:strCache>
                <c:ptCount val="1"/>
                <c:pt idx="0">
                  <c:v>Micro (1-9 pessoas)</c:v>
                </c:pt>
              </c:strCache>
            </c:strRef>
          </c:tx>
          <c:spPr>
            <a:ln w="31750" cap="rnd">
              <a:solidFill>
                <a:srgbClr val="3C1692"/>
              </a:solidFill>
              <a:round/>
            </a:ln>
            <a:effectLst/>
          </c:spPr>
          <c:marker>
            <c:symbol val="circle"/>
            <c:size val="6"/>
            <c:spPr>
              <a:solidFill>
                <a:srgbClr val="3C1692"/>
              </a:solidFill>
              <a:ln w="9525">
                <a:noFill/>
              </a:ln>
              <a:effectLst/>
            </c:spPr>
          </c:marker>
          <c:cat>
            <c:numRef>
              <c:f>q22_q23_q34_q35_Fig!$S$50:$AC$50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q22_q23_q34_q35_Fig!$S$51:$AC$51</c:f>
              <c:numCache>
                <c:formatCode>0.00</c:formatCode>
                <c:ptCount val="11"/>
                <c:pt idx="0">
                  <c:v>743.20795656208907</c:v>
                </c:pt>
                <c:pt idx="1">
                  <c:v>741.78689645003453</c:v>
                </c:pt>
                <c:pt idx="2">
                  <c:v>755.94167163114048</c:v>
                </c:pt>
                <c:pt idx="3">
                  <c:v>774.65604370609594</c:v>
                </c:pt>
                <c:pt idx="4">
                  <c:v>798.65344060954112</c:v>
                </c:pt>
                <c:pt idx="5">
                  <c:v>825.58911691889443</c:v>
                </c:pt>
                <c:pt idx="6">
                  <c:v>862.21451500695696</c:v>
                </c:pt>
                <c:pt idx="7">
                  <c:v>898.02663930564074</c:v>
                </c:pt>
                <c:pt idx="8">
                  <c:v>944.6909195144126</c:v>
                </c:pt>
                <c:pt idx="9">
                  <c:v>1010.4312129193138</c:v>
                </c:pt>
                <c:pt idx="10">
                  <c:v>1080.0451885767829</c:v>
                </c:pt>
              </c:numCache>
            </c:numRef>
          </c:val>
          <c:smooth val="0"/>
          <c:extLst>
            <c:ext xmlns:c16="http://schemas.microsoft.com/office/drawing/2014/chart" uri="{C3380CC4-5D6E-409C-BE32-E72D297353CC}">
              <c16:uniqueId val="{00000000-3F95-4C7F-A2CA-9CCFAEEEFF24}"/>
            </c:ext>
          </c:extLst>
        </c:ser>
        <c:ser>
          <c:idx val="1"/>
          <c:order val="1"/>
          <c:tx>
            <c:strRef>
              <c:f>q22_q23_q34_q35_Fig!$R$52</c:f>
              <c:strCache>
                <c:ptCount val="1"/>
                <c:pt idx="0">
                  <c:v>Pequenos (10 - 49 pessoas)</c:v>
                </c:pt>
              </c:strCache>
            </c:strRef>
          </c:tx>
          <c:spPr>
            <a:ln w="31750" cap="rnd">
              <a:solidFill>
                <a:srgbClr val="1403EB"/>
              </a:solidFill>
              <a:round/>
            </a:ln>
            <a:effectLst/>
          </c:spPr>
          <c:marker>
            <c:symbol val="circle"/>
            <c:size val="6"/>
            <c:spPr>
              <a:solidFill>
                <a:srgbClr val="1403EB"/>
              </a:solidFill>
              <a:ln w="9525">
                <a:noFill/>
              </a:ln>
              <a:effectLst/>
            </c:spPr>
          </c:marker>
          <c:cat>
            <c:numRef>
              <c:f>q22_q23_q34_q35_Fig!$S$50:$AC$50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q22_q23_q34_q35_Fig!$S$52:$AC$52</c:f>
              <c:numCache>
                <c:formatCode>0.00</c:formatCode>
                <c:ptCount val="11"/>
                <c:pt idx="0">
                  <c:v>874.69302032816984</c:v>
                </c:pt>
                <c:pt idx="1">
                  <c:v>874.77236221024111</c:v>
                </c:pt>
                <c:pt idx="2">
                  <c:v>881.83878051639738</c:v>
                </c:pt>
                <c:pt idx="3">
                  <c:v>895.9812325341743</c:v>
                </c:pt>
                <c:pt idx="4">
                  <c:v>919.10627144533146</c:v>
                </c:pt>
                <c:pt idx="5">
                  <c:v>947.21197629910625</c:v>
                </c:pt>
                <c:pt idx="6">
                  <c:v>989.29209724149632</c:v>
                </c:pt>
                <c:pt idx="7">
                  <c:v>1023.6176880858063</c:v>
                </c:pt>
                <c:pt idx="8">
                  <c:v>1069.3807933486928</c:v>
                </c:pt>
                <c:pt idx="9">
                  <c:v>1141.4113559330783</c:v>
                </c:pt>
                <c:pt idx="10">
                  <c:v>1212.7913689942682</c:v>
                </c:pt>
              </c:numCache>
            </c:numRef>
          </c:val>
          <c:smooth val="0"/>
          <c:extLst>
            <c:ext xmlns:c16="http://schemas.microsoft.com/office/drawing/2014/chart" uri="{C3380CC4-5D6E-409C-BE32-E72D297353CC}">
              <c16:uniqueId val="{00000001-3F95-4C7F-A2CA-9CCFAEEEFF24}"/>
            </c:ext>
          </c:extLst>
        </c:ser>
        <c:ser>
          <c:idx val="2"/>
          <c:order val="2"/>
          <c:tx>
            <c:strRef>
              <c:f>q22_q23_q34_q35_Fig!$R$53</c:f>
              <c:strCache>
                <c:ptCount val="1"/>
                <c:pt idx="0">
                  <c:v>Médios (50 - 249 pessoas)</c:v>
                </c:pt>
              </c:strCache>
            </c:strRef>
          </c:tx>
          <c:spPr>
            <a:ln w="31750" cap="rnd">
              <a:solidFill>
                <a:srgbClr val="558ED5"/>
              </a:solidFill>
              <a:round/>
            </a:ln>
            <a:effectLst/>
          </c:spPr>
          <c:marker>
            <c:symbol val="circle"/>
            <c:size val="6"/>
            <c:spPr>
              <a:solidFill>
                <a:srgbClr val="558ED5"/>
              </a:solidFill>
              <a:ln w="9525">
                <a:noFill/>
              </a:ln>
              <a:effectLst/>
            </c:spPr>
          </c:marker>
          <c:cat>
            <c:numRef>
              <c:f>q22_q23_q34_q35_Fig!$S$50:$AC$50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q22_q23_q34_q35_Fig!$S$53:$AC$53</c:f>
              <c:numCache>
                <c:formatCode>0.00</c:formatCode>
                <c:ptCount val="11"/>
                <c:pt idx="0">
                  <c:v>1030.3012322105706</c:v>
                </c:pt>
                <c:pt idx="1">
                  <c:v>1037.7742553924222</c:v>
                </c:pt>
                <c:pt idx="2">
                  <c:v>1042.8491928354968</c:v>
                </c:pt>
                <c:pt idx="3">
                  <c:v>1055.918660825165</c:v>
                </c:pt>
                <c:pt idx="4">
                  <c:v>1083.9322384634481</c:v>
                </c:pt>
                <c:pt idx="5">
                  <c:v>1112.7469412139121</c:v>
                </c:pt>
                <c:pt idx="6">
                  <c:v>1156.9571340205018</c:v>
                </c:pt>
                <c:pt idx="7">
                  <c:v>1189.0174465158286</c:v>
                </c:pt>
                <c:pt idx="8">
                  <c:v>1246.2383636445311</c:v>
                </c:pt>
                <c:pt idx="9">
                  <c:v>1321.8781510809069</c:v>
                </c:pt>
                <c:pt idx="10">
                  <c:v>1398.8434401374552</c:v>
                </c:pt>
              </c:numCache>
            </c:numRef>
          </c:val>
          <c:smooth val="0"/>
          <c:extLst>
            <c:ext xmlns:c16="http://schemas.microsoft.com/office/drawing/2014/chart" uri="{C3380CC4-5D6E-409C-BE32-E72D297353CC}">
              <c16:uniqueId val="{00000002-3F95-4C7F-A2CA-9CCFAEEEFF24}"/>
            </c:ext>
          </c:extLst>
        </c:ser>
        <c:ser>
          <c:idx val="3"/>
          <c:order val="3"/>
          <c:tx>
            <c:strRef>
              <c:f>q22_q23_q34_q35_Fig!$R$54</c:f>
              <c:strCache>
                <c:ptCount val="1"/>
                <c:pt idx="0">
                  <c:v>Grandes (250 ou + pessoas)</c:v>
                </c:pt>
              </c:strCache>
            </c:strRef>
          </c:tx>
          <c:spPr>
            <a:ln w="31750" cap="rnd">
              <a:solidFill>
                <a:srgbClr val="B6C3FF"/>
              </a:solidFill>
              <a:round/>
            </a:ln>
            <a:effectLst/>
          </c:spPr>
          <c:marker>
            <c:symbol val="circle"/>
            <c:size val="6"/>
            <c:spPr>
              <a:solidFill>
                <a:srgbClr val="B6C3FF"/>
              </a:solidFill>
              <a:ln w="9525">
                <a:noFill/>
              </a:ln>
              <a:effectLst/>
            </c:spPr>
          </c:marker>
          <c:cat>
            <c:numRef>
              <c:f>q22_q23_q34_q35_Fig!$S$50:$AC$50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q22_q23_q34_q35_Fig!$S$54:$AC$54</c:f>
              <c:numCache>
                <c:formatCode>0.00</c:formatCode>
                <c:ptCount val="11"/>
                <c:pt idx="0">
                  <c:v>1082.3316942828576</c:v>
                </c:pt>
                <c:pt idx="1">
                  <c:v>1089.5805250625856</c:v>
                </c:pt>
                <c:pt idx="2">
                  <c:v>1103.5962996393494</c:v>
                </c:pt>
                <c:pt idx="3">
                  <c:v>1117.8228410271711</c:v>
                </c:pt>
                <c:pt idx="4">
                  <c:v>1146.4864034939196</c:v>
                </c:pt>
                <c:pt idx="5">
                  <c:v>1192.8973877014769</c:v>
                </c:pt>
                <c:pt idx="6">
                  <c:v>1206.670574012823</c:v>
                </c:pt>
                <c:pt idx="7">
                  <c:v>1272.873442046483</c:v>
                </c:pt>
                <c:pt idx="8">
                  <c:v>1363.1229781849545</c:v>
                </c:pt>
                <c:pt idx="9">
                  <c:v>1455.9608662508945</c:v>
                </c:pt>
                <c:pt idx="10">
                  <c:v>1591.0486395335852</c:v>
                </c:pt>
              </c:numCache>
            </c:numRef>
          </c:val>
          <c:smooth val="0"/>
          <c:extLst>
            <c:ext xmlns:c16="http://schemas.microsoft.com/office/drawing/2014/chart" uri="{C3380CC4-5D6E-409C-BE32-E72D297353CC}">
              <c16:uniqueId val="{00000003-3F95-4C7F-A2CA-9CCFAEEEFF24}"/>
            </c:ext>
          </c:extLst>
        </c:ser>
        <c:dLbls>
          <c:showLegendKey val="0"/>
          <c:showVal val="0"/>
          <c:showCatName val="0"/>
          <c:showSerName val="0"/>
          <c:showPercent val="0"/>
          <c:showBubbleSize val="0"/>
        </c:dLbls>
        <c:marker val="1"/>
        <c:smooth val="0"/>
        <c:axId val="903145471"/>
        <c:axId val="857673247"/>
      </c:lineChart>
      <c:catAx>
        <c:axId val="903145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PT"/>
          </a:p>
        </c:txPr>
        <c:crossAx val="857673247"/>
        <c:crosses val="autoZero"/>
        <c:auto val="1"/>
        <c:lblAlgn val="ctr"/>
        <c:lblOffset val="100"/>
        <c:noMultiLvlLbl val="0"/>
      </c:catAx>
      <c:valAx>
        <c:axId val="857673247"/>
        <c:scaling>
          <c:orientation val="minMax"/>
          <c:max val="2000"/>
          <c:min val="0"/>
        </c:scaling>
        <c:delete val="0"/>
        <c:axPos val="l"/>
        <c:majorGridlines>
          <c:spPr>
            <a:ln w="9525" cap="flat" cmpd="sng" algn="ctr">
              <a:noFill/>
              <a:round/>
            </a:ln>
            <a:effectLst/>
          </c:spPr>
        </c:majorGridlines>
        <c:numFmt formatCode="#,##0\ &quot;€&quot;"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crossAx val="903145471"/>
        <c:crosses val="autoZero"/>
        <c:crossBetween val="between"/>
        <c:majorUnit val="200"/>
      </c:valAx>
      <c:spPr>
        <a:noFill/>
        <a:ln>
          <a:noFill/>
        </a:ln>
        <a:effectLst/>
      </c:spPr>
    </c:plotArea>
    <c:legend>
      <c:legendPos val="b"/>
      <c:layout>
        <c:manualLayout>
          <c:xMode val="edge"/>
          <c:yMode val="edge"/>
          <c:x val="4.8193870222194721E-2"/>
          <c:y val="0.86939811246391219"/>
          <c:w val="0.88139020122484701"/>
          <c:h val="0.12002934858142644"/>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739160909181934E-2"/>
          <c:y val="0.18472812943831005"/>
          <c:w val="0.9205216781816361"/>
          <c:h val="0.59150628175582409"/>
        </c:manualLayout>
      </c:layout>
      <c:lineChart>
        <c:grouping val="standard"/>
        <c:varyColors val="0"/>
        <c:ser>
          <c:idx val="0"/>
          <c:order val="0"/>
          <c:tx>
            <c:strRef>
              <c:f>q22_q23_q34_q35_Fig!$R$59</c:f>
              <c:strCache>
                <c:ptCount val="1"/>
                <c:pt idx="0">
                  <c:v>Micro (1-9 pessoas)</c:v>
                </c:pt>
              </c:strCache>
            </c:strRef>
          </c:tx>
          <c:spPr>
            <a:ln w="31750" cap="rnd">
              <a:solidFill>
                <a:srgbClr val="C27535"/>
              </a:solidFill>
              <a:round/>
            </a:ln>
            <a:effectLst/>
          </c:spPr>
          <c:marker>
            <c:symbol val="circle"/>
            <c:size val="6"/>
            <c:spPr>
              <a:solidFill>
                <a:srgbClr val="C27535"/>
              </a:solidFill>
              <a:ln w="9525">
                <a:noFill/>
              </a:ln>
              <a:effectLst/>
            </c:spPr>
          </c:marker>
          <c:cat>
            <c:numRef>
              <c:f>q22_q23_q34_q35_Fig!$S$58:$AC$58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q22_q23_q34_q35_Fig!$S$59:$AC$59</c:f>
              <c:numCache>
                <c:formatCode>0.00</c:formatCode>
                <c:ptCount val="11"/>
                <c:pt idx="0">
                  <c:v>874.38436612750547</c:v>
                </c:pt>
                <c:pt idx="1">
                  <c:v>869.12276441572385</c:v>
                </c:pt>
                <c:pt idx="2">
                  <c:v>881.40512820235597</c:v>
                </c:pt>
                <c:pt idx="3">
                  <c:v>903.93939883921951</c:v>
                </c:pt>
                <c:pt idx="4">
                  <c:v>932.82112641795084</c:v>
                </c:pt>
                <c:pt idx="5">
                  <c:v>964.9013625736294</c:v>
                </c:pt>
                <c:pt idx="6">
                  <c:v>1001.2044941363545</c:v>
                </c:pt>
                <c:pt idx="7">
                  <c:v>1038.1806040678803</c:v>
                </c:pt>
                <c:pt idx="8">
                  <c:v>1089.2710386651693</c:v>
                </c:pt>
                <c:pt idx="9">
                  <c:v>1172.1326870057369</c:v>
                </c:pt>
                <c:pt idx="10">
                  <c:v>1260.3809432033565</c:v>
                </c:pt>
              </c:numCache>
            </c:numRef>
          </c:val>
          <c:smooth val="0"/>
          <c:extLst>
            <c:ext xmlns:c16="http://schemas.microsoft.com/office/drawing/2014/chart" uri="{C3380CC4-5D6E-409C-BE32-E72D297353CC}">
              <c16:uniqueId val="{00000000-DD4F-4A53-9159-594470C33E53}"/>
            </c:ext>
          </c:extLst>
        </c:ser>
        <c:ser>
          <c:idx val="1"/>
          <c:order val="1"/>
          <c:tx>
            <c:strRef>
              <c:f>q22_q23_q34_q35_Fig!$R$60</c:f>
              <c:strCache>
                <c:ptCount val="1"/>
                <c:pt idx="0">
                  <c:v>Pequenos (10 - 49 pessoas)</c:v>
                </c:pt>
              </c:strCache>
            </c:strRef>
          </c:tx>
          <c:spPr>
            <a:ln w="31750" cap="rnd">
              <a:solidFill>
                <a:srgbClr val="E78C41"/>
              </a:solidFill>
              <a:round/>
            </a:ln>
            <a:effectLst/>
          </c:spPr>
          <c:marker>
            <c:symbol val="circle"/>
            <c:size val="6"/>
            <c:spPr>
              <a:solidFill>
                <a:srgbClr val="E78C41"/>
              </a:solidFill>
              <a:ln w="9525">
                <a:noFill/>
              </a:ln>
              <a:effectLst/>
            </c:spPr>
          </c:marker>
          <c:cat>
            <c:numRef>
              <c:f>q22_q23_q34_q35_Fig!$S$58:$AC$58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q22_q23_q34_q35_Fig!$S$60:$AC$60</c:f>
              <c:numCache>
                <c:formatCode>0.00</c:formatCode>
                <c:ptCount val="11"/>
                <c:pt idx="0">
                  <c:v>1037.6006240969584</c:v>
                </c:pt>
                <c:pt idx="1">
                  <c:v>1035.1865874443888</c:v>
                </c:pt>
                <c:pt idx="2">
                  <c:v>1040.5432494420013</c:v>
                </c:pt>
                <c:pt idx="3">
                  <c:v>1062.0631016188092</c:v>
                </c:pt>
                <c:pt idx="4">
                  <c:v>1092.2485129611412</c:v>
                </c:pt>
                <c:pt idx="5">
                  <c:v>1126.8547486372413</c:v>
                </c:pt>
                <c:pt idx="6">
                  <c:v>1172.4223622753868</c:v>
                </c:pt>
                <c:pt idx="7">
                  <c:v>1208.4921346318265</c:v>
                </c:pt>
                <c:pt idx="8">
                  <c:v>1261.8200779433143</c:v>
                </c:pt>
                <c:pt idx="9">
                  <c:v>1353.931007657292</c:v>
                </c:pt>
                <c:pt idx="10">
                  <c:v>1448.0976118612928</c:v>
                </c:pt>
              </c:numCache>
            </c:numRef>
          </c:val>
          <c:smooth val="0"/>
          <c:extLst>
            <c:ext xmlns:c16="http://schemas.microsoft.com/office/drawing/2014/chart" uri="{C3380CC4-5D6E-409C-BE32-E72D297353CC}">
              <c16:uniqueId val="{00000001-DD4F-4A53-9159-594470C33E53}"/>
            </c:ext>
          </c:extLst>
        </c:ser>
        <c:ser>
          <c:idx val="2"/>
          <c:order val="2"/>
          <c:tx>
            <c:strRef>
              <c:f>q22_q23_q34_q35_Fig!$R$61</c:f>
              <c:strCache>
                <c:ptCount val="1"/>
                <c:pt idx="0">
                  <c:v>Médios (50 - 249 pessoas)</c:v>
                </c:pt>
              </c:strCache>
            </c:strRef>
          </c:tx>
          <c:spPr>
            <a:ln w="31750" cap="rnd">
              <a:solidFill>
                <a:srgbClr val="F8AA79"/>
              </a:solidFill>
              <a:round/>
            </a:ln>
            <a:effectLst/>
          </c:spPr>
          <c:marker>
            <c:symbol val="circle"/>
            <c:size val="6"/>
            <c:spPr>
              <a:solidFill>
                <a:srgbClr val="F8AA79"/>
              </a:solidFill>
              <a:ln w="9525">
                <a:noFill/>
              </a:ln>
              <a:effectLst/>
            </c:spPr>
          </c:marker>
          <c:cat>
            <c:numRef>
              <c:f>q22_q23_q34_q35_Fig!$S$58:$AC$58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q22_q23_q34_q35_Fig!$S$61:$AC$61</c:f>
              <c:numCache>
                <c:formatCode>0.00</c:formatCode>
                <c:ptCount val="11"/>
                <c:pt idx="0">
                  <c:v>1248.6811036820754</c:v>
                </c:pt>
                <c:pt idx="1">
                  <c:v>1256.3213446357925</c:v>
                </c:pt>
                <c:pt idx="2">
                  <c:v>1260.9841138399006</c:v>
                </c:pt>
                <c:pt idx="3">
                  <c:v>1280.1375315323639</c:v>
                </c:pt>
                <c:pt idx="4">
                  <c:v>1318.3099653190882</c:v>
                </c:pt>
                <c:pt idx="5">
                  <c:v>1346.9581295749031</c:v>
                </c:pt>
                <c:pt idx="6">
                  <c:v>1398.2108743778072</c:v>
                </c:pt>
                <c:pt idx="7">
                  <c:v>1433.697122712397</c:v>
                </c:pt>
                <c:pt idx="8">
                  <c:v>1504.3707328427417</c:v>
                </c:pt>
                <c:pt idx="9">
                  <c:v>1601.5759696250366</c:v>
                </c:pt>
                <c:pt idx="10">
                  <c:v>1701.3275748885435</c:v>
                </c:pt>
              </c:numCache>
            </c:numRef>
          </c:val>
          <c:smooth val="0"/>
          <c:extLst>
            <c:ext xmlns:c16="http://schemas.microsoft.com/office/drawing/2014/chart" uri="{C3380CC4-5D6E-409C-BE32-E72D297353CC}">
              <c16:uniqueId val="{00000002-DD4F-4A53-9159-594470C33E53}"/>
            </c:ext>
          </c:extLst>
        </c:ser>
        <c:ser>
          <c:idx val="3"/>
          <c:order val="3"/>
          <c:tx>
            <c:strRef>
              <c:f>q22_q23_q34_q35_Fig!$R$62</c:f>
              <c:strCache>
                <c:ptCount val="1"/>
                <c:pt idx="0">
                  <c:v>Grandes (250 ou + pessoas)</c:v>
                </c:pt>
              </c:strCache>
            </c:strRef>
          </c:tx>
          <c:spPr>
            <a:ln w="31750" cap="rnd">
              <a:solidFill>
                <a:srgbClr val="FACBB4">
                  <a:alpha val="97647"/>
                </a:srgbClr>
              </a:solidFill>
              <a:round/>
            </a:ln>
            <a:effectLst/>
          </c:spPr>
          <c:marker>
            <c:symbol val="circle"/>
            <c:size val="6"/>
            <c:spPr>
              <a:solidFill>
                <a:srgbClr val="FACBB4"/>
              </a:solidFill>
              <a:ln w="9525">
                <a:noFill/>
              </a:ln>
              <a:effectLst/>
            </c:spPr>
          </c:marker>
          <c:cat>
            <c:numRef>
              <c:f>q22_q23_q34_q35_Fig!$S$58:$AC$58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q22_q23_q34_q35_Fig!$S$62:$AC$62</c:f>
              <c:numCache>
                <c:formatCode>0.00</c:formatCode>
                <c:ptCount val="11"/>
                <c:pt idx="0">
                  <c:v>1345.0363768324278</c:v>
                </c:pt>
                <c:pt idx="1">
                  <c:v>1352.8574877439646</c:v>
                </c:pt>
                <c:pt idx="2">
                  <c:v>1371.8676367835099</c:v>
                </c:pt>
                <c:pt idx="3">
                  <c:v>1393.9052874294284</c:v>
                </c:pt>
                <c:pt idx="4">
                  <c:v>1437.9076145135105</c:v>
                </c:pt>
                <c:pt idx="5">
                  <c:v>1485.7730804180874</c:v>
                </c:pt>
                <c:pt idx="6">
                  <c:v>1502.5346094245592</c:v>
                </c:pt>
                <c:pt idx="7">
                  <c:v>1573.1822719813581</c:v>
                </c:pt>
                <c:pt idx="8">
                  <c:v>1689.4825648140356</c:v>
                </c:pt>
                <c:pt idx="9">
                  <c:v>1813.3635405012035</c:v>
                </c:pt>
                <c:pt idx="10">
                  <c:v>1988.6904912527966</c:v>
                </c:pt>
              </c:numCache>
            </c:numRef>
          </c:val>
          <c:smooth val="0"/>
          <c:extLst>
            <c:ext xmlns:c16="http://schemas.microsoft.com/office/drawing/2014/chart" uri="{C3380CC4-5D6E-409C-BE32-E72D297353CC}">
              <c16:uniqueId val="{00000003-DD4F-4A53-9159-594470C33E53}"/>
            </c:ext>
          </c:extLst>
        </c:ser>
        <c:dLbls>
          <c:showLegendKey val="0"/>
          <c:showVal val="0"/>
          <c:showCatName val="0"/>
          <c:showSerName val="0"/>
          <c:showPercent val="0"/>
          <c:showBubbleSize val="0"/>
        </c:dLbls>
        <c:marker val="1"/>
        <c:smooth val="0"/>
        <c:axId val="903145471"/>
        <c:axId val="857673247"/>
      </c:lineChart>
      <c:catAx>
        <c:axId val="903145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PT"/>
          </a:p>
        </c:txPr>
        <c:crossAx val="857673247"/>
        <c:crosses val="autoZero"/>
        <c:auto val="1"/>
        <c:lblAlgn val="ctr"/>
        <c:lblOffset val="100"/>
        <c:noMultiLvlLbl val="0"/>
      </c:catAx>
      <c:valAx>
        <c:axId val="857673247"/>
        <c:scaling>
          <c:orientation val="minMax"/>
          <c:max val="2000"/>
          <c:min val="0"/>
        </c:scaling>
        <c:delete val="1"/>
        <c:axPos val="l"/>
        <c:majorGridlines>
          <c:spPr>
            <a:ln w="9525" cap="flat" cmpd="sng" algn="ctr">
              <a:noFill/>
              <a:round/>
            </a:ln>
            <a:effectLst/>
          </c:spPr>
        </c:majorGridlines>
        <c:numFmt formatCode="#,##0\ &quot;€&quot;" sourceLinked="0"/>
        <c:majorTickMark val="out"/>
        <c:minorTickMark val="none"/>
        <c:tickLblPos val="nextTo"/>
        <c:crossAx val="903145471"/>
        <c:crosses val="autoZero"/>
        <c:crossBetween val="between"/>
        <c:majorUnit val="200"/>
      </c:valAx>
      <c:spPr>
        <a:noFill/>
        <a:ln>
          <a:noFill/>
        </a:ln>
        <a:effectLst/>
      </c:spPr>
    </c:plotArea>
    <c:legend>
      <c:legendPos val="b"/>
      <c:layout>
        <c:manualLayout>
          <c:xMode val="edge"/>
          <c:yMode val="edge"/>
          <c:x val="1.3448542886017892E-2"/>
          <c:y val="0.86939811246391219"/>
          <c:w val="0.94643320407438769"/>
          <c:h val="0.11362950338713067"/>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[Dashboard_seriesqp_2014_2024.xlsx]q23_q35_Fig!Tabela Dinâmica3</c:name>
    <c:fmtId val="0"/>
  </c:pivotSource>
  <c:chart>
    <c:autoTitleDeleted val="1"/>
    <c:pivotFmts>
      <c:pivotFmt>
        <c:idx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28165952940093"/>
          <c:y val="0.1568292505103529"/>
          <c:w val="0.87613077312704335"/>
          <c:h val="0.7443664333624963"/>
        </c:manualLayout>
      </c:layout>
      <c:barChart>
        <c:barDir val="col"/>
        <c:grouping val="clustered"/>
        <c:varyColors val="0"/>
        <c:ser>
          <c:idx val="0"/>
          <c:order val="0"/>
          <c:tx>
            <c:strRef>
              <c:f>q23_q35_Fig!$B$80:$B$82</c:f>
              <c:strCache>
                <c:ptCount val="1"/>
                <c:pt idx="0">
                  <c:v>Base - Total</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q23_q35_Fig!$A$83:$A$93</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q23_q35_Fig!$B$83:$B$93</c:f>
              <c:numCache>
                <c:formatCode>General</c:formatCode>
                <c:ptCount val="11"/>
                <c:pt idx="0">
                  <c:v>909.49</c:v>
                </c:pt>
                <c:pt idx="1">
                  <c:v>913.93</c:v>
                </c:pt>
                <c:pt idx="2">
                  <c:v>924.94</c:v>
                </c:pt>
                <c:pt idx="3">
                  <c:v>943</c:v>
                </c:pt>
                <c:pt idx="4">
                  <c:v>970.42</c:v>
                </c:pt>
                <c:pt idx="5">
                  <c:v>1005.09</c:v>
                </c:pt>
                <c:pt idx="6">
                  <c:v>1041.99</c:v>
                </c:pt>
                <c:pt idx="7">
                  <c:v>1082.77</c:v>
                </c:pt>
                <c:pt idx="8">
                  <c:v>1143.45</c:v>
                </c:pt>
                <c:pt idx="9">
                  <c:v>1219.8699999999999</c:v>
                </c:pt>
                <c:pt idx="10">
                  <c:v>1308.96</c:v>
                </c:pt>
              </c:numCache>
            </c:numRef>
          </c:val>
          <c:extLst>
            <c:ext xmlns:c16="http://schemas.microsoft.com/office/drawing/2014/chart" uri="{C3380CC4-5D6E-409C-BE32-E72D297353CC}">
              <c16:uniqueId val="{00000009-8475-40D2-A1FF-8237C0B48A8C}"/>
            </c:ext>
          </c:extLst>
        </c:ser>
        <c:ser>
          <c:idx val="1"/>
          <c:order val="1"/>
          <c:tx>
            <c:strRef>
              <c:f>q23_q35_Fig!$C$80:$C$82</c:f>
              <c:strCache>
                <c:ptCount val="1"/>
                <c:pt idx="0">
                  <c:v>Ganho - Total</c:v>
                </c:pt>
              </c:strCache>
            </c:strRef>
          </c:tx>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q23_q35_Fig!$A$83:$A$93</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q23_q35_Fig!$C$83:$C$93</c:f>
              <c:numCache>
                <c:formatCode>General</c:formatCode>
                <c:ptCount val="11"/>
                <c:pt idx="0">
                  <c:v>1093.21</c:v>
                </c:pt>
                <c:pt idx="1">
                  <c:v>1096.6600000000001</c:v>
                </c:pt>
                <c:pt idx="2">
                  <c:v>1107.8599999999999</c:v>
                </c:pt>
                <c:pt idx="3">
                  <c:v>1133.3399999999999</c:v>
                </c:pt>
                <c:pt idx="4">
                  <c:v>1170.25</c:v>
                </c:pt>
                <c:pt idx="5">
                  <c:v>1209.94</c:v>
                </c:pt>
                <c:pt idx="6">
                  <c:v>1250.75</c:v>
                </c:pt>
                <c:pt idx="7">
                  <c:v>1294.1099999999999</c:v>
                </c:pt>
                <c:pt idx="8">
                  <c:v>1368</c:v>
                </c:pt>
                <c:pt idx="9">
                  <c:v>1466.66</c:v>
                </c:pt>
                <c:pt idx="10">
                  <c:v>1582.75</c:v>
                </c:pt>
              </c:numCache>
            </c:numRef>
          </c:val>
          <c:extLst>
            <c:ext xmlns:c16="http://schemas.microsoft.com/office/drawing/2014/chart" uri="{C3380CC4-5D6E-409C-BE32-E72D297353CC}">
              <c16:uniqueId val="{00000000-118F-4470-91FB-60B0F99F34E3}"/>
            </c:ext>
          </c:extLst>
        </c:ser>
        <c:dLbls>
          <c:dLblPos val="inEnd"/>
          <c:showLegendKey val="0"/>
          <c:showVal val="1"/>
          <c:showCatName val="0"/>
          <c:showSerName val="0"/>
          <c:showPercent val="0"/>
          <c:showBubbleSize val="0"/>
        </c:dLbls>
        <c:gapWidth val="41"/>
        <c:axId val="935681696"/>
        <c:axId val="883457568"/>
      </c:barChart>
      <c:catAx>
        <c:axId val="9356816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effectLst/>
                <a:latin typeface="+mn-lt"/>
                <a:ea typeface="+mn-ea"/>
                <a:cs typeface="+mn-cs"/>
              </a:defRPr>
            </a:pPr>
            <a:endParaRPr lang="pt-PT"/>
          </a:p>
        </c:txPr>
        <c:crossAx val="883457568"/>
        <c:crosses val="autoZero"/>
        <c:auto val="1"/>
        <c:lblAlgn val="ctr"/>
        <c:lblOffset val="100"/>
        <c:noMultiLvlLbl val="0"/>
      </c:catAx>
      <c:valAx>
        <c:axId val="883457568"/>
        <c:scaling>
          <c:orientation val="minMax"/>
          <c:max val="1600"/>
          <c:min val="0"/>
        </c:scaling>
        <c:delete val="0"/>
        <c:axPos val="l"/>
        <c:numFmt formatCode="#,##0\ &quot;€&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pt-PT"/>
          </a:p>
        </c:txPr>
        <c:crossAx val="935681696"/>
        <c:crosses val="autoZero"/>
        <c:crossBetween val="between"/>
      </c:valAx>
      <c:spPr>
        <a:noFill/>
        <a:ln>
          <a:noFill/>
        </a:ln>
        <a:effectLst/>
      </c:spPr>
    </c:plotArea>
    <c:legend>
      <c:legendPos val="t"/>
      <c:layout>
        <c:manualLayout>
          <c:xMode val="edge"/>
          <c:yMode val="edge"/>
          <c:x val="0.15743150527236729"/>
          <c:y val="6.9444444444444448E-2"/>
          <c:w val="0.26640811399903613"/>
          <c:h val="7.10531288852051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[Dashboard_seriesqp_2014_2024.xlsx]q22_q34_Fig!Tabela Dinâmica1</c:name>
    <c:fmtId val="10"/>
  </c:pivotSource>
  <c:chart>
    <c:autoTitleDeleted val="1"/>
    <c:pivotFmts>
      <c:pivotFmt>
        <c:idx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clip" horzOverflow="clip"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clip" horzOverflow="clip"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4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horzOverflow="clip" vert="horz" wrap="square" lIns="38100" tIns="36000" rIns="38100" bIns="3600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4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8"/>
      </c:pivotFmt>
      <c:pivotFmt>
        <c:idx val="4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clip" horzOverflow="clip"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clip" horzOverflow="clip"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8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8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8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9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7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7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7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7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7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s>
    <c:plotArea>
      <c:layout>
        <c:manualLayout>
          <c:layoutTarget val="inner"/>
          <c:xMode val="edge"/>
          <c:yMode val="edge"/>
          <c:x val="4.160946204071217E-2"/>
          <c:y val="0.10694915712855482"/>
          <c:w val="0.9285441549297756"/>
          <c:h val="0.74702347773538613"/>
        </c:manualLayout>
      </c:layout>
      <c:barChart>
        <c:barDir val="col"/>
        <c:grouping val="clustered"/>
        <c:varyColors val="0"/>
        <c:ser>
          <c:idx val="0"/>
          <c:order val="0"/>
          <c:tx>
            <c:strRef>
              <c:f>q22_q34_Fig!$J$5:$J$7</c:f>
              <c:strCache>
                <c:ptCount val="1"/>
                <c:pt idx="0">
                  <c:v>C - Base</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q22_q34_Fig!$I$8:$I$19</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q22_q34_Fig!$J$8:$J$19</c:f>
              <c:numCache>
                <c:formatCode>#,##0.0\ "€"</c:formatCode>
                <c:ptCount val="11"/>
                <c:pt idx="0">
                  <c:v>844.01</c:v>
                </c:pt>
                <c:pt idx="1">
                  <c:v>856.12</c:v>
                </c:pt>
                <c:pt idx="2">
                  <c:v>870.08</c:v>
                </c:pt>
                <c:pt idx="3">
                  <c:v>895.89</c:v>
                </c:pt>
                <c:pt idx="4">
                  <c:v>929.15</c:v>
                </c:pt>
                <c:pt idx="5">
                  <c:v>964.71</c:v>
                </c:pt>
                <c:pt idx="6">
                  <c:v>1003.21</c:v>
                </c:pt>
                <c:pt idx="7">
                  <c:v>1031.03</c:v>
                </c:pt>
                <c:pt idx="8">
                  <c:v>1095.17</c:v>
                </c:pt>
                <c:pt idx="9">
                  <c:v>1172.58</c:v>
                </c:pt>
                <c:pt idx="10">
                  <c:v>1262.53</c:v>
                </c:pt>
              </c:numCache>
            </c:numRef>
          </c:val>
          <c:extLst>
            <c:ext xmlns:c16="http://schemas.microsoft.com/office/drawing/2014/chart" uri="{C3380CC4-5D6E-409C-BE32-E72D297353CC}">
              <c16:uniqueId val="{00000000-CE87-4924-A3E0-DE915F5E263E}"/>
            </c:ext>
          </c:extLst>
        </c:ser>
        <c:ser>
          <c:idx val="1"/>
          <c:order val="1"/>
          <c:tx>
            <c:strRef>
              <c:f>q22_q34_Fig!$K$5:$K$7</c:f>
              <c:strCache>
                <c:ptCount val="1"/>
                <c:pt idx="0">
                  <c:v>C - Ganho</c:v>
                </c:pt>
              </c:strCache>
            </c:strRef>
          </c:tx>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q22_q34_Fig!$I$8:$I$19</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q22_q34_Fig!$K$8:$K$19</c:f>
              <c:numCache>
                <c:formatCode>#,##0.0\ "€"</c:formatCode>
                <c:ptCount val="11"/>
                <c:pt idx="0">
                  <c:v>1003.09</c:v>
                </c:pt>
                <c:pt idx="1">
                  <c:v>1015.82</c:v>
                </c:pt>
                <c:pt idx="2">
                  <c:v>1031.5999999999999</c:v>
                </c:pt>
                <c:pt idx="3">
                  <c:v>1068.43</c:v>
                </c:pt>
                <c:pt idx="4">
                  <c:v>1110.54</c:v>
                </c:pt>
                <c:pt idx="5">
                  <c:v>1154.94</c:v>
                </c:pt>
                <c:pt idx="6">
                  <c:v>1198.04</c:v>
                </c:pt>
                <c:pt idx="7">
                  <c:v>1224.79</c:v>
                </c:pt>
                <c:pt idx="8">
                  <c:v>1302.5899999999999</c:v>
                </c:pt>
                <c:pt idx="9">
                  <c:v>1400.65</c:v>
                </c:pt>
                <c:pt idx="10">
                  <c:v>1521.41</c:v>
                </c:pt>
              </c:numCache>
            </c:numRef>
          </c:val>
          <c:extLst>
            <c:ext xmlns:c16="http://schemas.microsoft.com/office/drawing/2014/chart" uri="{C3380CC4-5D6E-409C-BE32-E72D297353CC}">
              <c16:uniqueId val="{00000001-FB71-4B54-A6F4-2C503928EE2C}"/>
            </c:ext>
          </c:extLst>
        </c:ser>
        <c:dLbls>
          <c:dLblPos val="inBase"/>
          <c:showLegendKey val="0"/>
          <c:showVal val="1"/>
          <c:showCatName val="0"/>
          <c:showSerName val="0"/>
          <c:showPercent val="0"/>
          <c:showBubbleSize val="0"/>
        </c:dLbls>
        <c:gapWidth val="91"/>
        <c:axId val="518723167"/>
        <c:axId val="384185983"/>
      </c:barChart>
      <c:catAx>
        <c:axId val="51872316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effectLst/>
                <a:latin typeface="+mn-lt"/>
                <a:ea typeface="+mn-ea"/>
                <a:cs typeface="+mn-cs"/>
              </a:defRPr>
            </a:pPr>
            <a:endParaRPr lang="pt-PT"/>
          </a:p>
        </c:txPr>
        <c:crossAx val="384185983"/>
        <c:crosses val="autoZero"/>
        <c:auto val="1"/>
        <c:lblAlgn val="ctr"/>
        <c:lblOffset val="100"/>
        <c:noMultiLvlLbl val="0"/>
      </c:catAx>
      <c:valAx>
        <c:axId val="384185983"/>
        <c:scaling>
          <c:orientation val="minMax"/>
          <c:max val="3600"/>
          <c:min val="0"/>
        </c:scaling>
        <c:delete val="0"/>
        <c:axPos val="l"/>
        <c:numFmt formatCode="#,##0\ &quot;€&quot;"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latin typeface="+mn-lt"/>
                <a:ea typeface="+mn-ea"/>
                <a:cs typeface="+mn-cs"/>
              </a:defRPr>
            </a:pPr>
            <a:endParaRPr lang="pt-PT"/>
          </a:p>
        </c:txPr>
        <c:crossAx val="518723167"/>
        <c:crosses val="autoZero"/>
        <c:crossBetween val="between"/>
        <c:majorUnit val="300"/>
      </c:valAx>
      <c:spPr>
        <a:noFill/>
        <a:ln>
          <a:noFill/>
        </a:ln>
        <a:effectLst/>
      </c:spPr>
    </c:plotArea>
    <c:legend>
      <c:legendPos val="t"/>
      <c:layout>
        <c:manualLayout>
          <c:xMode val="edge"/>
          <c:yMode val="edge"/>
          <c:x val="9.1424355351236872E-2"/>
          <c:y val="2.4076554940779288E-2"/>
          <c:w val="0.16861398962777832"/>
          <c:h val="6.229553773282751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q3_q7_q11_q15_q24_q36_Fig!$S$22</c:f>
              <c:strCache>
                <c:ptCount val="1"/>
                <c:pt idx="0">
                  <c:v>Empresas</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9.4642401217357536E-2"/>
                  <c:y val="-6.6113391531462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37-4024-A907-7A0529BAB478}"/>
                </c:ext>
              </c:extLst>
            </c:dLbl>
            <c:dLbl>
              <c:idx val="10"/>
              <c:layout>
                <c:manualLayout>
                  <c:x val="-8.9589141824198137E-2"/>
                  <c:y val="-6.13910064220719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37-4024-A907-7A0529BAB478}"/>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37-4024-A907-7A0529BAB47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q3_q7_q11_q15_q24_q36_Fig!$T$21:$AD$21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q3_q7_q11_q15_q24_q36_Fig!$T$22:$AD$22</c:f>
              <c:numCache>
                <c:formatCode>#\ ###\ ##0</c:formatCode>
                <c:ptCount val="11"/>
                <c:pt idx="0">
                  <c:v>59911</c:v>
                </c:pt>
                <c:pt idx="1">
                  <c:v>60537</c:v>
                </c:pt>
                <c:pt idx="2">
                  <c:v>60939</c:v>
                </c:pt>
                <c:pt idx="3">
                  <c:v>61816</c:v>
                </c:pt>
                <c:pt idx="4">
                  <c:v>62991</c:v>
                </c:pt>
                <c:pt idx="5">
                  <c:v>61257</c:v>
                </c:pt>
                <c:pt idx="6">
                  <c:v>62466</c:v>
                </c:pt>
                <c:pt idx="7">
                  <c:v>60609</c:v>
                </c:pt>
                <c:pt idx="8">
                  <c:v>63924</c:v>
                </c:pt>
                <c:pt idx="9">
                  <c:v>65753</c:v>
                </c:pt>
                <c:pt idx="10" formatCode="#,##0">
                  <c:v>65461</c:v>
                </c:pt>
              </c:numCache>
            </c:numRef>
          </c:val>
          <c:extLst>
            <c:ext xmlns:c16="http://schemas.microsoft.com/office/drawing/2014/chart" uri="{C3380CC4-5D6E-409C-BE32-E72D297353CC}">
              <c16:uniqueId val="{00000003-2337-4024-A907-7A0529BAB478}"/>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q3_q7_q11_q15_q24_q36_Fig!$S$23</c:f>
              <c:strCache>
                <c:ptCount val="1"/>
                <c:pt idx="0">
                  <c:v>Estabelecimentos</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2337-4024-A907-7A0529BAB478}"/>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2337-4024-A907-7A0529BAB478}"/>
              </c:ext>
            </c:extLst>
          </c:dPt>
          <c:dLbls>
            <c:dLbl>
              <c:idx val="0"/>
              <c:layout>
                <c:manualLayout>
                  <c:x val="4.9644290572627835E-2"/>
                  <c:y val="-2.1414343185021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37-4024-A907-7A0529BAB478}"/>
                </c:ext>
              </c:extLst>
            </c:dLbl>
            <c:dLbl>
              <c:idx val="10"/>
              <c:layout>
                <c:manualLayout>
                  <c:x val="-8.8428567051686627E-2"/>
                  <c:y val="-6.8324732023237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337-4024-A907-7A0529BAB478}"/>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37-4024-A907-7A0529BAB478}"/>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q3_q7_q11_q15_q24_q36_Fig!$T$21:$AD$21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q3_q7_q11_q15_q24_q36_Fig!$T$23:$AD$23</c:f>
              <c:numCache>
                <c:formatCode>#\ ###\ ##0</c:formatCode>
                <c:ptCount val="11"/>
                <c:pt idx="0">
                  <c:v>71690</c:v>
                </c:pt>
                <c:pt idx="1">
                  <c:v>72246</c:v>
                </c:pt>
                <c:pt idx="2">
                  <c:v>72756</c:v>
                </c:pt>
                <c:pt idx="3">
                  <c:v>73389</c:v>
                </c:pt>
                <c:pt idx="4">
                  <c:v>74689</c:v>
                </c:pt>
                <c:pt idx="5">
                  <c:v>72677</c:v>
                </c:pt>
                <c:pt idx="6">
                  <c:v>73809</c:v>
                </c:pt>
                <c:pt idx="7">
                  <c:v>71616</c:v>
                </c:pt>
                <c:pt idx="8">
                  <c:v>75266</c:v>
                </c:pt>
                <c:pt idx="9">
                  <c:v>77253</c:v>
                </c:pt>
                <c:pt idx="10">
                  <c:v>77003</c:v>
                </c:pt>
              </c:numCache>
            </c:numRef>
          </c:val>
          <c:smooth val="0"/>
          <c:extLst>
            <c:ext xmlns:c16="http://schemas.microsoft.com/office/drawing/2014/chart" uri="{C3380CC4-5D6E-409C-BE32-E72D297353CC}">
              <c16:uniqueId val="{00000007-2337-4024-A907-7A0529BAB478}"/>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92521828481056423"/>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q3_q7_q11_q15_q24_q36_Fig!$S$62</c:f>
              <c:strCache>
                <c:ptCount val="1"/>
                <c:pt idx="0">
                  <c:v>Pessoas ao serviço</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8.4266266327603992E-2"/>
                  <c:y val="-4.2501465984511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4B-45A9-9F9F-25990AA21E17}"/>
                </c:ext>
              </c:extLst>
            </c:dLbl>
            <c:dLbl>
              <c:idx val="10"/>
              <c:layout>
                <c:manualLayout>
                  <c:x val="-3.2520399930553431E-2"/>
                  <c:y val="-4.72238510939023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4B-45A9-9F9F-25990AA21E17}"/>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4B-45A9-9F9F-25990AA21E1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q3_q7_q11_q15_q24_q36_Fig!$T$61:$AD$61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q3_q7_q11_q15_q24_q36_Fig!$T$62:$AD$62</c:f>
              <c:numCache>
                <c:formatCode>#\ ###\ ##0</c:formatCode>
                <c:ptCount val="11"/>
                <c:pt idx="0">
                  <c:v>764524</c:v>
                </c:pt>
                <c:pt idx="1">
                  <c:v>780947</c:v>
                </c:pt>
                <c:pt idx="2">
                  <c:v>817508</c:v>
                </c:pt>
                <c:pt idx="3">
                  <c:v>847011</c:v>
                </c:pt>
                <c:pt idx="4">
                  <c:v>886123</c:v>
                </c:pt>
                <c:pt idx="5">
                  <c:v>905022</c:v>
                </c:pt>
                <c:pt idx="6">
                  <c:v>895425</c:v>
                </c:pt>
                <c:pt idx="7">
                  <c:v>900307</c:v>
                </c:pt>
                <c:pt idx="8">
                  <c:v>981424</c:v>
                </c:pt>
                <c:pt idx="9">
                  <c:v>1039751</c:v>
                </c:pt>
                <c:pt idx="10">
                  <c:v>1068615</c:v>
                </c:pt>
              </c:numCache>
            </c:numRef>
          </c:val>
          <c:extLst>
            <c:ext xmlns:c16="http://schemas.microsoft.com/office/drawing/2014/chart" uri="{C3380CC4-5D6E-409C-BE32-E72D297353CC}">
              <c16:uniqueId val="{00000003-884B-45A9-9F9F-25990AA21E17}"/>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q3_q7_q11_q15_q24_q36_Fig!$S$63</c:f>
              <c:strCache>
                <c:ptCount val="1"/>
                <c:pt idx="0">
                  <c:v>TCO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884B-45A9-9F9F-25990AA21E17}"/>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884B-45A9-9F9F-25990AA21E17}"/>
              </c:ext>
            </c:extLst>
          </c:dPt>
          <c:dLbls>
            <c:dLbl>
              <c:idx val="0"/>
              <c:layout>
                <c:manualLayout>
                  <c:x val="2.370395334824392E-2"/>
                  <c:y val="-3.558149851319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4B-45A9-9F9F-25990AA21E17}"/>
                </c:ext>
              </c:extLst>
            </c:dLbl>
            <c:dLbl>
              <c:idx val="10"/>
              <c:layout>
                <c:manualLayout>
                  <c:x val="-0.13512117405557769"/>
                  <c:y val="-0.12971573844530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4B-45A9-9F9F-25990AA21E17}"/>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4B-45A9-9F9F-25990AA21E17}"/>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q3_q7_q11_q15_q24_q36_Fig!$T$61:$AD$61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q3_q7_q11_q15_q24_q36_Fig!$T$63:$AD$63</c:f>
              <c:numCache>
                <c:formatCode>#\ ###\ ##0</c:formatCode>
                <c:ptCount val="11"/>
                <c:pt idx="0">
                  <c:v>722854</c:v>
                </c:pt>
                <c:pt idx="1">
                  <c:v>739126</c:v>
                </c:pt>
                <c:pt idx="2">
                  <c:v>776535</c:v>
                </c:pt>
                <c:pt idx="3">
                  <c:v>805619</c:v>
                </c:pt>
                <c:pt idx="4">
                  <c:v>843599</c:v>
                </c:pt>
                <c:pt idx="5">
                  <c:v>863493</c:v>
                </c:pt>
                <c:pt idx="6">
                  <c:v>853268</c:v>
                </c:pt>
                <c:pt idx="7">
                  <c:v>859051</c:v>
                </c:pt>
                <c:pt idx="8">
                  <c:v>937531</c:v>
                </c:pt>
                <c:pt idx="9">
                  <c:v>994831</c:v>
                </c:pt>
                <c:pt idx="10">
                  <c:v>1024115</c:v>
                </c:pt>
              </c:numCache>
            </c:numRef>
          </c:val>
          <c:smooth val="0"/>
          <c:extLst>
            <c:ext xmlns:c16="http://schemas.microsoft.com/office/drawing/2014/chart" uri="{C3380CC4-5D6E-409C-BE32-E72D297353CC}">
              <c16:uniqueId val="{00000007-884B-45A9-9F9F-25990AA21E17}"/>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92521828481056423"/>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q3_q7_q11_q15_q24_q36_Fig!$S$102</c:f>
              <c:strCache>
                <c:ptCount val="1"/>
                <c:pt idx="0">
                  <c:v>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4.7924056306658441E-2"/>
                  <c:y val="-9.93165942042836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CC-4215-9802-00BDE431F5BF}"/>
                </c:ext>
              </c:extLst>
            </c:dLbl>
            <c:dLbl>
              <c:idx val="10"/>
              <c:layout>
                <c:manualLayout>
                  <c:x val="-7.402493948956769E-2"/>
                  <c:y val="-4.72238510939014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CC-4215-9802-00BDE431F5BF}"/>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CC-4215-9802-00BDE431F5BF}"/>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q3_q7_q11_q15_q24_q36_Fig!$T$101:$AD$101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q3_q7_q11_q15_q24_q36_Fig!$T$102:$AD$102</c:f>
              <c:numCache>
                <c:formatCode>#,##0.00</c:formatCode>
                <c:ptCount val="11"/>
                <c:pt idx="0">
                  <c:v>1150.47</c:v>
                </c:pt>
                <c:pt idx="1">
                  <c:v>1151.6400000000001</c:v>
                </c:pt>
                <c:pt idx="2">
                  <c:v>1155.93</c:v>
                </c:pt>
                <c:pt idx="3">
                  <c:v>1171.8800000000001</c:v>
                </c:pt>
                <c:pt idx="4">
                  <c:v>1194.22</c:v>
                </c:pt>
                <c:pt idx="5">
                  <c:v>1230.1300000000001</c:v>
                </c:pt>
                <c:pt idx="6">
                  <c:v>1266.69</c:v>
                </c:pt>
                <c:pt idx="7">
                  <c:v>1312.07</c:v>
                </c:pt>
                <c:pt idx="8">
                  <c:v>1388.37</c:v>
                </c:pt>
                <c:pt idx="9">
                  <c:v>1474.84</c:v>
                </c:pt>
                <c:pt idx="10">
                  <c:v>1567.76</c:v>
                </c:pt>
              </c:numCache>
            </c:numRef>
          </c:val>
          <c:extLst>
            <c:ext xmlns:c16="http://schemas.microsoft.com/office/drawing/2014/chart" uri="{C3380CC4-5D6E-409C-BE32-E72D297353CC}">
              <c16:uniqueId val="{00000003-C6CC-4215-9802-00BDE431F5BF}"/>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q3_q7_q11_q15_q24_q36_Fig!$S$103</c:f>
              <c:strCache>
                <c:ptCount val="1"/>
                <c:pt idx="0">
                  <c:v>Ganho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C6CC-4215-9802-00BDE431F5BF}"/>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C6CC-4215-9802-00BDE431F5BF}"/>
              </c:ext>
            </c:extLst>
          </c:dPt>
          <c:dLbls>
            <c:dLbl>
              <c:idx val="0"/>
              <c:layout>
                <c:manualLayout>
                  <c:x val="3.7413401141463549E-4"/>
                  <c:y val="-7.75958907432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CC-4215-9802-00BDE431F5BF}"/>
                </c:ext>
              </c:extLst>
            </c:dLbl>
            <c:dLbl>
              <c:idx val="10"/>
              <c:layout>
                <c:manualLayout>
                  <c:x val="-0.16101192942522166"/>
                  <c:y val="-4.0693742161344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CC-4215-9802-00BDE431F5BF}"/>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CC-4215-9802-00BDE431F5BF}"/>
                </c:ext>
              </c:extLst>
            </c:dLbl>
            <c:numFmt formatCode="#,##0.00\ &quot;€&quot;" sourceLinked="0"/>
            <c:spPr>
              <a:noFill/>
              <a:ln>
                <a:noFill/>
              </a:ln>
              <a:effectLst/>
            </c:spPr>
            <c:txPr>
              <a:bodyPr rot="0" spcFirstLastPara="1" vertOverflow="overflow" horzOverflow="overflow" vert="horz" wrap="square" lIns="38100" tIns="19050" rIns="38100" bIns="19050" anchor="ctr" anchorCtr="1">
                <a:spAutoFit/>
              </a:bodyPr>
              <a:lstStyle/>
              <a:p>
                <a:pPr>
                  <a:defRPr sz="8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q3_q7_q11_q15_q24_q36_Fig!$T$101:$AD$101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q3_q7_q11_q15_q24_q36_Fig!$T$103:$AD$103</c:f>
              <c:numCache>
                <c:formatCode>#,##0.00</c:formatCode>
                <c:ptCount val="11"/>
                <c:pt idx="0">
                  <c:v>1392.42</c:v>
                </c:pt>
                <c:pt idx="1">
                  <c:v>1391.17</c:v>
                </c:pt>
                <c:pt idx="2">
                  <c:v>1395.75</c:v>
                </c:pt>
                <c:pt idx="3">
                  <c:v>1416.56</c:v>
                </c:pt>
                <c:pt idx="4">
                  <c:v>1449.43</c:v>
                </c:pt>
                <c:pt idx="5">
                  <c:v>1487.75</c:v>
                </c:pt>
                <c:pt idx="6">
                  <c:v>1526.77</c:v>
                </c:pt>
                <c:pt idx="7">
                  <c:v>1576.15</c:v>
                </c:pt>
                <c:pt idx="8">
                  <c:v>1668.92</c:v>
                </c:pt>
                <c:pt idx="9">
                  <c:v>1779.36</c:v>
                </c:pt>
                <c:pt idx="10">
                  <c:v>1896.51</c:v>
                </c:pt>
              </c:numCache>
            </c:numRef>
          </c:val>
          <c:smooth val="0"/>
          <c:extLst>
            <c:ext xmlns:c16="http://schemas.microsoft.com/office/drawing/2014/chart" uri="{C3380CC4-5D6E-409C-BE32-E72D297353CC}">
              <c16:uniqueId val="{00000007-C6CC-4215-9802-00BDE431F5BF}"/>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1600"/>
          <c:min val="0"/>
        </c:scaling>
        <c:delete val="0"/>
        <c:axPos val="l"/>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92521828481056423"/>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q3_q7_q11_q15_q24_q36_Fig!$AM$19</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q3_q7_q11_q15_q24_q36_Fig!$AL$20:$AL$38</c15:sqref>
                  </c15:fullRef>
                </c:ext>
              </c:extLst>
              <c:f>q3_q7_q11_q15_q24_q36_Fig!$AL$20:$AL$37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extLst>
                <c:ext xmlns:c15="http://schemas.microsoft.com/office/drawing/2012/chart" uri="{02D57815-91ED-43cb-92C2-25804820EDAC}">
                  <c15:fullRef>
                    <c15:sqref>q3_q7_q11_q15_q24_q36_Fig!$AM$20:$AM$38</c15:sqref>
                  </c15:fullRef>
                </c:ext>
              </c:extLst>
              <c:f>q3_q7_q11_q15_q24_q36_Fig!$AM$20:$AM$37</c:f>
              <c:numCache>
                <c:formatCode>#,##0</c:formatCode>
                <c:ptCount val="18"/>
                <c:pt idx="0">
                  <c:v>19732</c:v>
                </c:pt>
                <c:pt idx="1">
                  <c:v>4889</c:v>
                </c:pt>
                <c:pt idx="2">
                  <c:v>29000</c:v>
                </c:pt>
                <c:pt idx="3">
                  <c:v>3589</c:v>
                </c:pt>
                <c:pt idx="4">
                  <c:v>4621</c:v>
                </c:pt>
                <c:pt idx="5">
                  <c:v>10168</c:v>
                </c:pt>
                <c:pt idx="6">
                  <c:v>5030</c:v>
                </c:pt>
                <c:pt idx="7">
                  <c:v>18174</c:v>
                </c:pt>
                <c:pt idx="8">
                  <c:v>4165</c:v>
                </c:pt>
                <c:pt idx="9">
                  <c:v>16047</c:v>
                </c:pt>
                <c:pt idx="10">
                  <c:v>65461</c:v>
                </c:pt>
                <c:pt idx="11">
                  <c:v>2787</c:v>
                </c:pt>
                <c:pt idx="12">
                  <c:v>53824</c:v>
                </c:pt>
                <c:pt idx="13">
                  <c:v>11741</c:v>
                </c:pt>
                <c:pt idx="14">
                  <c:v>16745</c:v>
                </c:pt>
                <c:pt idx="15">
                  <c:v>7328</c:v>
                </c:pt>
                <c:pt idx="16">
                  <c:v>5212</c:v>
                </c:pt>
                <c:pt idx="17">
                  <c:v>10250</c:v>
                </c:pt>
              </c:numCache>
            </c:numRef>
          </c:val>
          <c:extLst>
            <c:ext xmlns:c16="http://schemas.microsoft.com/office/drawing/2014/chart" uri="{C3380CC4-5D6E-409C-BE32-E72D297353CC}">
              <c16:uniqueId val="{00000000-4781-4235-88FE-502D90D94F4D}"/>
            </c:ext>
          </c:extLst>
        </c:ser>
        <c:ser>
          <c:idx val="1"/>
          <c:order val="1"/>
          <c:tx>
            <c:strRef>
              <c:f>q3_q7_q11_q15_q24_q36_Fig!$AN$19</c:f>
              <c:strCache>
                <c:ptCount val="1"/>
                <c:pt idx="0">
                  <c:v>Estabele-
cimentos</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q3_q7_q11_q15_q24_q36_Fig!$AL$20:$AL$38</c15:sqref>
                  </c15:fullRef>
                </c:ext>
              </c:extLst>
              <c:f>q3_q7_q11_q15_q24_q36_Fig!$AL$20:$AL$37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extLst>
                <c:ext xmlns:c15="http://schemas.microsoft.com/office/drawing/2012/chart" uri="{02D57815-91ED-43cb-92C2-25804820EDAC}">
                  <c15:fullRef>
                    <c15:sqref>q3_q7_q11_q15_q24_q36_Fig!$AN$20:$AN$38</c15:sqref>
                  </c15:fullRef>
                </c:ext>
              </c:extLst>
              <c:f>q3_q7_q11_q15_q24_q36_Fig!$AN$20:$AN$37</c:f>
              <c:numCache>
                <c:formatCode>#,##0</c:formatCode>
                <c:ptCount val="18"/>
                <c:pt idx="0">
                  <c:v>22673</c:v>
                </c:pt>
                <c:pt idx="1">
                  <c:v>5657</c:v>
                </c:pt>
                <c:pt idx="2">
                  <c:v>32426</c:v>
                </c:pt>
                <c:pt idx="3">
                  <c:v>4180</c:v>
                </c:pt>
                <c:pt idx="4">
                  <c:v>5527</c:v>
                </c:pt>
                <c:pt idx="5">
                  <c:v>12400</c:v>
                </c:pt>
                <c:pt idx="6">
                  <c:v>6058</c:v>
                </c:pt>
                <c:pt idx="7">
                  <c:v>21959</c:v>
                </c:pt>
                <c:pt idx="8">
                  <c:v>4818</c:v>
                </c:pt>
                <c:pt idx="9">
                  <c:v>18700</c:v>
                </c:pt>
                <c:pt idx="10">
                  <c:v>77003</c:v>
                </c:pt>
                <c:pt idx="11">
                  <c:v>3351</c:v>
                </c:pt>
                <c:pt idx="12">
                  <c:v>62369</c:v>
                </c:pt>
                <c:pt idx="13">
                  <c:v>13985</c:v>
                </c:pt>
                <c:pt idx="14">
                  <c:v>20414</c:v>
                </c:pt>
                <c:pt idx="15">
                  <c:v>8424</c:v>
                </c:pt>
                <c:pt idx="16">
                  <c:v>6174</c:v>
                </c:pt>
                <c:pt idx="17">
                  <c:v>11908</c:v>
                </c:pt>
              </c:numCache>
            </c:numRef>
          </c:val>
          <c:extLst>
            <c:ext xmlns:c16="http://schemas.microsoft.com/office/drawing/2014/chart" uri="{C3380CC4-5D6E-409C-BE32-E72D297353CC}">
              <c16:uniqueId val="{00000001-4781-4235-88FE-502D90D94F4D}"/>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legend>
      <c:legendPos val="b"/>
      <c:layout>
        <c:manualLayout>
          <c:xMode val="edge"/>
          <c:yMode val="edge"/>
          <c:x val="0.59894841213051209"/>
          <c:y val="0.8958285000206182"/>
          <c:w val="0.33981512399659702"/>
          <c:h val="7.6847968932930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q3_q7_q11_q15_q24_q36_Fig!$AT$19</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q3_q7_q11_q15_q24_q36_Fig!$AS$20:$AS$37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q3_q7_q11_q15_q24_q36_Fig!$AT$20:$AT$37</c:f>
              <c:numCache>
                <c:formatCode>#,##0</c:formatCode>
                <c:ptCount val="18"/>
                <c:pt idx="0">
                  <c:v>252468</c:v>
                </c:pt>
                <c:pt idx="1">
                  <c:v>47842</c:v>
                </c:pt>
                <c:pt idx="2">
                  <c:v>312404</c:v>
                </c:pt>
                <c:pt idx="3">
                  <c:v>24098</c:v>
                </c:pt>
                <c:pt idx="4">
                  <c:v>44890</c:v>
                </c:pt>
                <c:pt idx="5">
                  <c:v>114805</c:v>
                </c:pt>
                <c:pt idx="6">
                  <c:v>44873</c:v>
                </c:pt>
                <c:pt idx="7">
                  <c:v>184099</c:v>
                </c:pt>
                <c:pt idx="8">
                  <c:v>33014</c:v>
                </c:pt>
                <c:pt idx="9">
                  <c:v>165799</c:v>
                </c:pt>
                <c:pt idx="10">
                  <c:v>1068615</c:v>
                </c:pt>
                <c:pt idx="11">
                  <c:v>23830</c:v>
                </c:pt>
                <c:pt idx="12">
                  <c:v>685481</c:v>
                </c:pt>
                <c:pt idx="13">
                  <c:v>122205</c:v>
                </c:pt>
                <c:pt idx="14">
                  <c:v>198848</c:v>
                </c:pt>
                <c:pt idx="15">
                  <c:v>73222</c:v>
                </c:pt>
                <c:pt idx="16">
                  <c:v>41070</c:v>
                </c:pt>
                <c:pt idx="17">
                  <c:v>107392</c:v>
                </c:pt>
              </c:numCache>
            </c:numRef>
          </c:val>
          <c:extLst>
            <c:ext xmlns:c16="http://schemas.microsoft.com/office/drawing/2014/chart" uri="{C3380CC4-5D6E-409C-BE32-E72D297353CC}">
              <c16:uniqueId val="{00000000-E329-42D7-90CC-DEFE1810171A}"/>
            </c:ext>
          </c:extLst>
        </c:ser>
        <c:ser>
          <c:idx val="1"/>
          <c:order val="1"/>
          <c:tx>
            <c:strRef>
              <c:f>q3_q7_q11_q15_q24_q36_Fig!$AU$19</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q3_q7_q11_q15_q24_q36_Fig!$AS$20:$AS$37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q3_q7_q11_q15_q24_q36_Fig!$AU$20:$AU$37</c:f>
              <c:numCache>
                <c:formatCode>#,##0</c:formatCode>
                <c:ptCount val="18"/>
                <c:pt idx="0">
                  <c:v>237311</c:v>
                </c:pt>
                <c:pt idx="1">
                  <c:v>45650</c:v>
                </c:pt>
                <c:pt idx="2">
                  <c:v>293085</c:v>
                </c:pt>
                <c:pt idx="3">
                  <c:v>22075</c:v>
                </c:pt>
                <c:pt idx="4">
                  <c:v>42077</c:v>
                </c:pt>
                <c:pt idx="5">
                  <c:v>107638</c:v>
                </c:pt>
                <c:pt idx="6">
                  <c:v>42150</c:v>
                </c:pt>
                <c:pt idx="7">
                  <c:v>172373</c:v>
                </c:pt>
                <c:pt idx="8">
                  <c:v>30941</c:v>
                </c:pt>
                <c:pt idx="9">
                  <c:v>154444</c:v>
                </c:pt>
                <c:pt idx="10">
                  <c:v>1024115</c:v>
                </c:pt>
                <c:pt idx="11">
                  <c:v>22423</c:v>
                </c:pt>
                <c:pt idx="12">
                  <c:v>649672</c:v>
                </c:pt>
                <c:pt idx="13">
                  <c:v>114293</c:v>
                </c:pt>
                <c:pt idx="14">
                  <c:v>187786</c:v>
                </c:pt>
                <c:pt idx="15">
                  <c:v>68763</c:v>
                </c:pt>
                <c:pt idx="16">
                  <c:v>38288</c:v>
                </c:pt>
                <c:pt idx="17">
                  <c:v>101052</c:v>
                </c:pt>
              </c:numCache>
            </c:numRef>
          </c:val>
          <c:extLst>
            <c:ext xmlns:c16="http://schemas.microsoft.com/office/drawing/2014/chart" uri="{C3380CC4-5D6E-409C-BE32-E72D297353CC}">
              <c16:uniqueId val="{00000001-E329-42D7-90CC-DEFE1810171A}"/>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1213051209"/>
          <c:y val="0.8958285000206182"/>
          <c:w val="0.29038922336032225"/>
          <c:h val="7.6847968932930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q3_q7_q11_q15_q24_q36_Fig!$BA$19</c:f>
              <c:strCache>
                <c:ptCount val="1"/>
                <c:pt idx="0">
                  <c:v>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q3_q7_q11_q15_q24_q36_Fig!$AZ$20:$AZ$37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q3_q7_q11_q15_q24_q36_Fig!$BA$20:$BA$37</c:f>
              <c:numCache>
                <c:formatCode>#,##0\ "€"</c:formatCode>
                <c:ptCount val="18"/>
                <c:pt idx="0">
                  <c:v>1204.6300000000001</c:v>
                </c:pt>
                <c:pt idx="1">
                  <c:v>1076.04</c:v>
                </c:pt>
                <c:pt idx="2">
                  <c:v>1146.02</c:v>
                </c:pt>
                <c:pt idx="3">
                  <c:v>1026.18</c:v>
                </c:pt>
                <c:pt idx="4">
                  <c:v>1066.6099999999999</c:v>
                </c:pt>
                <c:pt idx="5">
                  <c:v>1158.92</c:v>
                </c:pt>
                <c:pt idx="6">
                  <c:v>1125.55</c:v>
                </c:pt>
                <c:pt idx="7">
                  <c:v>1095.01</c:v>
                </c:pt>
                <c:pt idx="8">
                  <c:v>1045.71</c:v>
                </c:pt>
                <c:pt idx="9">
                  <c:v>1144.0999999999999</c:v>
                </c:pt>
                <c:pt idx="10">
                  <c:v>1567.76</c:v>
                </c:pt>
                <c:pt idx="11">
                  <c:v>1064.08</c:v>
                </c:pt>
                <c:pt idx="12">
                  <c:v>1321.62</c:v>
                </c:pt>
                <c:pt idx="13">
                  <c:v>1107.74</c:v>
                </c:pt>
                <c:pt idx="14">
                  <c:v>1278.47</c:v>
                </c:pt>
                <c:pt idx="15">
                  <c:v>1098.82</c:v>
                </c:pt>
                <c:pt idx="16">
                  <c:v>1064.3399999999999</c:v>
                </c:pt>
                <c:pt idx="17">
                  <c:v>1067.4100000000001</c:v>
                </c:pt>
              </c:numCache>
            </c:numRef>
          </c:val>
          <c:extLst>
            <c:ext xmlns:c16="http://schemas.microsoft.com/office/drawing/2014/chart" uri="{C3380CC4-5D6E-409C-BE32-E72D297353CC}">
              <c16:uniqueId val="{00000000-367F-43EB-B340-184F34632EA8}"/>
            </c:ext>
          </c:extLst>
        </c:ser>
        <c:ser>
          <c:idx val="1"/>
          <c:order val="1"/>
          <c:tx>
            <c:strRef>
              <c:f>q3_q7_q11_q15_q24_q36_Fig!$BB$19</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q3_q7_q11_q15_q24_q36_Fig!$AZ$20:$AZ$37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q3_q7_q11_q15_q24_q36_Fig!$BB$20:$BB$37</c:f>
              <c:numCache>
                <c:formatCode>#,##0\ "€"</c:formatCode>
                <c:ptCount val="18"/>
                <c:pt idx="0">
                  <c:v>1454.71</c:v>
                </c:pt>
                <c:pt idx="1">
                  <c:v>1376.09</c:v>
                </c:pt>
                <c:pt idx="2">
                  <c:v>1361.73</c:v>
                </c:pt>
                <c:pt idx="3">
                  <c:v>1251.51</c:v>
                </c:pt>
                <c:pt idx="4">
                  <c:v>1279.54</c:v>
                </c:pt>
                <c:pt idx="5">
                  <c:v>1422.04</c:v>
                </c:pt>
                <c:pt idx="6">
                  <c:v>1371.98</c:v>
                </c:pt>
                <c:pt idx="7">
                  <c:v>1320.22</c:v>
                </c:pt>
                <c:pt idx="8">
                  <c:v>1289.44</c:v>
                </c:pt>
                <c:pt idx="9">
                  <c:v>1392.79</c:v>
                </c:pt>
                <c:pt idx="10">
                  <c:v>1896.51</c:v>
                </c:pt>
                <c:pt idx="11">
                  <c:v>1295.3599999999999</c:v>
                </c:pt>
                <c:pt idx="12">
                  <c:v>1583.93</c:v>
                </c:pt>
                <c:pt idx="13">
                  <c:v>1369.46</c:v>
                </c:pt>
                <c:pt idx="14">
                  <c:v>1560.37</c:v>
                </c:pt>
                <c:pt idx="15">
                  <c:v>1340.14</c:v>
                </c:pt>
                <c:pt idx="16">
                  <c:v>1278.46</c:v>
                </c:pt>
                <c:pt idx="17">
                  <c:v>1307.67</c:v>
                </c:pt>
              </c:numCache>
            </c:numRef>
          </c:val>
          <c:extLst>
            <c:ext xmlns:c16="http://schemas.microsoft.com/office/drawing/2014/chart" uri="{C3380CC4-5D6E-409C-BE32-E72D297353CC}">
              <c16:uniqueId val="{00000001-367F-43EB-B340-184F34632EA8}"/>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8051136322373027"/>
          <c:y val="0.85028928160986517"/>
          <c:w val="0.18730661330692686"/>
          <c:h val="0.1087254218204571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8909629306003075"/>
          <c:h val="0.61909228840533581"/>
        </c:manualLayout>
      </c:layout>
      <c:barChart>
        <c:barDir val="col"/>
        <c:grouping val="clustered"/>
        <c:varyColors val="0"/>
        <c:ser>
          <c:idx val="0"/>
          <c:order val="0"/>
          <c:tx>
            <c:strRef>
              <c:f>q3_q7_q11_q15_q24_q36_Fig!$S$102</c:f>
              <c:strCache>
                <c:ptCount val="1"/>
                <c:pt idx="0">
                  <c:v>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chemeClr val="accent1">
                  <a:shade val="76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0-4CF7-45B9-B770-F1F62AA7BE34}"/>
              </c:ext>
            </c:extLst>
          </c:dPt>
          <c:dLbls>
            <c:dLbl>
              <c:idx val="0"/>
              <c:layout>
                <c:manualLayout>
                  <c:x val="5.4788924690077005E-2"/>
                  <c:y val="-8.2851332325181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7-45B9-B770-F1F62AA7BE34}"/>
                </c:ext>
              </c:extLst>
            </c:dLbl>
            <c:dLbl>
              <c:idx val="10"/>
              <c:layout>
                <c:manualLayout>
                  <c:x val="-9.5602764579882163E-2"/>
                  <c:y val="-4.8872433992108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F7-45B9-B770-F1F62AA7BE34}"/>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F7-45B9-B770-F1F62AA7BE34}"/>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q3_q7_q11_q15_q24_q36_Fig!$T$101:$AD$101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q3_q7_q11_q15_q24_q36_Fig!$T$102:$AD$102</c:f>
              <c:numCache>
                <c:formatCode>#,##0.00</c:formatCode>
                <c:ptCount val="11"/>
                <c:pt idx="0">
                  <c:v>1150.47</c:v>
                </c:pt>
                <c:pt idx="1">
                  <c:v>1151.6400000000001</c:v>
                </c:pt>
                <c:pt idx="2">
                  <c:v>1155.93</c:v>
                </c:pt>
                <c:pt idx="3">
                  <c:v>1171.8800000000001</c:v>
                </c:pt>
                <c:pt idx="4">
                  <c:v>1194.22</c:v>
                </c:pt>
                <c:pt idx="5">
                  <c:v>1230.1300000000001</c:v>
                </c:pt>
                <c:pt idx="6">
                  <c:v>1266.69</c:v>
                </c:pt>
                <c:pt idx="7">
                  <c:v>1312.07</c:v>
                </c:pt>
                <c:pt idx="8">
                  <c:v>1388.37</c:v>
                </c:pt>
                <c:pt idx="9">
                  <c:v>1474.84</c:v>
                </c:pt>
                <c:pt idx="10">
                  <c:v>1567.76</c:v>
                </c:pt>
              </c:numCache>
            </c:numRef>
          </c:val>
          <c:extLst>
            <c:ext xmlns:c16="http://schemas.microsoft.com/office/drawing/2014/chart" uri="{C3380CC4-5D6E-409C-BE32-E72D297353CC}">
              <c16:uniqueId val="{00000003-4CF7-45B9-B770-F1F62AA7BE34}"/>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q3_q7_q11_q15_q24_q36_Fig!$S$103</c:f>
              <c:strCache>
                <c:ptCount val="1"/>
                <c:pt idx="0">
                  <c:v>Ganho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4CF7-45B9-B770-F1F62AA7BE34}"/>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4CF7-45B9-B770-F1F62AA7BE34}"/>
              </c:ext>
            </c:extLst>
          </c:dPt>
          <c:dLbls>
            <c:dLbl>
              <c:idx val="0"/>
              <c:layout>
                <c:manualLayout>
                  <c:x val="2.2241993710124357E-2"/>
                  <c:y val="-0.120134169866146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F7-45B9-B770-F1F62AA7BE34}"/>
                </c:ext>
              </c:extLst>
            </c:dLbl>
            <c:dLbl>
              <c:idx val="10"/>
              <c:layout>
                <c:manualLayout>
                  <c:x val="-0.22687549822754238"/>
                  <c:y val="-7.9306513723648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F7-45B9-B770-F1F62AA7BE34}"/>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F7-45B9-B770-F1F62AA7BE34}"/>
                </c:ext>
              </c:extLst>
            </c:dLbl>
            <c:numFmt formatCode="#,##0.00\ &quot;€&quot;"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q3_q7_q11_q15_q24_q36_Fig!$T$101:$AD$101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q3_q7_q11_q15_q24_q36_Fig!$T$103:$AD$103</c:f>
              <c:numCache>
                <c:formatCode>#,##0.00</c:formatCode>
                <c:ptCount val="11"/>
                <c:pt idx="0">
                  <c:v>1392.42</c:v>
                </c:pt>
                <c:pt idx="1">
                  <c:v>1391.17</c:v>
                </c:pt>
                <c:pt idx="2">
                  <c:v>1395.75</c:v>
                </c:pt>
                <c:pt idx="3">
                  <c:v>1416.56</c:v>
                </c:pt>
                <c:pt idx="4">
                  <c:v>1449.43</c:v>
                </c:pt>
                <c:pt idx="5">
                  <c:v>1487.75</c:v>
                </c:pt>
                <c:pt idx="6">
                  <c:v>1526.77</c:v>
                </c:pt>
                <c:pt idx="7">
                  <c:v>1576.15</c:v>
                </c:pt>
                <c:pt idx="8">
                  <c:v>1668.92</c:v>
                </c:pt>
                <c:pt idx="9">
                  <c:v>1779.36</c:v>
                </c:pt>
                <c:pt idx="10">
                  <c:v>1896.51</c:v>
                </c:pt>
              </c:numCache>
            </c:numRef>
          </c:val>
          <c:smooth val="0"/>
          <c:extLst>
            <c:ext xmlns:c16="http://schemas.microsoft.com/office/drawing/2014/chart" uri="{C3380CC4-5D6E-409C-BE32-E72D297353CC}">
              <c16:uniqueId val="{00000007-4CF7-45B9-B770-F1F62AA7BE34}"/>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1800"/>
          <c:min val="0"/>
        </c:scaling>
        <c:delete val="0"/>
        <c:axPos val="l"/>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88112118055555555"/>
          <c:w val="0.49070486111111111"/>
          <c:h val="8.360104166666665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q3_q7_q11_q15_q24_q36_Fig!$AM$19</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75B5-47A8-8A2A-EAAB72D2D7A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q3_q7_q11_q15_q24_q36_Fig!$AL$38</c:f>
              <c:strCache>
                <c:ptCount val="1"/>
                <c:pt idx="0">
                  <c:v>Continente</c:v>
                </c:pt>
              </c:strCache>
            </c:strRef>
          </c:cat>
          <c:val>
            <c:numRef>
              <c:f>q3_q7_q11_q15_q24_q36_Fig!$AM$38</c:f>
              <c:numCache>
                <c:formatCode>#,##0</c:formatCode>
                <c:ptCount val="1"/>
                <c:pt idx="0">
                  <c:v>288763</c:v>
                </c:pt>
              </c:numCache>
            </c:numRef>
          </c:val>
          <c:extLst>
            <c:ext xmlns:c16="http://schemas.microsoft.com/office/drawing/2014/chart" uri="{C3380CC4-5D6E-409C-BE32-E72D297353CC}">
              <c16:uniqueId val="{00000000-75B5-47A8-8A2A-EAAB72D2D7AB}"/>
            </c:ext>
          </c:extLst>
        </c:ser>
        <c:ser>
          <c:idx val="1"/>
          <c:order val="1"/>
          <c:tx>
            <c:strRef>
              <c:f>q3_q7_q11_q15_q24_q36_Fig!$AN$19</c:f>
              <c:strCache>
                <c:ptCount val="1"/>
                <c:pt idx="0">
                  <c:v>Estabele-
cimentos</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75B5-47A8-8A2A-EAAB72D2D7A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q3_q7_q11_q15_q24_q36_Fig!$AL$38</c:f>
              <c:strCache>
                <c:ptCount val="1"/>
                <c:pt idx="0">
                  <c:v>Continente</c:v>
                </c:pt>
              </c:strCache>
            </c:strRef>
          </c:cat>
          <c:val>
            <c:numRef>
              <c:f>q3_q7_q11_q15_q24_q36_Fig!$AN$38</c:f>
              <c:numCache>
                <c:formatCode>#,##0</c:formatCode>
                <c:ptCount val="1"/>
                <c:pt idx="0">
                  <c:v>338026</c:v>
                </c:pt>
              </c:numCache>
            </c:numRef>
          </c:val>
          <c:extLst>
            <c:ext xmlns:c16="http://schemas.microsoft.com/office/drawing/2014/chart" uri="{C3380CC4-5D6E-409C-BE32-E72D297353CC}">
              <c16:uniqueId val="{00000001-75B5-47A8-8A2A-EAAB72D2D7AB}"/>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0807028631546345E-2"/>
          <c:y val="3.567815386713024E-2"/>
          <c:w val="0.93031205225533231"/>
          <c:h val="0.92049561986569861"/>
        </c:manualLayout>
      </c:layout>
      <c:barChart>
        <c:barDir val="bar"/>
        <c:grouping val="clustered"/>
        <c:varyColors val="0"/>
        <c:ser>
          <c:idx val="0"/>
          <c:order val="0"/>
          <c:tx>
            <c:strRef>
              <c:f>q3_q7_q11_q15_q24_q36_Fig!$AT$19</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9E32-4165-8EA9-B5512734F56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q3_q7_q11_q15_q24_q36_Fig!$AS$38</c:f>
              <c:strCache>
                <c:ptCount val="1"/>
                <c:pt idx="0">
                  <c:v>Continente</c:v>
                </c:pt>
              </c:strCache>
            </c:strRef>
          </c:cat>
          <c:val>
            <c:numRef>
              <c:f>q3_q7_q11_q15_q24_q36_Fig!$AT$38</c:f>
              <c:numCache>
                <c:formatCode>#,##0</c:formatCode>
                <c:ptCount val="1"/>
                <c:pt idx="0">
                  <c:v>3544955</c:v>
                </c:pt>
              </c:numCache>
            </c:numRef>
          </c:val>
          <c:extLst>
            <c:ext xmlns:c16="http://schemas.microsoft.com/office/drawing/2014/chart" uri="{C3380CC4-5D6E-409C-BE32-E72D297353CC}">
              <c16:uniqueId val="{00000001-9E32-4165-8EA9-B5512734F56C}"/>
            </c:ext>
          </c:extLst>
        </c:ser>
        <c:ser>
          <c:idx val="1"/>
          <c:order val="1"/>
          <c:tx>
            <c:strRef>
              <c:f>q3_q7_q11_q15_q24_q36_Fig!$AU$19</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9E32-4165-8EA9-B5512734F56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q3_q7_q11_q15_q24_q36_Fig!$AS$38</c:f>
              <c:strCache>
                <c:ptCount val="1"/>
                <c:pt idx="0">
                  <c:v>Continente</c:v>
                </c:pt>
              </c:strCache>
            </c:strRef>
          </c:cat>
          <c:val>
            <c:numRef>
              <c:f>q3_q7_q11_q15_q24_q36_Fig!$AU$38</c:f>
              <c:numCache>
                <c:formatCode>#,##0</c:formatCode>
                <c:ptCount val="1"/>
                <c:pt idx="0">
                  <c:v>3354136</c:v>
                </c:pt>
              </c:numCache>
            </c:numRef>
          </c:val>
          <c:extLst>
            <c:ext xmlns:c16="http://schemas.microsoft.com/office/drawing/2014/chart" uri="{C3380CC4-5D6E-409C-BE32-E72D297353CC}">
              <c16:uniqueId val="{00000003-9E32-4165-8EA9-B5512734F56C}"/>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5.6924250327103458E-2"/>
          <c:y val="3.567815386713024E-2"/>
          <c:w val="0.86584316547310392"/>
          <c:h val="0.92049561986569861"/>
        </c:manualLayout>
      </c:layout>
      <c:barChart>
        <c:barDir val="bar"/>
        <c:grouping val="clustered"/>
        <c:varyColors val="0"/>
        <c:ser>
          <c:idx val="0"/>
          <c:order val="0"/>
          <c:tx>
            <c:strRef>
              <c:f>q3_q7_q11_q15_q24_q36_Fig!$BA$19</c:f>
              <c:strCache>
                <c:ptCount val="1"/>
                <c:pt idx="0">
                  <c:v>Base</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layout>
                <c:manualLayout>
                  <c:x val="-0.27898879028194984"/>
                  <c:y val="1.1307870370370371E-2"/>
                </c:manualLayout>
              </c:layout>
              <c:numFmt formatCode="#,##0\ &quot;€&quot;"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24272535873508994"/>
                      <c:h val="0.25610398860398853"/>
                    </c:manualLayout>
                  </c15:layout>
                </c:ext>
                <c:ext xmlns:c16="http://schemas.microsoft.com/office/drawing/2014/chart" uri="{C3380CC4-5D6E-409C-BE32-E72D297353CC}">
                  <c16:uniqueId val="{00000000-49BD-4AAF-A276-4098319ACECD}"/>
                </c:ext>
              </c:extLst>
            </c:dLbl>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q3_q7_q11_q15_q24_q36_Fig!$AZ$38</c:f>
              <c:strCache>
                <c:ptCount val="1"/>
                <c:pt idx="0">
                  <c:v>Continente</c:v>
                </c:pt>
              </c:strCache>
            </c:strRef>
          </c:cat>
          <c:val>
            <c:numRef>
              <c:f>q3_q7_q11_q15_q24_q36_Fig!$BA$38</c:f>
              <c:numCache>
                <c:formatCode>#,##0\ "€"</c:formatCode>
                <c:ptCount val="1"/>
                <c:pt idx="0">
                  <c:v>1308.96</c:v>
                </c:pt>
              </c:numCache>
            </c:numRef>
          </c:val>
          <c:extLst>
            <c:ext xmlns:c16="http://schemas.microsoft.com/office/drawing/2014/chart" uri="{C3380CC4-5D6E-409C-BE32-E72D297353CC}">
              <c16:uniqueId val="{00000001-49BD-4AAF-A276-4098319ACECD}"/>
            </c:ext>
          </c:extLst>
        </c:ser>
        <c:ser>
          <c:idx val="1"/>
          <c:order val="1"/>
          <c:tx>
            <c:strRef>
              <c:f>q3_q7_q11_q15_q24_q36_Fig!$BB$19</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quot;€&quot;"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49BD-4AAF-A276-4098319ACECD}"/>
                </c:ext>
              </c:extLst>
            </c:dLbl>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q3_q7_q11_q15_q24_q36_Fig!$AZ$38</c:f>
              <c:strCache>
                <c:ptCount val="1"/>
                <c:pt idx="0">
                  <c:v>Continente</c:v>
                </c:pt>
              </c:strCache>
            </c:strRef>
          </c:cat>
          <c:val>
            <c:numRef>
              <c:f>q3_q7_q11_q15_q24_q36_Fig!$BB$38</c:f>
              <c:numCache>
                <c:formatCode>#,##0\ "€"</c:formatCode>
                <c:ptCount val="1"/>
                <c:pt idx="0">
                  <c:v>1582.75</c:v>
                </c:pt>
              </c:numCache>
            </c:numRef>
          </c:val>
          <c:extLst>
            <c:ext xmlns:c16="http://schemas.microsoft.com/office/drawing/2014/chart" uri="{C3380CC4-5D6E-409C-BE32-E72D297353CC}">
              <c16:uniqueId val="{00000003-49BD-4AAF-A276-4098319ACECD}"/>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q4_8_12_16_25_37_Fig!$R$6</c:f>
              <c:strCache>
                <c:ptCount val="1"/>
                <c:pt idx="0">
                  <c:v>Empresas</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6.2188007432133839E-2"/>
                  <c:y val="-0.105375815534839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0B-4E38-A0B2-A66A7C67D7EB}"/>
                </c:ext>
              </c:extLst>
            </c:dLbl>
            <c:dLbl>
              <c:idx val="10"/>
              <c:layout>
                <c:manualLayout>
                  <c:x val="-0.11392992711610846"/>
                  <c:y val="-6.62989296751308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0B-4E38-A0B2-A66A7C67D7EB}"/>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80B-4E38-A0B2-A66A7C67D7E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q4_8_12_16_25_37_Fig!$S$5:$AC$5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q4_8_12_16_25_37_Fig!$S$6:$AC$6</c:f>
              <c:numCache>
                <c:formatCode>#,##0</c:formatCode>
                <c:ptCount val="11"/>
                <c:pt idx="0">
                  <c:v>54415</c:v>
                </c:pt>
                <c:pt idx="1">
                  <c:v>55029</c:v>
                </c:pt>
                <c:pt idx="2">
                  <c:v>55354</c:v>
                </c:pt>
                <c:pt idx="3">
                  <c:v>56108</c:v>
                </c:pt>
                <c:pt idx="4">
                  <c:v>57209</c:v>
                </c:pt>
                <c:pt idx="5">
                  <c:v>55559</c:v>
                </c:pt>
                <c:pt idx="6">
                  <c:v>56643</c:v>
                </c:pt>
                <c:pt idx="7">
                  <c:v>54793</c:v>
                </c:pt>
                <c:pt idx="8">
                  <c:v>57854</c:v>
                </c:pt>
                <c:pt idx="9">
                  <c:v>59573</c:v>
                </c:pt>
                <c:pt idx="10">
                  <c:v>59232</c:v>
                </c:pt>
              </c:numCache>
            </c:numRef>
          </c:val>
          <c:extLst>
            <c:ext xmlns:c16="http://schemas.microsoft.com/office/drawing/2014/chart" uri="{C3380CC4-5D6E-409C-BE32-E72D297353CC}">
              <c16:uniqueId val="{00000003-980B-4E38-A0B2-A66A7C67D7EB}"/>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q4_8_12_16_25_37_Fig!$R$7</c:f>
              <c:strCache>
                <c:ptCount val="1"/>
                <c:pt idx="0">
                  <c:v>Estabelecimentos</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980B-4E38-A0B2-A66A7C67D7EB}"/>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980B-4E38-A0B2-A66A7C67D7EB}"/>
              </c:ext>
            </c:extLst>
          </c:dPt>
          <c:dLbls>
            <c:dLbl>
              <c:idx val="0"/>
              <c:layout>
                <c:manualLayout>
                  <c:x val="7.9394142669286016E-2"/>
                  <c:y val="-4.5953212075963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0B-4E38-A0B2-A66A7C67D7EB}"/>
                </c:ext>
              </c:extLst>
            </c:dLbl>
            <c:dLbl>
              <c:idx val="10"/>
              <c:layout>
                <c:manualLayout>
                  <c:x val="-6.6792310190435217E-2"/>
                  <c:y val="-6.3416854766688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80B-4E38-A0B2-A66A7C67D7EB}"/>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80B-4E38-A0B2-A66A7C67D7EB}"/>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q4_8_12_16_25_37_Fig!$S$5:$AC$5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q4_8_12_16_25_37_Fig!$S$7:$AC$7</c:f>
              <c:numCache>
                <c:formatCode>#,##0</c:formatCode>
                <c:ptCount val="11"/>
                <c:pt idx="0">
                  <c:v>65289</c:v>
                </c:pt>
                <c:pt idx="1">
                  <c:v>65847</c:v>
                </c:pt>
                <c:pt idx="2">
                  <c:v>66220</c:v>
                </c:pt>
                <c:pt idx="3">
                  <c:v>66764</c:v>
                </c:pt>
                <c:pt idx="4">
                  <c:v>67989</c:v>
                </c:pt>
                <c:pt idx="5">
                  <c:v>66115</c:v>
                </c:pt>
                <c:pt idx="6">
                  <c:v>67101</c:v>
                </c:pt>
                <c:pt idx="7">
                  <c:v>64927</c:v>
                </c:pt>
                <c:pt idx="8">
                  <c:v>68270</c:v>
                </c:pt>
                <c:pt idx="9">
                  <c:v>70103.999999999985</c:v>
                </c:pt>
                <c:pt idx="10">
                  <c:v>69821</c:v>
                </c:pt>
              </c:numCache>
            </c:numRef>
          </c:val>
          <c:smooth val="0"/>
          <c:extLst>
            <c:ext xmlns:c16="http://schemas.microsoft.com/office/drawing/2014/chart" uri="{C3380CC4-5D6E-409C-BE32-E72D297353CC}">
              <c16:uniqueId val="{00000007-980B-4E38-A0B2-A66A7C67D7EB}"/>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92521828481056423"/>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q4_8_12_16_25_37_Fig!$R$38</c:f>
              <c:strCache>
                <c:ptCount val="1"/>
                <c:pt idx="0">
                  <c:v>Pessoas ao serviço</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6.2188007432133839E-2"/>
                  <c:y val="-0.105375815534839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91-4BA8-B76A-3629BFCCD9F1}"/>
                </c:ext>
              </c:extLst>
            </c:dLbl>
            <c:dLbl>
              <c:idx val="10"/>
              <c:layout>
                <c:manualLayout>
                  <c:x val="-0.11392992711610846"/>
                  <c:y val="-6.62989296751308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91-4BA8-B76A-3629BFCCD9F1}"/>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91-4BA8-B76A-3629BFCCD9F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q4_8_12_16_25_37_Fig!$S$37:$AC$37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q4_8_12_16_25_37_Fig!$S$38:$AC$38</c:f>
              <c:numCache>
                <c:formatCode>#,##0</c:formatCode>
                <c:ptCount val="11"/>
                <c:pt idx="0">
                  <c:v>715126</c:v>
                </c:pt>
                <c:pt idx="1">
                  <c:v>730551</c:v>
                </c:pt>
                <c:pt idx="2">
                  <c:v>765222</c:v>
                </c:pt>
                <c:pt idx="3">
                  <c:v>790694</c:v>
                </c:pt>
                <c:pt idx="4">
                  <c:v>826919</c:v>
                </c:pt>
                <c:pt idx="5">
                  <c:v>845336</c:v>
                </c:pt>
                <c:pt idx="6">
                  <c:v>835460</c:v>
                </c:pt>
                <c:pt idx="7">
                  <c:v>838586</c:v>
                </c:pt>
                <c:pt idx="8">
                  <c:v>915180</c:v>
                </c:pt>
                <c:pt idx="9">
                  <c:v>969558</c:v>
                </c:pt>
                <c:pt idx="10">
                  <c:v>996445</c:v>
                </c:pt>
              </c:numCache>
            </c:numRef>
          </c:val>
          <c:extLst>
            <c:ext xmlns:c16="http://schemas.microsoft.com/office/drawing/2014/chart" uri="{C3380CC4-5D6E-409C-BE32-E72D297353CC}">
              <c16:uniqueId val="{00000003-6991-4BA8-B76A-3629BFCCD9F1}"/>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q4_8_12_16_25_37_Fig!$R$39</c:f>
              <c:strCache>
                <c:ptCount val="1"/>
                <c:pt idx="0">
                  <c:v>TCO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6991-4BA8-B76A-3629BFCCD9F1}"/>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6991-4BA8-B76A-3629BFCCD9F1}"/>
              </c:ext>
            </c:extLst>
          </c:dPt>
          <c:dLbls>
            <c:dLbl>
              <c:idx val="0"/>
              <c:layout>
                <c:manualLayout>
                  <c:x val="1.4485420559752521E-2"/>
                  <c:y val="-9.0123386658288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91-4BA8-B76A-3629BFCCD9F1}"/>
                </c:ext>
              </c:extLst>
            </c:dLbl>
            <c:dLbl>
              <c:idx val="10"/>
              <c:layout>
                <c:manualLayout>
                  <c:x val="-6.6792310190435217E-2"/>
                  <c:y val="-6.3416854766688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91-4BA8-B76A-3629BFCCD9F1}"/>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91-4BA8-B76A-3629BFCCD9F1}"/>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q4_8_12_16_25_37_Fig!$S$37:$AC$37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q4_8_12_16_25_37_Fig!$S$39:$AC$39</c:f>
              <c:numCache>
                <c:formatCode>#,##0</c:formatCode>
                <c:ptCount val="11"/>
                <c:pt idx="0">
                  <c:v>677265</c:v>
                </c:pt>
                <c:pt idx="1">
                  <c:v>692513</c:v>
                </c:pt>
                <c:pt idx="2">
                  <c:v>728120</c:v>
                </c:pt>
                <c:pt idx="3">
                  <c:v>753266.00000000012</c:v>
                </c:pt>
                <c:pt idx="4">
                  <c:v>788380.00000000012</c:v>
                </c:pt>
                <c:pt idx="5">
                  <c:v>807855</c:v>
                </c:pt>
                <c:pt idx="6">
                  <c:v>797460</c:v>
                </c:pt>
                <c:pt idx="7">
                  <c:v>801493</c:v>
                </c:pt>
                <c:pt idx="8">
                  <c:v>875584</c:v>
                </c:pt>
                <c:pt idx="9">
                  <c:v>928991</c:v>
                </c:pt>
                <c:pt idx="10">
                  <c:v>956373.99999999988</c:v>
                </c:pt>
              </c:numCache>
            </c:numRef>
          </c:val>
          <c:smooth val="0"/>
          <c:extLst>
            <c:ext xmlns:c16="http://schemas.microsoft.com/office/drawing/2014/chart" uri="{C3380CC4-5D6E-409C-BE32-E72D297353CC}">
              <c16:uniqueId val="{00000007-6991-4BA8-B76A-3629BFCCD9F1}"/>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92521828481056423"/>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q4_8_12_16_25_37_Fig!$R$72</c:f>
              <c:strCache>
                <c:ptCount val="1"/>
                <c:pt idx="0">
                  <c:v>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5.8742180554002758E-2"/>
                  <c:y val="-6.8825092678146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24-4D6E-BC8F-E0CC3DD6E3BF}"/>
                </c:ext>
              </c:extLst>
            </c:dLbl>
            <c:dLbl>
              <c:idx val="10"/>
              <c:layout>
                <c:manualLayout>
                  <c:x val="-7.6729435189769629E-2"/>
                  <c:y val="-5.3800277387150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24-4D6E-BC8F-E0CC3DD6E3BF}"/>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24-4D6E-BC8F-E0CC3DD6E3BF}"/>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q4_8_12_16_25_37_Fig!$S$71:$AC$71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q4_8_12_16_25_37_Fig!$S$72:$AC$72</c:f>
              <c:numCache>
                <c:formatCode>#,##0.00</c:formatCode>
                <c:ptCount val="11"/>
                <c:pt idx="0">
                  <c:v>1174.23</c:v>
                </c:pt>
                <c:pt idx="1">
                  <c:v>1175.57</c:v>
                </c:pt>
                <c:pt idx="2">
                  <c:v>1179.78</c:v>
                </c:pt>
                <c:pt idx="3">
                  <c:v>1197.4000000000001</c:v>
                </c:pt>
                <c:pt idx="4">
                  <c:v>1219.74</c:v>
                </c:pt>
                <c:pt idx="5">
                  <c:v>1255.78</c:v>
                </c:pt>
                <c:pt idx="6">
                  <c:v>1293.07</c:v>
                </c:pt>
                <c:pt idx="7">
                  <c:v>1339.8</c:v>
                </c:pt>
                <c:pt idx="8">
                  <c:v>1418.39</c:v>
                </c:pt>
                <c:pt idx="9">
                  <c:v>1505.99</c:v>
                </c:pt>
                <c:pt idx="10">
                  <c:v>1600.02</c:v>
                </c:pt>
              </c:numCache>
            </c:numRef>
          </c:val>
          <c:extLst>
            <c:ext xmlns:c16="http://schemas.microsoft.com/office/drawing/2014/chart" uri="{C3380CC4-5D6E-409C-BE32-E72D297353CC}">
              <c16:uniqueId val="{00000003-BF24-4D6E-BC8F-E0CC3DD6E3BF}"/>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q4_8_12_16_25_37_Fig!$R$73</c:f>
              <c:strCache>
                <c:ptCount val="1"/>
                <c:pt idx="0">
                  <c:v>Ganho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BF24-4D6E-BC8F-E0CC3DD6E3BF}"/>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BF24-4D6E-BC8F-E0CC3DD6E3BF}"/>
              </c:ext>
            </c:extLst>
          </c:dPt>
          <c:dLbls>
            <c:dLbl>
              <c:idx val="0"/>
              <c:layout>
                <c:manualLayout>
                  <c:x val="3.7416215467993025E-4"/>
                  <c:y val="-0.126673723074259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24-4D6E-BC8F-E0CC3DD6E3BF}"/>
                </c:ext>
              </c:extLst>
            </c:dLbl>
            <c:dLbl>
              <c:idx val="10"/>
              <c:layout>
                <c:manualLayout>
                  <c:x val="-0.1934663238089154"/>
                  <c:y val="-9.46795227766229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24-4D6E-BC8F-E0CC3DD6E3BF}"/>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24-4D6E-BC8F-E0CC3DD6E3BF}"/>
                </c:ext>
              </c:extLst>
            </c:dLbl>
            <c:numFmt formatCode="#,##0.00\ &quot;€&quot;" sourceLinked="0"/>
            <c:spPr>
              <a:noFill/>
              <a:ln>
                <a:noFill/>
              </a:ln>
              <a:effectLst/>
            </c:spPr>
            <c:txPr>
              <a:bodyPr rot="0" spcFirstLastPara="1" vertOverflow="overflow" horzOverflow="overflow" vert="horz" wrap="square" lIns="38100" tIns="19050" rIns="38100" bIns="19050" anchor="ctr" anchorCtr="1">
                <a:spAutoFit/>
              </a:bodyPr>
              <a:lstStyle/>
              <a:p>
                <a:pPr>
                  <a:defRPr sz="8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q4_8_12_16_25_37_Fig!$S$71:$AC$71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q4_8_12_16_25_37_Fig!$S$73:$AC$73</c:f>
              <c:numCache>
                <c:formatCode>#,##0.00</c:formatCode>
                <c:ptCount val="11"/>
                <c:pt idx="0">
                  <c:v>1421.25</c:v>
                </c:pt>
                <c:pt idx="1">
                  <c:v>1420.24</c:v>
                </c:pt>
                <c:pt idx="2">
                  <c:v>1424.28</c:v>
                </c:pt>
                <c:pt idx="3">
                  <c:v>1447.51</c:v>
                </c:pt>
                <c:pt idx="4">
                  <c:v>1480.76</c:v>
                </c:pt>
                <c:pt idx="5">
                  <c:v>1518.6</c:v>
                </c:pt>
                <c:pt idx="6">
                  <c:v>1558.34</c:v>
                </c:pt>
                <c:pt idx="7">
                  <c:v>1609.14</c:v>
                </c:pt>
                <c:pt idx="8">
                  <c:v>1705.14</c:v>
                </c:pt>
                <c:pt idx="9">
                  <c:v>1817.17</c:v>
                </c:pt>
                <c:pt idx="10">
                  <c:v>1935.68</c:v>
                </c:pt>
              </c:numCache>
            </c:numRef>
          </c:val>
          <c:smooth val="0"/>
          <c:extLst>
            <c:ext xmlns:c16="http://schemas.microsoft.com/office/drawing/2014/chart" uri="{C3380CC4-5D6E-409C-BE32-E72D297353CC}">
              <c16:uniqueId val="{00000007-BF24-4D6E-BC8F-E0CC3DD6E3BF}"/>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2000"/>
          <c:min val="0"/>
        </c:scaling>
        <c:delete val="0"/>
        <c:axPos val="l"/>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92521828481056423"/>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q4_8_12_16_25_37_Fig!$AS$37</c:f>
              <c:strCache>
                <c:ptCount val="1"/>
                <c:pt idx="0">
                  <c:v>Empresas</c:v>
                </c:pt>
              </c:strCache>
            </c:strRef>
          </c:tx>
          <c:spPr>
            <a:solidFill>
              <a:srgbClr val="4572A5"/>
            </a:solidFill>
            <a:ln w="15875" cmpd="sng">
              <a:noFill/>
              <a:prstDash val="soli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q4_8_12_16_25_37_Fig!$AR$38</c:f>
              <c:strCache>
                <c:ptCount val="1"/>
                <c:pt idx="0">
                  <c:v>Norte</c:v>
                </c:pt>
              </c:strCache>
            </c:strRef>
          </c:cat>
          <c:val>
            <c:numRef>
              <c:extLst>
                <c:ext xmlns:c15="http://schemas.microsoft.com/office/drawing/2012/chart" uri="{02D57815-91ED-43cb-92C2-25804820EDAC}">
                  <c15:fullRef>
                    <c15:sqref>q4_8_12_16_25_37_Fig!$AS$38:$AS$44</c15:sqref>
                  </c15:fullRef>
                </c:ext>
              </c:extLst>
              <c:f>q4_8_12_16_25_37_Fig!$AS$38</c:f>
              <c:numCache>
                <c:formatCode>#,##0</c:formatCode>
                <c:ptCount val="1"/>
                <c:pt idx="0">
                  <c:v>111564.99999999994</c:v>
                </c:pt>
              </c:numCache>
            </c:numRef>
          </c:val>
          <c:extLst>
            <c:ext xmlns:c16="http://schemas.microsoft.com/office/drawing/2014/chart" uri="{C3380CC4-5D6E-409C-BE32-E72D297353CC}">
              <c16:uniqueId val="{00000000-054E-4AD8-B0B8-6A5BE91409B9}"/>
            </c:ext>
          </c:extLst>
        </c:ser>
        <c:ser>
          <c:idx val="1"/>
          <c:order val="1"/>
          <c:tx>
            <c:strRef>
              <c:f>q4_8_12_16_25_37_Fig!$AT$37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q4_8_12_16_25_37_Fig!$AR$38</c:f>
              <c:strCache>
                <c:ptCount val="1"/>
                <c:pt idx="0">
                  <c:v>Norte</c:v>
                </c:pt>
              </c:strCache>
            </c:strRef>
          </c:cat>
          <c:val>
            <c:numRef>
              <c:extLst>
                <c:ext xmlns:c15="http://schemas.microsoft.com/office/drawing/2012/chart" uri="{02D57815-91ED-43cb-92C2-25804820EDAC}">
                  <c15:fullRef>
                    <c15:sqref>q4_8_12_16_25_37_Fig!$AT$38:$AT$44</c15:sqref>
                  </c15:fullRef>
                </c:ext>
              </c:extLst>
              <c:f>q4_8_12_16_25_37_Fig!$AT$38</c:f>
              <c:numCache>
                <c:formatCode>#,##0</c:formatCode>
                <c:ptCount val="1"/>
                <c:pt idx="0">
                  <c:v>127676.00000000001</c:v>
                </c:pt>
              </c:numCache>
            </c:numRef>
          </c:val>
          <c:extLst>
            <c:ext xmlns:c16="http://schemas.microsoft.com/office/drawing/2014/chart" uri="{C3380CC4-5D6E-409C-BE32-E72D297353CC}">
              <c16:uniqueId val="{00000001-054E-4AD8-B0B8-6A5BE91409B9}"/>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q4_8_12_16_25_37_Fig!$AR$39</c:f>
              <c:strCache>
                <c:ptCount val="1"/>
                <c:pt idx="0">
                  <c:v>Centro</c:v>
                </c:pt>
              </c:strCache>
            </c:strRef>
          </c:cat>
          <c:val>
            <c:numRef>
              <c:extLst>
                <c:ext xmlns:c15="http://schemas.microsoft.com/office/drawing/2012/chart" uri="{02D57815-91ED-43cb-92C2-25804820EDAC}">
                  <c15:fullRef>
                    <c15:sqref>q4_8_12_16_25_37_Fig!$AS$38:$AS$44</c15:sqref>
                  </c15:fullRef>
                </c:ext>
              </c:extLst>
              <c:f>q4_8_12_16_25_37_Fig!$AS$39</c:f>
              <c:numCache>
                <c:formatCode>#,##0</c:formatCode>
                <c:ptCount val="1"/>
                <c:pt idx="0">
                  <c:v>46606.999999999985</c:v>
                </c:pt>
              </c:numCache>
            </c:numRef>
          </c:val>
          <c:extLst>
            <c:ext xmlns:c16="http://schemas.microsoft.com/office/drawing/2014/chart" uri="{C3380CC4-5D6E-409C-BE32-E72D297353CC}">
              <c16:uniqueId val="{00000000-52AA-4ADF-B576-C40A2A007439}"/>
            </c:ext>
          </c:extLst>
        </c:ser>
        <c:ser>
          <c:idx val="1"/>
          <c:order val="1"/>
          <c:tx>
            <c:strRef>
              <c:f>q4_8_12_16_25_37_Fig!$AT$37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q4_8_12_16_25_37_Fig!$AR$39</c:f>
              <c:strCache>
                <c:ptCount val="1"/>
                <c:pt idx="0">
                  <c:v>Centro</c:v>
                </c:pt>
              </c:strCache>
            </c:strRef>
          </c:cat>
          <c:val>
            <c:numRef>
              <c:extLst>
                <c:ext xmlns:c15="http://schemas.microsoft.com/office/drawing/2012/chart" uri="{02D57815-91ED-43cb-92C2-25804820EDAC}">
                  <c15:fullRef>
                    <c15:sqref>q4_8_12_16_25_37_Fig!$AT$38:$AT$44</c15:sqref>
                  </c15:fullRef>
                </c:ext>
              </c:extLst>
              <c:f>q4_8_12_16_25_37_Fig!$AT$39</c:f>
              <c:numCache>
                <c:formatCode>#,##0</c:formatCode>
                <c:ptCount val="1"/>
                <c:pt idx="0">
                  <c:v>55186.999999999978</c:v>
                </c:pt>
              </c:numCache>
            </c:numRef>
          </c:val>
          <c:extLst>
            <c:ext xmlns:c16="http://schemas.microsoft.com/office/drawing/2014/chart" uri="{C3380CC4-5D6E-409C-BE32-E72D297353CC}">
              <c16:uniqueId val="{00000001-52AA-4ADF-B576-C40A2A007439}"/>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q4_8_12_16_25_37_Fig!$AR$40</c:f>
              <c:strCache>
                <c:ptCount val="1"/>
                <c:pt idx="0">
                  <c:v>Oeste e Vale do Tejo</c:v>
                </c:pt>
              </c:strCache>
            </c:strRef>
          </c:cat>
          <c:val>
            <c:numRef>
              <c:extLst>
                <c:ext xmlns:c15="http://schemas.microsoft.com/office/drawing/2012/chart" uri="{02D57815-91ED-43cb-92C2-25804820EDAC}">
                  <c15:fullRef>
                    <c15:sqref>q4_8_12_16_25_37_Fig!$AS$38:$AS$44</c15:sqref>
                  </c15:fullRef>
                </c:ext>
              </c:extLst>
              <c:f>q4_8_12_16_25_37_Fig!$AS$40</c:f>
              <c:numCache>
                <c:formatCode>#,##0</c:formatCode>
                <c:ptCount val="1"/>
                <c:pt idx="0">
                  <c:v>23734</c:v>
                </c:pt>
              </c:numCache>
            </c:numRef>
          </c:val>
          <c:extLst>
            <c:ext xmlns:c16="http://schemas.microsoft.com/office/drawing/2014/chart" uri="{C3380CC4-5D6E-409C-BE32-E72D297353CC}">
              <c16:uniqueId val="{00000000-52E8-464F-8D59-2460A0752D49}"/>
            </c:ext>
          </c:extLst>
        </c:ser>
        <c:ser>
          <c:idx val="1"/>
          <c:order val="1"/>
          <c:tx>
            <c:strRef>
              <c:f>q4_8_12_16_25_37_Fig!$AT$37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q4_8_12_16_25_37_Fig!$AR$40</c:f>
              <c:strCache>
                <c:ptCount val="1"/>
                <c:pt idx="0">
                  <c:v>Oeste e Vale do Tejo</c:v>
                </c:pt>
              </c:strCache>
            </c:strRef>
          </c:cat>
          <c:val>
            <c:numRef>
              <c:extLst>
                <c:ext xmlns:c15="http://schemas.microsoft.com/office/drawing/2012/chart" uri="{02D57815-91ED-43cb-92C2-25804820EDAC}">
                  <c15:fullRef>
                    <c15:sqref>q4_8_12_16_25_37_Fig!$AT$38:$AT$44</c15:sqref>
                  </c15:fullRef>
                </c:ext>
              </c:extLst>
              <c:f>q4_8_12_16_25_37_Fig!$AT$40</c:f>
              <c:numCache>
                <c:formatCode>#,##0</c:formatCode>
                <c:ptCount val="1"/>
                <c:pt idx="0">
                  <c:v>27902.999999999993</c:v>
                </c:pt>
              </c:numCache>
            </c:numRef>
          </c:val>
          <c:extLst>
            <c:ext xmlns:c16="http://schemas.microsoft.com/office/drawing/2014/chart" uri="{C3380CC4-5D6E-409C-BE32-E72D297353CC}">
              <c16:uniqueId val="{00000001-52E8-464F-8D59-2460A0752D49}"/>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majorUnit val="4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q4_8_12_16_25_37_Fig!$AR$42</c:f>
              <c:strCache>
                <c:ptCount val="1"/>
                <c:pt idx="0">
                  <c:v>Península de Setúbal</c:v>
                </c:pt>
              </c:strCache>
            </c:strRef>
          </c:cat>
          <c:val>
            <c:numRef>
              <c:extLst>
                <c:ext xmlns:c15="http://schemas.microsoft.com/office/drawing/2012/chart" uri="{02D57815-91ED-43cb-92C2-25804820EDAC}">
                  <c15:fullRef>
                    <c15:sqref>q4_8_12_16_25_37_Fig!$AS$38:$AS$44</c15:sqref>
                  </c15:fullRef>
                </c:ext>
              </c:extLst>
              <c:f>q4_8_12_16_25_37_Fig!$AS$42</c:f>
              <c:numCache>
                <c:formatCode>#,##0</c:formatCode>
                <c:ptCount val="1"/>
                <c:pt idx="0">
                  <c:v>14916</c:v>
                </c:pt>
              </c:numCache>
            </c:numRef>
          </c:val>
          <c:extLst>
            <c:ext xmlns:c16="http://schemas.microsoft.com/office/drawing/2014/chart" uri="{C3380CC4-5D6E-409C-BE32-E72D297353CC}">
              <c16:uniqueId val="{00000000-CD41-4F3A-A4D1-43622F02BDE8}"/>
            </c:ext>
          </c:extLst>
        </c:ser>
        <c:ser>
          <c:idx val="1"/>
          <c:order val="1"/>
          <c:tx>
            <c:strRef>
              <c:f>q4_8_12_16_25_37_Fig!$AT$37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q4_8_12_16_25_37_Fig!$AR$42</c:f>
              <c:strCache>
                <c:ptCount val="1"/>
                <c:pt idx="0">
                  <c:v>Península de Setúbal</c:v>
                </c:pt>
              </c:strCache>
            </c:strRef>
          </c:cat>
          <c:val>
            <c:numRef>
              <c:extLst>
                <c:ext xmlns:c15="http://schemas.microsoft.com/office/drawing/2012/chart" uri="{02D57815-91ED-43cb-92C2-25804820EDAC}">
                  <c15:fullRef>
                    <c15:sqref>q4_8_12_16_25_37_Fig!$AT$38:$AT$44</c15:sqref>
                  </c15:fullRef>
                </c:ext>
              </c:extLst>
              <c:f>q4_8_12_16_25_37_Fig!$AT$42</c:f>
              <c:numCache>
                <c:formatCode>#,##0</c:formatCode>
                <c:ptCount val="1"/>
                <c:pt idx="0">
                  <c:v>18128</c:v>
                </c:pt>
              </c:numCache>
            </c:numRef>
          </c:val>
          <c:extLst>
            <c:ext xmlns:c16="http://schemas.microsoft.com/office/drawing/2014/chart" uri="{C3380CC4-5D6E-409C-BE32-E72D297353CC}">
              <c16:uniqueId val="{00000001-CD41-4F3A-A4D1-43622F02BDE8}"/>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min val="0"/>
        </c:scaling>
        <c:delete val="1"/>
        <c:axPos val="l"/>
        <c:numFmt formatCode="#,##0" sourceLinked="1"/>
        <c:majorTickMark val="out"/>
        <c:minorTickMark val="none"/>
        <c:tickLblPos val="nextTo"/>
        <c:crossAx val="636287087"/>
        <c:crosses val="autoZero"/>
        <c:crossBetween val="between"/>
        <c:majorUnit val="50000"/>
        <c:minorUnit val="1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q3_q7_q11_q15_q24_q36_Fig!$AT$19</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q3_q7_q11_q15_q24_q36_Fig!$AS$20:$AS$37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q3_q7_q11_q15_q24_q36_Fig!$AT$20:$AT$37</c:f>
              <c:numCache>
                <c:formatCode>#,##0</c:formatCode>
                <c:ptCount val="18"/>
                <c:pt idx="0">
                  <c:v>252468</c:v>
                </c:pt>
                <c:pt idx="1">
                  <c:v>47842</c:v>
                </c:pt>
                <c:pt idx="2">
                  <c:v>312404</c:v>
                </c:pt>
                <c:pt idx="3">
                  <c:v>24098</c:v>
                </c:pt>
                <c:pt idx="4">
                  <c:v>44890</c:v>
                </c:pt>
                <c:pt idx="5">
                  <c:v>114805</c:v>
                </c:pt>
                <c:pt idx="6">
                  <c:v>44873</c:v>
                </c:pt>
                <c:pt idx="7">
                  <c:v>184099</c:v>
                </c:pt>
                <c:pt idx="8">
                  <c:v>33014</c:v>
                </c:pt>
                <c:pt idx="9">
                  <c:v>165799</c:v>
                </c:pt>
                <c:pt idx="10">
                  <c:v>1068615</c:v>
                </c:pt>
                <c:pt idx="11">
                  <c:v>23830</c:v>
                </c:pt>
                <c:pt idx="12">
                  <c:v>685481</c:v>
                </c:pt>
                <c:pt idx="13">
                  <c:v>122205</c:v>
                </c:pt>
                <c:pt idx="14">
                  <c:v>198848</c:v>
                </c:pt>
                <c:pt idx="15">
                  <c:v>73222</c:v>
                </c:pt>
                <c:pt idx="16">
                  <c:v>41070</c:v>
                </c:pt>
                <c:pt idx="17">
                  <c:v>107392</c:v>
                </c:pt>
              </c:numCache>
            </c:numRef>
          </c:val>
          <c:extLst>
            <c:ext xmlns:c16="http://schemas.microsoft.com/office/drawing/2014/chart" uri="{C3380CC4-5D6E-409C-BE32-E72D297353CC}">
              <c16:uniqueId val="{00000000-CB79-419E-8DD5-4F91E0054810}"/>
            </c:ext>
          </c:extLst>
        </c:ser>
        <c:ser>
          <c:idx val="1"/>
          <c:order val="1"/>
          <c:tx>
            <c:strRef>
              <c:f>q3_q7_q11_q15_q24_q36_Fig!$AU$19</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q3_q7_q11_q15_q24_q36_Fig!$AS$20:$AS$37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q3_q7_q11_q15_q24_q36_Fig!$AU$20:$AU$37</c:f>
              <c:numCache>
                <c:formatCode>#,##0</c:formatCode>
                <c:ptCount val="18"/>
                <c:pt idx="0">
                  <c:v>237311</c:v>
                </c:pt>
                <c:pt idx="1">
                  <c:v>45650</c:v>
                </c:pt>
                <c:pt idx="2">
                  <c:v>293085</c:v>
                </c:pt>
                <c:pt idx="3">
                  <c:v>22075</c:v>
                </c:pt>
                <c:pt idx="4">
                  <c:v>42077</c:v>
                </c:pt>
                <c:pt idx="5">
                  <c:v>107638</c:v>
                </c:pt>
                <c:pt idx="6">
                  <c:v>42150</c:v>
                </c:pt>
                <c:pt idx="7">
                  <c:v>172373</c:v>
                </c:pt>
                <c:pt idx="8">
                  <c:v>30941</c:v>
                </c:pt>
                <c:pt idx="9">
                  <c:v>154444</c:v>
                </c:pt>
                <c:pt idx="10">
                  <c:v>1024115</c:v>
                </c:pt>
                <c:pt idx="11">
                  <c:v>22423</c:v>
                </c:pt>
                <c:pt idx="12">
                  <c:v>649672</c:v>
                </c:pt>
                <c:pt idx="13">
                  <c:v>114293</c:v>
                </c:pt>
                <c:pt idx="14">
                  <c:v>187786</c:v>
                </c:pt>
                <c:pt idx="15">
                  <c:v>68763</c:v>
                </c:pt>
                <c:pt idx="16">
                  <c:v>38288</c:v>
                </c:pt>
                <c:pt idx="17">
                  <c:v>101052</c:v>
                </c:pt>
              </c:numCache>
            </c:numRef>
          </c:val>
          <c:extLst>
            <c:ext xmlns:c16="http://schemas.microsoft.com/office/drawing/2014/chart" uri="{C3380CC4-5D6E-409C-BE32-E72D297353CC}">
              <c16:uniqueId val="{00000001-CB79-419E-8DD5-4F91E0054810}"/>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1213051209"/>
          <c:y val="0.8958285000206182"/>
          <c:w val="0.29038922336032225"/>
          <c:h val="7.6847968932930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q4_8_12_16_25_37_Fig!$AR$41</c:f>
              <c:strCache>
                <c:ptCount val="1"/>
                <c:pt idx="0">
                  <c:v>Grande Lisboa</c:v>
                </c:pt>
              </c:strCache>
            </c:strRef>
          </c:cat>
          <c:val>
            <c:numRef>
              <c:extLst>
                <c:ext xmlns:c15="http://schemas.microsoft.com/office/drawing/2012/chart" uri="{02D57815-91ED-43cb-92C2-25804820EDAC}">
                  <c15:fullRef>
                    <c15:sqref>q4_8_12_16_25_37_Fig!$AS$38:$AS$44</c15:sqref>
                  </c15:fullRef>
                </c:ext>
              </c:extLst>
              <c:f>q4_8_12_16_25_37_Fig!$AS$41</c:f>
              <c:numCache>
                <c:formatCode>#,##0</c:formatCode>
                <c:ptCount val="1"/>
                <c:pt idx="0">
                  <c:v>59232</c:v>
                </c:pt>
              </c:numCache>
            </c:numRef>
          </c:val>
          <c:extLst>
            <c:ext xmlns:c16="http://schemas.microsoft.com/office/drawing/2014/chart" uri="{C3380CC4-5D6E-409C-BE32-E72D297353CC}">
              <c16:uniqueId val="{00000000-872C-4922-941E-D056918216FF}"/>
            </c:ext>
          </c:extLst>
        </c:ser>
        <c:ser>
          <c:idx val="1"/>
          <c:order val="1"/>
          <c:tx>
            <c:strRef>
              <c:f>q4_8_12_16_25_37_Fig!$AT$37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q4_8_12_16_25_37_Fig!$AR$41</c:f>
              <c:strCache>
                <c:ptCount val="1"/>
                <c:pt idx="0">
                  <c:v>Grande Lisboa</c:v>
                </c:pt>
              </c:strCache>
            </c:strRef>
          </c:cat>
          <c:val>
            <c:numRef>
              <c:extLst>
                <c:ext xmlns:c15="http://schemas.microsoft.com/office/drawing/2012/chart" uri="{02D57815-91ED-43cb-92C2-25804820EDAC}">
                  <c15:fullRef>
                    <c15:sqref>q4_8_12_16_25_37_Fig!$AT$38:$AT$44</c15:sqref>
                  </c15:fullRef>
                </c:ext>
              </c:extLst>
              <c:f>q4_8_12_16_25_37_Fig!$AT$41</c:f>
              <c:numCache>
                <c:formatCode>#,##0</c:formatCode>
                <c:ptCount val="1"/>
                <c:pt idx="0">
                  <c:v>69821</c:v>
                </c:pt>
              </c:numCache>
            </c:numRef>
          </c:val>
          <c:extLst>
            <c:ext xmlns:c16="http://schemas.microsoft.com/office/drawing/2014/chart" uri="{C3380CC4-5D6E-409C-BE32-E72D297353CC}">
              <c16:uniqueId val="{00000001-872C-4922-941E-D056918216FF}"/>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q4_8_12_16_25_37_Fig!$AR$43</c:f>
              <c:strCache>
                <c:ptCount val="1"/>
                <c:pt idx="0">
                  <c:v>Alentejo</c:v>
                </c:pt>
              </c:strCache>
            </c:strRef>
          </c:cat>
          <c:val>
            <c:numRef>
              <c:extLst>
                <c:ext xmlns:c15="http://schemas.microsoft.com/office/drawing/2012/chart" uri="{02D57815-91ED-43cb-92C2-25804820EDAC}">
                  <c15:fullRef>
                    <c15:sqref>q4_8_12_16_25_37_Fig!$AS$38:$AS$44</c15:sqref>
                  </c15:fullRef>
                </c:ext>
              </c:extLst>
              <c:f>q4_8_12_16_25_37_Fig!$AS$43</c:f>
              <c:numCache>
                <c:formatCode>#,##0</c:formatCode>
                <c:ptCount val="1"/>
                <c:pt idx="0">
                  <c:v>14534.999999999996</c:v>
                </c:pt>
              </c:numCache>
            </c:numRef>
          </c:val>
          <c:extLst>
            <c:ext xmlns:c16="http://schemas.microsoft.com/office/drawing/2014/chart" uri="{C3380CC4-5D6E-409C-BE32-E72D297353CC}">
              <c16:uniqueId val="{00000000-A3D0-4EF8-B135-8550D83727C4}"/>
            </c:ext>
          </c:extLst>
        </c:ser>
        <c:ser>
          <c:idx val="1"/>
          <c:order val="1"/>
          <c:tx>
            <c:strRef>
              <c:f>q4_8_12_16_25_37_Fig!$AT$37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q4_8_12_16_25_37_Fig!$AR$43</c:f>
              <c:strCache>
                <c:ptCount val="1"/>
                <c:pt idx="0">
                  <c:v>Alentejo</c:v>
                </c:pt>
              </c:strCache>
            </c:strRef>
          </c:cat>
          <c:val>
            <c:numRef>
              <c:extLst>
                <c:ext xmlns:c15="http://schemas.microsoft.com/office/drawing/2012/chart" uri="{02D57815-91ED-43cb-92C2-25804820EDAC}">
                  <c15:fullRef>
                    <c15:sqref>q4_8_12_16_25_37_Fig!$AT$38:$AT$44</c15:sqref>
                  </c15:fullRef>
                </c:ext>
              </c:extLst>
              <c:f>q4_8_12_16_25_37_Fig!$AT$43</c:f>
              <c:numCache>
                <c:formatCode>#,##0</c:formatCode>
                <c:ptCount val="1"/>
                <c:pt idx="0">
                  <c:v>17352.000000000004</c:v>
                </c:pt>
              </c:numCache>
            </c:numRef>
          </c:val>
          <c:extLst>
            <c:ext xmlns:c16="http://schemas.microsoft.com/office/drawing/2014/chart" uri="{C3380CC4-5D6E-409C-BE32-E72D297353CC}">
              <c16:uniqueId val="{00000001-A3D0-4EF8-B135-8550D83727C4}"/>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q4_8_12_16_25_37_Fig!$AR$44</c:f>
              <c:strCache>
                <c:ptCount val="1"/>
                <c:pt idx="0">
                  <c:v>Algarve</c:v>
                </c:pt>
              </c:strCache>
            </c:strRef>
          </c:cat>
          <c:val>
            <c:numRef>
              <c:extLst>
                <c:ext xmlns:c15="http://schemas.microsoft.com/office/drawing/2012/chart" uri="{02D57815-91ED-43cb-92C2-25804820EDAC}">
                  <c15:fullRef>
                    <c15:sqref>q4_8_12_16_25_37_Fig!$AS$38:$AS$44</c15:sqref>
                  </c15:fullRef>
                </c:ext>
              </c:extLst>
              <c:f>q4_8_12_16_25_37_Fig!$AS$44</c:f>
              <c:numCache>
                <c:formatCode>#,##0</c:formatCode>
                <c:ptCount val="1"/>
                <c:pt idx="0">
                  <c:v>18173.999999999996</c:v>
                </c:pt>
              </c:numCache>
            </c:numRef>
          </c:val>
          <c:extLst>
            <c:ext xmlns:c16="http://schemas.microsoft.com/office/drawing/2014/chart" uri="{C3380CC4-5D6E-409C-BE32-E72D297353CC}">
              <c16:uniqueId val="{00000000-2219-43FB-93C0-D8C0A7ED7DD3}"/>
            </c:ext>
          </c:extLst>
        </c:ser>
        <c:ser>
          <c:idx val="1"/>
          <c:order val="1"/>
          <c:tx>
            <c:strRef>
              <c:f>q4_8_12_16_25_37_Fig!$AT$37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q4_8_12_16_25_37_Fig!$AR$44</c:f>
              <c:strCache>
                <c:ptCount val="1"/>
                <c:pt idx="0">
                  <c:v>Algarve</c:v>
                </c:pt>
              </c:strCache>
            </c:strRef>
          </c:cat>
          <c:val>
            <c:numRef>
              <c:extLst>
                <c:ext xmlns:c15="http://schemas.microsoft.com/office/drawing/2012/chart" uri="{02D57815-91ED-43cb-92C2-25804820EDAC}">
                  <c15:fullRef>
                    <c15:sqref>q4_8_12_16_25_37_Fig!$AT$38:$AT$44</c15:sqref>
                  </c15:fullRef>
                </c:ext>
              </c:extLst>
              <c:f>q4_8_12_16_25_37_Fig!$AT$44</c:f>
              <c:numCache>
                <c:formatCode>#,##0</c:formatCode>
                <c:ptCount val="1"/>
                <c:pt idx="0">
                  <c:v>21958.999999999996</c:v>
                </c:pt>
              </c:numCache>
            </c:numRef>
          </c:val>
          <c:extLst>
            <c:ext xmlns:c16="http://schemas.microsoft.com/office/drawing/2014/chart" uri="{C3380CC4-5D6E-409C-BE32-E72D297353CC}">
              <c16:uniqueId val="{00000001-2219-43FB-93C0-D8C0A7ED7DD3}"/>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042502433016683"/>
          <c:y val="3.567815386713024E-2"/>
          <c:w val="0.61234267209825088"/>
          <c:h val="0.92049561986569861"/>
        </c:manualLayout>
      </c:layout>
      <c:barChart>
        <c:barDir val="bar"/>
        <c:grouping val="clustered"/>
        <c:varyColors val="0"/>
        <c:ser>
          <c:idx val="0"/>
          <c:order val="0"/>
          <c:tx>
            <c:strRef>
              <c:f>q4_8_12_16_25_37_Fig!$AS$7</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q4_8_12_16_25_37_Fig!$AR$8:$AR$31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q4_8_12_16_25_37_Fig!$AS$8:$AS$31</c:f>
              <c:numCache>
                <c:formatCode>#,##0</c:formatCode>
                <c:ptCount val="24"/>
                <c:pt idx="0">
                  <c:v>7328</c:v>
                </c:pt>
                <c:pt idx="1">
                  <c:v>15022</c:v>
                </c:pt>
                <c:pt idx="2">
                  <c:v>13685</c:v>
                </c:pt>
                <c:pt idx="3">
                  <c:v>51191</c:v>
                </c:pt>
                <c:pt idx="4">
                  <c:v>2432</c:v>
                </c:pt>
                <c:pt idx="5">
                  <c:v>13342</c:v>
                </c:pt>
                <c:pt idx="6">
                  <c:v>5377</c:v>
                </c:pt>
                <c:pt idx="7">
                  <c:v>3188</c:v>
                </c:pt>
                <c:pt idx="8">
                  <c:v>9773</c:v>
                </c:pt>
                <c:pt idx="9">
                  <c:v>10899</c:v>
                </c:pt>
                <c:pt idx="10">
                  <c:v>10282.999999999996</c:v>
                </c:pt>
                <c:pt idx="11">
                  <c:v>7294</c:v>
                </c:pt>
                <c:pt idx="12">
                  <c:v>2681.9999999999995</c:v>
                </c:pt>
                <c:pt idx="13">
                  <c:v>5676</c:v>
                </c:pt>
                <c:pt idx="14">
                  <c:v>11570</c:v>
                </c:pt>
                <c:pt idx="15">
                  <c:v>5983</c:v>
                </c:pt>
                <c:pt idx="16">
                  <c:v>6181</c:v>
                </c:pt>
                <c:pt idx="17">
                  <c:v>59232</c:v>
                </c:pt>
                <c:pt idx="18">
                  <c:v>14916</c:v>
                </c:pt>
                <c:pt idx="19">
                  <c:v>2837</c:v>
                </c:pt>
                <c:pt idx="20">
                  <c:v>3881</c:v>
                </c:pt>
                <c:pt idx="21">
                  <c:v>2787</c:v>
                </c:pt>
                <c:pt idx="22">
                  <c:v>5030</c:v>
                </c:pt>
                <c:pt idx="23">
                  <c:v>18173.999999999996</c:v>
                </c:pt>
              </c:numCache>
            </c:numRef>
          </c:val>
          <c:extLst>
            <c:ext xmlns:c16="http://schemas.microsoft.com/office/drawing/2014/chart" uri="{C3380CC4-5D6E-409C-BE32-E72D297353CC}">
              <c16:uniqueId val="{00000000-C980-49DE-BA68-551F13F23829}"/>
            </c:ext>
          </c:extLst>
        </c:ser>
        <c:ser>
          <c:idx val="1"/>
          <c:order val="1"/>
          <c:tx>
            <c:strRef>
              <c:f>q4_8_12_16_25_37_Fig!$AT$7</c:f>
              <c:strCache>
                <c:ptCount val="1"/>
                <c:pt idx="0">
                  <c:v>Estabelecimentos</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q4_8_12_16_25_37_Fig!$AR$8:$AR$31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q4_8_12_16_25_37_Fig!$AT$8:$AT$31</c:f>
              <c:numCache>
                <c:formatCode>#,##0</c:formatCode>
                <c:ptCount val="24"/>
                <c:pt idx="0">
                  <c:v>8424</c:v>
                </c:pt>
                <c:pt idx="1">
                  <c:v>16874</c:v>
                </c:pt>
                <c:pt idx="2">
                  <c:v>15255</c:v>
                </c:pt>
                <c:pt idx="3">
                  <c:v>59738.999999999993</c:v>
                </c:pt>
                <c:pt idx="4">
                  <c:v>2794</c:v>
                </c:pt>
                <c:pt idx="5">
                  <c:v>14547</c:v>
                </c:pt>
                <c:pt idx="6">
                  <c:v>6331</c:v>
                </c:pt>
                <c:pt idx="7">
                  <c:v>3712</c:v>
                </c:pt>
                <c:pt idx="8">
                  <c:v>11509.999999999998</c:v>
                </c:pt>
                <c:pt idx="9">
                  <c:v>13262.000000000002</c:v>
                </c:pt>
                <c:pt idx="10">
                  <c:v>11964</c:v>
                </c:pt>
                <c:pt idx="11">
                  <c:v>8583</c:v>
                </c:pt>
                <c:pt idx="12">
                  <c:v>3212</c:v>
                </c:pt>
                <c:pt idx="13">
                  <c:v>6656</c:v>
                </c:pt>
                <c:pt idx="14">
                  <c:v>13413</c:v>
                </c:pt>
                <c:pt idx="15">
                  <c:v>7122</c:v>
                </c:pt>
                <c:pt idx="16">
                  <c:v>7367.9999999999991</c:v>
                </c:pt>
                <c:pt idx="17">
                  <c:v>69821</c:v>
                </c:pt>
                <c:pt idx="18">
                  <c:v>18128</c:v>
                </c:pt>
                <c:pt idx="19">
                  <c:v>3421</c:v>
                </c:pt>
                <c:pt idx="20">
                  <c:v>4522</c:v>
                </c:pt>
                <c:pt idx="21">
                  <c:v>3351.0000000000005</c:v>
                </c:pt>
                <c:pt idx="22">
                  <c:v>6058</c:v>
                </c:pt>
                <c:pt idx="23">
                  <c:v>21958.999999999996</c:v>
                </c:pt>
              </c:numCache>
            </c:numRef>
          </c:val>
          <c:extLst>
            <c:ext xmlns:c16="http://schemas.microsoft.com/office/drawing/2014/chart" uri="{C3380CC4-5D6E-409C-BE32-E72D297353CC}">
              <c16:uniqueId val="{00000001-C980-49DE-BA68-551F13F23829}"/>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1213051209"/>
          <c:y val="0.8958285000206182"/>
          <c:w val="0.33981512399659702"/>
          <c:h val="7.6847968932930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q4_8_12_16_25_37_Fig!$BM$38</c:f>
              <c:strCache>
                <c:ptCount val="1"/>
                <c:pt idx="0">
                  <c:v>Norte</c:v>
                </c:pt>
              </c:strCache>
            </c:strRef>
          </c:cat>
          <c:val>
            <c:numRef>
              <c:extLst>
                <c:ext xmlns:c15="http://schemas.microsoft.com/office/drawing/2012/chart" uri="{02D57815-91ED-43cb-92C2-25804820EDAC}">
                  <c15:fullRef>
                    <c15:sqref>q4_8_12_16_25_37_Fig!$BN$38:$BN$44</c15:sqref>
                  </c15:fullRef>
                </c:ext>
              </c:extLst>
              <c:f>q4_8_12_16_25_37_Fig!$BN$38</c:f>
              <c:numCache>
                <c:formatCode>#,##0</c:formatCode>
                <c:ptCount val="1"/>
                <c:pt idx="0">
                  <c:v>1269596.0000000002</c:v>
                </c:pt>
              </c:numCache>
            </c:numRef>
          </c:val>
          <c:extLst>
            <c:ext xmlns:c16="http://schemas.microsoft.com/office/drawing/2014/chart" uri="{C3380CC4-5D6E-409C-BE32-E72D297353CC}">
              <c16:uniqueId val="{00000000-8AE7-4A89-B44B-9834265695B8}"/>
            </c:ext>
          </c:extLst>
        </c:ser>
        <c:ser>
          <c:idx val="1"/>
          <c:order val="1"/>
          <c:tx>
            <c:strRef>
              <c:f>q4_8_12_16_25_37_Fig!$BO$37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q4_8_12_16_25_37_Fig!$BM$38</c:f>
              <c:strCache>
                <c:ptCount val="1"/>
                <c:pt idx="0">
                  <c:v>Norte</c:v>
                </c:pt>
              </c:strCache>
            </c:strRef>
          </c:cat>
          <c:val>
            <c:numRef>
              <c:extLst>
                <c:ext xmlns:c15="http://schemas.microsoft.com/office/drawing/2012/chart" uri="{02D57815-91ED-43cb-92C2-25804820EDAC}">
                  <c15:fullRef>
                    <c15:sqref>q4_8_12_16_25_37_Fig!$BO$38:$BO$44</c15:sqref>
                  </c15:fullRef>
                </c:ext>
              </c:extLst>
              <c:f>q4_8_12_16_25_37_Fig!$BO$38</c:f>
              <c:numCache>
                <c:formatCode>#,##0</c:formatCode>
                <c:ptCount val="1"/>
                <c:pt idx="0">
                  <c:v>1196817.9999999998</c:v>
                </c:pt>
              </c:numCache>
            </c:numRef>
          </c:val>
          <c:extLst>
            <c:ext xmlns:c16="http://schemas.microsoft.com/office/drawing/2014/chart" uri="{C3380CC4-5D6E-409C-BE32-E72D297353CC}">
              <c16:uniqueId val="{00000001-8AE7-4A89-B44B-9834265695B8}"/>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q4_8_12_16_25_37_Fig!$BM$39</c:f>
              <c:strCache>
                <c:ptCount val="1"/>
                <c:pt idx="0">
                  <c:v>Centro</c:v>
                </c:pt>
              </c:strCache>
            </c:strRef>
          </c:cat>
          <c:val>
            <c:numRef>
              <c:extLst>
                <c:ext xmlns:c15="http://schemas.microsoft.com/office/drawing/2012/chart" uri="{02D57815-91ED-43cb-92C2-25804820EDAC}">
                  <c15:fullRef>
                    <c15:sqref>q4_8_12_16_25_37_Fig!$BN$38:$BN$44</c15:sqref>
                  </c15:fullRef>
                </c:ext>
              </c:extLst>
              <c:f>q4_8_12_16_25_37_Fig!$BN$39</c:f>
              <c:numCache>
                <c:formatCode>#,##0</c:formatCode>
                <c:ptCount val="1"/>
                <c:pt idx="0">
                  <c:v>530374</c:v>
                </c:pt>
              </c:numCache>
            </c:numRef>
          </c:val>
          <c:extLst>
            <c:ext xmlns:c16="http://schemas.microsoft.com/office/drawing/2014/chart" uri="{C3380CC4-5D6E-409C-BE32-E72D297353CC}">
              <c16:uniqueId val="{00000000-7711-43AA-AA78-E3B58ADCDDA7}"/>
            </c:ext>
          </c:extLst>
        </c:ser>
        <c:ser>
          <c:idx val="1"/>
          <c:order val="1"/>
          <c:tx>
            <c:strRef>
              <c:f>q4_8_12_16_25_37_Fig!$BO$37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q4_8_12_16_25_37_Fig!$BM$39</c:f>
              <c:strCache>
                <c:ptCount val="1"/>
                <c:pt idx="0">
                  <c:v>Centro</c:v>
                </c:pt>
              </c:strCache>
            </c:strRef>
          </c:cat>
          <c:val>
            <c:numRef>
              <c:extLst>
                <c:ext xmlns:c15="http://schemas.microsoft.com/office/drawing/2012/chart" uri="{02D57815-91ED-43cb-92C2-25804820EDAC}">
                  <c15:fullRef>
                    <c15:sqref>q4_8_12_16_25_37_Fig!$BO$38:$BO$44</c15:sqref>
                  </c15:fullRef>
                </c:ext>
              </c:extLst>
              <c:f>q4_8_12_16_25_37_Fig!$BO$39</c:f>
              <c:numCache>
                <c:formatCode>#,##0</c:formatCode>
                <c:ptCount val="1"/>
                <c:pt idx="0">
                  <c:v>497594.00000000012</c:v>
                </c:pt>
              </c:numCache>
            </c:numRef>
          </c:val>
          <c:extLst>
            <c:ext xmlns:c16="http://schemas.microsoft.com/office/drawing/2014/chart" uri="{C3380CC4-5D6E-409C-BE32-E72D297353CC}">
              <c16:uniqueId val="{00000001-7711-43AA-AA78-E3B58ADCDDA7}"/>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q4_8_12_16_25_37_Fig!$BM$40</c:f>
              <c:strCache>
                <c:ptCount val="1"/>
                <c:pt idx="0">
                  <c:v>Oeste e Vale do Tejo</c:v>
                </c:pt>
              </c:strCache>
            </c:strRef>
          </c:cat>
          <c:val>
            <c:numRef>
              <c:extLst>
                <c:ext xmlns:c15="http://schemas.microsoft.com/office/drawing/2012/chart" uri="{02D57815-91ED-43cb-92C2-25804820EDAC}">
                  <c15:fullRef>
                    <c15:sqref>q4_8_12_16_25_37_Fig!$BN$38:$BN$44</c15:sqref>
                  </c15:fullRef>
                </c:ext>
              </c:extLst>
              <c:f>q4_8_12_16_25_37_Fig!$BN$40</c:f>
              <c:numCache>
                <c:formatCode>#,##0</c:formatCode>
                <c:ptCount val="1"/>
                <c:pt idx="0">
                  <c:v>249048</c:v>
                </c:pt>
              </c:numCache>
            </c:numRef>
          </c:val>
          <c:extLst>
            <c:ext xmlns:c16="http://schemas.microsoft.com/office/drawing/2014/chart" uri="{C3380CC4-5D6E-409C-BE32-E72D297353CC}">
              <c16:uniqueId val="{00000000-3B67-48A3-8E53-104F31B6A998}"/>
            </c:ext>
          </c:extLst>
        </c:ser>
        <c:ser>
          <c:idx val="1"/>
          <c:order val="1"/>
          <c:tx>
            <c:strRef>
              <c:f>q4_8_12_16_25_37_Fig!$BO$37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q4_8_12_16_25_37_Fig!$BM$40</c:f>
              <c:strCache>
                <c:ptCount val="1"/>
                <c:pt idx="0">
                  <c:v>Oeste e Vale do Tejo</c:v>
                </c:pt>
              </c:strCache>
            </c:strRef>
          </c:cat>
          <c:val>
            <c:numRef>
              <c:extLst>
                <c:ext xmlns:c15="http://schemas.microsoft.com/office/drawing/2012/chart" uri="{02D57815-91ED-43cb-92C2-25804820EDAC}">
                  <c15:fullRef>
                    <c15:sqref>q4_8_12_16_25_37_Fig!$BO$38:$BO$44</c15:sqref>
                  </c15:fullRef>
                </c:ext>
              </c:extLst>
              <c:f>q4_8_12_16_25_37_Fig!$BO$40</c:f>
              <c:numCache>
                <c:formatCode>#,##0</c:formatCode>
                <c:ptCount val="1"/>
                <c:pt idx="0">
                  <c:v>232968.00000000003</c:v>
                </c:pt>
              </c:numCache>
            </c:numRef>
          </c:val>
          <c:extLst>
            <c:ext xmlns:c16="http://schemas.microsoft.com/office/drawing/2014/chart" uri="{C3380CC4-5D6E-409C-BE32-E72D297353CC}">
              <c16:uniqueId val="{00000001-3B67-48A3-8E53-104F31B6A998}"/>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q4_8_12_16_25_37_Fig!$BM$42</c:f>
              <c:strCache>
                <c:ptCount val="1"/>
                <c:pt idx="0">
                  <c:v>Península de Setúbal</c:v>
                </c:pt>
              </c:strCache>
            </c:strRef>
          </c:cat>
          <c:val>
            <c:numRef>
              <c:extLst>
                <c:ext xmlns:c15="http://schemas.microsoft.com/office/drawing/2012/chart" uri="{02D57815-91ED-43cb-92C2-25804820EDAC}">
                  <c15:fullRef>
                    <c15:sqref>q4_8_12_16_25_37_Fig!$BN$38:$BN$44</c15:sqref>
                  </c15:fullRef>
                </c:ext>
              </c:extLst>
              <c:f>q4_8_12_16_25_37_Fig!$BN$42</c:f>
              <c:numCache>
                <c:formatCode>#,##0</c:formatCode>
                <c:ptCount val="1"/>
                <c:pt idx="0">
                  <c:v>177662</c:v>
                </c:pt>
              </c:numCache>
            </c:numRef>
          </c:val>
          <c:extLst>
            <c:ext xmlns:c16="http://schemas.microsoft.com/office/drawing/2014/chart" uri="{C3380CC4-5D6E-409C-BE32-E72D297353CC}">
              <c16:uniqueId val="{00000000-14BD-4E34-B070-9AF8999EE4F7}"/>
            </c:ext>
          </c:extLst>
        </c:ser>
        <c:ser>
          <c:idx val="1"/>
          <c:order val="1"/>
          <c:tx>
            <c:strRef>
              <c:f>q4_8_12_16_25_37_Fig!$BO$37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q4_8_12_16_25_37_Fig!$BM$42</c:f>
              <c:strCache>
                <c:ptCount val="1"/>
                <c:pt idx="0">
                  <c:v>Península de Setúbal</c:v>
                </c:pt>
              </c:strCache>
            </c:strRef>
          </c:cat>
          <c:val>
            <c:numRef>
              <c:extLst>
                <c:ext xmlns:c15="http://schemas.microsoft.com/office/drawing/2012/chart" uri="{02D57815-91ED-43cb-92C2-25804820EDAC}">
                  <c15:fullRef>
                    <c15:sqref>q4_8_12_16_25_37_Fig!$BO$38:$BO$44</c15:sqref>
                  </c15:fullRef>
                </c:ext>
              </c:extLst>
              <c:f>q4_8_12_16_25_37_Fig!$BO$42</c:f>
              <c:numCache>
                <c:formatCode>#,##0</c:formatCode>
                <c:ptCount val="1"/>
                <c:pt idx="0">
                  <c:v>167647</c:v>
                </c:pt>
              </c:numCache>
            </c:numRef>
          </c:val>
          <c:extLst>
            <c:ext xmlns:c16="http://schemas.microsoft.com/office/drawing/2014/chart" uri="{C3380CC4-5D6E-409C-BE32-E72D297353CC}">
              <c16:uniqueId val="{00000001-14BD-4E34-B070-9AF8999EE4F7}"/>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q4_8_12_16_25_37_Fig!$BM$41</c:f>
              <c:strCache>
                <c:ptCount val="1"/>
                <c:pt idx="0">
                  <c:v>Grande Lisboa</c:v>
                </c:pt>
              </c:strCache>
            </c:strRef>
          </c:cat>
          <c:val>
            <c:numRef>
              <c:extLst>
                <c:ext xmlns:c15="http://schemas.microsoft.com/office/drawing/2012/chart" uri="{02D57815-91ED-43cb-92C2-25804820EDAC}">
                  <c15:fullRef>
                    <c15:sqref>q4_8_12_16_25_37_Fig!$BN$38:$BN$44</c15:sqref>
                  </c15:fullRef>
                </c:ext>
              </c:extLst>
              <c:f>q4_8_12_16_25_37_Fig!$BN$41</c:f>
              <c:numCache>
                <c:formatCode>#,##0</c:formatCode>
                <c:ptCount val="1"/>
                <c:pt idx="0">
                  <c:v>996445</c:v>
                </c:pt>
              </c:numCache>
            </c:numRef>
          </c:val>
          <c:extLst>
            <c:ext xmlns:c16="http://schemas.microsoft.com/office/drawing/2014/chart" uri="{C3380CC4-5D6E-409C-BE32-E72D297353CC}">
              <c16:uniqueId val="{00000000-EE98-4D46-93CC-460E376A8A57}"/>
            </c:ext>
          </c:extLst>
        </c:ser>
        <c:ser>
          <c:idx val="1"/>
          <c:order val="1"/>
          <c:tx>
            <c:strRef>
              <c:f>q4_8_12_16_25_37_Fig!$BO$37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q4_8_12_16_25_37_Fig!$BM$41</c:f>
              <c:strCache>
                <c:ptCount val="1"/>
                <c:pt idx="0">
                  <c:v>Grande Lisboa</c:v>
                </c:pt>
              </c:strCache>
            </c:strRef>
          </c:cat>
          <c:val>
            <c:numRef>
              <c:extLst>
                <c:ext xmlns:c15="http://schemas.microsoft.com/office/drawing/2012/chart" uri="{02D57815-91ED-43cb-92C2-25804820EDAC}">
                  <c15:fullRef>
                    <c15:sqref>q4_8_12_16_25_37_Fig!$BO$38:$BO$44</c15:sqref>
                  </c15:fullRef>
                </c:ext>
              </c:extLst>
              <c:f>q4_8_12_16_25_37_Fig!$BO$41</c:f>
              <c:numCache>
                <c:formatCode>#,##0</c:formatCode>
                <c:ptCount val="1"/>
                <c:pt idx="0">
                  <c:v>956373.99999999988</c:v>
                </c:pt>
              </c:numCache>
            </c:numRef>
          </c:val>
          <c:extLst>
            <c:ext xmlns:c16="http://schemas.microsoft.com/office/drawing/2014/chart" uri="{C3380CC4-5D6E-409C-BE32-E72D297353CC}">
              <c16:uniqueId val="{00000001-EE98-4D46-93CC-460E376A8A57}"/>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q4_8_12_16_25_37_Fig!$BM$43</c:f>
              <c:strCache>
                <c:ptCount val="1"/>
                <c:pt idx="0">
                  <c:v>Alentejo</c:v>
                </c:pt>
              </c:strCache>
            </c:strRef>
          </c:cat>
          <c:val>
            <c:numRef>
              <c:extLst>
                <c:ext xmlns:c15="http://schemas.microsoft.com/office/drawing/2012/chart" uri="{02D57815-91ED-43cb-92C2-25804820EDAC}">
                  <c15:fullRef>
                    <c15:sqref>q4_8_12_16_25_37_Fig!$BN$38:$BN$44</c15:sqref>
                  </c15:fullRef>
                </c:ext>
              </c:extLst>
              <c:f>q4_8_12_16_25_37_Fig!$BN$43</c:f>
              <c:numCache>
                <c:formatCode>#,##0</c:formatCode>
                <c:ptCount val="1"/>
                <c:pt idx="0">
                  <c:v>137731</c:v>
                </c:pt>
              </c:numCache>
            </c:numRef>
          </c:val>
          <c:extLst>
            <c:ext xmlns:c16="http://schemas.microsoft.com/office/drawing/2014/chart" uri="{C3380CC4-5D6E-409C-BE32-E72D297353CC}">
              <c16:uniqueId val="{00000000-D4C9-4714-963D-11110D90BC55}"/>
            </c:ext>
          </c:extLst>
        </c:ser>
        <c:ser>
          <c:idx val="1"/>
          <c:order val="1"/>
          <c:tx>
            <c:strRef>
              <c:f>q4_8_12_16_25_37_Fig!$BO$37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q4_8_12_16_25_37_Fig!$BM$43</c:f>
              <c:strCache>
                <c:ptCount val="1"/>
                <c:pt idx="0">
                  <c:v>Alentejo</c:v>
                </c:pt>
              </c:strCache>
            </c:strRef>
          </c:cat>
          <c:val>
            <c:numRef>
              <c:extLst>
                <c:ext xmlns:c15="http://schemas.microsoft.com/office/drawing/2012/chart" uri="{02D57815-91ED-43cb-92C2-25804820EDAC}">
                  <c15:fullRef>
                    <c15:sqref>q4_8_12_16_25_37_Fig!$BO$38:$BO$44</c15:sqref>
                  </c15:fullRef>
                </c:ext>
              </c:extLst>
              <c:f>q4_8_12_16_25_37_Fig!$BO$43</c:f>
              <c:numCache>
                <c:formatCode>#,##0</c:formatCode>
                <c:ptCount val="1"/>
                <c:pt idx="0">
                  <c:v>130362.00000000001</c:v>
                </c:pt>
              </c:numCache>
            </c:numRef>
          </c:val>
          <c:extLst>
            <c:ext xmlns:c16="http://schemas.microsoft.com/office/drawing/2014/chart" uri="{C3380CC4-5D6E-409C-BE32-E72D297353CC}">
              <c16:uniqueId val="{00000001-D4C9-4714-963D-11110D90BC55}"/>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q3_q7_q11_q15_q24_q36_Fig!$BA$19</c:f>
              <c:strCache>
                <c:ptCount val="1"/>
                <c:pt idx="0">
                  <c:v>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q3_q7_q11_q15_q24_q36_Fig!$AZ$20:$AZ$37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q3_q7_q11_q15_q24_q36_Fig!$BA$20:$BA$37</c:f>
              <c:numCache>
                <c:formatCode>#,##0\ "€"</c:formatCode>
                <c:ptCount val="18"/>
                <c:pt idx="0">
                  <c:v>1204.6300000000001</c:v>
                </c:pt>
                <c:pt idx="1">
                  <c:v>1076.04</c:v>
                </c:pt>
                <c:pt idx="2">
                  <c:v>1146.02</c:v>
                </c:pt>
                <c:pt idx="3">
                  <c:v>1026.18</c:v>
                </c:pt>
                <c:pt idx="4">
                  <c:v>1066.6099999999999</c:v>
                </c:pt>
                <c:pt idx="5">
                  <c:v>1158.92</c:v>
                </c:pt>
                <c:pt idx="6">
                  <c:v>1125.55</c:v>
                </c:pt>
                <c:pt idx="7">
                  <c:v>1095.01</c:v>
                </c:pt>
                <c:pt idx="8">
                  <c:v>1045.71</c:v>
                </c:pt>
                <c:pt idx="9">
                  <c:v>1144.0999999999999</c:v>
                </c:pt>
                <c:pt idx="10">
                  <c:v>1567.76</c:v>
                </c:pt>
                <c:pt idx="11">
                  <c:v>1064.08</c:v>
                </c:pt>
                <c:pt idx="12">
                  <c:v>1321.62</c:v>
                </c:pt>
                <c:pt idx="13">
                  <c:v>1107.74</c:v>
                </c:pt>
                <c:pt idx="14">
                  <c:v>1278.47</c:v>
                </c:pt>
                <c:pt idx="15">
                  <c:v>1098.82</c:v>
                </c:pt>
                <c:pt idx="16">
                  <c:v>1064.3399999999999</c:v>
                </c:pt>
                <c:pt idx="17">
                  <c:v>1067.4100000000001</c:v>
                </c:pt>
              </c:numCache>
            </c:numRef>
          </c:val>
          <c:extLst>
            <c:ext xmlns:c16="http://schemas.microsoft.com/office/drawing/2014/chart" uri="{C3380CC4-5D6E-409C-BE32-E72D297353CC}">
              <c16:uniqueId val="{00000000-1C77-420B-914C-3497A1ED8771}"/>
            </c:ext>
          </c:extLst>
        </c:ser>
        <c:ser>
          <c:idx val="1"/>
          <c:order val="1"/>
          <c:tx>
            <c:strRef>
              <c:f>q3_q7_q11_q15_q24_q36_Fig!$BB$19</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q3_q7_q11_q15_q24_q36_Fig!$AZ$20:$AZ$37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q3_q7_q11_q15_q24_q36_Fig!$BB$20:$BB$37</c:f>
              <c:numCache>
                <c:formatCode>#,##0\ "€"</c:formatCode>
                <c:ptCount val="18"/>
                <c:pt idx="0">
                  <c:v>1454.71</c:v>
                </c:pt>
                <c:pt idx="1">
                  <c:v>1376.09</c:v>
                </c:pt>
                <c:pt idx="2">
                  <c:v>1361.73</c:v>
                </c:pt>
                <c:pt idx="3">
                  <c:v>1251.51</c:v>
                </c:pt>
                <c:pt idx="4">
                  <c:v>1279.54</c:v>
                </c:pt>
                <c:pt idx="5">
                  <c:v>1422.04</c:v>
                </c:pt>
                <c:pt idx="6">
                  <c:v>1371.98</c:v>
                </c:pt>
                <c:pt idx="7">
                  <c:v>1320.22</c:v>
                </c:pt>
                <c:pt idx="8">
                  <c:v>1289.44</c:v>
                </c:pt>
                <c:pt idx="9">
                  <c:v>1392.79</c:v>
                </c:pt>
                <c:pt idx="10">
                  <c:v>1896.51</c:v>
                </c:pt>
                <c:pt idx="11">
                  <c:v>1295.3599999999999</c:v>
                </c:pt>
                <c:pt idx="12">
                  <c:v>1583.93</c:v>
                </c:pt>
                <c:pt idx="13">
                  <c:v>1369.46</c:v>
                </c:pt>
                <c:pt idx="14">
                  <c:v>1560.37</c:v>
                </c:pt>
                <c:pt idx="15">
                  <c:v>1340.14</c:v>
                </c:pt>
                <c:pt idx="16">
                  <c:v>1278.46</c:v>
                </c:pt>
                <c:pt idx="17">
                  <c:v>1307.67</c:v>
                </c:pt>
              </c:numCache>
            </c:numRef>
          </c:val>
          <c:extLst>
            <c:ext xmlns:c16="http://schemas.microsoft.com/office/drawing/2014/chart" uri="{C3380CC4-5D6E-409C-BE32-E72D297353CC}">
              <c16:uniqueId val="{00000001-1C77-420B-914C-3497A1ED8771}"/>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8051136322373027"/>
          <c:y val="0.85028928160986517"/>
          <c:w val="0.18730661330692686"/>
          <c:h val="0.1087254218204571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q4_8_12_16_25_37_Fig!$BM$44</c:f>
              <c:strCache>
                <c:ptCount val="1"/>
                <c:pt idx="0">
                  <c:v>Algarve</c:v>
                </c:pt>
              </c:strCache>
            </c:strRef>
          </c:cat>
          <c:val>
            <c:numRef>
              <c:extLst>
                <c:ext xmlns:c15="http://schemas.microsoft.com/office/drawing/2012/chart" uri="{02D57815-91ED-43cb-92C2-25804820EDAC}">
                  <c15:fullRef>
                    <c15:sqref>q4_8_12_16_25_37_Fig!$BN$38:$BN$44</c15:sqref>
                  </c15:fullRef>
                </c:ext>
              </c:extLst>
              <c:f>q4_8_12_16_25_37_Fig!$BN$44</c:f>
              <c:numCache>
                <c:formatCode>#,##0</c:formatCode>
                <c:ptCount val="1"/>
                <c:pt idx="0">
                  <c:v>184098.99999999997</c:v>
                </c:pt>
              </c:numCache>
            </c:numRef>
          </c:val>
          <c:extLst>
            <c:ext xmlns:c16="http://schemas.microsoft.com/office/drawing/2014/chart" uri="{C3380CC4-5D6E-409C-BE32-E72D297353CC}">
              <c16:uniqueId val="{00000000-0FA3-4D23-BB30-32E008E03B06}"/>
            </c:ext>
          </c:extLst>
        </c:ser>
        <c:ser>
          <c:idx val="1"/>
          <c:order val="1"/>
          <c:tx>
            <c:strRef>
              <c:f>q4_8_12_16_25_37_Fig!$BO$37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q4_8_12_16_25_37_Fig!$BM$44</c:f>
              <c:strCache>
                <c:ptCount val="1"/>
                <c:pt idx="0">
                  <c:v>Algarve</c:v>
                </c:pt>
              </c:strCache>
            </c:strRef>
          </c:cat>
          <c:val>
            <c:numRef>
              <c:extLst>
                <c:ext xmlns:c15="http://schemas.microsoft.com/office/drawing/2012/chart" uri="{02D57815-91ED-43cb-92C2-25804820EDAC}">
                  <c15:fullRef>
                    <c15:sqref>q4_8_12_16_25_37_Fig!$BO$38:$BO$44</c15:sqref>
                  </c15:fullRef>
                </c:ext>
              </c:extLst>
              <c:f>q4_8_12_16_25_37_Fig!$BO$44</c:f>
              <c:numCache>
                <c:formatCode>#,##0</c:formatCode>
                <c:ptCount val="1"/>
                <c:pt idx="0">
                  <c:v>172373</c:v>
                </c:pt>
              </c:numCache>
            </c:numRef>
          </c:val>
          <c:extLst>
            <c:ext xmlns:c16="http://schemas.microsoft.com/office/drawing/2014/chart" uri="{C3380CC4-5D6E-409C-BE32-E72D297353CC}">
              <c16:uniqueId val="{00000001-0FA3-4D23-BB30-32E008E03B06}"/>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q4_8_12_16_25_37_Fig!$BN$7</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q4_8_12_16_25_37_Fig!$BM$8:$BM$31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q4_8_12_16_25_37_Fig!$BN$8:$BN$31</c:f>
              <c:numCache>
                <c:formatCode>#,##0</c:formatCode>
                <c:ptCount val="24"/>
                <c:pt idx="0">
                  <c:v>73222</c:v>
                </c:pt>
                <c:pt idx="1">
                  <c:v>160991</c:v>
                </c:pt>
                <c:pt idx="2">
                  <c:v>149150.00000000003</c:v>
                </c:pt>
                <c:pt idx="3">
                  <c:v>666772</c:v>
                </c:pt>
                <c:pt idx="4">
                  <c:v>17027</c:v>
                </c:pt>
                <c:pt idx="5">
                  <c:v>137932</c:v>
                </c:pt>
                <c:pt idx="6">
                  <c:v>42955</c:v>
                </c:pt>
                <c:pt idx="7">
                  <c:v>21547</c:v>
                </c:pt>
                <c:pt idx="8">
                  <c:v>139173</c:v>
                </c:pt>
                <c:pt idx="9">
                  <c:v>125294.99999999997</c:v>
                </c:pt>
                <c:pt idx="10">
                  <c:v>111125.99999999999</c:v>
                </c:pt>
                <c:pt idx="11">
                  <c:v>79469</c:v>
                </c:pt>
                <c:pt idx="12">
                  <c:v>23660</c:v>
                </c:pt>
                <c:pt idx="13">
                  <c:v>51650.999999999993</c:v>
                </c:pt>
                <c:pt idx="14">
                  <c:v>112479</c:v>
                </c:pt>
                <c:pt idx="15">
                  <c:v>59911.000000000007</c:v>
                </c:pt>
                <c:pt idx="16">
                  <c:v>76658</c:v>
                </c:pt>
                <c:pt idx="17">
                  <c:v>996445</c:v>
                </c:pt>
                <c:pt idx="18">
                  <c:v>177662</c:v>
                </c:pt>
                <c:pt idx="19">
                  <c:v>36011</c:v>
                </c:pt>
                <c:pt idx="20">
                  <c:v>33016.999999999993</c:v>
                </c:pt>
                <c:pt idx="21">
                  <c:v>23829.999999999996</c:v>
                </c:pt>
                <c:pt idx="22">
                  <c:v>44873</c:v>
                </c:pt>
                <c:pt idx="23">
                  <c:v>184098.99999999997</c:v>
                </c:pt>
              </c:numCache>
            </c:numRef>
          </c:val>
          <c:extLst>
            <c:ext xmlns:c16="http://schemas.microsoft.com/office/drawing/2014/chart" uri="{C3380CC4-5D6E-409C-BE32-E72D297353CC}">
              <c16:uniqueId val="{00000000-24DE-4FDF-99C3-488D0C3BDFB4}"/>
            </c:ext>
          </c:extLst>
        </c:ser>
        <c:ser>
          <c:idx val="1"/>
          <c:order val="1"/>
          <c:tx>
            <c:strRef>
              <c:f>q4_8_12_16_25_37_Fig!$BO$7</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q4_8_12_16_25_37_Fig!$BM$8:$BM$31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q4_8_12_16_25_37_Fig!$BO$8:$BO$31</c:f>
              <c:numCache>
                <c:formatCode>#,##0</c:formatCode>
                <c:ptCount val="24"/>
                <c:pt idx="0">
                  <c:v>68763</c:v>
                </c:pt>
                <c:pt idx="1">
                  <c:v>150659</c:v>
                </c:pt>
                <c:pt idx="2">
                  <c:v>140354</c:v>
                </c:pt>
                <c:pt idx="3">
                  <c:v>631342.00000000012</c:v>
                </c:pt>
                <c:pt idx="4">
                  <c:v>15712.999999999998</c:v>
                </c:pt>
                <c:pt idx="5">
                  <c:v>130073</c:v>
                </c:pt>
                <c:pt idx="6">
                  <c:v>40207</c:v>
                </c:pt>
                <c:pt idx="7">
                  <c:v>19707</c:v>
                </c:pt>
                <c:pt idx="8">
                  <c:v>131216</c:v>
                </c:pt>
                <c:pt idx="9">
                  <c:v>117601.00000000003</c:v>
                </c:pt>
                <c:pt idx="10">
                  <c:v>103510</c:v>
                </c:pt>
                <c:pt idx="11">
                  <c:v>74675</c:v>
                </c:pt>
                <c:pt idx="12">
                  <c:v>22041</c:v>
                </c:pt>
                <c:pt idx="13">
                  <c:v>48551</c:v>
                </c:pt>
                <c:pt idx="14">
                  <c:v>104588.00000000001</c:v>
                </c:pt>
                <c:pt idx="15">
                  <c:v>55609</c:v>
                </c:pt>
                <c:pt idx="16">
                  <c:v>72771</c:v>
                </c:pt>
                <c:pt idx="17">
                  <c:v>956373.99999999988</c:v>
                </c:pt>
                <c:pt idx="18">
                  <c:v>167647</c:v>
                </c:pt>
                <c:pt idx="19">
                  <c:v>34505</c:v>
                </c:pt>
                <c:pt idx="20">
                  <c:v>31283.999999999996</c:v>
                </c:pt>
                <c:pt idx="21">
                  <c:v>22423</c:v>
                </c:pt>
                <c:pt idx="22">
                  <c:v>42150</c:v>
                </c:pt>
                <c:pt idx="23">
                  <c:v>172373</c:v>
                </c:pt>
              </c:numCache>
            </c:numRef>
          </c:val>
          <c:extLst>
            <c:ext xmlns:c16="http://schemas.microsoft.com/office/drawing/2014/chart" uri="{C3380CC4-5D6E-409C-BE32-E72D297353CC}">
              <c16:uniqueId val="{00000001-24DE-4FDF-99C3-488D0C3BDFB4}"/>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1213051209"/>
          <c:y val="0.8958285000206182"/>
          <c:w val="0.33981512399659702"/>
          <c:h val="7.6847968932930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q4_8_12_16_25_37_Fig!$CG$38</c:f>
              <c:strCache>
                <c:ptCount val="1"/>
                <c:pt idx="0">
                  <c:v>Norte</c:v>
                </c:pt>
              </c:strCache>
            </c:strRef>
          </c:cat>
          <c:val>
            <c:numRef>
              <c:extLst>
                <c:ext xmlns:c15="http://schemas.microsoft.com/office/drawing/2012/chart" uri="{02D57815-91ED-43cb-92C2-25804820EDAC}">
                  <c15:fullRef>
                    <c15:sqref>q4_8_12_16_25_37_Fig!$CH$38:$CH$44</c15:sqref>
                  </c15:fullRef>
                </c:ext>
              </c:extLst>
              <c:f>q4_8_12_16_25_37_Fig!$CH$38</c:f>
              <c:numCache>
                <c:formatCode>#,##0\ "€"</c:formatCode>
                <c:ptCount val="1"/>
                <c:pt idx="0">
                  <c:v>1233.0899999999999</c:v>
                </c:pt>
              </c:numCache>
            </c:numRef>
          </c:val>
          <c:extLst>
            <c:ext xmlns:c16="http://schemas.microsoft.com/office/drawing/2014/chart" uri="{C3380CC4-5D6E-409C-BE32-E72D297353CC}">
              <c16:uniqueId val="{00000000-66AF-4FB2-9C0F-09AEEABDD47F}"/>
            </c:ext>
          </c:extLst>
        </c:ser>
        <c:ser>
          <c:idx val="1"/>
          <c:order val="1"/>
          <c:tx>
            <c:strRef>
              <c:f>q4_8_12_16_25_37_Fig!$CI$37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q4_8_12_16_25_37_Fig!$CG$38</c:f>
              <c:strCache>
                <c:ptCount val="1"/>
                <c:pt idx="0">
                  <c:v>Norte</c:v>
                </c:pt>
              </c:strCache>
            </c:strRef>
          </c:cat>
          <c:val>
            <c:numRef>
              <c:extLst>
                <c:ext xmlns:c15="http://schemas.microsoft.com/office/drawing/2012/chart" uri="{02D57815-91ED-43cb-92C2-25804820EDAC}">
                  <c15:fullRef>
                    <c15:sqref>q4_8_12_16_25_37_Fig!$CI$38:$CI$44</c15:sqref>
                  </c15:fullRef>
                </c:ext>
              </c:extLst>
              <c:f>q4_8_12_16_25_37_Fig!$CI$38</c:f>
              <c:numCache>
                <c:formatCode>#,##0\ "€"</c:formatCode>
                <c:ptCount val="1"/>
                <c:pt idx="0">
                  <c:v>1474.68</c:v>
                </c:pt>
              </c:numCache>
            </c:numRef>
          </c:val>
          <c:extLst>
            <c:ext xmlns:c16="http://schemas.microsoft.com/office/drawing/2014/chart" uri="{C3380CC4-5D6E-409C-BE32-E72D297353CC}">
              <c16:uniqueId val="{00000001-66AF-4FB2-9C0F-09AEEABDD47F}"/>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q4_8_12_16_25_37_Fig!$CG$39</c:f>
              <c:strCache>
                <c:ptCount val="1"/>
                <c:pt idx="0">
                  <c:v>Centro</c:v>
                </c:pt>
              </c:strCache>
            </c:strRef>
          </c:cat>
          <c:val>
            <c:numRef>
              <c:extLst>
                <c:ext xmlns:c15="http://schemas.microsoft.com/office/drawing/2012/chart" uri="{02D57815-91ED-43cb-92C2-25804820EDAC}">
                  <c15:fullRef>
                    <c15:sqref>q4_8_12_16_25_37_Fig!$CH$38:$CH$44</c15:sqref>
                  </c15:fullRef>
                </c:ext>
              </c:extLst>
              <c:f>q4_8_12_16_25_37_Fig!$CH$39</c:f>
              <c:numCache>
                <c:formatCode>#,##0\ "€"</c:formatCode>
                <c:ptCount val="1"/>
                <c:pt idx="0">
                  <c:v>1150.98</c:v>
                </c:pt>
              </c:numCache>
            </c:numRef>
          </c:val>
          <c:extLst>
            <c:ext xmlns:c16="http://schemas.microsoft.com/office/drawing/2014/chart" uri="{C3380CC4-5D6E-409C-BE32-E72D297353CC}">
              <c16:uniqueId val="{00000000-B9DB-486A-B79C-23014E7CADA6}"/>
            </c:ext>
          </c:extLst>
        </c:ser>
        <c:ser>
          <c:idx val="1"/>
          <c:order val="1"/>
          <c:tx>
            <c:strRef>
              <c:f>q4_8_12_16_25_37_Fig!$CI$37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q4_8_12_16_25_37_Fig!$CG$39</c:f>
              <c:strCache>
                <c:ptCount val="1"/>
                <c:pt idx="0">
                  <c:v>Centro</c:v>
                </c:pt>
              </c:strCache>
            </c:strRef>
          </c:cat>
          <c:val>
            <c:numRef>
              <c:extLst>
                <c:ext xmlns:c15="http://schemas.microsoft.com/office/drawing/2012/chart" uri="{02D57815-91ED-43cb-92C2-25804820EDAC}">
                  <c15:fullRef>
                    <c15:sqref>q4_8_12_16_25_37_Fig!$CI$38:$CI$44</c15:sqref>
                  </c15:fullRef>
                </c:ext>
              </c:extLst>
              <c:f>q4_8_12_16_25_37_Fig!$CI$39</c:f>
              <c:numCache>
                <c:formatCode>#,##0\ "€"</c:formatCode>
                <c:ptCount val="1"/>
                <c:pt idx="0">
                  <c:v>1410.88</c:v>
                </c:pt>
              </c:numCache>
            </c:numRef>
          </c:val>
          <c:extLst>
            <c:ext xmlns:c16="http://schemas.microsoft.com/office/drawing/2014/chart" uri="{C3380CC4-5D6E-409C-BE32-E72D297353CC}">
              <c16:uniqueId val="{00000001-B9DB-486A-B79C-23014E7CADA6}"/>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q4_8_12_16_25_37_Fig!$CG$40</c:f>
              <c:strCache>
                <c:ptCount val="1"/>
                <c:pt idx="0">
                  <c:v>Oeste e Vale do Tejo</c:v>
                </c:pt>
              </c:strCache>
            </c:strRef>
          </c:cat>
          <c:val>
            <c:numRef>
              <c:extLst>
                <c:ext xmlns:c15="http://schemas.microsoft.com/office/drawing/2012/chart" uri="{02D57815-91ED-43cb-92C2-25804820EDAC}">
                  <c15:fullRef>
                    <c15:sqref>q4_8_12_16_25_37_Fig!$CH$38:$CH$44</c15:sqref>
                  </c15:fullRef>
                </c:ext>
              </c:extLst>
              <c:f>q4_8_12_16_25_37_Fig!$CH$40</c:f>
              <c:numCache>
                <c:formatCode>#,##0\ "€"</c:formatCode>
                <c:ptCount val="1"/>
                <c:pt idx="0">
                  <c:v>1103.5999999999999</c:v>
                </c:pt>
              </c:numCache>
            </c:numRef>
          </c:val>
          <c:extLst>
            <c:ext xmlns:c16="http://schemas.microsoft.com/office/drawing/2014/chart" uri="{C3380CC4-5D6E-409C-BE32-E72D297353CC}">
              <c16:uniqueId val="{00000000-D5C7-484F-A71E-32993EBB0E13}"/>
            </c:ext>
          </c:extLst>
        </c:ser>
        <c:ser>
          <c:idx val="1"/>
          <c:order val="1"/>
          <c:tx>
            <c:strRef>
              <c:f>q4_8_12_16_25_37_Fig!$CI$37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q4_8_12_16_25_37_Fig!$CG$40</c:f>
              <c:strCache>
                <c:ptCount val="1"/>
                <c:pt idx="0">
                  <c:v>Oeste e Vale do Tejo</c:v>
                </c:pt>
              </c:strCache>
            </c:strRef>
          </c:cat>
          <c:val>
            <c:numRef>
              <c:extLst>
                <c:ext xmlns:c15="http://schemas.microsoft.com/office/drawing/2012/chart" uri="{02D57815-91ED-43cb-92C2-25804820EDAC}">
                  <c15:fullRef>
                    <c15:sqref>q4_8_12_16_25_37_Fig!$CI$38:$CI$44</c15:sqref>
                  </c15:fullRef>
                </c:ext>
              </c:extLst>
              <c:f>q4_8_12_16_25_37_Fig!$CI$40</c:f>
              <c:numCache>
                <c:formatCode>#,##0\ "€"</c:formatCode>
                <c:ptCount val="1"/>
                <c:pt idx="0">
                  <c:v>1346.57</c:v>
                </c:pt>
              </c:numCache>
            </c:numRef>
          </c:val>
          <c:extLst>
            <c:ext xmlns:c16="http://schemas.microsoft.com/office/drawing/2014/chart" uri="{C3380CC4-5D6E-409C-BE32-E72D297353CC}">
              <c16:uniqueId val="{00000001-D5C7-484F-A71E-32993EBB0E13}"/>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q4_8_12_16_25_37_Fig!$CH$37</c:f>
              <c:strCache>
                <c:ptCount val="1"/>
                <c:pt idx="0">
                  <c:v>Base</c:v>
                </c:pt>
              </c:strCache>
            </c:strRef>
          </c:tx>
          <c:spPr>
            <a:solidFill>
              <a:srgbClr val="4572A5"/>
            </a:solidFill>
            <a:ln>
              <a:noFill/>
            </a:ln>
            <a:effectLst/>
          </c:spPr>
          <c:invertIfNegative val="0"/>
          <c:dLbls>
            <c:dLbl>
              <c:idx val="0"/>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3-B938-46FC-8AF4-5B5B925A67D7}"/>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q4_8_12_16_25_37_Fig!$CG$42</c:f>
              <c:strCache>
                <c:ptCount val="1"/>
                <c:pt idx="0">
                  <c:v>Península de Setúbal</c:v>
                </c:pt>
              </c:strCache>
            </c:strRef>
          </c:cat>
          <c:val>
            <c:numRef>
              <c:extLst>
                <c:ext xmlns:c15="http://schemas.microsoft.com/office/drawing/2012/chart" uri="{02D57815-91ED-43cb-92C2-25804820EDAC}">
                  <c15:fullRef>
                    <c15:sqref>q4_8_12_16_25_37_Fig!$CH$38:$CH$44</c15:sqref>
                  </c15:fullRef>
                </c:ext>
              </c:extLst>
              <c:f>q4_8_12_16_25_37_Fig!$CH$42</c:f>
              <c:numCache>
                <c:formatCode>#,##0\ "€"</c:formatCode>
                <c:ptCount val="1"/>
                <c:pt idx="0">
                  <c:v>1275.49</c:v>
                </c:pt>
              </c:numCache>
            </c:numRef>
          </c:val>
          <c:extLst>
            <c:ext xmlns:c16="http://schemas.microsoft.com/office/drawing/2014/chart" uri="{C3380CC4-5D6E-409C-BE32-E72D297353CC}">
              <c16:uniqueId val="{00000000-B938-46FC-8AF4-5B5B925A67D7}"/>
            </c:ext>
          </c:extLst>
        </c:ser>
        <c:ser>
          <c:idx val="1"/>
          <c:order val="1"/>
          <c:tx>
            <c:strRef>
              <c:f>q4_8_12_16_25_37_Fig!$CI$37</c:f>
              <c:strCache>
                <c:ptCount val="1"/>
                <c:pt idx="0">
                  <c:v>Ganho</c:v>
                </c:pt>
              </c:strCache>
            </c:strRef>
          </c:tx>
          <c:spPr>
            <a:solidFill>
              <a:srgbClr val="FFC000"/>
            </a:solidFill>
            <a:ln>
              <a:noFill/>
            </a:ln>
            <a:effectLst/>
          </c:spPr>
          <c:invertIfNegative val="0"/>
          <c:dLbls>
            <c:dLbl>
              <c:idx val="0"/>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2-B938-46FC-8AF4-5B5B925A67D7}"/>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q4_8_12_16_25_37_Fig!$CG$42</c:f>
              <c:strCache>
                <c:ptCount val="1"/>
                <c:pt idx="0">
                  <c:v>Península de Setúbal</c:v>
                </c:pt>
              </c:strCache>
            </c:strRef>
          </c:cat>
          <c:val>
            <c:numRef>
              <c:extLst>
                <c:ext xmlns:c15="http://schemas.microsoft.com/office/drawing/2012/chart" uri="{02D57815-91ED-43cb-92C2-25804820EDAC}">
                  <c15:fullRef>
                    <c15:sqref>q4_8_12_16_25_37_Fig!$CI$38:$CI$44</c15:sqref>
                  </c15:fullRef>
                </c:ext>
              </c:extLst>
              <c:f>q4_8_12_16_25_37_Fig!$CI$42</c:f>
              <c:numCache>
                <c:formatCode>#,##0\ "€"</c:formatCode>
                <c:ptCount val="1"/>
                <c:pt idx="0">
                  <c:v>1545.45</c:v>
                </c:pt>
              </c:numCache>
            </c:numRef>
          </c:val>
          <c:extLst>
            <c:ext xmlns:c16="http://schemas.microsoft.com/office/drawing/2014/chart" uri="{C3380CC4-5D6E-409C-BE32-E72D297353CC}">
              <c16:uniqueId val="{00000001-B938-46FC-8AF4-5B5B925A67D7}"/>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q4_8_12_16_25_37_Fig!$CG$41</c:f>
              <c:strCache>
                <c:ptCount val="1"/>
                <c:pt idx="0">
                  <c:v>Grande Lisboa</c:v>
                </c:pt>
              </c:strCache>
            </c:strRef>
          </c:cat>
          <c:val>
            <c:numRef>
              <c:extLst>
                <c:ext xmlns:c15="http://schemas.microsoft.com/office/drawing/2012/chart" uri="{02D57815-91ED-43cb-92C2-25804820EDAC}">
                  <c15:fullRef>
                    <c15:sqref>q4_8_12_16_25_37_Fig!$CH$38:$CH$44</c15:sqref>
                  </c15:fullRef>
                </c:ext>
              </c:extLst>
              <c:f>q4_8_12_16_25_37_Fig!$CH$41</c:f>
              <c:numCache>
                <c:formatCode>#,##0\ "€"</c:formatCode>
                <c:ptCount val="1"/>
                <c:pt idx="0">
                  <c:v>1600.02</c:v>
                </c:pt>
              </c:numCache>
            </c:numRef>
          </c:val>
          <c:extLst>
            <c:ext xmlns:c16="http://schemas.microsoft.com/office/drawing/2014/chart" uri="{C3380CC4-5D6E-409C-BE32-E72D297353CC}">
              <c16:uniqueId val="{00000000-FACD-4347-8742-1B3A9C67A537}"/>
            </c:ext>
          </c:extLst>
        </c:ser>
        <c:ser>
          <c:idx val="1"/>
          <c:order val="1"/>
          <c:tx>
            <c:strRef>
              <c:f>q4_8_12_16_25_37_Fig!$CI$37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q4_8_12_16_25_37_Fig!$CG$41</c:f>
              <c:strCache>
                <c:ptCount val="1"/>
                <c:pt idx="0">
                  <c:v>Grande Lisboa</c:v>
                </c:pt>
              </c:strCache>
            </c:strRef>
          </c:cat>
          <c:val>
            <c:numRef>
              <c:extLst>
                <c:ext xmlns:c15="http://schemas.microsoft.com/office/drawing/2012/chart" uri="{02D57815-91ED-43cb-92C2-25804820EDAC}">
                  <c15:fullRef>
                    <c15:sqref>q4_8_12_16_25_37_Fig!$CI$38:$CI$44</c15:sqref>
                  </c15:fullRef>
                </c:ext>
              </c:extLst>
              <c:f>q4_8_12_16_25_37_Fig!$CI$41</c:f>
              <c:numCache>
                <c:formatCode>#,##0\ "€"</c:formatCode>
                <c:ptCount val="1"/>
                <c:pt idx="0">
                  <c:v>1935.68</c:v>
                </c:pt>
              </c:numCache>
            </c:numRef>
          </c:val>
          <c:extLst>
            <c:ext xmlns:c16="http://schemas.microsoft.com/office/drawing/2014/chart" uri="{C3380CC4-5D6E-409C-BE32-E72D297353CC}">
              <c16:uniqueId val="{00000001-FACD-4347-8742-1B3A9C67A537}"/>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q4_8_12_16_25_37_Fig!$CG$43</c:f>
              <c:strCache>
                <c:ptCount val="1"/>
                <c:pt idx="0">
                  <c:v>Alentejo</c:v>
                </c:pt>
              </c:strCache>
            </c:strRef>
          </c:cat>
          <c:val>
            <c:numRef>
              <c:extLst>
                <c:ext xmlns:c15="http://schemas.microsoft.com/office/drawing/2012/chart" uri="{02D57815-91ED-43cb-92C2-25804820EDAC}">
                  <c15:fullRef>
                    <c15:sqref>q4_8_12_16_25_37_Fig!$CH$38:$CH$44</c15:sqref>
                  </c15:fullRef>
                </c:ext>
              </c:extLst>
              <c:f>q4_8_12_16_25_37_Fig!$CH$43</c:f>
              <c:numCache>
                <c:formatCode>#,##0\ "€"</c:formatCode>
                <c:ptCount val="1"/>
                <c:pt idx="0">
                  <c:v>1127.48</c:v>
                </c:pt>
              </c:numCache>
            </c:numRef>
          </c:val>
          <c:extLst>
            <c:ext xmlns:c16="http://schemas.microsoft.com/office/drawing/2014/chart" uri="{C3380CC4-5D6E-409C-BE32-E72D297353CC}">
              <c16:uniqueId val="{00000000-95B9-4172-B5A0-6D11058A5AF1}"/>
            </c:ext>
          </c:extLst>
        </c:ser>
        <c:ser>
          <c:idx val="1"/>
          <c:order val="1"/>
          <c:tx>
            <c:strRef>
              <c:f>q4_8_12_16_25_37_Fig!$CI$37</c:f>
              <c:strCache>
                <c:ptCount val="1"/>
                <c:pt idx="0">
                  <c:v>Ganho</c:v>
                </c:pt>
              </c:strCache>
            </c:strRef>
          </c:tx>
          <c:spPr>
            <a:solidFill>
              <a:srgbClr val="FFC000"/>
            </a:solidFill>
            <a:ln>
              <a:noFill/>
            </a:ln>
            <a:effectLst/>
          </c:spPr>
          <c:invertIfNegative val="0"/>
          <c:dLbls>
            <c:dLbl>
              <c:idx val="0"/>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2-95B9-4172-B5A0-6D11058A5AF1}"/>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q4_8_12_16_25_37_Fig!$CG$43</c:f>
              <c:strCache>
                <c:ptCount val="1"/>
                <c:pt idx="0">
                  <c:v>Alentejo</c:v>
                </c:pt>
              </c:strCache>
            </c:strRef>
          </c:cat>
          <c:val>
            <c:numRef>
              <c:extLst>
                <c:ext xmlns:c15="http://schemas.microsoft.com/office/drawing/2012/chart" uri="{02D57815-91ED-43cb-92C2-25804820EDAC}">
                  <c15:fullRef>
                    <c15:sqref>q4_8_12_16_25_37_Fig!$CI$38:$CI$44</c15:sqref>
                  </c15:fullRef>
                </c:ext>
              </c:extLst>
              <c:f>q4_8_12_16_25_37_Fig!$CI$43</c:f>
              <c:numCache>
                <c:formatCode>#,##0\ "€"</c:formatCode>
                <c:ptCount val="1"/>
                <c:pt idx="0">
                  <c:v>1409.53</c:v>
                </c:pt>
              </c:numCache>
            </c:numRef>
          </c:val>
          <c:extLst>
            <c:ext xmlns:c16="http://schemas.microsoft.com/office/drawing/2014/chart" uri="{C3380CC4-5D6E-409C-BE32-E72D297353CC}">
              <c16:uniqueId val="{00000001-95B9-4172-B5A0-6D11058A5AF1}"/>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q4_8_12_16_25_37_Fig!$CG$44</c:f>
              <c:strCache>
                <c:ptCount val="1"/>
                <c:pt idx="0">
                  <c:v>Algarve</c:v>
                </c:pt>
              </c:strCache>
            </c:strRef>
          </c:cat>
          <c:val>
            <c:numRef>
              <c:extLst>
                <c:ext xmlns:c15="http://schemas.microsoft.com/office/drawing/2012/chart" uri="{02D57815-91ED-43cb-92C2-25804820EDAC}">
                  <c15:fullRef>
                    <c15:sqref>q4_8_12_16_25_37_Fig!$CH$38:$CH$44</c15:sqref>
                  </c15:fullRef>
                </c:ext>
              </c:extLst>
              <c:f>q4_8_12_16_25_37_Fig!$CH$44</c:f>
              <c:numCache>
                <c:formatCode>#,##0\ "€"</c:formatCode>
                <c:ptCount val="1"/>
                <c:pt idx="0">
                  <c:v>1095.01</c:v>
                </c:pt>
              </c:numCache>
            </c:numRef>
          </c:val>
          <c:extLst>
            <c:ext xmlns:c16="http://schemas.microsoft.com/office/drawing/2014/chart" uri="{C3380CC4-5D6E-409C-BE32-E72D297353CC}">
              <c16:uniqueId val="{00000000-B9F0-4A47-BF0F-BFE10E19A5A3}"/>
            </c:ext>
          </c:extLst>
        </c:ser>
        <c:ser>
          <c:idx val="1"/>
          <c:order val="1"/>
          <c:tx>
            <c:strRef>
              <c:f>q4_8_12_16_25_37_Fig!$CI$37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q4_8_12_16_25_37_Fig!$CG$44</c:f>
              <c:strCache>
                <c:ptCount val="1"/>
                <c:pt idx="0">
                  <c:v>Algarve</c:v>
                </c:pt>
              </c:strCache>
            </c:strRef>
          </c:cat>
          <c:val>
            <c:numRef>
              <c:extLst>
                <c:ext xmlns:c15="http://schemas.microsoft.com/office/drawing/2012/chart" uri="{02D57815-91ED-43cb-92C2-25804820EDAC}">
                  <c15:fullRef>
                    <c15:sqref>q4_8_12_16_25_37_Fig!$CI$38:$CI$44</c15:sqref>
                  </c15:fullRef>
                </c:ext>
              </c:extLst>
              <c:f>q4_8_12_16_25_37_Fig!$CI$44</c:f>
              <c:numCache>
                <c:formatCode>#,##0\ "€"</c:formatCode>
                <c:ptCount val="1"/>
                <c:pt idx="0">
                  <c:v>1320.22</c:v>
                </c:pt>
              </c:numCache>
            </c:numRef>
          </c:val>
          <c:extLst>
            <c:ext xmlns:c16="http://schemas.microsoft.com/office/drawing/2014/chart" uri="{C3380CC4-5D6E-409C-BE32-E72D297353CC}">
              <c16:uniqueId val="{00000001-B9F0-4A47-BF0F-BFE10E19A5A3}"/>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q4_8_12_16_25_37_Fig!$CH$7</c:f>
              <c:strCache>
                <c:ptCount val="1"/>
                <c:pt idx="0">
                  <c:v>Base</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q4_8_12_16_25_37_Fig!$CG$8:$CG$31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q4_8_12_16_25_37_Fig!$CH$8:$CH$31</c:f>
              <c:numCache>
                <c:formatCode>#,##0\ "€"</c:formatCode>
                <c:ptCount val="24"/>
                <c:pt idx="0">
                  <c:v>1098.82</c:v>
                </c:pt>
                <c:pt idx="1">
                  <c:v>1183.58</c:v>
                </c:pt>
                <c:pt idx="2">
                  <c:v>1109.23</c:v>
                </c:pt>
                <c:pt idx="3">
                  <c:v>1351.51</c:v>
                </c:pt>
                <c:pt idx="4">
                  <c:v>1024.3399999999999</c:v>
                </c:pt>
                <c:pt idx="5">
                  <c:v>1026.48</c:v>
                </c:pt>
                <c:pt idx="6">
                  <c:v>1059.6099999999999</c:v>
                </c:pt>
                <c:pt idx="7">
                  <c:v>1033.23</c:v>
                </c:pt>
                <c:pt idx="8">
                  <c:v>1223.23</c:v>
                </c:pt>
                <c:pt idx="9">
                  <c:v>1154.1500000000001</c:v>
                </c:pt>
                <c:pt idx="10">
                  <c:v>1171.5899999999999</c:v>
                </c:pt>
                <c:pt idx="11">
                  <c:v>1078.24</c:v>
                </c:pt>
                <c:pt idx="12">
                  <c:v>1063.8800000000001</c:v>
                </c:pt>
                <c:pt idx="13">
                  <c:v>1058.19</c:v>
                </c:pt>
                <c:pt idx="14">
                  <c:v>1100.1600000000001</c:v>
                </c:pt>
                <c:pt idx="15">
                  <c:v>1108.57</c:v>
                </c:pt>
                <c:pt idx="16">
                  <c:v>1104.77</c:v>
                </c:pt>
                <c:pt idx="17">
                  <c:v>1600.02</c:v>
                </c:pt>
                <c:pt idx="18">
                  <c:v>1275.49</c:v>
                </c:pt>
                <c:pt idx="19">
                  <c:v>1180.01</c:v>
                </c:pt>
                <c:pt idx="20">
                  <c:v>1119.75</c:v>
                </c:pt>
                <c:pt idx="21">
                  <c:v>1064.08</c:v>
                </c:pt>
                <c:pt idx="22">
                  <c:v>1125.55</c:v>
                </c:pt>
                <c:pt idx="23">
                  <c:v>1095.01</c:v>
                </c:pt>
              </c:numCache>
            </c:numRef>
          </c:val>
          <c:extLst>
            <c:ext xmlns:c16="http://schemas.microsoft.com/office/drawing/2014/chart" uri="{C3380CC4-5D6E-409C-BE32-E72D297353CC}">
              <c16:uniqueId val="{00000000-0876-4916-83D8-9DC25EF5C040}"/>
            </c:ext>
          </c:extLst>
        </c:ser>
        <c:ser>
          <c:idx val="1"/>
          <c:order val="1"/>
          <c:tx>
            <c:strRef>
              <c:f>q4_8_12_16_25_37_Fig!$CI$7</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q4_8_12_16_25_37_Fig!$CG$8:$CG$31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q4_8_12_16_25_37_Fig!$CI$8:$CI$31</c:f>
              <c:numCache>
                <c:formatCode>#,##0\ "€"</c:formatCode>
                <c:ptCount val="24"/>
                <c:pt idx="0">
                  <c:v>1340.14</c:v>
                </c:pt>
                <c:pt idx="1">
                  <c:v>1403.34</c:v>
                </c:pt>
                <c:pt idx="2">
                  <c:v>1321.75</c:v>
                </c:pt>
                <c:pt idx="3">
                  <c:v>1620.05</c:v>
                </c:pt>
                <c:pt idx="4">
                  <c:v>1207.05</c:v>
                </c:pt>
                <c:pt idx="5">
                  <c:v>1210.7</c:v>
                </c:pt>
                <c:pt idx="6">
                  <c:v>1268.7</c:v>
                </c:pt>
                <c:pt idx="7">
                  <c:v>1267.6300000000001</c:v>
                </c:pt>
                <c:pt idx="8">
                  <c:v>1492.3</c:v>
                </c:pt>
                <c:pt idx="9">
                  <c:v>1423.9</c:v>
                </c:pt>
                <c:pt idx="10">
                  <c:v>1434.69</c:v>
                </c:pt>
                <c:pt idx="11">
                  <c:v>1331.89</c:v>
                </c:pt>
                <c:pt idx="12">
                  <c:v>1279.02</c:v>
                </c:pt>
                <c:pt idx="13">
                  <c:v>1292.95</c:v>
                </c:pt>
                <c:pt idx="14">
                  <c:v>1324.42</c:v>
                </c:pt>
                <c:pt idx="15">
                  <c:v>1367.1</c:v>
                </c:pt>
                <c:pt idx="16">
                  <c:v>1363.59</c:v>
                </c:pt>
                <c:pt idx="17">
                  <c:v>1935.68</c:v>
                </c:pt>
                <c:pt idx="18">
                  <c:v>1545.45</c:v>
                </c:pt>
                <c:pt idx="19">
                  <c:v>1480.81</c:v>
                </c:pt>
                <c:pt idx="20">
                  <c:v>1469.2</c:v>
                </c:pt>
                <c:pt idx="21">
                  <c:v>1295.3599999999999</c:v>
                </c:pt>
                <c:pt idx="22">
                  <c:v>1371.98</c:v>
                </c:pt>
                <c:pt idx="23">
                  <c:v>1320.22</c:v>
                </c:pt>
              </c:numCache>
            </c:numRef>
          </c:val>
          <c:extLst>
            <c:ext xmlns:c16="http://schemas.microsoft.com/office/drawing/2014/chart" uri="{C3380CC4-5D6E-409C-BE32-E72D297353CC}">
              <c16:uniqueId val="{00000001-0876-4916-83D8-9DC25EF5C040}"/>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804965417"/>
          <c:y val="0.95587928345349849"/>
          <c:w val="0.36497235015434393"/>
          <c:h val="4.2533324537005042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endParaRPr lang="pt-PT"/>
        </a:p>
      </c:txPr>
    </c:title>
    <c:autoTitleDeleted val="0"/>
    <c:plotArea>
      <c:layout>
        <c:manualLayout>
          <c:layoutTarget val="inner"/>
          <c:xMode val="edge"/>
          <c:yMode val="edge"/>
          <c:x val="4.0807028631546345E-2"/>
          <c:y val="3.567815386713024E-2"/>
          <c:w val="0.93031205225533231"/>
          <c:h val="0.92049561986569861"/>
        </c:manualLayout>
      </c:layout>
      <c:barChart>
        <c:barDir val="bar"/>
        <c:grouping val="clustered"/>
        <c:varyColors val="0"/>
        <c:ser>
          <c:idx val="0"/>
          <c:order val="0"/>
          <c:tx>
            <c:strRef>
              <c:f>q3_q7_q11_q15_q24_q36_Fig!$AT$19</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horzOverflow="clip" vert="horz" wrap="non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0C14-4F04-819A-C076A41DC744}"/>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6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q3_q7_q11_q15_q24_q36_Fig!$AS$38</c:f>
              <c:strCache>
                <c:ptCount val="1"/>
                <c:pt idx="0">
                  <c:v>Continente</c:v>
                </c:pt>
              </c:strCache>
            </c:strRef>
          </c:cat>
          <c:val>
            <c:numRef>
              <c:f>q3_q7_q11_q15_q24_q36_Fig!$AT$38</c:f>
              <c:numCache>
                <c:formatCode>#,##0</c:formatCode>
                <c:ptCount val="1"/>
                <c:pt idx="0">
                  <c:v>3544955</c:v>
                </c:pt>
              </c:numCache>
            </c:numRef>
          </c:val>
          <c:extLst>
            <c:ext xmlns:c16="http://schemas.microsoft.com/office/drawing/2014/chart" uri="{C3380CC4-5D6E-409C-BE32-E72D297353CC}">
              <c16:uniqueId val="{00000001-0C14-4F04-819A-C076A41DC744}"/>
            </c:ext>
          </c:extLst>
        </c:ser>
        <c:ser>
          <c:idx val="1"/>
          <c:order val="1"/>
          <c:tx>
            <c:strRef>
              <c:f>q3_q7_q11_q15_q24_q36_Fig!$AU$19</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layout>
                <c:manualLayout>
                  <c:x val="-0.32908443900534484"/>
                  <c:y val="1.8754372112998842E-6"/>
                </c:manualLayout>
              </c:layout>
              <c:numFmt formatCode="#,##0" sourceLinked="0"/>
              <c:spPr>
                <a:noFill/>
                <a:ln>
                  <a:noFill/>
                </a:ln>
                <a:effectLst/>
              </c:spPr>
              <c:txPr>
                <a:bodyPr rot="0" spcFirstLastPara="1" vertOverflow="ellipsis" horzOverflow="clip"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38273118034296499"/>
                      <c:h val="0.4785046764026864"/>
                    </c:manualLayout>
                  </c15:layout>
                </c:ext>
                <c:ext xmlns:c16="http://schemas.microsoft.com/office/drawing/2014/chart" uri="{C3380CC4-5D6E-409C-BE32-E72D297353CC}">
                  <c16:uniqueId val="{00000002-0C14-4F04-819A-C076A41DC744}"/>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600" b="0"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q3_q7_q11_q15_q24_q36_Fig!$AS$38</c:f>
              <c:strCache>
                <c:ptCount val="1"/>
                <c:pt idx="0">
                  <c:v>Continente</c:v>
                </c:pt>
              </c:strCache>
            </c:strRef>
          </c:cat>
          <c:val>
            <c:numRef>
              <c:f>q3_q7_q11_q15_q24_q36_Fig!$AU$38</c:f>
              <c:numCache>
                <c:formatCode>#,##0</c:formatCode>
                <c:ptCount val="1"/>
                <c:pt idx="0">
                  <c:v>3354136</c:v>
                </c:pt>
              </c:numCache>
            </c:numRef>
          </c:val>
          <c:extLst>
            <c:ext xmlns:c16="http://schemas.microsoft.com/office/drawing/2014/chart" uri="{C3380CC4-5D6E-409C-BE32-E72D297353CC}">
              <c16:uniqueId val="{00000003-0C14-4F04-819A-C076A41DC744}"/>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q4_8_12_16_25_37_Fig!$AS$7</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6109-4FDA-BE3B-ACD1677A9AC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q4_8_12_16_25_37_Fig!$AR$32</c:f>
              <c:strCache>
                <c:ptCount val="1"/>
                <c:pt idx="0">
                  <c:v>Continente</c:v>
                </c:pt>
              </c:strCache>
            </c:strRef>
          </c:cat>
          <c:val>
            <c:numRef>
              <c:f>q4_8_12_16_25_37_Fig!$AS$32</c:f>
              <c:numCache>
                <c:formatCode>#,##0</c:formatCode>
                <c:ptCount val="1"/>
                <c:pt idx="0">
                  <c:v>288762.99999999994</c:v>
                </c:pt>
              </c:numCache>
            </c:numRef>
          </c:val>
          <c:extLst>
            <c:ext xmlns:c16="http://schemas.microsoft.com/office/drawing/2014/chart" uri="{C3380CC4-5D6E-409C-BE32-E72D297353CC}">
              <c16:uniqueId val="{00000001-6109-4FDA-BE3B-ACD1677A9AC3}"/>
            </c:ext>
          </c:extLst>
        </c:ser>
        <c:ser>
          <c:idx val="1"/>
          <c:order val="1"/>
          <c:tx>
            <c:strRef>
              <c:f>q4_8_12_16_25_37_Fig!$AT$7</c:f>
              <c:strCache>
                <c:ptCount val="1"/>
                <c:pt idx="0">
                  <c:v>Estabelecimentos</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6109-4FDA-BE3B-ACD1677A9AC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q4_8_12_16_25_37_Fig!$AR$32</c:f>
              <c:strCache>
                <c:ptCount val="1"/>
                <c:pt idx="0">
                  <c:v>Continente</c:v>
                </c:pt>
              </c:strCache>
            </c:strRef>
          </c:cat>
          <c:val>
            <c:numRef>
              <c:f>q4_8_12_16_25_37_Fig!$AT$32</c:f>
              <c:numCache>
                <c:formatCode>#,##0</c:formatCode>
                <c:ptCount val="1"/>
                <c:pt idx="0">
                  <c:v>338025.99999999988</c:v>
                </c:pt>
              </c:numCache>
            </c:numRef>
          </c:val>
          <c:extLst>
            <c:ext xmlns:c16="http://schemas.microsoft.com/office/drawing/2014/chart" uri="{C3380CC4-5D6E-409C-BE32-E72D297353CC}">
              <c16:uniqueId val="{00000003-6109-4FDA-BE3B-ACD1677A9AC3}"/>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q4_8_12_16_25_37_Fig!$BN$7</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7B24-4756-8645-C488E9EA3A8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q4_8_12_16_25_37_Fig!$BM$32</c:f>
              <c:strCache>
                <c:ptCount val="1"/>
                <c:pt idx="0">
                  <c:v>Continente</c:v>
                </c:pt>
              </c:strCache>
            </c:strRef>
          </c:cat>
          <c:val>
            <c:numRef>
              <c:f>q4_8_12_16_25_37_Fig!$BN$32</c:f>
              <c:numCache>
                <c:formatCode>#,##0</c:formatCode>
                <c:ptCount val="1"/>
                <c:pt idx="0">
                  <c:v>3544955.0000000019</c:v>
                </c:pt>
              </c:numCache>
            </c:numRef>
          </c:val>
          <c:extLst>
            <c:ext xmlns:c16="http://schemas.microsoft.com/office/drawing/2014/chart" uri="{C3380CC4-5D6E-409C-BE32-E72D297353CC}">
              <c16:uniqueId val="{00000001-7B24-4756-8645-C488E9EA3A88}"/>
            </c:ext>
          </c:extLst>
        </c:ser>
        <c:ser>
          <c:idx val="1"/>
          <c:order val="1"/>
          <c:tx>
            <c:strRef>
              <c:f>q4_8_12_16_25_37_Fig!$BO$7</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7B24-4756-8645-C488E9EA3A8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q4_8_12_16_25_37_Fig!$BM$32</c:f>
              <c:strCache>
                <c:ptCount val="1"/>
                <c:pt idx="0">
                  <c:v>Continente</c:v>
                </c:pt>
              </c:strCache>
            </c:strRef>
          </c:cat>
          <c:val>
            <c:numRef>
              <c:f>q4_8_12_16_25_37_Fig!$BO$32</c:f>
              <c:numCache>
                <c:formatCode>#,##0</c:formatCode>
                <c:ptCount val="1"/>
                <c:pt idx="0">
                  <c:v>3354135.9999999991</c:v>
                </c:pt>
              </c:numCache>
            </c:numRef>
          </c:val>
          <c:extLst>
            <c:ext xmlns:c16="http://schemas.microsoft.com/office/drawing/2014/chart" uri="{C3380CC4-5D6E-409C-BE32-E72D297353CC}">
              <c16:uniqueId val="{00000003-7B24-4756-8645-C488E9EA3A88}"/>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q4_8_12_16_25_37_Fig!$CH$7</c:f>
              <c:strCache>
                <c:ptCount val="1"/>
                <c:pt idx="0">
                  <c:v>Base</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quot;€&quot;"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B7EE-44AB-BA24-664D3A3200F9}"/>
                </c:ext>
              </c:extLst>
            </c:dLbl>
            <c:numFmt formatCode="#,##0\ &quot;€&quot;"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q4_8_12_16_25_37_Fig!$CG$32</c:f>
              <c:strCache>
                <c:ptCount val="1"/>
                <c:pt idx="0">
                  <c:v>Continente</c:v>
                </c:pt>
              </c:strCache>
            </c:strRef>
          </c:cat>
          <c:val>
            <c:numRef>
              <c:f>q4_8_12_16_25_37_Fig!$CH$32</c:f>
              <c:numCache>
                <c:formatCode>#,##0\ "€"</c:formatCode>
                <c:ptCount val="1"/>
                <c:pt idx="0">
                  <c:v>1308.96</c:v>
                </c:pt>
              </c:numCache>
            </c:numRef>
          </c:val>
          <c:extLst>
            <c:ext xmlns:c16="http://schemas.microsoft.com/office/drawing/2014/chart" uri="{C3380CC4-5D6E-409C-BE32-E72D297353CC}">
              <c16:uniqueId val="{00000001-B7EE-44AB-BA24-664D3A3200F9}"/>
            </c:ext>
          </c:extLst>
        </c:ser>
        <c:ser>
          <c:idx val="1"/>
          <c:order val="1"/>
          <c:tx>
            <c:strRef>
              <c:f>q4_8_12_16_25_37_Fig!$CI$7</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quot;€&quot;"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B7EE-44AB-BA24-664D3A3200F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q4_8_12_16_25_37_Fig!$CG$32</c:f>
              <c:strCache>
                <c:ptCount val="1"/>
                <c:pt idx="0">
                  <c:v>Continente</c:v>
                </c:pt>
              </c:strCache>
            </c:strRef>
          </c:cat>
          <c:val>
            <c:numRef>
              <c:f>q4_8_12_16_25_37_Fig!$CI$32</c:f>
              <c:numCache>
                <c:formatCode>#,##0\ "€"</c:formatCode>
                <c:ptCount val="1"/>
                <c:pt idx="0">
                  <c:v>1582.75</c:v>
                </c:pt>
              </c:numCache>
            </c:numRef>
          </c:val>
          <c:extLst>
            <c:ext xmlns:c16="http://schemas.microsoft.com/office/drawing/2014/chart" uri="{C3380CC4-5D6E-409C-BE32-E72D297353CC}">
              <c16:uniqueId val="{00000003-B7EE-44AB-BA24-664D3A3200F9}"/>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q4_8_12_16_25_37_Fig_b!$R$6</c:f>
              <c:strCache>
                <c:ptCount val="1"/>
                <c:pt idx="0">
                  <c:v>Empresas</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6.2188007432133839E-2"/>
                  <c:y val="-0.105375815534839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FC-4AD2-9447-0D25F5214292}"/>
                </c:ext>
              </c:extLst>
            </c:dLbl>
            <c:dLbl>
              <c:idx val="10"/>
              <c:layout>
                <c:manualLayout>
                  <c:x val="-0.11392992711610846"/>
                  <c:y val="-6.62989296751308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FC-4AD2-9447-0D25F5214292}"/>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FC-4AD2-9447-0D25F521429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q4_8_12_16_25_37_Fig_b!$S$5:$AC$5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q4_8_12_16_25_37_Fig_b!$S$6:$AC$6</c:f>
              <c:numCache>
                <c:formatCode>#,##0</c:formatCode>
                <c:ptCount val="11"/>
                <c:pt idx="0">
                  <c:v>67539</c:v>
                </c:pt>
                <c:pt idx="1">
                  <c:v>68279</c:v>
                </c:pt>
                <c:pt idx="2">
                  <c:v>68838</c:v>
                </c:pt>
                <c:pt idx="3">
                  <c:v>69774</c:v>
                </c:pt>
                <c:pt idx="4">
                  <c:v>71059</c:v>
                </c:pt>
                <c:pt idx="5">
                  <c:v>69212</c:v>
                </c:pt>
                <c:pt idx="6">
                  <c:v>70690</c:v>
                </c:pt>
                <c:pt idx="7">
                  <c:v>68646</c:v>
                </c:pt>
                <c:pt idx="8">
                  <c:v>72553</c:v>
                </c:pt>
                <c:pt idx="9">
                  <c:v>74483.000000000029</c:v>
                </c:pt>
                <c:pt idx="10">
                  <c:v>74147.999999999971</c:v>
                </c:pt>
              </c:numCache>
            </c:numRef>
          </c:val>
          <c:extLst>
            <c:ext xmlns:c16="http://schemas.microsoft.com/office/drawing/2014/chart" uri="{C3380CC4-5D6E-409C-BE32-E72D297353CC}">
              <c16:uniqueId val="{00000003-52FC-4AD2-9447-0D25F5214292}"/>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q4_8_12_16_25_37_Fig_b!$R$7</c:f>
              <c:strCache>
                <c:ptCount val="1"/>
                <c:pt idx="0">
                  <c:v>Estabelecimentos</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52FC-4AD2-9447-0D25F5214292}"/>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52FC-4AD2-9447-0D25F5214292}"/>
              </c:ext>
            </c:extLst>
          </c:dPt>
          <c:dLbls>
            <c:dLbl>
              <c:idx val="0"/>
              <c:layout>
                <c:manualLayout>
                  <c:x val="7.9394142669286016E-2"/>
                  <c:y val="-4.5953212075963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FC-4AD2-9447-0D25F5214292}"/>
                </c:ext>
              </c:extLst>
            </c:dLbl>
            <c:dLbl>
              <c:idx val="10"/>
              <c:layout>
                <c:manualLayout>
                  <c:x val="-6.6792310190435217E-2"/>
                  <c:y val="-6.3416854766688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2FC-4AD2-9447-0D25F5214292}"/>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FC-4AD2-9447-0D25F5214292}"/>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q4_8_12_16_25_37_Fig_b!$S$5:$AC$5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q4_8_12_16_25_37_Fig_b!$S$7:$AC$7</c:f>
              <c:numCache>
                <c:formatCode>#,##0</c:formatCode>
                <c:ptCount val="11"/>
                <c:pt idx="0">
                  <c:v>81706</c:v>
                </c:pt>
                <c:pt idx="1">
                  <c:v>82356</c:v>
                </c:pt>
                <c:pt idx="2">
                  <c:v>82859</c:v>
                </c:pt>
                <c:pt idx="3">
                  <c:v>83567</c:v>
                </c:pt>
                <c:pt idx="4">
                  <c:v>84949</c:v>
                </c:pt>
                <c:pt idx="5">
                  <c:v>82771</c:v>
                </c:pt>
                <c:pt idx="6">
                  <c:v>84202</c:v>
                </c:pt>
                <c:pt idx="7">
                  <c:v>81787</c:v>
                </c:pt>
                <c:pt idx="8">
                  <c:v>86056</c:v>
                </c:pt>
                <c:pt idx="9">
                  <c:v>88188.999999999985</c:v>
                </c:pt>
                <c:pt idx="10">
                  <c:v>87949</c:v>
                </c:pt>
              </c:numCache>
            </c:numRef>
          </c:val>
          <c:smooth val="0"/>
          <c:extLst>
            <c:ext xmlns:c16="http://schemas.microsoft.com/office/drawing/2014/chart" uri="{C3380CC4-5D6E-409C-BE32-E72D297353CC}">
              <c16:uniqueId val="{00000007-52FC-4AD2-9447-0D25F5214292}"/>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92521828481056423"/>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q4_8_12_16_25_37_Fig_b!$R$38</c:f>
              <c:strCache>
                <c:ptCount val="1"/>
                <c:pt idx="0">
                  <c:v>Pessoas ao serviço</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6.2188007432133839E-2"/>
                  <c:y val="-0.105375815534839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14-4829-A125-6A0196B383CD}"/>
                </c:ext>
              </c:extLst>
            </c:dLbl>
            <c:dLbl>
              <c:idx val="10"/>
              <c:layout>
                <c:manualLayout>
                  <c:x val="-0.11392992711610846"/>
                  <c:y val="-6.62989296751308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14-4829-A125-6A0196B383CD}"/>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14-4829-A125-6A0196B383C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q4_8_12_16_25_37_Fig_b!$S$37:$AC$37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q4_8_12_16_25_37_Fig_b!$S$38:$AC$38</c:f>
              <c:numCache>
                <c:formatCode>#,##0</c:formatCode>
                <c:ptCount val="11"/>
                <c:pt idx="0">
                  <c:v>844718</c:v>
                </c:pt>
                <c:pt idx="1">
                  <c:v>862910</c:v>
                </c:pt>
                <c:pt idx="2">
                  <c:v>901190</c:v>
                </c:pt>
                <c:pt idx="3">
                  <c:v>934313</c:v>
                </c:pt>
                <c:pt idx="4">
                  <c:v>979056</c:v>
                </c:pt>
                <c:pt idx="5">
                  <c:v>1001279</c:v>
                </c:pt>
                <c:pt idx="6">
                  <c:v>991460</c:v>
                </c:pt>
                <c:pt idx="7">
                  <c:v>996023</c:v>
                </c:pt>
                <c:pt idx="8">
                  <c:v>1083786</c:v>
                </c:pt>
                <c:pt idx="9">
                  <c:v>1142871</c:v>
                </c:pt>
                <c:pt idx="10">
                  <c:v>1174107</c:v>
                </c:pt>
              </c:numCache>
            </c:numRef>
          </c:val>
          <c:extLst>
            <c:ext xmlns:c16="http://schemas.microsoft.com/office/drawing/2014/chart" uri="{C3380CC4-5D6E-409C-BE32-E72D297353CC}">
              <c16:uniqueId val="{00000003-8F14-4829-A125-6A0196B383CD}"/>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q4_8_12_16_25_37_Fig_b!$R$39</c:f>
              <c:strCache>
                <c:ptCount val="1"/>
                <c:pt idx="0">
                  <c:v>TCO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8F14-4829-A125-6A0196B383CD}"/>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8F14-4829-A125-6A0196B383CD}"/>
              </c:ext>
            </c:extLst>
          </c:dPt>
          <c:dLbls>
            <c:dLbl>
              <c:idx val="0"/>
              <c:layout>
                <c:manualLayout>
                  <c:x val="1.4485420559752521E-2"/>
                  <c:y val="-9.0123386658288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14-4829-A125-6A0196B383CD}"/>
                </c:ext>
              </c:extLst>
            </c:dLbl>
            <c:dLbl>
              <c:idx val="10"/>
              <c:layout>
                <c:manualLayout>
                  <c:x val="-6.6792310190435217E-2"/>
                  <c:y val="-6.3416854766688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14-4829-A125-6A0196B383CD}"/>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14-4829-A125-6A0196B383CD}"/>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q4_8_12_16_25_37_Fig_b!$S$37:$AC$37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q4_8_12_16_25_37_Fig_b!$S$39:$AC$39</c:f>
              <c:numCache>
                <c:formatCode>#,##0</c:formatCode>
                <c:ptCount val="11"/>
                <c:pt idx="0">
                  <c:v>797999</c:v>
                </c:pt>
                <c:pt idx="1">
                  <c:v>816297</c:v>
                </c:pt>
                <c:pt idx="2">
                  <c:v>855415</c:v>
                </c:pt>
                <c:pt idx="3">
                  <c:v>888098</c:v>
                </c:pt>
                <c:pt idx="4">
                  <c:v>931712</c:v>
                </c:pt>
                <c:pt idx="5">
                  <c:v>954999</c:v>
                </c:pt>
                <c:pt idx="6">
                  <c:v>944358</c:v>
                </c:pt>
                <c:pt idx="7">
                  <c:v>949891</c:v>
                </c:pt>
                <c:pt idx="8">
                  <c:v>1034482</c:v>
                </c:pt>
                <c:pt idx="9">
                  <c:v>1092322.0000000002</c:v>
                </c:pt>
                <c:pt idx="10">
                  <c:v>1124021</c:v>
                </c:pt>
              </c:numCache>
            </c:numRef>
          </c:val>
          <c:smooth val="0"/>
          <c:extLst>
            <c:ext xmlns:c16="http://schemas.microsoft.com/office/drawing/2014/chart" uri="{C3380CC4-5D6E-409C-BE32-E72D297353CC}">
              <c16:uniqueId val="{00000007-8F14-4829-A125-6A0196B383CD}"/>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92521828481056423"/>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q4_8_12_16_25_37_Fig_b!$R$72</c:f>
              <c:strCache>
                <c:ptCount val="1"/>
                <c:pt idx="0">
                  <c:v>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5.8742180554002758E-2"/>
                  <c:y val="-6.8825092678146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D1-4A9B-885B-46743A3182D0}"/>
                </c:ext>
              </c:extLst>
            </c:dLbl>
            <c:dLbl>
              <c:idx val="10"/>
              <c:layout>
                <c:manualLayout>
                  <c:x val="-7.6729435189769629E-2"/>
                  <c:y val="-5.3800277387150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D1-4A9B-885B-46743A3182D0}"/>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D1-4A9B-885B-46743A3182D0}"/>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q4_8_12_16_25_37_Fig_b!$S$71:$AC$71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q4_8_12_16_25_37_Fig_b!$S$72:$AC$72</c:f>
              <c:numCache>
                <c:formatCode>#,##0.00</c:formatCode>
                <c:ptCount val="11"/>
                <c:pt idx="0">
                  <c:v>1139.73</c:v>
                </c:pt>
                <c:pt idx="1">
                  <c:v>1143.49</c:v>
                </c:pt>
                <c:pt idx="2">
                  <c:v>1150.72</c:v>
                </c:pt>
                <c:pt idx="3">
                  <c:v>1166.67</c:v>
                </c:pt>
                <c:pt idx="4">
                  <c:v>1187.08</c:v>
                </c:pt>
                <c:pt idx="5">
                  <c:v>1221.83</c:v>
                </c:pt>
                <c:pt idx="6">
                  <c:v>1257.56</c:v>
                </c:pt>
                <c:pt idx="7">
                  <c:v>1301.0999999999999</c:v>
                </c:pt>
                <c:pt idx="8">
                  <c:v>1376.38</c:v>
                </c:pt>
                <c:pt idx="9">
                  <c:v>1462.95</c:v>
                </c:pt>
                <c:pt idx="10">
                  <c:v>1554.49</c:v>
                </c:pt>
              </c:numCache>
            </c:numRef>
          </c:val>
          <c:extLst>
            <c:ext xmlns:c16="http://schemas.microsoft.com/office/drawing/2014/chart" uri="{C3380CC4-5D6E-409C-BE32-E72D297353CC}">
              <c16:uniqueId val="{00000003-38D1-4A9B-885B-46743A3182D0}"/>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q4_8_12_16_25_37_Fig_b!$R$73</c:f>
              <c:strCache>
                <c:ptCount val="1"/>
                <c:pt idx="0">
                  <c:v>Ganho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38D1-4A9B-885B-46743A3182D0}"/>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38D1-4A9B-885B-46743A3182D0}"/>
              </c:ext>
            </c:extLst>
          </c:dPt>
          <c:dLbls>
            <c:dLbl>
              <c:idx val="0"/>
              <c:layout>
                <c:manualLayout>
                  <c:x val="3.7416215467993025E-4"/>
                  <c:y val="-0.126673723074259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D1-4A9B-885B-46743A3182D0}"/>
                </c:ext>
              </c:extLst>
            </c:dLbl>
            <c:dLbl>
              <c:idx val="10"/>
              <c:layout>
                <c:manualLayout>
                  <c:x val="-0.1934663238089154"/>
                  <c:y val="-9.46795227766229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D1-4A9B-885B-46743A3182D0}"/>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D1-4A9B-885B-46743A3182D0}"/>
                </c:ext>
              </c:extLst>
            </c:dLbl>
            <c:numFmt formatCode="#,##0.00\ &quot;€&quot;" sourceLinked="0"/>
            <c:spPr>
              <a:noFill/>
              <a:ln>
                <a:noFill/>
              </a:ln>
              <a:effectLst/>
            </c:spPr>
            <c:txPr>
              <a:bodyPr rot="0" spcFirstLastPara="1" vertOverflow="overflow" horzOverflow="overflow" vert="horz" wrap="square" lIns="38100" tIns="19050" rIns="38100" bIns="19050" anchor="ctr" anchorCtr="1">
                <a:spAutoFit/>
              </a:bodyPr>
              <a:lstStyle/>
              <a:p>
                <a:pPr>
                  <a:defRPr sz="8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q4_8_12_16_25_37_Fig_b!$S$71:$AC$71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q4_8_12_16_25_37_Fig_b!$S$73:$AC$73</c:f>
              <c:numCache>
                <c:formatCode>#,##0.00</c:formatCode>
                <c:ptCount val="11"/>
                <c:pt idx="0">
                  <c:v>1378.34</c:v>
                </c:pt>
                <c:pt idx="1">
                  <c:v>1380.08</c:v>
                </c:pt>
                <c:pt idx="2">
                  <c:v>1388.49</c:v>
                </c:pt>
                <c:pt idx="3">
                  <c:v>1410.52</c:v>
                </c:pt>
                <c:pt idx="4">
                  <c:v>1440.11</c:v>
                </c:pt>
                <c:pt idx="5">
                  <c:v>1477.39</c:v>
                </c:pt>
                <c:pt idx="6">
                  <c:v>1516.42</c:v>
                </c:pt>
                <c:pt idx="7">
                  <c:v>1562.69</c:v>
                </c:pt>
                <c:pt idx="8">
                  <c:v>1655.56</c:v>
                </c:pt>
                <c:pt idx="9">
                  <c:v>1765.15</c:v>
                </c:pt>
                <c:pt idx="10">
                  <c:v>1880.94</c:v>
                </c:pt>
              </c:numCache>
            </c:numRef>
          </c:val>
          <c:smooth val="0"/>
          <c:extLst>
            <c:ext xmlns:c16="http://schemas.microsoft.com/office/drawing/2014/chart" uri="{C3380CC4-5D6E-409C-BE32-E72D297353CC}">
              <c16:uniqueId val="{00000007-38D1-4A9B-885B-46743A3182D0}"/>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2000"/>
          <c:min val="0"/>
        </c:scaling>
        <c:delete val="0"/>
        <c:axPos val="l"/>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92521828481056423"/>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9.7660262412968372E-3"/>
          <c:w val="0.73070216951498435"/>
          <c:h val="0.3563687641865958"/>
        </c:manualLayout>
      </c:layout>
      <c:barChart>
        <c:barDir val="col"/>
        <c:grouping val="clustered"/>
        <c:varyColors val="0"/>
        <c:dLbls>
          <c:showLegendKey val="0"/>
          <c:showVal val="0"/>
          <c:showCatName val="0"/>
          <c:showSerName val="0"/>
          <c:showPercent val="0"/>
          <c:showBubbleSize val="0"/>
        </c:dLbls>
        <c:gapWidth val="186"/>
        <c:overlap val="-18"/>
        <c:axId val="636287087"/>
        <c:axId val="527088143"/>
        <c:extLst>
          <c:ext xmlns:c15="http://schemas.microsoft.com/office/drawing/2012/chart" uri="{02D57815-91ED-43cb-92C2-25804820EDAC}">
            <c15:filteredBarSeries>
              <c15:ser>
                <c:idx val="0"/>
                <c:order val="0"/>
                <c:tx>
                  <c:strRef>
                    <c:extLst>
                      <c:ext uri="{02D57815-91ED-43cb-92C2-25804820EDAC}">
                        <c15:formulaRef>
                          <c15:sqref>q4_8_12_16_25_37_Fig_b!$AS$37</c15:sqref>
                        </c15:formulaRef>
                      </c:ext>
                    </c:extLst>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q4_8_12_16_25_37_Fig_b!$AR$38:$AR$44</c15:sqref>
                        </c15:fullRef>
                        <c15:formulaRef>
                          <c15:sqref/>
                        </c15:formulaRef>
                      </c:ext>
                    </c:extLst>
                    <c:strCache>
                      <c:ptCount val="0"/>
                    </c:strCache>
                  </c:strRef>
                </c:cat>
                <c:val>
                  <c:numRef>
                    <c:extLst>
                      <c:ext uri="{02D57815-91ED-43cb-92C2-25804820EDAC}">
                        <c15:fullRef>
                          <c15:sqref>q4_8_12_16_25_37_Fig_b!$AS$38:$AS$44</c15:sqref>
                        </c15:fullRef>
                        <c15:formulaRef>
                          <c15:sqref/>
                        </c15:formulaRef>
                      </c:ext>
                    </c:extLst>
                    <c:numCache>
                      <c:formatCode>#,##0</c:formatCode>
                      <c:ptCount val="0"/>
                    </c:numCache>
                  </c:numRef>
                </c:val>
                <c:extLst>
                  <c:ext xmlns:c16="http://schemas.microsoft.com/office/drawing/2014/chart" uri="{C3380CC4-5D6E-409C-BE32-E72D297353CC}">
                    <c16:uniqueId val="{00000000-493F-49B6-BAF1-C163D016DF2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q4_8_12_16_25_37_Fig_b!$AT$37</c15:sqref>
                        </c15:formulaRef>
                      </c:ext>
                    </c:extLst>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q4_8_12_16_25_37_Fig_b!$AR$38:$AR$44</c15:sqref>
                        </c15:fullRef>
                        <c15:formulaRef>
                          <c15:sqref/>
                        </c15:formulaRef>
                      </c:ext>
                    </c:extLst>
                    <c:strCache>
                      <c:ptCount val="0"/>
                    </c:strCache>
                  </c:strRef>
                </c:cat>
                <c:val>
                  <c:numRef>
                    <c:extLst>
                      <c:ext xmlns:c15="http://schemas.microsoft.com/office/drawing/2012/chart" uri="{02D57815-91ED-43cb-92C2-25804820EDAC}">
                        <c15:fullRef>
                          <c15:sqref>q4_8_12_16_25_37_Fig_b!$AT$38:$AT$44</c15:sqref>
                        </c15:fullRef>
                        <c15:formulaRef>
                          <c15:sqref/>
                        </c15:formulaRef>
                      </c:ext>
                    </c:extLst>
                    <c:numCache>
                      <c:formatCode>#,##0</c:formatCode>
                      <c:ptCount val="0"/>
                    </c:numCache>
                  </c:numRef>
                </c:val>
                <c:extLst xmlns:c15="http://schemas.microsoft.com/office/drawing/2012/chart">
                  <c:ext xmlns:c16="http://schemas.microsoft.com/office/drawing/2014/chart" uri="{C3380CC4-5D6E-409C-BE32-E72D297353CC}">
                    <c16:uniqueId val="{00000001-493F-49B6-BAF1-C163D016DF23}"/>
                  </c:ext>
                </c:extLst>
              </c15:ser>
            </c15:filteredBarSeries>
          </c:ext>
        </c:extLst>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min val="0"/>
        </c:scaling>
        <c:delete val="1"/>
        <c:axPos val="l"/>
        <c:numFmt formatCode="#,##0" sourceLinked="1"/>
        <c:majorTickMark val="out"/>
        <c:minorTickMark val="none"/>
        <c:tickLblPos val="nextTo"/>
        <c:crossAx val="636287087"/>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186"/>
        <c:overlap val="-18"/>
        <c:axId val="636287087"/>
        <c:axId val="527088143"/>
        <c:extLst>
          <c:ext xmlns:c15="http://schemas.microsoft.com/office/drawing/2012/chart" uri="{02D57815-91ED-43cb-92C2-25804820EDAC}">
            <c15:filteredBarSeries>
              <c15:ser>
                <c:idx val="0"/>
                <c:order val="0"/>
                <c:tx>
                  <c:strRef>
                    <c:extLst>
                      <c:ext uri="{02D57815-91ED-43cb-92C2-25804820EDAC}">
                        <c15:formulaRef>
                          <c15:sqref>q4_8_12_16_25_37_Fig_b!$CH$37</c15:sqref>
                        </c15:formulaRef>
                      </c:ext>
                    </c:extLst>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q4_8_12_16_25_37_Fig_b!$CG$38:$CG$42</c15:sqref>
                        </c15:fullRef>
                        <c15:formulaRef>
                          <c15:sqref/>
                        </c15:formulaRef>
                      </c:ext>
                    </c:extLst>
                    <c:strCache>
                      <c:ptCount val="0"/>
                    </c:strCache>
                  </c:strRef>
                </c:cat>
                <c:val>
                  <c:numRef>
                    <c:extLst>
                      <c:ext uri="{02D57815-91ED-43cb-92C2-25804820EDAC}">
                        <c15:fullRef>
                          <c15:sqref>q4_8_12_16_25_37_Fig_b!$CH$38:$CH$42</c15:sqref>
                        </c15:fullRef>
                        <c15:formulaRef>
                          <c15:sqref/>
                        </c15:formulaRef>
                      </c:ext>
                    </c:extLst>
                    <c:numCache>
                      <c:formatCode>#,##0\ "€"</c:formatCode>
                      <c:ptCount val="0"/>
                    </c:numCache>
                  </c:numRef>
                </c:val>
                <c:extLst>
                  <c:ext xmlns:c16="http://schemas.microsoft.com/office/drawing/2014/chart" uri="{C3380CC4-5D6E-409C-BE32-E72D297353CC}">
                    <c16:uniqueId val="{00000000-EBDC-411F-B1D4-2D9AFAE5246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q4_8_12_16_25_37_Fig_b!$CI$37</c15:sqref>
                        </c15:formulaRef>
                      </c:ext>
                    </c:extLst>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q4_8_12_16_25_37_Fig_b!$CG$38:$CG$42</c15:sqref>
                        </c15:fullRef>
                        <c15:formulaRef>
                          <c15:sqref/>
                        </c15:formulaRef>
                      </c:ext>
                    </c:extLst>
                    <c:strCache>
                      <c:ptCount val="0"/>
                    </c:strCache>
                  </c:strRef>
                </c:cat>
                <c:val>
                  <c:numRef>
                    <c:extLst>
                      <c:ext xmlns:c15="http://schemas.microsoft.com/office/drawing/2012/chart" uri="{02D57815-91ED-43cb-92C2-25804820EDAC}">
                        <c15:fullRef>
                          <c15:sqref>q4_8_12_16_25_37_Fig_b!$CI$38:$CI$42</c15:sqref>
                        </c15:fullRef>
                        <c15:formulaRef>
                          <c15:sqref/>
                        </c15:formulaRef>
                      </c:ext>
                    </c:extLst>
                    <c:numCache>
                      <c:formatCode>#,##0\ "€"</c:formatCode>
                      <c:ptCount val="0"/>
                    </c:numCache>
                  </c:numRef>
                </c:val>
                <c:extLst xmlns:c15="http://schemas.microsoft.com/office/drawing/2012/chart">
                  <c:ext xmlns:c16="http://schemas.microsoft.com/office/drawing/2014/chart" uri="{C3380CC4-5D6E-409C-BE32-E72D297353CC}">
                    <c16:uniqueId val="{00000001-EBDC-411F-B1D4-2D9AFAE5246D}"/>
                  </c:ext>
                </c:extLst>
              </c15:ser>
            </c15:filteredBarSeries>
          </c:ext>
        </c:extLst>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q4_8_12_16_25_37_Fig_b!$AS$7</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non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B629-47E5-A72C-F7CE6E8D012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q4_8_12_16_25_37_Fig_b!$AR$31</c:f>
              <c:strCache>
                <c:ptCount val="1"/>
                <c:pt idx="0">
                  <c:v>Continente</c:v>
                </c:pt>
              </c:strCache>
            </c:strRef>
          </c:cat>
          <c:val>
            <c:numRef>
              <c:f>q4_8_12_16_25_37_Fig_b!$AS$31</c:f>
              <c:numCache>
                <c:formatCode>#,##0</c:formatCode>
                <c:ptCount val="1"/>
                <c:pt idx="0">
                  <c:v>288762.99999999994</c:v>
                </c:pt>
              </c:numCache>
            </c:numRef>
          </c:val>
          <c:extLst>
            <c:ext xmlns:c16="http://schemas.microsoft.com/office/drawing/2014/chart" uri="{C3380CC4-5D6E-409C-BE32-E72D297353CC}">
              <c16:uniqueId val="{00000001-B629-47E5-A72C-F7CE6E8D0124}"/>
            </c:ext>
          </c:extLst>
        </c:ser>
        <c:ser>
          <c:idx val="1"/>
          <c:order val="1"/>
          <c:tx>
            <c:strRef>
              <c:f>q4_8_12_16_25_37_Fig_b!$AT$7</c:f>
              <c:strCache>
                <c:ptCount val="1"/>
                <c:pt idx="0">
                  <c:v>Estabelecimentos</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B629-47E5-A72C-F7CE6E8D0124}"/>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q4_8_12_16_25_37_Fig_b!$AR$31</c:f>
              <c:strCache>
                <c:ptCount val="1"/>
                <c:pt idx="0">
                  <c:v>Continente</c:v>
                </c:pt>
              </c:strCache>
            </c:strRef>
          </c:cat>
          <c:val>
            <c:numRef>
              <c:f>q4_8_12_16_25_37_Fig_b!$AT$31</c:f>
              <c:numCache>
                <c:formatCode>#,##0</c:formatCode>
                <c:ptCount val="1"/>
                <c:pt idx="0">
                  <c:v>338025.99999999988</c:v>
                </c:pt>
              </c:numCache>
            </c:numRef>
          </c:val>
          <c:extLst>
            <c:ext xmlns:c16="http://schemas.microsoft.com/office/drawing/2014/chart" uri="{C3380CC4-5D6E-409C-BE32-E72D297353CC}">
              <c16:uniqueId val="{00000003-B629-47E5-A72C-F7CE6E8D0124}"/>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q4_8_12_16_25_37_Fig_b!$BN$7</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none" lIns="38100" tIns="19050" rIns="38100" bIns="19050" anchor="ctr" anchorCtr="1">
                  <a:noAutofit/>
                </a:bodyPr>
                <a:lstStyle/>
                <a:p>
                  <a:pPr>
                    <a:defRPr sz="6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3017-491D-BF8A-A96DF2506999}"/>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q4_8_12_16_25_37_Fig_b!$BM$31</c:f>
              <c:strCache>
                <c:ptCount val="1"/>
                <c:pt idx="0">
                  <c:v>Continente</c:v>
                </c:pt>
              </c:strCache>
            </c:strRef>
          </c:cat>
          <c:val>
            <c:numRef>
              <c:f>q4_8_12_16_25_37_Fig_b!$BN$31</c:f>
              <c:numCache>
                <c:formatCode>#,##0</c:formatCode>
                <c:ptCount val="1"/>
                <c:pt idx="0">
                  <c:v>3544955.0000000019</c:v>
                </c:pt>
              </c:numCache>
            </c:numRef>
          </c:val>
          <c:extLst>
            <c:ext xmlns:c16="http://schemas.microsoft.com/office/drawing/2014/chart" uri="{C3380CC4-5D6E-409C-BE32-E72D297353CC}">
              <c16:uniqueId val="{00000001-3017-491D-BF8A-A96DF2506999}"/>
            </c:ext>
          </c:extLst>
        </c:ser>
        <c:ser>
          <c:idx val="1"/>
          <c:order val="1"/>
          <c:tx>
            <c:strRef>
              <c:f>q4_8_12_16_25_37_Fig_b!$BO$7</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none" lIns="38100" tIns="19050" rIns="38100" bIns="19050" anchor="ctr" anchorCtr="1">
                  <a:noAutofit/>
                </a:bodyPr>
                <a:lstStyle/>
                <a:p>
                  <a:pPr>
                    <a:defRPr sz="6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3017-491D-BF8A-A96DF2506999}"/>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q4_8_12_16_25_37_Fig_b!$BM$31</c:f>
              <c:strCache>
                <c:ptCount val="1"/>
                <c:pt idx="0">
                  <c:v>Continente</c:v>
                </c:pt>
              </c:strCache>
            </c:strRef>
          </c:cat>
          <c:val>
            <c:numRef>
              <c:f>q4_8_12_16_25_37_Fig_b!$BO$31</c:f>
              <c:numCache>
                <c:formatCode>#,##0</c:formatCode>
                <c:ptCount val="1"/>
                <c:pt idx="0">
                  <c:v>3354135.9999999991</c:v>
                </c:pt>
              </c:numCache>
            </c:numRef>
          </c:val>
          <c:extLst>
            <c:ext xmlns:c16="http://schemas.microsoft.com/office/drawing/2014/chart" uri="{C3380CC4-5D6E-409C-BE32-E72D297353CC}">
              <c16:uniqueId val="{00000003-3017-491D-BF8A-A96DF2506999}"/>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pt-PT" sz="900">
                <a:solidFill>
                  <a:schemeClr val="tx2">
                    <a:lumMod val="75000"/>
                  </a:schemeClr>
                </a:solidFill>
              </a:rPr>
              <a:t>...por dimensão</a:t>
            </a:r>
          </a:p>
        </c:rich>
      </c:tx>
      <c:layout>
        <c:manualLayout>
          <c:xMode val="edge"/>
          <c:yMode val="edge"/>
          <c:x val="0.69405849673202613"/>
          <c:y val="1.9544901065449011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pt-PT"/>
        </a:p>
      </c:txPr>
    </c:title>
    <c:autoTitleDeleted val="0"/>
    <c:plotArea>
      <c:layout>
        <c:manualLayout>
          <c:layoutTarget val="inner"/>
          <c:xMode val="edge"/>
          <c:yMode val="edge"/>
          <c:x val="0.14150043257940922"/>
          <c:y val="0.11372189638318671"/>
          <c:w val="0.81533432208626866"/>
          <c:h val="0.69414711632453563"/>
        </c:manualLayout>
      </c:layout>
      <c:lineChart>
        <c:grouping val="standard"/>
        <c:varyColors val="0"/>
        <c:ser>
          <c:idx val="0"/>
          <c:order val="0"/>
          <c:tx>
            <c:strRef>
              <c:f>q1_q2_q5_q6_Fig!$R$31</c:f>
              <c:strCache>
                <c:ptCount val="1"/>
                <c:pt idx="0">
                  <c:v>Micro (1-9 pessoas)</c:v>
                </c:pt>
              </c:strCache>
            </c:strRef>
          </c:tx>
          <c:spPr>
            <a:ln w="25400" cap="rnd">
              <a:solidFill>
                <a:srgbClr val="3C1692"/>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45CE-43A9-93F2-729F247558C2}"/>
                </c:ext>
              </c:extLst>
            </c:dLbl>
            <c:dLbl>
              <c:idx val="1"/>
              <c:delete val="1"/>
              <c:extLst>
                <c:ext xmlns:c15="http://schemas.microsoft.com/office/drawing/2012/chart" uri="{CE6537A1-D6FC-4f65-9D91-7224C49458BB}"/>
                <c:ext xmlns:c16="http://schemas.microsoft.com/office/drawing/2014/chart" uri="{C3380CC4-5D6E-409C-BE32-E72D297353CC}">
                  <c16:uniqueId val="{00000001-45CE-43A9-93F2-729F247558C2}"/>
                </c:ext>
              </c:extLst>
            </c:dLbl>
            <c:dLbl>
              <c:idx val="2"/>
              <c:delete val="1"/>
              <c:extLst>
                <c:ext xmlns:c15="http://schemas.microsoft.com/office/drawing/2012/chart" uri="{CE6537A1-D6FC-4f65-9D91-7224C49458BB}"/>
                <c:ext xmlns:c16="http://schemas.microsoft.com/office/drawing/2014/chart" uri="{C3380CC4-5D6E-409C-BE32-E72D297353CC}">
                  <c16:uniqueId val="{00000002-45CE-43A9-93F2-729F247558C2}"/>
                </c:ext>
              </c:extLst>
            </c:dLbl>
            <c:dLbl>
              <c:idx val="3"/>
              <c:layout>
                <c:manualLayout>
                  <c:x val="0.22531828099800777"/>
                  <c:y val="0.10212761394868422"/>
                </c:manualLayout>
              </c:layout>
              <c:tx>
                <c:rich>
                  <a:bodyPr/>
                  <a:lstStyle/>
                  <a:p>
                    <a:fld id="{7AE942E9-FA11-48D9-B659-61D94B19015C}" type="SERIESNAME">
                      <a:rPr lang="en-US">
                        <a:solidFill>
                          <a:srgbClr val="3C1692"/>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5CE-43A9-93F2-729F247558C2}"/>
                </c:ext>
              </c:extLst>
            </c:dLbl>
            <c:dLbl>
              <c:idx val="4"/>
              <c:delete val="1"/>
              <c:extLst>
                <c:ext xmlns:c15="http://schemas.microsoft.com/office/drawing/2012/chart" uri="{CE6537A1-D6FC-4f65-9D91-7224C49458BB}"/>
                <c:ext xmlns:c16="http://schemas.microsoft.com/office/drawing/2014/chart" uri="{C3380CC4-5D6E-409C-BE32-E72D297353CC}">
                  <c16:uniqueId val="{00000004-45CE-43A9-93F2-729F247558C2}"/>
                </c:ext>
              </c:extLst>
            </c:dLbl>
            <c:dLbl>
              <c:idx val="5"/>
              <c:delete val="1"/>
              <c:extLst>
                <c:ext xmlns:c15="http://schemas.microsoft.com/office/drawing/2012/chart" uri="{CE6537A1-D6FC-4f65-9D91-7224C49458BB}"/>
                <c:ext xmlns:c16="http://schemas.microsoft.com/office/drawing/2014/chart" uri="{C3380CC4-5D6E-409C-BE32-E72D297353CC}">
                  <c16:uniqueId val="{00000005-45CE-43A9-93F2-729F247558C2}"/>
                </c:ext>
              </c:extLst>
            </c:dLbl>
            <c:dLbl>
              <c:idx val="6"/>
              <c:delete val="1"/>
              <c:extLst>
                <c:ext xmlns:c15="http://schemas.microsoft.com/office/drawing/2012/chart" uri="{CE6537A1-D6FC-4f65-9D91-7224C49458BB}"/>
                <c:ext xmlns:c16="http://schemas.microsoft.com/office/drawing/2014/chart" uri="{C3380CC4-5D6E-409C-BE32-E72D297353CC}">
                  <c16:uniqueId val="{00000006-45CE-43A9-93F2-729F247558C2}"/>
                </c:ext>
              </c:extLst>
            </c:dLbl>
            <c:dLbl>
              <c:idx val="7"/>
              <c:delete val="1"/>
              <c:extLst>
                <c:ext xmlns:c15="http://schemas.microsoft.com/office/drawing/2012/chart" uri="{CE6537A1-D6FC-4f65-9D91-7224C49458BB}"/>
                <c:ext xmlns:c16="http://schemas.microsoft.com/office/drawing/2014/chart" uri="{C3380CC4-5D6E-409C-BE32-E72D297353CC}">
                  <c16:uniqueId val="{00000007-45CE-43A9-93F2-729F247558C2}"/>
                </c:ext>
              </c:extLst>
            </c:dLbl>
            <c:dLbl>
              <c:idx val="8"/>
              <c:delete val="1"/>
              <c:extLst>
                <c:ext xmlns:c15="http://schemas.microsoft.com/office/drawing/2012/chart" uri="{CE6537A1-D6FC-4f65-9D91-7224C49458BB}"/>
                <c:ext xmlns:c16="http://schemas.microsoft.com/office/drawing/2014/chart" uri="{C3380CC4-5D6E-409C-BE32-E72D297353CC}">
                  <c16:uniqueId val="{00000008-45CE-43A9-93F2-729F247558C2}"/>
                </c:ext>
              </c:extLst>
            </c:dLbl>
            <c:dLbl>
              <c:idx val="9"/>
              <c:delete val="1"/>
              <c:extLst>
                <c:ext xmlns:c15="http://schemas.microsoft.com/office/drawing/2012/chart" uri="{CE6537A1-D6FC-4f65-9D91-7224C49458BB}"/>
                <c:ext xmlns:c16="http://schemas.microsoft.com/office/drawing/2014/chart" uri="{C3380CC4-5D6E-409C-BE32-E72D297353CC}">
                  <c16:uniqueId val="{00000009-45CE-43A9-93F2-729F247558C2}"/>
                </c:ext>
              </c:extLst>
            </c:dLbl>
            <c:dLbl>
              <c:idx val="10"/>
              <c:delete val="1"/>
              <c:extLst>
                <c:ext xmlns:c15="http://schemas.microsoft.com/office/drawing/2012/chart" uri="{CE6537A1-D6FC-4f65-9D91-7224C49458BB}"/>
                <c:ext xmlns:c16="http://schemas.microsoft.com/office/drawing/2014/chart" uri="{C3380CC4-5D6E-409C-BE32-E72D297353CC}">
                  <c16:uniqueId val="{0000000A-45CE-43A9-93F2-729F247558C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3C1692"/>
                      </a:solidFill>
                    </a:ln>
                    <a:effectLst/>
                  </c:spPr>
                </c15:leaderLines>
              </c:ext>
            </c:extLst>
          </c:dLbls>
          <c:cat>
            <c:numRef>
              <c:f>q1_q2_q5_q6_Fig!$S$30:$AC$30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q1_q2_q5_q6_Fig!$S$31:$AC$31</c:f>
              <c:numCache>
                <c:formatCode>General</c:formatCode>
                <c:ptCount val="11"/>
                <c:pt idx="0">
                  <c:v>229780</c:v>
                </c:pt>
                <c:pt idx="1">
                  <c:v>231213</c:v>
                </c:pt>
                <c:pt idx="2">
                  <c:v>233164</c:v>
                </c:pt>
                <c:pt idx="3">
                  <c:v>233903</c:v>
                </c:pt>
                <c:pt idx="4">
                  <c:v>235072</c:v>
                </c:pt>
                <c:pt idx="5">
                  <c:v>227861</c:v>
                </c:pt>
                <c:pt idx="6">
                  <c:v>230234</c:v>
                </c:pt>
                <c:pt idx="7">
                  <c:v>224289</c:v>
                </c:pt>
                <c:pt idx="8">
                  <c:v>233788</c:v>
                </c:pt>
                <c:pt idx="9">
                  <c:v>237708</c:v>
                </c:pt>
                <c:pt idx="10">
                  <c:v>234618</c:v>
                </c:pt>
              </c:numCache>
            </c:numRef>
          </c:val>
          <c:smooth val="0"/>
          <c:extLst>
            <c:ext xmlns:c16="http://schemas.microsoft.com/office/drawing/2014/chart" uri="{C3380CC4-5D6E-409C-BE32-E72D297353CC}">
              <c16:uniqueId val="{0000000B-45CE-43A9-93F2-729F247558C2}"/>
            </c:ext>
          </c:extLst>
        </c:ser>
        <c:ser>
          <c:idx val="1"/>
          <c:order val="1"/>
          <c:tx>
            <c:strRef>
              <c:f>q1_q2_q5_q6_Fig!$R$32</c:f>
              <c:strCache>
                <c:ptCount val="1"/>
                <c:pt idx="0">
                  <c:v>Pequenas (10 - 49 pessoas)</c:v>
                </c:pt>
              </c:strCache>
            </c:strRef>
          </c:tx>
          <c:spPr>
            <a:ln w="25400" cap="rnd">
              <a:solidFill>
                <a:srgbClr val="1403EB"/>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C-45CE-43A9-93F2-729F247558C2}"/>
                </c:ext>
              </c:extLst>
            </c:dLbl>
            <c:dLbl>
              <c:idx val="1"/>
              <c:delete val="1"/>
              <c:extLst>
                <c:ext xmlns:c15="http://schemas.microsoft.com/office/drawing/2012/chart" uri="{CE6537A1-D6FC-4f65-9D91-7224C49458BB}"/>
                <c:ext xmlns:c16="http://schemas.microsoft.com/office/drawing/2014/chart" uri="{C3380CC4-5D6E-409C-BE32-E72D297353CC}">
                  <c16:uniqueId val="{0000000D-45CE-43A9-93F2-729F247558C2}"/>
                </c:ext>
              </c:extLst>
            </c:dLbl>
            <c:dLbl>
              <c:idx val="2"/>
              <c:delete val="1"/>
              <c:extLst>
                <c:ext xmlns:c15="http://schemas.microsoft.com/office/drawing/2012/chart" uri="{CE6537A1-D6FC-4f65-9D91-7224C49458BB}"/>
                <c:ext xmlns:c16="http://schemas.microsoft.com/office/drawing/2014/chart" uri="{C3380CC4-5D6E-409C-BE32-E72D297353CC}">
                  <c16:uniqueId val="{0000000E-45CE-43A9-93F2-729F247558C2}"/>
                </c:ext>
              </c:extLst>
            </c:dLbl>
            <c:dLbl>
              <c:idx val="3"/>
              <c:layout>
                <c:manualLayout>
                  <c:x val="5.0748505834361066E-2"/>
                  <c:y val="-0.17021268991447372"/>
                </c:manualLayout>
              </c:layout>
              <c:tx>
                <c:rich>
                  <a:bodyPr/>
                  <a:lstStyle/>
                  <a:p>
                    <a:fld id="{FF27E1B3-1137-4F82-AAC9-A7D282C22438}" type="SERIESNAME">
                      <a:rPr lang="en-US">
                        <a:solidFill>
                          <a:srgbClr val="1403EB"/>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45CE-43A9-93F2-729F247558C2}"/>
                </c:ext>
              </c:extLst>
            </c:dLbl>
            <c:dLbl>
              <c:idx val="4"/>
              <c:delete val="1"/>
              <c:extLst>
                <c:ext xmlns:c15="http://schemas.microsoft.com/office/drawing/2012/chart" uri="{CE6537A1-D6FC-4f65-9D91-7224C49458BB}"/>
                <c:ext xmlns:c16="http://schemas.microsoft.com/office/drawing/2014/chart" uri="{C3380CC4-5D6E-409C-BE32-E72D297353CC}">
                  <c16:uniqueId val="{00000010-45CE-43A9-93F2-729F247558C2}"/>
                </c:ext>
              </c:extLst>
            </c:dLbl>
            <c:dLbl>
              <c:idx val="5"/>
              <c:delete val="1"/>
              <c:extLst>
                <c:ext xmlns:c15="http://schemas.microsoft.com/office/drawing/2012/chart" uri="{CE6537A1-D6FC-4f65-9D91-7224C49458BB}"/>
                <c:ext xmlns:c16="http://schemas.microsoft.com/office/drawing/2014/chart" uri="{C3380CC4-5D6E-409C-BE32-E72D297353CC}">
                  <c16:uniqueId val="{00000011-45CE-43A9-93F2-729F247558C2}"/>
                </c:ext>
              </c:extLst>
            </c:dLbl>
            <c:dLbl>
              <c:idx val="6"/>
              <c:delete val="1"/>
              <c:extLst>
                <c:ext xmlns:c15="http://schemas.microsoft.com/office/drawing/2012/chart" uri="{CE6537A1-D6FC-4f65-9D91-7224C49458BB}"/>
                <c:ext xmlns:c16="http://schemas.microsoft.com/office/drawing/2014/chart" uri="{C3380CC4-5D6E-409C-BE32-E72D297353CC}">
                  <c16:uniqueId val="{00000012-45CE-43A9-93F2-729F247558C2}"/>
                </c:ext>
              </c:extLst>
            </c:dLbl>
            <c:dLbl>
              <c:idx val="7"/>
              <c:delete val="1"/>
              <c:extLst>
                <c:ext xmlns:c15="http://schemas.microsoft.com/office/drawing/2012/chart" uri="{CE6537A1-D6FC-4f65-9D91-7224C49458BB}"/>
                <c:ext xmlns:c16="http://schemas.microsoft.com/office/drawing/2014/chart" uri="{C3380CC4-5D6E-409C-BE32-E72D297353CC}">
                  <c16:uniqueId val="{00000013-45CE-43A9-93F2-729F247558C2}"/>
                </c:ext>
              </c:extLst>
            </c:dLbl>
            <c:dLbl>
              <c:idx val="8"/>
              <c:delete val="1"/>
              <c:extLst>
                <c:ext xmlns:c15="http://schemas.microsoft.com/office/drawing/2012/chart" uri="{CE6537A1-D6FC-4f65-9D91-7224C49458BB}"/>
                <c:ext xmlns:c16="http://schemas.microsoft.com/office/drawing/2014/chart" uri="{C3380CC4-5D6E-409C-BE32-E72D297353CC}">
                  <c16:uniqueId val="{00000014-45CE-43A9-93F2-729F247558C2}"/>
                </c:ext>
              </c:extLst>
            </c:dLbl>
            <c:dLbl>
              <c:idx val="9"/>
              <c:delete val="1"/>
              <c:extLst>
                <c:ext xmlns:c15="http://schemas.microsoft.com/office/drawing/2012/chart" uri="{CE6537A1-D6FC-4f65-9D91-7224C49458BB}"/>
                <c:ext xmlns:c16="http://schemas.microsoft.com/office/drawing/2014/chart" uri="{C3380CC4-5D6E-409C-BE32-E72D297353CC}">
                  <c16:uniqueId val="{00000015-45CE-43A9-93F2-729F247558C2}"/>
                </c:ext>
              </c:extLst>
            </c:dLbl>
            <c:dLbl>
              <c:idx val="10"/>
              <c:delete val="1"/>
              <c:extLst>
                <c:ext xmlns:c15="http://schemas.microsoft.com/office/drawing/2012/chart" uri="{CE6537A1-D6FC-4f65-9D91-7224C49458BB}"/>
                <c:ext xmlns:c16="http://schemas.microsoft.com/office/drawing/2014/chart" uri="{C3380CC4-5D6E-409C-BE32-E72D297353CC}">
                  <c16:uniqueId val="{00000016-45CE-43A9-93F2-729F247558C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1403EB"/>
                      </a:solidFill>
                    </a:ln>
                    <a:effectLst/>
                  </c:spPr>
                </c15:leaderLines>
              </c:ext>
            </c:extLst>
          </c:dLbls>
          <c:cat>
            <c:numRef>
              <c:f>q1_q2_q5_q6_Fig!$S$30:$AC$30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q1_q2_q5_q6_Fig!$S$32:$AC$32</c:f>
              <c:numCache>
                <c:formatCode>General</c:formatCode>
                <c:ptCount val="11"/>
                <c:pt idx="0">
                  <c:v>33792</c:v>
                </c:pt>
                <c:pt idx="1">
                  <c:v>34986</c:v>
                </c:pt>
                <c:pt idx="2">
                  <c:v>35995</c:v>
                </c:pt>
                <c:pt idx="3">
                  <c:v>37757</c:v>
                </c:pt>
                <c:pt idx="4">
                  <c:v>39285</c:v>
                </c:pt>
                <c:pt idx="5">
                  <c:v>39814</c:v>
                </c:pt>
                <c:pt idx="6">
                  <c:v>39436</c:v>
                </c:pt>
                <c:pt idx="7">
                  <c:v>39403</c:v>
                </c:pt>
                <c:pt idx="8">
                  <c:v>42196</c:v>
                </c:pt>
                <c:pt idx="9">
                  <c:v>44179</c:v>
                </c:pt>
                <c:pt idx="10">
                  <c:v>44619</c:v>
                </c:pt>
              </c:numCache>
            </c:numRef>
          </c:val>
          <c:smooth val="0"/>
          <c:extLst>
            <c:ext xmlns:c16="http://schemas.microsoft.com/office/drawing/2014/chart" uri="{C3380CC4-5D6E-409C-BE32-E72D297353CC}">
              <c16:uniqueId val="{00000017-45CE-43A9-93F2-729F247558C2}"/>
            </c:ext>
          </c:extLst>
        </c:ser>
        <c:ser>
          <c:idx val="2"/>
          <c:order val="2"/>
          <c:tx>
            <c:strRef>
              <c:f>q1_q2_q5_q6_Fig!$R$33</c:f>
              <c:strCache>
                <c:ptCount val="1"/>
                <c:pt idx="0">
                  <c:v>Médias (50 - 249 pessoas)</c:v>
                </c:pt>
              </c:strCache>
            </c:strRef>
          </c:tx>
          <c:spPr>
            <a:ln w="25400" cap="rnd">
              <a:solidFill>
                <a:schemeClr val="tx2">
                  <a:lumMod val="60000"/>
                  <a:lumOff val="40000"/>
                </a:schemeClr>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8-45CE-43A9-93F2-729F247558C2}"/>
                </c:ext>
              </c:extLst>
            </c:dLbl>
            <c:dLbl>
              <c:idx val="1"/>
              <c:delete val="1"/>
              <c:extLst>
                <c:ext xmlns:c15="http://schemas.microsoft.com/office/drawing/2012/chart" uri="{CE6537A1-D6FC-4f65-9D91-7224C49458BB}"/>
                <c:ext xmlns:c16="http://schemas.microsoft.com/office/drawing/2014/chart" uri="{C3380CC4-5D6E-409C-BE32-E72D297353CC}">
                  <c16:uniqueId val="{00000019-45CE-43A9-93F2-729F247558C2}"/>
                </c:ext>
              </c:extLst>
            </c:dLbl>
            <c:dLbl>
              <c:idx val="2"/>
              <c:layout>
                <c:manualLayout>
                  <c:x val="-0.18290891349424698"/>
                  <c:y val="-0.20992898422785092"/>
                </c:manualLayout>
              </c:layout>
              <c:tx>
                <c:rich>
                  <a:bodyPr/>
                  <a:lstStyle/>
                  <a:p>
                    <a:fld id="{BBF6D15E-DC9B-4ED3-B3CB-790E242BBF83}" type="SERIESNAME">
                      <a:rPr lang="en-US">
                        <a:solidFill>
                          <a:srgbClr val="558ED5"/>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45CE-43A9-93F2-729F247558C2}"/>
                </c:ext>
              </c:extLst>
            </c:dLbl>
            <c:dLbl>
              <c:idx val="3"/>
              <c:delete val="1"/>
              <c:extLst>
                <c:ext xmlns:c15="http://schemas.microsoft.com/office/drawing/2012/chart" uri="{CE6537A1-D6FC-4f65-9D91-7224C49458BB}"/>
                <c:ext xmlns:c16="http://schemas.microsoft.com/office/drawing/2014/chart" uri="{C3380CC4-5D6E-409C-BE32-E72D297353CC}">
                  <c16:uniqueId val="{0000001B-45CE-43A9-93F2-729F247558C2}"/>
                </c:ext>
              </c:extLst>
            </c:dLbl>
            <c:dLbl>
              <c:idx val="4"/>
              <c:delete val="1"/>
              <c:extLst>
                <c:ext xmlns:c15="http://schemas.microsoft.com/office/drawing/2012/chart" uri="{CE6537A1-D6FC-4f65-9D91-7224C49458BB}"/>
                <c:ext xmlns:c16="http://schemas.microsoft.com/office/drawing/2014/chart" uri="{C3380CC4-5D6E-409C-BE32-E72D297353CC}">
                  <c16:uniqueId val="{0000001C-45CE-43A9-93F2-729F247558C2}"/>
                </c:ext>
              </c:extLst>
            </c:dLbl>
            <c:dLbl>
              <c:idx val="5"/>
              <c:delete val="1"/>
              <c:extLst>
                <c:ext xmlns:c15="http://schemas.microsoft.com/office/drawing/2012/chart" uri="{CE6537A1-D6FC-4f65-9D91-7224C49458BB}"/>
                <c:ext xmlns:c16="http://schemas.microsoft.com/office/drawing/2014/chart" uri="{C3380CC4-5D6E-409C-BE32-E72D297353CC}">
                  <c16:uniqueId val="{0000001D-45CE-43A9-93F2-729F247558C2}"/>
                </c:ext>
              </c:extLst>
            </c:dLbl>
            <c:dLbl>
              <c:idx val="6"/>
              <c:delete val="1"/>
              <c:extLst>
                <c:ext xmlns:c15="http://schemas.microsoft.com/office/drawing/2012/chart" uri="{CE6537A1-D6FC-4f65-9D91-7224C49458BB}"/>
                <c:ext xmlns:c16="http://schemas.microsoft.com/office/drawing/2014/chart" uri="{C3380CC4-5D6E-409C-BE32-E72D297353CC}">
                  <c16:uniqueId val="{0000001E-45CE-43A9-93F2-729F247558C2}"/>
                </c:ext>
              </c:extLst>
            </c:dLbl>
            <c:dLbl>
              <c:idx val="7"/>
              <c:delete val="1"/>
              <c:extLst>
                <c:ext xmlns:c15="http://schemas.microsoft.com/office/drawing/2012/chart" uri="{CE6537A1-D6FC-4f65-9D91-7224C49458BB}"/>
                <c:ext xmlns:c16="http://schemas.microsoft.com/office/drawing/2014/chart" uri="{C3380CC4-5D6E-409C-BE32-E72D297353CC}">
                  <c16:uniqueId val="{0000001F-45CE-43A9-93F2-729F247558C2}"/>
                </c:ext>
              </c:extLst>
            </c:dLbl>
            <c:dLbl>
              <c:idx val="8"/>
              <c:delete val="1"/>
              <c:extLst>
                <c:ext xmlns:c15="http://schemas.microsoft.com/office/drawing/2012/chart" uri="{CE6537A1-D6FC-4f65-9D91-7224C49458BB}"/>
                <c:ext xmlns:c16="http://schemas.microsoft.com/office/drawing/2014/chart" uri="{C3380CC4-5D6E-409C-BE32-E72D297353CC}">
                  <c16:uniqueId val="{00000020-45CE-43A9-93F2-729F247558C2}"/>
                </c:ext>
              </c:extLst>
            </c:dLbl>
            <c:dLbl>
              <c:idx val="9"/>
              <c:delete val="1"/>
              <c:extLst>
                <c:ext xmlns:c15="http://schemas.microsoft.com/office/drawing/2012/chart" uri="{CE6537A1-D6FC-4f65-9D91-7224C49458BB}"/>
                <c:ext xmlns:c16="http://schemas.microsoft.com/office/drawing/2014/chart" uri="{C3380CC4-5D6E-409C-BE32-E72D297353CC}">
                  <c16:uniqueId val="{00000021-45CE-43A9-93F2-729F247558C2}"/>
                </c:ext>
              </c:extLst>
            </c:dLbl>
            <c:dLbl>
              <c:idx val="10"/>
              <c:delete val="1"/>
              <c:extLst>
                <c:ext xmlns:c15="http://schemas.microsoft.com/office/drawing/2012/chart" uri="{CE6537A1-D6FC-4f65-9D91-7224C49458BB}"/>
                <c:ext xmlns:c16="http://schemas.microsoft.com/office/drawing/2014/chart" uri="{C3380CC4-5D6E-409C-BE32-E72D297353CC}">
                  <c16:uniqueId val="{00000022-45CE-43A9-93F2-729F247558C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558ED5"/>
                      </a:solidFill>
                    </a:ln>
                    <a:effectLst/>
                  </c:spPr>
                </c15:leaderLines>
              </c:ext>
            </c:extLst>
          </c:dLbls>
          <c:cat>
            <c:numRef>
              <c:f>q1_q2_q5_q6_Fig!$S$30:$AC$30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q1_q2_q5_q6_Fig!$S$33:$AC$33</c:f>
              <c:numCache>
                <c:formatCode>General</c:formatCode>
                <c:ptCount val="11"/>
                <c:pt idx="0">
                  <c:v>5763</c:v>
                </c:pt>
                <c:pt idx="1">
                  <c:v>5976</c:v>
                </c:pt>
                <c:pt idx="2">
                  <c:v>6231</c:v>
                </c:pt>
                <c:pt idx="3">
                  <c:v>6533</c:v>
                </c:pt>
                <c:pt idx="4">
                  <c:v>6824</c:v>
                </c:pt>
                <c:pt idx="5">
                  <c:v>6978</c:v>
                </c:pt>
                <c:pt idx="6">
                  <c:v>6898</c:v>
                </c:pt>
                <c:pt idx="7">
                  <c:v>7034</c:v>
                </c:pt>
                <c:pt idx="8">
                  <c:v>7691</c:v>
                </c:pt>
                <c:pt idx="9">
                  <c:v>8089</c:v>
                </c:pt>
                <c:pt idx="10">
                  <c:v>8207</c:v>
                </c:pt>
              </c:numCache>
            </c:numRef>
          </c:val>
          <c:smooth val="0"/>
          <c:extLst>
            <c:ext xmlns:c16="http://schemas.microsoft.com/office/drawing/2014/chart" uri="{C3380CC4-5D6E-409C-BE32-E72D297353CC}">
              <c16:uniqueId val="{00000023-45CE-43A9-93F2-729F247558C2}"/>
            </c:ext>
          </c:extLst>
        </c:ser>
        <c:ser>
          <c:idx val="3"/>
          <c:order val="3"/>
          <c:tx>
            <c:strRef>
              <c:f>q1_q2_q5_q6_Fig!$R$34</c:f>
              <c:strCache>
                <c:ptCount val="1"/>
                <c:pt idx="0">
                  <c:v>Grandes (250 ou + pessoas)</c:v>
                </c:pt>
              </c:strCache>
            </c:strRef>
          </c:tx>
          <c:spPr>
            <a:ln w="25400" cap="rnd">
              <a:solidFill>
                <a:srgbClr val="B6C3FF"/>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4-45CE-43A9-93F2-729F247558C2}"/>
                </c:ext>
              </c:extLst>
            </c:dLbl>
            <c:dLbl>
              <c:idx val="1"/>
              <c:delete val="1"/>
              <c:extLst>
                <c:ext xmlns:c15="http://schemas.microsoft.com/office/drawing/2012/chart" uri="{CE6537A1-D6FC-4f65-9D91-7224C49458BB}"/>
                <c:ext xmlns:c16="http://schemas.microsoft.com/office/drawing/2014/chart" uri="{C3380CC4-5D6E-409C-BE32-E72D297353CC}">
                  <c16:uniqueId val="{00000025-45CE-43A9-93F2-729F247558C2}"/>
                </c:ext>
              </c:extLst>
            </c:dLbl>
            <c:dLbl>
              <c:idx val="2"/>
              <c:delete val="1"/>
              <c:extLst>
                <c:ext xmlns:c15="http://schemas.microsoft.com/office/drawing/2012/chart" uri="{CE6537A1-D6FC-4f65-9D91-7224C49458BB}"/>
                <c:ext xmlns:c16="http://schemas.microsoft.com/office/drawing/2014/chart" uri="{C3380CC4-5D6E-409C-BE32-E72D297353CC}">
                  <c16:uniqueId val="{00000026-45CE-43A9-93F2-729F247558C2}"/>
                </c:ext>
              </c:extLst>
            </c:dLbl>
            <c:dLbl>
              <c:idx val="3"/>
              <c:delete val="1"/>
              <c:extLst>
                <c:ext xmlns:c15="http://schemas.microsoft.com/office/drawing/2012/chart" uri="{CE6537A1-D6FC-4f65-9D91-7224C49458BB}"/>
                <c:ext xmlns:c16="http://schemas.microsoft.com/office/drawing/2014/chart" uri="{C3380CC4-5D6E-409C-BE32-E72D297353CC}">
                  <c16:uniqueId val="{00000027-45CE-43A9-93F2-729F247558C2}"/>
                </c:ext>
              </c:extLst>
            </c:dLbl>
            <c:dLbl>
              <c:idx val="4"/>
              <c:delete val="1"/>
              <c:extLst>
                <c:ext xmlns:c15="http://schemas.microsoft.com/office/drawing/2012/chart" uri="{CE6537A1-D6FC-4f65-9D91-7224C49458BB}"/>
                <c:ext xmlns:c16="http://schemas.microsoft.com/office/drawing/2014/chart" uri="{C3380CC4-5D6E-409C-BE32-E72D297353CC}">
                  <c16:uniqueId val="{00000028-45CE-43A9-93F2-729F247558C2}"/>
                </c:ext>
              </c:extLst>
            </c:dLbl>
            <c:dLbl>
              <c:idx val="5"/>
              <c:delete val="1"/>
              <c:extLst>
                <c:ext xmlns:c15="http://schemas.microsoft.com/office/drawing/2012/chart" uri="{CE6537A1-D6FC-4f65-9D91-7224C49458BB}"/>
                <c:ext xmlns:c16="http://schemas.microsoft.com/office/drawing/2014/chart" uri="{C3380CC4-5D6E-409C-BE32-E72D297353CC}">
                  <c16:uniqueId val="{00000029-45CE-43A9-93F2-729F247558C2}"/>
                </c:ext>
              </c:extLst>
            </c:dLbl>
            <c:dLbl>
              <c:idx val="6"/>
              <c:delete val="1"/>
              <c:extLst>
                <c:ext xmlns:c15="http://schemas.microsoft.com/office/drawing/2012/chart" uri="{CE6537A1-D6FC-4f65-9D91-7224C49458BB}"/>
                <c:ext xmlns:c16="http://schemas.microsoft.com/office/drawing/2014/chart" uri="{C3380CC4-5D6E-409C-BE32-E72D297353CC}">
                  <c16:uniqueId val="{0000002A-45CE-43A9-93F2-729F247558C2}"/>
                </c:ext>
              </c:extLst>
            </c:dLbl>
            <c:dLbl>
              <c:idx val="7"/>
              <c:delete val="1"/>
              <c:extLst>
                <c:ext xmlns:c15="http://schemas.microsoft.com/office/drawing/2012/chart" uri="{CE6537A1-D6FC-4f65-9D91-7224C49458BB}"/>
                <c:ext xmlns:c16="http://schemas.microsoft.com/office/drawing/2014/chart" uri="{C3380CC4-5D6E-409C-BE32-E72D297353CC}">
                  <c16:uniqueId val="{0000002B-45CE-43A9-93F2-729F247558C2}"/>
                </c:ext>
              </c:extLst>
            </c:dLbl>
            <c:dLbl>
              <c:idx val="8"/>
              <c:layout>
                <c:manualLayout>
                  <c:x val="-1.1325301204819277E-2"/>
                  <c:y val="-0.19858147156688605"/>
                </c:manualLayout>
              </c:layout>
              <c:tx>
                <c:rich>
                  <a:bodyPr/>
                  <a:lstStyle/>
                  <a:p>
                    <a:fld id="{47492D47-E9A8-4AC7-B31C-7C4B0314522E}" type="SERIESNAME">
                      <a:rPr lang="en-US">
                        <a:solidFill>
                          <a:srgbClr val="B6C3FF"/>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C-45CE-43A9-93F2-729F247558C2}"/>
                </c:ext>
              </c:extLst>
            </c:dLbl>
            <c:dLbl>
              <c:idx val="9"/>
              <c:delete val="1"/>
              <c:extLst>
                <c:ext xmlns:c15="http://schemas.microsoft.com/office/drawing/2012/chart" uri="{CE6537A1-D6FC-4f65-9D91-7224C49458BB}"/>
                <c:ext xmlns:c16="http://schemas.microsoft.com/office/drawing/2014/chart" uri="{C3380CC4-5D6E-409C-BE32-E72D297353CC}">
                  <c16:uniqueId val="{0000002D-45CE-43A9-93F2-729F247558C2}"/>
                </c:ext>
              </c:extLst>
            </c:dLbl>
            <c:dLbl>
              <c:idx val="10"/>
              <c:delete val="1"/>
              <c:extLst>
                <c:ext xmlns:c15="http://schemas.microsoft.com/office/drawing/2012/chart" uri="{CE6537A1-D6FC-4f65-9D91-7224C49458BB}"/>
                <c:ext xmlns:c16="http://schemas.microsoft.com/office/drawing/2014/chart" uri="{C3380CC4-5D6E-409C-BE32-E72D297353CC}">
                  <c16:uniqueId val="{0000002E-45CE-43A9-93F2-729F247558C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B6C3FF"/>
                      </a:solidFill>
                    </a:ln>
                    <a:effectLst/>
                  </c:spPr>
                </c15:leaderLines>
              </c:ext>
            </c:extLst>
          </c:dLbls>
          <c:cat>
            <c:numRef>
              <c:f>q1_q2_q5_q6_Fig!$S$30:$AC$30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q1_q2_q5_q6_Fig!$S$34:$AC$34</c:f>
              <c:numCache>
                <c:formatCode>General</c:formatCode>
                <c:ptCount val="11"/>
                <c:pt idx="0">
                  <c:v>846</c:v>
                </c:pt>
                <c:pt idx="1">
                  <c:v>885</c:v>
                </c:pt>
                <c:pt idx="2">
                  <c:v>942</c:v>
                </c:pt>
                <c:pt idx="3">
                  <c:v>998</c:v>
                </c:pt>
                <c:pt idx="4">
                  <c:v>1055</c:v>
                </c:pt>
                <c:pt idx="5">
                  <c:v>1098</c:v>
                </c:pt>
                <c:pt idx="6">
                  <c:v>1073</c:v>
                </c:pt>
                <c:pt idx="7">
                  <c:v>1080</c:v>
                </c:pt>
                <c:pt idx="8">
                  <c:v>1185</c:v>
                </c:pt>
                <c:pt idx="9">
                  <c:v>1276</c:v>
                </c:pt>
                <c:pt idx="10">
                  <c:v>1319</c:v>
                </c:pt>
              </c:numCache>
            </c:numRef>
          </c:val>
          <c:smooth val="0"/>
          <c:extLst>
            <c:ext xmlns:c16="http://schemas.microsoft.com/office/drawing/2014/chart" uri="{C3380CC4-5D6E-409C-BE32-E72D297353CC}">
              <c16:uniqueId val="{0000002F-45CE-43A9-93F2-729F247558C2}"/>
            </c:ext>
          </c:extLst>
        </c:ser>
        <c:dLbls>
          <c:dLblPos val="ctr"/>
          <c:showLegendKey val="0"/>
          <c:showVal val="1"/>
          <c:showCatName val="0"/>
          <c:showSerName val="0"/>
          <c:showPercent val="0"/>
          <c:showBubbleSize val="0"/>
        </c:dLbls>
        <c:smooth val="0"/>
        <c:axId val="1734530655"/>
        <c:axId val="1715689631"/>
      </c:lineChart>
      <c:catAx>
        <c:axId val="1734530655"/>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715689631"/>
        <c:crosses val="autoZero"/>
        <c:auto val="1"/>
        <c:lblAlgn val="ctr"/>
        <c:lblOffset val="100"/>
        <c:tickMarkSkip val="1"/>
        <c:noMultiLvlLbl val="0"/>
      </c:catAx>
      <c:valAx>
        <c:axId val="1715689631"/>
        <c:scaling>
          <c:orientation val="minMax"/>
          <c:max val="300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1734530655"/>
        <c:crosses val="autoZero"/>
        <c:crossBetween val="between"/>
        <c:majorUnit val="5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q3_q7_q11_q15_q24_q36_Fig!$AM$19</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7405-4242-AEE5-30A70FEF1A5F}"/>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q3_q7_q11_q15_q24_q36_Fig!$AL$38</c:f>
              <c:strCache>
                <c:ptCount val="1"/>
                <c:pt idx="0">
                  <c:v>Continente</c:v>
                </c:pt>
              </c:strCache>
            </c:strRef>
          </c:cat>
          <c:val>
            <c:numRef>
              <c:f>q3_q7_q11_q15_q24_q36_Fig!$AM$38</c:f>
              <c:numCache>
                <c:formatCode>#,##0</c:formatCode>
                <c:ptCount val="1"/>
                <c:pt idx="0">
                  <c:v>288763</c:v>
                </c:pt>
              </c:numCache>
            </c:numRef>
          </c:val>
          <c:extLst>
            <c:ext xmlns:c16="http://schemas.microsoft.com/office/drawing/2014/chart" uri="{C3380CC4-5D6E-409C-BE32-E72D297353CC}">
              <c16:uniqueId val="{00000001-7405-4242-AEE5-30A70FEF1A5F}"/>
            </c:ext>
          </c:extLst>
        </c:ser>
        <c:ser>
          <c:idx val="1"/>
          <c:order val="1"/>
          <c:tx>
            <c:strRef>
              <c:f>q3_q7_q11_q15_q24_q36_Fig!$AN$19</c:f>
              <c:strCache>
                <c:ptCount val="1"/>
                <c:pt idx="0">
                  <c:v>Estabele-
cimentos</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layout>
                <c:manualLayout>
                  <c:x val="-0.27755375896839896"/>
                  <c:y val="-2.3825651321406124E-2"/>
                </c:manualLayout>
              </c:layout>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42735770805868761"/>
                      <c:h val="0.47873272602752576"/>
                    </c:manualLayout>
                  </c15:layout>
                </c:ext>
                <c:ext xmlns:c16="http://schemas.microsoft.com/office/drawing/2014/chart" uri="{C3380CC4-5D6E-409C-BE32-E72D297353CC}">
                  <c16:uniqueId val="{00000002-7405-4242-AEE5-30A70FEF1A5F}"/>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q3_q7_q11_q15_q24_q36_Fig!$AL$38</c:f>
              <c:strCache>
                <c:ptCount val="1"/>
                <c:pt idx="0">
                  <c:v>Continente</c:v>
                </c:pt>
              </c:strCache>
            </c:strRef>
          </c:cat>
          <c:val>
            <c:numRef>
              <c:f>q3_q7_q11_q15_q24_q36_Fig!$AN$38</c:f>
              <c:numCache>
                <c:formatCode>#,##0</c:formatCode>
                <c:ptCount val="1"/>
                <c:pt idx="0">
                  <c:v>338026</c:v>
                </c:pt>
              </c:numCache>
            </c:numRef>
          </c:val>
          <c:extLst>
            <c:ext xmlns:c16="http://schemas.microsoft.com/office/drawing/2014/chart" uri="{C3380CC4-5D6E-409C-BE32-E72D297353CC}">
              <c16:uniqueId val="{00000003-7405-4242-AEE5-30A70FEF1A5F}"/>
            </c:ext>
          </c:extLst>
        </c:ser>
        <c:dLbls>
          <c:dLblPos val="inEnd"/>
          <c:showLegendKey val="0"/>
          <c:showVal val="1"/>
          <c:showCatName val="0"/>
          <c:showSerName val="0"/>
          <c:showPercent val="0"/>
          <c:showBubbleSize val="0"/>
        </c:dLbls>
        <c:gapWidth val="309"/>
        <c:overlap val="-5"/>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q4_8_12_16_25_37_Fig_b!$CH$7</c:f>
              <c:strCache>
                <c:ptCount val="1"/>
                <c:pt idx="0">
                  <c:v>Base</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quot;€&quot;" sourceLinked="0"/>
              <c:spPr>
                <a:noFill/>
                <a:ln>
                  <a:noFill/>
                </a:ln>
                <a:effectLst/>
              </c:spPr>
              <c:txPr>
                <a:bodyPr rot="0" spcFirstLastPara="1" vertOverflow="ellipsis" vert="horz" wrap="non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158F-4EDF-975A-2C24DE5CEBFA}"/>
                </c:ext>
              </c:extLst>
            </c:dLbl>
            <c:numFmt formatCode="#,##0\ &quot;€&quot;" sourceLinked="0"/>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q4_8_12_16_25_37_Fig_b!$CG$31</c:f>
              <c:strCache>
                <c:ptCount val="1"/>
                <c:pt idx="0">
                  <c:v>Continente</c:v>
                </c:pt>
              </c:strCache>
            </c:strRef>
          </c:cat>
          <c:val>
            <c:numRef>
              <c:f>q4_8_12_16_25_37_Fig_b!$CH$31</c:f>
              <c:numCache>
                <c:formatCode>#,##0\ "€"</c:formatCode>
                <c:ptCount val="1"/>
                <c:pt idx="0">
                  <c:v>1308.96</c:v>
                </c:pt>
              </c:numCache>
            </c:numRef>
          </c:val>
          <c:extLst>
            <c:ext xmlns:c16="http://schemas.microsoft.com/office/drawing/2014/chart" uri="{C3380CC4-5D6E-409C-BE32-E72D297353CC}">
              <c16:uniqueId val="{00000001-158F-4EDF-975A-2C24DE5CEBFA}"/>
            </c:ext>
          </c:extLst>
        </c:ser>
        <c:ser>
          <c:idx val="1"/>
          <c:order val="1"/>
          <c:tx>
            <c:strRef>
              <c:f>q4_8_12_16_25_37_Fig_b!$CI$7</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quot;€&quot;" sourceLinked="0"/>
              <c:spPr>
                <a:noFill/>
                <a:ln>
                  <a:noFill/>
                </a:ln>
                <a:effectLst/>
              </c:spPr>
              <c:txPr>
                <a:bodyPr rot="0" spcFirstLastPara="1" vertOverflow="ellipsis"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158F-4EDF-975A-2C24DE5CEBFA}"/>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q4_8_12_16_25_37_Fig_b!$CG$31</c:f>
              <c:strCache>
                <c:ptCount val="1"/>
                <c:pt idx="0">
                  <c:v>Continente</c:v>
                </c:pt>
              </c:strCache>
            </c:strRef>
          </c:cat>
          <c:val>
            <c:numRef>
              <c:f>q4_8_12_16_25_37_Fig_b!$CI$31</c:f>
              <c:numCache>
                <c:formatCode>#,##0\ "€"</c:formatCode>
                <c:ptCount val="1"/>
                <c:pt idx="0">
                  <c:v>1582.75</c:v>
                </c:pt>
              </c:numCache>
            </c:numRef>
          </c:val>
          <c:extLst>
            <c:ext xmlns:c16="http://schemas.microsoft.com/office/drawing/2014/chart" uri="{C3380CC4-5D6E-409C-BE32-E72D297353CC}">
              <c16:uniqueId val="{00000003-158F-4EDF-975A-2C24DE5CEBFA}"/>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q4_8_12_16_25_37_Fig_b!$AS$37</c:f>
              <c:strCache>
                <c:ptCount val="1"/>
                <c:pt idx="0">
                  <c:v>Empresas</c:v>
                </c:pt>
              </c:strCache>
            </c:strRef>
          </c:tx>
          <c:spPr>
            <a:solidFill>
              <a:srgbClr val="4572A5"/>
            </a:solidFill>
            <a:ln w="15875" cmpd="sng">
              <a:noFill/>
              <a:prstDash val="soli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q4_8_12_16_25_37_Fig_b!$AR$38:$AR$42</c15:sqref>
                  </c15:fullRef>
                </c:ext>
              </c:extLst>
              <c:f>q4_8_12_16_25_37_Fig_b!$AR$38</c:f>
              <c:strCache>
                <c:ptCount val="1"/>
                <c:pt idx="0">
                  <c:v>Norte</c:v>
                </c:pt>
              </c:strCache>
            </c:strRef>
          </c:cat>
          <c:val>
            <c:numRef>
              <c:extLst>
                <c:ext xmlns:c15="http://schemas.microsoft.com/office/drawing/2012/chart" uri="{02D57815-91ED-43cb-92C2-25804820EDAC}">
                  <c15:fullRef>
                    <c15:sqref>q4_8_12_16_25_37_Fig_b!$AS$38:$AS$42</c15:sqref>
                  </c15:fullRef>
                </c:ext>
              </c:extLst>
              <c:f>q4_8_12_16_25_37_Fig_b!$AS$38</c:f>
              <c:numCache>
                <c:formatCode>#,##0</c:formatCode>
                <c:ptCount val="1"/>
                <c:pt idx="0">
                  <c:v>111564.99999999994</c:v>
                </c:pt>
              </c:numCache>
            </c:numRef>
          </c:val>
          <c:extLst>
            <c:ext xmlns:c16="http://schemas.microsoft.com/office/drawing/2014/chart" uri="{C3380CC4-5D6E-409C-BE32-E72D297353CC}">
              <c16:uniqueId val="{00000000-BED4-4A5E-91DC-F897BFF7732C}"/>
            </c:ext>
          </c:extLst>
        </c:ser>
        <c:ser>
          <c:idx val="1"/>
          <c:order val="1"/>
          <c:tx>
            <c:strRef>
              <c:f>q4_8_12_16_25_37_Fig_b!$AT$37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q4_8_12_16_25_37_Fig_b!$AR$38:$AR$42</c15:sqref>
                  </c15:fullRef>
                </c:ext>
              </c:extLst>
              <c:f>q4_8_12_16_25_37_Fig_b!$AR$38</c:f>
              <c:strCache>
                <c:ptCount val="1"/>
                <c:pt idx="0">
                  <c:v>Norte</c:v>
                </c:pt>
              </c:strCache>
            </c:strRef>
          </c:cat>
          <c:val>
            <c:numRef>
              <c:extLst>
                <c:ext xmlns:c15="http://schemas.microsoft.com/office/drawing/2012/chart" uri="{02D57815-91ED-43cb-92C2-25804820EDAC}">
                  <c15:fullRef>
                    <c15:sqref>q4_8_12_16_25_37_Fig_b!$AT$38:$AT$42</c15:sqref>
                  </c15:fullRef>
                </c:ext>
              </c:extLst>
              <c:f>q4_8_12_16_25_37_Fig_b!$AT$38</c:f>
              <c:numCache>
                <c:formatCode>#,##0</c:formatCode>
                <c:ptCount val="1"/>
                <c:pt idx="0">
                  <c:v>127676.00000000001</c:v>
                </c:pt>
              </c:numCache>
            </c:numRef>
          </c:val>
          <c:extLst>
            <c:ext xmlns:c16="http://schemas.microsoft.com/office/drawing/2014/chart" uri="{C3380CC4-5D6E-409C-BE32-E72D297353CC}">
              <c16:uniqueId val="{00000001-BED4-4A5E-91DC-F897BFF7732C}"/>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q4_8_12_16_25_37_Fig_b!$AR$38:$AR$42</c15:sqref>
                  </c15:fullRef>
                </c:ext>
              </c:extLst>
              <c:f>q4_8_12_16_25_37_Fig_b!$AR$39</c:f>
              <c:strCache>
                <c:ptCount val="1"/>
                <c:pt idx="0">
                  <c:v>Centro</c:v>
                </c:pt>
              </c:strCache>
            </c:strRef>
          </c:cat>
          <c:val>
            <c:numRef>
              <c:extLst>
                <c:ext xmlns:c15="http://schemas.microsoft.com/office/drawing/2012/chart" uri="{02D57815-91ED-43cb-92C2-25804820EDAC}">
                  <c15:fullRef>
                    <c15:sqref>q4_8_12_16_25_37_Fig_b!$AS$38:$AS$42</c15:sqref>
                  </c15:fullRef>
                </c:ext>
              </c:extLst>
              <c:f>q4_8_12_16_25_37_Fig_b!$AS$39</c:f>
              <c:numCache>
                <c:formatCode>#,##0</c:formatCode>
                <c:ptCount val="1"/>
                <c:pt idx="0">
                  <c:v>64160.000000000015</c:v>
                </c:pt>
              </c:numCache>
            </c:numRef>
          </c:val>
          <c:extLst>
            <c:ext xmlns:c16="http://schemas.microsoft.com/office/drawing/2014/chart" uri="{C3380CC4-5D6E-409C-BE32-E72D297353CC}">
              <c16:uniqueId val="{00000000-31FA-4597-AB07-22C00C863D97}"/>
            </c:ext>
          </c:extLst>
        </c:ser>
        <c:ser>
          <c:idx val="1"/>
          <c:order val="1"/>
          <c:tx>
            <c:strRef>
              <c:f>q4_8_12_16_25_37_Fig_b!$AT$37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q4_8_12_16_25_37_Fig_b!$AR$38:$AR$42</c15:sqref>
                  </c15:fullRef>
                </c:ext>
              </c:extLst>
              <c:f>q4_8_12_16_25_37_Fig_b!$AR$39</c:f>
              <c:strCache>
                <c:ptCount val="1"/>
                <c:pt idx="0">
                  <c:v>Centro</c:v>
                </c:pt>
              </c:strCache>
            </c:strRef>
          </c:cat>
          <c:val>
            <c:numRef>
              <c:extLst>
                <c:ext xmlns:c15="http://schemas.microsoft.com/office/drawing/2012/chart" uri="{02D57815-91ED-43cb-92C2-25804820EDAC}">
                  <c15:fullRef>
                    <c15:sqref>q4_8_12_16_25_37_Fig_b!$AT$38:$AT$42</c15:sqref>
                  </c15:fullRef>
                </c:ext>
              </c:extLst>
              <c:f>q4_8_12_16_25_37_Fig_b!$AT$39</c:f>
              <c:numCache>
                <c:formatCode>#,##0</c:formatCode>
                <c:ptCount val="1"/>
                <c:pt idx="0">
                  <c:v>75721.999999999956</c:v>
                </c:pt>
              </c:numCache>
            </c:numRef>
          </c:val>
          <c:extLst>
            <c:ext xmlns:c16="http://schemas.microsoft.com/office/drawing/2014/chart" uri="{C3380CC4-5D6E-409C-BE32-E72D297353CC}">
              <c16:uniqueId val="{00000001-31FA-4597-AB07-22C00C863D97}"/>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q4_8_12_16_25_37_Fig_b!$AR$38:$AR$42</c15:sqref>
                  </c15:fullRef>
                </c:ext>
              </c:extLst>
              <c:f>q4_8_12_16_25_37_Fig_b!$AR$42</c:f>
              <c:strCache>
                <c:ptCount val="1"/>
                <c:pt idx="0">
                  <c:v>Algarve</c:v>
                </c:pt>
              </c:strCache>
            </c:strRef>
          </c:cat>
          <c:val>
            <c:numRef>
              <c:extLst>
                <c:ext xmlns:c15="http://schemas.microsoft.com/office/drawing/2012/chart" uri="{02D57815-91ED-43cb-92C2-25804820EDAC}">
                  <c15:fullRef>
                    <c15:sqref>q4_8_12_16_25_37_Fig_b!$AS$38:$AS$42</c15:sqref>
                  </c15:fullRef>
                </c:ext>
              </c:extLst>
              <c:f>q4_8_12_16_25_37_Fig_b!$AS$42</c:f>
              <c:numCache>
                <c:formatCode>#,##0</c:formatCode>
                <c:ptCount val="1"/>
                <c:pt idx="0">
                  <c:v>18173.999999999996</c:v>
                </c:pt>
              </c:numCache>
            </c:numRef>
          </c:val>
          <c:extLst>
            <c:ext xmlns:c16="http://schemas.microsoft.com/office/drawing/2014/chart" uri="{C3380CC4-5D6E-409C-BE32-E72D297353CC}">
              <c16:uniqueId val="{00000000-9352-4234-9334-D468FF962449}"/>
            </c:ext>
          </c:extLst>
        </c:ser>
        <c:ser>
          <c:idx val="1"/>
          <c:order val="1"/>
          <c:tx>
            <c:strRef>
              <c:f>q4_8_12_16_25_37_Fig_b!$AT$37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q4_8_12_16_25_37_Fig_b!$AR$38:$AR$42</c15:sqref>
                  </c15:fullRef>
                </c:ext>
              </c:extLst>
              <c:f>q4_8_12_16_25_37_Fig_b!$AR$42</c:f>
              <c:strCache>
                <c:ptCount val="1"/>
                <c:pt idx="0">
                  <c:v>Algarve</c:v>
                </c:pt>
              </c:strCache>
            </c:strRef>
          </c:cat>
          <c:val>
            <c:numRef>
              <c:extLst>
                <c:ext xmlns:c15="http://schemas.microsoft.com/office/drawing/2012/chart" uri="{02D57815-91ED-43cb-92C2-25804820EDAC}">
                  <c15:fullRef>
                    <c15:sqref>q4_8_12_16_25_37_Fig_b!$AT$38:$AT$42</c15:sqref>
                  </c15:fullRef>
                </c:ext>
              </c:extLst>
              <c:f>q4_8_12_16_25_37_Fig_b!$AT$42</c:f>
              <c:numCache>
                <c:formatCode>#,##0</c:formatCode>
                <c:ptCount val="1"/>
                <c:pt idx="0">
                  <c:v>21958.999999999996</c:v>
                </c:pt>
              </c:numCache>
            </c:numRef>
          </c:val>
          <c:extLst>
            <c:ext xmlns:c16="http://schemas.microsoft.com/office/drawing/2014/chart" uri="{C3380CC4-5D6E-409C-BE32-E72D297353CC}">
              <c16:uniqueId val="{00000001-9352-4234-9334-D468FF962449}"/>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min val="0"/>
        </c:scaling>
        <c:delete val="1"/>
        <c:axPos val="l"/>
        <c:numFmt formatCode="#,##0" sourceLinked="1"/>
        <c:majorTickMark val="out"/>
        <c:minorTickMark val="none"/>
        <c:tickLblPos val="nextTo"/>
        <c:crossAx val="636287087"/>
        <c:crosses val="autoZero"/>
        <c:crossBetween val="between"/>
        <c:majorUnit val="50000"/>
        <c:minorUnit val="1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92978304850156"/>
          <c:y val="0.12089057499174664"/>
          <c:w val="0.73070216951498435"/>
          <c:h val="0.8791094250082534"/>
        </c:manualLayout>
      </c:layout>
      <c:barChart>
        <c:barDir val="col"/>
        <c:grouping val="clustered"/>
        <c:varyColors val="0"/>
        <c:ser>
          <c:idx val="0"/>
          <c:order val="0"/>
          <c:tx>
            <c:strRef>
              <c:f>q4_8_12_16_25_37_Fig_b!$AS$37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q4_8_12_16_25_37_Fig_b!$AR$38:$AR$42</c15:sqref>
                  </c15:fullRef>
                </c:ext>
              </c:extLst>
              <c:f>q4_8_12_16_25_37_Fig_b!$AR$40</c:f>
              <c:strCache>
                <c:ptCount val="1"/>
                <c:pt idx="0">
                  <c:v>Área Metropolitana de Lisboa</c:v>
                </c:pt>
              </c:strCache>
            </c:strRef>
          </c:cat>
          <c:val>
            <c:numRef>
              <c:extLst>
                <c:ext xmlns:c15="http://schemas.microsoft.com/office/drawing/2012/chart" uri="{02D57815-91ED-43cb-92C2-25804820EDAC}">
                  <c15:fullRef>
                    <c15:sqref>q4_8_12_16_25_37_Fig_b!$AS$38:$AS$44</c15:sqref>
                  </c15:fullRef>
                </c:ext>
              </c:extLst>
              <c:f>q4_8_12_16_25_37_Fig_b!$AS$40</c:f>
              <c:numCache>
                <c:formatCode>#,##0</c:formatCode>
                <c:ptCount val="1"/>
                <c:pt idx="0">
                  <c:v>74147.999999999971</c:v>
                </c:pt>
              </c:numCache>
            </c:numRef>
          </c:val>
          <c:extLst>
            <c:ext xmlns:c16="http://schemas.microsoft.com/office/drawing/2014/chart" uri="{C3380CC4-5D6E-409C-BE32-E72D297353CC}">
              <c16:uniqueId val="{00000000-4A22-48FB-A492-E3E9D1583C7B}"/>
            </c:ext>
          </c:extLst>
        </c:ser>
        <c:ser>
          <c:idx val="1"/>
          <c:order val="1"/>
          <c:tx>
            <c:strRef>
              <c:f>q4_8_12_16_25_37_Fig_b!$AT$37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q4_8_12_16_25_37_Fig_b!$AR$38:$AR$42</c15:sqref>
                  </c15:fullRef>
                </c:ext>
              </c:extLst>
              <c:f>q4_8_12_16_25_37_Fig_b!$AR$40</c:f>
              <c:strCache>
                <c:ptCount val="1"/>
                <c:pt idx="0">
                  <c:v>Área Metropolitana de Lisboa</c:v>
                </c:pt>
              </c:strCache>
            </c:strRef>
          </c:cat>
          <c:val>
            <c:numRef>
              <c:extLst>
                <c:ext xmlns:c15="http://schemas.microsoft.com/office/drawing/2012/chart" uri="{02D57815-91ED-43cb-92C2-25804820EDAC}">
                  <c15:fullRef>
                    <c15:sqref>q4_8_12_16_25_37_Fig_b!$AT$38:$AT$42</c15:sqref>
                  </c15:fullRef>
                </c:ext>
              </c:extLst>
              <c:f>q4_8_12_16_25_37_Fig_b!$AT$40</c:f>
              <c:numCache>
                <c:formatCode>#,##0</c:formatCode>
                <c:ptCount val="1"/>
                <c:pt idx="0">
                  <c:v>87949</c:v>
                </c:pt>
              </c:numCache>
            </c:numRef>
          </c:val>
          <c:extLst>
            <c:ext xmlns:c16="http://schemas.microsoft.com/office/drawing/2014/chart" uri="{C3380CC4-5D6E-409C-BE32-E72D297353CC}">
              <c16:uniqueId val="{00000001-4A22-48FB-A492-E3E9D1583C7B}"/>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majorUnit val="4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q4_8_12_16_25_37_Fig_b!$AR$38:$AR$42</c15:sqref>
                  </c15:fullRef>
                </c:ext>
              </c:extLst>
              <c:f>q4_8_12_16_25_37_Fig_b!$AR$41</c:f>
              <c:strCache>
                <c:ptCount val="1"/>
                <c:pt idx="0">
                  <c:v>Alentejo</c:v>
                </c:pt>
              </c:strCache>
            </c:strRef>
          </c:cat>
          <c:val>
            <c:numRef>
              <c:extLst>
                <c:ext xmlns:c15="http://schemas.microsoft.com/office/drawing/2012/chart" uri="{02D57815-91ED-43cb-92C2-25804820EDAC}">
                  <c15:fullRef>
                    <c15:sqref>q4_8_12_16_25_37_Fig_b!$AS$38:$AS$42</c15:sqref>
                  </c15:fullRef>
                </c:ext>
              </c:extLst>
              <c:f>q4_8_12_16_25_37_Fig_b!$AS$41</c:f>
              <c:numCache>
                <c:formatCode>#,##0</c:formatCode>
                <c:ptCount val="1"/>
                <c:pt idx="0">
                  <c:v>20715.999999999993</c:v>
                </c:pt>
              </c:numCache>
            </c:numRef>
          </c:val>
          <c:extLst>
            <c:ext xmlns:c16="http://schemas.microsoft.com/office/drawing/2014/chart" uri="{C3380CC4-5D6E-409C-BE32-E72D297353CC}">
              <c16:uniqueId val="{00000000-B6F0-4588-A509-90B1C87E0845}"/>
            </c:ext>
          </c:extLst>
        </c:ser>
        <c:ser>
          <c:idx val="1"/>
          <c:order val="1"/>
          <c:tx>
            <c:strRef>
              <c:f>q4_8_12_16_25_37_Fig_b!$AT$37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q4_8_12_16_25_37_Fig_b!$AR$38:$AR$42</c15:sqref>
                  </c15:fullRef>
                </c:ext>
              </c:extLst>
              <c:f>q4_8_12_16_25_37_Fig_b!$AR$41</c:f>
              <c:strCache>
                <c:ptCount val="1"/>
                <c:pt idx="0">
                  <c:v>Alentejo</c:v>
                </c:pt>
              </c:strCache>
            </c:strRef>
          </c:cat>
          <c:val>
            <c:numRef>
              <c:extLst>
                <c:ext xmlns:c15="http://schemas.microsoft.com/office/drawing/2012/chart" uri="{02D57815-91ED-43cb-92C2-25804820EDAC}">
                  <c15:fullRef>
                    <c15:sqref>q4_8_12_16_25_37_Fig_b!$AT$38:$AT$42</c15:sqref>
                  </c15:fullRef>
                </c:ext>
              </c:extLst>
              <c:f>q4_8_12_16_25_37_Fig_b!$AT$41</c:f>
              <c:numCache>
                <c:formatCode>#,##0</c:formatCode>
                <c:ptCount val="1"/>
                <c:pt idx="0">
                  <c:v>24720.000000000004</c:v>
                </c:pt>
              </c:numCache>
            </c:numRef>
          </c:val>
          <c:extLst>
            <c:ext xmlns:c16="http://schemas.microsoft.com/office/drawing/2014/chart" uri="{C3380CC4-5D6E-409C-BE32-E72D297353CC}">
              <c16:uniqueId val="{00000001-B6F0-4588-A509-90B1C87E0845}"/>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min val="0"/>
        </c:scaling>
        <c:delete val="1"/>
        <c:axPos val="l"/>
        <c:numFmt formatCode="#,##0" sourceLinked="1"/>
        <c:majorTickMark val="out"/>
        <c:minorTickMark val="none"/>
        <c:tickLblPos val="nextTo"/>
        <c:crossAx val="636287087"/>
        <c:crosses val="autoZero"/>
        <c:crossBetween val="between"/>
        <c:majorUnit val="50000"/>
        <c:minorUnit val="1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042502433016683"/>
          <c:y val="3.567815386713024E-2"/>
          <c:w val="0.61234267209825088"/>
          <c:h val="0.92049561986569861"/>
        </c:manualLayout>
      </c:layout>
      <c:barChart>
        <c:barDir val="bar"/>
        <c:grouping val="clustered"/>
        <c:varyColors val="0"/>
        <c:ser>
          <c:idx val="0"/>
          <c:order val="0"/>
          <c:tx>
            <c:strRef>
              <c:f>q4_8_12_16_25_37_Fig_b!$AS$7</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q4_8_12_16_25_37_Fig_b!$AR$8:$AR$30</c:f>
              <c:strCache>
                <c:ptCount val="23"/>
                <c:pt idx="0">
                  <c:v>Alto Minho</c:v>
                </c:pt>
                <c:pt idx="1">
                  <c:v>Cávado</c:v>
                </c:pt>
                <c:pt idx="2">
                  <c:v>Ave</c:v>
                </c:pt>
                <c:pt idx="3">
                  <c:v>Área Metropolitana do Porto</c:v>
                </c:pt>
                <c:pt idx="4">
                  <c:v>Alto Tâmega</c:v>
                </c:pt>
                <c:pt idx="5">
                  <c:v>Tâmega e Sousa</c:v>
                </c:pt>
                <c:pt idx="6">
                  <c:v>Douro</c:v>
                </c:pt>
                <c:pt idx="7">
                  <c:v>Terras de Trás-os-Montes</c:v>
                </c:pt>
                <c:pt idx="8">
                  <c:v>Oeste</c:v>
                </c:pt>
                <c:pt idx="9">
                  <c:v>Região de Aveiro</c:v>
                </c:pt>
                <c:pt idx="10">
                  <c:v>Região de Coimbra</c:v>
                </c:pt>
                <c:pt idx="11">
                  <c:v>Região de Leiria</c:v>
                </c:pt>
                <c:pt idx="12">
                  <c:v>Viseu Dão Lafões</c:v>
                </c:pt>
                <c:pt idx="13">
                  <c:v>Beira Baixa</c:v>
                </c:pt>
                <c:pt idx="14">
                  <c:v>Médio Tejo</c:v>
                </c:pt>
                <c:pt idx="15">
                  <c:v>Beiras e Serra da Estrela</c:v>
                </c:pt>
                <c:pt idx="16">
                  <c:v>Área Metropolitana de Lisboa</c:v>
                </c:pt>
                <c:pt idx="17">
                  <c:v>Alentejo Litoral</c:v>
                </c:pt>
                <c:pt idx="18">
                  <c:v>Baixo Alentejo</c:v>
                </c:pt>
                <c:pt idx="19">
                  <c:v>Lezíria do Tejo</c:v>
                </c:pt>
                <c:pt idx="20">
                  <c:v>Alto Alentejo</c:v>
                </c:pt>
                <c:pt idx="21">
                  <c:v>Alentejo Central</c:v>
                </c:pt>
                <c:pt idx="22">
                  <c:v>Algarve</c:v>
                </c:pt>
              </c:strCache>
            </c:strRef>
          </c:cat>
          <c:val>
            <c:numRef>
              <c:f>q4_8_12_16_25_37_Fig_b!$AS$8:$AS$30</c:f>
              <c:numCache>
                <c:formatCode>#,##0</c:formatCode>
                <c:ptCount val="23"/>
                <c:pt idx="0">
                  <c:v>7328</c:v>
                </c:pt>
                <c:pt idx="1">
                  <c:v>15022</c:v>
                </c:pt>
                <c:pt idx="2">
                  <c:v>13685</c:v>
                </c:pt>
                <c:pt idx="3">
                  <c:v>51191</c:v>
                </c:pt>
                <c:pt idx="4">
                  <c:v>2432</c:v>
                </c:pt>
                <c:pt idx="5">
                  <c:v>13342</c:v>
                </c:pt>
                <c:pt idx="6">
                  <c:v>5377</c:v>
                </c:pt>
                <c:pt idx="7">
                  <c:v>3188</c:v>
                </c:pt>
                <c:pt idx="8">
                  <c:v>11570</c:v>
                </c:pt>
                <c:pt idx="9">
                  <c:v>9773</c:v>
                </c:pt>
                <c:pt idx="10">
                  <c:v>10899</c:v>
                </c:pt>
                <c:pt idx="11">
                  <c:v>10282.999999999996</c:v>
                </c:pt>
                <c:pt idx="12">
                  <c:v>7294</c:v>
                </c:pt>
                <c:pt idx="13">
                  <c:v>2138</c:v>
                </c:pt>
                <c:pt idx="14">
                  <c:v>6526.9999999999991</c:v>
                </c:pt>
                <c:pt idx="15">
                  <c:v>5676</c:v>
                </c:pt>
                <c:pt idx="16">
                  <c:v>74147.999999999971</c:v>
                </c:pt>
                <c:pt idx="17">
                  <c:v>2837</c:v>
                </c:pt>
                <c:pt idx="18">
                  <c:v>3881</c:v>
                </c:pt>
                <c:pt idx="19">
                  <c:v>6181</c:v>
                </c:pt>
                <c:pt idx="20">
                  <c:v>2787</c:v>
                </c:pt>
                <c:pt idx="21">
                  <c:v>5030</c:v>
                </c:pt>
                <c:pt idx="22">
                  <c:v>18173.999999999996</c:v>
                </c:pt>
              </c:numCache>
            </c:numRef>
          </c:val>
          <c:extLst>
            <c:ext xmlns:c16="http://schemas.microsoft.com/office/drawing/2014/chart" uri="{C3380CC4-5D6E-409C-BE32-E72D297353CC}">
              <c16:uniqueId val="{00000000-002B-4E74-95E9-68544DE55525}"/>
            </c:ext>
          </c:extLst>
        </c:ser>
        <c:ser>
          <c:idx val="1"/>
          <c:order val="1"/>
          <c:tx>
            <c:strRef>
              <c:f>q4_8_12_16_25_37_Fig_b!$AT$7</c:f>
              <c:strCache>
                <c:ptCount val="1"/>
                <c:pt idx="0">
                  <c:v>Estabelecimentos</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q4_8_12_16_25_37_Fig_b!$AR$8:$AR$30</c:f>
              <c:strCache>
                <c:ptCount val="23"/>
                <c:pt idx="0">
                  <c:v>Alto Minho</c:v>
                </c:pt>
                <c:pt idx="1">
                  <c:v>Cávado</c:v>
                </c:pt>
                <c:pt idx="2">
                  <c:v>Ave</c:v>
                </c:pt>
                <c:pt idx="3">
                  <c:v>Área Metropolitana do Porto</c:v>
                </c:pt>
                <c:pt idx="4">
                  <c:v>Alto Tâmega</c:v>
                </c:pt>
                <c:pt idx="5">
                  <c:v>Tâmega e Sousa</c:v>
                </c:pt>
                <c:pt idx="6">
                  <c:v>Douro</c:v>
                </c:pt>
                <c:pt idx="7">
                  <c:v>Terras de Trás-os-Montes</c:v>
                </c:pt>
                <c:pt idx="8">
                  <c:v>Oeste</c:v>
                </c:pt>
                <c:pt idx="9">
                  <c:v>Região de Aveiro</c:v>
                </c:pt>
                <c:pt idx="10">
                  <c:v>Região de Coimbra</c:v>
                </c:pt>
                <c:pt idx="11">
                  <c:v>Região de Leiria</c:v>
                </c:pt>
                <c:pt idx="12">
                  <c:v>Viseu Dão Lafões</c:v>
                </c:pt>
                <c:pt idx="13">
                  <c:v>Beira Baixa</c:v>
                </c:pt>
                <c:pt idx="14">
                  <c:v>Médio Tejo</c:v>
                </c:pt>
                <c:pt idx="15">
                  <c:v>Beiras e Serra da Estrela</c:v>
                </c:pt>
                <c:pt idx="16">
                  <c:v>Área Metropolitana de Lisboa</c:v>
                </c:pt>
                <c:pt idx="17">
                  <c:v>Alentejo Litoral</c:v>
                </c:pt>
                <c:pt idx="18">
                  <c:v>Baixo Alentejo</c:v>
                </c:pt>
                <c:pt idx="19">
                  <c:v>Lezíria do Tejo</c:v>
                </c:pt>
                <c:pt idx="20">
                  <c:v>Alto Alentejo</c:v>
                </c:pt>
                <c:pt idx="21">
                  <c:v>Alentejo Central</c:v>
                </c:pt>
                <c:pt idx="22">
                  <c:v>Algarve</c:v>
                </c:pt>
              </c:strCache>
            </c:strRef>
          </c:cat>
          <c:val>
            <c:numRef>
              <c:f>q4_8_12_16_25_37_Fig_b!$AT$8:$AT$30</c:f>
              <c:numCache>
                <c:formatCode>#,##0</c:formatCode>
                <c:ptCount val="23"/>
                <c:pt idx="0">
                  <c:v>8424</c:v>
                </c:pt>
                <c:pt idx="1">
                  <c:v>16874</c:v>
                </c:pt>
                <c:pt idx="2">
                  <c:v>15255</c:v>
                </c:pt>
                <c:pt idx="3">
                  <c:v>59738.999999999993</c:v>
                </c:pt>
                <c:pt idx="4">
                  <c:v>2794</c:v>
                </c:pt>
                <c:pt idx="5">
                  <c:v>14547</c:v>
                </c:pt>
                <c:pt idx="6">
                  <c:v>6331</c:v>
                </c:pt>
                <c:pt idx="7">
                  <c:v>3712</c:v>
                </c:pt>
                <c:pt idx="8">
                  <c:v>13413</c:v>
                </c:pt>
                <c:pt idx="9">
                  <c:v>11509.999999999998</c:v>
                </c:pt>
                <c:pt idx="10">
                  <c:v>13262.000000000002</c:v>
                </c:pt>
                <c:pt idx="11">
                  <c:v>11964</c:v>
                </c:pt>
                <c:pt idx="12">
                  <c:v>8583</c:v>
                </c:pt>
                <c:pt idx="13">
                  <c:v>2592</c:v>
                </c:pt>
                <c:pt idx="14">
                  <c:v>7741.9999999999982</c:v>
                </c:pt>
                <c:pt idx="15">
                  <c:v>6656</c:v>
                </c:pt>
                <c:pt idx="16">
                  <c:v>87949</c:v>
                </c:pt>
                <c:pt idx="17">
                  <c:v>3421</c:v>
                </c:pt>
                <c:pt idx="18">
                  <c:v>4522</c:v>
                </c:pt>
                <c:pt idx="19">
                  <c:v>7367.9999999999991</c:v>
                </c:pt>
                <c:pt idx="20">
                  <c:v>3351.0000000000005</c:v>
                </c:pt>
                <c:pt idx="21">
                  <c:v>6058</c:v>
                </c:pt>
                <c:pt idx="22">
                  <c:v>21958.999999999996</c:v>
                </c:pt>
              </c:numCache>
            </c:numRef>
          </c:val>
          <c:extLst>
            <c:ext xmlns:c16="http://schemas.microsoft.com/office/drawing/2014/chart" uri="{C3380CC4-5D6E-409C-BE32-E72D297353CC}">
              <c16:uniqueId val="{00000001-002B-4E74-95E9-68544DE55525}"/>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ax val="150000"/>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1213051209"/>
          <c:y val="0.8958285000206182"/>
          <c:w val="0.33981512399659702"/>
          <c:h val="7.6847968932930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070158953761786"/>
          <c:y val="4.5634486448533823E-2"/>
          <c:w val="0.57859682092476428"/>
          <c:h val="0.90416757845807894"/>
        </c:manualLayout>
      </c:layout>
      <c:barChart>
        <c:barDir val="col"/>
        <c:grouping val="clustered"/>
        <c:varyColors val="0"/>
        <c:ser>
          <c:idx val="0"/>
          <c:order val="0"/>
          <c:tx>
            <c:strRef>
              <c:f>q4_8_12_16_25_37_Fig_b!$BN$37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q4_8_12_16_25_37_Fig_b!$BM$38:$BM$42</c15:sqref>
                  </c15:fullRef>
                </c:ext>
              </c:extLst>
              <c:f>q4_8_12_16_25_37_Fig_b!$BM$42</c:f>
              <c:strCache>
                <c:ptCount val="1"/>
                <c:pt idx="0">
                  <c:v>Algarve</c:v>
                </c:pt>
              </c:strCache>
            </c:strRef>
          </c:cat>
          <c:val>
            <c:numRef>
              <c:extLst>
                <c:ext xmlns:c15="http://schemas.microsoft.com/office/drawing/2012/chart" uri="{02D57815-91ED-43cb-92C2-25804820EDAC}">
                  <c15:fullRef>
                    <c15:sqref>q4_8_12_16_25_37_Fig_b!$BN$38:$BN$42</c15:sqref>
                  </c15:fullRef>
                </c:ext>
              </c:extLst>
              <c:f>q4_8_12_16_25_37_Fig_b!$BN$42</c:f>
              <c:numCache>
                <c:formatCode>#,##0</c:formatCode>
                <c:ptCount val="1"/>
                <c:pt idx="0">
                  <c:v>184098.99999999997</c:v>
                </c:pt>
              </c:numCache>
            </c:numRef>
          </c:val>
          <c:extLst>
            <c:ext xmlns:c16="http://schemas.microsoft.com/office/drawing/2014/chart" uri="{C3380CC4-5D6E-409C-BE32-E72D297353CC}">
              <c16:uniqueId val="{00000000-6967-4C5A-998C-E72483252C8C}"/>
            </c:ext>
          </c:extLst>
        </c:ser>
        <c:ser>
          <c:idx val="1"/>
          <c:order val="1"/>
          <c:tx>
            <c:strRef>
              <c:f>q4_8_12_16_25_37_Fig_b!$BO$37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q4_8_12_16_25_37_Fig_b!$BM$38:$BM$42</c15:sqref>
                  </c15:fullRef>
                </c:ext>
              </c:extLst>
              <c:f>q4_8_12_16_25_37_Fig_b!$BM$42</c:f>
              <c:strCache>
                <c:ptCount val="1"/>
                <c:pt idx="0">
                  <c:v>Algarve</c:v>
                </c:pt>
              </c:strCache>
            </c:strRef>
          </c:cat>
          <c:val>
            <c:numRef>
              <c:extLst>
                <c:ext xmlns:c15="http://schemas.microsoft.com/office/drawing/2012/chart" uri="{02D57815-91ED-43cb-92C2-25804820EDAC}">
                  <c15:fullRef>
                    <c15:sqref>q4_8_12_16_25_37_Fig_b!$BO$38:$BO$42</c15:sqref>
                  </c15:fullRef>
                </c:ext>
              </c:extLst>
              <c:f>q4_8_12_16_25_37_Fig_b!$BO$42</c:f>
              <c:numCache>
                <c:formatCode>#,##0</c:formatCode>
                <c:ptCount val="1"/>
                <c:pt idx="0">
                  <c:v>172373</c:v>
                </c:pt>
              </c:numCache>
            </c:numRef>
          </c:val>
          <c:extLst>
            <c:ext xmlns:c16="http://schemas.microsoft.com/office/drawing/2014/chart" uri="{C3380CC4-5D6E-409C-BE32-E72D297353CC}">
              <c16:uniqueId val="{00000001-6967-4C5A-998C-E72483252C8C}"/>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4284834044189"/>
          <c:y val="0"/>
          <c:w val="0.60514303319116225"/>
          <c:h val="0.97656984354374654"/>
        </c:manualLayout>
      </c:layout>
      <c:barChart>
        <c:barDir val="col"/>
        <c:grouping val="clustered"/>
        <c:varyColors val="0"/>
        <c:ser>
          <c:idx val="0"/>
          <c:order val="0"/>
          <c:tx>
            <c:strRef>
              <c:f>q4_8_12_16_25_37_Fig_b!$BN$37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q4_8_12_16_25_37_Fig_b!$BM$38:$BM$42</c15:sqref>
                  </c15:fullRef>
                </c:ext>
              </c:extLst>
              <c:f>q4_8_12_16_25_37_Fig_b!$BM$41</c:f>
              <c:strCache>
                <c:ptCount val="1"/>
                <c:pt idx="0">
                  <c:v>Alentejo</c:v>
                </c:pt>
              </c:strCache>
            </c:strRef>
          </c:cat>
          <c:val>
            <c:numRef>
              <c:extLst>
                <c:ext xmlns:c15="http://schemas.microsoft.com/office/drawing/2012/chart" uri="{02D57815-91ED-43cb-92C2-25804820EDAC}">
                  <c15:fullRef>
                    <c15:sqref>q4_8_12_16_25_37_Fig_b!$BN$38:$BN$42</c15:sqref>
                  </c15:fullRef>
                </c:ext>
              </c:extLst>
              <c:f>q4_8_12_16_25_37_Fig_b!$BN$41</c:f>
              <c:numCache>
                <c:formatCode>#,##0</c:formatCode>
                <c:ptCount val="1"/>
                <c:pt idx="0">
                  <c:v>214388.99999999997</c:v>
                </c:pt>
              </c:numCache>
            </c:numRef>
          </c:val>
          <c:extLst>
            <c:ext xmlns:c16="http://schemas.microsoft.com/office/drawing/2014/chart" uri="{C3380CC4-5D6E-409C-BE32-E72D297353CC}">
              <c16:uniqueId val="{00000000-865C-4987-9B8E-86BE9CE2EE95}"/>
            </c:ext>
          </c:extLst>
        </c:ser>
        <c:ser>
          <c:idx val="1"/>
          <c:order val="1"/>
          <c:tx>
            <c:strRef>
              <c:f>q4_8_12_16_25_37_Fig_b!$BO$37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q4_8_12_16_25_37_Fig_b!$BM$38:$BM$42</c15:sqref>
                  </c15:fullRef>
                </c:ext>
              </c:extLst>
              <c:f>q4_8_12_16_25_37_Fig_b!$BM$41</c:f>
              <c:strCache>
                <c:ptCount val="1"/>
                <c:pt idx="0">
                  <c:v>Alentejo</c:v>
                </c:pt>
              </c:strCache>
            </c:strRef>
          </c:cat>
          <c:val>
            <c:numRef>
              <c:extLst>
                <c:ext xmlns:c15="http://schemas.microsoft.com/office/drawing/2012/chart" uri="{02D57815-91ED-43cb-92C2-25804820EDAC}">
                  <c15:fullRef>
                    <c15:sqref>q4_8_12_16_25_37_Fig_b!$BO$38:$BO$42</c15:sqref>
                  </c15:fullRef>
                </c:ext>
              </c:extLst>
              <c:f>q4_8_12_16_25_37_Fig_b!$BO$41</c:f>
              <c:numCache>
                <c:formatCode>#,##0</c:formatCode>
                <c:ptCount val="1"/>
                <c:pt idx="0">
                  <c:v>203132.99999999997</c:v>
                </c:pt>
              </c:numCache>
            </c:numRef>
          </c:val>
          <c:extLst>
            <c:ext xmlns:c16="http://schemas.microsoft.com/office/drawing/2014/chart" uri="{C3380CC4-5D6E-409C-BE32-E72D297353CC}">
              <c16:uniqueId val="{00000001-865C-4987-9B8E-86BE9CE2EE95}"/>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q4_8_12_16_25_37_Fig_b!$BM$38:$BM$42</c15:sqref>
                  </c15:fullRef>
                </c:ext>
              </c:extLst>
              <c:f>q4_8_12_16_25_37_Fig_b!$BM$39</c:f>
              <c:strCache>
                <c:ptCount val="1"/>
                <c:pt idx="0">
                  <c:v>Centro</c:v>
                </c:pt>
              </c:strCache>
            </c:strRef>
          </c:cat>
          <c:val>
            <c:numRef>
              <c:extLst>
                <c:ext xmlns:c15="http://schemas.microsoft.com/office/drawing/2012/chart" uri="{02D57815-91ED-43cb-92C2-25804820EDAC}">
                  <c15:fullRef>
                    <c15:sqref>q4_8_12_16_25_37_Fig_b!$BN$38:$BN$42</c15:sqref>
                  </c15:fullRef>
                </c:ext>
              </c:extLst>
              <c:f>q4_8_12_16_25_37_Fig_b!$BN$39</c:f>
              <c:numCache>
                <c:formatCode>#,##0</c:formatCode>
                <c:ptCount val="1"/>
                <c:pt idx="0">
                  <c:v>702764.00000000035</c:v>
                </c:pt>
              </c:numCache>
            </c:numRef>
          </c:val>
          <c:extLst>
            <c:ext xmlns:c16="http://schemas.microsoft.com/office/drawing/2014/chart" uri="{C3380CC4-5D6E-409C-BE32-E72D297353CC}">
              <c16:uniqueId val="{00000000-CE46-4174-B308-F460FF64FAEA}"/>
            </c:ext>
          </c:extLst>
        </c:ser>
        <c:ser>
          <c:idx val="1"/>
          <c:order val="1"/>
          <c:tx>
            <c:strRef>
              <c:f>q4_8_12_16_25_37_Fig_b!$BO$37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q4_8_12_16_25_37_Fig_b!$BM$38:$BM$42</c15:sqref>
                  </c15:fullRef>
                </c:ext>
              </c:extLst>
              <c:f>q4_8_12_16_25_37_Fig_b!$BM$39</c:f>
              <c:strCache>
                <c:ptCount val="1"/>
                <c:pt idx="0">
                  <c:v>Centro</c:v>
                </c:pt>
              </c:strCache>
            </c:strRef>
          </c:cat>
          <c:val>
            <c:numRef>
              <c:extLst>
                <c:ext xmlns:c15="http://schemas.microsoft.com/office/drawing/2012/chart" uri="{02D57815-91ED-43cb-92C2-25804820EDAC}">
                  <c15:fullRef>
                    <c15:sqref>q4_8_12_16_25_37_Fig_b!$BO$38:$BO$42</c15:sqref>
                  </c15:fullRef>
                </c:ext>
              </c:extLst>
              <c:f>q4_8_12_16_25_37_Fig_b!$BO$39</c:f>
              <c:numCache>
                <c:formatCode>#,##0</c:formatCode>
                <c:ptCount val="1"/>
                <c:pt idx="0">
                  <c:v>657790.99999999965</c:v>
                </c:pt>
              </c:numCache>
            </c:numRef>
          </c:val>
          <c:extLst>
            <c:ext xmlns:c16="http://schemas.microsoft.com/office/drawing/2014/chart" uri="{C3380CC4-5D6E-409C-BE32-E72D297353CC}">
              <c16:uniqueId val="{00000001-CE46-4174-B308-F460FF64FAEA}"/>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endParaRPr lang="pt-PT"/>
        </a:p>
      </c:txPr>
    </c:title>
    <c:autoTitleDeleted val="0"/>
    <c:plotArea>
      <c:layout>
        <c:manualLayout>
          <c:layoutTarget val="inner"/>
          <c:xMode val="edge"/>
          <c:yMode val="edge"/>
          <c:x val="5.6924250327103458E-2"/>
          <c:y val="3.567815386713024E-2"/>
          <c:w val="0.86584316547310392"/>
          <c:h val="0.92049561986569861"/>
        </c:manualLayout>
      </c:layout>
      <c:barChart>
        <c:barDir val="bar"/>
        <c:grouping val="clustered"/>
        <c:varyColors val="0"/>
        <c:ser>
          <c:idx val="0"/>
          <c:order val="0"/>
          <c:tx>
            <c:strRef>
              <c:f>q3_q7_q11_q15_q24_q36_Fig!$BA$19</c:f>
              <c:strCache>
                <c:ptCount val="1"/>
                <c:pt idx="0">
                  <c:v>Base</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layout>
                <c:manualLayout>
                  <c:x val="-0.35554527606770248"/>
                  <c:y val="2.2621082621082648E-2"/>
                </c:manualLayout>
              </c:layout>
              <c:numFmt formatCode="#,##0\ &quot;€&quot;" sourceLinked="0"/>
              <c:spPr>
                <a:noFill/>
                <a:ln>
                  <a:noFill/>
                </a:ln>
                <a:effectLst/>
              </c:spPr>
              <c:txPr>
                <a:bodyPr rot="0" spcFirstLastPara="1" vertOverflow="ellipsis" horzOverflow="clip" vert="horz" wrap="non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37972174314732537"/>
                      <c:h val="0.32394586894586896"/>
                    </c:manualLayout>
                  </c15:layout>
                </c:ext>
                <c:ext xmlns:c16="http://schemas.microsoft.com/office/drawing/2014/chart" uri="{C3380CC4-5D6E-409C-BE32-E72D297353CC}">
                  <c16:uniqueId val="{00000000-74C7-495F-872D-4C9FA90E437D}"/>
                </c:ext>
              </c:extLst>
            </c:dLbl>
            <c:numFmt formatCode="#,##0\ &quot;€&quot;" sourceLinked="0"/>
            <c:spPr>
              <a:noFill/>
              <a:ln>
                <a:noFill/>
              </a:ln>
              <a:effectLst/>
            </c:spPr>
            <c:txPr>
              <a:bodyPr rot="0" spcFirstLastPara="1" vertOverflow="overflow" horzOverflow="overflow" vert="horz" wrap="none" lIns="38100" tIns="19050" rIns="38100" bIns="19050" anchor="ctr" anchorCtr="1">
                <a:noAutofit/>
              </a:bodyPr>
              <a:lstStyle/>
              <a:p>
                <a:pPr>
                  <a:defRPr sz="6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q3_q7_q11_q15_q24_q36_Fig!$AZ$38</c:f>
              <c:strCache>
                <c:ptCount val="1"/>
                <c:pt idx="0">
                  <c:v>Continente</c:v>
                </c:pt>
              </c:strCache>
            </c:strRef>
          </c:cat>
          <c:val>
            <c:numRef>
              <c:f>q3_q7_q11_q15_q24_q36_Fig!$BA$38</c:f>
              <c:numCache>
                <c:formatCode>#,##0\ "€"</c:formatCode>
                <c:ptCount val="1"/>
                <c:pt idx="0">
                  <c:v>1308.96</c:v>
                </c:pt>
              </c:numCache>
            </c:numRef>
          </c:val>
          <c:extLst>
            <c:ext xmlns:c16="http://schemas.microsoft.com/office/drawing/2014/chart" uri="{C3380CC4-5D6E-409C-BE32-E72D297353CC}">
              <c16:uniqueId val="{00000001-74C7-495F-872D-4C9FA90E437D}"/>
            </c:ext>
          </c:extLst>
        </c:ser>
        <c:ser>
          <c:idx val="1"/>
          <c:order val="1"/>
          <c:tx>
            <c:strRef>
              <c:f>q3_q7_q11_q15_q24_q36_Fig!$BB$19</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quot;€&quot;" sourceLinked="0"/>
              <c:spPr>
                <a:noFill/>
                <a:ln>
                  <a:noFill/>
                </a:ln>
                <a:effectLst/>
              </c:spPr>
              <c:txPr>
                <a:bodyPr rot="0" spcFirstLastPara="1" vertOverflow="ellipsis" horzOverflow="clip"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74C7-495F-872D-4C9FA90E437D}"/>
                </c:ext>
              </c:extLst>
            </c:dLbl>
            <c:numFmt formatCode="#,##0\ &quot;€&quot;" sourceLinked="0"/>
            <c:spPr>
              <a:noFill/>
              <a:ln>
                <a:noFill/>
              </a:ln>
              <a:effectLst/>
            </c:spPr>
            <c:txPr>
              <a:bodyPr rot="0" spcFirstLastPara="1" vertOverflow="overflow" horzOverflow="overflow" vert="horz" wrap="none" lIns="38100" tIns="19050" rIns="38100" bIns="19050" anchor="ctr" anchorCtr="1">
                <a:noAutofit/>
              </a:bodyPr>
              <a:lstStyle/>
              <a:p>
                <a:pPr>
                  <a:defRPr sz="600" b="0"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q3_q7_q11_q15_q24_q36_Fig!$AZ$38</c:f>
              <c:strCache>
                <c:ptCount val="1"/>
                <c:pt idx="0">
                  <c:v>Continente</c:v>
                </c:pt>
              </c:strCache>
            </c:strRef>
          </c:cat>
          <c:val>
            <c:numRef>
              <c:f>q3_q7_q11_q15_q24_q36_Fig!$BB$38</c:f>
              <c:numCache>
                <c:formatCode>#,##0\ "€"</c:formatCode>
                <c:ptCount val="1"/>
                <c:pt idx="0">
                  <c:v>1582.75</c:v>
                </c:pt>
              </c:numCache>
            </c:numRef>
          </c:val>
          <c:extLst>
            <c:ext xmlns:c16="http://schemas.microsoft.com/office/drawing/2014/chart" uri="{C3380CC4-5D6E-409C-BE32-E72D297353CC}">
              <c16:uniqueId val="{00000003-74C7-495F-872D-4C9FA90E437D}"/>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q4_8_12_16_25_37_Fig_b!$BM$38:$BM$42</c15:sqref>
                  </c15:fullRef>
                </c:ext>
              </c:extLst>
              <c:f>q4_8_12_16_25_37_Fig_b!$BM$38</c:f>
              <c:strCache>
                <c:ptCount val="1"/>
                <c:pt idx="0">
                  <c:v>Norte</c:v>
                </c:pt>
              </c:strCache>
            </c:strRef>
          </c:cat>
          <c:val>
            <c:numRef>
              <c:extLst>
                <c:ext xmlns:c15="http://schemas.microsoft.com/office/drawing/2012/chart" uri="{02D57815-91ED-43cb-92C2-25804820EDAC}">
                  <c15:fullRef>
                    <c15:sqref>q4_8_12_16_25_37_Fig_b!$BN$38:$BN$42</c15:sqref>
                  </c15:fullRef>
                </c:ext>
              </c:extLst>
              <c:f>q4_8_12_16_25_37_Fig_b!$BN$38</c:f>
              <c:numCache>
                <c:formatCode>#,##0</c:formatCode>
                <c:ptCount val="1"/>
                <c:pt idx="0">
                  <c:v>1269596.0000000002</c:v>
                </c:pt>
              </c:numCache>
            </c:numRef>
          </c:val>
          <c:extLst>
            <c:ext xmlns:c16="http://schemas.microsoft.com/office/drawing/2014/chart" uri="{C3380CC4-5D6E-409C-BE32-E72D297353CC}">
              <c16:uniqueId val="{00000000-EAD3-495A-BEFE-C195917D4873}"/>
            </c:ext>
          </c:extLst>
        </c:ser>
        <c:ser>
          <c:idx val="1"/>
          <c:order val="1"/>
          <c:tx>
            <c:strRef>
              <c:f>q4_8_12_16_25_37_Fig_b!$BO$37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q4_8_12_16_25_37_Fig_b!$BM$38:$BM$42</c15:sqref>
                  </c15:fullRef>
                </c:ext>
              </c:extLst>
              <c:f>q4_8_12_16_25_37_Fig_b!$BM$38</c:f>
              <c:strCache>
                <c:ptCount val="1"/>
                <c:pt idx="0">
                  <c:v>Norte</c:v>
                </c:pt>
              </c:strCache>
            </c:strRef>
          </c:cat>
          <c:val>
            <c:numRef>
              <c:extLst>
                <c:ext xmlns:c15="http://schemas.microsoft.com/office/drawing/2012/chart" uri="{02D57815-91ED-43cb-92C2-25804820EDAC}">
                  <c15:fullRef>
                    <c15:sqref>q4_8_12_16_25_37_Fig_b!$BO$38:$BO$42</c15:sqref>
                  </c15:fullRef>
                </c:ext>
              </c:extLst>
              <c:f>q4_8_12_16_25_37_Fig_b!$BO$38</c:f>
              <c:numCache>
                <c:formatCode>#,##0</c:formatCode>
                <c:ptCount val="1"/>
                <c:pt idx="0">
                  <c:v>1196817.9999999998</c:v>
                </c:pt>
              </c:numCache>
            </c:numRef>
          </c:val>
          <c:extLst>
            <c:ext xmlns:c16="http://schemas.microsoft.com/office/drawing/2014/chart" uri="{C3380CC4-5D6E-409C-BE32-E72D297353CC}">
              <c16:uniqueId val="{00000001-EAD3-495A-BEFE-C195917D4873}"/>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q4_8_12_16_25_37_Fig_b!$BM$38:$BM$42</c15:sqref>
                  </c15:fullRef>
                </c:ext>
              </c:extLst>
              <c:f>q4_8_12_16_25_37_Fig_b!$BM$40</c:f>
              <c:strCache>
                <c:ptCount val="1"/>
                <c:pt idx="0">
                  <c:v>Área Metropolitana de Lisboa</c:v>
                </c:pt>
              </c:strCache>
            </c:strRef>
          </c:cat>
          <c:val>
            <c:numRef>
              <c:extLst>
                <c:ext xmlns:c15="http://schemas.microsoft.com/office/drawing/2012/chart" uri="{02D57815-91ED-43cb-92C2-25804820EDAC}">
                  <c15:fullRef>
                    <c15:sqref>q4_8_12_16_25_37_Fig_b!$BN$38:$BN$42</c15:sqref>
                  </c15:fullRef>
                </c:ext>
              </c:extLst>
              <c:f>q4_8_12_16_25_37_Fig_b!$BN$40</c:f>
              <c:numCache>
                <c:formatCode>#,##0</c:formatCode>
                <c:ptCount val="1"/>
                <c:pt idx="0">
                  <c:v>1174107</c:v>
                </c:pt>
              </c:numCache>
            </c:numRef>
          </c:val>
          <c:extLst>
            <c:ext xmlns:c16="http://schemas.microsoft.com/office/drawing/2014/chart" uri="{C3380CC4-5D6E-409C-BE32-E72D297353CC}">
              <c16:uniqueId val="{00000000-BADD-4434-B5D5-2B05C07914A2}"/>
            </c:ext>
          </c:extLst>
        </c:ser>
        <c:ser>
          <c:idx val="1"/>
          <c:order val="1"/>
          <c:tx>
            <c:strRef>
              <c:f>q4_8_12_16_25_37_Fig_b!$BO$37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q4_8_12_16_25_37_Fig_b!$BM$38:$BM$42</c15:sqref>
                  </c15:fullRef>
                </c:ext>
              </c:extLst>
              <c:f>q4_8_12_16_25_37_Fig_b!$BM$40</c:f>
              <c:strCache>
                <c:ptCount val="1"/>
                <c:pt idx="0">
                  <c:v>Área Metropolitana de Lisboa</c:v>
                </c:pt>
              </c:strCache>
            </c:strRef>
          </c:cat>
          <c:val>
            <c:numRef>
              <c:extLst>
                <c:ext xmlns:c15="http://schemas.microsoft.com/office/drawing/2012/chart" uri="{02D57815-91ED-43cb-92C2-25804820EDAC}">
                  <c15:fullRef>
                    <c15:sqref>q4_8_12_16_25_37_Fig_b!$BO$38:$BO$42</c15:sqref>
                  </c15:fullRef>
                </c:ext>
              </c:extLst>
              <c:f>q4_8_12_16_25_37_Fig_b!$BO$40</c:f>
              <c:numCache>
                <c:formatCode>#,##0</c:formatCode>
                <c:ptCount val="1"/>
                <c:pt idx="0">
                  <c:v>1124021</c:v>
                </c:pt>
              </c:numCache>
            </c:numRef>
          </c:val>
          <c:extLst>
            <c:ext xmlns:c16="http://schemas.microsoft.com/office/drawing/2014/chart" uri="{C3380CC4-5D6E-409C-BE32-E72D297353CC}">
              <c16:uniqueId val="{00000001-BADD-4434-B5D5-2B05C07914A2}"/>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042502433016683"/>
          <c:y val="3.567815386713024E-2"/>
          <c:w val="0.61234267209825088"/>
          <c:h val="0.92049561986569861"/>
        </c:manualLayout>
      </c:layout>
      <c:barChart>
        <c:barDir val="bar"/>
        <c:grouping val="clustered"/>
        <c:varyColors val="0"/>
        <c:ser>
          <c:idx val="0"/>
          <c:order val="0"/>
          <c:tx>
            <c:strRef>
              <c:f>q4_8_12_16_25_37_Fig_b!$BN$7</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q4_8_12_16_25_37_Fig_b!$BM$8:$BM$30</c:f>
              <c:strCache>
                <c:ptCount val="23"/>
                <c:pt idx="0">
                  <c:v>Alto Minho</c:v>
                </c:pt>
                <c:pt idx="1">
                  <c:v>Cávado</c:v>
                </c:pt>
                <c:pt idx="2">
                  <c:v>Ave</c:v>
                </c:pt>
                <c:pt idx="3">
                  <c:v>Área Metropolitana do Porto</c:v>
                </c:pt>
                <c:pt idx="4">
                  <c:v>Alto Tâmega</c:v>
                </c:pt>
                <c:pt idx="5">
                  <c:v>Tâmega e Sousa</c:v>
                </c:pt>
                <c:pt idx="6">
                  <c:v>Douro</c:v>
                </c:pt>
                <c:pt idx="7">
                  <c:v>Terras de Trás-os-Montes</c:v>
                </c:pt>
                <c:pt idx="8">
                  <c:v>Oeste</c:v>
                </c:pt>
                <c:pt idx="9">
                  <c:v>Região de Aveiro</c:v>
                </c:pt>
                <c:pt idx="10">
                  <c:v>Região de Coimbra</c:v>
                </c:pt>
                <c:pt idx="11">
                  <c:v>Região de Leiria</c:v>
                </c:pt>
                <c:pt idx="12">
                  <c:v>Viseu Dão Lafões</c:v>
                </c:pt>
                <c:pt idx="13">
                  <c:v>Beira Baixa</c:v>
                </c:pt>
                <c:pt idx="14">
                  <c:v>Médio Tejo</c:v>
                </c:pt>
                <c:pt idx="15">
                  <c:v>Beiras e Serra da Estrela</c:v>
                </c:pt>
                <c:pt idx="16">
                  <c:v>Área Metropolitana de Lisboa</c:v>
                </c:pt>
                <c:pt idx="17">
                  <c:v>Alentejo Litoral</c:v>
                </c:pt>
                <c:pt idx="18">
                  <c:v>Baixo Alentejo</c:v>
                </c:pt>
                <c:pt idx="19">
                  <c:v>Lezíria do Tejo</c:v>
                </c:pt>
                <c:pt idx="20">
                  <c:v>Alto Alentejo</c:v>
                </c:pt>
                <c:pt idx="21">
                  <c:v>Alentejo Central</c:v>
                </c:pt>
                <c:pt idx="22">
                  <c:v>Algarve</c:v>
                </c:pt>
              </c:strCache>
            </c:strRef>
          </c:cat>
          <c:val>
            <c:numRef>
              <c:f>q4_8_12_16_25_37_Fig_b!$BN$8:$BN$30</c:f>
              <c:numCache>
                <c:formatCode>#,##0</c:formatCode>
                <c:ptCount val="23"/>
                <c:pt idx="0">
                  <c:v>73222</c:v>
                </c:pt>
                <c:pt idx="1">
                  <c:v>160991</c:v>
                </c:pt>
                <c:pt idx="2">
                  <c:v>149150.00000000003</c:v>
                </c:pt>
                <c:pt idx="3">
                  <c:v>666772</c:v>
                </c:pt>
                <c:pt idx="4">
                  <c:v>17027</c:v>
                </c:pt>
                <c:pt idx="5">
                  <c:v>137932</c:v>
                </c:pt>
                <c:pt idx="6">
                  <c:v>42955</c:v>
                </c:pt>
                <c:pt idx="7">
                  <c:v>21547</c:v>
                </c:pt>
                <c:pt idx="8">
                  <c:v>112479</c:v>
                </c:pt>
                <c:pt idx="9">
                  <c:v>139173</c:v>
                </c:pt>
                <c:pt idx="10">
                  <c:v>125294.99999999997</c:v>
                </c:pt>
                <c:pt idx="11">
                  <c:v>111125.99999999999</c:v>
                </c:pt>
                <c:pt idx="12">
                  <c:v>79469</c:v>
                </c:pt>
                <c:pt idx="13">
                  <c:v>19323</c:v>
                </c:pt>
                <c:pt idx="14">
                  <c:v>64247.999999999993</c:v>
                </c:pt>
                <c:pt idx="15">
                  <c:v>51650.999999999993</c:v>
                </c:pt>
                <c:pt idx="16">
                  <c:v>1174107</c:v>
                </c:pt>
                <c:pt idx="17">
                  <c:v>36011</c:v>
                </c:pt>
                <c:pt idx="18">
                  <c:v>33016.999999999993</c:v>
                </c:pt>
                <c:pt idx="19">
                  <c:v>76658</c:v>
                </c:pt>
                <c:pt idx="20">
                  <c:v>23829.999999999996</c:v>
                </c:pt>
                <c:pt idx="21">
                  <c:v>44873</c:v>
                </c:pt>
                <c:pt idx="22">
                  <c:v>184098.99999999997</c:v>
                </c:pt>
              </c:numCache>
            </c:numRef>
          </c:val>
          <c:extLst>
            <c:ext xmlns:c16="http://schemas.microsoft.com/office/drawing/2014/chart" uri="{C3380CC4-5D6E-409C-BE32-E72D297353CC}">
              <c16:uniqueId val="{00000000-7791-4240-AB56-924478FCDA56}"/>
            </c:ext>
          </c:extLst>
        </c:ser>
        <c:ser>
          <c:idx val="1"/>
          <c:order val="1"/>
          <c:tx>
            <c:strRef>
              <c:f>q4_8_12_16_25_37_Fig_b!$BO$7</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q4_8_12_16_25_37_Fig_b!$BM$8:$BM$30</c:f>
              <c:strCache>
                <c:ptCount val="23"/>
                <c:pt idx="0">
                  <c:v>Alto Minho</c:v>
                </c:pt>
                <c:pt idx="1">
                  <c:v>Cávado</c:v>
                </c:pt>
                <c:pt idx="2">
                  <c:v>Ave</c:v>
                </c:pt>
                <c:pt idx="3">
                  <c:v>Área Metropolitana do Porto</c:v>
                </c:pt>
                <c:pt idx="4">
                  <c:v>Alto Tâmega</c:v>
                </c:pt>
                <c:pt idx="5">
                  <c:v>Tâmega e Sousa</c:v>
                </c:pt>
                <c:pt idx="6">
                  <c:v>Douro</c:v>
                </c:pt>
                <c:pt idx="7">
                  <c:v>Terras de Trás-os-Montes</c:v>
                </c:pt>
                <c:pt idx="8">
                  <c:v>Oeste</c:v>
                </c:pt>
                <c:pt idx="9">
                  <c:v>Região de Aveiro</c:v>
                </c:pt>
                <c:pt idx="10">
                  <c:v>Região de Coimbra</c:v>
                </c:pt>
                <c:pt idx="11">
                  <c:v>Região de Leiria</c:v>
                </c:pt>
                <c:pt idx="12">
                  <c:v>Viseu Dão Lafões</c:v>
                </c:pt>
                <c:pt idx="13">
                  <c:v>Beira Baixa</c:v>
                </c:pt>
                <c:pt idx="14">
                  <c:v>Médio Tejo</c:v>
                </c:pt>
                <c:pt idx="15">
                  <c:v>Beiras e Serra da Estrela</c:v>
                </c:pt>
                <c:pt idx="16">
                  <c:v>Área Metropolitana de Lisboa</c:v>
                </c:pt>
                <c:pt idx="17">
                  <c:v>Alentejo Litoral</c:v>
                </c:pt>
                <c:pt idx="18">
                  <c:v>Baixo Alentejo</c:v>
                </c:pt>
                <c:pt idx="19">
                  <c:v>Lezíria do Tejo</c:v>
                </c:pt>
                <c:pt idx="20">
                  <c:v>Alto Alentejo</c:v>
                </c:pt>
                <c:pt idx="21">
                  <c:v>Alentejo Central</c:v>
                </c:pt>
                <c:pt idx="22">
                  <c:v>Algarve</c:v>
                </c:pt>
              </c:strCache>
            </c:strRef>
          </c:cat>
          <c:val>
            <c:numRef>
              <c:f>q4_8_12_16_25_37_Fig_b!$BO$8:$BO$30</c:f>
              <c:numCache>
                <c:formatCode>#,##0</c:formatCode>
                <c:ptCount val="23"/>
                <c:pt idx="0">
                  <c:v>68763</c:v>
                </c:pt>
                <c:pt idx="1">
                  <c:v>150659</c:v>
                </c:pt>
                <c:pt idx="2">
                  <c:v>140354</c:v>
                </c:pt>
                <c:pt idx="3">
                  <c:v>631342.00000000012</c:v>
                </c:pt>
                <c:pt idx="4">
                  <c:v>15712.999999999998</c:v>
                </c:pt>
                <c:pt idx="5">
                  <c:v>130073</c:v>
                </c:pt>
                <c:pt idx="6">
                  <c:v>40207</c:v>
                </c:pt>
                <c:pt idx="7">
                  <c:v>19707</c:v>
                </c:pt>
                <c:pt idx="8">
                  <c:v>104588.00000000001</c:v>
                </c:pt>
                <c:pt idx="9">
                  <c:v>131216</c:v>
                </c:pt>
                <c:pt idx="10">
                  <c:v>117601.00000000003</c:v>
                </c:pt>
                <c:pt idx="11">
                  <c:v>103510</c:v>
                </c:pt>
                <c:pt idx="12">
                  <c:v>74675</c:v>
                </c:pt>
                <c:pt idx="13">
                  <c:v>18069.000000000004</c:v>
                </c:pt>
                <c:pt idx="14">
                  <c:v>59580.999999999993</c:v>
                </c:pt>
                <c:pt idx="15">
                  <c:v>48551</c:v>
                </c:pt>
                <c:pt idx="16">
                  <c:v>1124021</c:v>
                </c:pt>
                <c:pt idx="17">
                  <c:v>34505</c:v>
                </c:pt>
                <c:pt idx="18">
                  <c:v>31283.999999999996</c:v>
                </c:pt>
                <c:pt idx="19">
                  <c:v>72771</c:v>
                </c:pt>
                <c:pt idx="20">
                  <c:v>22423</c:v>
                </c:pt>
                <c:pt idx="21">
                  <c:v>42150</c:v>
                </c:pt>
                <c:pt idx="22">
                  <c:v>172373</c:v>
                </c:pt>
              </c:numCache>
            </c:numRef>
          </c:val>
          <c:extLst>
            <c:ext xmlns:c16="http://schemas.microsoft.com/office/drawing/2014/chart" uri="{C3380CC4-5D6E-409C-BE32-E72D297353CC}">
              <c16:uniqueId val="{00000001-7791-4240-AB56-924478FCDA56}"/>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ax val="1500000"/>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1213051209"/>
          <c:y val="0.8958285000206182"/>
          <c:w val="0.33981512399659702"/>
          <c:h val="7.6847968932930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q4_8_12_16_25_37_Fig_b!$CG$38:$CG$42</c15:sqref>
                  </c15:fullRef>
                </c:ext>
              </c:extLst>
              <c:f>q4_8_12_16_25_37_Fig_b!$CG$38</c:f>
              <c:strCache>
                <c:ptCount val="1"/>
                <c:pt idx="0">
                  <c:v>Norte</c:v>
                </c:pt>
              </c:strCache>
            </c:strRef>
          </c:cat>
          <c:val>
            <c:numRef>
              <c:extLst>
                <c:ext xmlns:c15="http://schemas.microsoft.com/office/drawing/2012/chart" uri="{02D57815-91ED-43cb-92C2-25804820EDAC}">
                  <c15:fullRef>
                    <c15:sqref>q4_8_12_16_25_37_Fig_b!$CH$38:$CH$42</c15:sqref>
                  </c15:fullRef>
                </c:ext>
              </c:extLst>
              <c:f>q4_8_12_16_25_37_Fig_b!$CH$38</c:f>
              <c:numCache>
                <c:formatCode>#,##0\ "€"</c:formatCode>
                <c:ptCount val="1"/>
                <c:pt idx="0">
                  <c:v>1233.0899999999999</c:v>
                </c:pt>
              </c:numCache>
            </c:numRef>
          </c:val>
          <c:extLst>
            <c:ext xmlns:c16="http://schemas.microsoft.com/office/drawing/2014/chart" uri="{C3380CC4-5D6E-409C-BE32-E72D297353CC}">
              <c16:uniqueId val="{00000000-27AA-406A-8DE3-BCF7EA719434}"/>
            </c:ext>
          </c:extLst>
        </c:ser>
        <c:ser>
          <c:idx val="1"/>
          <c:order val="1"/>
          <c:tx>
            <c:strRef>
              <c:f>q4_8_12_16_25_37_Fig_b!$CI$37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q4_8_12_16_25_37_Fig_b!$CG$38:$CG$42</c15:sqref>
                  </c15:fullRef>
                </c:ext>
              </c:extLst>
              <c:f>q4_8_12_16_25_37_Fig_b!$CG$38</c:f>
              <c:strCache>
                <c:ptCount val="1"/>
                <c:pt idx="0">
                  <c:v>Norte</c:v>
                </c:pt>
              </c:strCache>
            </c:strRef>
          </c:cat>
          <c:val>
            <c:numRef>
              <c:extLst>
                <c:ext xmlns:c15="http://schemas.microsoft.com/office/drawing/2012/chart" uri="{02D57815-91ED-43cb-92C2-25804820EDAC}">
                  <c15:fullRef>
                    <c15:sqref>q4_8_12_16_25_37_Fig_b!$CI$38:$CI$42</c15:sqref>
                  </c15:fullRef>
                </c:ext>
              </c:extLst>
              <c:f>q4_8_12_16_25_37_Fig_b!$CI$38</c:f>
              <c:numCache>
                <c:formatCode>#,##0\ "€"</c:formatCode>
                <c:ptCount val="1"/>
                <c:pt idx="0">
                  <c:v>1474.68</c:v>
                </c:pt>
              </c:numCache>
            </c:numRef>
          </c:val>
          <c:extLst>
            <c:ext xmlns:c16="http://schemas.microsoft.com/office/drawing/2014/chart" uri="{C3380CC4-5D6E-409C-BE32-E72D297353CC}">
              <c16:uniqueId val="{00000001-27AA-406A-8DE3-BCF7EA719434}"/>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q4_8_12_16_25_37_Fig_b!$CG$38:$CG$42</c15:sqref>
                  </c15:fullRef>
                </c:ext>
              </c:extLst>
              <c:f>q4_8_12_16_25_37_Fig_b!$CG$39</c:f>
              <c:strCache>
                <c:ptCount val="1"/>
                <c:pt idx="0">
                  <c:v>Centro</c:v>
                </c:pt>
              </c:strCache>
            </c:strRef>
          </c:cat>
          <c:val>
            <c:numRef>
              <c:extLst>
                <c:ext xmlns:c15="http://schemas.microsoft.com/office/drawing/2012/chart" uri="{02D57815-91ED-43cb-92C2-25804820EDAC}">
                  <c15:fullRef>
                    <c15:sqref>q4_8_12_16_25_37_Fig_b!$CH$38:$CH$42</c15:sqref>
                  </c15:fullRef>
                </c:ext>
              </c:extLst>
              <c:f>q4_8_12_16_25_37_Fig_b!$CH$39</c:f>
              <c:numCache>
                <c:formatCode>#,##0\ "€"</c:formatCode>
                <c:ptCount val="1"/>
                <c:pt idx="0">
                  <c:v>1139.44</c:v>
                </c:pt>
              </c:numCache>
            </c:numRef>
          </c:val>
          <c:extLst>
            <c:ext xmlns:c16="http://schemas.microsoft.com/office/drawing/2014/chart" uri="{C3380CC4-5D6E-409C-BE32-E72D297353CC}">
              <c16:uniqueId val="{00000000-5235-4640-B682-DC068EE32F64}"/>
            </c:ext>
          </c:extLst>
        </c:ser>
        <c:ser>
          <c:idx val="1"/>
          <c:order val="1"/>
          <c:tx>
            <c:strRef>
              <c:f>q4_8_12_16_25_37_Fig_b!$CI$37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q4_8_12_16_25_37_Fig_b!$CG$38:$CG$42</c15:sqref>
                  </c15:fullRef>
                </c:ext>
              </c:extLst>
              <c:f>q4_8_12_16_25_37_Fig_b!$CG$39</c:f>
              <c:strCache>
                <c:ptCount val="1"/>
                <c:pt idx="0">
                  <c:v>Centro</c:v>
                </c:pt>
              </c:strCache>
            </c:strRef>
          </c:cat>
          <c:val>
            <c:numRef>
              <c:extLst>
                <c:ext xmlns:c15="http://schemas.microsoft.com/office/drawing/2012/chart" uri="{02D57815-91ED-43cb-92C2-25804820EDAC}">
                  <c15:fullRef>
                    <c15:sqref>q4_8_12_16_25_37_Fig_b!$CI$38:$CI$42</c15:sqref>
                  </c15:fullRef>
                </c:ext>
              </c:extLst>
              <c:f>q4_8_12_16_25_37_Fig_b!$CI$39</c:f>
              <c:numCache>
                <c:formatCode>#,##0\ "€"</c:formatCode>
                <c:ptCount val="1"/>
                <c:pt idx="0">
                  <c:v>1393.64</c:v>
                </c:pt>
              </c:numCache>
            </c:numRef>
          </c:val>
          <c:extLst>
            <c:ext xmlns:c16="http://schemas.microsoft.com/office/drawing/2014/chart" uri="{C3380CC4-5D6E-409C-BE32-E72D297353CC}">
              <c16:uniqueId val="{00000001-5235-4640-B682-DC068EE32F64}"/>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q4_8_12_16_25_37_Fig_b!$CG$38:$CG$42</c15:sqref>
                  </c15:fullRef>
                </c:ext>
              </c:extLst>
              <c:f>q4_8_12_16_25_37_Fig_b!$CG$40</c:f>
              <c:strCache>
                <c:ptCount val="1"/>
                <c:pt idx="0">
                  <c:v>Área Metropolitana de Lisboa</c:v>
                </c:pt>
              </c:strCache>
            </c:strRef>
          </c:cat>
          <c:val>
            <c:numRef>
              <c:extLst>
                <c:ext xmlns:c15="http://schemas.microsoft.com/office/drawing/2012/chart" uri="{02D57815-91ED-43cb-92C2-25804820EDAC}">
                  <c15:fullRef>
                    <c15:sqref>q4_8_12_16_25_37_Fig_b!$CH$38:$CH$42</c15:sqref>
                  </c15:fullRef>
                </c:ext>
              </c:extLst>
              <c:f>q4_8_12_16_25_37_Fig_b!$CH$40</c:f>
              <c:numCache>
                <c:formatCode>#,##0\ "€"</c:formatCode>
                <c:ptCount val="1"/>
                <c:pt idx="0">
                  <c:v>1554.49</c:v>
                </c:pt>
              </c:numCache>
            </c:numRef>
          </c:val>
          <c:extLst>
            <c:ext xmlns:c16="http://schemas.microsoft.com/office/drawing/2014/chart" uri="{C3380CC4-5D6E-409C-BE32-E72D297353CC}">
              <c16:uniqueId val="{00000000-FC6C-4983-90B5-4777D536C73F}"/>
            </c:ext>
          </c:extLst>
        </c:ser>
        <c:ser>
          <c:idx val="1"/>
          <c:order val="1"/>
          <c:tx>
            <c:strRef>
              <c:f>q4_8_12_16_25_37_Fig_b!$CI$37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q4_8_12_16_25_37_Fig_b!$CG$38:$CG$42</c15:sqref>
                  </c15:fullRef>
                </c:ext>
              </c:extLst>
              <c:f>q4_8_12_16_25_37_Fig_b!$CG$40</c:f>
              <c:strCache>
                <c:ptCount val="1"/>
                <c:pt idx="0">
                  <c:v>Área Metropolitana de Lisboa</c:v>
                </c:pt>
              </c:strCache>
            </c:strRef>
          </c:cat>
          <c:val>
            <c:numRef>
              <c:extLst>
                <c:ext xmlns:c15="http://schemas.microsoft.com/office/drawing/2012/chart" uri="{02D57815-91ED-43cb-92C2-25804820EDAC}">
                  <c15:fullRef>
                    <c15:sqref>q4_8_12_16_25_37_Fig_b!$CI$38:$CI$42</c15:sqref>
                  </c15:fullRef>
                </c:ext>
              </c:extLst>
              <c:f>q4_8_12_16_25_37_Fig_b!$CI$40</c:f>
              <c:numCache>
                <c:formatCode>#,##0\ "€"</c:formatCode>
                <c:ptCount val="1"/>
                <c:pt idx="0">
                  <c:v>1880.94</c:v>
                </c:pt>
              </c:numCache>
            </c:numRef>
          </c:val>
          <c:extLst>
            <c:ext xmlns:c16="http://schemas.microsoft.com/office/drawing/2014/chart" uri="{C3380CC4-5D6E-409C-BE32-E72D297353CC}">
              <c16:uniqueId val="{00000001-FC6C-4983-90B5-4777D536C73F}"/>
            </c:ext>
          </c:extLst>
        </c:ser>
        <c:dLbls>
          <c:showLegendKey val="0"/>
          <c:showVal val="0"/>
          <c:showCatName val="0"/>
          <c:showSerName val="0"/>
          <c:showPercent val="0"/>
          <c:showBubbleSize val="0"/>
        </c:dLbls>
        <c:gapWidth val="201"/>
        <c:overlap val="-25"/>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q4_8_12_16_25_37_Fig_b!$CH$37</c:f>
              <c:strCache>
                <c:ptCount val="1"/>
                <c:pt idx="0">
                  <c:v>Base</c:v>
                </c:pt>
              </c:strCache>
            </c:strRef>
          </c:tx>
          <c:spPr>
            <a:solidFill>
              <a:srgbClr val="4572A5"/>
            </a:solidFill>
            <a:ln>
              <a:noFill/>
            </a:ln>
            <a:effectLst/>
          </c:spPr>
          <c:invertIfNegative val="0"/>
          <c:dLbls>
            <c:dLbl>
              <c:idx val="0"/>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0-7394-4754-9D76-0696BE812AB6}"/>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q4_8_12_16_25_37_Fig_b!$CG$38:$CG$42</c15:sqref>
                  </c15:fullRef>
                </c:ext>
              </c:extLst>
              <c:f>q4_8_12_16_25_37_Fig_b!$CG$42</c:f>
              <c:strCache>
                <c:ptCount val="1"/>
                <c:pt idx="0">
                  <c:v>Algarve</c:v>
                </c:pt>
              </c:strCache>
            </c:strRef>
          </c:cat>
          <c:val>
            <c:numRef>
              <c:extLst>
                <c:ext xmlns:c15="http://schemas.microsoft.com/office/drawing/2012/chart" uri="{02D57815-91ED-43cb-92C2-25804820EDAC}">
                  <c15:fullRef>
                    <c15:sqref>q4_8_12_16_25_37_Fig_b!$CH$38:$CH$42</c15:sqref>
                  </c15:fullRef>
                </c:ext>
              </c:extLst>
              <c:f>q4_8_12_16_25_37_Fig_b!$CH$42</c:f>
              <c:numCache>
                <c:formatCode>#,##0\ "€"</c:formatCode>
                <c:ptCount val="1"/>
                <c:pt idx="0">
                  <c:v>1095.01</c:v>
                </c:pt>
              </c:numCache>
            </c:numRef>
          </c:val>
          <c:extLst>
            <c:ext xmlns:c16="http://schemas.microsoft.com/office/drawing/2014/chart" uri="{C3380CC4-5D6E-409C-BE32-E72D297353CC}">
              <c16:uniqueId val="{00000001-7394-4754-9D76-0696BE812AB6}"/>
            </c:ext>
          </c:extLst>
        </c:ser>
        <c:ser>
          <c:idx val="1"/>
          <c:order val="1"/>
          <c:tx>
            <c:strRef>
              <c:f>q4_8_12_16_25_37_Fig_b!$CI$37</c:f>
              <c:strCache>
                <c:ptCount val="1"/>
                <c:pt idx="0">
                  <c:v>Ganho</c:v>
                </c:pt>
              </c:strCache>
            </c:strRef>
          </c:tx>
          <c:spPr>
            <a:solidFill>
              <a:srgbClr val="FFC000"/>
            </a:solidFill>
            <a:ln>
              <a:noFill/>
            </a:ln>
            <a:effectLst/>
          </c:spPr>
          <c:invertIfNegative val="0"/>
          <c:dLbls>
            <c:dLbl>
              <c:idx val="0"/>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2-7394-4754-9D76-0696BE812AB6}"/>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q4_8_12_16_25_37_Fig_b!$CG$38:$CG$42</c15:sqref>
                  </c15:fullRef>
                </c:ext>
              </c:extLst>
              <c:f>q4_8_12_16_25_37_Fig_b!$CG$42</c:f>
              <c:strCache>
                <c:ptCount val="1"/>
                <c:pt idx="0">
                  <c:v>Algarve</c:v>
                </c:pt>
              </c:strCache>
            </c:strRef>
          </c:cat>
          <c:val>
            <c:numRef>
              <c:extLst>
                <c:ext xmlns:c15="http://schemas.microsoft.com/office/drawing/2012/chart" uri="{02D57815-91ED-43cb-92C2-25804820EDAC}">
                  <c15:fullRef>
                    <c15:sqref>q4_8_12_16_25_37_Fig_b!$CI$38:$CI$42</c15:sqref>
                  </c15:fullRef>
                </c:ext>
              </c:extLst>
              <c:f>q4_8_12_16_25_37_Fig_b!$CI$42</c:f>
              <c:numCache>
                <c:formatCode>#,##0\ "€"</c:formatCode>
                <c:ptCount val="1"/>
                <c:pt idx="0">
                  <c:v>1320.22</c:v>
                </c:pt>
              </c:numCache>
            </c:numRef>
          </c:val>
          <c:extLst>
            <c:ext xmlns:c16="http://schemas.microsoft.com/office/drawing/2014/chart" uri="{C3380CC4-5D6E-409C-BE32-E72D297353CC}">
              <c16:uniqueId val="{00000003-7394-4754-9D76-0696BE812AB6}"/>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q4_8_12_16_25_37_Fig_b!$CG$38:$CG$42</c15:sqref>
                  </c15:fullRef>
                </c:ext>
              </c:extLst>
              <c:f>q4_8_12_16_25_37_Fig_b!$CG$41</c:f>
              <c:strCache>
                <c:ptCount val="1"/>
                <c:pt idx="0">
                  <c:v>Alentejo</c:v>
                </c:pt>
              </c:strCache>
            </c:strRef>
          </c:cat>
          <c:val>
            <c:numRef>
              <c:extLst>
                <c:ext xmlns:c15="http://schemas.microsoft.com/office/drawing/2012/chart" uri="{02D57815-91ED-43cb-92C2-25804820EDAC}">
                  <c15:fullRef>
                    <c15:sqref>q4_8_12_16_25_37_Fig_b!$CH$38:$CH$42</c15:sqref>
                  </c15:fullRef>
                </c:ext>
              </c:extLst>
              <c:f>q4_8_12_16_25_37_Fig_b!$CH$41</c:f>
              <c:numCache>
                <c:formatCode>#,##0\ "€"</c:formatCode>
                <c:ptCount val="1"/>
                <c:pt idx="0">
                  <c:v>1119.54</c:v>
                </c:pt>
              </c:numCache>
            </c:numRef>
          </c:val>
          <c:extLst>
            <c:ext xmlns:c16="http://schemas.microsoft.com/office/drawing/2014/chart" uri="{C3380CC4-5D6E-409C-BE32-E72D297353CC}">
              <c16:uniqueId val="{00000000-11BE-4EBA-87C1-3FF97E23333D}"/>
            </c:ext>
          </c:extLst>
        </c:ser>
        <c:ser>
          <c:idx val="1"/>
          <c:order val="1"/>
          <c:tx>
            <c:strRef>
              <c:f>q4_8_12_16_25_37_Fig_b!$CI$37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q4_8_12_16_25_37_Fig_b!$CG$38:$CG$42</c15:sqref>
                  </c15:fullRef>
                </c:ext>
              </c:extLst>
              <c:f>q4_8_12_16_25_37_Fig_b!$CG$41</c:f>
              <c:strCache>
                <c:ptCount val="1"/>
                <c:pt idx="0">
                  <c:v>Alentejo</c:v>
                </c:pt>
              </c:strCache>
            </c:strRef>
          </c:cat>
          <c:val>
            <c:numRef>
              <c:extLst>
                <c:ext xmlns:c15="http://schemas.microsoft.com/office/drawing/2012/chart" uri="{02D57815-91ED-43cb-92C2-25804820EDAC}">
                  <c15:fullRef>
                    <c15:sqref>q4_8_12_16_25_37_Fig_b!$CI$38:$CI$42</c15:sqref>
                  </c15:fullRef>
                </c:ext>
              </c:extLst>
              <c:f>q4_8_12_16_25_37_Fig_b!$CI$41</c:f>
              <c:numCache>
                <c:formatCode>#,##0\ "€"</c:formatCode>
                <c:ptCount val="1"/>
                <c:pt idx="0">
                  <c:v>1393.47</c:v>
                </c:pt>
              </c:numCache>
            </c:numRef>
          </c:val>
          <c:extLst>
            <c:ext xmlns:c16="http://schemas.microsoft.com/office/drawing/2014/chart" uri="{C3380CC4-5D6E-409C-BE32-E72D297353CC}">
              <c16:uniqueId val="{00000001-11BE-4EBA-87C1-3FF97E23333D}"/>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q4_8_12_16_25_37_Fig_b!$CH$7</c:f>
              <c:strCache>
                <c:ptCount val="1"/>
                <c:pt idx="0">
                  <c:v>Base</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q4_8_12_16_25_37_Fig_b!$CG$8:$CG$30</c:f>
              <c:strCache>
                <c:ptCount val="23"/>
                <c:pt idx="0">
                  <c:v>Alto Minho</c:v>
                </c:pt>
                <c:pt idx="1">
                  <c:v>Cávado</c:v>
                </c:pt>
                <c:pt idx="2">
                  <c:v>Ave</c:v>
                </c:pt>
                <c:pt idx="3">
                  <c:v>Área Metropolitana do Porto</c:v>
                </c:pt>
                <c:pt idx="4">
                  <c:v>Alto Tâmega</c:v>
                </c:pt>
                <c:pt idx="5">
                  <c:v>Tâmega e Sousa</c:v>
                </c:pt>
                <c:pt idx="6">
                  <c:v>Douro</c:v>
                </c:pt>
                <c:pt idx="7">
                  <c:v>Terras de Trás-os-Montes</c:v>
                </c:pt>
                <c:pt idx="8">
                  <c:v>Oeste</c:v>
                </c:pt>
                <c:pt idx="9">
                  <c:v>Região de Aveiro</c:v>
                </c:pt>
                <c:pt idx="10">
                  <c:v>Região de Coimbra</c:v>
                </c:pt>
                <c:pt idx="11">
                  <c:v>Região de Leiria</c:v>
                </c:pt>
                <c:pt idx="12">
                  <c:v>Viseu Dão Lafões</c:v>
                </c:pt>
                <c:pt idx="13">
                  <c:v>Beira Baixa</c:v>
                </c:pt>
                <c:pt idx="14">
                  <c:v>Médio Tejo</c:v>
                </c:pt>
                <c:pt idx="15">
                  <c:v>Beiras e Serra da Estrela</c:v>
                </c:pt>
                <c:pt idx="16">
                  <c:v>Área Metropolitana de Lisboa</c:v>
                </c:pt>
                <c:pt idx="17">
                  <c:v>Alentejo Litoral</c:v>
                </c:pt>
                <c:pt idx="18">
                  <c:v>Baixo Alentejo</c:v>
                </c:pt>
                <c:pt idx="19">
                  <c:v>Lezíria do Tejo</c:v>
                </c:pt>
                <c:pt idx="20">
                  <c:v>Alto Alentejo</c:v>
                </c:pt>
                <c:pt idx="21">
                  <c:v>Alentejo Central</c:v>
                </c:pt>
                <c:pt idx="22">
                  <c:v>Algarve</c:v>
                </c:pt>
              </c:strCache>
            </c:strRef>
          </c:cat>
          <c:val>
            <c:numRef>
              <c:f>q4_8_12_16_25_37_Fig_b!$CH$8:$CH$30</c:f>
              <c:numCache>
                <c:formatCode>#,##0\ "€"</c:formatCode>
                <c:ptCount val="23"/>
                <c:pt idx="0">
                  <c:v>1098.82</c:v>
                </c:pt>
                <c:pt idx="1">
                  <c:v>1183.58</c:v>
                </c:pt>
                <c:pt idx="2">
                  <c:v>1109.23</c:v>
                </c:pt>
                <c:pt idx="3">
                  <c:v>1351.51</c:v>
                </c:pt>
                <c:pt idx="4">
                  <c:v>1024.3399999999999</c:v>
                </c:pt>
                <c:pt idx="5">
                  <c:v>1026.48</c:v>
                </c:pt>
                <c:pt idx="6">
                  <c:v>1059.6099999999999</c:v>
                </c:pt>
                <c:pt idx="7">
                  <c:v>1033.23</c:v>
                </c:pt>
                <c:pt idx="8">
                  <c:v>1100.1600000000001</c:v>
                </c:pt>
                <c:pt idx="9">
                  <c:v>1223.23</c:v>
                </c:pt>
                <c:pt idx="10">
                  <c:v>1154.1500000000001</c:v>
                </c:pt>
                <c:pt idx="11">
                  <c:v>1171.5899999999999</c:v>
                </c:pt>
                <c:pt idx="12">
                  <c:v>1078.24</c:v>
                </c:pt>
                <c:pt idx="13">
                  <c:v>1082.8599999999999</c:v>
                </c:pt>
                <c:pt idx="14">
                  <c:v>1099.72</c:v>
                </c:pt>
                <c:pt idx="15">
                  <c:v>1058.19</c:v>
                </c:pt>
                <c:pt idx="16">
                  <c:v>1554.49</c:v>
                </c:pt>
                <c:pt idx="17">
                  <c:v>1180.01</c:v>
                </c:pt>
                <c:pt idx="18">
                  <c:v>1119.75</c:v>
                </c:pt>
                <c:pt idx="19">
                  <c:v>1104.77</c:v>
                </c:pt>
                <c:pt idx="20">
                  <c:v>1064.08</c:v>
                </c:pt>
                <c:pt idx="21">
                  <c:v>1125.55</c:v>
                </c:pt>
                <c:pt idx="22">
                  <c:v>1095.01</c:v>
                </c:pt>
              </c:numCache>
            </c:numRef>
          </c:val>
          <c:extLst>
            <c:ext xmlns:c16="http://schemas.microsoft.com/office/drawing/2014/chart" uri="{C3380CC4-5D6E-409C-BE32-E72D297353CC}">
              <c16:uniqueId val="{00000000-1C53-46BE-A78F-37C83A83FC22}"/>
            </c:ext>
          </c:extLst>
        </c:ser>
        <c:ser>
          <c:idx val="1"/>
          <c:order val="1"/>
          <c:tx>
            <c:strRef>
              <c:f>q4_8_12_16_25_37_Fig_b!$CI$7</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q4_8_12_16_25_37_Fig_b!$CG$8:$CG$30</c:f>
              <c:strCache>
                <c:ptCount val="23"/>
                <c:pt idx="0">
                  <c:v>Alto Minho</c:v>
                </c:pt>
                <c:pt idx="1">
                  <c:v>Cávado</c:v>
                </c:pt>
                <c:pt idx="2">
                  <c:v>Ave</c:v>
                </c:pt>
                <c:pt idx="3">
                  <c:v>Área Metropolitana do Porto</c:v>
                </c:pt>
                <c:pt idx="4">
                  <c:v>Alto Tâmega</c:v>
                </c:pt>
                <c:pt idx="5">
                  <c:v>Tâmega e Sousa</c:v>
                </c:pt>
                <c:pt idx="6">
                  <c:v>Douro</c:v>
                </c:pt>
                <c:pt idx="7">
                  <c:v>Terras de Trás-os-Montes</c:v>
                </c:pt>
                <c:pt idx="8">
                  <c:v>Oeste</c:v>
                </c:pt>
                <c:pt idx="9">
                  <c:v>Região de Aveiro</c:v>
                </c:pt>
                <c:pt idx="10">
                  <c:v>Região de Coimbra</c:v>
                </c:pt>
                <c:pt idx="11">
                  <c:v>Região de Leiria</c:v>
                </c:pt>
                <c:pt idx="12">
                  <c:v>Viseu Dão Lafões</c:v>
                </c:pt>
                <c:pt idx="13">
                  <c:v>Beira Baixa</c:v>
                </c:pt>
                <c:pt idx="14">
                  <c:v>Médio Tejo</c:v>
                </c:pt>
                <c:pt idx="15">
                  <c:v>Beiras e Serra da Estrela</c:v>
                </c:pt>
                <c:pt idx="16">
                  <c:v>Área Metropolitana de Lisboa</c:v>
                </c:pt>
                <c:pt idx="17">
                  <c:v>Alentejo Litoral</c:v>
                </c:pt>
                <c:pt idx="18">
                  <c:v>Baixo Alentejo</c:v>
                </c:pt>
                <c:pt idx="19">
                  <c:v>Lezíria do Tejo</c:v>
                </c:pt>
                <c:pt idx="20">
                  <c:v>Alto Alentejo</c:v>
                </c:pt>
                <c:pt idx="21">
                  <c:v>Alentejo Central</c:v>
                </c:pt>
                <c:pt idx="22">
                  <c:v>Algarve</c:v>
                </c:pt>
              </c:strCache>
            </c:strRef>
          </c:cat>
          <c:val>
            <c:numRef>
              <c:f>q4_8_12_16_25_37_Fig_b!$CI$8:$CI$30</c:f>
              <c:numCache>
                <c:formatCode>#,##0\ "€"</c:formatCode>
                <c:ptCount val="23"/>
                <c:pt idx="0">
                  <c:v>1340.14</c:v>
                </c:pt>
                <c:pt idx="1">
                  <c:v>1403.34</c:v>
                </c:pt>
                <c:pt idx="2">
                  <c:v>1321.75</c:v>
                </c:pt>
                <c:pt idx="3">
                  <c:v>1620.05</c:v>
                </c:pt>
                <c:pt idx="4">
                  <c:v>1207.05</c:v>
                </c:pt>
                <c:pt idx="5">
                  <c:v>1210.7</c:v>
                </c:pt>
                <c:pt idx="6">
                  <c:v>1268.7</c:v>
                </c:pt>
                <c:pt idx="7">
                  <c:v>1267.6300000000001</c:v>
                </c:pt>
                <c:pt idx="8">
                  <c:v>1324.42</c:v>
                </c:pt>
                <c:pt idx="9">
                  <c:v>1492.3</c:v>
                </c:pt>
                <c:pt idx="10">
                  <c:v>1423.9</c:v>
                </c:pt>
                <c:pt idx="11">
                  <c:v>1434.69</c:v>
                </c:pt>
                <c:pt idx="12">
                  <c:v>1331.89</c:v>
                </c:pt>
                <c:pt idx="13">
                  <c:v>1306.07</c:v>
                </c:pt>
                <c:pt idx="14">
                  <c:v>1352.82</c:v>
                </c:pt>
                <c:pt idx="15">
                  <c:v>1292.95</c:v>
                </c:pt>
                <c:pt idx="16">
                  <c:v>1880.94</c:v>
                </c:pt>
                <c:pt idx="17">
                  <c:v>1480.81</c:v>
                </c:pt>
                <c:pt idx="18">
                  <c:v>1469.2</c:v>
                </c:pt>
                <c:pt idx="19">
                  <c:v>1363.59</c:v>
                </c:pt>
                <c:pt idx="20">
                  <c:v>1295.3599999999999</c:v>
                </c:pt>
                <c:pt idx="21">
                  <c:v>1371.98</c:v>
                </c:pt>
                <c:pt idx="22">
                  <c:v>1320.22</c:v>
                </c:pt>
              </c:numCache>
            </c:numRef>
          </c:val>
          <c:extLst>
            <c:ext xmlns:c16="http://schemas.microsoft.com/office/drawing/2014/chart" uri="{C3380CC4-5D6E-409C-BE32-E72D297353CC}">
              <c16:uniqueId val="{00000001-1C53-46BE-A78F-37C83A83FC22}"/>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804965417"/>
          <c:y val="0.95587928345349849"/>
          <c:w val="0.36497235015434393"/>
          <c:h val="4.2533324537005042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541962742462074E-2"/>
          <c:y val="0.13630659253375696"/>
          <c:w val="0.48749094168107027"/>
          <c:h val="0.61503188433701927"/>
        </c:manualLayout>
      </c:layout>
      <c:doughnutChart>
        <c:varyColors val="1"/>
        <c:ser>
          <c:idx val="0"/>
          <c:order val="0"/>
          <c:tx>
            <c:strRef>
              <c:f>q19_q28_q29_q40_Fig!$T$16</c:f>
              <c:strCache>
                <c:ptCount val="1"/>
                <c:pt idx="0">
                  <c:v>TCO</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B5C4-4DD0-ADBB-890455E21F0C}"/>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B5C4-4DD0-ADBB-890455E21F0C}"/>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B5C4-4DD0-ADBB-890455E21F0C}"/>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B5C4-4DD0-ADBB-890455E21F0C}"/>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B5C4-4DD0-ADBB-890455E21F0C}"/>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B5C4-4DD0-ADBB-890455E21F0C}"/>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B5C4-4DD0-ADBB-890455E21F0C}"/>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B5C4-4DD0-ADBB-890455E21F0C}"/>
              </c:ext>
            </c:extLst>
          </c:dPt>
          <c:dPt>
            <c:idx val="8"/>
            <c:bubble3D val="0"/>
            <c:spPr>
              <a:solidFill>
                <a:schemeClr val="accent5">
                  <a:lumMod val="80000"/>
                  <a:lumOff val="20000"/>
                </a:schemeClr>
              </a:solidFill>
              <a:ln>
                <a:noFill/>
              </a:ln>
              <a:effectLst/>
            </c:spPr>
            <c:extLst>
              <c:ext xmlns:c16="http://schemas.microsoft.com/office/drawing/2014/chart" uri="{C3380CC4-5D6E-409C-BE32-E72D297353CC}">
                <c16:uniqueId val="{00000011-CE16-44E7-8C4A-2F05321B8710}"/>
              </c:ext>
            </c:extLst>
          </c:dPt>
          <c:dPt>
            <c:idx val="9"/>
            <c:bubble3D val="0"/>
            <c:spPr>
              <a:solidFill>
                <a:schemeClr val="accent1">
                  <a:lumMod val="80000"/>
                </a:schemeClr>
              </a:solidFill>
              <a:ln>
                <a:noFill/>
              </a:ln>
              <a:effectLst/>
            </c:spPr>
            <c:extLst>
              <c:ext xmlns:c16="http://schemas.microsoft.com/office/drawing/2014/chart" uri="{C3380CC4-5D6E-409C-BE32-E72D297353CC}">
                <c16:uniqueId val="{00000011-B5C4-4DD0-ADBB-890455E21F0C}"/>
              </c:ext>
            </c:extLst>
          </c:dPt>
          <c:dLbls>
            <c:dLbl>
              <c:idx val="0"/>
              <c:layout>
                <c:manualLayout>
                  <c:x val="4.2276422764227585E-2"/>
                  <c:y val="-0.1805255334758886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5C4-4DD0-ADBB-890455E21F0C}"/>
                </c:ext>
              </c:extLst>
            </c:dLbl>
            <c:dLbl>
              <c:idx val="5"/>
              <c:layout>
                <c:manualLayout>
                  <c:x val="-0.14308943089430895"/>
                  <c:y val="0.15180556224108815"/>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5C4-4DD0-ADBB-890455E21F0C}"/>
                </c:ext>
              </c:extLst>
            </c:dLbl>
            <c:dLbl>
              <c:idx val="9"/>
              <c:layout>
                <c:manualLayout>
                  <c:x val="-0.11382113821138215"/>
                  <c:y val="-0.1846283865094315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2"/>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layout>
                    <c:manualLayout>
                      <c:w val="8.4585365853658528E-2"/>
                      <c:h val="7.0589747971752992E-2"/>
                    </c:manualLayout>
                  </c15:layout>
                </c:ext>
                <c:ext xmlns:c16="http://schemas.microsoft.com/office/drawing/2014/chart" uri="{C3380CC4-5D6E-409C-BE32-E72D297353CC}">
                  <c16:uniqueId val="{00000011-B5C4-4DD0-ADBB-890455E21F0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q19_q28_q29_q40_Fig!$S$17:$S$26</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q19_q28_q29_q40_Fig!$T$17:$T$26</c:f>
              <c:numCache>
                <c:formatCode>#,##0</c:formatCode>
                <c:ptCount val="10"/>
                <c:pt idx="0">
                  <c:v>114787</c:v>
                </c:pt>
                <c:pt idx="1">
                  <c:v>441951</c:v>
                </c:pt>
                <c:pt idx="2">
                  <c:v>353603</c:v>
                </c:pt>
                <c:pt idx="3">
                  <c:v>435944</c:v>
                </c:pt>
                <c:pt idx="4">
                  <c:v>700751</c:v>
                </c:pt>
                <c:pt idx="5">
                  <c:v>36010</c:v>
                </c:pt>
                <c:pt idx="6">
                  <c:v>457922</c:v>
                </c:pt>
                <c:pt idx="7">
                  <c:v>323244</c:v>
                </c:pt>
                <c:pt idx="8">
                  <c:v>485614</c:v>
                </c:pt>
                <c:pt idx="9">
                  <c:v>4310</c:v>
                </c:pt>
              </c:numCache>
            </c:numRef>
          </c:val>
          <c:extLst>
            <c:ext xmlns:c16="http://schemas.microsoft.com/office/drawing/2014/chart" uri="{C3380CC4-5D6E-409C-BE32-E72D297353CC}">
              <c16:uniqueId val="{00000010-B5C4-4DD0-ADBB-890455E21F0C}"/>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59856961782216245"/>
          <c:y val="2.0381810857182919E-2"/>
          <c:w val="0.33858523782088212"/>
          <c:h val="0.90370765459921754"/>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8601375008343493"/>
          <c:h val="0.61909228840533581"/>
        </c:manualLayout>
      </c:layout>
      <c:barChart>
        <c:barDir val="col"/>
        <c:grouping val="clustered"/>
        <c:varyColors val="0"/>
        <c:ser>
          <c:idx val="0"/>
          <c:order val="0"/>
          <c:tx>
            <c:strRef>
              <c:f>q4_8_12_16_25_37_Fig!$R$6</c:f>
              <c:strCache>
                <c:ptCount val="1"/>
                <c:pt idx="0">
                  <c:v>Empresas</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3.9156548280025974E-2"/>
                  <c:y val="1.5162518104348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AF-409A-95B5-6251E8728EFC}"/>
                </c:ext>
              </c:extLst>
            </c:dLbl>
            <c:dLbl>
              <c:idx val="10"/>
              <c:layout>
                <c:manualLayout>
                  <c:x val="2.1382411301039447E-2"/>
                  <c:y val="7.05177001583077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AF-409A-95B5-6251E8728EFC}"/>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AF-409A-95B5-6251E8728EF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q4_8_12_16_25_37_Fig!$S$5:$AC$5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q4_8_12_16_25_37_Fig!$S$6:$AC$6</c:f>
              <c:numCache>
                <c:formatCode>#,##0</c:formatCode>
                <c:ptCount val="11"/>
                <c:pt idx="0">
                  <c:v>54415</c:v>
                </c:pt>
                <c:pt idx="1">
                  <c:v>55029</c:v>
                </c:pt>
                <c:pt idx="2">
                  <c:v>55354</c:v>
                </c:pt>
                <c:pt idx="3">
                  <c:v>56108</c:v>
                </c:pt>
                <c:pt idx="4">
                  <c:v>57209</c:v>
                </c:pt>
                <c:pt idx="5">
                  <c:v>55559</c:v>
                </c:pt>
                <c:pt idx="6">
                  <c:v>56643</c:v>
                </c:pt>
                <c:pt idx="7">
                  <c:v>54793</c:v>
                </c:pt>
                <c:pt idx="8">
                  <c:v>57854</c:v>
                </c:pt>
                <c:pt idx="9">
                  <c:v>59573</c:v>
                </c:pt>
                <c:pt idx="10">
                  <c:v>59232</c:v>
                </c:pt>
              </c:numCache>
            </c:numRef>
          </c:val>
          <c:extLst>
            <c:ext xmlns:c16="http://schemas.microsoft.com/office/drawing/2014/chart" uri="{C3380CC4-5D6E-409C-BE32-E72D297353CC}">
              <c16:uniqueId val="{00000003-2CAF-409A-95B5-6251E8728EFC}"/>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q4_8_12_16_25_37_Fig!$R$7</c:f>
              <c:strCache>
                <c:ptCount val="1"/>
                <c:pt idx="0">
                  <c:v>Estabelecimentos</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2CAF-409A-95B5-6251E8728EFC}"/>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2CAF-409A-95B5-6251E8728EFC}"/>
              </c:ext>
            </c:extLst>
          </c:dPt>
          <c:dLbls>
            <c:dLbl>
              <c:idx val="0"/>
              <c:layout>
                <c:manualLayout>
                  <c:x val="2.8066432441944428E-2"/>
                  <c:y val="-5.9913435952709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AF-409A-95B5-6251E8728EFC}"/>
                </c:ext>
              </c:extLst>
            </c:dLbl>
            <c:dLbl>
              <c:idx val="10"/>
              <c:layout>
                <c:manualLayout>
                  <c:x val="-8.8428567051686627E-2"/>
                  <c:y val="-6.8324732023237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AF-409A-95B5-6251E8728EFC}"/>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AF-409A-95B5-6251E8728EFC}"/>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q4_8_12_16_25_37_Fig!$S$5:$AC$5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q4_8_12_16_25_37_Fig!$S$7:$AC$7</c:f>
              <c:numCache>
                <c:formatCode>#,##0</c:formatCode>
                <c:ptCount val="11"/>
                <c:pt idx="0">
                  <c:v>65289</c:v>
                </c:pt>
                <c:pt idx="1">
                  <c:v>65847</c:v>
                </c:pt>
                <c:pt idx="2">
                  <c:v>66220</c:v>
                </c:pt>
                <c:pt idx="3">
                  <c:v>66764</c:v>
                </c:pt>
                <c:pt idx="4">
                  <c:v>67989</c:v>
                </c:pt>
                <c:pt idx="5">
                  <c:v>66115</c:v>
                </c:pt>
                <c:pt idx="6">
                  <c:v>67101</c:v>
                </c:pt>
                <c:pt idx="7">
                  <c:v>64927</c:v>
                </c:pt>
                <c:pt idx="8">
                  <c:v>68270</c:v>
                </c:pt>
                <c:pt idx="9">
                  <c:v>70103.999999999985</c:v>
                </c:pt>
                <c:pt idx="10">
                  <c:v>69821</c:v>
                </c:pt>
              </c:numCache>
            </c:numRef>
          </c:val>
          <c:smooth val="0"/>
          <c:extLst>
            <c:ext xmlns:c16="http://schemas.microsoft.com/office/drawing/2014/chart" uri="{C3380CC4-5D6E-409C-BE32-E72D297353CC}">
              <c16:uniqueId val="{00000007-2CAF-409A-95B5-6251E8728EFC}"/>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88994062500000004"/>
          <c:w val="0.66415393518518528"/>
          <c:h val="7.919131944444443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2757621189405304"/>
          <c:y val="0.10742898448458355"/>
          <c:w val="0.41229760119940023"/>
          <c:h val="0.85925208587139457"/>
        </c:manualLayout>
      </c:layout>
      <c:barChart>
        <c:barDir val="bar"/>
        <c:grouping val="clustered"/>
        <c:varyColors val="0"/>
        <c:ser>
          <c:idx val="0"/>
          <c:order val="0"/>
          <c:tx>
            <c:strRef>
              <c:f>q19_q28_q29_q40_Fig!$T$16</c:f>
              <c:strCache>
                <c:ptCount val="1"/>
                <c:pt idx="0">
                  <c:v>TCO</c:v>
                </c:pt>
              </c:strCache>
            </c:strRef>
          </c:tx>
          <c:spPr>
            <a:solidFill>
              <a:srgbClr val="4F81BD"/>
            </a:solidFill>
            <a:ln w="19050">
              <a:solidFill>
                <a:schemeClr val="lt1"/>
              </a:solidFill>
            </a:ln>
            <a:effectLst/>
          </c:spPr>
          <c:invertIfNegative val="0"/>
          <c:dPt>
            <c:idx val="0"/>
            <c:invertIfNegative val="0"/>
            <c:bubble3D val="0"/>
            <c:explosion val="4"/>
            <c:spPr>
              <a:solidFill>
                <a:srgbClr val="4F81BD"/>
              </a:solidFill>
              <a:ln w="19050">
                <a:solidFill>
                  <a:schemeClr val="lt1"/>
                </a:solidFill>
              </a:ln>
              <a:effectLst/>
            </c:spPr>
            <c:extLst>
              <c:ext xmlns:c16="http://schemas.microsoft.com/office/drawing/2014/chart" uri="{C3380CC4-5D6E-409C-BE32-E72D297353CC}">
                <c16:uniqueId val="{00000001-61D8-4860-BB1B-49A520F629AE}"/>
              </c:ext>
            </c:extLst>
          </c:dPt>
          <c:dPt>
            <c:idx val="1"/>
            <c:invertIfNegative val="0"/>
            <c:bubble3D val="0"/>
            <c:explosion val="2"/>
            <c:spPr>
              <a:solidFill>
                <a:srgbClr val="4F81BD"/>
              </a:solidFill>
              <a:ln w="19050">
                <a:solidFill>
                  <a:schemeClr val="lt1"/>
                </a:solidFill>
              </a:ln>
              <a:effectLst/>
            </c:spPr>
            <c:extLst>
              <c:ext xmlns:c16="http://schemas.microsoft.com/office/drawing/2014/chart" uri="{C3380CC4-5D6E-409C-BE32-E72D297353CC}">
                <c16:uniqueId val="{00000003-61D8-4860-BB1B-49A520F629AE}"/>
              </c:ext>
            </c:extLst>
          </c:dPt>
          <c:dPt>
            <c:idx val="2"/>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5-61D8-4860-BB1B-49A520F629AE}"/>
              </c:ext>
            </c:extLst>
          </c:dPt>
          <c:dPt>
            <c:idx val="3"/>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7-61D8-4860-BB1B-49A520F629AE}"/>
              </c:ext>
            </c:extLst>
          </c:dPt>
          <c:dPt>
            <c:idx val="4"/>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C-61D8-4860-BB1B-49A520F629AE}"/>
              </c:ext>
            </c:extLst>
          </c:dPt>
          <c:dPt>
            <c:idx val="5"/>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9-61D8-4860-BB1B-49A520F629AE}"/>
              </c:ext>
            </c:extLst>
          </c:dPt>
          <c:dLbls>
            <c:dLbl>
              <c:idx val="0"/>
              <c:layout>
                <c:manualLayout>
                  <c:x val="0"/>
                  <c:y val="3.005422002962037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D8-4860-BB1B-49A520F629AE}"/>
                </c:ext>
              </c:extLst>
            </c:dLbl>
            <c:spPr>
              <a:noFill/>
              <a:ln>
                <a:noFill/>
              </a:ln>
              <a:effectLst/>
            </c:spPr>
            <c:txPr>
              <a:bodyPr rot="0" spcFirstLastPara="1" vertOverflow="overflow" horzOverflow="overflow" vert="horz" wrap="non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q19_q28_q29_q40_Fig!$S$17:$S$26</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q19_q28_q29_q40_Fig!$T$17:$T$26</c:f>
              <c:numCache>
                <c:formatCode>#,##0</c:formatCode>
                <c:ptCount val="10"/>
                <c:pt idx="0">
                  <c:v>114787</c:v>
                </c:pt>
                <c:pt idx="1">
                  <c:v>441951</c:v>
                </c:pt>
                <c:pt idx="2">
                  <c:v>353603</c:v>
                </c:pt>
                <c:pt idx="3">
                  <c:v>435944</c:v>
                </c:pt>
                <c:pt idx="4">
                  <c:v>700751</c:v>
                </c:pt>
                <c:pt idx="5">
                  <c:v>36010</c:v>
                </c:pt>
                <c:pt idx="6">
                  <c:v>457922</c:v>
                </c:pt>
                <c:pt idx="7">
                  <c:v>323244</c:v>
                </c:pt>
                <c:pt idx="8">
                  <c:v>485614</c:v>
                </c:pt>
                <c:pt idx="9">
                  <c:v>4310</c:v>
                </c:pt>
              </c:numCache>
            </c:numRef>
          </c:val>
          <c:extLst>
            <c:ext xmlns:c16="http://schemas.microsoft.com/office/drawing/2014/chart" uri="{C3380CC4-5D6E-409C-BE32-E72D297353CC}">
              <c16:uniqueId val="{0000000A-61D8-4860-BB1B-49A520F629AE}"/>
            </c:ext>
          </c:extLst>
        </c:ser>
        <c:dLbls>
          <c:showLegendKey val="0"/>
          <c:showVal val="0"/>
          <c:showCatName val="0"/>
          <c:showSerName val="0"/>
          <c:showPercent val="0"/>
          <c:showBubbleSize val="0"/>
        </c:dLbls>
        <c:gapWidth val="118"/>
        <c:axId val="891633855"/>
        <c:axId val="1319480015"/>
      </c:barChart>
      <c:valAx>
        <c:axId val="1319480015"/>
        <c:scaling>
          <c:orientation val="minMax"/>
          <c:max val="1200000"/>
          <c:min val="0"/>
        </c:scaling>
        <c:delete val="1"/>
        <c:axPos val="t"/>
        <c:numFmt formatCode="#,##0" sourceLinked="1"/>
        <c:majorTickMark val="out"/>
        <c:minorTickMark val="none"/>
        <c:tickLblPos val="nextTo"/>
        <c:crossAx val="891633855"/>
        <c:crosses val="autoZero"/>
        <c:crossBetween val="between"/>
        <c:majorUnit val="400000"/>
      </c:valAx>
      <c:catAx>
        <c:axId val="891633855"/>
        <c:scaling>
          <c:orientation val="maxMin"/>
        </c:scaling>
        <c:delete val="0"/>
        <c:axPos val="l"/>
        <c:numFmt formatCode="General" sourceLinked="1"/>
        <c:majorTickMark val="out"/>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345665328524363E-2"/>
          <c:y val="0.14696557342948274"/>
          <c:w val="0.46826480651678509"/>
          <c:h val="0.79171744577056835"/>
        </c:manualLayout>
      </c:layout>
      <c:barChart>
        <c:barDir val="bar"/>
        <c:grouping val="clustered"/>
        <c:varyColors val="0"/>
        <c:ser>
          <c:idx val="1"/>
          <c:order val="1"/>
          <c:tx>
            <c:strRef>
              <c:f>q19_q28_q29_q40_Fig!$U$16</c:f>
              <c:strCache>
                <c:ptCount val="1"/>
                <c:pt idx="0">
                  <c:v>Base</c:v>
                </c:pt>
              </c:strCache>
            </c:strRef>
          </c:tx>
          <c:spPr>
            <a:solidFill>
              <a:srgbClr val="4F81BD"/>
            </a:solidFill>
            <a:ln w="19050">
              <a:solidFill>
                <a:schemeClr val="lt1"/>
              </a:solidFill>
            </a:ln>
            <a:effectLst/>
          </c:spPr>
          <c:invertIfNegative val="0"/>
          <c:dLbls>
            <c:numFmt formatCode="#,##0.00\ &quot;€&quot;" sourceLinked="0"/>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q19_q28_q29_q40_Fig!$S$17:$S$26</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q19_q28_q29_q40_Fig!$U$17:$U$26</c:f>
              <c:numCache>
                <c:formatCode>#,##0.00\ "€"</c:formatCode>
                <c:ptCount val="10"/>
                <c:pt idx="0">
                  <c:v>2846.78</c:v>
                </c:pt>
                <c:pt idx="1">
                  <c:v>2032.28</c:v>
                </c:pt>
                <c:pt idx="2">
                  <c:v>1589.95</c:v>
                </c:pt>
                <c:pt idx="3">
                  <c:v>1143.01</c:v>
                </c:pt>
                <c:pt idx="4">
                  <c:v>964.25</c:v>
                </c:pt>
                <c:pt idx="5">
                  <c:v>1015.15</c:v>
                </c:pt>
                <c:pt idx="6">
                  <c:v>1018.26</c:v>
                </c:pt>
                <c:pt idx="7">
                  <c:v>1002.33</c:v>
                </c:pt>
                <c:pt idx="8">
                  <c:v>894.26</c:v>
                </c:pt>
                <c:pt idx="9">
                  <c:v>3106.87</c:v>
                </c:pt>
              </c:numCache>
            </c:numRef>
          </c:val>
          <c:extLst>
            <c:ext xmlns:c16="http://schemas.microsoft.com/office/drawing/2014/chart" uri="{C3380CC4-5D6E-409C-BE32-E72D297353CC}">
              <c16:uniqueId val="{00000005-EAED-4045-823F-10B4ECFCEF26}"/>
            </c:ext>
          </c:extLst>
        </c:ser>
        <c:ser>
          <c:idx val="2"/>
          <c:order val="2"/>
          <c:tx>
            <c:strRef>
              <c:f>q19_q28_q29_q40_Fig!$V$16</c:f>
              <c:strCache>
                <c:ptCount val="1"/>
                <c:pt idx="0">
                  <c:v>Ganho</c:v>
                </c:pt>
              </c:strCache>
            </c:strRef>
          </c:tx>
          <c:spPr>
            <a:solidFill>
              <a:srgbClr val="FFC000"/>
            </a:solidFill>
            <a:ln>
              <a:solidFill>
                <a:sysClr val="window" lastClr="FFFFFF"/>
              </a:solidFill>
            </a:ln>
          </c:spPr>
          <c:invertIfNegative val="0"/>
          <c:dLbls>
            <c:numFmt formatCode="#,##0.00\ &quot;€&quot;" sourceLinked="0"/>
            <c:spPr>
              <a:noFill/>
              <a:ln>
                <a:noFill/>
              </a:ln>
              <a:effectLst/>
            </c:spPr>
            <c:txPr>
              <a:bodyPr wrap="square" lIns="38100" tIns="19050" rIns="38100" bIns="19050" anchor="ctr">
                <a:spAutoFit/>
              </a:bodyPr>
              <a:lstStyle/>
              <a:p>
                <a:pPr>
                  <a:defRPr sz="700" b="1"/>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q19_q28_q29_q40_Fig!$S$17:$S$26</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q19_q28_q29_q40_Fig!$V$17:$V$26</c:f>
              <c:numCache>
                <c:formatCode>#,##0.00\ "€"</c:formatCode>
                <c:ptCount val="10"/>
                <c:pt idx="0">
                  <c:v>3295.85</c:v>
                </c:pt>
                <c:pt idx="1">
                  <c:v>2400.04</c:v>
                </c:pt>
                <c:pt idx="2">
                  <c:v>1947.34</c:v>
                </c:pt>
                <c:pt idx="3">
                  <c:v>1391.18</c:v>
                </c:pt>
                <c:pt idx="4">
                  <c:v>1162.67</c:v>
                </c:pt>
                <c:pt idx="5">
                  <c:v>1167.21</c:v>
                </c:pt>
                <c:pt idx="6">
                  <c:v>1246.3800000000001</c:v>
                </c:pt>
                <c:pt idx="7">
                  <c:v>1341.97</c:v>
                </c:pt>
                <c:pt idx="8">
                  <c:v>1058.49</c:v>
                </c:pt>
                <c:pt idx="9">
                  <c:v>3504.65</c:v>
                </c:pt>
              </c:numCache>
            </c:numRef>
          </c:val>
          <c:extLst>
            <c:ext xmlns:c16="http://schemas.microsoft.com/office/drawing/2014/chart" uri="{C3380CC4-5D6E-409C-BE32-E72D297353CC}">
              <c16:uniqueId val="{00000008-EAED-4045-823F-10B4ECFCEF26}"/>
            </c:ext>
          </c:extLst>
        </c:ser>
        <c:dLbls>
          <c:showLegendKey val="0"/>
          <c:showVal val="0"/>
          <c:showCatName val="0"/>
          <c:showSerName val="0"/>
          <c:showPercent val="0"/>
          <c:showBubbleSize val="0"/>
        </c:dLbls>
        <c:gapWidth val="42"/>
        <c:axId val="891633855"/>
        <c:axId val="1319480015"/>
        <c:extLst>
          <c:ext xmlns:c15="http://schemas.microsoft.com/office/drawing/2012/chart" uri="{02D57815-91ED-43cb-92C2-25804820EDAC}">
            <c15:filteredBarSeries>
              <c15:ser>
                <c:idx val="0"/>
                <c:order val="0"/>
                <c:tx>
                  <c:strRef>
                    <c:extLst>
                      <c:ext uri="{02D57815-91ED-43cb-92C2-25804820EDAC}">
                        <c15:formulaRef>
                          <c15:sqref>q19_q28_q29_q40_Fig!$T$16</c15:sqref>
                        </c15:formulaRef>
                      </c:ext>
                    </c:extLst>
                    <c:strCache>
                      <c:ptCount val="1"/>
                      <c:pt idx="0">
                        <c:v>TCO</c:v>
                      </c:pt>
                    </c:strCache>
                  </c:strRef>
                </c:tx>
                <c:spPr>
                  <a:solidFill>
                    <a:srgbClr val="4F81BD"/>
                  </a:solidFill>
                  <a:ln w="19050">
                    <a:solidFill>
                      <a:schemeClr val="lt1"/>
                    </a:solidFill>
                  </a:ln>
                  <a:effectLst/>
                </c:spPr>
                <c:invertIfNegative val="0"/>
                <c:dPt>
                  <c:idx val="1"/>
                  <c:invertIfNegative val="0"/>
                  <c:bubble3D val="0"/>
                  <c:explosion val="2"/>
                  <c:extLst>
                    <c:ext xmlns:c16="http://schemas.microsoft.com/office/drawing/2014/chart" uri="{C3380CC4-5D6E-409C-BE32-E72D297353CC}">
                      <c16:uniqueId val="{00000000-EAED-4045-823F-10B4ECFCEF26}"/>
                    </c:ext>
                  </c:extLst>
                </c:dPt>
                <c:dPt>
                  <c:idx val="2"/>
                  <c:invertIfNegative val="0"/>
                  <c:bubble3D val="0"/>
                  <c:extLst>
                    <c:ext xmlns:c16="http://schemas.microsoft.com/office/drawing/2014/chart" uri="{C3380CC4-5D6E-409C-BE32-E72D297353CC}">
                      <c16:uniqueId val="{00000001-EAED-4045-823F-10B4ECFCEF26}"/>
                    </c:ext>
                  </c:extLst>
                </c:dPt>
                <c:dPt>
                  <c:idx val="3"/>
                  <c:invertIfNegative val="0"/>
                  <c:bubble3D val="0"/>
                  <c:extLst>
                    <c:ext xmlns:c16="http://schemas.microsoft.com/office/drawing/2014/chart" uri="{C3380CC4-5D6E-409C-BE32-E72D297353CC}">
                      <c16:uniqueId val="{00000002-EAED-4045-823F-10B4ECFCEF26}"/>
                    </c:ext>
                  </c:extLst>
                </c:dPt>
                <c:dPt>
                  <c:idx val="4"/>
                  <c:invertIfNegative val="0"/>
                  <c:bubble3D val="0"/>
                  <c:extLst>
                    <c:ext xmlns:c16="http://schemas.microsoft.com/office/drawing/2014/chart" uri="{C3380CC4-5D6E-409C-BE32-E72D297353CC}">
                      <c16:uniqueId val="{00000003-EAED-4045-823F-10B4ECFCEF26}"/>
                    </c:ext>
                  </c:extLst>
                </c:dPt>
                <c:dPt>
                  <c:idx val="5"/>
                  <c:invertIfNegative val="0"/>
                  <c:bubble3D val="0"/>
                  <c:extLst>
                    <c:ext xmlns:c16="http://schemas.microsoft.com/office/drawing/2014/chart" uri="{C3380CC4-5D6E-409C-BE32-E72D297353CC}">
                      <c16:uniqueId val="{00000007-EAED-4045-823F-10B4ECFCEF26}"/>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q19_q28_q29_q40_Fig!$S$17:$S$26</c15:sqref>
                        </c15:formulaRef>
                      </c:ext>
                    </c:extLst>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extLst>
                      <c:ext uri="{02D57815-91ED-43cb-92C2-25804820EDAC}">
                        <c15:formulaRef>
                          <c15:sqref>q19_q28_q29_q40_Fig!$T$17:$T$27</c15:sqref>
                        </c15:formulaRef>
                      </c:ext>
                    </c:extLst>
                    <c:numCache>
                      <c:formatCode>#,##0</c:formatCode>
                      <c:ptCount val="11"/>
                      <c:pt idx="0">
                        <c:v>114787</c:v>
                      </c:pt>
                      <c:pt idx="1">
                        <c:v>441951</c:v>
                      </c:pt>
                      <c:pt idx="2">
                        <c:v>353603</c:v>
                      </c:pt>
                      <c:pt idx="3">
                        <c:v>435944</c:v>
                      </c:pt>
                      <c:pt idx="4">
                        <c:v>700751</c:v>
                      </c:pt>
                      <c:pt idx="5">
                        <c:v>36010</c:v>
                      </c:pt>
                      <c:pt idx="6">
                        <c:v>457922</c:v>
                      </c:pt>
                      <c:pt idx="7">
                        <c:v>323244</c:v>
                      </c:pt>
                      <c:pt idx="8">
                        <c:v>485614</c:v>
                      </c:pt>
                      <c:pt idx="9">
                        <c:v>4310</c:v>
                      </c:pt>
                      <c:pt idx="10">
                        <c:v>3354136</c:v>
                      </c:pt>
                    </c:numCache>
                  </c:numRef>
                </c:val>
                <c:extLst>
                  <c:ext xmlns:c16="http://schemas.microsoft.com/office/drawing/2014/chart" uri="{C3380CC4-5D6E-409C-BE32-E72D297353CC}">
                    <c16:uniqueId val="{00000004-EAED-4045-823F-10B4ECFCEF26}"/>
                  </c:ext>
                </c:extLst>
              </c15:ser>
            </c15:filteredBarSeries>
          </c:ext>
        </c:extLst>
      </c:barChart>
      <c:valAx>
        <c:axId val="1319480015"/>
        <c:scaling>
          <c:orientation val="minMax"/>
          <c:max val="3300"/>
          <c:min val="0"/>
        </c:scaling>
        <c:delete val="1"/>
        <c:axPos val="t"/>
        <c:numFmt formatCode="#,##0.00\ &quot;€&quot;" sourceLinked="1"/>
        <c:majorTickMark val="out"/>
        <c:minorTickMark val="none"/>
        <c:tickLblPos val="nextTo"/>
        <c:crossAx val="891633855"/>
        <c:crosses val="autoZero"/>
        <c:crossBetween val="between"/>
        <c:majorUnit val="300"/>
      </c:valAx>
      <c:catAx>
        <c:axId val="89163385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5036216525202521"/>
          <c:y val="1.9620487218601212E-2"/>
          <c:w val="0.16526299705334702"/>
          <c:h val="8.889572494316742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742641318886547"/>
          <c:y val="0.12141943790027154"/>
          <c:w val="0.7546157966014222"/>
          <c:h val="0.84693069647889441"/>
        </c:manualLayout>
      </c:layout>
      <c:barChart>
        <c:barDir val="bar"/>
        <c:grouping val="clustered"/>
        <c:varyColors val="0"/>
        <c:ser>
          <c:idx val="3"/>
          <c:order val="3"/>
          <c:tx>
            <c:strRef>
              <c:f>q19_q28_q29_q40_Fig!$W$16</c:f>
              <c:strCache>
                <c:ptCount val="1"/>
                <c:pt idx="0">
                  <c:v>Base</c:v>
                </c:pt>
              </c:strCache>
            </c:strRef>
          </c:tx>
          <c:spPr>
            <a:solidFill>
              <a:srgbClr val="4F81BD"/>
            </a:solidFill>
            <a:ln w="19050">
              <a:solidFill>
                <a:sysClr val="window" lastClr="FFFFFF"/>
              </a:solidFill>
            </a:ln>
          </c:spPr>
          <c:invertIfNegative val="0"/>
          <c:dLbls>
            <c:numFmt formatCode="#,##0.00\ &quot;€&quot;" sourceLinked="0"/>
            <c:spPr>
              <a:noFill/>
              <a:ln>
                <a:noFill/>
              </a:ln>
              <a:effectLst/>
            </c:spPr>
            <c:txPr>
              <a:bodyPr wrap="square" lIns="38100" tIns="19050" rIns="38100" bIns="19050" anchor="ctr">
                <a:spAutoFit/>
              </a:bodyPr>
              <a:lstStyle/>
              <a:p>
                <a:pPr>
                  <a:defRPr sz="700" b="1">
                    <a:solidFill>
                      <a:schemeClr val="tx2"/>
                    </a:solidFil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q19_q28_q29_q40_Fig!$S$17:$S$27</c:f>
              <c:strCache>
                <c:ptCount val="11"/>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pt idx="10">
                  <c:v>Total</c:v>
                </c:pt>
              </c:strCache>
            </c:strRef>
          </c:cat>
          <c:val>
            <c:numRef>
              <c:f>q19_q28_q29_q40_Fig!$W$17:$W$27</c:f>
              <c:numCache>
                <c:formatCode>#,##0.00\ "€"</c:formatCode>
                <c:ptCount val="11"/>
                <c:pt idx="0">
                  <c:v>16.54</c:v>
                </c:pt>
                <c:pt idx="1">
                  <c:v>12.04</c:v>
                </c:pt>
                <c:pt idx="2">
                  <c:v>9.17</c:v>
                </c:pt>
                <c:pt idx="3">
                  <c:v>6.56</c:v>
                </c:pt>
                <c:pt idx="4">
                  <c:v>5.57</c:v>
                </c:pt>
                <c:pt idx="5">
                  <c:v>5.48</c:v>
                </c:pt>
                <c:pt idx="6">
                  <c:v>5.8</c:v>
                </c:pt>
                <c:pt idx="7">
                  <c:v>5.72</c:v>
                </c:pt>
                <c:pt idx="8">
                  <c:v>5.12</c:v>
                </c:pt>
                <c:pt idx="9">
                  <c:v>18.2</c:v>
                </c:pt>
                <c:pt idx="10">
                  <c:v>7.38</c:v>
                </c:pt>
              </c:numCache>
            </c:numRef>
          </c:val>
          <c:extLst>
            <c:ext xmlns:c16="http://schemas.microsoft.com/office/drawing/2014/chart" uri="{C3380CC4-5D6E-409C-BE32-E72D297353CC}">
              <c16:uniqueId val="{00000009-6B69-49F0-8C83-E5A545B2B35C}"/>
            </c:ext>
          </c:extLst>
        </c:ser>
        <c:dLbls>
          <c:showLegendKey val="0"/>
          <c:showVal val="0"/>
          <c:showCatName val="0"/>
          <c:showSerName val="0"/>
          <c:showPercent val="0"/>
          <c:showBubbleSize val="0"/>
        </c:dLbls>
        <c:gapWidth val="42"/>
        <c:axId val="891633855"/>
        <c:axId val="1319480015"/>
        <c:extLst>
          <c:ext xmlns:c15="http://schemas.microsoft.com/office/drawing/2012/chart" uri="{02D57815-91ED-43cb-92C2-25804820EDAC}">
            <c15:filteredBarSeries>
              <c15:ser>
                <c:idx val="0"/>
                <c:order val="0"/>
                <c:tx>
                  <c:strRef>
                    <c:extLst>
                      <c:ext uri="{02D57815-91ED-43cb-92C2-25804820EDAC}">
                        <c15:formulaRef>
                          <c15:sqref>q19_q28_q29_q40_Fig!$T$16</c15:sqref>
                        </c15:formulaRef>
                      </c:ext>
                    </c:extLst>
                    <c:strCache>
                      <c:ptCount val="1"/>
                      <c:pt idx="0">
                        <c:v>TCO</c:v>
                      </c:pt>
                    </c:strCache>
                  </c:strRef>
                </c:tx>
                <c:spPr>
                  <a:solidFill>
                    <a:srgbClr val="4F81BD"/>
                  </a:solidFill>
                  <a:ln w="19050">
                    <a:solidFill>
                      <a:schemeClr val="lt1"/>
                    </a:solidFill>
                  </a:ln>
                  <a:effectLst/>
                </c:spPr>
                <c:invertIfNegative val="0"/>
                <c:dPt>
                  <c:idx val="1"/>
                  <c:invertIfNegative val="0"/>
                  <c:bubble3D val="0"/>
                  <c:explosion val="2"/>
                  <c:extLst>
                    <c:ext xmlns:c16="http://schemas.microsoft.com/office/drawing/2014/chart" uri="{C3380CC4-5D6E-409C-BE32-E72D297353CC}">
                      <c16:uniqueId val="{00000000-6B69-49F0-8C83-E5A545B2B35C}"/>
                    </c:ext>
                  </c:extLst>
                </c:dPt>
                <c:dPt>
                  <c:idx val="2"/>
                  <c:invertIfNegative val="0"/>
                  <c:bubble3D val="0"/>
                  <c:extLst>
                    <c:ext xmlns:c16="http://schemas.microsoft.com/office/drawing/2014/chart" uri="{C3380CC4-5D6E-409C-BE32-E72D297353CC}">
                      <c16:uniqueId val="{00000001-6B69-49F0-8C83-E5A545B2B35C}"/>
                    </c:ext>
                  </c:extLst>
                </c:dPt>
                <c:dPt>
                  <c:idx val="3"/>
                  <c:invertIfNegative val="0"/>
                  <c:bubble3D val="0"/>
                  <c:extLst>
                    <c:ext xmlns:c16="http://schemas.microsoft.com/office/drawing/2014/chart" uri="{C3380CC4-5D6E-409C-BE32-E72D297353CC}">
                      <c16:uniqueId val="{00000002-6B69-49F0-8C83-E5A545B2B35C}"/>
                    </c:ext>
                  </c:extLst>
                </c:dPt>
                <c:dPt>
                  <c:idx val="4"/>
                  <c:invertIfNegative val="0"/>
                  <c:bubble3D val="0"/>
                  <c:extLst>
                    <c:ext xmlns:c16="http://schemas.microsoft.com/office/drawing/2014/chart" uri="{C3380CC4-5D6E-409C-BE32-E72D297353CC}">
                      <c16:uniqueId val="{00000003-6B69-49F0-8C83-E5A545B2B35C}"/>
                    </c:ext>
                  </c:extLst>
                </c:dPt>
                <c:dPt>
                  <c:idx val="5"/>
                  <c:invertIfNegative val="0"/>
                  <c:bubble3D val="0"/>
                  <c:extLst>
                    <c:ext xmlns:c16="http://schemas.microsoft.com/office/drawing/2014/chart" uri="{C3380CC4-5D6E-409C-BE32-E72D297353CC}">
                      <c16:uniqueId val="{00000007-6B69-49F0-8C83-E5A545B2B35C}"/>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q19_q28_q29_q40_Fig!$S$17:$S$27</c15:sqref>
                        </c15:formulaRef>
                      </c:ext>
                    </c:extLst>
                    <c:strCache>
                      <c:ptCount val="11"/>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pt idx="10">
                        <c:v>Total</c:v>
                      </c:pt>
                    </c:strCache>
                  </c:strRef>
                </c:cat>
                <c:val>
                  <c:numRef>
                    <c:extLst>
                      <c:ext uri="{02D57815-91ED-43cb-92C2-25804820EDAC}">
                        <c15:formulaRef>
                          <c15:sqref>q19_q28_q29_q40_Fig!$T$17:$T$27</c15:sqref>
                        </c15:formulaRef>
                      </c:ext>
                    </c:extLst>
                    <c:numCache>
                      <c:formatCode>#,##0</c:formatCode>
                      <c:ptCount val="11"/>
                      <c:pt idx="0">
                        <c:v>114787</c:v>
                      </c:pt>
                      <c:pt idx="1">
                        <c:v>441951</c:v>
                      </c:pt>
                      <c:pt idx="2">
                        <c:v>353603</c:v>
                      </c:pt>
                      <c:pt idx="3">
                        <c:v>435944</c:v>
                      </c:pt>
                      <c:pt idx="4">
                        <c:v>700751</c:v>
                      </c:pt>
                      <c:pt idx="5">
                        <c:v>36010</c:v>
                      </c:pt>
                      <c:pt idx="6">
                        <c:v>457922</c:v>
                      </c:pt>
                      <c:pt idx="7">
                        <c:v>323244</c:v>
                      </c:pt>
                      <c:pt idx="8">
                        <c:v>485614</c:v>
                      </c:pt>
                      <c:pt idx="9">
                        <c:v>4310</c:v>
                      </c:pt>
                      <c:pt idx="10">
                        <c:v>3354136</c:v>
                      </c:pt>
                    </c:numCache>
                  </c:numRef>
                </c:val>
                <c:extLst>
                  <c:ext xmlns:c16="http://schemas.microsoft.com/office/drawing/2014/chart" uri="{C3380CC4-5D6E-409C-BE32-E72D297353CC}">
                    <c16:uniqueId val="{00000004-6B69-49F0-8C83-E5A545B2B35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q19_q28_q29_q40_Fig!$U$16</c15:sqref>
                        </c15:formulaRef>
                      </c:ext>
                    </c:extLst>
                    <c:strCache>
                      <c:ptCount val="1"/>
                      <c:pt idx="0">
                        <c:v>Base</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q19_q28_q29_q40_Fig!$S$17:$S$27</c15:sqref>
                        </c15:formulaRef>
                      </c:ext>
                    </c:extLst>
                    <c:strCache>
                      <c:ptCount val="11"/>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pt idx="10">
                        <c:v>Total</c:v>
                      </c:pt>
                    </c:strCache>
                  </c:strRef>
                </c:cat>
                <c:val>
                  <c:numRef>
                    <c:extLst xmlns:c15="http://schemas.microsoft.com/office/drawing/2012/chart">
                      <c:ext xmlns:c15="http://schemas.microsoft.com/office/drawing/2012/chart" uri="{02D57815-91ED-43cb-92C2-25804820EDAC}">
                        <c15:formulaRef>
                          <c15:sqref>q19_q28_q29_q40_Fig!$U$17:$U$27</c15:sqref>
                        </c15:formulaRef>
                      </c:ext>
                    </c:extLst>
                    <c:numCache>
                      <c:formatCode>#,##0.00\ "€"</c:formatCode>
                      <c:ptCount val="11"/>
                      <c:pt idx="0">
                        <c:v>2846.78</c:v>
                      </c:pt>
                      <c:pt idx="1">
                        <c:v>2032.28</c:v>
                      </c:pt>
                      <c:pt idx="2">
                        <c:v>1589.95</c:v>
                      </c:pt>
                      <c:pt idx="3">
                        <c:v>1143.01</c:v>
                      </c:pt>
                      <c:pt idx="4">
                        <c:v>964.25</c:v>
                      </c:pt>
                      <c:pt idx="5">
                        <c:v>1015.15</c:v>
                      </c:pt>
                      <c:pt idx="6">
                        <c:v>1018.26</c:v>
                      </c:pt>
                      <c:pt idx="7">
                        <c:v>1002.33</c:v>
                      </c:pt>
                      <c:pt idx="8">
                        <c:v>894.26</c:v>
                      </c:pt>
                      <c:pt idx="9">
                        <c:v>3106.87</c:v>
                      </c:pt>
                      <c:pt idx="10">
                        <c:v>1308.96</c:v>
                      </c:pt>
                    </c:numCache>
                  </c:numRef>
                </c:val>
                <c:extLst xmlns:c15="http://schemas.microsoft.com/office/drawing/2012/chart">
                  <c:ext xmlns:c16="http://schemas.microsoft.com/office/drawing/2014/chart" uri="{C3380CC4-5D6E-409C-BE32-E72D297353CC}">
                    <c16:uniqueId val="{00000005-6B69-49F0-8C83-E5A545B2B35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q19_q28_q29_q40_Fig!$V$16</c15:sqref>
                        </c15:formulaRef>
                      </c:ext>
                    </c:extLst>
                    <c:strCache>
                      <c:ptCount val="1"/>
                      <c:pt idx="0">
                        <c:v>Ganho</c:v>
                      </c:pt>
                    </c:strCache>
                  </c:strRef>
                </c:tx>
                <c:invertIfNegative val="0"/>
                <c:cat>
                  <c:strRef>
                    <c:extLst xmlns:c15="http://schemas.microsoft.com/office/drawing/2012/chart">
                      <c:ext xmlns:c15="http://schemas.microsoft.com/office/drawing/2012/chart" uri="{02D57815-91ED-43cb-92C2-25804820EDAC}">
                        <c15:formulaRef>
                          <c15:sqref>q19_q28_q29_q40_Fig!$S$17:$S$27</c15:sqref>
                        </c15:formulaRef>
                      </c:ext>
                    </c:extLst>
                    <c:strCache>
                      <c:ptCount val="11"/>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pt idx="10">
                        <c:v>Total</c:v>
                      </c:pt>
                    </c:strCache>
                  </c:strRef>
                </c:cat>
                <c:val>
                  <c:numRef>
                    <c:extLst xmlns:c15="http://schemas.microsoft.com/office/drawing/2012/chart">
                      <c:ext xmlns:c15="http://schemas.microsoft.com/office/drawing/2012/chart" uri="{02D57815-91ED-43cb-92C2-25804820EDAC}">
                        <c15:formulaRef>
                          <c15:sqref>q19_q28_q29_q40_Fig!$V$17:$V$27</c15:sqref>
                        </c15:formulaRef>
                      </c:ext>
                    </c:extLst>
                    <c:numCache>
                      <c:formatCode>#,##0.00\ "€"</c:formatCode>
                      <c:ptCount val="11"/>
                      <c:pt idx="0">
                        <c:v>3295.85</c:v>
                      </c:pt>
                      <c:pt idx="1">
                        <c:v>2400.04</c:v>
                      </c:pt>
                      <c:pt idx="2">
                        <c:v>1947.34</c:v>
                      </c:pt>
                      <c:pt idx="3">
                        <c:v>1391.18</c:v>
                      </c:pt>
                      <c:pt idx="4">
                        <c:v>1162.67</c:v>
                      </c:pt>
                      <c:pt idx="5">
                        <c:v>1167.21</c:v>
                      </c:pt>
                      <c:pt idx="6">
                        <c:v>1246.3800000000001</c:v>
                      </c:pt>
                      <c:pt idx="7">
                        <c:v>1341.97</c:v>
                      </c:pt>
                      <c:pt idx="8">
                        <c:v>1058.49</c:v>
                      </c:pt>
                      <c:pt idx="9">
                        <c:v>3504.65</c:v>
                      </c:pt>
                      <c:pt idx="10">
                        <c:v>1582.75</c:v>
                      </c:pt>
                    </c:numCache>
                  </c:numRef>
                </c:val>
                <c:extLst xmlns:c15="http://schemas.microsoft.com/office/drawing/2012/chart">
                  <c:ext xmlns:c16="http://schemas.microsoft.com/office/drawing/2014/chart" uri="{C3380CC4-5D6E-409C-BE32-E72D297353CC}">
                    <c16:uniqueId val="{00000008-6B69-49F0-8C83-E5A545B2B35C}"/>
                  </c:ext>
                </c:extLst>
              </c15:ser>
            </c15:filteredBarSeries>
          </c:ext>
        </c:extLst>
      </c:barChart>
      <c:valAx>
        <c:axId val="1319480015"/>
        <c:scaling>
          <c:orientation val="minMax"/>
          <c:max val="20"/>
          <c:min val="0"/>
        </c:scaling>
        <c:delete val="1"/>
        <c:axPos val="t"/>
        <c:numFmt formatCode="#,##0.00\ &quot;€&quot;" sourceLinked="1"/>
        <c:majorTickMark val="out"/>
        <c:minorTickMark val="none"/>
        <c:tickLblPos val="nextTo"/>
        <c:crossAx val="891633855"/>
        <c:crosses val="autoZero"/>
        <c:crossBetween val="between"/>
        <c:majorUnit val="2"/>
      </c:valAx>
      <c:catAx>
        <c:axId val="891633855"/>
        <c:scaling>
          <c:orientation val="maxMin"/>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4825260812496481"/>
          <c:y val="3.8008150319151146E-3"/>
          <c:w val="0.17017432744235686"/>
          <c:h val="5.546408946742573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661888417793929"/>
          <c:y val="0.27515080793654073"/>
          <c:w val="0.84338111582206066"/>
          <c:h val="0.72484919206345932"/>
        </c:manualLayout>
      </c:layout>
      <c:barChart>
        <c:barDir val="bar"/>
        <c:grouping val="clustered"/>
        <c:varyColors val="0"/>
        <c:ser>
          <c:idx val="0"/>
          <c:order val="0"/>
          <c:tx>
            <c:strRef>
              <c:f>q17_a_q19_q26_a_q29_q38_q41_Fig!$R$15</c:f>
              <c:strCache>
                <c:ptCount val="1"/>
                <c:pt idx="0">
                  <c:v>Homens</c:v>
                </c:pt>
              </c:strCache>
            </c:strRef>
          </c:tx>
          <c:spPr>
            <a:solidFill>
              <a:srgbClr val="4F81BD"/>
            </a:solidFill>
            <a:ln>
              <a:noFill/>
            </a:ln>
            <a:effectLst/>
            <a:scene3d>
              <a:camera prst="orthographicFront"/>
              <a:lightRig rig="threePt" dir="t"/>
            </a:scene3d>
            <a:sp3d>
              <a:bevelT w="0" h="0"/>
              <a:bevelB w="0" h="0"/>
            </a:sp3d>
          </c:spPr>
          <c:invertIfNegative val="0"/>
          <c:dLbls>
            <c:numFmt formatCode="#,##0;#,##0" sourceLinked="0"/>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q17_a_q19_q26_a_q29_q38_q41_Fig!$Q$16:$Q$22</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q17_a_q19_q26_a_q29_q38_q41_Fig!$R$16:$R$22</c:f>
              <c:numCache>
                <c:formatCode>#,##0</c:formatCode>
                <c:ptCount val="7"/>
                <c:pt idx="0">
                  <c:v>-548</c:v>
                </c:pt>
                <c:pt idx="1">
                  <c:v>-154240</c:v>
                </c:pt>
                <c:pt idx="2">
                  <c:v>-456663</c:v>
                </c:pt>
                <c:pt idx="3">
                  <c:v>-447534</c:v>
                </c:pt>
                <c:pt idx="4">
                  <c:v>-422726</c:v>
                </c:pt>
                <c:pt idx="5">
                  <c:v>-262183</c:v>
                </c:pt>
                <c:pt idx="6">
                  <c:v>-39491</c:v>
                </c:pt>
              </c:numCache>
            </c:numRef>
          </c:val>
          <c:extLst>
            <c:ext xmlns:c16="http://schemas.microsoft.com/office/drawing/2014/chart" uri="{C3380CC4-5D6E-409C-BE32-E72D297353CC}">
              <c16:uniqueId val="{00000000-2132-4321-90E9-0EFAAA9328DF}"/>
            </c:ext>
          </c:extLst>
        </c:ser>
        <c:ser>
          <c:idx val="1"/>
          <c:order val="1"/>
          <c:tx>
            <c:strRef>
              <c:f>q17_a_q19_q26_a_q29_q38_q41_Fig!$S$15</c:f>
              <c:strCache>
                <c:ptCount val="1"/>
                <c:pt idx="0">
                  <c:v>Mulheres</c:v>
                </c:pt>
              </c:strCache>
            </c:strRef>
          </c:tx>
          <c:spPr>
            <a:solidFill>
              <a:srgbClr val="FFC000"/>
            </a:solidFill>
            <a:ln>
              <a:noFill/>
            </a:ln>
            <a:effectLst/>
            <a:scene3d>
              <a:camera prst="orthographicFront"/>
              <a:lightRig rig="threePt" dir="t"/>
            </a:scene3d>
            <a:sp3d>
              <a:bevelT w="0" h="0"/>
              <a:bevelB w="0" h="0"/>
            </a:sp3d>
          </c:spPr>
          <c:invertIfNegative val="0"/>
          <c:dLbls>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q17_a_q19_q26_a_q29_q38_q41_Fig!$Q$16:$Q$22</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q17_a_q19_q26_a_q29_q38_q41_Fig!$S$16:$S$22</c:f>
              <c:numCache>
                <c:formatCode>#,##0</c:formatCode>
                <c:ptCount val="7"/>
                <c:pt idx="0">
                  <c:v>413</c:v>
                </c:pt>
                <c:pt idx="1">
                  <c:v>124774</c:v>
                </c:pt>
                <c:pt idx="2">
                  <c:v>380114</c:v>
                </c:pt>
                <c:pt idx="3">
                  <c:v>399838</c:v>
                </c:pt>
                <c:pt idx="4">
                  <c:v>402481</c:v>
                </c:pt>
                <c:pt idx="5">
                  <c:v>235405</c:v>
                </c:pt>
                <c:pt idx="6">
                  <c:v>26977</c:v>
                </c:pt>
              </c:numCache>
            </c:numRef>
          </c:val>
          <c:extLst>
            <c:ext xmlns:c16="http://schemas.microsoft.com/office/drawing/2014/chart" uri="{C3380CC4-5D6E-409C-BE32-E72D297353CC}">
              <c16:uniqueId val="{00000001-2132-4321-90E9-0EFAAA9328DF}"/>
            </c:ext>
          </c:extLst>
        </c:ser>
        <c:dLbls>
          <c:showLegendKey val="0"/>
          <c:showVal val="0"/>
          <c:showCatName val="0"/>
          <c:showSerName val="0"/>
          <c:showPercent val="0"/>
          <c:showBubbleSize val="0"/>
        </c:dLbls>
        <c:gapWidth val="40"/>
        <c:overlap val="100"/>
        <c:axId val="1261817855"/>
        <c:axId val="267587263"/>
      </c:barChart>
      <c:catAx>
        <c:axId val="1261817855"/>
        <c:scaling>
          <c:orientation val="maxMin"/>
        </c:scaling>
        <c:delete val="0"/>
        <c:axPos val="l"/>
        <c:majorGridlines>
          <c:spPr>
            <a:ln>
              <a:solidFill>
                <a:srgbClr val="D9D9D9"/>
              </a:solidFill>
            </a:ln>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max val="450000"/>
          <c:min val="-450000"/>
        </c:scaling>
        <c:delete val="1"/>
        <c:axPos val="t"/>
        <c:numFmt formatCode="#,##0;#,##0" sourceLinked="0"/>
        <c:majorTickMark val="out"/>
        <c:minorTickMark val="none"/>
        <c:tickLblPos val="nextTo"/>
        <c:crossAx val="1261817855"/>
        <c:crosses val="autoZero"/>
        <c:crossBetween val="between"/>
      </c:valAx>
      <c:spPr>
        <a:noFill/>
        <a:ln>
          <a:noFill/>
        </a:ln>
        <a:effectLst/>
      </c:spPr>
    </c:plotArea>
    <c:legend>
      <c:legendPos val="t"/>
      <c:layout>
        <c:manualLayout>
          <c:xMode val="edge"/>
          <c:yMode val="edge"/>
          <c:x val="0.3952921863554163"/>
          <c:y val="2.2249882951519907E-2"/>
          <c:w val="0.39199891301477158"/>
          <c:h val="7.892867243936505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t" anchorCtr="0"/>
          <a:lstStyle/>
          <a:p>
            <a:pPr>
              <a:defRPr sz="700" b="1" i="0" u="none" strike="noStrike" kern="1200" baseline="0">
                <a:solidFill>
                  <a:schemeClr val="tx1"/>
                </a:solidFill>
                <a:latin typeface="+mn-lt"/>
                <a:ea typeface="+mn-ea"/>
                <a:cs typeface="+mn-cs"/>
              </a:defRPr>
            </a:pPr>
            <a:r>
              <a:rPr lang="en-US" sz="700" b="1" i="0" baseline="0">
                <a:solidFill>
                  <a:srgbClr val="17375E"/>
                </a:solidFill>
                <a:effectLst/>
              </a:rPr>
              <a:t>Homens + Mulheres</a:t>
            </a:r>
            <a:endParaRPr lang="pt-PT" sz="700">
              <a:solidFill>
                <a:srgbClr val="17375E"/>
              </a:solidFill>
              <a:effectLst/>
            </a:endParaRPr>
          </a:p>
        </c:rich>
      </c:tx>
      <c:layout>
        <c:manualLayout>
          <c:xMode val="edge"/>
          <c:yMode val="edge"/>
          <c:x val="0.22471764117941029"/>
          <c:y val="1.5098897535667963E-2"/>
        </c:manualLayout>
      </c:layout>
      <c:overlay val="0"/>
      <c:spPr>
        <a:noFill/>
        <a:ln>
          <a:noFill/>
        </a:ln>
        <a:effectLst/>
      </c:spPr>
      <c:txPr>
        <a:bodyPr rot="0" spcFirstLastPara="1" vertOverflow="ellipsis" vert="horz" wrap="square" anchor="t" anchorCtr="0"/>
        <a:lstStyle/>
        <a:p>
          <a:pPr>
            <a:defRPr sz="700" b="1" i="0" u="none" strike="noStrike" kern="1200" baseline="0">
              <a:solidFill>
                <a:schemeClr val="tx1"/>
              </a:solidFill>
              <a:latin typeface="+mn-lt"/>
              <a:ea typeface="+mn-ea"/>
              <a:cs typeface="+mn-cs"/>
            </a:defRPr>
          </a:pPr>
          <a:endParaRPr lang="pt-PT"/>
        </a:p>
      </c:txPr>
    </c:title>
    <c:autoTitleDeleted val="0"/>
    <c:plotArea>
      <c:layout>
        <c:manualLayout>
          <c:layoutTarget val="inner"/>
          <c:xMode val="edge"/>
          <c:yMode val="edge"/>
          <c:x val="6.645451605451605E-2"/>
          <c:y val="0.23192568942879796"/>
          <c:w val="0.60804176484176498"/>
          <c:h val="0.65021473137038388"/>
        </c:manualLayout>
      </c:layout>
      <c:doughnutChart>
        <c:varyColors val="1"/>
        <c:ser>
          <c:idx val="0"/>
          <c:order val="0"/>
          <c:tx>
            <c:strRef>
              <c:f>q17_a_q19_q26_a_q29_q38_q41_Fig!$T$15</c:f>
              <c:strCache>
                <c:ptCount val="1"/>
                <c:pt idx="0">
                  <c:v>Total</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9080-4AE0-AD0C-83A5FABD4D42}"/>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9080-4AE0-AD0C-83A5FABD4D42}"/>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9080-4AE0-AD0C-83A5FABD4D42}"/>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9080-4AE0-AD0C-83A5FABD4D42}"/>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9080-4AE0-AD0C-83A5FABD4D42}"/>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9080-4AE0-AD0C-83A5FABD4D42}"/>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9080-4AE0-AD0C-83A5FABD4D42}"/>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9080-4AE0-AD0C-83A5FABD4D42}"/>
              </c:ext>
            </c:extLst>
          </c:dPt>
          <c:dLbls>
            <c:dLbl>
              <c:idx val="0"/>
              <c:layout>
                <c:manualLayout>
                  <c:x val="0.12956140350877179"/>
                  <c:y val="-0.1749737195941816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10726871345029237"/>
                      <c:h val="9.8239823982398236E-2"/>
                    </c:manualLayout>
                  </c15:layout>
                </c:ext>
                <c:ext xmlns:c16="http://schemas.microsoft.com/office/drawing/2014/chart" uri="{C3380CC4-5D6E-409C-BE32-E72D297353CC}">
                  <c16:uniqueId val="{00000001-9080-4AE0-AD0C-83A5FABD4D42}"/>
                </c:ext>
              </c:extLst>
            </c:dLbl>
            <c:dLbl>
              <c:idx val="2"/>
              <c:layout>
                <c:manualLayout>
                  <c:x val="0"/>
                  <c:y val="-8.4875562720133283E-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080-4AE0-AD0C-83A5FABD4D42}"/>
                </c:ext>
              </c:extLst>
            </c:dLbl>
            <c:dLbl>
              <c:idx val="6"/>
              <c:layout>
                <c:manualLayout>
                  <c:x val="-0.12605263157894744"/>
                  <c:y val="-0.1762392535549851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9080-4AE0-AD0C-83A5FABD4D42}"/>
                </c:ext>
              </c:extLst>
            </c:dLbl>
            <c:dLbl>
              <c:idx val="7"/>
              <c:layout>
                <c:manualLayout>
                  <c:x val="0.11388888888888894"/>
                  <c:y val="-0.111111111111111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9080-4AE0-AD0C-83A5FABD4D4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q17_a_q19_q26_a_q29_q38_q41_Fig!$Q$16:$Q$22</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q17_a_q19_q26_a_q29_q38_q41_Fig!$T$16:$T$22</c:f>
              <c:numCache>
                <c:formatCode>#,##0</c:formatCode>
                <c:ptCount val="7"/>
                <c:pt idx="0">
                  <c:v>961</c:v>
                </c:pt>
                <c:pt idx="1">
                  <c:v>279014</c:v>
                </c:pt>
                <c:pt idx="2">
                  <c:v>836777</c:v>
                </c:pt>
                <c:pt idx="3">
                  <c:v>847372</c:v>
                </c:pt>
                <c:pt idx="4">
                  <c:v>825207</c:v>
                </c:pt>
                <c:pt idx="5">
                  <c:v>497588</c:v>
                </c:pt>
                <c:pt idx="6">
                  <c:v>66468</c:v>
                </c:pt>
              </c:numCache>
            </c:numRef>
          </c:val>
          <c:extLst>
            <c:ext xmlns:c16="http://schemas.microsoft.com/office/drawing/2014/chart" uri="{C3380CC4-5D6E-409C-BE32-E72D297353CC}">
              <c16:uniqueId val="{00000010-9080-4AE0-AD0C-83A5FABD4D42}"/>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67128185907046478"/>
          <c:y val="0.19463641904117482"/>
          <c:w val="0.30055472263868072"/>
          <c:h val="0.72389134505706798"/>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41320491579663"/>
          <c:y val="0.13893333333333333"/>
          <c:w val="0.63847227349341062"/>
          <c:h val="0.78091002624671901"/>
        </c:manualLayout>
      </c:layout>
      <c:barChart>
        <c:barDir val="bar"/>
        <c:grouping val="clustered"/>
        <c:varyColors val="0"/>
        <c:ser>
          <c:idx val="0"/>
          <c:order val="0"/>
          <c:tx>
            <c:strRef>
              <c:f>q17_a_q19_q26_a_q29_q38_q41_Fig!$Q$107</c:f>
              <c:strCache>
                <c:ptCount val="1"/>
                <c:pt idx="0">
                  <c:v>Base </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0-851C-4FB8-B9C9-69C45C8F0BDC}"/>
              </c:ext>
            </c:extLst>
          </c:dPt>
          <c:dPt>
            <c:idx val="1"/>
            <c:invertIfNegative val="0"/>
            <c:bubble3D val="0"/>
            <c:extLst>
              <c:ext xmlns:c16="http://schemas.microsoft.com/office/drawing/2014/chart" uri="{C3380CC4-5D6E-409C-BE32-E72D297353CC}">
                <c16:uniqueId val="{00000001-851C-4FB8-B9C9-69C45C8F0BDC}"/>
              </c:ext>
            </c:extLst>
          </c:dPt>
          <c:dPt>
            <c:idx val="2"/>
            <c:invertIfNegative val="0"/>
            <c:bubble3D val="0"/>
            <c:extLst>
              <c:ext xmlns:c16="http://schemas.microsoft.com/office/drawing/2014/chart" uri="{C3380CC4-5D6E-409C-BE32-E72D297353CC}">
                <c16:uniqueId val="{00000002-851C-4FB8-B9C9-69C45C8F0BDC}"/>
              </c:ext>
            </c:extLst>
          </c:dPt>
          <c:dPt>
            <c:idx val="3"/>
            <c:invertIfNegative val="0"/>
            <c:bubble3D val="0"/>
            <c:extLst>
              <c:ext xmlns:c16="http://schemas.microsoft.com/office/drawing/2014/chart" uri="{C3380CC4-5D6E-409C-BE32-E72D297353CC}">
                <c16:uniqueId val="{00000003-851C-4FB8-B9C9-69C45C8F0BDC}"/>
              </c:ext>
            </c:extLst>
          </c:dPt>
          <c:dPt>
            <c:idx val="4"/>
            <c:invertIfNegative val="0"/>
            <c:bubble3D val="0"/>
            <c:extLst>
              <c:ext xmlns:c16="http://schemas.microsoft.com/office/drawing/2014/chart" uri="{C3380CC4-5D6E-409C-BE32-E72D297353CC}">
                <c16:uniqueId val="{00000004-851C-4FB8-B9C9-69C45C8F0BDC}"/>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q17_a_q19_q26_a_q29_q38_q41_Fig!$R$106:$Y$106</c15:sqref>
                  </c15:fullRef>
                </c:ext>
              </c:extLst>
              <c:f>q17_a_q19_q26_a_q29_q38_q41_Fig!$S$106:$Y$106</c:f>
              <c:strCache>
                <c:ptCount val="7"/>
                <c:pt idx="0">
                  <c:v>&lt; 18 anos</c:v>
                </c:pt>
                <c:pt idx="1">
                  <c:v>18 - 24 anos</c:v>
                </c:pt>
                <c:pt idx="2">
                  <c:v>25 - 34 anos</c:v>
                </c:pt>
                <c:pt idx="3">
                  <c:v>35 - 44 anos</c:v>
                </c:pt>
                <c:pt idx="4">
                  <c:v>45 - 54 anos</c:v>
                </c:pt>
                <c:pt idx="5">
                  <c:v>55 - 64 anos</c:v>
                </c:pt>
                <c:pt idx="6">
                  <c:v>65 e + anos</c:v>
                </c:pt>
              </c:strCache>
            </c:strRef>
          </c:cat>
          <c:val>
            <c:numRef>
              <c:extLst>
                <c:ext xmlns:c15="http://schemas.microsoft.com/office/drawing/2012/chart" uri="{02D57815-91ED-43cb-92C2-25804820EDAC}">
                  <c15:fullRef>
                    <c15:sqref>q17_a_q19_q26_a_q29_q38_q41_Fig!$R$107:$Y$107</c15:sqref>
                  </c15:fullRef>
                </c:ext>
              </c:extLst>
              <c:f>q17_a_q19_q26_a_q29_q38_q41_Fig!$S$107:$Y$107</c:f>
              <c:numCache>
                <c:formatCode>#,##0.00\ "€"</c:formatCode>
                <c:ptCount val="7"/>
                <c:pt idx="0">
                  <c:v>1321.63</c:v>
                </c:pt>
                <c:pt idx="1">
                  <c:v>996.39</c:v>
                </c:pt>
                <c:pt idx="2">
                  <c:v>1218.3837835621853</c:v>
                </c:pt>
                <c:pt idx="3">
                  <c:v>1360.9851196135858</c:v>
                </c:pt>
                <c:pt idx="4">
                  <c:v>1412.1448217241295</c:v>
                </c:pt>
                <c:pt idx="5">
                  <c:v>1316.1852411793977</c:v>
                </c:pt>
                <c:pt idx="6">
                  <c:v>1413.77</c:v>
                </c:pt>
              </c:numCache>
            </c:numRef>
          </c:val>
          <c:extLst>
            <c:ext xmlns:c16="http://schemas.microsoft.com/office/drawing/2014/chart" uri="{C3380CC4-5D6E-409C-BE32-E72D297353CC}">
              <c16:uniqueId val="{00000005-851C-4FB8-B9C9-69C45C8F0BDC}"/>
            </c:ext>
          </c:extLst>
        </c:ser>
        <c:ser>
          <c:idx val="1"/>
          <c:order val="1"/>
          <c:tx>
            <c:strRef>
              <c:f>q17_a_q19_q26_a_q29_q38_q41_Fig!$Q$108</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q17_a_q19_q26_a_q29_q38_q41_Fig!$R$106:$Y$106</c15:sqref>
                  </c15:fullRef>
                </c:ext>
              </c:extLst>
              <c:f>q17_a_q19_q26_a_q29_q38_q41_Fig!$S$106:$Y$106</c:f>
              <c:strCache>
                <c:ptCount val="7"/>
                <c:pt idx="0">
                  <c:v>&lt; 18 anos</c:v>
                </c:pt>
                <c:pt idx="1">
                  <c:v>18 - 24 anos</c:v>
                </c:pt>
                <c:pt idx="2">
                  <c:v>25 - 34 anos</c:v>
                </c:pt>
                <c:pt idx="3">
                  <c:v>35 - 44 anos</c:v>
                </c:pt>
                <c:pt idx="4">
                  <c:v>45 - 54 anos</c:v>
                </c:pt>
                <c:pt idx="5">
                  <c:v>55 - 64 anos</c:v>
                </c:pt>
                <c:pt idx="6">
                  <c:v>65 e + anos</c:v>
                </c:pt>
              </c:strCache>
            </c:strRef>
          </c:cat>
          <c:val>
            <c:numRef>
              <c:extLst>
                <c:ext xmlns:c15="http://schemas.microsoft.com/office/drawing/2012/chart" uri="{02D57815-91ED-43cb-92C2-25804820EDAC}">
                  <c15:fullRef>
                    <c15:sqref>q17_a_q19_q26_a_q29_q38_q41_Fig!$R$108:$Y$108</c15:sqref>
                  </c15:fullRef>
                </c:ext>
              </c:extLst>
              <c:f>q17_a_q19_q26_a_q29_q38_q41_Fig!$S$108:$Y$108</c:f>
              <c:numCache>
                <c:formatCode>#,##0.00\ "€"</c:formatCode>
                <c:ptCount val="7"/>
                <c:pt idx="0">
                  <c:v>1427.69</c:v>
                </c:pt>
                <c:pt idx="1">
                  <c:v>1191.1199999999999</c:v>
                </c:pt>
                <c:pt idx="2">
                  <c:v>1459.7882770853512</c:v>
                </c:pt>
                <c:pt idx="3">
                  <c:v>1645.469162122856</c:v>
                </c:pt>
                <c:pt idx="4">
                  <c:v>1722.5511225340456</c:v>
                </c:pt>
                <c:pt idx="5">
                  <c:v>1600.2360382917216</c:v>
                </c:pt>
                <c:pt idx="6">
                  <c:v>1651.23</c:v>
                </c:pt>
              </c:numCache>
            </c:numRef>
          </c:val>
          <c:extLst>
            <c:ext xmlns:c15="http://schemas.microsoft.com/office/drawing/2012/chart" uri="{02D57815-91ED-43cb-92C2-25804820EDAC}">
              <c15:categoryFilterExceptions>
                <c15:categoryFilterException>
                  <c15:sqref>q17_a_q19_q26_a_q29_q38_q41_Fig!$R$108</c15:sqref>
                  <c15:spPr xmlns:c15="http://schemas.microsoft.com/office/drawing/2012/chart">
                    <a:solidFill>
                      <a:sysClr val="window" lastClr="FFFFFF">
                        <a:lumMod val="85000"/>
                      </a:sysClr>
                    </a:solidFill>
                    <a:ln w="19050">
                      <a:solidFill>
                        <a:schemeClr val="lt1"/>
                      </a:solidFill>
                    </a:ln>
                    <a:effectLst/>
                  </c15:spPr>
                  <c15:invertIfNegative val="0"/>
                  <c15:bubble3D val="0"/>
                  <c15:dLbl>
                    <c:idx val="-1"/>
                    <c:dLblPos val="inEnd"/>
                    <c:showLegendKey val="0"/>
                    <c:showVal val="1"/>
                    <c:showCatName val="0"/>
                    <c:showSerName val="1"/>
                    <c:showPercent val="0"/>
                    <c:showBubbleSize val="0"/>
                    <c:separator> </c:separator>
                    <c:extLst>
                      <c:ext uri="{CE6537A1-D6FC-4f65-9D91-7224C49458BB}"/>
                      <c:ext xmlns:c16="http://schemas.microsoft.com/office/drawing/2014/chart" uri="{C3380CC4-5D6E-409C-BE32-E72D297353CC}">
                        <c16:uniqueId val="{00000006-FDDE-439E-91C6-700C2B4D781F}"/>
                      </c:ext>
                    </c:extLst>
                  </c15:dLbl>
                </c15:categoryFilterException>
              </c15:categoryFilterExceptions>
            </c:ext>
            <c:ext xmlns:c16="http://schemas.microsoft.com/office/drawing/2014/chart" uri="{C3380CC4-5D6E-409C-BE32-E72D297353CC}">
              <c16:uniqueId val="{00000006-851C-4FB8-B9C9-69C45C8F0BDC}"/>
            </c:ext>
          </c:extLst>
        </c:ser>
        <c:dLbls>
          <c:showLegendKey val="0"/>
          <c:showVal val="0"/>
          <c:showCatName val="0"/>
          <c:showSerName val="0"/>
          <c:showPercent val="0"/>
          <c:showBubbleSize val="0"/>
        </c:dLbls>
        <c:gapWidth val="42"/>
        <c:axId val="891633855"/>
        <c:axId val="1319480015"/>
      </c:barChart>
      <c:valAx>
        <c:axId val="1319480015"/>
        <c:scaling>
          <c:orientation val="minMax"/>
          <c:max val="20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out"/>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52993679015136186"/>
          <c:y val="1.7451035760195285E-2"/>
          <c:w val="0.21659713598755717"/>
          <c:h val="9.798516112321462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205684241132001E-2"/>
          <c:y val="0.22899703122140164"/>
          <c:w val="0.93679431575886796"/>
          <c:h val="0.77100296877859842"/>
        </c:manualLayout>
      </c:layout>
      <c:barChart>
        <c:barDir val="bar"/>
        <c:grouping val="clustered"/>
        <c:varyColors val="0"/>
        <c:ser>
          <c:idx val="0"/>
          <c:order val="0"/>
          <c:tx>
            <c:strRef>
              <c:f>q17_a_q19_q26_a_q29_q38_q41_Fig!$S$96</c:f>
              <c:strCache>
                <c:ptCount val="1"/>
                <c:pt idx="0">
                  <c:v>Base - H</c:v>
                </c:pt>
              </c:strCache>
            </c:strRef>
          </c:tx>
          <c:spPr>
            <a:solidFill>
              <a:srgbClr val="4F81BD"/>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q17_a_q19_q26_a_q29_q38_q41_Fig!$R$97:$R$103</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q17_a_q19_q26_a_q29_q38_q41_Fig!$S$97:$S$103</c:f>
              <c:numCache>
                <c:formatCode>#,##0.00\ "€"</c:formatCode>
                <c:ptCount val="7"/>
                <c:pt idx="0">
                  <c:v>-1446.9</c:v>
                </c:pt>
                <c:pt idx="1">
                  <c:v>-1025.51</c:v>
                </c:pt>
                <c:pt idx="2">
                  <c:v>-1250.965635030389</c:v>
                </c:pt>
                <c:pt idx="3">
                  <c:v>-1434.8524908108961</c:v>
                </c:pt>
                <c:pt idx="4">
                  <c:v>-1520.8383123051801</c:v>
                </c:pt>
                <c:pt idx="5">
                  <c:v>-1434.3463126994259</c:v>
                </c:pt>
                <c:pt idx="6">
                  <c:v>-1519.75</c:v>
                </c:pt>
              </c:numCache>
            </c:numRef>
          </c:val>
          <c:extLst>
            <c:ext xmlns:c16="http://schemas.microsoft.com/office/drawing/2014/chart" uri="{C3380CC4-5D6E-409C-BE32-E72D297353CC}">
              <c16:uniqueId val="{00000000-9E86-4497-99AA-A6226702988E}"/>
            </c:ext>
          </c:extLst>
        </c:ser>
        <c:ser>
          <c:idx val="1"/>
          <c:order val="1"/>
          <c:tx>
            <c:strRef>
              <c:f>q17_a_q19_q26_a_q29_q38_q41_Fig!$T$96</c:f>
              <c:strCache>
                <c:ptCount val="1"/>
                <c:pt idx="0">
                  <c:v>Ganho - H</c:v>
                </c:pt>
              </c:strCache>
            </c:strRef>
          </c:tx>
          <c:spPr>
            <a:solidFill>
              <a:srgbClr val="FFC000"/>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q17_a_q19_q26_a_q29_q38_q41_Fig!$R$97:$R$103</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q17_a_q19_q26_a_q29_q38_q41_Fig!$T$97:$T$103</c:f>
              <c:numCache>
                <c:formatCode>#,##0.00\ "€"</c:formatCode>
                <c:ptCount val="7"/>
                <c:pt idx="0">
                  <c:v>-1544.65</c:v>
                </c:pt>
                <c:pt idx="1">
                  <c:v>-1230.2</c:v>
                </c:pt>
                <c:pt idx="2">
                  <c:v>-1510.0488478925288</c:v>
                </c:pt>
                <c:pt idx="3">
                  <c:v>-1756.2152658357013</c:v>
                </c:pt>
                <c:pt idx="4">
                  <c:v>-1884.0243925337686</c:v>
                </c:pt>
                <c:pt idx="5">
                  <c:v>-1776.1291780472241</c:v>
                </c:pt>
                <c:pt idx="6">
                  <c:v>-1785.68</c:v>
                </c:pt>
              </c:numCache>
            </c:numRef>
          </c:val>
          <c:extLst>
            <c:ext xmlns:c16="http://schemas.microsoft.com/office/drawing/2014/chart" uri="{C3380CC4-5D6E-409C-BE32-E72D297353CC}">
              <c16:uniqueId val="{00000001-9E86-4497-99AA-A6226702988E}"/>
            </c:ext>
          </c:extLst>
        </c:ser>
        <c:dLbls>
          <c:showLegendKey val="0"/>
          <c:showVal val="0"/>
          <c:showCatName val="0"/>
          <c:showSerName val="0"/>
          <c:showPercent val="0"/>
          <c:showBubbleSize val="0"/>
        </c:dLbls>
        <c:gapWidth val="42"/>
        <c:axId val="1450378176"/>
        <c:axId val="1375020736"/>
      </c:barChart>
      <c:barChart>
        <c:barDir val="bar"/>
        <c:grouping val="clustered"/>
        <c:varyColors val="0"/>
        <c:ser>
          <c:idx val="2"/>
          <c:order val="2"/>
          <c:tx>
            <c:strRef>
              <c:f>q17_a_q19_q26_a_q29_q38_q41_Fig!$U$96</c:f>
              <c:strCache>
                <c:ptCount val="1"/>
                <c:pt idx="0">
                  <c:v>Base - M</c:v>
                </c:pt>
              </c:strCache>
            </c:strRef>
          </c:tx>
          <c:spPr>
            <a:solidFill>
              <a:srgbClr val="95B3D7"/>
            </a:solidFill>
          </c:spPr>
          <c:invertIfNegative val="0"/>
          <c:dLbls>
            <c:spPr>
              <a:noFill/>
              <a:ln>
                <a:noFill/>
              </a:ln>
              <a:effectLst/>
            </c:spPr>
            <c:txPr>
              <a:bodyPr wrap="none" lIns="38100" tIns="19050" rIns="38100" bIns="19050" anchor="ctr">
                <a:spAutoFit/>
              </a:bodyPr>
              <a:lstStyle/>
              <a:p>
                <a:pPr>
                  <a:defRPr sz="700" b="0"/>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q17_a_q19_q26_a_q29_q38_q41_Fig!$R$97:$R$103</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q17_a_q19_q26_a_q29_q38_q41_Fig!$U$97:$U$103</c:f>
              <c:numCache>
                <c:formatCode>#,##0.00\ "€"</c:formatCode>
                <c:ptCount val="7"/>
                <c:pt idx="0">
                  <c:v>888.86</c:v>
                </c:pt>
                <c:pt idx="1">
                  <c:v>956.09</c:v>
                </c:pt>
                <c:pt idx="2">
                  <c:v>1176.5559239708268</c:v>
                </c:pt>
                <c:pt idx="3">
                  <c:v>1270.4699891197349</c:v>
                </c:pt>
                <c:pt idx="4">
                  <c:v>1288.1139574240785</c:v>
                </c:pt>
                <c:pt idx="5">
                  <c:v>1167.6433434357841</c:v>
                </c:pt>
                <c:pt idx="6">
                  <c:v>1234.77</c:v>
                </c:pt>
              </c:numCache>
            </c:numRef>
          </c:val>
          <c:extLst>
            <c:ext xmlns:c16="http://schemas.microsoft.com/office/drawing/2014/chart" uri="{C3380CC4-5D6E-409C-BE32-E72D297353CC}">
              <c16:uniqueId val="{00000002-9E86-4497-99AA-A6226702988E}"/>
            </c:ext>
          </c:extLst>
        </c:ser>
        <c:ser>
          <c:idx val="3"/>
          <c:order val="3"/>
          <c:tx>
            <c:strRef>
              <c:f>q17_a_q19_q26_a_q29_q38_q41_Fig!$V$96</c:f>
              <c:strCache>
                <c:ptCount val="1"/>
                <c:pt idx="0">
                  <c:v>Ganho - M</c:v>
                </c:pt>
              </c:strCache>
            </c:strRef>
          </c:tx>
          <c:spPr>
            <a:solidFill>
              <a:srgbClr val="FFEF57"/>
            </a:solidFill>
          </c:spPr>
          <c:invertIfNegative val="0"/>
          <c:dLbls>
            <c:spPr>
              <a:noFill/>
              <a:ln>
                <a:noFill/>
              </a:ln>
              <a:effectLst/>
            </c:spPr>
            <c:txPr>
              <a:bodyPr wrap="none" lIns="38100" tIns="19050" rIns="38100" bIns="19050" anchor="ctr">
                <a:sp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q17_a_q19_q26_a_q29_q38_q41_Fig!$R$97:$R$103</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q17_a_q19_q26_a_q29_q38_q41_Fig!$V$97:$V$103</c:f>
              <c:numCache>
                <c:formatCode>#,##0.00\ "€"</c:formatCode>
                <c:ptCount val="7"/>
                <c:pt idx="0">
                  <c:v>1023.65</c:v>
                </c:pt>
                <c:pt idx="1">
                  <c:v>1137.02</c:v>
                </c:pt>
                <c:pt idx="2">
                  <c:v>1395.2639475107721</c:v>
                </c:pt>
                <c:pt idx="3">
                  <c:v>1509.7697170094814</c:v>
                </c:pt>
                <c:pt idx="4">
                  <c:v>1538.3108694972445</c:v>
                </c:pt>
                <c:pt idx="5">
                  <c:v>1379.1083256079298</c:v>
                </c:pt>
                <c:pt idx="6">
                  <c:v>1424.15</c:v>
                </c:pt>
              </c:numCache>
            </c:numRef>
          </c:val>
          <c:extLst>
            <c:ext xmlns:c16="http://schemas.microsoft.com/office/drawing/2014/chart" uri="{C3380CC4-5D6E-409C-BE32-E72D297353CC}">
              <c16:uniqueId val="{00000003-9E86-4497-99AA-A6226702988E}"/>
            </c:ext>
          </c:extLst>
        </c:ser>
        <c:dLbls>
          <c:showLegendKey val="0"/>
          <c:showVal val="0"/>
          <c:showCatName val="0"/>
          <c:showSerName val="0"/>
          <c:showPercent val="0"/>
          <c:showBubbleSize val="0"/>
        </c:dLbls>
        <c:gapWidth val="42"/>
        <c:axId val="1450370176"/>
        <c:axId val="1375018240"/>
      </c:barChart>
      <c:valAx>
        <c:axId val="1375020736"/>
        <c:scaling>
          <c:orientation val="minMax"/>
        </c:scaling>
        <c:delete val="1"/>
        <c:axPos val="b"/>
        <c:numFmt formatCode="#,##0.00\ &quot;€&quot;" sourceLinked="1"/>
        <c:majorTickMark val="out"/>
        <c:minorTickMark val="none"/>
        <c:tickLblPos val="nextTo"/>
        <c:crossAx val="1450378176"/>
        <c:crosses val="max"/>
        <c:crossBetween val="between"/>
      </c:valAx>
      <c:catAx>
        <c:axId val="1450378176"/>
        <c:scaling>
          <c:orientation val="maxMin"/>
        </c:scaling>
        <c:delete val="1"/>
        <c:axPos val="l"/>
        <c:numFmt formatCode="General" sourceLinked="1"/>
        <c:majorTickMark val="out"/>
        <c:minorTickMark val="none"/>
        <c:tickLblPos val="nextTo"/>
        <c:crossAx val="1375020736"/>
        <c:crosses val="autoZero"/>
        <c:auto val="1"/>
        <c:lblAlgn val="ctr"/>
        <c:lblOffset val="100"/>
        <c:noMultiLvlLbl val="0"/>
      </c:catAx>
      <c:valAx>
        <c:axId val="1375018240"/>
        <c:scaling>
          <c:orientation val="minMax"/>
        </c:scaling>
        <c:delete val="1"/>
        <c:axPos val="t"/>
        <c:numFmt formatCode="#,##0.00\ &quot;€&quot;" sourceLinked="1"/>
        <c:majorTickMark val="out"/>
        <c:minorTickMark val="none"/>
        <c:tickLblPos val="nextTo"/>
        <c:crossAx val="1450370176"/>
        <c:crosses val="autoZero"/>
        <c:crossBetween val="between"/>
      </c:valAx>
      <c:catAx>
        <c:axId val="1450370176"/>
        <c:scaling>
          <c:orientation val="maxMin"/>
        </c:scaling>
        <c:delete val="1"/>
        <c:axPos val="r"/>
        <c:numFmt formatCode="General" sourceLinked="1"/>
        <c:majorTickMark val="out"/>
        <c:minorTickMark val="none"/>
        <c:tickLblPos val="nextTo"/>
        <c:crossAx val="1375018240"/>
        <c:crosses val="max"/>
        <c:auto val="1"/>
        <c:lblAlgn val="ctr"/>
        <c:lblOffset val="100"/>
        <c:noMultiLvlLbl val="0"/>
      </c:catAx>
      <c:spPr>
        <a:noFill/>
        <a:ln>
          <a:noFill/>
        </a:ln>
        <a:effectLst/>
      </c:spPr>
    </c:plotArea>
    <c:legend>
      <c:legendPos val="t"/>
      <c:layout>
        <c:manualLayout>
          <c:xMode val="edge"/>
          <c:yMode val="edge"/>
          <c:x val="0.10183330070804396"/>
          <c:y val="2.6527633955922166E-2"/>
          <c:w val="0.8636341084320287"/>
          <c:h val="5.2745989459947698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661888417793929"/>
          <c:y val="0.27515080793654073"/>
          <c:w val="0.84338111582206066"/>
          <c:h val="0.72484919206345932"/>
        </c:manualLayout>
      </c:layout>
      <c:barChart>
        <c:barDir val="bar"/>
        <c:grouping val="clustered"/>
        <c:varyColors val="0"/>
        <c:ser>
          <c:idx val="0"/>
          <c:order val="0"/>
          <c:tx>
            <c:strRef>
              <c:f>q17_a_q19_q26_a_q29_q38_q41_Fig!$R$44</c:f>
              <c:strCache>
                <c:ptCount val="1"/>
                <c:pt idx="0">
                  <c:v>Homens</c:v>
                </c:pt>
              </c:strCache>
            </c:strRef>
          </c:tx>
          <c:spPr>
            <a:solidFill>
              <a:srgbClr val="4F81BD"/>
            </a:solidFill>
            <a:ln>
              <a:noFill/>
            </a:ln>
            <a:effectLst/>
            <a:scene3d>
              <a:camera prst="orthographicFront"/>
              <a:lightRig rig="threePt" dir="t"/>
            </a:scene3d>
            <a:sp3d>
              <a:bevelT w="0" h="0"/>
              <a:bevelB w="0" h="0"/>
            </a:sp3d>
          </c:spPr>
          <c:invertIfNegative val="0"/>
          <c:dLbls>
            <c:numFmt formatCode="#,##0;#,##0" sourceLinked="0"/>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q17_a_q19_q26_a_q29_q38_q41_Fig!$Q$45:$Q$52</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q17_a_q19_q26_a_q29_q38_q41_Fig!$R$45:$R$52</c:f>
              <c:numCache>
                <c:formatCode>#,##0</c:formatCode>
                <c:ptCount val="8"/>
                <c:pt idx="0">
                  <c:v>-171641</c:v>
                </c:pt>
                <c:pt idx="1">
                  <c:v>-101765</c:v>
                </c:pt>
                <c:pt idx="2">
                  <c:v>-96673</c:v>
                </c:pt>
                <c:pt idx="3">
                  <c:v>-158519</c:v>
                </c:pt>
                <c:pt idx="4">
                  <c:v>-696010</c:v>
                </c:pt>
                <c:pt idx="5">
                  <c:v>-300507</c:v>
                </c:pt>
                <c:pt idx="6">
                  <c:v>-215398</c:v>
                </c:pt>
                <c:pt idx="7">
                  <c:v>-43199</c:v>
                </c:pt>
              </c:numCache>
            </c:numRef>
          </c:val>
          <c:extLst>
            <c:ext xmlns:c16="http://schemas.microsoft.com/office/drawing/2014/chart" uri="{C3380CC4-5D6E-409C-BE32-E72D297353CC}">
              <c16:uniqueId val="{00000000-FB83-4143-BE71-B01D1286994F}"/>
            </c:ext>
          </c:extLst>
        </c:ser>
        <c:ser>
          <c:idx val="1"/>
          <c:order val="1"/>
          <c:tx>
            <c:strRef>
              <c:f>q17_a_q19_q26_a_q29_q38_q41_Fig!$S$44</c:f>
              <c:strCache>
                <c:ptCount val="1"/>
                <c:pt idx="0">
                  <c:v>Mulheres</c:v>
                </c:pt>
              </c:strCache>
            </c:strRef>
          </c:tx>
          <c:spPr>
            <a:solidFill>
              <a:srgbClr val="FFC000"/>
            </a:solidFill>
            <a:ln>
              <a:noFill/>
            </a:ln>
            <a:effectLst/>
            <a:scene3d>
              <a:camera prst="orthographicFront"/>
              <a:lightRig rig="threePt" dir="t"/>
            </a:scene3d>
            <a:sp3d>
              <a:bevelT w="0" h="0"/>
              <a:bevelB w="0" h="0"/>
            </a:sp3d>
          </c:spPr>
          <c:invertIfNegative val="0"/>
          <c:dLbls>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q17_a_q19_q26_a_q29_q38_q41_Fig!$Q$45:$Q$52</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q17_a_q19_q26_a_q29_q38_q41_Fig!$S$45:$S$52</c:f>
              <c:numCache>
                <c:formatCode>#,##0</c:formatCode>
                <c:ptCount val="8"/>
                <c:pt idx="0">
                  <c:v>161670</c:v>
                </c:pt>
                <c:pt idx="1">
                  <c:v>97204</c:v>
                </c:pt>
                <c:pt idx="2">
                  <c:v>63610</c:v>
                </c:pt>
                <c:pt idx="3">
                  <c:v>155722</c:v>
                </c:pt>
                <c:pt idx="4">
                  <c:v>492264</c:v>
                </c:pt>
                <c:pt idx="5">
                  <c:v>384907</c:v>
                </c:pt>
                <c:pt idx="6">
                  <c:v>183296</c:v>
                </c:pt>
                <c:pt idx="7">
                  <c:v>31751</c:v>
                </c:pt>
              </c:numCache>
            </c:numRef>
          </c:val>
          <c:extLst>
            <c:ext xmlns:c16="http://schemas.microsoft.com/office/drawing/2014/chart" uri="{C3380CC4-5D6E-409C-BE32-E72D297353CC}">
              <c16:uniqueId val="{00000001-FB83-4143-BE71-B01D1286994F}"/>
            </c:ext>
          </c:extLst>
        </c:ser>
        <c:dLbls>
          <c:showLegendKey val="0"/>
          <c:showVal val="0"/>
          <c:showCatName val="0"/>
          <c:showSerName val="0"/>
          <c:showPercent val="0"/>
          <c:showBubbleSize val="0"/>
        </c:dLbls>
        <c:gapWidth val="40"/>
        <c:overlap val="100"/>
        <c:axId val="1261817855"/>
        <c:axId val="267587263"/>
      </c:barChart>
      <c:catAx>
        <c:axId val="1261817855"/>
        <c:scaling>
          <c:orientation val="maxMin"/>
        </c:scaling>
        <c:delete val="0"/>
        <c:axPos val="l"/>
        <c:majorGridlines>
          <c:spPr>
            <a:ln>
              <a:solidFill>
                <a:srgbClr val="D9D9D9"/>
              </a:solidFill>
            </a:ln>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max val="680000"/>
          <c:min val="-680000"/>
        </c:scaling>
        <c:delete val="1"/>
        <c:axPos val="t"/>
        <c:numFmt formatCode="#,##0;#,##0" sourceLinked="0"/>
        <c:majorTickMark val="out"/>
        <c:minorTickMark val="none"/>
        <c:tickLblPos val="nextTo"/>
        <c:crossAx val="1261817855"/>
        <c:crosses val="autoZero"/>
        <c:crossBetween val="between"/>
        <c:majorUnit val="300000"/>
      </c:valAx>
      <c:spPr>
        <a:noFill/>
        <a:ln>
          <a:noFill/>
        </a:ln>
        <a:effectLst/>
      </c:spPr>
    </c:plotArea>
    <c:legend>
      <c:legendPos val="t"/>
      <c:layout>
        <c:manualLayout>
          <c:xMode val="edge"/>
          <c:yMode val="edge"/>
          <c:x val="0.3952921863554163"/>
          <c:y val="2.2249882951519907E-2"/>
          <c:w val="0.39199891301477158"/>
          <c:h val="7.892867243936505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t" anchorCtr="0"/>
          <a:lstStyle/>
          <a:p>
            <a:pPr>
              <a:defRPr sz="700" b="1" i="0" u="none" strike="noStrike" kern="1200" baseline="0">
                <a:solidFill>
                  <a:schemeClr val="tx1"/>
                </a:solidFill>
                <a:latin typeface="+mn-lt"/>
                <a:ea typeface="+mn-ea"/>
                <a:cs typeface="+mn-cs"/>
              </a:defRPr>
            </a:pPr>
            <a:r>
              <a:rPr lang="en-US" sz="700" b="1" i="0" baseline="0">
                <a:solidFill>
                  <a:srgbClr val="17375E"/>
                </a:solidFill>
                <a:effectLst/>
              </a:rPr>
              <a:t>Homens + Mulheres</a:t>
            </a:r>
            <a:endParaRPr lang="pt-PT" sz="700">
              <a:solidFill>
                <a:srgbClr val="17375E"/>
              </a:solidFill>
              <a:effectLst/>
            </a:endParaRPr>
          </a:p>
        </c:rich>
      </c:tx>
      <c:layout>
        <c:manualLayout>
          <c:xMode val="edge"/>
          <c:yMode val="edge"/>
          <c:x val="0.32626710030457906"/>
          <c:y val="2.1962219622196223E-2"/>
        </c:manualLayout>
      </c:layout>
      <c:overlay val="0"/>
      <c:spPr>
        <a:noFill/>
        <a:ln>
          <a:noFill/>
        </a:ln>
        <a:effectLst/>
      </c:spPr>
      <c:txPr>
        <a:bodyPr rot="0" spcFirstLastPara="1" vertOverflow="ellipsis" vert="horz" wrap="square" anchor="t" anchorCtr="0"/>
        <a:lstStyle/>
        <a:p>
          <a:pPr>
            <a:defRPr sz="700" b="1" i="0" u="none" strike="noStrike" kern="1200" baseline="0">
              <a:solidFill>
                <a:schemeClr val="tx1"/>
              </a:solidFill>
              <a:latin typeface="+mn-lt"/>
              <a:ea typeface="+mn-ea"/>
              <a:cs typeface="+mn-cs"/>
            </a:defRPr>
          </a:pPr>
          <a:endParaRPr lang="pt-PT"/>
        </a:p>
      </c:txPr>
    </c:title>
    <c:autoTitleDeleted val="0"/>
    <c:plotArea>
      <c:layout>
        <c:manualLayout>
          <c:layoutTarget val="inner"/>
          <c:xMode val="edge"/>
          <c:yMode val="edge"/>
          <c:x val="0.10057665234430598"/>
          <c:y val="0.1704118028534371"/>
          <c:w val="0.44813898561610344"/>
          <c:h val="0.68743028534370942"/>
        </c:manualLayout>
      </c:layout>
      <c:doughnutChart>
        <c:varyColors val="1"/>
        <c:ser>
          <c:idx val="0"/>
          <c:order val="0"/>
          <c:tx>
            <c:strRef>
              <c:f>q17_a_q19_q26_a_q29_q38_q41_Fig!$T$44</c:f>
              <c:strCache>
                <c:ptCount val="1"/>
                <c:pt idx="0">
                  <c:v>Total</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B67E-4AA6-B018-BD07C655A414}"/>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B67E-4AA6-B018-BD07C655A414}"/>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B67E-4AA6-B018-BD07C655A414}"/>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B67E-4AA6-B018-BD07C655A414}"/>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B67E-4AA6-B018-BD07C655A414}"/>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B67E-4AA6-B018-BD07C655A414}"/>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B67E-4AA6-B018-BD07C655A414}"/>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B67E-4AA6-B018-BD07C655A414}"/>
              </c:ext>
            </c:extLst>
          </c:dPt>
          <c:dLbls>
            <c:dLbl>
              <c:idx val="0"/>
              <c:layout>
                <c:manualLayout>
                  <c:x val="5.7951507621849772E-3"/>
                  <c:y val="-3.108895560716781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10726871345029237"/>
                      <c:h val="9.8239823982398236E-2"/>
                    </c:manualLayout>
                  </c15:layout>
                </c:ext>
                <c:ext xmlns:c16="http://schemas.microsoft.com/office/drawing/2014/chart" uri="{C3380CC4-5D6E-409C-BE32-E72D297353CC}">
                  <c16:uniqueId val="{00000001-B67E-4AA6-B018-BD07C655A414}"/>
                </c:ext>
              </c:extLst>
            </c:dLbl>
            <c:dLbl>
              <c:idx val="2"/>
              <c:layout>
                <c:manualLayout>
                  <c:x val="0"/>
                  <c:y val="-8.4875562720133283E-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67E-4AA6-B018-BD07C655A414}"/>
                </c:ext>
              </c:extLst>
            </c:dLbl>
            <c:dLbl>
              <c:idx val="6"/>
              <c:layout>
                <c:manualLayout>
                  <c:x val="-1.2895066645765179E-2"/>
                  <c:y val="-1.796597367775071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B67E-4AA6-B018-BD07C655A414}"/>
                </c:ext>
              </c:extLst>
            </c:dLbl>
            <c:dLbl>
              <c:idx val="7"/>
              <c:layout>
                <c:manualLayout>
                  <c:x val="-2.7558220897347684E-2"/>
                  <c:y val="-0.18784984610736608"/>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B67E-4AA6-B018-BD07C655A41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q17_a_q19_q26_a_q29_q38_q41_Fig!$Q$45:$Q$52</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q17_a_q19_q26_a_q29_q38_q41_Fig!$T$45:$T$52</c:f>
              <c:numCache>
                <c:formatCode>#,##0</c:formatCode>
                <c:ptCount val="8"/>
                <c:pt idx="0">
                  <c:v>333311</c:v>
                </c:pt>
                <c:pt idx="1">
                  <c:v>198969</c:v>
                </c:pt>
                <c:pt idx="2">
                  <c:v>160283</c:v>
                </c:pt>
                <c:pt idx="3">
                  <c:v>314241</c:v>
                </c:pt>
                <c:pt idx="4">
                  <c:v>1188274</c:v>
                </c:pt>
                <c:pt idx="5">
                  <c:v>685414</c:v>
                </c:pt>
                <c:pt idx="6">
                  <c:v>398694</c:v>
                </c:pt>
                <c:pt idx="7">
                  <c:v>74950</c:v>
                </c:pt>
              </c:numCache>
            </c:numRef>
          </c:val>
          <c:extLst>
            <c:ext xmlns:c16="http://schemas.microsoft.com/office/drawing/2014/chart" uri="{C3380CC4-5D6E-409C-BE32-E72D297353CC}">
              <c16:uniqueId val="{00000010-B67E-4AA6-B018-BD07C655A414}"/>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54169350054184462"/>
          <c:y val="0.14209342093420935"/>
          <c:w val="0.43208164168356555"/>
          <c:h val="0.84273842738427385"/>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13893333333333333"/>
          <c:w val="0.564163817970042"/>
          <c:h val="0.78091002624671901"/>
        </c:manualLayout>
      </c:layout>
      <c:barChart>
        <c:barDir val="bar"/>
        <c:grouping val="clustered"/>
        <c:varyColors val="0"/>
        <c:ser>
          <c:idx val="0"/>
          <c:order val="0"/>
          <c:tx>
            <c:strRef>
              <c:f>q17_a_q19_q26_a_q29_q38_q41_Fig!$Q$132</c:f>
              <c:strCache>
                <c:ptCount val="1"/>
                <c:pt idx="0">
                  <c:v>Base </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0-D286-44FE-A18E-52AF9A023E14}"/>
              </c:ext>
            </c:extLst>
          </c:dPt>
          <c:dPt>
            <c:idx val="1"/>
            <c:invertIfNegative val="0"/>
            <c:bubble3D val="0"/>
            <c:extLst>
              <c:ext xmlns:c16="http://schemas.microsoft.com/office/drawing/2014/chart" uri="{C3380CC4-5D6E-409C-BE32-E72D297353CC}">
                <c16:uniqueId val="{00000001-D286-44FE-A18E-52AF9A023E14}"/>
              </c:ext>
            </c:extLst>
          </c:dPt>
          <c:dPt>
            <c:idx val="2"/>
            <c:invertIfNegative val="0"/>
            <c:bubble3D val="0"/>
            <c:extLst>
              <c:ext xmlns:c16="http://schemas.microsoft.com/office/drawing/2014/chart" uri="{C3380CC4-5D6E-409C-BE32-E72D297353CC}">
                <c16:uniqueId val="{00000002-D286-44FE-A18E-52AF9A023E14}"/>
              </c:ext>
            </c:extLst>
          </c:dPt>
          <c:dPt>
            <c:idx val="3"/>
            <c:invertIfNegative val="0"/>
            <c:bubble3D val="0"/>
            <c:extLst>
              <c:ext xmlns:c16="http://schemas.microsoft.com/office/drawing/2014/chart" uri="{C3380CC4-5D6E-409C-BE32-E72D297353CC}">
                <c16:uniqueId val="{00000003-D286-44FE-A18E-52AF9A023E14}"/>
              </c:ext>
            </c:extLst>
          </c:dPt>
          <c:dPt>
            <c:idx val="4"/>
            <c:invertIfNegative val="0"/>
            <c:bubble3D val="0"/>
            <c:extLst>
              <c:ext xmlns:c16="http://schemas.microsoft.com/office/drawing/2014/chart" uri="{C3380CC4-5D6E-409C-BE32-E72D297353CC}">
                <c16:uniqueId val="{00000004-D286-44FE-A18E-52AF9A023E14}"/>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q17_a_q19_q26_a_q29_q38_q41_Fig!$R$131:$Z$131</c15:sqref>
                  </c15:fullRef>
                </c:ext>
              </c:extLst>
              <c:f>q17_a_q19_q26_a_q29_q38_q41_Fig!$S$131:$Z$131</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extLst>
                <c:ext xmlns:c15="http://schemas.microsoft.com/office/drawing/2012/chart" uri="{02D57815-91ED-43cb-92C2-25804820EDAC}">
                  <c15:fullRef>
                    <c15:sqref>q17_a_q19_q26_a_q29_q38_q41_Fig!$R$132:$Z$132</c15:sqref>
                  </c15:fullRef>
                </c:ext>
              </c:extLst>
              <c:f>q17_a_q19_q26_a_q29_q38_q41_Fig!$S$132:$Z$132</c:f>
              <c:numCache>
                <c:formatCode>#,##0.00\ "€"</c:formatCode>
                <c:ptCount val="8"/>
                <c:pt idx="0">
                  <c:v>2526.42</c:v>
                </c:pt>
                <c:pt idx="1">
                  <c:v>1819.65</c:v>
                </c:pt>
                <c:pt idx="2">
                  <c:v>1789.03</c:v>
                </c:pt>
                <c:pt idx="3">
                  <c:v>1412.04</c:v>
                </c:pt>
                <c:pt idx="4">
                  <c:v>1055.9100000000001</c:v>
                </c:pt>
                <c:pt idx="5">
                  <c:v>911.18</c:v>
                </c:pt>
                <c:pt idx="6">
                  <c:v>862.05</c:v>
                </c:pt>
                <c:pt idx="7">
                  <c:v>884.68</c:v>
                </c:pt>
              </c:numCache>
            </c:numRef>
          </c:val>
          <c:extLst>
            <c:ext xmlns:c16="http://schemas.microsoft.com/office/drawing/2014/chart" uri="{C3380CC4-5D6E-409C-BE32-E72D297353CC}">
              <c16:uniqueId val="{00000005-D286-44FE-A18E-52AF9A023E14}"/>
            </c:ext>
          </c:extLst>
        </c:ser>
        <c:ser>
          <c:idx val="1"/>
          <c:order val="1"/>
          <c:tx>
            <c:strRef>
              <c:f>q17_a_q19_q26_a_q29_q38_q41_Fig!$Q$133</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q17_a_q19_q26_a_q29_q38_q41_Fig!$R$131:$Z$131</c15:sqref>
                  </c15:fullRef>
                </c:ext>
              </c:extLst>
              <c:f>q17_a_q19_q26_a_q29_q38_q41_Fig!$S$131:$Z$131</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extLst>
                <c:ext xmlns:c15="http://schemas.microsoft.com/office/drawing/2012/chart" uri="{02D57815-91ED-43cb-92C2-25804820EDAC}">
                  <c15:fullRef>
                    <c15:sqref>q17_a_q19_q26_a_q29_q38_q41_Fig!$R$133:$Z$133</c15:sqref>
                  </c15:fullRef>
                </c:ext>
              </c:extLst>
              <c:f>q17_a_q19_q26_a_q29_q38_q41_Fig!$S$133:$Z$133</c:f>
              <c:numCache>
                <c:formatCode>#,##0.00\ "€"</c:formatCode>
                <c:ptCount val="8"/>
                <c:pt idx="0">
                  <c:v>2980.13</c:v>
                </c:pt>
                <c:pt idx="1">
                  <c:v>2178.6</c:v>
                </c:pt>
                <c:pt idx="2">
                  <c:v>2159.09</c:v>
                </c:pt>
                <c:pt idx="3">
                  <c:v>1757.96</c:v>
                </c:pt>
                <c:pt idx="4">
                  <c:v>1295.24</c:v>
                </c:pt>
                <c:pt idx="5">
                  <c:v>1104.49</c:v>
                </c:pt>
                <c:pt idx="6">
                  <c:v>1023.82</c:v>
                </c:pt>
                <c:pt idx="7">
                  <c:v>1049.19</c:v>
                </c:pt>
              </c:numCache>
            </c:numRef>
          </c:val>
          <c:extLst>
            <c:ext xmlns:c16="http://schemas.microsoft.com/office/drawing/2014/chart" uri="{C3380CC4-5D6E-409C-BE32-E72D297353CC}">
              <c16:uniqueId val="{00000006-D286-44FE-A18E-52AF9A023E14}"/>
            </c:ext>
          </c:extLst>
        </c:ser>
        <c:dLbls>
          <c:showLegendKey val="0"/>
          <c:showVal val="0"/>
          <c:showCatName val="0"/>
          <c:showSerName val="0"/>
          <c:showPercent val="0"/>
          <c:showBubbleSize val="0"/>
        </c:dLbls>
        <c:gapWidth val="42"/>
        <c:axId val="891633855"/>
        <c:axId val="1319480015"/>
      </c:barChart>
      <c:valAx>
        <c:axId val="1319480015"/>
        <c:scaling>
          <c:orientation val="minMax"/>
          <c:max val="25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022566875875509"/>
          <c:y val="3.2000000000000001E-2"/>
          <c:w val="0.26686175496572434"/>
          <c:h val="7.711706036745406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9894576291867485"/>
          <c:h val="0.61909228840533581"/>
        </c:manualLayout>
      </c:layout>
      <c:barChart>
        <c:barDir val="col"/>
        <c:grouping val="clustered"/>
        <c:varyColors val="0"/>
        <c:ser>
          <c:idx val="0"/>
          <c:order val="0"/>
          <c:tx>
            <c:strRef>
              <c:f>q4_8_12_16_25_37_Fig!$R$38</c:f>
              <c:strCache>
                <c:ptCount val="1"/>
                <c:pt idx="0">
                  <c:v>Pessoas ao serviço</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8.4266288849565468E-2"/>
                  <c:y val="-6.38899929266731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EC-4079-BAED-9B7534B5ED59}"/>
                </c:ext>
              </c:extLst>
            </c:dLbl>
            <c:dLbl>
              <c:idx val="10"/>
              <c:layout>
                <c:manualLayout>
                  <c:x val="-9.4456226834674278E-2"/>
                  <c:y val="2.0943783893024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EC-4079-BAED-9B7534B5ED59}"/>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EC-4079-BAED-9B7534B5ED5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q4_8_12_16_25_37_Fig!$S$37:$AC$37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q4_8_12_16_25_37_Fig!$S$38:$AC$38</c:f>
              <c:numCache>
                <c:formatCode>#,##0</c:formatCode>
                <c:ptCount val="11"/>
                <c:pt idx="0">
                  <c:v>715126</c:v>
                </c:pt>
                <c:pt idx="1">
                  <c:v>730551</c:v>
                </c:pt>
                <c:pt idx="2">
                  <c:v>765222</c:v>
                </c:pt>
                <c:pt idx="3">
                  <c:v>790694</c:v>
                </c:pt>
                <c:pt idx="4">
                  <c:v>826919</c:v>
                </c:pt>
                <c:pt idx="5">
                  <c:v>845336</c:v>
                </c:pt>
                <c:pt idx="6">
                  <c:v>835460</c:v>
                </c:pt>
                <c:pt idx="7">
                  <c:v>838586</c:v>
                </c:pt>
                <c:pt idx="8">
                  <c:v>915180</c:v>
                </c:pt>
                <c:pt idx="9">
                  <c:v>969558</c:v>
                </c:pt>
                <c:pt idx="10">
                  <c:v>996445</c:v>
                </c:pt>
              </c:numCache>
            </c:numRef>
          </c:val>
          <c:extLst>
            <c:ext xmlns:c16="http://schemas.microsoft.com/office/drawing/2014/chart" uri="{C3380CC4-5D6E-409C-BE32-E72D297353CC}">
              <c16:uniqueId val="{00000003-F8EC-4079-BAED-9B7534B5ED59}"/>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q4_8_12_16_25_37_Fig!$R$39</c:f>
              <c:strCache>
                <c:ptCount val="1"/>
                <c:pt idx="0">
                  <c:v>TCO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F8EC-4079-BAED-9B7534B5ED59}"/>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F8EC-4079-BAED-9B7534B5ED59}"/>
              </c:ext>
            </c:extLst>
          </c:dPt>
          <c:dLbls>
            <c:dLbl>
              <c:idx val="0"/>
              <c:layout>
                <c:manualLayout>
                  <c:x val="2.3703827300895902E-2"/>
                  <c:y val="-6.4295530331099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EC-4079-BAED-9B7534B5ED59}"/>
                </c:ext>
              </c:extLst>
            </c:dLbl>
            <c:dLbl>
              <c:idx val="10"/>
              <c:layout>
                <c:manualLayout>
                  <c:x val="-0.18669245317552327"/>
                  <c:y val="-0.108327326619286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EC-4079-BAED-9B7534B5ED59}"/>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EC-4079-BAED-9B7534B5ED59}"/>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q4_8_12_16_25_37_Fig!$S$37:$AC$37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q4_8_12_16_25_37_Fig!$S$39:$AC$39</c:f>
              <c:numCache>
                <c:formatCode>#,##0</c:formatCode>
                <c:ptCount val="11"/>
                <c:pt idx="0">
                  <c:v>677265</c:v>
                </c:pt>
                <c:pt idx="1">
                  <c:v>692513</c:v>
                </c:pt>
                <c:pt idx="2">
                  <c:v>728120</c:v>
                </c:pt>
                <c:pt idx="3">
                  <c:v>753266.00000000012</c:v>
                </c:pt>
                <c:pt idx="4">
                  <c:v>788380.00000000012</c:v>
                </c:pt>
                <c:pt idx="5">
                  <c:v>807855</c:v>
                </c:pt>
                <c:pt idx="6">
                  <c:v>797460</c:v>
                </c:pt>
                <c:pt idx="7">
                  <c:v>801493</c:v>
                </c:pt>
                <c:pt idx="8">
                  <c:v>875584</c:v>
                </c:pt>
                <c:pt idx="9">
                  <c:v>928991</c:v>
                </c:pt>
                <c:pt idx="10">
                  <c:v>956373.99999999988</c:v>
                </c:pt>
              </c:numCache>
            </c:numRef>
          </c:val>
          <c:smooth val="0"/>
          <c:extLst>
            <c:ext xmlns:c16="http://schemas.microsoft.com/office/drawing/2014/chart" uri="{C3380CC4-5D6E-409C-BE32-E72D297353CC}">
              <c16:uniqueId val="{00000007-F8EC-4079-BAED-9B7534B5ED59}"/>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88764639535528711"/>
          <c:w val="0.62299652777777781"/>
          <c:h val="8.1485416666666671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67446682230048"/>
          <c:y val="0.22899703122140164"/>
          <c:w val="0.76325533177699523"/>
          <c:h val="0.77100296877859842"/>
        </c:manualLayout>
      </c:layout>
      <c:barChart>
        <c:barDir val="bar"/>
        <c:grouping val="clustered"/>
        <c:varyColors val="0"/>
        <c:ser>
          <c:idx val="0"/>
          <c:order val="0"/>
          <c:tx>
            <c:strRef>
              <c:f>q17_a_q19_q26_a_q29_q38_q41_Fig!$R$120</c:f>
              <c:strCache>
                <c:ptCount val="1"/>
                <c:pt idx="0">
                  <c:v>Base - H</c:v>
                </c:pt>
              </c:strCache>
            </c:strRef>
          </c:tx>
          <c:spPr>
            <a:solidFill>
              <a:srgbClr val="4F81BD"/>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q17_a_q19_q26_a_q29_q38_q41_Fig!$Q$121:$Q$128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q17_a_q19_q26_a_q29_q38_q41_Fig!$R$121:$R$128</c:f>
              <c:numCache>
                <c:formatCode>#,##0.00\ "€"</c:formatCode>
                <c:ptCount val="8"/>
                <c:pt idx="0">
                  <c:v>-2865.98</c:v>
                </c:pt>
                <c:pt idx="1">
                  <c:v>-1964.59</c:v>
                </c:pt>
                <c:pt idx="2">
                  <c:v>-1828.64</c:v>
                </c:pt>
                <c:pt idx="3">
                  <c:v>-1516.81</c:v>
                </c:pt>
                <c:pt idx="4">
                  <c:v>-1083.82</c:v>
                </c:pt>
                <c:pt idx="5">
                  <c:v>-945.97</c:v>
                </c:pt>
                <c:pt idx="6">
                  <c:v>-876.05</c:v>
                </c:pt>
                <c:pt idx="7">
                  <c:v>-891.14</c:v>
                </c:pt>
              </c:numCache>
            </c:numRef>
          </c:val>
          <c:extLst>
            <c:ext xmlns:c16="http://schemas.microsoft.com/office/drawing/2014/chart" uri="{C3380CC4-5D6E-409C-BE32-E72D297353CC}">
              <c16:uniqueId val="{00000000-A851-4C2F-AC27-6D22529C78F3}"/>
            </c:ext>
          </c:extLst>
        </c:ser>
        <c:ser>
          <c:idx val="1"/>
          <c:order val="1"/>
          <c:tx>
            <c:strRef>
              <c:f>q17_a_q19_q26_a_q29_q38_q41_Fig!$S$120</c:f>
              <c:strCache>
                <c:ptCount val="1"/>
                <c:pt idx="0">
                  <c:v>Ganho - H</c:v>
                </c:pt>
              </c:strCache>
            </c:strRef>
          </c:tx>
          <c:spPr>
            <a:solidFill>
              <a:srgbClr val="FFC000"/>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q17_a_q19_q26_a_q29_q38_q41_Fig!$Q$121:$Q$128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q17_a_q19_q26_a_q29_q38_q41_Fig!$S$121:$S$128</c:f>
              <c:numCache>
                <c:formatCode>#,##0.00\ "€"</c:formatCode>
                <c:ptCount val="8"/>
                <c:pt idx="0">
                  <c:v>-3378.31</c:v>
                </c:pt>
                <c:pt idx="1">
                  <c:v>-2362.9899999999998</c:v>
                </c:pt>
                <c:pt idx="2">
                  <c:v>-2221.7800000000002</c:v>
                </c:pt>
                <c:pt idx="3">
                  <c:v>-1932.22</c:v>
                </c:pt>
                <c:pt idx="4">
                  <c:v>-1354.16</c:v>
                </c:pt>
                <c:pt idx="5">
                  <c:v>-1171.3399999999999</c:v>
                </c:pt>
                <c:pt idx="6">
                  <c:v>-1059.8399999999999</c:v>
                </c:pt>
                <c:pt idx="7">
                  <c:v>-1064.74</c:v>
                </c:pt>
              </c:numCache>
            </c:numRef>
          </c:val>
          <c:extLst>
            <c:ext xmlns:c16="http://schemas.microsoft.com/office/drawing/2014/chart" uri="{C3380CC4-5D6E-409C-BE32-E72D297353CC}">
              <c16:uniqueId val="{00000001-A851-4C2F-AC27-6D22529C78F3}"/>
            </c:ext>
          </c:extLst>
        </c:ser>
        <c:dLbls>
          <c:showLegendKey val="0"/>
          <c:showVal val="0"/>
          <c:showCatName val="0"/>
          <c:showSerName val="0"/>
          <c:showPercent val="0"/>
          <c:showBubbleSize val="0"/>
        </c:dLbls>
        <c:gapWidth val="42"/>
        <c:axId val="1261817855"/>
        <c:axId val="267587263"/>
      </c:barChart>
      <c:barChart>
        <c:barDir val="bar"/>
        <c:grouping val="clustered"/>
        <c:varyColors val="0"/>
        <c:ser>
          <c:idx val="2"/>
          <c:order val="2"/>
          <c:tx>
            <c:strRef>
              <c:f>q17_a_q19_q26_a_q29_q38_q41_Fig!$T$120</c:f>
              <c:strCache>
                <c:ptCount val="1"/>
                <c:pt idx="0">
                  <c:v>Base - M</c:v>
                </c:pt>
              </c:strCache>
            </c:strRef>
          </c:tx>
          <c:spPr>
            <a:solidFill>
              <a:srgbClr val="95B3D7"/>
            </a:solidFill>
          </c:spPr>
          <c:invertIfNegative val="0"/>
          <c:dLbls>
            <c:spPr>
              <a:noFill/>
              <a:ln>
                <a:noFill/>
              </a:ln>
              <a:effectLst/>
            </c:spPr>
            <c:txPr>
              <a:bodyPr wrap="none" lIns="38100" tIns="19050" rIns="38100" bIns="19050" anchor="ctr">
                <a:spAutoFit/>
              </a:bodyPr>
              <a:lstStyle/>
              <a:p>
                <a:pPr>
                  <a:defRPr sz="700" b="0">
                    <a:solidFill>
                      <a:sysClr val="windowText" lastClr="000000"/>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q17_a_q19_q26_a_q29_q38_q41_Fig!$Q$121:$Q$128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q17_a_q19_q26_a_q29_q38_q41_Fig!$T$121:$T$128</c:f>
              <c:numCache>
                <c:formatCode>#,##0.00\ "€"</c:formatCode>
                <c:ptCount val="8"/>
                <c:pt idx="0">
                  <c:v>2136.92</c:v>
                </c:pt>
                <c:pt idx="1">
                  <c:v>1658.94</c:v>
                </c:pt>
                <c:pt idx="2">
                  <c:v>1725.98</c:v>
                </c:pt>
                <c:pt idx="3">
                  <c:v>1299.2</c:v>
                </c:pt>
                <c:pt idx="4">
                  <c:v>1014.54</c:v>
                </c:pt>
                <c:pt idx="5">
                  <c:v>880.36</c:v>
                </c:pt>
                <c:pt idx="6">
                  <c:v>842.94</c:v>
                </c:pt>
                <c:pt idx="7">
                  <c:v>874.36</c:v>
                </c:pt>
              </c:numCache>
            </c:numRef>
          </c:val>
          <c:extLst>
            <c:ext xmlns:c16="http://schemas.microsoft.com/office/drawing/2014/chart" uri="{C3380CC4-5D6E-409C-BE32-E72D297353CC}">
              <c16:uniqueId val="{00000002-A851-4C2F-AC27-6D22529C78F3}"/>
            </c:ext>
          </c:extLst>
        </c:ser>
        <c:ser>
          <c:idx val="3"/>
          <c:order val="3"/>
          <c:tx>
            <c:strRef>
              <c:f>q17_a_q19_q26_a_q29_q38_q41_Fig!$U$120</c:f>
              <c:strCache>
                <c:ptCount val="1"/>
                <c:pt idx="0">
                  <c:v>Ganho - M</c:v>
                </c:pt>
              </c:strCache>
            </c:strRef>
          </c:tx>
          <c:spPr>
            <a:solidFill>
              <a:srgbClr val="FFEF57"/>
            </a:solidFill>
          </c:spPr>
          <c:invertIfNegative val="0"/>
          <c:dLbls>
            <c:dLbl>
              <c:idx val="2"/>
              <c:spPr>
                <a:noFill/>
                <a:ln>
                  <a:noFill/>
                </a:ln>
                <a:effectLst/>
              </c:spPr>
              <c:txPr>
                <a:bodyPr wrap="none" lIns="38100" tIns="19050" rIns="38100" bIns="19050" anchor="ctr">
                  <a:no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A851-4C2F-AC27-6D22529C78F3}"/>
                </c:ext>
              </c:extLst>
            </c:dLbl>
            <c:spPr>
              <a:noFill/>
              <a:ln>
                <a:noFill/>
              </a:ln>
              <a:effectLst/>
            </c:spPr>
            <c:txPr>
              <a:bodyPr wrap="none" lIns="38100" tIns="19050" rIns="38100" bIns="19050" anchor="ctr">
                <a:sp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q17_a_q19_q26_a_q29_q38_q41_Fig!$Q$121:$Q$128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q17_a_q19_q26_a_q29_q38_q41_Fig!$U$121:$U$128</c:f>
              <c:numCache>
                <c:formatCode>#,##0.00\ "€"</c:formatCode>
                <c:ptCount val="8"/>
                <c:pt idx="0">
                  <c:v>2523.38</c:v>
                </c:pt>
                <c:pt idx="1">
                  <c:v>1974.13</c:v>
                </c:pt>
                <c:pt idx="2">
                  <c:v>2059.3200000000002</c:v>
                </c:pt>
                <c:pt idx="3">
                  <c:v>1570.29</c:v>
                </c:pt>
                <c:pt idx="4">
                  <c:v>1207.9100000000001</c:v>
                </c:pt>
                <c:pt idx="5">
                  <c:v>1045.28</c:v>
                </c:pt>
                <c:pt idx="6">
                  <c:v>974.64</c:v>
                </c:pt>
                <c:pt idx="7">
                  <c:v>1024.3699999999999</c:v>
                </c:pt>
              </c:numCache>
            </c:numRef>
          </c:val>
          <c:extLst>
            <c:ext xmlns:c16="http://schemas.microsoft.com/office/drawing/2014/chart" uri="{C3380CC4-5D6E-409C-BE32-E72D297353CC}">
              <c16:uniqueId val="{00000004-A851-4C2F-AC27-6D22529C78F3}"/>
            </c:ext>
          </c:extLst>
        </c:ser>
        <c:dLbls>
          <c:showLegendKey val="0"/>
          <c:showVal val="0"/>
          <c:showCatName val="0"/>
          <c:showSerName val="0"/>
          <c:showPercent val="0"/>
          <c:showBubbleSize val="0"/>
        </c:dLbls>
        <c:gapWidth val="42"/>
        <c:axId val="1450336976"/>
        <c:axId val="465148416"/>
      </c:barChart>
      <c:catAx>
        <c:axId val="1261817855"/>
        <c:scaling>
          <c:orientation val="maxMin"/>
        </c:scaling>
        <c:delete val="0"/>
        <c:axPos val="l"/>
        <c:majorGridlines>
          <c:spPr>
            <a:ln>
              <a:solidFill>
                <a:srgbClr val="D9D9D9"/>
              </a:solidFill>
            </a:ln>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scaling>
        <c:delete val="1"/>
        <c:axPos val="t"/>
        <c:numFmt formatCode="#,##0;#,##0" sourceLinked="0"/>
        <c:majorTickMark val="out"/>
        <c:minorTickMark val="none"/>
        <c:tickLblPos val="nextTo"/>
        <c:crossAx val="1261817855"/>
        <c:crosses val="autoZero"/>
        <c:crossBetween val="between"/>
        <c:majorUnit val="500"/>
      </c:valAx>
      <c:valAx>
        <c:axId val="465148416"/>
        <c:scaling>
          <c:orientation val="minMax"/>
        </c:scaling>
        <c:delete val="1"/>
        <c:axPos val="b"/>
        <c:numFmt formatCode="#,##0.00\ &quot;€&quot;" sourceLinked="1"/>
        <c:majorTickMark val="out"/>
        <c:minorTickMark val="none"/>
        <c:tickLblPos val="nextTo"/>
        <c:crossAx val="1450336976"/>
        <c:crosses val="max"/>
        <c:crossBetween val="between"/>
      </c:valAx>
      <c:catAx>
        <c:axId val="1450336976"/>
        <c:scaling>
          <c:orientation val="maxMin"/>
        </c:scaling>
        <c:delete val="1"/>
        <c:axPos val="r"/>
        <c:numFmt formatCode="General" sourceLinked="1"/>
        <c:majorTickMark val="out"/>
        <c:minorTickMark val="none"/>
        <c:tickLblPos val="nextTo"/>
        <c:crossAx val="465148416"/>
        <c:crosses val="max"/>
        <c:auto val="1"/>
        <c:lblAlgn val="ctr"/>
        <c:lblOffset val="100"/>
        <c:noMultiLvlLbl val="0"/>
      </c:catAx>
      <c:spPr>
        <a:noFill/>
        <a:ln>
          <a:noFill/>
        </a:ln>
        <a:effectLst/>
      </c:spPr>
    </c:plotArea>
    <c:legend>
      <c:legendPos val="t"/>
      <c:layout>
        <c:manualLayout>
          <c:xMode val="edge"/>
          <c:yMode val="edge"/>
          <c:x val="0.18002599047564213"/>
          <c:y val="4.1970662888849528E-2"/>
          <c:w val="0.72325983073291489"/>
          <c:h val="5.4940430513743782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793875765529326E-2"/>
          <c:y val="0.13630659253375696"/>
          <c:w val="0.48423902012248471"/>
          <c:h val="0.73270479216309237"/>
        </c:manualLayout>
      </c:layout>
      <c:doughnutChart>
        <c:varyColors val="1"/>
        <c:ser>
          <c:idx val="0"/>
          <c:order val="0"/>
          <c:tx>
            <c:strRef>
              <c:f>q17_a_q19_q26_a_q29_q38_q41_Fig!$R$76</c:f>
              <c:strCache>
                <c:ptCount val="1"/>
                <c:pt idx="0">
                  <c:v>TCO</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F6A8-4EEE-A542-B4D51138FBC7}"/>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F6A8-4EEE-A542-B4D51138FBC7}"/>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F6A8-4EEE-A542-B4D51138FBC7}"/>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F6A8-4EEE-A542-B4D51138FBC7}"/>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F6A8-4EEE-A542-B4D51138FBC7}"/>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F6A8-4EEE-A542-B4D51138FBC7}"/>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F6A8-4EEE-A542-B4D51138FBC7}"/>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F6A8-4EEE-A542-B4D51138FBC7}"/>
              </c:ext>
            </c:extLst>
          </c:dPt>
          <c:dLbls>
            <c:dLbl>
              <c:idx val="0"/>
              <c:layout>
                <c:manualLayout>
                  <c:x val="3.60926650137601E-2"/>
                  <c:y val="-0.1877321733384725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10726871345029237"/>
                      <c:h val="9.8239823982398236E-2"/>
                    </c:manualLayout>
                  </c15:layout>
                </c:ext>
                <c:ext xmlns:c16="http://schemas.microsoft.com/office/drawing/2014/chart" uri="{C3380CC4-5D6E-409C-BE32-E72D297353CC}">
                  <c16:uniqueId val="{00000001-F6A8-4EEE-A542-B4D51138FBC7}"/>
                </c:ext>
              </c:extLst>
            </c:dLbl>
            <c:dLbl>
              <c:idx val="2"/>
              <c:layout>
                <c:manualLayout>
                  <c:x val="0"/>
                  <c:y val="-8.4875562720133283E-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6A8-4EEE-A542-B4D51138FBC7}"/>
                </c:ext>
              </c:extLst>
            </c:dLbl>
            <c:dLbl>
              <c:idx val="6"/>
              <c:layout>
                <c:manualLayout>
                  <c:x val="-1.2895066645765179E-2"/>
                  <c:y val="-1.796597367775071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6A8-4EEE-A542-B4D51138FBC7}"/>
                </c:ext>
              </c:extLst>
            </c:dLbl>
            <c:dLbl>
              <c:idx val="7"/>
              <c:layout>
                <c:manualLayout>
                  <c:x val="-2.7558220897347684E-2"/>
                  <c:y val="-0.18784984610736608"/>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F6A8-4EEE-A542-B4D51138FBC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q17_a_q19_q26_a_q29_q38_q41_Fig!$Q$77:$Q$80</c:f>
              <c:strCache>
                <c:ptCount val="4"/>
                <c:pt idx="0">
                  <c:v>&lt; 1.º ciclo do ensino básico</c:v>
                </c:pt>
                <c:pt idx="1">
                  <c:v>Ensino básico</c:v>
                </c:pt>
                <c:pt idx="2">
                  <c:v>Ensino secundário + pós sec. não superior nível IV</c:v>
                </c:pt>
                <c:pt idx="3">
                  <c:v>Ensino superior**</c:v>
                </c:pt>
              </c:strCache>
            </c:strRef>
          </c:cat>
          <c:val>
            <c:numRef>
              <c:f>q17_a_q19_q26_a_q29_q38_q41_Fig!$R$77:$R$80</c:f>
              <c:numCache>
                <c:formatCode>#,##0</c:formatCode>
                <c:ptCount val="4"/>
                <c:pt idx="0">
                  <c:v>6694</c:v>
                </c:pt>
                <c:pt idx="1">
                  <c:v>918964</c:v>
                </c:pt>
                <c:pt idx="2">
                  <c:v>894978</c:v>
                </c:pt>
                <c:pt idx="3">
                  <c:v>676845</c:v>
                </c:pt>
              </c:numCache>
            </c:numRef>
          </c:val>
          <c:extLst>
            <c:ext xmlns:c16="http://schemas.microsoft.com/office/drawing/2014/chart" uri="{C3380CC4-5D6E-409C-BE32-E72D297353CC}">
              <c16:uniqueId val="{00000010-F6A8-4EEE-A542-B4D51138FBC7}"/>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54653718285214348"/>
          <c:y val="4.9101932750860465E-2"/>
          <c:w val="0.39061767279090115"/>
          <c:h val="0.82165051628276409"/>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2757621189405304"/>
          <c:y val="0.12694453453786034"/>
          <c:w val="0.41229760119940023"/>
          <c:h val="0.79289885381340897"/>
        </c:manualLayout>
      </c:layout>
      <c:barChart>
        <c:barDir val="bar"/>
        <c:grouping val="clustered"/>
        <c:varyColors val="0"/>
        <c:ser>
          <c:idx val="0"/>
          <c:order val="0"/>
          <c:tx>
            <c:strRef>
              <c:f>q17_a_q19_q26_a_q29_q38_q41_Fig!$R$76</c:f>
              <c:strCache>
                <c:ptCount val="1"/>
                <c:pt idx="0">
                  <c:v>TCO</c:v>
                </c:pt>
              </c:strCache>
            </c:strRef>
          </c:tx>
          <c:spPr>
            <a:solidFill>
              <a:srgbClr val="4F81BD"/>
            </a:solidFill>
            <a:ln w="19050">
              <a:solidFill>
                <a:schemeClr val="lt1"/>
              </a:solidFill>
            </a:ln>
            <a:effectLst/>
          </c:spPr>
          <c:invertIfNegative val="0"/>
          <c:dPt>
            <c:idx val="0"/>
            <c:invertIfNegative val="0"/>
            <c:bubble3D val="0"/>
            <c:explosion val="4"/>
            <c:spPr>
              <a:solidFill>
                <a:srgbClr val="4F81BD"/>
              </a:solidFill>
              <a:ln w="19050">
                <a:solidFill>
                  <a:schemeClr val="lt1"/>
                </a:solidFill>
              </a:ln>
              <a:effectLst/>
            </c:spPr>
            <c:extLst>
              <c:ext xmlns:c16="http://schemas.microsoft.com/office/drawing/2014/chart" uri="{C3380CC4-5D6E-409C-BE32-E72D297353CC}">
                <c16:uniqueId val="{00000001-2E37-440C-A5BE-4854FC0E97E7}"/>
              </c:ext>
            </c:extLst>
          </c:dPt>
          <c:dPt>
            <c:idx val="1"/>
            <c:invertIfNegative val="0"/>
            <c:bubble3D val="0"/>
            <c:explosion val="2"/>
            <c:spPr>
              <a:solidFill>
                <a:srgbClr val="4F81BD"/>
              </a:solidFill>
              <a:ln w="19050">
                <a:solidFill>
                  <a:schemeClr val="lt1"/>
                </a:solidFill>
              </a:ln>
              <a:effectLst/>
            </c:spPr>
            <c:extLst>
              <c:ext xmlns:c16="http://schemas.microsoft.com/office/drawing/2014/chart" uri="{C3380CC4-5D6E-409C-BE32-E72D297353CC}">
                <c16:uniqueId val="{00000003-2E37-440C-A5BE-4854FC0E97E7}"/>
              </c:ext>
            </c:extLst>
          </c:dPt>
          <c:dPt>
            <c:idx val="2"/>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5-2E37-440C-A5BE-4854FC0E97E7}"/>
              </c:ext>
            </c:extLst>
          </c:dPt>
          <c:dPt>
            <c:idx val="3"/>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7-2E37-440C-A5BE-4854FC0E97E7}"/>
              </c:ext>
            </c:extLst>
          </c:dPt>
          <c:dPt>
            <c:idx val="4"/>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9-2E37-440C-A5BE-4854FC0E97E7}"/>
              </c:ext>
            </c:extLst>
          </c:dPt>
          <c:dLbls>
            <c:dLbl>
              <c:idx val="0"/>
              <c:layout>
                <c:manualLayout>
                  <c:x val="0"/>
                  <c:y val="3.005422002962037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37-440C-A5BE-4854FC0E97E7}"/>
                </c:ext>
              </c:extLst>
            </c:dLbl>
            <c:spPr>
              <a:noFill/>
              <a:ln>
                <a:noFill/>
              </a:ln>
              <a:effectLst/>
            </c:spPr>
            <c:txPr>
              <a:bodyPr rot="0" spcFirstLastPara="1" vertOverflow="overflow" horzOverflow="overflow" vert="horz" wrap="non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q17_a_q19_q26_a_q29_q38_q41_Fig!$Q$77:$Q$81</c15:sqref>
                  </c15:fullRef>
                </c:ext>
              </c:extLst>
              <c:f>q17_a_q19_q26_a_q29_q38_q41_Fig!$Q$77:$Q$80</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q17_a_q19_q26_a_q29_q38_q41_Fig!$R$77:$R$81</c15:sqref>
                  </c15:fullRef>
                </c:ext>
              </c:extLst>
              <c:f>q17_a_q19_q26_a_q29_q38_q41_Fig!$R$77:$R$80</c:f>
              <c:numCache>
                <c:formatCode>#,##0</c:formatCode>
                <c:ptCount val="4"/>
                <c:pt idx="0">
                  <c:v>6694</c:v>
                </c:pt>
                <c:pt idx="1">
                  <c:v>918964</c:v>
                </c:pt>
                <c:pt idx="2">
                  <c:v>894978</c:v>
                </c:pt>
                <c:pt idx="3">
                  <c:v>676845</c:v>
                </c:pt>
              </c:numCache>
            </c:numRef>
          </c:val>
          <c:extLst>
            <c:ext xmlns:c15="http://schemas.microsoft.com/office/drawing/2012/chart" uri="{02D57815-91ED-43cb-92C2-25804820EDAC}">
              <c15:categoryFilterExceptions>
                <c15:categoryFilterException>
                  <c15:sqref>q17_a_q19_q26_a_q29_q38_q41_Fig!$R$81</c15:sqref>
                  <c15:spPr xmlns:c15="http://schemas.microsoft.com/office/drawing/2012/chart">
                    <a:solidFill>
                      <a:srgbClr val="4F81BD"/>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A-2E37-440C-A5BE-4854FC0E97E7}"/>
            </c:ext>
          </c:extLst>
        </c:ser>
        <c:dLbls>
          <c:showLegendKey val="0"/>
          <c:showVal val="0"/>
          <c:showCatName val="0"/>
          <c:showSerName val="0"/>
          <c:showPercent val="0"/>
          <c:showBubbleSize val="0"/>
        </c:dLbls>
        <c:gapWidth val="118"/>
        <c:axId val="891633855"/>
        <c:axId val="1319480015"/>
      </c:barChart>
      <c:valAx>
        <c:axId val="1319480015"/>
        <c:scaling>
          <c:orientation val="minMax"/>
          <c:max val="1200000"/>
          <c:min val="0"/>
        </c:scaling>
        <c:delete val="1"/>
        <c:axPos val="t"/>
        <c:numFmt formatCode="#,##0" sourceLinked="1"/>
        <c:majorTickMark val="out"/>
        <c:minorTickMark val="none"/>
        <c:tickLblPos val="nextTo"/>
        <c:crossAx val="891633855"/>
        <c:crosses val="autoZero"/>
        <c:crossBetween val="between"/>
        <c:majorUnit val="400000"/>
      </c:valAx>
      <c:catAx>
        <c:axId val="891633855"/>
        <c:scaling>
          <c:orientation val="maxMin"/>
        </c:scaling>
        <c:delete val="0"/>
        <c:axPos val="l"/>
        <c:numFmt formatCode="General" sourceLinked="1"/>
        <c:majorTickMark val="out"/>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345665328524363E-2"/>
          <c:y val="0.18179050350130707"/>
          <c:w val="0.60632456527300227"/>
          <c:h val="0.70374569616569937"/>
        </c:manualLayout>
      </c:layout>
      <c:barChart>
        <c:barDir val="bar"/>
        <c:grouping val="clustered"/>
        <c:varyColors val="0"/>
        <c:ser>
          <c:idx val="0"/>
          <c:order val="0"/>
          <c:tx>
            <c:strRef>
              <c:f>q17_a_q19_q26_a_q29_q38_q41_Fig!$Q$156</c:f>
              <c:strCache>
                <c:ptCount val="1"/>
                <c:pt idx="0">
                  <c:v>Base</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0-AF3C-44B0-B92E-8C82D080F099}"/>
              </c:ext>
            </c:extLst>
          </c:dPt>
          <c:dPt>
            <c:idx val="1"/>
            <c:invertIfNegative val="0"/>
            <c:bubble3D val="0"/>
            <c:extLst>
              <c:ext xmlns:c16="http://schemas.microsoft.com/office/drawing/2014/chart" uri="{C3380CC4-5D6E-409C-BE32-E72D297353CC}">
                <c16:uniqueId val="{00000001-AF3C-44B0-B92E-8C82D080F099}"/>
              </c:ext>
            </c:extLst>
          </c:dPt>
          <c:dPt>
            <c:idx val="2"/>
            <c:invertIfNegative val="0"/>
            <c:bubble3D val="0"/>
            <c:extLst>
              <c:ext xmlns:c16="http://schemas.microsoft.com/office/drawing/2014/chart" uri="{C3380CC4-5D6E-409C-BE32-E72D297353CC}">
                <c16:uniqueId val="{00000002-AF3C-44B0-B92E-8C82D080F099}"/>
              </c:ext>
            </c:extLst>
          </c:dPt>
          <c:dPt>
            <c:idx val="3"/>
            <c:invertIfNegative val="0"/>
            <c:bubble3D val="0"/>
            <c:extLst>
              <c:ext xmlns:c16="http://schemas.microsoft.com/office/drawing/2014/chart" uri="{C3380CC4-5D6E-409C-BE32-E72D297353CC}">
                <c16:uniqueId val="{00000003-AF3C-44B0-B92E-8C82D080F099}"/>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q17_a_q19_q26_a_q29_q38_q41_Fig!$R$155:$W$155</c15:sqref>
                  </c15:fullRef>
                </c:ext>
              </c:extLst>
              <c:f>q17_a_q19_q26_a_q29_q38_q41_Fig!$S$155:$V$155</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q17_a_q19_q26_a_q29_q38_q41_Fig!$R$156:$W$156</c15:sqref>
                  </c15:fullRef>
                </c:ext>
              </c:extLst>
              <c:f>q17_a_q19_q26_a_q29_q38_q41_Fig!$S$156:$V$156</c:f>
              <c:numCache>
                <c:formatCode>#,##0.00\ "€"</c:formatCode>
                <c:ptCount val="4"/>
                <c:pt idx="0">
                  <c:v>880.14</c:v>
                </c:pt>
                <c:pt idx="1">
                  <c:v>995.25</c:v>
                </c:pt>
                <c:pt idx="2">
                  <c:v>1120.8900000000001</c:v>
                </c:pt>
                <c:pt idx="3">
                  <c:v>1990.45</c:v>
                </c:pt>
              </c:numCache>
            </c:numRef>
          </c:val>
          <c:extLst>
            <c:ext xmlns:c15="http://schemas.microsoft.com/office/drawing/2012/chart" uri="{02D57815-91ED-43cb-92C2-25804820EDAC}">
              <c15:categoryFilterExceptions>
                <c15:categoryFilterException>
                  <c15:sqref>q17_a_q19_q26_a_q29_q38_q41_Fig!$W$156</c15:sqref>
                  <c15:spPr xmlns:c15="http://schemas.microsoft.com/office/drawing/2012/chart">
                    <a:solidFill>
                      <a:srgbClr val="4F81BD"/>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4-AF3C-44B0-B92E-8C82D080F099}"/>
            </c:ext>
          </c:extLst>
        </c:ser>
        <c:ser>
          <c:idx val="1"/>
          <c:order val="1"/>
          <c:tx>
            <c:strRef>
              <c:f>q17_a_q19_q26_a_q29_q38_q41_Fig!$Q$157</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q17_a_q19_q26_a_q29_q38_q41_Fig!$R$155:$W$155</c15:sqref>
                  </c15:fullRef>
                </c:ext>
              </c:extLst>
              <c:f>q17_a_q19_q26_a_q29_q38_q41_Fig!$S$155:$V$155</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q17_a_q19_q26_a_q29_q38_q41_Fig!$R$157:$W$157</c15:sqref>
                  </c15:fullRef>
                </c:ext>
              </c:extLst>
              <c:f>q17_a_q19_q26_a_q29_q38_q41_Fig!$S$157:$V$157</c:f>
              <c:numCache>
                <c:formatCode>#,##0.00\ "€"</c:formatCode>
                <c:ptCount val="4"/>
                <c:pt idx="0">
                  <c:v>1032.94</c:v>
                </c:pt>
                <c:pt idx="1">
                  <c:v>1209.6199999999999</c:v>
                </c:pt>
                <c:pt idx="2">
                  <c:v>1382.39</c:v>
                </c:pt>
                <c:pt idx="3">
                  <c:v>2363.21</c:v>
                </c:pt>
              </c:numCache>
            </c:numRef>
          </c:val>
          <c:extLst>
            <c:ext xmlns:c16="http://schemas.microsoft.com/office/drawing/2014/chart" uri="{C3380CC4-5D6E-409C-BE32-E72D297353CC}">
              <c16:uniqueId val="{00000005-AF3C-44B0-B92E-8C82D080F099}"/>
            </c:ext>
          </c:extLst>
        </c:ser>
        <c:dLbls>
          <c:showLegendKey val="0"/>
          <c:showVal val="0"/>
          <c:showCatName val="0"/>
          <c:showSerName val="0"/>
          <c:showPercent val="0"/>
          <c:showBubbleSize val="0"/>
        </c:dLbls>
        <c:gapWidth val="42"/>
        <c:axId val="891633855"/>
        <c:axId val="1319480015"/>
      </c:barChart>
      <c:valAx>
        <c:axId val="1319480015"/>
        <c:scaling>
          <c:orientation val="minMax"/>
          <c:max val="25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9273983843809283"/>
          <c:y val="8.2522611688207285E-3"/>
          <c:w val="0.23703567588317281"/>
          <c:h val="6.992608664633585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742641318886547"/>
          <c:y val="0.17702860588135602"/>
          <c:w val="0.7546157966014222"/>
          <c:h val="0.74281478392983291"/>
        </c:manualLayout>
      </c:layout>
      <c:barChart>
        <c:barDir val="bar"/>
        <c:grouping val="clustered"/>
        <c:varyColors val="0"/>
        <c:ser>
          <c:idx val="0"/>
          <c:order val="0"/>
          <c:tx>
            <c:strRef>
              <c:f>q17_a_q19_q26_a_q29_q38_q41_Fig!$Q$161</c:f>
              <c:strCache>
                <c:ptCount val="1"/>
                <c:pt idx="0">
                  <c:v>Base</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0-AF9A-4CAE-9A72-B3E5B5E27BF3}"/>
              </c:ext>
            </c:extLst>
          </c:dPt>
          <c:dPt>
            <c:idx val="1"/>
            <c:invertIfNegative val="0"/>
            <c:bubble3D val="0"/>
            <c:extLst>
              <c:ext xmlns:c16="http://schemas.microsoft.com/office/drawing/2014/chart" uri="{C3380CC4-5D6E-409C-BE32-E72D297353CC}">
                <c16:uniqueId val="{00000001-AF9A-4CAE-9A72-B3E5B5E27BF3}"/>
              </c:ext>
            </c:extLst>
          </c:dPt>
          <c:dPt>
            <c:idx val="2"/>
            <c:invertIfNegative val="0"/>
            <c:bubble3D val="0"/>
            <c:extLst>
              <c:ext xmlns:c16="http://schemas.microsoft.com/office/drawing/2014/chart" uri="{C3380CC4-5D6E-409C-BE32-E72D297353CC}">
                <c16:uniqueId val="{00000002-AF9A-4CAE-9A72-B3E5B5E27BF3}"/>
              </c:ext>
            </c:extLst>
          </c:dPt>
          <c:dPt>
            <c:idx val="3"/>
            <c:invertIfNegative val="0"/>
            <c:bubble3D val="0"/>
            <c:extLst>
              <c:ext xmlns:c16="http://schemas.microsoft.com/office/drawing/2014/chart" uri="{C3380CC4-5D6E-409C-BE32-E72D297353CC}">
                <c16:uniqueId val="{00000003-AF9A-4CAE-9A72-B3E5B5E27BF3}"/>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q17_a_q19_q26_a_q29_q38_q41_Fig!$R$160:$W$160</c15:sqref>
                  </c15:fullRef>
                </c:ext>
              </c:extLst>
              <c:f>q17_a_q19_q26_a_q29_q38_q41_Fig!$S$160:$V$160</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q17_a_q19_q26_a_q29_q38_q41_Fig!$R$161:$W$161</c15:sqref>
                  </c15:fullRef>
                </c:ext>
              </c:extLst>
              <c:f>q17_a_q19_q26_a_q29_q38_q41_Fig!$S$161:$V$161</c:f>
              <c:numCache>
                <c:formatCode>#,##0.00\ "€"</c:formatCode>
                <c:ptCount val="4"/>
                <c:pt idx="0">
                  <c:v>820</c:v>
                </c:pt>
                <c:pt idx="1">
                  <c:v>870</c:v>
                </c:pt>
                <c:pt idx="2">
                  <c:v>903.8</c:v>
                </c:pt>
                <c:pt idx="3">
                  <c:v>1544</c:v>
                </c:pt>
              </c:numCache>
            </c:numRef>
          </c:val>
          <c:extLst>
            <c:ext xmlns:c15="http://schemas.microsoft.com/office/drawing/2012/chart" uri="{02D57815-91ED-43cb-92C2-25804820EDAC}">
              <c15:categoryFilterExceptions>
                <c15:categoryFilterException>
                  <c15:sqref>q17_a_q19_q26_a_q29_q38_q41_Fig!$W$161</c15:sqref>
                  <c15:spPr xmlns:c15="http://schemas.microsoft.com/office/drawing/2012/chart">
                    <a:solidFill>
                      <a:srgbClr val="4F81BD"/>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4-AF9A-4CAE-9A72-B3E5B5E27BF3}"/>
            </c:ext>
          </c:extLst>
        </c:ser>
        <c:ser>
          <c:idx val="1"/>
          <c:order val="1"/>
          <c:tx>
            <c:strRef>
              <c:f>q17_a_q19_q26_a_q29_q38_q41_Fig!$Q$162</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q17_a_q19_q26_a_q29_q38_q41_Fig!$R$160:$W$160</c15:sqref>
                  </c15:fullRef>
                </c:ext>
              </c:extLst>
              <c:f>q17_a_q19_q26_a_q29_q38_q41_Fig!$S$160:$V$160</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q17_a_q19_q26_a_q29_q38_q41_Fig!$R$162:$W$162</c15:sqref>
                  </c15:fullRef>
                </c:ext>
              </c:extLst>
              <c:f>q17_a_q19_q26_a_q29_q38_q41_Fig!$S$162:$V$162</c:f>
              <c:numCache>
                <c:formatCode>#,##0.00\ "€"</c:formatCode>
                <c:ptCount val="4"/>
                <c:pt idx="0">
                  <c:v>958</c:v>
                </c:pt>
                <c:pt idx="1">
                  <c:v>1047.94</c:v>
                </c:pt>
                <c:pt idx="2">
                  <c:v>1132.5</c:v>
                </c:pt>
                <c:pt idx="3">
                  <c:v>1853</c:v>
                </c:pt>
              </c:numCache>
            </c:numRef>
          </c:val>
          <c:extLst>
            <c:ext xmlns:c16="http://schemas.microsoft.com/office/drawing/2014/chart" uri="{C3380CC4-5D6E-409C-BE32-E72D297353CC}">
              <c16:uniqueId val="{00000005-AF9A-4CAE-9A72-B3E5B5E27BF3}"/>
            </c:ext>
          </c:extLst>
        </c:ser>
        <c:dLbls>
          <c:showLegendKey val="0"/>
          <c:showVal val="0"/>
          <c:showCatName val="0"/>
          <c:showSerName val="0"/>
          <c:showPercent val="0"/>
          <c:showBubbleSize val="0"/>
        </c:dLbls>
        <c:gapWidth val="42"/>
        <c:axId val="891633855"/>
        <c:axId val="1319480015"/>
      </c:barChart>
      <c:valAx>
        <c:axId val="1319480015"/>
        <c:scaling>
          <c:orientation val="minMax"/>
          <c:max val="25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4825260812496481"/>
          <c:y val="3.8008150319151146E-3"/>
          <c:w val="0.2584854060556499"/>
          <c:h val="7.711706036745406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541962742462074E-2"/>
          <c:y val="0.13630659253375696"/>
          <c:w val="0.48749094168107027"/>
          <c:h val="0.61503188433701927"/>
        </c:manualLayout>
      </c:layout>
      <c:doughnutChart>
        <c:varyColors val="1"/>
        <c:ser>
          <c:idx val="0"/>
          <c:order val="0"/>
          <c:tx>
            <c:strRef>
              <c:f>q17_a_q19_q26_a_q29_q38_q41_Fig!$T$253</c:f>
              <c:strCache>
                <c:ptCount val="1"/>
                <c:pt idx="0">
                  <c:v>TCO</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FF1A-4464-BB2F-940E13F026B7}"/>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FF1A-4464-BB2F-940E13F026B7}"/>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FF1A-4464-BB2F-940E13F026B7}"/>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FF1A-4464-BB2F-940E13F026B7}"/>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FF1A-4464-BB2F-940E13F026B7}"/>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FF1A-4464-BB2F-940E13F026B7}"/>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FF1A-4464-BB2F-940E13F026B7}"/>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FF1A-4464-BB2F-940E13F026B7}"/>
              </c:ext>
            </c:extLst>
          </c:dPt>
          <c:dPt>
            <c:idx val="8"/>
            <c:bubble3D val="0"/>
            <c:spPr>
              <a:solidFill>
                <a:schemeClr val="accent5">
                  <a:lumMod val="80000"/>
                  <a:lumOff val="20000"/>
                </a:schemeClr>
              </a:solidFill>
              <a:ln>
                <a:noFill/>
              </a:ln>
              <a:effectLst/>
            </c:spPr>
            <c:extLst>
              <c:ext xmlns:c16="http://schemas.microsoft.com/office/drawing/2014/chart" uri="{C3380CC4-5D6E-409C-BE32-E72D297353CC}">
                <c16:uniqueId val="{00000011-FF1A-4464-BB2F-940E13F026B7}"/>
              </c:ext>
            </c:extLst>
          </c:dPt>
          <c:dPt>
            <c:idx val="9"/>
            <c:bubble3D val="0"/>
            <c:spPr>
              <a:solidFill>
                <a:schemeClr val="accent1">
                  <a:lumMod val="80000"/>
                </a:schemeClr>
              </a:solidFill>
              <a:ln>
                <a:noFill/>
              </a:ln>
              <a:effectLst/>
            </c:spPr>
            <c:extLst>
              <c:ext xmlns:c16="http://schemas.microsoft.com/office/drawing/2014/chart" uri="{C3380CC4-5D6E-409C-BE32-E72D297353CC}">
                <c16:uniqueId val="{00000013-FF1A-4464-BB2F-940E13F026B7}"/>
              </c:ext>
            </c:extLst>
          </c:dPt>
          <c:dLbls>
            <c:dLbl>
              <c:idx val="0"/>
              <c:layout>
                <c:manualLayout>
                  <c:x val="4.2276422764227585E-2"/>
                  <c:y val="-0.1805255334758886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F1A-4464-BB2F-940E13F026B7}"/>
                </c:ext>
              </c:extLst>
            </c:dLbl>
            <c:dLbl>
              <c:idx val="5"/>
              <c:layout>
                <c:manualLayout>
                  <c:x val="-0.14308943089430895"/>
                  <c:y val="0.15180556224108815"/>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F1A-4464-BB2F-940E13F026B7}"/>
                </c:ext>
              </c:extLst>
            </c:dLbl>
            <c:dLbl>
              <c:idx val="9"/>
              <c:layout>
                <c:manualLayout>
                  <c:x val="-0.11382113821138215"/>
                  <c:y val="-0.1846283865094315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2"/>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layout>
                    <c:manualLayout>
                      <c:w val="8.4585365853658528E-2"/>
                      <c:h val="7.0589747971752992E-2"/>
                    </c:manualLayout>
                  </c15:layout>
                </c:ext>
                <c:ext xmlns:c16="http://schemas.microsoft.com/office/drawing/2014/chart" uri="{C3380CC4-5D6E-409C-BE32-E72D297353CC}">
                  <c16:uniqueId val="{00000013-FF1A-4464-BB2F-940E13F026B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q17_a_q19_q26_a_q29_q38_q41_Fig!$S$254:$S$263</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q17_a_q19_q26_a_q29_q38_q41_Fig!$T$254:$T$263</c:f>
              <c:numCache>
                <c:formatCode>#,##0</c:formatCode>
                <c:ptCount val="10"/>
                <c:pt idx="0">
                  <c:v>114787</c:v>
                </c:pt>
                <c:pt idx="1">
                  <c:v>441951</c:v>
                </c:pt>
                <c:pt idx="2">
                  <c:v>353603</c:v>
                </c:pt>
                <c:pt idx="3">
                  <c:v>435944</c:v>
                </c:pt>
                <c:pt idx="4">
                  <c:v>700751</c:v>
                </c:pt>
                <c:pt idx="5">
                  <c:v>36010</c:v>
                </c:pt>
                <c:pt idx="6">
                  <c:v>457922</c:v>
                </c:pt>
                <c:pt idx="7">
                  <c:v>323244</c:v>
                </c:pt>
                <c:pt idx="8">
                  <c:v>485614</c:v>
                </c:pt>
                <c:pt idx="9">
                  <c:v>4310</c:v>
                </c:pt>
              </c:numCache>
            </c:numRef>
          </c:val>
          <c:extLst>
            <c:ext xmlns:c16="http://schemas.microsoft.com/office/drawing/2014/chart" uri="{C3380CC4-5D6E-409C-BE32-E72D297353CC}">
              <c16:uniqueId val="{00000014-FF1A-4464-BB2F-940E13F026B7}"/>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59856961782216245"/>
          <c:y val="2.0381810857182919E-2"/>
          <c:w val="0.33858523782088212"/>
          <c:h val="0.90370765459921754"/>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2757621189405304"/>
          <c:y val="0.10742898448458355"/>
          <c:w val="0.41229760119940023"/>
          <c:h val="0.85925208587139457"/>
        </c:manualLayout>
      </c:layout>
      <c:barChart>
        <c:barDir val="bar"/>
        <c:grouping val="clustered"/>
        <c:varyColors val="0"/>
        <c:ser>
          <c:idx val="0"/>
          <c:order val="0"/>
          <c:tx>
            <c:strRef>
              <c:f>q17_a_q19_q26_a_q29_q38_q41_Fig!$T$253</c:f>
              <c:strCache>
                <c:ptCount val="1"/>
                <c:pt idx="0">
                  <c:v>TCO</c:v>
                </c:pt>
              </c:strCache>
            </c:strRef>
          </c:tx>
          <c:spPr>
            <a:solidFill>
              <a:srgbClr val="4F81BD"/>
            </a:solidFill>
            <a:ln w="19050">
              <a:solidFill>
                <a:schemeClr val="lt1"/>
              </a:solidFill>
            </a:ln>
            <a:effectLst/>
          </c:spPr>
          <c:invertIfNegative val="0"/>
          <c:dPt>
            <c:idx val="0"/>
            <c:invertIfNegative val="0"/>
            <c:bubble3D val="0"/>
            <c:explosion val="4"/>
            <c:spPr>
              <a:solidFill>
                <a:srgbClr val="4F81BD"/>
              </a:solidFill>
              <a:ln w="19050">
                <a:solidFill>
                  <a:schemeClr val="lt1"/>
                </a:solidFill>
              </a:ln>
              <a:effectLst/>
            </c:spPr>
            <c:extLst>
              <c:ext xmlns:c16="http://schemas.microsoft.com/office/drawing/2014/chart" uri="{C3380CC4-5D6E-409C-BE32-E72D297353CC}">
                <c16:uniqueId val="{00000001-C592-4B66-A6E6-55447F0EA565}"/>
              </c:ext>
            </c:extLst>
          </c:dPt>
          <c:dPt>
            <c:idx val="1"/>
            <c:invertIfNegative val="0"/>
            <c:bubble3D val="0"/>
            <c:explosion val="2"/>
            <c:spPr>
              <a:solidFill>
                <a:srgbClr val="4F81BD"/>
              </a:solidFill>
              <a:ln w="19050">
                <a:solidFill>
                  <a:schemeClr val="lt1"/>
                </a:solidFill>
              </a:ln>
              <a:effectLst/>
            </c:spPr>
            <c:extLst>
              <c:ext xmlns:c16="http://schemas.microsoft.com/office/drawing/2014/chart" uri="{C3380CC4-5D6E-409C-BE32-E72D297353CC}">
                <c16:uniqueId val="{00000003-C592-4B66-A6E6-55447F0EA565}"/>
              </c:ext>
            </c:extLst>
          </c:dPt>
          <c:dPt>
            <c:idx val="2"/>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5-C592-4B66-A6E6-55447F0EA565}"/>
              </c:ext>
            </c:extLst>
          </c:dPt>
          <c:dPt>
            <c:idx val="3"/>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7-C592-4B66-A6E6-55447F0EA565}"/>
              </c:ext>
            </c:extLst>
          </c:dPt>
          <c:dPt>
            <c:idx val="4"/>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9-C592-4B66-A6E6-55447F0EA565}"/>
              </c:ext>
            </c:extLst>
          </c:dPt>
          <c:dPt>
            <c:idx val="5"/>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B-C592-4B66-A6E6-55447F0EA565}"/>
              </c:ext>
            </c:extLst>
          </c:dPt>
          <c:dLbls>
            <c:dLbl>
              <c:idx val="0"/>
              <c:layout>
                <c:manualLayout>
                  <c:x val="0"/>
                  <c:y val="3.005422002962037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92-4B66-A6E6-55447F0EA565}"/>
                </c:ext>
              </c:extLst>
            </c:dLbl>
            <c:spPr>
              <a:noFill/>
              <a:ln>
                <a:noFill/>
              </a:ln>
              <a:effectLst/>
            </c:spPr>
            <c:txPr>
              <a:bodyPr rot="0" spcFirstLastPara="1" vertOverflow="overflow" horzOverflow="overflow" vert="horz" wrap="non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q17_a_q19_q26_a_q29_q38_q41_Fig!$S$254:$S$263</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q17_a_q19_q26_a_q29_q38_q41_Fig!$T$254:$T$263</c:f>
              <c:numCache>
                <c:formatCode>#,##0</c:formatCode>
                <c:ptCount val="10"/>
                <c:pt idx="0">
                  <c:v>114787</c:v>
                </c:pt>
                <c:pt idx="1">
                  <c:v>441951</c:v>
                </c:pt>
                <c:pt idx="2">
                  <c:v>353603</c:v>
                </c:pt>
                <c:pt idx="3">
                  <c:v>435944</c:v>
                </c:pt>
                <c:pt idx="4">
                  <c:v>700751</c:v>
                </c:pt>
                <c:pt idx="5">
                  <c:v>36010</c:v>
                </c:pt>
                <c:pt idx="6">
                  <c:v>457922</c:v>
                </c:pt>
                <c:pt idx="7">
                  <c:v>323244</c:v>
                </c:pt>
                <c:pt idx="8">
                  <c:v>485614</c:v>
                </c:pt>
                <c:pt idx="9">
                  <c:v>4310</c:v>
                </c:pt>
              </c:numCache>
            </c:numRef>
          </c:val>
          <c:extLst>
            <c:ext xmlns:c16="http://schemas.microsoft.com/office/drawing/2014/chart" uri="{C3380CC4-5D6E-409C-BE32-E72D297353CC}">
              <c16:uniqueId val="{0000000C-C592-4B66-A6E6-55447F0EA565}"/>
            </c:ext>
          </c:extLst>
        </c:ser>
        <c:dLbls>
          <c:showLegendKey val="0"/>
          <c:showVal val="0"/>
          <c:showCatName val="0"/>
          <c:showSerName val="0"/>
          <c:showPercent val="0"/>
          <c:showBubbleSize val="0"/>
        </c:dLbls>
        <c:gapWidth val="118"/>
        <c:axId val="891633855"/>
        <c:axId val="1319480015"/>
      </c:barChart>
      <c:valAx>
        <c:axId val="1319480015"/>
        <c:scaling>
          <c:orientation val="minMax"/>
          <c:max val="800000"/>
          <c:min val="0"/>
        </c:scaling>
        <c:delete val="1"/>
        <c:axPos val="t"/>
        <c:numFmt formatCode="#,##0" sourceLinked="1"/>
        <c:majorTickMark val="out"/>
        <c:minorTickMark val="none"/>
        <c:tickLblPos val="nextTo"/>
        <c:crossAx val="891633855"/>
        <c:crosses val="autoZero"/>
        <c:crossBetween val="between"/>
        <c:majorUnit val="400000"/>
      </c:valAx>
      <c:catAx>
        <c:axId val="891633855"/>
        <c:scaling>
          <c:orientation val="maxMin"/>
        </c:scaling>
        <c:delete val="0"/>
        <c:axPos val="l"/>
        <c:numFmt formatCode="General" sourceLinked="1"/>
        <c:majorTickMark val="out"/>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345665328524363E-2"/>
          <c:y val="0.14696557342948274"/>
          <c:w val="0.46826480651678509"/>
          <c:h val="0.79171744577056835"/>
        </c:manualLayout>
      </c:layout>
      <c:barChart>
        <c:barDir val="bar"/>
        <c:grouping val="clustered"/>
        <c:varyColors val="0"/>
        <c:ser>
          <c:idx val="1"/>
          <c:order val="1"/>
          <c:tx>
            <c:strRef>
              <c:f>q17_a_q19_q26_a_q29_q38_q41_Fig!$U$253</c:f>
              <c:strCache>
                <c:ptCount val="1"/>
                <c:pt idx="0">
                  <c:v>Base</c:v>
                </c:pt>
              </c:strCache>
            </c:strRef>
          </c:tx>
          <c:spPr>
            <a:solidFill>
              <a:srgbClr val="4F81BD"/>
            </a:solidFill>
            <a:ln w="19050">
              <a:solidFill>
                <a:schemeClr val="lt1"/>
              </a:solidFill>
            </a:ln>
            <a:effectLst/>
          </c:spPr>
          <c:invertIfNegative val="0"/>
          <c:dLbls>
            <c:numFmt formatCode="#,##0.00\ &quot;€&quot;" sourceLinked="0"/>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q19_q28_q29_q40_Fig!$S$17:$S$26</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q17_a_q19_q26_a_q29_q38_q41_Fig!$U$254:$U$263</c:f>
              <c:numCache>
                <c:formatCode>#,##0.00\ "€"</c:formatCode>
                <c:ptCount val="10"/>
                <c:pt idx="0">
                  <c:v>2846.78</c:v>
                </c:pt>
                <c:pt idx="1">
                  <c:v>2032.28</c:v>
                </c:pt>
                <c:pt idx="2">
                  <c:v>1589.95</c:v>
                </c:pt>
                <c:pt idx="3">
                  <c:v>1143.01</c:v>
                </c:pt>
                <c:pt idx="4">
                  <c:v>964.25</c:v>
                </c:pt>
                <c:pt idx="5">
                  <c:v>1015.15</c:v>
                </c:pt>
                <c:pt idx="6">
                  <c:v>1018.26</c:v>
                </c:pt>
                <c:pt idx="7">
                  <c:v>1002.33</c:v>
                </c:pt>
                <c:pt idx="8">
                  <c:v>894.26</c:v>
                </c:pt>
                <c:pt idx="9">
                  <c:v>3106.87</c:v>
                </c:pt>
              </c:numCache>
            </c:numRef>
          </c:val>
          <c:extLst>
            <c:ext xmlns:c16="http://schemas.microsoft.com/office/drawing/2014/chart" uri="{C3380CC4-5D6E-409C-BE32-E72D297353CC}">
              <c16:uniqueId val="{00000000-CDE0-4F97-9545-8A5134AC7C40}"/>
            </c:ext>
          </c:extLst>
        </c:ser>
        <c:ser>
          <c:idx val="2"/>
          <c:order val="2"/>
          <c:tx>
            <c:strRef>
              <c:f>q17_a_q19_q26_a_q29_q38_q41_Fig!$V$253</c:f>
              <c:strCache>
                <c:ptCount val="1"/>
                <c:pt idx="0">
                  <c:v>Ganho</c:v>
                </c:pt>
              </c:strCache>
            </c:strRef>
          </c:tx>
          <c:spPr>
            <a:solidFill>
              <a:srgbClr val="FFC000"/>
            </a:solidFill>
            <a:ln>
              <a:solidFill>
                <a:sysClr val="window" lastClr="FFFFFF"/>
              </a:solidFill>
            </a:ln>
          </c:spPr>
          <c:invertIfNegative val="0"/>
          <c:dLbls>
            <c:numFmt formatCode="#,##0.00\ &quot;€&quot;" sourceLinked="0"/>
            <c:spPr>
              <a:noFill/>
              <a:ln>
                <a:noFill/>
              </a:ln>
              <a:effectLst/>
            </c:spPr>
            <c:txPr>
              <a:bodyPr wrap="square" lIns="38100" tIns="19050" rIns="38100" bIns="19050" anchor="ctr">
                <a:spAutoFit/>
              </a:bodyPr>
              <a:lstStyle/>
              <a:p>
                <a:pPr>
                  <a:defRPr sz="700" b="1"/>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q19_q28_q29_q40_Fig!$S$17:$S$26</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q17_a_q19_q26_a_q29_q38_q41_Fig!$V$254:$V$263</c:f>
              <c:numCache>
                <c:formatCode>#,##0.00\ "€"</c:formatCode>
                <c:ptCount val="10"/>
                <c:pt idx="0">
                  <c:v>3295.85</c:v>
                </c:pt>
                <c:pt idx="1">
                  <c:v>2400.04</c:v>
                </c:pt>
                <c:pt idx="2">
                  <c:v>1947.34</c:v>
                </c:pt>
                <c:pt idx="3">
                  <c:v>1391.18</c:v>
                </c:pt>
                <c:pt idx="4">
                  <c:v>1162.67</c:v>
                </c:pt>
                <c:pt idx="5">
                  <c:v>1167.21</c:v>
                </c:pt>
                <c:pt idx="6">
                  <c:v>1246.3800000000001</c:v>
                </c:pt>
                <c:pt idx="7">
                  <c:v>1341.97</c:v>
                </c:pt>
                <c:pt idx="8">
                  <c:v>1058.49</c:v>
                </c:pt>
                <c:pt idx="9">
                  <c:v>3504.65</c:v>
                </c:pt>
              </c:numCache>
            </c:numRef>
          </c:val>
          <c:extLst>
            <c:ext xmlns:c16="http://schemas.microsoft.com/office/drawing/2014/chart" uri="{C3380CC4-5D6E-409C-BE32-E72D297353CC}">
              <c16:uniqueId val="{00000001-CDE0-4F97-9545-8A5134AC7C40}"/>
            </c:ext>
          </c:extLst>
        </c:ser>
        <c:dLbls>
          <c:showLegendKey val="0"/>
          <c:showVal val="0"/>
          <c:showCatName val="0"/>
          <c:showSerName val="0"/>
          <c:showPercent val="0"/>
          <c:showBubbleSize val="0"/>
        </c:dLbls>
        <c:gapWidth val="42"/>
        <c:axId val="891633855"/>
        <c:axId val="1319480015"/>
        <c:extLst>
          <c:ext xmlns:c15="http://schemas.microsoft.com/office/drawing/2012/chart" uri="{02D57815-91ED-43cb-92C2-25804820EDAC}">
            <c15:filteredBarSeries>
              <c15:ser>
                <c:idx val="0"/>
                <c:order val="0"/>
                <c:tx>
                  <c:strRef>
                    <c:extLst>
                      <c:ext uri="{02D57815-91ED-43cb-92C2-25804820EDAC}">
                        <c15:formulaRef>
                          <c15:sqref>q17_a_q19_q26_a_q29_q38_q41_Fig!$T$253</c15:sqref>
                        </c15:formulaRef>
                      </c:ext>
                    </c:extLst>
                    <c:strCache>
                      <c:ptCount val="1"/>
                      <c:pt idx="0">
                        <c:v>TCO</c:v>
                      </c:pt>
                    </c:strCache>
                  </c:strRef>
                </c:tx>
                <c:spPr>
                  <a:solidFill>
                    <a:srgbClr val="4F81BD"/>
                  </a:solidFill>
                  <a:ln w="19050">
                    <a:solidFill>
                      <a:schemeClr val="lt1"/>
                    </a:solidFill>
                  </a:ln>
                  <a:effectLst/>
                </c:spPr>
                <c:invertIfNegative val="0"/>
                <c:dPt>
                  <c:idx val="1"/>
                  <c:invertIfNegative val="0"/>
                  <c:bubble3D val="0"/>
                  <c:explosion val="2"/>
                  <c:extLst>
                    <c:ext xmlns:c16="http://schemas.microsoft.com/office/drawing/2014/chart" uri="{C3380CC4-5D6E-409C-BE32-E72D297353CC}">
                      <c16:uniqueId val="{00000002-CDE0-4F97-9545-8A5134AC7C40}"/>
                    </c:ext>
                  </c:extLst>
                </c:dPt>
                <c:dPt>
                  <c:idx val="2"/>
                  <c:invertIfNegative val="0"/>
                  <c:bubble3D val="0"/>
                  <c:extLst>
                    <c:ext xmlns:c16="http://schemas.microsoft.com/office/drawing/2014/chart" uri="{C3380CC4-5D6E-409C-BE32-E72D297353CC}">
                      <c16:uniqueId val="{00000003-CDE0-4F97-9545-8A5134AC7C40}"/>
                    </c:ext>
                  </c:extLst>
                </c:dPt>
                <c:dPt>
                  <c:idx val="3"/>
                  <c:invertIfNegative val="0"/>
                  <c:bubble3D val="0"/>
                  <c:extLst>
                    <c:ext xmlns:c16="http://schemas.microsoft.com/office/drawing/2014/chart" uri="{C3380CC4-5D6E-409C-BE32-E72D297353CC}">
                      <c16:uniqueId val="{00000004-CDE0-4F97-9545-8A5134AC7C40}"/>
                    </c:ext>
                  </c:extLst>
                </c:dPt>
                <c:dPt>
                  <c:idx val="4"/>
                  <c:invertIfNegative val="0"/>
                  <c:bubble3D val="0"/>
                  <c:extLst>
                    <c:ext xmlns:c16="http://schemas.microsoft.com/office/drawing/2014/chart" uri="{C3380CC4-5D6E-409C-BE32-E72D297353CC}">
                      <c16:uniqueId val="{00000005-CDE0-4F97-9545-8A5134AC7C40}"/>
                    </c:ext>
                  </c:extLst>
                </c:dPt>
                <c:dPt>
                  <c:idx val="5"/>
                  <c:invertIfNegative val="0"/>
                  <c:bubble3D val="0"/>
                  <c:extLst>
                    <c:ext xmlns:c16="http://schemas.microsoft.com/office/drawing/2014/chart" uri="{C3380CC4-5D6E-409C-BE32-E72D297353CC}">
                      <c16:uniqueId val="{00000006-CDE0-4F97-9545-8A5134AC7C40}"/>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q19_q28_q29_q40_Fig!$S$17:$S$26</c15:sqref>
                        </c15:formulaRef>
                      </c:ext>
                    </c:extLst>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extLst>
                      <c:ext uri="{02D57815-91ED-43cb-92C2-25804820EDAC}">
                        <c15:formulaRef>
                          <c15:sqref>q17_a_q19_q26_a_q29_q38_q41_Fig!$T$254:$T$263</c15:sqref>
                        </c15:formulaRef>
                      </c:ext>
                    </c:extLst>
                    <c:numCache>
                      <c:formatCode>#,##0</c:formatCode>
                      <c:ptCount val="10"/>
                      <c:pt idx="0">
                        <c:v>114787</c:v>
                      </c:pt>
                      <c:pt idx="1">
                        <c:v>441951</c:v>
                      </c:pt>
                      <c:pt idx="2">
                        <c:v>353603</c:v>
                      </c:pt>
                      <c:pt idx="3">
                        <c:v>435944</c:v>
                      </c:pt>
                      <c:pt idx="4">
                        <c:v>700751</c:v>
                      </c:pt>
                      <c:pt idx="5">
                        <c:v>36010</c:v>
                      </c:pt>
                      <c:pt idx="6">
                        <c:v>457922</c:v>
                      </c:pt>
                      <c:pt idx="7">
                        <c:v>323244</c:v>
                      </c:pt>
                      <c:pt idx="8">
                        <c:v>485614</c:v>
                      </c:pt>
                      <c:pt idx="9">
                        <c:v>4310</c:v>
                      </c:pt>
                    </c:numCache>
                  </c:numRef>
                </c:val>
                <c:extLst>
                  <c:ext xmlns:c16="http://schemas.microsoft.com/office/drawing/2014/chart" uri="{C3380CC4-5D6E-409C-BE32-E72D297353CC}">
                    <c16:uniqueId val="{00000007-CDE0-4F97-9545-8A5134AC7C40}"/>
                  </c:ext>
                </c:extLst>
              </c15:ser>
            </c15:filteredBarSeries>
          </c:ext>
        </c:extLst>
      </c:barChart>
      <c:valAx>
        <c:axId val="1319480015"/>
        <c:scaling>
          <c:orientation val="minMax"/>
          <c:max val="3300"/>
          <c:min val="0"/>
        </c:scaling>
        <c:delete val="1"/>
        <c:axPos val="t"/>
        <c:numFmt formatCode="#,##0.00\ &quot;€&quot;" sourceLinked="1"/>
        <c:majorTickMark val="out"/>
        <c:minorTickMark val="none"/>
        <c:tickLblPos val="nextTo"/>
        <c:crossAx val="891633855"/>
        <c:crosses val="autoZero"/>
        <c:crossBetween val="between"/>
        <c:majorUnit val="300"/>
      </c:valAx>
      <c:catAx>
        <c:axId val="89163385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5036216525202521"/>
          <c:y val="1.9620487218601212E-2"/>
          <c:w val="0.16526299705334702"/>
          <c:h val="8.889572494316742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742641318886547"/>
          <c:y val="0.12141943790027154"/>
          <c:w val="0.7546157966014222"/>
          <c:h val="0.84693069647889441"/>
        </c:manualLayout>
      </c:layout>
      <c:barChart>
        <c:barDir val="bar"/>
        <c:grouping val="clustered"/>
        <c:varyColors val="0"/>
        <c:ser>
          <c:idx val="3"/>
          <c:order val="3"/>
          <c:tx>
            <c:strRef>
              <c:f>q17_a_q19_q26_a_q29_q38_q41_Fig!$W$253</c:f>
              <c:strCache>
                <c:ptCount val="1"/>
                <c:pt idx="0">
                  <c:v>Base</c:v>
                </c:pt>
              </c:strCache>
            </c:strRef>
          </c:tx>
          <c:spPr>
            <a:solidFill>
              <a:srgbClr val="4F81BD"/>
            </a:solidFill>
            <a:ln w="19050">
              <a:solidFill>
                <a:sysClr val="window" lastClr="FFFFFF"/>
              </a:solidFill>
            </a:ln>
          </c:spPr>
          <c:invertIfNegative val="0"/>
          <c:dLbls>
            <c:numFmt formatCode="#,##0.00\ &quot;€&quot;" sourceLinked="0"/>
            <c:spPr>
              <a:noFill/>
              <a:ln>
                <a:noFill/>
              </a:ln>
              <a:effectLst/>
            </c:spPr>
            <c:txPr>
              <a:bodyPr wrap="square" lIns="38100" tIns="19050" rIns="38100" bIns="19050" anchor="ctr">
                <a:spAutoFit/>
              </a:bodyPr>
              <a:lstStyle/>
              <a:p>
                <a:pPr>
                  <a:defRPr sz="700" b="1">
                    <a:solidFill>
                      <a:schemeClr val="tx2"/>
                    </a:solidFil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q17_a_q19_q26_a_q29_q38_q41_Fig!$S$254:$S$263</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q17_a_q19_q26_a_q29_q38_q41_Fig!$W$254:$W$263</c:f>
              <c:numCache>
                <c:formatCode>#,##0.00\ "€"</c:formatCode>
                <c:ptCount val="10"/>
                <c:pt idx="0">
                  <c:v>16.54</c:v>
                </c:pt>
                <c:pt idx="1">
                  <c:v>12.04</c:v>
                </c:pt>
                <c:pt idx="2">
                  <c:v>9.17</c:v>
                </c:pt>
                <c:pt idx="3">
                  <c:v>6.56</c:v>
                </c:pt>
                <c:pt idx="4">
                  <c:v>5.57</c:v>
                </c:pt>
                <c:pt idx="5">
                  <c:v>5.48</c:v>
                </c:pt>
                <c:pt idx="6">
                  <c:v>5.8</c:v>
                </c:pt>
                <c:pt idx="7">
                  <c:v>5.72</c:v>
                </c:pt>
                <c:pt idx="8">
                  <c:v>5.12</c:v>
                </c:pt>
                <c:pt idx="9">
                  <c:v>18.2</c:v>
                </c:pt>
              </c:numCache>
            </c:numRef>
          </c:val>
          <c:extLst>
            <c:ext xmlns:c16="http://schemas.microsoft.com/office/drawing/2014/chart" uri="{C3380CC4-5D6E-409C-BE32-E72D297353CC}">
              <c16:uniqueId val="{00000000-0A04-4607-BAFE-8C8002BB7319}"/>
            </c:ext>
          </c:extLst>
        </c:ser>
        <c:dLbls>
          <c:showLegendKey val="0"/>
          <c:showVal val="0"/>
          <c:showCatName val="0"/>
          <c:showSerName val="0"/>
          <c:showPercent val="0"/>
          <c:showBubbleSize val="0"/>
        </c:dLbls>
        <c:gapWidth val="42"/>
        <c:axId val="891633855"/>
        <c:axId val="1319480015"/>
        <c:extLst>
          <c:ext xmlns:c15="http://schemas.microsoft.com/office/drawing/2012/chart" uri="{02D57815-91ED-43cb-92C2-25804820EDAC}">
            <c15:filteredBarSeries>
              <c15:ser>
                <c:idx val="0"/>
                <c:order val="0"/>
                <c:tx>
                  <c:strRef>
                    <c:extLst>
                      <c:ext uri="{02D57815-91ED-43cb-92C2-25804820EDAC}">
                        <c15:formulaRef>
                          <c15:sqref>q17_a_q19_q26_a_q29_q38_q41_Fig!$T$253</c15:sqref>
                        </c15:formulaRef>
                      </c:ext>
                    </c:extLst>
                    <c:strCache>
                      <c:ptCount val="1"/>
                      <c:pt idx="0">
                        <c:v>TCO</c:v>
                      </c:pt>
                    </c:strCache>
                  </c:strRef>
                </c:tx>
                <c:spPr>
                  <a:solidFill>
                    <a:srgbClr val="4F81BD"/>
                  </a:solidFill>
                  <a:ln w="19050">
                    <a:solidFill>
                      <a:schemeClr val="lt1"/>
                    </a:solidFill>
                  </a:ln>
                  <a:effectLst/>
                </c:spPr>
                <c:invertIfNegative val="0"/>
                <c:dPt>
                  <c:idx val="1"/>
                  <c:invertIfNegative val="0"/>
                  <c:bubble3D val="0"/>
                  <c:explosion val="2"/>
                  <c:extLst>
                    <c:ext xmlns:c16="http://schemas.microsoft.com/office/drawing/2014/chart" uri="{C3380CC4-5D6E-409C-BE32-E72D297353CC}">
                      <c16:uniqueId val="{00000001-0A04-4607-BAFE-8C8002BB7319}"/>
                    </c:ext>
                  </c:extLst>
                </c:dPt>
                <c:dPt>
                  <c:idx val="2"/>
                  <c:invertIfNegative val="0"/>
                  <c:bubble3D val="0"/>
                  <c:extLst>
                    <c:ext xmlns:c16="http://schemas.microsoft.com/office/drawing/2014/chart" uri="{C3380CC4-5D6E-409C-BE32-E72D297353CC}">
                      <c16:uniqueId val="{00000002-0A04-4607-BAFE-8C8002BB7319}"/>
                    </c:ext>
                  </c:extLst>
                </c:dPt>
                <c:dPt>
                  <c:idx val="3"/>
                  <c:invertIfNegative val="0"/>
                  <c:bubble3D val="0"/>
                  <c:extLst>
                    <c:ext xmlns:c16="http://schemas.microsoft.com/office/drawing/2014/chart" uri="{C3380CC4-5D6E-409C-BE32-E72D297353CC}">
                      <c16:uniqueId val="{00000003-0A04-4607-BAFE-8C8002BB7319}"/>
                    </c:ext>
                  </c:extLst>
                </c:dPt>
                <c:dPt>
                  <c:idx val="4"/>
                  <c:invertIfNegative val="0"/>
                  <c:bubble3D val="0"/>
                  <c:extLst>
                    <c:ext xmlns:c16="http://schemas.microsoft.com/office/drawing/2014/chart" uri="{C3380CC4-5D6E-409C-BE32-E72D297353CC}">
                      <c16:uniqueId val="{00000004-0A04-4607-BAFE-8C8002BB7319}"/>
                    </c:ext>
                  </c:extLst>
                </c:dPt>
                <c:dPt>
                  <c:idx val="5"/>
                  <c:invertIfNegative val="0"/>
                  <c:bubble3D val="0"/>
                  <c:extLst>
                    <c:ext xmlns:c16="http://schemas.microsoft.com/office/drawing/2014/chart" uri="{C3380CC4-5D6E-409C-BE32-E72D297353CC}">
                      <c16:uniqueId val="{00000005-0A04-4607-BAFE-8C8002BB7319}"/>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q17_a_q19_q26_a_q29_q38_q41_Fig!$S$254:$S$263</c15:sqref>
                        </c15:formulaRef>
                      </c:ext>
                    </c:extLst>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extLst>
                      <c:ext uri="{02D57815-91ED-43cb-92C2-25804820EDAC}">
                        <c15:formulaRef>
                          <c15:sqref>q17_a_q19_q26_a_q29_q38_q41_Fig!$T$254:$T$263</c15:sqref>
                        </c15:formulaRef>
                      </c:ext>
                    </c:extLst>
                    <c:numCache>
                      <c:formatCode>#,##0</c:formatCode>
                      <c:ptCount val="10"/>
                      <c:pt idx="0">
                        <c:v>114787</c:v>
                      </c:pt>
                      <c:pt idx="1">
                        <c:v>441951</c:v>
                      </c:pt>
                      <c:pt idx="2">
                        <c:v>353603</c:v>
                      </c:pt>
                      <c:pt idx="3">
                        <c:v>435944</c:v>
                      </c:pt>
                      <c:pt idx="4">
                        <c:v>700751</c:v>
                      </c:pt>
                      <c:pt idx="5">
                        <c:v>36010</c:v>
                      </c:pt>
                      <c:pt idx="6">
                        <c:v>457922</c:v>
                      </c:pt>
                      <c:pt idx="7">
                        <c:v>323244</c:v>
                      </c:pt>
                      <c:pt idx="8">
                        <c:v>485614</c:v>
                      </c:pt>
                      <c:pt idx="9">
                        <c:v>4310</c:v>
                      </c:pt>
                    </c:numCache>
                  </c:numRef>
                </c:val>
                <c:extLst>
                  <c:ext xmlns:c16="http://schemas.microsoft.com/office/drawing/2014/chart" uri="{C3380CC4-5D6E-409C-BE32-E72D297353CC}">
                    <c16:uniqueId val="{00000006-0A04-4607-BAFE-8C8002BB731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q17_a_q19_q26_a_q29_q38_q41_Fig!$U$253</c15:sqref>
                        </c15:formulaRef>
                      </c:ext>
                    </c:extLst>
                    <c:strCache>
                      <c:ptCount val="1"/>
                      <c:pt idx="0">
                        <c:v>Base</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q17_a_q19_q26_a_q29_q38_q41_Fig!$S$254:$S$263</c15:sqref>
                        </c15:formulaRef>
                      </c:ext>
                    </c:extLst>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extLst xmlns:c15="http://schemas.microsoft.com/office/drawing/2012/chart">
                      <c:ext xmlns:c15="http://schemas.microsoft.com/office/drawing/2012/chart" uri="{02D57815-91ED-43cb-92C2-25804820EDAC}">
                        <c15:formulaRef>
                          <c15:sqref>q17_a_q19_q26_a_q29_q38_q41_Fig!$U$254:$U$263</c15:sqref>
                        </c15:formulaRef>
                      </c:ext>
                    </c:extLst>
                    <c:numCache>
                      <c:formatCode>#,##0.00\ "€"</c:formatCode>
                      <c:ptCount val="10"/>
                      <c:pt idx="0">
                        <c:v>2846.78</c:v>
                      </c:pt>
                      <c:pt idx="1">
                        <c:v>2032.28</c:v>
                      </c:pt>
                      <c:pt idx="2">
                        <c:v>1589.95</c:v>
                      </c:pt>
                      <c:pt idx="3">
                        <c:v>1143.01</c:v>
                      </c:pt>
                      <c:pt idx="4">
                        <c:v>964.25</c:v>
                      </c:pt>
                      <c:pt idx="5">
                        <c:v>1015.15</c:v>
                      </c:pt>
                      <c:pt idx="6">
                        <c:v>1018.26</c:v>
                      </c:pt>
                      <c:pt idx="7">
                        <c:v>1002.33</c:v>
                      </c:pt>
                      <c:pt idx="8">
                        <c:v>894.26</c:v>
                      </c:pt>
                      <c:pt idx="9">
                        <c:v>3106.87</c:v>
                      </c:pt>
                    </c:numCache>
                  </c:numRef>
                </c:val>
                <c:extLst xmlns:c15="http://schemas.microsoft.com/office/drawing/2012/chart">
                  <c:ext xmlns:c16="http://schemas.microsoft.com/office/drawing/2014/chart" uri="{C3380CC4-5D6E-409C-BE32-E72D297353CC}">
                    <c16:uniqueId val="{00000007-0A04-4607-BAFE-8C8002BB731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q17_a_q19_q26_a_q29_q38_q41_Fig!$V$253</c15:sqref>
                        </c15:formulaRef>
                      </c:ext>
                    </c:extLst>
                    <c:strCache>
                      <c:ptCount val="1"/>
                      <c:pt idx="0">
                        <c:v>Ganho</c:v>
                      </c:pt>
                    </c:strCache>
                  </c:strRef>
                </c:tx>
                <c:invertIfNegative val="0"/>
                <c:cat>
                  <c:strRef>
                    <c:extLst xmlns:c15="http://schemas.microsoft.com/office/drawing/2012/chart">
                      <c:ext xmlns:c15="http://schemas.microsoft.com/office/drawing/2012/chart" uri="{02D57815-91ED-43cb-92C2-25804820EDAC}">
                        <c15:formulaRef>
                          <c15:sqref>q17_a_q19_q26_a_q29_q38_q41_Fig!$S$254:$S$263</c15:sqref>
                        </c15:formulaRef>
                      </c:ext>
                    </c:extLst>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extLst xmlns:c15="http://schemas.microsoft.com/office/drawing/2012/chart">
                      <c:ext xmlns:c15="http://schemas.microsoft.com/office/drawing/2012/chart" uri="{02D57815-91ED-43cb-92C2-25804820EDAC}">
                        <c15:formulaRef>
                          <c15:sqref>q17_a_q19_q26_a_q29_q38_q41_Fig!$V$254:$V$263</c15:sqref>
                        </c15:formulaRef>
                      </c:ext>
                    </c:extLst>
                    <c:numCache>
                      <c:formatCode>#,##0.00\ "€"</c:formatCode>
                      <c:ptCount val="10"/>
                      <c:pt idx="0">
                        <c:v>3295.85</c:v>
                      </c:pt>
                      <c:pt idx="1">
                        <c:v>2400.04</c:v>
                      </c:pt>
                      <c:pt idx="2">
                        <c:v>1947.34</c:v>
                      </c:pt>
                      <c:pt idx="3">
                        <c:v>1391.18</c:v>
                      </c:pt>
                      <c:pt idx="4">
                        <c:v>1162.67</c:v>
                      </c:pt>
                      <c:pt idx="5">
                        <c:v>1167.21</c:v>
                      </c:pt>
                      <c:pt idx="6">
                        <c:v>1246.3800000000001</c:v>
                      </c:pt>
                      <c:pt idx="7">
                        <c:v>1341.97</c:v>
                      </c:pt>
                      <c:pt idx="8">
                        <c:v>1058.49</c:v>
                      </c:pt>
                      <c:pt idx="9">
                        <c:v>3504.65</c:v>
                      </c:pt>
                    </c:numCache>
                  </c:numRef>
                </c:val>
                <c:extLst xmlns:c15="http://schemas.microsoft.com/office/drawing/2012/chart">
                  <c:ext xmlns:c16="http://schemas.microsoft.com/office/drawing/2014/chart" uri="{C3380CC4-5D6E-409C-BE32-E72D297353CC}">
                    <c16:uniqueId val="{00000008-0A04-4607-BAFE-8C8002BB7319}"/>
                  </c:ext>
                </c:extLst>
              </c15:ser>
            </c15:filteredBarSeries>
          </c:ext>
        </c:extLst>
      </c:barChart>
      <c:valAx>
        <c:axId val="1319480015"/>
        <c:scaling>
          <c:orientation val="minMax"/>
          <c:max val="20"/>
          <c:min val="0"/>
        </c:scaling>
        <c:delete val="1"/>
        <c:axPos val="t"/>
        <c:numFmt formatCode="#,##0.00\ &quot;€&quot;" sourceLinked="1"/>
        <c:majorTickMark val="out"/>
        <c:minorTickMark val="none"/>
        <c:tickLblPos val="nextTo"/>
        <c:crossAx val="891633855"/>
        <c:crosses val="autoZero"/>
        <c:crossBetween val="between"/>
        <c:majorUnit val="2"/>
      </c:valAx>
      <c:catAx>
        <c:axId val="891633855"/>
        <c:scaling>
          <c:orientation val="maxMin"/>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4825260812496481"/>
          <c:y val="3.8008150319151146E-3"/>
          <c:w val="0.17017432744235686"/>
          <c:h val="5.546408946742573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pt-PT" sz="700"/>
              <a:t>...por escalão de remuneração mensal base</a:t>
            </a:r>
            <a:r>
              <a:rPr lang="pt-PT" sz="700" baseline="0"/>
              <a:t> </a:t>
            </a:r>
            <a:r>
              <a:rPr lang="pt-PT" sz="700"/>
              <a:t>(%)</a:t>
            </a:r>
          </a:p>
        </c:rich>
      </c:tx>
      <c:layout>
        <c:manualLayout>
          <c:xMode val="edge"/>
          <c:yMode val="edge"/>
          <c:x val="0.24460062429221535"/>
          <c:y val="3.2610264249369317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endParaRPr lang="pt-PT"/>
        </a:p>
      </c:txPr>
    </c:title>
    <c:autoTitleDeleted val="0"/>
    <c:plotArea>
      <c:layout>
        <c:manualLayout>
          <c:layoutTarget val="inner"/>
          <c:xMode val="edge"/>
          <c:yMode val="edge"/>
          <c:x val="2.8038397288886921E-2"/>
          <c:y val="0.13305232558139532"/>
          <c:w val="0.74059544722107495"/>
          <c:h val="0.74988738326313853"/>
        </c:manualLayout>
      </c:layout>
      <c:barChart>
        <c:barDir val="col"/>
        <c:grouping val="stacked"/>
        <c:varyColors val="0"/>
        <c:ser>
          <c:idx val="0"/>
          <c:order val="0"/>
          <c:tx>
            <c:strRef>
              <c:f>q21_q32_Fig!$A$6</c:f>
              <c:strCache>
                <c:ptCount val="1"/>
                <c:pt idx="0">
                  <c:v>&lt; RMMG**</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elete val="1"/>
          </c:dLbls>
          <c:cat>
            <c:numRef>
              <c:f>q21_q32_Fig!$B$5:$L$5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q21_q32_Fig!$B$6:$L$6</c:f>
              <c:numCache>
                <c:formatCode>0.0%</c:formatCode>
                <c:ptCount val="11"/>
                <c:pt idx="0">
                  <c:v>7.5470347823245985E-3</c:v>
                </c:pt>
                <c:pt idx="1">
                  <c:v>5.8283457994476508E-3</c:v>
                </c:pt>
                <c:pt idx="2">
                  <c:v>5.3890411798856496E-3</c:v>
                </c:pt>
                <c:pt idx="3">
                  <c:v>5.3899189612480261E-3</c:v>
                </c:pt>
                <c:pt idx="4">
                  <c:v>4.6670768628066213E-3</c:v>
                </c:pt>
                <c:pt idx="5">
                  <c:v>4.9964164128292422E-3</c:v>
                </c:pt>
                <c:pt idx="6">
                  <c:v>4.6522416984656105E-3</c:v>
                </c:pt>
                <c:pt idx="7">
                  <c:v>5.0086476651304149E-3</c:v>
                </c:pt>
                <c:pt idx="8">
                  <c:v>4.7863844973833336E-3</c:v>
                </c:pt>
                <c:pt idx="9">
                  <c:v>4.5003242016534283E-3</c:v>
                </c:pt>
                <c:pt idx="10">
                  <c:v>3.8617246483820125E-3</c:v>
                </c:pt>
              </c:numCache>
            </c:numRef>
          </c:val>
          <c:extLst>
            <c:ext xmlns:c16="http://schemas.microsoft.com/office/drawing/2014/chart" uri="{C3380CC4-5D6E-409C-BE32-E72D297353CC}">
              <c16:uniqueId val="{00000000-8EB1-48C6-AC35-A358207DC3FF}"/>
            </c:ext>
          </c:extLst>
        </c:ser>
        <c:ser>
          <c:idx val="1"/>
          <c:order val="1"/>
          <c:tx>
            <c:strRef>
              <c:f>q21_q32_Fig!$A$7</c:f>
              <c:strCache>
                <c:ptCount val="1"/>
                <c:pt idx="0">
                  <c:v> = RMMG</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q21_q32_Fig!$B$5:$L$5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q21_q32_Fig!$B$7:$L$7</c:f>
              <c:numCache>
                <c:formatCode>0.0%</c:formatCode>
                <c:ptCount val="11"/>
                <c:pt idx="0">
                  <c:v>0.20369215067932647</c:v>
                </c:pt>
                <c:pt idx="1">
                  <c:v>0.18384224845075486</c:v>
                </c:pt>
                <c:pt idx="2">
                  <c:v>0.22109181370872022</c:v>
                </c:pt>
                <c:pt idx="3">
                  <c:v>0.22888510621531627</c:v>
                </c:pt>
                <c:pt idx="4">
                  <c:v>0.22317088266380225</c:v>
                </c:pt>
                <c:pt idx="5">
                  <c:v>0.20974556531087618</c:v>
                </c:pt>
                <c:pt idx="6">
                  <c:v>0.23879843890213009</c:v>
                </c:pt>
                <c:pt idx="7">
                  <c:v>0.23485068122516012</c:v>
                </c:pt>
                <c:pt idx="8">
                  <c:v>0.23346050170130656</c:v>
                </c:pt>
                <c:pt idx="9">
                  <c:v>0.20624493434916519</c:v>
                </c:pt>
                <c:pt idx="10">
                  <c:v>0.20405750343749737</c:v>
                </c:pt>
              </c:numCache>
            </c:numRef>
          </c:val>
          <c:extLst>
            <c:ext xmlns:c16="http://schemas.microsoft.com/office/drawing/2014/chart" uri="{C3380CC4-5D6E-409C-BE32-E72D297353CC}">
              <c16:uniqueId val="{00000001-8EB1-48C6-AC35-A358207DC3FF}"/>
            </c:ext>
          </c:extLst>
        </c:ser>
        <c:ser>
          <c:idx val="2"/>
          <c:order val="2"/>
          <c:tx>
            <c:strRef>
              <c:f>q21_q32_Fig!$A$8</c:f>
              <c:strCache>
                <c:ptCount val="1"/>
                <c:pt idx="0">
                  <c:v>&gt;RMMG e &lt;= 999,99 €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q21_q32_Fig!$B$5:$L$5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q21_q32_Fig!$B$8:$L$8</c:f>
              <c:numCache>
                <c:formatCode>0.0%</c:formatCode>
                <c:ptCount val="11"/>
                <c:pt idx="0">
                  <c:v>0.54175553996329417</c:v>
                </c:pt>
                <c:pt idx="1">
                  <c:v>0.5613940017005411</c:v>
                </c:pt>
                <c:pt idx="2">
                  <c:v>0.52377937535980879</c:v>
                </c:pt>
                <c:pt idx="3">
                  <c:v>0.50997986343912571</c:v>
                </c:pt>
                <c:pt idx="4">
                  <c:v>0.50294203130519</c:v>
                </c:pt>
                <c:pt idx="5">
                  <c:v>0.49900779430209641</c:v>
                </c:pt>
                <c:pt idx="6">
                  <c:v>0.44975874698144924</c:v>
                </c:pt>
                <c:pt idx="7">
                  <c:v>0.43323348150544805</c:v>
                </c:pt>
                <c:pt idx="8">
                  <c:v>0.40428893382685605</c:v>
                </c:pt>
                <c:pt idx="9">
                  <c:v>0.38834576106338142</c:v>
                </c:pt>
                <c:pt idx="10">
                  <c:v>0.33477056026320839</c:v>
                </c:pt>
              </c:numCache>
            </c:numRef>
          </c:val>
          <c:extLst>
            <c:ext xmlns:c16="http://schemas.microsoft.com/office/drawing/2014/chart" uri="{C3380CC4-5D6E-409C-BE32-E72D297353CC}">
              <c16:uniqueId val="{00000002-8EB1-48C6-AC35-A358207DC3FF}"/>
            </c:ext>
          </c:extLst>
        </c:ser>
        <c:ser>
          <c:idx val="4"/>
          <c:order val="3"/>
          <c:tx>
            <c:strRef>
              <c:f>q21_q32_Fig!$A$9</c:f>
              <c:strCache>
                <c:ptCount val="1"/>
                <c:pt idx="0">
                  <c:v>1 000,00 - 1 499,99  €</c:v>
                </c:pt>
              </c:strCache>
            </c:strRef>
          </c:tx>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q21_q32_Fig!$B$5:$L$5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q21_q32_Fig!$B$9:$L$9</c:f>
              <c:numCache>
                <c:formatCode>0.0%</c:formatCode>
                <c:ptCount val="11"/>
                <c:pt idx="0">
                  <c:v>0.13515638329373902</c:v>
                </c:pt>
                <c:pt idx="1">
                  <c:v>0.13673033065127307</c:v>
                </c:pt>
                <c:pt idx="2">
                  <c:v>0.13732516882726309</c:v>
                </c:pt>
                <c:pt idx="3">
                  <c:v>0.1414573466551404</c:v>
                </c:pt>
                <c:pt idx="4">
                  <c:v>0.14863141246975106</c:v>
                </c:pt>
                <c:pt idx="5">
                  <c:v>0.15694678373051424</c:v>
                </c:pt>
                <c:pt idx="6">
                  <c:v>0.16926526187573876</c:v>
                </c:pt>
                <c:pt idx="7">
                  <c:v>0.17971693097409155</c:v>
                </c:pt>
                <c:pt idx="8">
                  <c:v>0.19453183031966045</c:v>
                </c:pt>
                <c:pt idx="9">
                  <c:v>0.21866266817960772</c:v>
                </c:pt>
                <c:pt idx="10">
                  <c:v>0.24863228092261752</c:v>
                </c:pt>
              </c:numCache>
            </c:numRef>
          </c:val>
          <c:extLst>
            <c:ext xmlns:c16="http://schemas.microsoft.com/office/drawing/2014/chart" uri="{C3380CC4-5D6E-409C-BE32-E72D297353CC}">
              <c16:uniqueId val="{00000004-8EB1-48C6-AC35-A358207DC3FF}"/>
            </c:ext>
          </c:extLst>
        </c:ser>
        <c:ser>
          <c:idx val="5"/>
          <c:order val="4"/>
          <c:tx>
            <c:strRef>
              <c:f>q21_q32_Fig!$A$10</c:f>
              <c:strCache>
                <c:ptCount val="1"/>
                <c:pt idx="0">
                  <c:v>1 500,00 - 2 499,99  €</c:v>
                </c:pt>
              </c:strCache>
            </c:strRef>
          </c:tx>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q21_q32_Fig!$B$5:$L$5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q21_q32_Fig!$B$10:$L$10</c:f>
              <c:numCache>
                <c:formatCode>0.0%</c:formatCode>
                <c:ptCount val="11"/>
                <c:pt idx="0">
                  <c:v>7.6610207814419587E-2</c:v>
                </c:pt>
                <c:pt idx="1">
                  <c:v>7.6416368385605976E-2</c:v>
                </c:pt>
                <c:pt idx="2">
                  <c:v>7.5857299902526196E-2</c:v>
                </c:pt>
                <c:pt idx="3">
                  <c:v>7.7197654909160335E-2</c:v>
                </c:pt>
                <c:pt idx="4">
                  <c:v>8.1324936554869331E-2</c:v>
                </c:pt>
                <c:pt idx="5">
                  <c:v>8.6777011288299594E-2</c:v>
                </c:pt>
                <c:pt idx="6">
                  <c:v>9.2550406216296899E-2</c:v>
                </c:pt>
                <c:pt idx="7">
                  <c:v>9.8043982670133603E-2</c:v>
                </c:pt>
                <c:pt idx="8">
                  <c:v>0.10679828206968098</c:v>
                </c:pt>
                <c:pt idx="9">
                  <c:v>0.11902577403144755</c:v>
                </c:pt>
                <c:pt idx="10">
                  <c:v>0.13502074864245281</c:v>
                </c:pt>
              </c:numCache>
            </c:numRef>
          </c:val>
          <c:extLst>
            <c:ext xmlns:c16="http://schemas.microsoft.com/office/drawing/2014/chart" uri="{C3380CC4-5D6E-409C-BE32-E72D297353CC}">
              <c16:uniqueId val="{00000005-8EB1-48C6-AC35-A358207DC3FF}"/>
            </c:ext>
          </c:extLst>
        </c:ser>
        <c:ser>
          <c:idx val="6"/>
          <c:order val="5"/>
          <c:tx>
            <c:strRef>
              <c:f>q21_q32_Fig!$A$11</c:f>
              <c:strCache>
                <c:ptCount val="1"/>
                <c:pt idx="0">
                  <c:v>2 500,00 - 3 749,99  €</c:v>
                </c:pt>
              </c:strCache>
            </c:strRef>
          </c:tx>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q21_q32_Fig!$B$5:$L$5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q21_q32_Fig!$B$11:$L$11</c:f>
              <c:numCache>
                <c:formatCode>0.0%</c:formatCode>
                <c:ptCount val="11"/>
                <c:pt idx="0">
                  <c:v>2.339357788982771E-2</c:v>
                </c:pt>
                <c:pt idx="1">
                  <c:v>2.3905006752443711E-2</c:v>
                </c:pt>
                <c:pt idx="2">
                  <c:v>2.4396190394620498E-2</c:v>
                </c:pt>
                <c:pt idx="3">
                  <c:v>2.4870739977569757E-2</c:v>
                </c:pt>
                <c:pt idx="4">
                  <c:v>2.6643100792627713E-2</c:v>
                </c:pt>
                <c:pt idx="5">
                  <c:v>2.8876545421967388E-2</c:v>
                </c:pt>
                <c:pt idx="6">
                  <c:v>3.0903582891505917E-2</c:v>
                </c:pt>
                <c:pt idx="7">
                  <c:v>3.3638190415860442E-2</c:v>
                </c:pt>
                <c:pt idx="8">
                  <c:v>3.7576464102116271E-2</c:v>
                </c:pt>
                <c:pt idx="9">
                  <c:v>4.157278327119468E-2</c:v>
                </c:pt>
                <c:pt idx="10">
                  <c:v>4.7016028889737209E-2</c:v>
                </c:pt>
              </c:numCache>
            </c:numRef>
          </c:val>
          <c:extLst>
            <c:ext xmlns:c16="http://schemas.microsoft.com/office/drawing/2014/chart" uri="{C3380CC4-5D6E-409C-BE32-E72D297353CC}">
              <c16:uniqueId val="{00000006-8EB1-48C6-AC35-A358207DC3FF}"/>
            </c:ext>
          </c:extLst>
        </c:ser>
        <c:ser>
          <c:idx val="7"/>
          <c:order val="6"/>
          <c:tx>
            <c:strRef>
              <c:f>q21_q32_Fig!$A$12</c:f>
              <c:strCache>
                <c:ptCount val="1"/>
                <c:pt idx="0">
                  <c:v>3 750,00 - 4 999,99 €</c:v>
                </c:pt>
              </c:strCache>
            </c:strRef>
          </c:tx>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elete val="1"/>
          </c:dLbls>
          <c:cat>
            <c:numRef>
              <c:f>q21_q32_Fig!$B$5:$L$5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q21_q32_Fig!$B$12:$L$12</c:f>
              <c:numCache>
                <c:formatCode>0.0%</c:formatCode>
                <c:ptCount val="11"/>
                <c:pt idx="0">
                  <c:v>6.3013825080757372E-3</c:v>
                </c:pt>
                <c:pt idx="1">
                  <c:v>6.294412572552986E-3</c:v>
                </c:pt>
                <c:pt idx="2">
                  <c:v>6.5929862655852252E-3</c:v>
                </c:pt>
                <c:pt idx="3">
                  <c:v>6.6052422602292842E-3</c:v>
                </c:pt>
                <c:pt idx="4">
                  <c:v>6.8258209552794014E-3</c:v>
                </c:pt>
                <c:pt idx="5">
                  <c:v>7.3396344741085825E-3</c:v>
                </c:pt>
                <c:pt idx="6">
                  <c:v>7.7306320635011586E-3</c:v>
                </c:pt>
                <c:pt idx="7">
                  <c:v>8.580410561875567E-3</c:v>
                </c:pt>
                <c:pt idx="8">
                  <c:v>1.0213310382704541E-2</c:v>
                </c:pt>
                <c:pt idx="9">
                  <c:v>1.179202463932566E-2</c:v>
                </c:pt>
                <c:pt idx="10">
                  <c:v>1.4989363403806518E-2</c:v>
                </c:pt>
              </c:numCache>
            </c:numRef>
          </c:val>
          <c:extLst>
            <c:ext xmlns:c16="http://schemas.microsoft.com/office/drawing/2014/chart" uri="{C3380CC4-5D6E-409C-BE32-E72D297353CC}">
              <c16:uniqueId val="{00000007-8EB1-48C6-AC35-A358207DC3FF}"/>
            </c:ext>
          </c:extLst>
        </c:ser>
        <c:ser>
          <c:idx val="8"/>
          <c:order val="7"/>
          <c:tx>
            <c:strRef>
              <c:f>q21_q32_Fig!$A$13</c:f>
              <c:strCache>
                <c:ptCount val="1"/>
                <c:pt idx="0">
                  <c:v>5 000,00 e +  Euros</c:v>
                </c:pt>
              </c:strCache>
            </c:strRef>
          </c:tx>
          <c:spPr>
            <a:gradFill rotWithShape="1">
              <a:gsLst>
                <a:gs pos="0">
                  <a:schemeClr val="accent5">
                    <a:lumMod val="80000"/>
                    <a:lumOff val="20000"/>
                    <a:shade val="51000"/>
                    <a:satMod val="130000"/>
                  </a:schemeClr>
                </a:gs>
                <a:gs pos="80000">
                  <a:schemeClr val="accent5">
                    <a:lumMod val="80000"/>
                    <a:lumOff val="20000"/>
                    <a:shade val="93000"/>
                    <a:satMod val="130000"/>
                  </a:schemeClr>
                </a:gs>
                <a:gs pos="100000">
                  <a:schemeClr val="accent5">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elete val="1"/>
          </c:dLbls>
          <c:cat>
            <c:numRef>
              <c:f>q21_q32_Fig!$B$5:$L$5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q21_q32_Fig!$B$13:$L$13</c:f>
              <c:numCache>
                <c:formatCode>0.0%</c:formatCode>
                <c:ptCount val="11"/>
                <c:pt idx="0">
                  <c:v>5.5437230689926445E-3</c:v>
                </c:pt>
                <c:pt idx="1">
                  <c:v>5.58928568738069E-3</c:v>
                </c:pt>
                <c:pt idx="2">
                  <c:v>5.5681243615903556E-3</c:v>
                </c:pt>
                <c:pt idx="3">
                  <c:v>5.6141275822102184E-3</c:v>
                </c:pt>
                <c:pt idx="4">
                  <c:v>5.7947383956736247E-3</c:v>
                </c:pt>
                <c:pt idx="5">
                  <c:v>6.3102490593083677E-3</c:v>
                </c:pt>
                <c:pt idx="6">
                  <c:v>6.340689370912307E-3</c:v>
                </c:pt>
                <c:pt idx="7">
                  <c:v>6.9276749823002333E-3</c:v>
                </c:pt>
                <c:pt idx="8">
                  <c:v>8.3442931002918625E-3</c:v>
                </c:pt>
                <c:pt idx="9">
                  <c:v>9.8557302642243473E-3</c:v>
                </c:pt>
                <c:pt idx="10">
                  <c:v>1.1651789792298171E-2</c:v>
                </c:pt>
              </c:numCache>
            </c:numRef>
          </c:val>
          <c:extLst>
            <c:ext xmlns:c16="http://schemas.microsoft.com/office/drawing/2014/chart" uri="{C3380CC4-5D6E-409C-BE32-E72D297353CC}">
              <c16:uniqueId val="{00000008-8EB1-48C6-AC35-A358207DC3FF}"/>
            </c:ext>
          </c:extLst>
        </c:ser>
        <c:dLbls>
          <c:dLblPos val="ctr"/>
          <c:showLegendKey val="0"/>
          <c:showVal val="1"/>
          <c:showCatName val="0"/>
          <c:showSerName val="0"/>
          <c:showPercent val="0"/>
          <c:showBubbleSize val="0"/>
        </c:dLbls>
        <c:gapWidth val="20"/>
        <c:overlap val="100"/>
        <c:axId val="1253721152"/>
        <c:axId val="1452306752"/>
      </c:barChart>
      <c:catAx>
        <c:axId val="12537211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1F497D"/>
                </a:solidFill>
                <a:latin typeface="+mn-lt"/>
                <a:ea typeface="+mn-ea"/>
                <a:cs typeface="+mn-cs"/>
              </a:defRPr>
            </a:pPr>
            <a:endParaRPr lang="pt-PT"/>
          </a:p>
        </c:txPr>
        <c:crossAx val="1452306752"/>
        <c:crosses val="autoZero"/>
        <c:auto val="1"/>
        <c:lblAlgn val="ctr"/>
        <c:lblOffset val="100"/>
        <c:noMultiLvlLbl val="0"/>
      </c:catAx>
      <c:valAx>
        <c:axId val="1452306752"/>
        <c:scaling>
          <c:orientation val="minMax"/>
          <c:max val="1"/>
          <c:min val="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253721152"/>
        <c:crosses val="autoZero"/>
        <c:crossBetween val="between"/>
        <c:majorUnit val="0.1"/>
        <c:minorUnit val="5.0000000000000012E-4"/>
      </c:valAx>
      <c:spPr>
        <a:noFill/>
        <a:ln>
          <a:noFill/>
        </a:ln>
        <a:effectLst/>
      </c:spPr>
    </c:plotArea>
    <c:legend>
      <c:legendPos val="r"/>
      <c:layout>
        <c:manualLayout>
          <c:xMode val="edge"/>
          <c:yMode val="edge"/>
          <c:x val="0.81165842097773233"/>
          <c:y val="8.6394371814666263E-2"/>
          <c:w val="0.18834138026711106"/>
          <c:h val="0.85906990481946943"/>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8909629306003075"/>
          <c:h val="0.61909228840533581"/>
        </c:manualLayout>
      </c:layout>
      <c:barChart>
        <c:barDir val="col"/>
        <c:grouping val="clustered"/>
        <c:varyColors val="0"/>
        <c:ser>
          <c:idx val="0"/>
          <c:order val="0"/>
          <c:tx>
            <c:strRef>
              <c:f>q4_8_12_16_25_37_Fig!$R$72</c:f>
              <c:strCache>
                <c:ptCount val="1"/>
                <c:pt idx="0">
                  <c:v>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chemeClr val="accent1">
                  <a:shade val="76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A49C-4FCD-A897-DC1A25A30720}"/>
              </c:ext>
            </c:extLst>
          </c:dPt>
          <c:dLbls>
            <c:dLbl>
              <c:idx val="0"/>
              <c:layout>
                <c:manualLayout>
                  <c:x val="5.4788924690077005E-2"/>
                  <c:y val="-8.2851332325181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9C-4FCD-A897-DC1A25A30720}"/>
                </c:ext>
              </c:extLst>
            </c:dLbl>
            <c:dLbl>
              <c:idx val="10"/>
              <c:layout>
                <c:manualLayout>
                  <c:x val="-0.12032991129904101"/>
                  <c:y val="-4.8872433992108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9C-4FCD-A897-DC1A25A30720}"/>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9C-4FCD-A897-DC1A25A30720}"/>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q4_8_12_16_25_37_Fig!$S$71:$AC$71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q4_8_12_16_25_37_Fig!$S$72:$AC$72</c:f>
              <c:numCache>
                <c:formatCode>#,##0.00</c:formatCode>
                <c:ptCount val="11"/>
                <c:pt idx="0">
                  <c:v>1174.23</c:v>
                </c:pt>
                <c:pt idx="1">
                  <c:v>1175.57</c:v>
                </c:pt>
                <c:pt idx="2">
                  <c:v>1179.78</c:v>
                </c:pt>
                <c:pt idx="3">
                  <c:v>1197.4000000000001</c:v>
                </c:pt>
                <c:pt idx="4">
                  <c:v>1219.74</c:v>
                </c:pt>
                <c:pt idx="5">
                  <c:v>1255.78</c:v>
                </c:pt>
                <c:pt idx="6">
                  <c:v>1293.07</c:v>
                </c:pt>
                <c:pt idx="7">
                  <c:v>1339.8</c:v>
                </c:pt>
                <c:pt idx="8">
                  <c:v>1418.39</c:v>
                </c:pt>
                <c:pt idx="9">
                  <c:v>1505.99</c:v>
                </c:pt>
                <c:pt idx="10">
                  <c:v>1600.02</c:v>
                </c:pt>
              </c:numCache>
            </c:numRef>
          </c:val>
          <c:extLst>
            <c:ext xmlns:c16="http://schemas.microsoft.com/office/drawing/2014/chart" uri="{C3380CC4-5D6E-409C-BE32-E72D297353CC}">
              <c16:uniqueId val="{00000004-A49C-4FCD-A897-DC1A25A30720}"/>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q4_8_12_16_25_37_Fig!$R$73</c:f>
              <c:strCache>
                <c:ptCount val="1"/>
                <c:pt idx="0">
                  <c:v>Ganho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5-A49C-4FCD-A897-DC1A25A30720}"/>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6-A49C-4FCD-A897-DC1A25A30720}"/>
              </c:ext>
            </c:extLst>
          </c:dPt>
          <c:dLbls>
            <c:dLbl>
              <c:idx val="0"/>
              <c:layout>
                <c:manualLayout>
                  <c:x val="2.2241993710124357E-2"/>
                  <c:y val="-0.120134169866146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9C-4FCD-A897-DC1A25A30720}"/>
                </c:ext>
              </c:extLst>
            </c:dLbl>
            <c:dLbl>
              <c:idx val="10"/>
              <c:layout>
                <c:manualLayout>
                  <c:x val="-0.22687549822754238"/>
                  <c:y val="-7.9306513723648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9C-4FCD-A897-DC1A25A30720}"/>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9C-4FCD-A897-DC1A25A30720}"/>
                </c:ext>
              </c:extLst>
            </c:dLbl>
            <c:numFmt formatCode="#,##0.00\ &quot;€&quot;"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q4_8_12_16_25_37_Fig!$S$71:$AC$71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q4_8_12_16_25_37_Fig!$S$73:$AC$73</c:f>
              <c:numCache>
                <c:formatCode>#,##0.00</c:formatCode>
                <c:ptCount val="11"/>
                <c:pt idx="0">
                  <c:v>1421.25</c:v>
                </c:pt>
                <c:pt idx="1">
                  <c:v>1420.24</c:v>
                </c:pt>
                <c:pt idx="2">
                  <c:v>1424.28</c:v>
                </c:pt>
                <c:pt idx="3">
                  <c:v>1447.51</c:v>
                </c:pt>
                <c:pt idx="4">
                  <c:v>1480.76</c:v>
                </c:pt>
                <c:pt idx="5">
                  <c:v>1518.6</c:v>
                </c:pt>
                <c:pt idx="6">
                  <c:v>1558.34</c:v>
                </c:pt>
                <c:pt idx="7">
                  <c:v>1609.14</c:v>
                </c:pt>
                <c:pt idx="8">
                  <c:v>1705.14</c:v>
                </c:pt>
                <c:pt idx="9">
                  <c:v>1817.17</c:v>
                </c:pt>
                <c:pt idx="10">
                  <c:v>1935.68</c:v>
                </c:pt>
              </c:numCache>
            </c:numRef>
          </c:val>
          <c:smooth val="0"/>
          <c:extLst>
            <c:ext xmlns:c16="http://schemas.microsoft.com/office/drawing/2014/chart" uri="{C3380CC4-5D6E-409C-BE32-E72D297353CC}">
              <c16:uniqueId val="{00000008-A49C-4FCD-A897-DC1A25A30720}"/>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2000"/>
          <c:min val="0"/>
        </c:scaling>
        <c:delete val="0"/>
        <c:axPos val="l"/>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88112118055555555"/>
          <c:w val="0.49070486111111111"/>
          <c:h val="8.360104166666665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pt-PT" sz="700"/>
              <a:t>...por escalão de remuneração mensal ganho</a:t>
            </a:r>
            <a:r>
              <a:rPr lang="pt-PT" sz="700" baseline="0"/>
              <a:t> </a:t>
            </a:r>
            <a:r>
              <a:rPr lang="pt-PT" sz="700"/>
              <a:t>(%)</a:t>
            </a:r>
          </a:p>
        </c:rich>
      </c:tx>
      <c:layout>
        <c:manualLayout>
          <c:xMode val="edge"/>
          <c:yMode val="edge"/>
          <c:x val="0.31378080738981168"/>
          <c:y val="4.1862217730566899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endParaRPr lang="pt-PT"/>
        </a:p>
      </c:txPr>
    </c:title>
    <c:autoTitleDeleted val="0"/>
    <c:plotArea>
      <c:layout>
        <c:manualLayout>
          <c:layoutTarget val="inner"/>
          <c:xMode val="edge"/>
          <c:yMode val="edge"/>
          <c:x val="2.8038397288886921E-2"/>
          <c:y val="0.13305232558139532"/>
          <c:w val="0.76942714940518253"/>
          <c:h val="0.74988738326313853"/>
        </c:manualLayout>
      </c:layout>
      <c:barChart>
        <c:barDir val="col"/>
        <c:grouping val="stacked"/>
        <c:varyColors val="0"/>
        <c:ser>
          <c:idx val="0"/>
          <c:order val="0"/>
          <c:tx>
            <c:strRef>
              <c:f>q21_q32_Fig!$A$21</c:f>
              <c:strCache>
                <c:ptCount val="1"/>
                <c:pt idx="0">
                  <c:v>&lt; RMMG**</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q21_q32_Fig!$B$20:$L$20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q21_q32_Fig!$B$21:$L$21</c:f>
              <c:numCache>
                <c:formatCode>0.0%</c:formatCode>
                <c:ptCount val="11"/>
                <c:pt idx="0">
                  <c:v>2.7480064118420976E-3</c:v>
                </c:pt>
                <c:pt idx="1">
                  <c:v>2.4257570195029862E-3</c:v>
                </c:pt>
                <c:pt idx="2">
                  <c:v>2.4886722587985563E-3</c:v>
                </c:pt>
                <c:pt idx="3">
                  <c:v>2.1126268385224184E-3</c:v>
                </c:pt>
                <c:pt idx="4">
                  <c:v>1.7647200184633606E-3</c:v>
                </c:pt>
                <c:pt idx="5">
                  <c:v>1.8872065938003943E-3</c:v>
                </c:pt>
                <c:pt idx="6">
                  <c:v>1.6981513947021373E-3</c:v>
                </c:pt>
                <c:pt idx="7">
                  <c:v>1.7358949447285597E-3</c:v>
                </c:pt>
                <c:pt idx="8">
                  <c:v>1.761278389303548E-3</c:v>
                </c:pt>
                <c:pt idx="9">
                  <c:v>1.5618414653914734E-3</c:v>
                </c:pt>
                <c:pt idx="10">
                  <c:v>1.2337893128236304E-3</c:v>
                </c:pt>
              </c:numCache>
            </c:numRef>
          </c:val>
          <c:extLst>
            <c:ext xmlns:c16="http://schemas.microsoft.com/office/drawing/2014/chart" uri="{C3380CC4-5D6E-409C-BE32-E72D297353CC}">
              <c16:uniqueId val="{00000000-8338-4B33-9382-8B5E19BF3BEE}"/>
            </c:ext>
          </c:extLst>
        </c:ser>
        <c:ser>
          <c:idx val="1"/>
          <c:order val="1"/>
          <c:tx>
            <c:strRef>
              <c:f>q21_q32_Fig!$A$22</c:f>
              <c:strCache>
                <c:ptCount val="1"/>
                <c:pt idx="0">
                  <c:v> = RMMG</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q21_q32_Fig!$B$20:$L$20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q21_q32_Fig!$B$22:$L$22</c:f>
              <c:numCache>
                <c:formatCode>0.0%</c:formatCode>
                <c:ptCount val="11"/>
                <c:pt idx="0">
                  <c:v>4.9883135828475443E-2</c:v>
                </c:pt>
                <c:pt idx="1">
                  <c:v>4.7405720668303591E-2</c:v>
                </c:pt>
                <c:pt idx="2">
                  <c:v>5.4094800212758608E-2</c:v>
                </c:pt>
                <c:pt idx="3">
                  <c:v>5.3383697406544174E-2</c:v>
                </c:pt>
                <c:pt idx="4">
                  <c:v>5.2246503999865787E-2</c:v>
                </c:pt>
                <c:pt idx="5">
                  <c:v>4.8300483784268052E-2</c:v>
                </c:pt>
                <c:pt idx="6">
                  <c:v>4.9281970761298595E-2</c:v>
                </c:pt>
                <c:pt idx="7">
                  <c:v>4.6096644814990859E-2</c:v>
                </c:pt>
                <c:pt idx="8">
                  <c:v>4.5002451480673285E-2</c:v>
                </c:pt>
                <c:pt idx="9">
                  <c:v>4.1181715026746633E-2</c:v>
                </c:pt>
                <c:pt idx="10">
                  <c:v>4.006923261336362E-2</c:v>
                </c:pt>
              </c:numCache>
            </c:numRef>
          </c:val>
          <c:extLst>
            <c:ext xmlns:c16="http://schemas.microsoft.com/office/drawing/2014/chart" uri="{C3380CC4-5D6E-409C-BE32-E72D297353CC}">
              <c16:uniqueId val="{00000001-8338-4B33-9382-8B5E19BF3BEE}"/>
            </c:ext>
          </c:extLst>
        </c:ser>
        <c:ser>
          <c:idx val="2"/>
          <c:order val="2"/>
          <c:tx>
            <c:strRef>
              <c:f>q21_q32_Fig!$A$23</c:f>
              <c:strCache>
                <c:ptCount val="1"/>
                <c:pt idx="0">
                  <c:v>&gt;RMMG e &lt;= 999,99 €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q21_q32_Fig!$B$20:$L$20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q21_q32_Fig!$B$23:$L$23</c:f>
              <c:numCache>
                <c:formatCode>0.0%</c:formatCode>
                <c:ptCount val="11"/>
                <c:pt idx="0">
                  <c:v>0.6144576563794043</c:v>
                </c:pt>
                <c:pt idx="1">
                  <c:v>0.61444575972148496</c:v>
                </c:pt>
                <c:pt idx="2">
                  <c:v>0.60386167576114003</c:v>
                </c:pt>
                <c:pt idx="3">
                  <c:v>0.59158476563397799</c:v>
                </c:pt>
                <c:pt idx="4">
                  <c:v>0.56911857857515635</c:v>
                </c:pt>
                <c:pt idx="5">
                  <c:v>0.54308860419279703</c:v>
                </c:pt>
                <c:pt idx="6">
                  <c:v>0.5133172035905621</c:v>
                </c:pt>
                <c:pt idx="7">
                  <c:v>0.48613783369399355</c:v>
                </c:pt>
                <c:pt idx="8">
                  <c:v>0.43309814550221687</c:v>
                </c:pt>
                <c:pt idx="9">
                  <c:v>0.34796685038093694</c:v>
                </c:pt>
                <c:pt idx="10">
                  <c:v>0.23146214604347742</c:v>
                </c:pt>
              </c:numCache>
            </c:numRef>
          </c:val>
          <c:extLst>
            <c:ext xmlns:c16="http://schemas.microsoft.com/office/drawing/2014/chart" uri="{C3380CC4-5D6E-409C-BE32-E72D297353CC}">
              <c16:uniqueId val="{00000002-8338-4B33-9382-8B5E19BF3BEE}"/>
            </c:ext>
          </c:extLst>
        </c:ser>
        <c:ser>
          <c:idx val="4"/>
          <c:order val="3"/>
          <c:tx>
            <c:strRef>
              <c:f>q21_q32_Fig!$A$24</c:f>
              <c:strCache>
                <c:ptCount val="1"/>
                <c:pt idx="0">
                  <c:v>1 000,00 - 1 499,99  €</c:v>
                </c:pt>
              </c:strCache>
            </c:strRef>
          </c:tx>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q21_q32_Fig!$B$20:$L$20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q21_q32_Fig!$B$24:$L$24</c:f>
              <c:numCache>
                <c:formatCode>0.0%</c:formatCode>
                <c:ptCount val="11"/>
                <c:pt idx="0">
                  <c:v>0.16805000448580024</c:v>
                </c:pt>
                <c:pt idx="1">
                  <c:v>0.17108266608274392</c:v>
                </c:pt>
                <c:pt idx="2">
                  <c:v>0.17426058841477807</c:v>
                </c:pt>
                <c:pt idx="3">
                  <c:v>0.18309823480271284</c:v>
                </c:pt>
                <c:pt idx="4">
                  <c:v>0.19677308339480987</c:v>
                </c:pt>
                <c:pt idx="5">
                  <c:v>0.21366197814011825</c:v>
                </c:pt>
                <c:pt idx="6">
                  <c:v>0.22926383866314129</c:v>
                </c:pt>
                <c:pt idx="7">
                  <c:v>0.24640756086765664</c:v>
                </c:pt>
                <c:pt idx="8">
                  <c:v>0.27650387291860873</c:v>
                </c:pt>
                <c:pt idx="9">
                  <c:v>0.33085021883611604</c:v>
                </c:pt>
                <c:pt idx="10">
                  <c:v>0.40596016372340304</c:v>
                </c:pt>
              </c:numCache>
            </c:numRef>
          </c:val>
          <c:extLst>
            <c:ext xmlns:c16="http://schemas.microsoft.com/office/drawing/2014/chart" uri="{C3380CC4-5D6E-409C-BE32-E72D297353CC}">
              <c16:uniqueId val="{00000004-8338-4B33-9382-8B5E19BF3BEE}"/>
            </c:ext>
          </c:extLst>
        </c:ser>
        <c:ser>
          <c:idx val="5"/>
          <c:order val="4"/>
          <c:tx>
            <c:strRef>
              <c:f>q21_q32_Fig!$A$25</c:f>
              <c:strCache>
                <c:ptCount val="1"/>
                <c:pt idx="0">
                  <c:v>1 500,00 - 2 499,99  €</c:v>
                </c:pt>
              </c:strCache>
            </c:strRef>
          </c:tx>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q21_q32_Fig!$B$20:$L$20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q21_q32_Fig!$B$25:$L$25</c:f>
              <c:numCache>
                <c:formatCode>0.0%</c:formatCode>
                <c:ptCount val="11"/>
                <c:pt idx="0">
                  <c:v>0.10662150788230297</c:v>
                </c:pt>
                <c:pt idx="1">
                  <c:v>0.10646562179987153</c:v>
                </c:pt>
                <c:pt idx="2">
                  <c:v>0.10664549462239484</c:v>
                </c:pt>
                <c:pt idx="3">
                  <c:v>0.11032658940694005</c:v>
                </c:pt>
                <c:pt idx="4">
                  <c:v>0.11769757541434873</c:v>
                </c:pt>
                <c:pt idx="5">
                  <c:v>0.12736964701666367</c:v>
                </c:pt>
                <c:pt idx="6">
                  <c:v>0.13675455774592699</c:v>
                </c:pt>
                <c:pt idx="7">
                  <c:v>0.14504629204660197</c:v>
                </c:pt>
                <c:pt idx="8">
                  <c:v>0.15884584710756844</c:v>
                </c:pt>
                <c:pt idx="9">
                  <c:v>0.18160196142000323</c:v>
                </c:pt>
                <c:pt idx="10">
                  <c:v>0.20814620064294265</c:v>
                </c:pt>
              </c:numCache>
            </c:numRef>
          </c:val>
          <c:extLst>
            <c:ext xmlns:c16="http://schemas.microsoft.com/office/drawing/2014/chart" uri="{C3380CC4-5D6E-409C-BE32-E72D297353CC}">
              <c16:uniqueId val="{00000005-8338-4B33-9382-8B5E19BF3BEE}"/>
            </c:ext>
          </c:extLst>
        </c:ser>
        <c:ser>
          <c:idx val="6"/>
          <c:order val="5"/>
          <c:tx>
            <c:strRef>
              <c:f>q21_q32_Fig!$A$26</c:f>
              <c:strCache>
                <c:ptCount val="1"/>
                <c:pt idx="0">
                  <c:v>2 500,00 - 3 749,99  €</c:v>
                </c:pt>
              </c:strCache>
            </c:strRef>
          </c:tx>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338-4B33-9382-8B5E19BF3BEE}"/>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q21_q32_Fig!$B$20:$L$20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q21_q32_Fig!$B$26:$L$26</c:f>
              <c:numCache>
                <c:formatCode>0.0%</c:formatCode>
                <c:ptCount val="11"/>
                <c:pt idx="0">
                  <c:v>3.8366297482714112E-2</c:v>
                </c:pt>
                <c:pt idx="1">
                  <c:v>3.8309885185856679E-2</c:v>
                </c:pt>
                <c:pt idx="2">
                  <c:v>3.8479525390637356E-2</c:v>
                </c:pt>
                <c:pt idx="3">
                  <c:v>3.9048886391427916E-2</c:v>
                </c:pt>
                <c:pt idx="4">
                  <c:v>4.0913210869986109E-2</c:v>
                </c:pt>
                <c:pt idx="5">
                  <c:v>4.3067998566565131E-2</c:v>
                </c:pt>
                <c:pt idx="6">
                  <c:v>4.6109315665781622E-2</c:v>
                </c:pt>
                <c:pt idx="7">
                  <c:v>4.8960871473792987E-2</c:v>
                </c:pt>
                <c:pt idx="8">
                  <c:v>5.5147583345082206E-2</c:v>
                </c:pt>
                <c:pt idx="9">
                  <c:v>6.1939131139568809E-2</c:v>
                </c:pt>
                <c:pt idx="10">
                  <c:v>7.0512275864599905E-2</c:v>
                </c:pt>
              </c:numCache>
            </c:numRef>
          </c:val>
          <c:extLst>
            <c:ext xmlns:c16="http://schemas.microsoft.com/office/drawing/2014/chart" uri="{C3380CC4-5D6E-409C-BE32-E72D297353CC}">
              <c16:uniqueId val="{00000007-8338-4B33-9382-8B5E19BF3BEE}"/>
            </c:ext>
          </c:extLst>
        </c:ser>
        <c:ser>
          <c:idx val="7"/>
          <c:order val="6"/>
          <c:tx>
            <c:strRef>
              <c:f>q21_q32_Fig!$A$27</c:f>
              <c:strCache>
                <c:ptCount val="1"/>
                <c:pt idx="0">
                  <c:v>3 750,00 - 4 999,99 €</c:v>
                </c:pt>
              </c:strCache>
            </c:strRef>
          </c:tx>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q21_q32_Fig!$B$20:$L$20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q21_q32_Fig!$B$27:$L$27</c:f>
              <c:numCache>
                <c:formatCode>0.0%</c:formatCode>
                <c:ptCount val="11"/>
                <c:pt idx="0">
                  <c:v>1.1010694873793437E-2</c:v>
                </c:pt>
                <c:pt idx="1">
                  <c:v>1.1017356467254038E-2</c:v>
                </c:pt>
                <c:pt idx="2">
                  <c:v>1.1287106838203699E-2</c:v>
                </c:pt>
                <c:pt idx="3">
                  <c:v>1.1404151049066509E-2</c:v>
                </c:pt>
                <c:pt idx="4">
                  <c:v>1.1988941934272794E-2</c:v>
                </c:pt>
                <c:pt idx="5">
                  <c:v>1.2757122379501881E-2</c:v>
                </c:pt>
                <c:pt idx="6">
                  <c:v>1.3377274252143367E-2</c:v>
                </c:pt>
                <c:pt idx="7">
                  <c:v>1.4589697145407103E-2</c:v>
                </c:pt>
                <c:pt idx="8">
                  <c:v>1.6623774522697764E-2</c:v>
                </c:pt>
                <c:pt idx="9">
                  <c:v>1.9549359701734478E-2</c:v>
                </c:pt>
                <c:pt idx="10">
                  <c:v>2.3664182733252197E-2</c:v>
                </c:pt>
              </c:numCache>
            </c:numRef>
          </c:val>
          <c:extLst>
            <c:ext xmlns:c16="http://schemas.microsoft.com/office/drawing/2014/chart" uri="{C3380CC4-5D6E-409C-BE32-E72D297353CC}">
              <c16:uniqueId val="{00000008-8338-4B33-9382-8B5E19BF3BEE}"/>
            </c:ext>
          </c:extLst>
        </c:ser>
        <c:ser>
          <c:idx val="8"/>
          <c:order val="7"/>
          <c:tx>
            <c:strRef>
              <c:f>q21_q32_Fig!$A$28</c:f>
              <c:strCache>
                <c:ptCount val="1"/>
                <c:pt idx="0">
                  <c:v>5 000,00 e +  Euros</c:v>
                </c:pt>
              </c:strCache>
            </c:strRef>
          </c:tx>
          <c:spPr>
            <a:gradFill rotWithShape="1">
              <a:gsLst>
                <a:gs pos="0">
                  <a:schemeClr val="accent5">
                    <a:lumMod val="80000"/>
                    <a:lumOff val="20000"/>
                    <a:shade val="51000"/>
                    <a:satMod val="130000"/>
                  </a:schemeClr>
                </a:gs>
                <a:gs pos="80000">
                  <a:schemeClr val="accent5">
                    <a:lumMod val="80000"/>
                    <a:lumOff val="20000"/>
                    <a:shade val="93000"/>
                    <a:satMod val="130000"/>
                  </a:schemeClr>
                </a:gs>
                <a:gs pos="100000">
                  <a:schemeClr val="accent5">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q21_q32_Fig!$B$20:$L$20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q21_q32_Fig!$B$28:$L$28</c:f>
              <c:numCache>
                <c:formatCode>0.0%</c:formatCode>
                <c:ptCount val="11"/>
                <c:pt idx="0">
                  <c:v>8.8626966556673813E-3</c:v>
                </c:pt>
                <c:pt idx="1">
                  <c:v>8.8472330549823185E-3</c:v>
                </c:pt>
                <c:pt idx="2">
                  <c:v>8.8821365012888634E-3</c:v>
                </c:pt>
                <c:pt idx="3">
                  <c:v>9.0410484708080847E-3</c:v>
                </c:pt>
                <c:pt idx="4">
                  <c:v>9.497385793097007E-3</c:v>
                </c:pt>
                <c:pt idx="5">
                  <c:v>9.8669593262856112E-3</c:v>
                </c:pt>
                <c:pt idx="6">
                  <c:v>1.0197687926443938E-2</c:v>
                </c:pt>
                <c:pt idx="7">
                  <c:v>1.1025205012828354E-2</c:v>
                </c:pt>
                <c:pt idx="8">
                  <c:v>1.3017046733849161E-2</c:v>
                </c:pt>
                <c:pt idx="9">
                  <c:v>1.5348922029502351E-2</c:v>
                </c:pt>
                <c:pt idx="10">
                  <c:v>1.895200906613757E-2</c:v>
                </c:pt>
              </c:numCache>
            </c:numRef>
          </c:val>
          <c:extLst>
            <c:ext xmlns:c16="http://schemas.microsoft.com/office/drawing/2014/chart" uri="{C3380CC4-5D6E-409C-BE32-E72D297353CC}">
              <c16:uniqueId val="{00000009-8338-4B33-9382-8B5E19BF3BEE}"/>
            </c:ext>
          </c:extLst>
        </c:ser>
        <c:dLbls>
          <c:showLegendKey val="0"/>
          <c:showVal val="0"/>
          <c:showCatName val="0"/>
          <c:showSerName val="0"/>
          <c:showPercent val="0"/>
          <c:showBubbleSize val="0"/>
        </c:dLbls>
        <c:gapWidth val="20"/>
        <c:overlap val="100"/>
        <c:axId val="1253721152"/>
        <c:axId val="1452306752"/>
      </c:barChart>
      <c:catAx>
        <c:axId val="12537211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452306752"/>
        <c:crosses val="autoZero"/>
        <c:auto val="1"/>
        <c:lblAlgn val="ctr"/>
        <c:lblOffset val="100"/>
        <c:noMultiLvlLbl val="0"/>
      </c:catAx>
      <c:valAx>
        <c:axId val="1452306752"/>
        <c:scaling>
          <c:orientation val="minMax"/>
          <c:max val="1"/>
          <c:min val="0"/>
        </c:scaling>
        <c:delete val="0"/>
        <c:axPos val="l"/>
        <c:majorGridlines>
          <c:spPr>
            <a:ln w="9525" cap="flat" cmpd="sng" algn="ctr">
              <a:noFill/>
              <a:round/>
            </a:ln>
            <a:effectLst/>
          </c:spPr>
        </c:majorGridlines>
        <c:numFmt formatCode="0%" sourceLinked="0"/>
        <c:majorTickMark val="none"/>
        <c:minorTickMark val="none"/>
        <c:tickLblPos val="none"/>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pt-PT"/>
          </a:p>
        </c:txPr>
        <c:crossAx val="1253721152"/>
        <c:crosses val="autoZero"/>
        <c:crossBetween val="between"/>
        <c:majorUnit val="0.1"/>
        <c:minorUnit val="5.0000000000000012E-4"/>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579149606299213"/>
          <c:y val="0.12026229508196722"/>
          <c:w val="0.74945871766029237"/>
          <c:h val="0.77416152489135581"/>
        </c:manualLayout>
      </c:layout>
      <c:lineChart>
        <c:grouping val="standard"/>
        <c:varyColors val="0"/>
        <c:ser>
          <c:idx val="0"/>
          <c:order val="0"/>
          <c:tx>
            <c:strRef>
              <c:f>q20_q30_q42_Fig!$A$5</c:f>
              <c:strCache>
                <c:ptCount val="1"/>
                <c:pt idx="0">
                  <c:v>Total</c:v>
                </c:pt>
              </c:strCache>
            </c:strRef>
          </c:tx>
          <c:spPr>
            <a:ln w="31750" cap="rnd">
              <a:solidFill>
                <a:srgbClr val="C0504D"/>
              </a:solidFill>
              <a:round/>
            </a:ln>
            <a:effectLst>
              <a:outerShdw blurRad="40000" dist="23000" dir="5400000" rotWithShape="0">
                <a:srgbClr val="000000">
                  <a:alpha val="35000"/>
                </a:srgbClr>
              </a:outerShdw>
            </a:effectLst>
          </c:spPr>
          <c:marker>
            <c:symbol val="none"/>
          </c:marker>
          <c:cat>
            <c:numRef>
              <c:f>q20_q30_q42_Fig!$B$4:$L$4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q20_q30_q42_Fig!$B$5:$L$5</c:f>
              <c:numCache>
                <c:formatCode>#,##0</c:formatCode>
                <c:ptCount val="11"/>
                <c:pt idx="0">
                  <c:v>2458163</c:v>
                </c:pt>
                <c:pt idx="1">
                  <c:v>2537653</c:v>
                </c:pt>
                <c:pt idx="2">
                  <c:v>2641919</c:v>
                </c:pt>
                <c:pt idx="3">
                  <c:v>2767521</c:v>
                </c:pt>
                <c:pt idx="4">
                  <c:v>2877918</c:v>
                </c:pt>
                <c:pt idx="5">
                  <c:v>2930482</c:v>
                </c:pt>
                <c:pt idx="6">
                  <c:v>2902825</c:v>
                </c:pt>
                <c:pt idx="7">
                  <c:v>2922343</c:v>
                </c:pt>
                <c:pt idx="8">
                  <c:v>3148147</c:v>
                </c:pt>
                <c:pt idx="9">
                  <c:v>3296134</c:v>
                </c:pt>
                <c:pt idx="10">
                  <c:v>3354136</c:v>
                </c:pt>
              </c:numCache>
            </c:numRef>
          </c:val>
          <c:smooth val="0"/>
          <c:extLst xmlns:c15="http://schemas.microsoft.com/office/drawing/2012/chart">
            <c:ext xmlns:c16="http://schemas.microsoft.com/office/drawing/2014/chart" uri="{C3380CC4-5D6E-409C-BE32-E72D297353CC}">
              <c16:uniqueId val="{00000000-2499-4221-9725-565BF95CA3A6}"/>
            </c:ext>
          </c:extLst>
        </c:ser>
        <c:ser>
          <c:idx val="1"/>
          <c:order val="1"/>
          <c:tx>
            <c:strRef>
              <c:f>q20_q30_q42_Fig!$A$6</c:f>
              <c:strCache>
                <c:ptCount val="1"/>
                <c:pt idx="0">
                  <c:v>Contrato Coletivo de Trabalho (CCT)</c:v>
                </c:pt>
              </c:strCache>
            </c:strRef>
          </c:tx>
          <c:spPr>
            <a:ln w="31750" cap="rnd">
              <a:solidFill>
                <a:schemeClr val="accent1">
                  <a:shade val="70000"/>
                </a:schemeClr>
              </a:solidFill>
              <a:round/>
            </a:ln>
            <a:effectLst>
              <a:outerShdw blurRad="40000" dist="23000" dir="5400000" rotWithShape="0">
                <a:srgbClr val="000000">
                  <a:alpha val="35000"/>
                </a:srgbClr>
              </a:outerShdw>
            </a:effectLst>
          </c:spPr>
          <c:marker>
            <c:symbol val="none"/>
          </c:marker>
          <c:cat>
            <c:numRef>
              <c:f>q20_q30_q42_Fig!$B$4:$L$4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q20_q30_q42_Fig!$B$6:$L$6</c:f>
              <c:numCache>
                <c:formatCode>#,##0</c:formatCode>
                <c:ptCount val="11"/>
                <c:pt idx="0">
                  <c:v>1802130</c:v>
                </c:pt>
                <c:pt idx="1">
                  <c:v>1855203</c:v>
                </c:pt>
                <c:pt idx="2">
                  <c:v>1911498</c:v>
                </c:pt>
                <c:pt idx="3">
                  <c:v>1975887</c:v>
                </c:pt>
                <c:pt idx="4">
                  <c:v>2073822</c:v>
                </c:pt>
                <c:pt idx="5">
                  <c:v>2078465</c:v>
                </c:pt>
                <c:pt idx="6">
                  <c:v>2014412</c:v>
                </c:pt>
                <c:pt idx="7">
                  <c:v>2031422</c:v>
                </c:pt>
                <c:pt idx="8">
                  <c:v>2174986</c:v>
                </c:pt>
                <c:pt idx="9">
                  <c:v>2283826</c:v>
                </c:pt>
                <c:pt idx="10">
                  <c:v>2309722</c:v>
                </c:pt>
              </c:numCache>
            </c:numRef>
          </c:val>
          <c:smooth val="0"/>
          <c:extLst>
            <c:ext xmlns:c16="http://schemas.microsoft.com/office/drawing/2014/chart" uri="{C3380CC4-5D6E-409C-BE32-E72D297353CC}">
              <c16:uniqueId val="{00000001-2499-4221-9725-565BF95CA3A6}"/>
            </c:ext>
          </c:extLst>
        </c:ser>
        <c:ser>
          <c:idx val="2"/>
          <c:order val="2"/>
          <c:tx>
            <c:strRef>
              <c:f>q20_q30_q42_Fig!$A$7</c:f>
              <c:strCache>
                <c:ptCount val="1"/>
                <c:pt idx="0">
                  <c:v>Acordo Coletivo de Trabalho (ACT)</c:v>
                </c:pt>
              </c:strCache>
            </c:strRef>
          </c:tx>
          <c:spPr>
            <a:ln w="31750" cap="rnd">
              <a:solidFill>
                <a:schemeClr val="accent1">
                  <a:shade val="90000"/>
                </a:schemeClr>
              </a:solidFill>
              <a:prstDash val="sysDash"/>
              <a:round/>
            </a:ln>
            <a:effectLst>
              <a:outerShdw blurRad="40000" dist="23000" dir="5400000" rotWithShape="0">
                <a:srgbClr val="000000">
                  <a:alpha val="35000"/>
                </a:srgbClr>
              </a:outerShdw>
            </a:effectLst>
          </c:spPr>
          <c:marker>
            <c:symbol val="none"/>
          </c:marker>
          <c:cat>
            <c:numRef>
              <c:f>q20_q30_q42_Fig!$B$4:$L$4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q20_q30_q42_Fig!$B$7:$L$7</c:f>
              <c:numCache>
                <c:formatCode>#,##0</c:formatCode>
                <c:ptCount val="11"/>
                <c:pt idx="0">
                  <c:v>97038</c:v>
                </c:pt>
                <c:pt idx="1">
                  <c:v>99532</c:v>
                </c:pt>
                <c:pt idx="2">
                  <c:v>101183</c:v>
                </c:pt>
                <c:pt idx="3">
                  <c:v>106693</c:v>
                </c:pt>
                <c:pt idx="4">
                  <c:v>109690</c:v>
                </c:pt>
                <c:pt idx="5">
                  <c:v>104297</c:v>
                </c:pt>
                <c:pt idx="6">
                  <c:v>118636</c:v>
                </c:pt>
                <c:pt idx="7">
                  <c:v>118983</c:v>
                </c:pt>
                <c:pt idx="8">
                  <c:v>122759</c:v>
                </c:pt>
                <c:pt idx="9">
                  <c:v>125278</c:v>
                </c:pt>
                <c:pt idx="10">
                  <c:v>126087</c:v>
                </c:pt>
              </c:numCache>
            </c:numRef>
          </c:val>
          <c:smooth val="0"/>
          <c:extLst>
            <c:ext xmlns:c16="http://schemas.microsoft.com/office/drawing/2014/chart" uri="{C3380CC4-5D6E-409C-BE32-E72D297353CC}">
              <c16:uniqueId val="{00000002-2499-4221-9725-565BF95CA3A6}"/>
            </c:ext>
          </c:extLst>
        </c:ser>
        <c:ser>
          <c:idx val="3"/>
          <c:order val="3"/>
          <c:tx>
            <c:strRef>
              <c:f>q20_q30_q42_Fig!$A$8</c:f>
              <c:strCache>
                <c:ptCount val="1"/>
                <c:pt idx="0">
                  <c:v>Portaria de Cond. de Trabalho (PCT)</c:v>
                </c:pt>
              </c:strCache>
            </c:strRef>
          </c:tx>
          <c:spPr>
            <a:ln w="31750" cap="rnd">
              <a:solidFill>
                <a:schemeClr val="accent1">
                  <a:tint val="90000"/>
                </a:schemeClr>
              </a:solidFill>
              <a:round/>
            </a:ln>
            <a:effectLst>
              <a:outerShdw blurRad="40000" dist="23000" dir="5400000" rotWithShape="0">
                <a:srgbClr val="000000">
                  <a:alpha val="35000"/>
                </a:srgbClr>
              </a:outerShdw>
            </a:effectLst>
          </c:spPr>
          <c:marker>
            <c:symbol val="none"/>
          </c:marker>
          <c:cat>
            <c:numRef>
              <c:f>q20_q30_q42_Fig!$B$4:$L$4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q20_q30_q42_Fig!$B$8:$L$8</c:f>
              <c:numCache>
                <c:formatCode>#,##0</c:formatCode>
                <c:ptCount val="11"/>
                <c:pt idx="0">
                  <c:v>205896</c:v>
                </c:pt>
                <c:pt idx="1">
                  <c:v>212238</c:v>
                </c:pt>
                <c:pt idx="2">
                  <c:v>219677</c:v>
                </c:pt>
                <c:pt idx="3">
                  <c:v>226793</c:v>
                </c:pt>
                <c:pt idx="4">
                  <c:v>211503</c:v>
                </c:pt>
                <c:pt idx="5">
                  <c:v>219272</c:v>
                </c:pt>
                <c:pt idx="6">
                  <c:v>221568</c:v>
                </c:pt>
                <c:pt idx="7">
                  <c:v>214401</c:v>
                </c:pt>
                <c:pt idx="8">
                  <c:v>232081</c:v>
                </c:pt>
                <c:pt idx="9">
                  <c:v>241230</c:v>
                </c:pt>
                <c:pt idx="10">
                  <c:v>243628</c:v>
                </c:pt>
              </c:numCache>
            </c:numRef>
          </c:val>
          <c:smooth val="0"/>
          <c:extLst>
            <c:ext xmlns:c16="http://schemas.microsoft.com/office/drawing/2014/chart" uri="{C3380CC4-5D6E-409C-BE32-E72D297353CC}">
              <c16:uniqueId val="{00000003-2499-4221-9725-565BF95CA3A6}"/>
            </c:ext>
          </c:extLst>
        </c:ser>
        <c:ser>
          <c:idx val="4"/>
          <c:order val="4"/>
          <c:tx>
            <c:strRef>
              <c:f>q20_q30_q42_Fig!$A$9</c:f>
              <c:strCache>
                <c:ptCount val="1"/>
                <c:pt idx="0">
                  <c:v>Acordo de Empresa (AE)</c:v>
                </c:pt>
              </c:strCache>
            </c:strRef>
          </c:tx>
          <c:spPr>
            <a:ln w="0" cap="rnd">
              <a:solidFill>
                <a:schemeClr val="accent1">
                  <a:tint val="70000"/>
                </a:schemeClr>
              </a:solidFill>
              <a:round/>
            </a:ln>
            <a:effectLst>
              <a:outerShdw blurRad="40000" dist="23000" dir="5400000" rotWithShape="0">
                <a:srgbClr val="000000">
                  <a:alpha val="35000"/>
                </a:srgbClr>
              </a:outerShdw>
            </a:effectLst>
          </c:spPr>
          <c:marker>
            <c:symbol val="none"/>
          </c:marker>
          <c:cat>
            <c:numRef>
              <c:f>q20_q30_q42_Fig!$B$4:$L$4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q20_q30_q42_Fig!$B$9:$L$9</c:f>
              <c:numCache>
                <c:formatCode>#,##0</c:formatCode>
                <c:ptCount val="11"/>
                <c:pt idx="0">
                  <c:v>80029</c:v>
                </c:pt>
                <c:pt idx="1">
                  <c:v>78163</c:v>
                </c:pt>
                <c:pt idx="2">
                  <c:v>79933</c:v>
                </c:pt>
                <c:pt idx="3">
                  <c:v>85752</c:v>
                </c:pt>
                <c:pt idx="4">
                  <c:v>86043</c:v>
                </c:pt>
                <c:pt idx="5">
                  <c:v>91984</c:v>
                </c:pt>
                <c:pt idx="6">
                  <c:v>90179</c:v>
                </c:pt>
                <c:pt idx="7">
                  <c:v>89882</c:v>
                </c:pt>
                <c:pt idx="8">
                  <c:v>92151</c:v>
                </c:pt>
                <c:pt idx="9">
                  <c:v>93763</c:v>
                </c:pt>
                <c:pt idx="10">
                  <c:v>97792</c:v>
                </c:pt>
              </c:numCache>
            </c:numRef>
          </c:val>
          <c:smooth val="0"/>
          <c:extLst>
            <c:ext xmlns:c16="http://schemas.microsoft.com/office/drawing/2014/chart" uri="{C3380CC4-5D6E-409C-BE32-E72D297353CC}">
              <c16:uniqueId val="{00000004-2499-4221-9725-565BF95CA3A6}"/>
            </c:ext>
          </c:extLst>
        </c:ser>
        <c:ser>
          <c:idx val="5"/>
          <c:order val="5"/>
          <c:tx>
            <c:strRef>
              <c:f>q20_q30_q42_Fig!$A$10</c:f>
              <c:strCache>
                <c:ptCount val="1"/>
                <c:pt idx="0">
                  <c:v>Não Abrangidos por Regulamentação Coletiva</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cat>
            <c:numRef>
              <c:f>q20_q30_q42_Fig!$B$4:$L$4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q20_q30_q42_Fig!$B$10:$L$10</c:f>
              <c:numCache>
                <c:formatCode>#,##0</c:formatCode>
                <c:ptCount val="11"/>
                <c:pt idx="0">
                  <c:v>273070</c:v>
                </c:pt>
                <c:pt idx="1">
                  <c:v>292517</c:v>
                </c:pt>
                <c:pt idx="2">
                  <c:v>329628</c:v>
                </c:pt>
                <c:pt idx="3">
                  <c:v>372396</c:v>
                </c:pt>
                <c:pt idx="4">
                  <c:v>396860</c:v>
                </c:pt>
                <c:pt idx="5">
                  <c:v>436464</c:v>
                </c:pt>
                <c:pt idx="6">
                  <c:v>458030</c:v>
                </c:pt>
                <c:pt idx="7">
                  <c:v>467655</c:v>
                </c:pt>
                <c:pt idx="8">
                  <c:v>526170</c:v>
                </c:pt>
                <c:pt idx="9">
                  <c:v>552037</c:v>
                </c:pt>
                <c:pt idx="10">
                  <c:v>576907</c:v>
                </c:pt>
              </c:numCache>
            </c:numRef>
          </c:val>
          <c:smooth val="0"/>
          <c:extLst>
            <c:ext xmlns:c16="http://schemas.microsoft.com/office/drawing/2014/chart" uri="{C3380CC4-5D6E-409C-BE32-E72D297353CC}">
              <c16:uniqueId val="{00000005-2499-4221-9725-565BF95CA3A6}"/>
            </c:ext>
          </c:extLst>
        </c:ser>
        <c:dLbls>
          <c:showLegendKey val="0"/>
          <c:showVal val="0"/>
          <c:showCatName val="0"/>
          <c:showSerName val="0"/>
          <c:showPercent val="0"/>
          <c:showBubbleSize val="0"/>
        </c:dLbls>
        <c:smooth val="0"/>
        <c:axId val="164075663"/>
        <c:axId val="442964127"/>
        <c:extLst/>
      </c:lineChart>
      <c:catAx>
        <c:axId val="16407566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442964127"/>
        <c:crosses val="autoZero"/>
        <c:auto val="1"/>
        <c:lblAlgn val="ctr"/>
        <c:lblOffset val="100"/>
        <c:noMultiLvlLbl val="0"/>
      </c:catAx>
      <c:valAx>
        <c:axId val="442964127"/>
        <c:scaling>
          <c:orientation val="minMax"/>
          <c:max val="3500000"/>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64075663"/>
        <c:crosses val="autoZero"/>
        <c:crossBetween val="between"/>
        <c:majorUnit val="50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960500801841724E-2"/>
          <c:y val="6.5949345426542308E-2"/>
          <c:w val="0.77681941078122041"/>
          <c:h val="0.74648887800473851"/>
        </c:manualLayout>
      </c:layout>
      <c:lineChart>
        <c:grouping val="standard"/>
        <c:varyColors val="0"/>
        <c:ser>
          <c:idx val="0"/>
          <c:order val="0"/>
          <c:tx>
            <c:strRef>
              <c:f>q20_q30_q42_Fig!$A$15</c:f>
              <c:strCache>
                <c:ptCount val="1"/>
                <c:pt idx="0">
                  <c:v>Total</c:v>
                </c:pt>
              </c:strCache>
            </c:strRef>
          </c:tx>
          <c:spPr>
            <a:ln w="31750" cap="rnd">
              <a:solidFill>
                <a:srgbClr val="C0504D"/>
              </a:solidFill>
              <a:round/>
            </a:ln>
            <a:effectLst>
              <a:outerShdw blurRad="40000" dist="23000" dir="5400000" rotWithShape="0">
                <a:srgbClr val="000000">
                  <a:alpha val="35000"/>
                </a:srgbClr>
              </a:outerShdw>
            </a:effectLst>
          </c:spPr>
          <c:marker>
            <c:symbol val="none"/>
          </c:marker>
          <c:cat>
            <c:numRef>
              <c:f>q20_q30_q42_Fig!$B$14:$L$14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q20_q30_q42_Fig!$B$15:$L$15</c:f>
              <c:numCache>
                <c:formatCode>#,##0.00\ "€"</c:formatCode>
                <c:ptCount val="11"/>
                <c:pt idx="0">
                  <c:v>909.49</c:v>
                </c:pt>
                <c:pt idx="1">
                  <c:v>913.93</c:v>
                </c:pt>
                <c:pt idx="2">
                  <c:v>924.94</c:v>
                </c:pt>
                <c:pt idx="3">
                  <c:v>943</c:v>
                </c:pt>
                <c:pt idx="4">
                  <c:v>970.42</c:v>
                </c:pt>
                <c:pt idx="5">
                  <c:v>1005.09</c:v>
                </c:pt>
                <c:pt idx="6">
                  <c:v>1041.99</c:v>
                </c:pt>
                <c:pt idx="7">
                  <c:v>1082.77</c:v>
                </c:pt>
                <c:pt idx="8">
                  <c:v>1143.45</c:v>
                </c:pt>
                <c:pt idx="9">
                  <c:v>1219.8699999999999</c:v>
                </c:pt>
                <c:pt idx="10">
                  <c:v>1308.96</c:v>
                </c:pt>
              </c:numCache>
            </c:numRef>
          </c:val>
          <c:smooth val="0"/>
          <c:extLst xmlns:c15="http://schemas.microsoft.com/office/drawing/2012/chart">
            <c:ext xmlns:c16="http://schemas.microsoft.com/office/drawing/2014/chart" uri="{C3380CC4-5D6E-409C-BE32-E72D297353CC}">
              <c16:uniqueId val="{00000000-3069-4241-A62D-75E234B813F9}"/>
            </c:ext>
          </c:extLst>
        </c:ser>
        <c:ser>
          <c:idx val="1"/>
          <c:order val="1"/>
          <c:tx>
            <c:strRef>
              <c:f>q20_q30_q42_Fig!$A$16</c:f>
              <c:strCache>
                <c:ptCount val="1"/>
                <c:pt idx="0">
                  <c:v>Contrato Coletivo de Trabalho (CCT)</c:v>
                </c:pt>
              </c:strCache>
            </c:strRef>
          </c:tx>
          <c:spPr>
            <a:ln w="31750" cap="rnd">
              <a:solidFill>
                <a:schemeClr val="accent1">
                  <a:shade val="70000"/>
                </a:schemeClr>
              </a:solidFill>
              <a:round/>
            </a:ln>
            <a:effectLst>
              <a:outerShdw blurRad="40000" dist="23000" dir="5400000" rotWithShape="0">
                <a:srgbClr val="000000">
                  <a:alpha val="35000"/>
                </a:srgbClr>
              </a:outerShdw>
            </a:effectLst>
          </c:spPr>
          <c:marker>
            <c:symbol val="none"/>
          </c:marker>
          <c:cat>
            <c:numRef>
              <c:f>q20_q30_q42_Fig!$B$14:$L$14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q20_q30_q42_Fig!$B$16:$L$16</c:f>
              <c:numCache>
                <c:formatCode>#,##0.00\ "€"</c:formatCode>
                <c:ptCount val="11"/>
                <c:pt idx="0">
                  <c:v>814.02</c:v>
                </c:pt>
                <c:pt idx="1">
                  <c:v>822.04</c:v>
                </c:pt>
                <c:pt idx="2">
                  <c:v>834.1</c:v>
                </c:pt>
                <c:pt idx="3">
                  <c:v>851.63</c:v>
                </c:pt>
                <c:pt idx="4">
                  <c:v>878.73</c:v>
                </c:pt>
                <c:pt idx="5">
                  <c:v>910.7</c:v>
                </c:pt>
                <c:pt idx="6">
                  <c:v>946.93</c:v>
                </c:pt>
                <c:pt idx="7">
                  <c:v>985.26</c:v>
                </c:pt>
                <c:pt idx="8">
                  <c:v>1034.9100000000001</c:v>
                </c:pt>
                <c:pt idx="9">
                  <c:v>1104.8399999999999</c:v>
                </c:pt>
                <c:pt idx="10">
                  <c:v>1180.44</c:v>
                </c:pt>
              </c:numCache>
            </c:numRef>
          </c:val>
          <c:smooth val="0"/>
          <c:extLst>
            <c:ext xmlns:c16="http://schemas.microsoft.com/office/drawing/2014/chart" uri="{C3380CC4-5D6E-409C-BE32-E72D297353CC}">
              <c16:uniqueId val="{00000001-3069-4241-A62D-75E234B813F9}"/>
            </c:ext>
          </c:extLst>
        </c:ser>
        <c:ser>
          <c:idx val="2"/>
          <c:order val="2"/>
          <c:tx>
            <c:strRef>
              <c:f>q20_q30_q42_Fig!$A$17</c:f>
              <c:strCache>
                <c:ptCount val="1"/>
                <c:pt idx="0">
                  <c:v>Acordo Coletivo de Trabalho (ACT)</c:v>
                </c:pt>
              </c:strCache>
            </c:strRef>
          </c:tx>
          <c:spPr>
            <a:ln w="31750" cap="rnd">
              <a:solidFill>
                <a:schemeClr val="accent1">
                  <a:shade val="90000"/>
                </a:schemeClr>
              </a:solidFill>
              <a:prstDash val="sysDash"/>
              <a:round/>
            </a:ln>
            <a:effectLst>
              <a:outerShdw blurRad="40000" dist="23000" dir="5400000" rotWithShape="0">
                <a:srgbClr val="000000">
                  <a:alpha val="35000"/>
                </a:srgbClr>
              </a:outerShdw>
            </a:effectLst>
          </c:spPr>
          <c:marker>
            <c:symbol val="none"/>
          </c:marker>
          <c:cat>
            <c:numRef>
              <c:f>q20_q30_q42_Fig!$B$14:$L$14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q20_q30_q42_Fig!$B$17:$L$17</c:f>
              <c:numCache>
                <c:formatCode>#,##0.00\ "€"</c:formatCode>
                <c:ptCount val="11"/>
                <c:pt idx="0">
                  <c:v>1355.5</c:v>
                </c:pt>
                <c:pt idx="1">
                  <c:v>1369.22</c:v>
                </c:pt>
                <c:pt idx="2">
                  <c:v>1380.34</c:v>
                </c:pt>
                <c:pt idx="3">
                  <c:v>1384.89</c:v>
                </c:pt>
                <c:pt idx="4">
                  <c:v>1383.1</c:v>
                </c:pt>
                <c:pt idx="5">
                  <c:v>1377.83</c:v>
                </c:pt>
                <c:pt idx="6">
                  <c:v>1398.04</c:v>
                </c:pt>
                <c:pt idx="7">
                  <c:v>1401.27</c:v>
                </c:pt>
                <c:pt idx="8">
                  <c:v>1434.7</c:v>
                </c:pt>
                <c:pt idx="9">
                  <c:v>1540.55</c:v>
                </c:pt>
                <c:pt idx="10">
                  <c:v>1675.48</c:v>
                </c:pt>
              </c:numCache>
            </c:numRef>
          </c:val>
          <c:smooth val="0"/>
          <c:extLst>
            <c:ext xmlns:c16="http://schemas.microsoft.com/office/drawing/2014/chart" uri="{C3380CC4-5D6E-409C-BE32-E72D297353CC}">
              <c16:uniqueId val="{00000002-3069-4241-A62D-75E234B813F9}"/>
            </c:ext>
          </c:extLst>
        </c:ser>
        <c:ser>
          <c:idx val="3"/>
          <c:order val="3"/>
          <c:tx>
            <c:strRef>
              <c:f>q20_q30_q42_Fig!$A$18</c:f>
              <c:strCache>
                <c:ptCount val="1"/>
                <c:pt idx="0">
                  <c:v>Portaria de Cond. de Trabalho (PCT)</c:v>
                </c:pt>
              </c:strCache>
            </c:strRef>
          </c:tx>
          <c:spPr>
            <a:ln w="31750" cap="rnd">
              <a:solidFill>
                <a:schemeClr val="accent1">
                  <a:tint val="90000"/>
                </a:schemeClr>
              </a:solidFill>
              <a:round/>
            </a:ln>
            <a:effectLst>
              <a:outerShdw blurRad="40000" dist="23000" dir="5400000" rotWithShape="0">
                <a:srgbClr val="000000">
                  <a:alpha val="35000"/>
                </a:srgbClr>
              </a:outerShdw>
            </a:effectLst>
          </c:spPr>
          <c:marker>
            <c:symbol val="none"/>
          </c:marker>
          <c:cat>
            <c:numRef>
              <c:f>q20_q30_q42_Fig!$B$14:$L$14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q20_q30_q42_Fig!$B$18:$L$18</c:f>
              <c:numCache>
                <c:formatCode>#,##0.00\ "€"</c:formatCode>
                <c:ptCount val="11"/>
                <c:pt idx="0">
                  <c:v>972.19</c:v>
                </c:pt>
                <c:pt idx="1">
                  <c:v>967.53</c:v>
                </c:pt>
                <c:pt idx="2">
                  <c:v>971.01</c:v>
                </c:pt>
                <c:pt idx="3">
                  <c:v>992.05</c:v>
                </c:pt>
                <c:pt idx="4">
                  <c:v>1032.1099999999999</c:v>
                </c:pt>
                <c:pt idx="5">
                  <c:v>1074.6099999999999</c:v>
                </c:pt>
                <c:pt idx="6">
                  <c:v>1119.8599999999999</c:v>
                </c:pt>
                <c:pt idx="7">
                  <c:v>1179.75</c:v>
                </c:pt>
                <c:pt idx="8">
                  <c:v>1261.6500000000001</c:v>
                </c:pt>
                <c:pt idx="9">
                  <c:v>1353.7</c:v>
                </c:pt>
                <c:pt idx="10">
                  <c:v>1439.19</c:v>
                </c:pt>
              </c:numCache>
            </c:numRef>
          </c:val>
          <c:smooth val="0"/>
          <c:extLst>
            <c:ext xmlns:c16="http://schemas.microsoft.com/office/drawing/2014/chart" uri="{C3380CC4-5D6E-409C-BE32-E72D297353CC}">
              <c16:uniqueId val="{00000003-3069-4241-A62D-75E234B813F9}"/>
            </c:ext>
          </c:extLst>
        </c:ser>
        <c:ser>
          <c:idx val="4"/>
          <c:order val="4"/>
          <c:tx>
            <c:strRef>
              <c:f>q20_q30_q42_Fig!$A$19</c:f>
              <c:strCache>
                <c:ptCount val="1"/>
                <c:pt idx="0">
                  <c:v>Acordo de Empresa (AE)</c:v>
                </c:pt>
              </c:strCache>
            </c:strRef>
          </c:tx>
          <c:spPr>
            <a:ln w="31750" cap="rnd">
              <a:solidFill>
                <a:schemeClr val="accent1">
                  <a:tint val="70000"/>
                </a:schemeClr>
              </a:solidFill>
              <a:round/>
            </a:ln>
            <a:effectLst>
              <a:outerShdw blurRad="40000" dist="23000" dir="5400000" rotWithShape="0">
                <a:srgbClr val="000000">
                  <a:alpha val="35000"/>
                </a:srgbClr>
              </a:outerShdw>
            </a:effectLst>
          </c:spPr>
          <c:marker>
            <c:symbol val="none"/>
          </c:marker>
          <c:cat>
            <c:numRef>
              <c:f>q20_q30_q42_Fig!$B$14:$L$14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q20_q30_q42_Fig!$B$19:$L$19</c:f>
              <c:numCache>
                <c:formatCode>#,##0.00\ "€"</c:formatCode>
                <c:ptCount val="11"/>
                <c:pt idx="0">
                  <c:v>1444.7</c:v>
                </c:pt>
                <c:pt idx="1">
                  <c:v>1449</c:v>
                </c:pt>
                <c:pt idx="2">
                  <c:v>1443.02</c:v>
                </c:pt>
                <c:pt idx="3">
                  <c:v>1460.94</c:v>
                </c:pt>
                <c:pt idx="4">
                  <c:v>1499.23</c:v>
                </c:pt>
                <c:pt idx="5">
                  <c:v>1520.65</c:v>
                </c:pt>
                <c:pt idx="6">
                  <c:v>1451.9</c:v>
                </c:pt>
                <c:pt idx="7">
                  <c:v>1476.86</c:v>
                </c:pt>
                <c:pt idx="8">
                  <c:v>1594.67</c:v>
                </c:pt>
                <c:pt idx="9">
                  <c:v>1672.43</c:v>
                </c:pt>
                <c:pt idx="10">
                  <c:v>1750.46</c:v>
                </c:pt>
              </c:numCache>
            </c:numRef>
          </c:val>
          <c:smooth val="0"/>
          <c:extLst>
            <c:ext xmlns:c16="http://schemas.microsoft.com/office/drawing/2014/chart" uri="{C3380CC4-5D6E-409C-BE32-E72D297353CC}">
              <c16:uniqueId val="{00000004-3069-4241-A62D-75E234B813F9}"/>
            </c:ext>
          </c:extLst>
        </c:ser>
        <c:ser>
          <c:idx val="5"/>
          <c:order val="5"/>
          <c:tx>
            <c:strRef>
              <c:f>q20_q30_q42_Fig!$A$20</c:f>
              <c:strCache>
                <c:ptCount val="1"/>
                <c:pt idx="0">
                  <c:v>Não Abrangidos por Regulamentação Coletiva</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cat>
            <c:numRef>
              <c:f>q20_q30_q42_Fig!$B$14:$L$14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q20_q30_q42_Fig!$B$20:$L$20</c:f>
              <c:numCache>
                <c:formatCode>#,##0.00\ "€"</c:formatCode>
                <c:ptCount val="11"/>
                <c:pt idx="0">
                  <c:v>1121.4000000000001</c:v>
                </c:pt>
                <c:pt idx="1">
                  <c:v>1104.3499999999999</c:v>
                </c:pt>
                <c:pt idx="2">
                  <c:v>1107.47</c:v>
                </c:pt>
                <c:pt idx="3">
                  <c:v>1109.81</c:v>
                </c:pt>
                <c:pt idx="4">
                  <c:v>1145.6199999999999</c:v>
                </c:pt>
                <c:pt idx="5">
                  <c:v>1184.1099999999999</c:v>
                </c:pt>
                <c:pt idx="6">
                  <c:v>1211.97</c:v>
                </c:pt>
                <c:pt idx="7">
                  <c:v>1273.56</c:v>
                </c:pt>
                <c:pt idx="8">
                  <c:v>1356.61</c:v>
                </c:pt>
                <c:pt idx="9">
                  <c:v>1446.74</c:v>
                </c:pt>
                <c:pt idx="10">
                  <c:v>1568.84</c:v>
                </c:pt>
              </c:numCache>
            </c:numRef>
          </c:val>
          <c:smooth val="0"/>
          <c:extLst>
            <c:ext xmlns:c16="http://schemas.microsoft.com/office/drawing/2014/chart" uri="{C3380CC4-5D6E-409C-BE32-E72D297353CC}">
              <c16:uniqueId val="{00000005-3069-4241-A62D-75E234B813F9}"/>
            </c:ext>
          </c:extLst>
        </c:ser>
        <c:dLbls>
          <c:showLegendKey val="0"/>
          <c:showVal val="0"/>
          <c:showCatName val="0"/>
          <c:showSerName val="0"/>
          <c:showPercent val="0"/>
          <c:showBubbleSize val="0"/>
        </c:dLbls>
        <c:smooth val="0"/>
        <c:axId val="164075663"/>
        <c:axId val="442964127"/>
      </c:lineChart>
      <c:catAx>
        <c:axId val="16407566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442964127"/>
        <c:crosses val="autoZero"/>
        <c:auto val="1"/>
        <c:lblAlgn val="ctr"/>
        <c:lblOffset val="100"/>
        <c:noMultiLvlLbl val="0"/>
      </c:catAx>
      <c:valAx>
        <c:axId val="442964127"/>
        <c:scaling>
          <c:orientation val="minMax"/>
          <c:max val="2500"/>
          <c:min val="0"/>
        </c:scaling>
        <c:delete val="0"/>
        <c:axPos val="l"/>
        <c:majorGridlines>
          <c:spPr>
            <a:ln w="9525" cap="flat" cmpd="sng" algn="ctr">
              <a:noFill/>
              <a:round/>
            </a:ln>
            <a:effectLst/>
          </c:spPr>
        </c:majorGridlines>
        <c:numFmt formatCode="#,##0\ &quot;€&quot;" sourceLinked="0"/>
        <c:majorTickMark val="none"/>
        <c:minorTickMark val="none"/>
        <c:tickLblPos val="high"/>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64075663"/>
        <c:crosses val="autoZero"/>
        <c:crossBetween val="between"/>
        <c:majorUnit val="500"/>
        <c:minorUnit val="5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22003499562555"/>
          <c:y val="0.13152482269503546"/>
          <c:w val="0.84854399038524708"/>
          <c:h val="0.68091324320084134"/>
        </c:manualLayout>
      </c:layout>
      <c:lineChart>
        <c:grouping val="standard"/>
        <c:varyColors val="0"/>
        <c:ser>
          <c:idx val="0"/>
          <c:order val="0"/>
          <c:tx>
            <c:strRef>
              <c:f>q20_q30_q42_Fig!$A$26</c:f>
              <c:strCache>
                <c:ptCount val="1"/>
                <c:pt idx="0">
                  <c:v>Total</c:v>
                </c:pt>
              </c:strCache>
            </c:strRef>
          </c:tx>
          <c:spPr>
            <a:ln w="31750" cap="rnd">
              <a:solidFill>
                <a:srgbClr val="C0504D"/>
              </a:solidFill>
              <a:round/>
            </a:ln>
            <a:effectLst>
              <a:outerShdw blurRad="40000" dist="23000" dir="5400000" rotWithShape="0">
                <a:srgbClr val="000000">
                  <a:alpha val="35000"/>
                </a:srgbClr>
              </a:outerShdw>
            </a:effectLst>
          </c:spPr>
          <c:marker>
            <c:symbol val="none"/>
          </c:marker>
          <c:cat>
            <c:numRef>
              <c:f>q20_q30_q42_Fig!$B$25:$L$25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q20_q30_q42_Fig!$B$26:$L$26</c:f>
              <c:numCache>
                <c:formatCode>#,##0.00\ "€"</c:formatCode>
                <c:ptCount val="11"/>
                <c:pt idx="0">
                  <c:v>1093.21</c:v>
                </c:pt>
                <c:pt idx="1">
                  <c:v>1096.6600000000001</c:v>
                </c:pt>
                <c:pt idx="2">
                  <c:v>1107.8599999999999</c:v>
                </c:pt>
                <c:pt idx="3">
                  <c:v>1133.3399999999999</c:v>
                </c:pt>
                <c:pt idx="4">
                  <c:v>1170.25</c:v>
                </c:pt>
                <c:pt idx="5">
                  <c:v>1209.94</c:v>
                </c:pt>
                <c:pt idx="6">
                  <c:v>1250.75</c:v>
                </c:pt>
                <c:pt idx="7">
                  <c:v>1294.1099999999999</c:v>
                </c:pt>
                <c:pt idx="8">
                  <c:v>1368</c:v>
                </c:pt>
                <c:pt idx="9">
                  <c:v>1466.66</c:v>
                </c:pt>
                <c:pt idx="10">
                  <c:v>1582.75</c:v>
                </c:pt>
              </c:numCache>
            </c:numRef>
          </c:val>
          <c:smooth val="0"/>
          <c:extLst xmlns:c15="http://schemas.microsoft.com/office/drawing/2012/chart">
            <c:ext xmlns:c16="http://schemas.microsoft.com/office/drawing/2014/chart" uri="{C3380CC4-5D6E-409C-BE32-E72D297353CC}">
              <c16:uniqueId val="{00000000-157C-4427-8EF2-DAAEF1342F78}"/>
            </c:ext>
          </c:extLst>
        </c:ser>
        <c:ser>
          <c:idx val="1"/>
          <c:order val="1"/>
          <c:tx>
            <c:strRef>
              <c:f>q20_q30_q42_Fig!$A$27</c:f>
              <c:strCache>
                <c:ptCount val="1"/>
                <c:pt idx="0">
                  <c:v>Contrato Coletivo de Trabalho (CCT)</c:v>
                </c:pt>
              </c:strCache>
            </c:strRef>
          </c:tx>
          <c:spPr>
            <a:ln w="31750" cap="rnd">
              <a:solidFill>
                <a:schemeClr val="accent1">
                  <a:shade val="70000"/>
                </a:schemeClr>
              </a:solidFill>
              <a:round/>
            </a:ln>
            <a:effectLst>
              <a:outerShdw blurRad="40000" dist="23000" dir="5400000" rotWithShape="0">
                <a:srgbClr val="000000">
                  <a:alpha val="35000"/>
                </a:srgbClr>
              </a:outerShdw>
            </a:effectLst>
          </c:spPr>
          <c:marker>
            <c:symbol val="none"/>
          </c:marker>
          <c:cat>
            <c:numRef>
              <c:f>q20_q30_q42_Fig!$B$25:$L$25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q20_q30_q42_Fig!$B$27:$L$27</c:f>
              <c:numCache>
                <c:formatCode>#,##0.00\ "€"</c:formatCode>
                <c:ptCount val="11"/>
                <c:pt idx="0">
                  <c:v>958.21</c:v>
                </c:pt>
                <c:pt idx="1">
                  <c:v>967.68</c:v>
                </c:pt>
                <c:pt idx="2">
                  <c:v>981.32</c:v>
                </c:pt>
                <c:pt idx="3">
                  <c:v>1003.59</c:v>
                </c:pt>
                <c:pt idx="4">
                  <c:v>1039.96</c:v>
                </c:pt>
                <c:pt idx="5">
                  <c:v>1077.22</c:v>
                </c:pt>
                <c:pt idx="6">
                  <c:v>1117.7</c:v>
                </c:pt>
                <c:pt idx="7">
                  <c:v>1159.75</c:v>
                </c:pt>
                <c:pt idx="8">
                  <c:v>1221.48</c:v>
                </c:pt>
                <c:pt idx="9">
                  <c:v>1310.4000000000001</c:v>
                </c:pt>
                <c:pt idx="10">
                  <c:v>1409.17</c:v>
                </c:pt>
              </c:numCache>
            </c:numRef>
          </c:val>
          <c:smooth val="0"/>
          <c:extLst>
            <c:ext xmlns:c16="http://schemas.microsoft.com/office/drawing/2014/chart" uri="{C3380CC4-5D6E-409C-BE32-E72D297353CC}">
              <c16:uniqueId val="{00000001-157C-4427-8EF2-DAAEF1342F78}"/>
            </c:ext>
          </c:extLst>
        </c:ser>
        <c:ser>
          <c:idx val="2"/>
          <c:order val="2"/>
          <c:tx>
            <c:strRef>
              <c:f>q20_q30_q42_Fig!$A$28</c:f>
              <c:strCache>
                <c:ptCount val="1"/>
                <c:pt idx="0">
                  <c:v>Acordo Coletivo de Trabalho (ACT)</c:v>
                </c:pt>
              </c:strCache>
            </c:strRef>
          </c:tx>
          <c:spPr>
            <a:ln w="31750" cap="rnd">
              <a:solidFill>
                <a:schemeClr val="accent1">
                  <a:shade val="90000"/>
                </a:schemeClr>
              </a:solidFill>
              <a:prstDash val="sysDash"/>
              <a:round/>
            </a:ln>
            <a:effectLst>
              <a:outerShdw blurRad="40000" dist="23000" dir="5400000" rotWithShape="0">
                <a:srgbClr val="000000">
                  <a:alpha val="35000"/>
                </a:srgbClr>
              </a:outerShdw>
            </a:effectLst>
          </c:spPr>
          <c:marker>
            <c:symbol val="none"/>
          </c:marker>
          <c:cat>
            <c:numRef>
              <c:f>q20_q30_q42_Fig!$B$25:$L$25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q20_q30_q42_Fig!$B$28:$L$28</c:f>
              <c:numCache>
                <c:formatCode>#,##0.00\ "€"</c:formatCode>
                <c:ptCount val="11"/>
                <c:pt idx="0">
                  <c:v>1928.43</c:v>
                </c:pt>
                <c:pt idx="1">
                  <c:v>1936.67</c:v>
                </c:pt>
                <c:pt idx="2">
                  <c:v>1944.81</c:v>
                </c:pt>
                <c:pt idx="3">
                  <c:v>1970.67</c:v>
                </c:pt>
                <c:pt idx="4">
                  <c:v>1974.69</c:v>
                </c:pt>
                <c:pt idx="5">
                  <c:v>1933.53</c:v>
                </c:pt>
                <c:pt idx="6">
                  <c:v>1966.25</c:v>
                </c:pt>
                <c:pt idx="7">
                  <c:v>1956.61</c:v>
                </c:pt>
                <c:pt idx="8">
                  <c:v>2014.6</c:v>
                </c:pt>
                <c:pt idx="9">
                  <c:v>2185.2800000000002</c:v>
                </c:pt>
                <c:pt idx="10">
                  <c:v>2405.85</c:v>
                </c:pt>
              </c:numCache>
            </c:numRef>
          </c:val>
          <c:smooth val="0"/>
          <c:extLst>
            <c:ext xmlns:c16="http://schemas.microsoft.com/office/drawing/2014/chart" uri="{C3380CC4-5D6E-409C-BE32-E72D297353CC}">
              <c16:uniqueId val="{00000002-157C-4427-8EF2-DAAEF1342F78}"/>
            </c:ext>
          </c:extLst>
        </c:ser>
        <c:ser>
          <c:idx val="3"/>
          <c:order val="3"/>
          <c:tx>
            <c:strRef>
              <c:f>q20_q30_q42_Fig!$A$29</c:f>
              <c:strCache>
                <c:ptCount val="1"/>
                <c:pt idx="0">
                  <c:v>Portaria de Cond. de Trabalho (PCT)</c:v>
                </c:pt>
              </c:strCache>
            </c:strRef>
          </c:tx>
          <c:spPr>
            <a:ln w="31750" cap="rnd">
              <a:solidFill>
                <a:schemeClr val="accent1">
                  <a:tint val="90000"/>
                </a:schemeClr>
              </a:solidFill>
              <a:round/>
            </a:ln>
            <a:effectLst>
              <a:outerShdw blurRad="40000" dist="23000" dir="5400000" rotWithShape="0">
                <a:srgbClr val="000000">
                  <a:alpha val="35000"/>
                </a:srgbClr>
              </a:outerShdw>
            </a:effectLst>
          </c:spPr>
          <c:marker>
            <c:symbol val="none"/>
          </c:marker>
          <c:cat>
            <c:numRef>
              <c:f>q20_q30_q42_Fig!$B$25:$L$25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q20_q30_q42_Fig!$B$29:$L$29</c:f>
              <c:numCache>
                <c:formatCode>#,##0.00\ "€"</c:formatCode>
                <c:ptCount val="11"/>
                <c:pt idx="0">
                  <c:v>1112.83</c:v>
                </c:pt>
                <c:pt idx="1">
                  <c:v>1108.6500000000001</c:v>
                </c:pt>
                <c:pt idx="2">
                  <c:v>1109.69</c:v>
                </c:pt>
                <c:pt idx="3">
                  <c:v>1137.24</c:v>
                </c:pt>
                <c:pt idx="4">
                  <c:v>1189.52</c:v>
                </c:pt>
                <c:pt idx="5">
                  <c:v>1243.71</c:v>
                </c:pt>
                <c:pt idx="6">
                  <c:v>1290.47</c:v>
                </c:pt>
                <c:pt idx="7">
                  <c:v>1355.96</c:v>
                </c:pt>
                <c:pt idx="8">
                  <c:v>1448.63</c:v>
                </c:pt>
                <c:pt idx="9">
                  <c:v>1565.83</c:v>
                </c:pt>
                <c:pt idx="10">
                  <c:v>1674.27</c:v>
                </c:pt>
              </c:numCache>
            </c:numRef>
          </c:val>
          <c:smooth val="0"/>
          <c:extLst>
            <c:ext xmlns:c16="http://schemas.microsoft.com/office/drawing/2014/chart" uri="{C3380CC4-5D6E-409C-BE32-E72D297353CC}">
              <c16:uniqueId val="{00000003-157C-4427-8EF2-DAAEF1342F78}"/>
            </c:ext>
          </c:extLst>
        </c:ser>
        <c:ser>
          <c:idx val="4"/>
          <c:order val="4"/>
          <c:tx>
            <c:strRef>
              <c:f>q20_q30_q42_Fig!$A$30</c:f>
              <c:strCache>
                <c:ptCount val="1"/>
                <c:pt idx="0">
                  <c:v>Acordo de Empresa (AE)</c:v>
                </c:pt>
              </c:strCache>
            </c:strRef>
          </c:tx>
          <c:spPr>
            <a:ln w="31750" cap="rnd">
              <a:solidFill>
                <a:schemeClr val="accent1">
                  <a:tint val="70000"/>
                </a:schemeClr>
              </a:solidFill>
              <a:round/>
            </a:ln>
            <a:effectLst>
              <a:outerShdw blurRad="40000" dist="23000" dir="5400000" rotWithShape="0">
                <a:srgbClr val="000000">
                  <a:alpha val="35000"/>
                </a:srgbClr>
              </a:outerShdw>
            </a:effectLst>
          </c:spPr>
          <c:marker>
            <c:symbol val="none"/>
          </c:marker>
          <c:cat>
            <c:numRef>
              <c:f>q20_q30_q42_Fig!$B$25:$L$25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q20_q30_q42_Fig!$B$30:$L$30</c:f>
              <c:numCache>
                <c:formatCode>#,##0.00\ "€"</c:formatCode>
                <c:ptCount val="11"/>
                <c:pt idx="0">
                  <c:v>2002.28</c:v>
                </c:pt>
                <c:pt idx="1">
                  <c:v>1985.41</c:v>
                </c:pt>
                <c:pt idx="2">
                  <c:v>1982.63</c:v>
                </c:pt>
                <c:pt idx="3">
                  <c:v>2024.68</c:v>
                </c:pt>
                <c:pt idx="4">
                  <c:v>2085.6</c:v>
                </c:pt>
                <c:pt idx="5">
                  <c:v>2111.4</c:v>
                </c:pt>
                <c:pt idx="6">
                  <c:v>1993.24</c:v>
                </c:pt>
                <c:pt idx="7">
                  <c:v>2027.84</c:v>
                </c:pt>
                <c:pt idx="8">
                  <c:v>2202.54</c:v>
                </c:pt>
                <c:pt idx="9">
                  <c:v>2332.16</c:v>
                </c:pt>
                <c:pt idx="10">
                  <c:v>2393.0300000000002</c:v>
                </c:pt>
              </c:numCache>
            </c:numRef>
          </c:val>
          <c:smooth val="0"/>
          <c:extLst>
            <c:ext xmlns:c16="http://schemas.microsoft.com/office/drawing/2014/chart" uri="{C3380CC4-5D6E-409C-BE32-E72D297353CC}">
              <c16:uniqueId val="{00000004-157C-4427-8EF2-DAAEF1342F78}"/>
            </c:ext>
          </c:extLst>
        </c:ser>
        <c:ser>
          <c:idx val="5"/>
          <c:order val="5"/>
          <c:tx>
            <c:strRef>
              <c:f>q20_q30_q42_Fig!$A$31</c:f>
              <c:strCache>
                <c:ptCount val="1"/>
                <c:pt idx="0">
                  <c:v>Não Abrangidos por Regulamentação Coletiva</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cat>
            <c:numRef>
              <c:f>q20_q30_q42_Fig!$B$25:$L$25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q20_q30_q42_Fig!$B$31:$L$31</c:f>
              <c:numCache>
                <c:formatCode>#,##0.00\ "€"</c:formatCode>
                <c:ptCount val="11"/>
                <c:pt idx="0">
                  <c:v>1313.3</c:v>
                </c:pt>
                <c:pt idx="1">
                  <c:v>1292.21</c:v>
                </c:pt>
                <c:pt idx="2">
                  <c:v>1292.3699999999999</c:v>
                </c:pt>
                <c:pt idx="3">
                  <c:v>1303.6199999999999</c:v>
                </c:pt>
                <c:pt idx="4">
                  <c:v>1350.43</c:v>
                </c:pt>
                <c:pt idx="5">
                  <c:v>1400.22</c:v>
                </c:pt>
                <c:pt idx="6">
                  <c:v>1426.6</c:v>
                </c:pt>
                <c:pt idx="7">
                  <c:v>1489.71</c:v>
                </c:pt>
                <c:pt idx="8">
                  <c:v>1584.35</c:v>
                </c:pt>
                <c:pt idx="9">
                  <c:v>1696.04</c:v>
                </c:pt>
                <c:pt idx="10">
                  <c:v>1853.4</c:v>
                </c:pt>
              </c:numCache>
            </c:numRef>
          </c:val>
          <c:smooth val="0"/>
          <c:extLst>
            <c:ext xmlns:c16="http://schemas.microsoft.com/office/drawing/2014/chart" uri="{C3380CC4-5D6E-409C-BE32-E72D297353CC}">
              <c16:uniqueId val="{00000005-157C-4427-8EF2-DAAEF1342F78}"/>
            </c:ext>
          </c:extLst>
        </c:ser>
        <c:dLbls>
          <c:showLegendKey val="0"/>
          <c:showVal val="0"/>
          <c:showCatName val="0"/>
          <c:showSerName val="0"/>
          <c:showPercent val="0"/>
          <c:showBubbleSize val="0"/>
        </c:dLbls>
        <c:smooth val="0"/>
        <c:axId val="164075663"/>
        <c:axId val="442964127"/>
      </c:lineChart>
      <c:catAx>
        <c:axId val="16407566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442964127"/>
        <c:crosses val="autoZero"/>
        <c:auto val="1"/>
        <c:lblAlgn val="ctr"/>
        <c:lblOffset val="100"/>
        <c:noMultiLvlLbl val="0"/>
      </c:catAx>
      <c:valAx>
        <c:axId val="442964127"/>
        <c:scaling>
          <c:orientation val="minMax"/>
          <c:max val="2500"/>
          <c:min val="0"/>
        </c:scaling>
        <c:delete val="1"/>
        <c:axPos val="l"/>
        <c:majorGridlines>
          <c:spPr>
            <a:ln w="9525" cap="flat" cmpd="sng" algn="ctr">
              <a:noFill/>
              <a:round/>
            </a:ln>
            <a:effectLst/>
          </c:spPr>
        </c:majorGridlines>
        <c:numFmt formatCode="#,##0\ &quot;€&quot;" sourceLinked="0"/>
        <c:majorTickMark val="out"/>
        <c:minorTickMark val="none"/>
        <c:tickLblPos val="nextTo"/>
        <c:crossAx val="164075663"/>
        <c:crosses val="autoZero"/>
        <c:crossBetween val="between"/>
        <c:majorUnit val="500"/>
        <c:minorUnit val="5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313135065521442E-2"/>
          <c:y val="0.12367253030827709"/>
          <c:w val="0.88699439169412064"/>
          <c:h val="0.6110622271565731"/>
        </c:manualLayout>
      </c:layout>
      <c:barChart>
        <c:barDir val="col"/>
        <c:grouping val="clustered"/>
        <c:varyColors val="0"/>
        <c:ser>
          <c:idx val="0"/>
          <c:order val="0"/>
          <c:tx>
            <c:strRef>
              <c:f>q31_q33_Fig!$A$72</c:f>
              <c:strCache>
                <c:ptCount val="1"/>
                <c:pt idx="0">
                  <c:v>Ganho mensal mediano (euros)</c:v>
                </c:pt>
              </c:strCache>
            </c:strRef>
          </c:tx>
          <c:spPr>
            <a:solidFill>
              <a:schemeClr val="accent1"/>
            </a:solidFill>
            <a:ln>
              <a:noFill/>
            </a:ln>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A9-40ED-9FAB-602781CD29FA}"/>
                </c:ext>
              </c:extLst>
            </c:dLbl>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q31_q33_Fig!$B$71:$L$71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q31_q33_Fig!$B$72:$L$72</c:f>
              <c:numCache>
                <c:formatCode>#,##0\ "€"</c:formatCode>
                <c:ptCount val="11"/>
                <c:pt idx="0">
                  <c:v>786.99</c:v>
                </c:pt>
                <c:pt idx="1">
                  <c:v>790.03</c:v>
                </c:pt>
                <c:pt idx="2">
                  <c:v>800</c:v>
                </c:pt>
                <c:pt idx="3">
                  <c:v>822.95</c:v>
                </c:pt>
                <c:pt idx="4">
                  <c:v>854.8</c:v>
                </c:pt>
                <c:pt idx="5">
                  <c:v>892.01</c:v>
                </c:pt>
                <c:pt idx="6">
                  <c:v>926.14</c:v>
                </c:pt>
                <c:pt idx="7">
                  <c:v>962.2</c:v>
                </c:pt>
                <c:pt idx="8">
                  <c:v>1017.5</c:v>
                </c:pt>
                <c:pt idx="9">
                  <c:v>1100.17</c:v>
                </c:pt>
                <c:pt idx="10">
                  <c:v>1191.02</c:v>
                </c:pt>
              </c:numCache>
            </c:numRef>
          </c:val>
          <c:extLst>
            <c:ext xmlns:c16="http://schemas.microsoft.com/office/drawing/2014/chart" uri="{C3380CC4-5D6E-409C-BE32-E72D297353CC}">
              <c16:uniqueId val="{00000001-03A9-40ED-9FAB-602781CD29FA}"/>
            </c:ext>
          </c:extLst>
        </c:ser>
        <c:ser>
          <c:idx val="1"/>
          <c:order val="1"/>
          <c:tx>
            <c:strRef>
              <c:f>q31_q33_Fig!$A$73</c:f>
              <c:strCache>
                <c:ptCount val="1"/>
                <c:pt idx="0">
                  <c:v>Limiar de baixos salários (euros)</c:v>
                </c:pt>
              </c:strCache>
            </c:strRef>
          </c:tx>
          <c:spPr>
            <a:solidFill>
              <a:schemeClr val="accent1">
                <a:lumMod val="20000"/>
                <a:lumOff val="80000"/>
              </a:schemeClr>
            </a:solidFill>
            <a:ln>
              <a:noFill/>
            </a:ln>
            <a:effectLst/>
          </c:spPr>
          <c:invertIfNegative val="0"/>
          <c:dLbls>
            <c:spPr>
              <a:noFill/>
              <a:ln>
                <a:noFill/>
              </a:ln>
              <a:effectLst/>
            </c:spPr>
            <c:txPr>
              <a:bodyPr rot="-5400000" spcFirstLastPara="1" vertOverflow="ellipsis" wrap="square" anchor="ctr" anchorCtr="1"/>
              <a:lstStyle/>
              <a:p>
                <a:pPr>
                  <a:defRPr sz="700" b="0"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q31_q33_Fig!$B$71:$L$71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q31_q33_Fig!$B$73:$L$73</c:f>
              <c:numCache>
                <c:formatCode>#,##0\ "€"</c:formatCode>
                <c:ptCount val="11"/>
                <c:pt idx="0">
                  <c:v>524.66</c:v>
                </c:pt>
                <c:pt idx="1">
                  <c:v>526.69000000000005</c:v>
                </c:pt>
                <c:pt idx="2">
                  <c:v>533.33000000000004</c:v>
                </c:pt>
                <c:pt idx="3">
                  <c:v>548.63</c:v>
                </c:pt>
                <c:pt idx="4">
                  <c:v>569.87</c:v>
                </c:pt>
                <c:pt idx="5">
                  <c:v>594.66999999999996</c:v>
                </c:pt>
                <c:pt idx="6">
                  <c:v>617.42999999999995</c:v>
                </c:pt>
                <c:pt idx="7">
                  <c:v>641.47</c:v>
                </c:pt>
                <c:pt idx="8">
                  <c:v>678.33</c:v>
                </c:pt>
                <c:pt idx="9">
                  <c:v>733.45</c:v>
                </c:pt>
                <c:pt idx="10">
                  <c:v>794.01</c:v>
                </c:pt>
              </c:numCache>
            </c:numRef>
          </c:val>
          <c:extLst>
            <c:ext xmlns:c16="http://schemas.microsoft.com/office/drawing/2014/chart" uri="{C3380CC4-5D6E-409C-BE32-E72D297353CC}">
              <c16:uniqueId val="{00000002-03A9-40ED-9FAB-602781CD29FA}"/>
            </c:ext>
          </c:extLst>
        </c:ser>
        <c:ser>
          <c:idx val="2"/>
          <c:order val="2"/>
          <c:tx>
            <c:strRef>
              <c:f>q31_q33_Fig!$A$74</c:f>
              <c:strCache>
                <c:ptCount val="1"/>
                <c:pt idx="0">
                  <c:v>Remuneração Mínima Mensal Garantida (RMMG)</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q31_q33_Fig!$B$71:$L$71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q31_q33_Fig!$B$74:$L$74</c:f>
              <c:numCache>
                <c:formatCode>#,##0\ "€"</c:formatCode>
                <c:ptCount val="11"/>
                <c:pt idx="0">
                  <c:v>505</c:v>
                </c:pt>
                <c:pt idx="1">
                  <c:v>505</c:v>
                </c:pt>
                <c:pt idx="2">
                  <c:v>530</c:v>
                </c:pt>
                <c:pt idx="3">
                  <c:v>557</c:v>
                </c:pt>
                <c:pt idx="4">
                  <c:v>580</c:v>
                </c:pt>
                <c:pt idx="5">
                  <c:v>600</c:v>
                </c:pt>
                <c:pt idx="6">
                  <c:v>635</c:v>
                </c:pt>
                <c:pt idx="7">
                  <c:v>665</c:v>
                </c:pt>
                <c:pt idx="8">
                  <c:v>705</c:v>
                </c:pt>
                <c:pt idx="9">
                  <c:v>760</c:v>
                </c:pt>
                <c:pt idx="10">
                  <c:v>820</c:v>
                </c:pt>
              </c:numCache>
            </c:numRef>
          </c:val>
          <c:extLst>
            <c:ext xmlns:c16="http://schemas.microsoft.com/office/drawing/2014/chart" uri="{C3380CC4-5D6E-409C-BE32-E72D297353CC}">
              <c16:uniqueId val="{00000003-03A9-40ED-9FAB-602781CD29FA}"/>
            </c:ext>
          </c:extLst>
        </c:ser>
        <c:dLbls>
          <c:showLegendKey val="0"/>
          <c:showVal val="0"/>
          <c:showCatName val="0"/>
          <c:showSerName val="0"/>
          <c:showPercent val="0"/>
          <c:showBubbleSize val="0"/>
        </c:dLbls>
        <c:gapWidth val="150"/>
        <c:axId val="1417600943"/>
        <c:axId val="1841201583"/>
      </c:barChart>
      <c:lineChart>
        <c:grouping val="standard"/>
        <c:varyColors val="0"/>
        <c:ser>
          <c:idx val="3"/>
          <c:order val="3"/>
          <c:tx>
            <c:strRef>
              <c:f>q31_q33_Fig!$A$75</c:f>
              <c:strCache>
                <c:ptCount val="1"/>
                <c:pt idx="0">
                  <c:v>Incidência de baixos salários (%) - Total</c:v>
                </c:pt>
              </c:strCache>
            </c:strRef>
          </c:tx>
          <c:spPr>
            <a:ln w="15875" cap="rnd">
              <a:solidFill>
                <a:srgbClr val="C27535"/>
              </a:solidFill>
              <a:round/>
            </a:ln>
            <a:effectLst/>
          </c:spPr>
          <c:marker>
            <c:symbol val="none"/>
          </c:marker>
          <c:cat>
            <c:numRef>
              <c:f>q31_q33_Fig!$B$71:$L$71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q31_q33_Fig!$B$75:$L$75</c:f>
              <c:numCache>
                <c:formatCode>0.00</c:formatCode>
                <c:ptCount val="11"/>
                <c:pt idx="0">
                  <c:v>6.78</c:v>
                </c:pt>
                <c:pt idx="1">
                  <c:v>6.7</c:v>
                </c:pt>
                <c:pt idx="2">
                  <c:v>5.86</c:v>
                </c:pt>
                <c:pt idx="3">
                  <c:v>0.19</c:v>
                </c:pt>
                <c:pt idx="4">
                  <c:v>0.16</c:v>
                </c:pt>
                <c:pt idx="5">
                  <c:v>0.18</c:v>
                </c:pt>
                <c:pt idx="6">
                  <c:v>0.14000000000000001</c:v>
                </c:pt>
                <c:pt idx="7">
                  <c:v>0.11</c:v>
                </c:pt>
                <c:pt idx="8">
                  <c:v>0.11</c:v>
                </c:pt>
                <c:pt idx="9">
                  <c:v>0.1</c:v>
                </c:pt>
                <c:pt idx="10">
                  <c:v>0.09</c:v>
                </c:pt>
              </c:numCache>
            </c:numRef>
          </c:val>
          <c:smooth val="0"/>
          <c:extLst>
            <c:ext xmlns:c16="http://schemas.microsoft.com/office/drawing/2014/chart" uri="{C3380CC4-5D6E-409C-BE32-E72D297353CC}">
              <c16:uniqueId val="{00000004-03A9-40ED-9FAB-602781CD29FA}"/>
            </c:ext>
          </c:extLst>
        </c:ser>
        <c:ser>
          <c:idx val="4"/>
          <c:order val="4"/>
          <c:tx>
            <c:strRef>
              <c:f>q31_q33_Fig!$A$76</c:f>
              <c:strCache>
                <c:ptCount val="1"/>
                <c:pt idx="0">
                  <c:v>Incidência de baixos salários (%) - Homens</c:v>
                </c:pt>
              </c:strCache>
            </c:strRef>
          </c:tx>
          <c:spPr>
            <a:ln w="15875" cap="rnd">
              <a:solidFill>
                <a:srgbClr val="F8AA79"/>
              </a:solidFill>
              <a:round/>
            </a:ln>
            <a:effectLst/>
          </c:spPr>
          <c:marker>
            <c:symbol val="none"/>
          </c:marker>
          <c:cat>
            <c:numRef>
              <c:f>q31_q33_Fig!$B$71:$L$71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q31_q33_Fig!$B$76:$L$76</c:f>
              <c:numCache>
                <c:formatCode>0.00</c:formatCode>
                <c:ptCount val="11"/>
                <c:pt idx="0">
                  <c:v>5.01</c:v>
                </c:pt>
                <c:pt idx="1">
                  <c:v>4.99</c:v>
                </c:pt>
                <c:pt idx="2">
                  <c:v>4.38</c:v>
                </c:pt>
                <c:pt idx="3">
                  <c:v>0.1</c:v>
                </c:pt>
                <c:pt idx="4">
                  <c:v>0.08</c:v>
                </c:pt>
                <c:pt idx="5">
                  <c:v>0.09</c:v>
                </c:pt>
                <c:pt idx="6">
                  <c:v>7.0000000000000007E-2</c:v>
                </c:pt>
                <c:pt idx="7">
                  <c:v>7.0000000000000007E-2</c:v>
                </c:pt>
                <c:pt idx="8">
                  <c:v>0.08</c:v>
                </c:pt>
                <c:pt idx="9">
                  <c:v>0.08</c:v>
                </c:pt>
                <c:pt idx="10">
                  <c:v>7.0000000000000007E-2</c:v>
                </c:pt>
              </c:numCache>
            </c:numRef>
          </c:val>
          <c:smooth val="0"/>
          <c:extLst>
            <c:ext xmlns:c16="http://schemas.microsoft.com/office/drawing/2014/chart" uri="{C3380CC4-5D6E-409C-BE32-E72D297353CC}">
              <c16:uniqueId val="{00000005-03A9-40ED-9FAB-602781CD29FA}"/>
            </c:ext>
          </c:extLst>
        </c:ser>
        <c:ser>
          <c:idx val="5"/>
          <c:order val="5"/>
          <c:tx>
            <c:strRef>
              <c:f>q31_q33_Fig!$A$77</c:f>
              <c:strCache>
                <c:ptCount val="1"/>
                <c:pt idx="0">
                  <c:v>Incidência de baixos salários (%) - Mulheres</c:v>
                </c:pt>
              </c:strCache>
            </c:strRef>
          </c:tx>
          <c:spPr>
            <a:ln w="15875" cap="rnd">
              <a:solidFill>
                <a:srgbClr val="FACBB4"/>
              </a:solidFill>
              <a:round/>
            </a:ln>
            <a:effectLst/>
          </c:spPr>
          <c:marker>
            <c:symbol val="none"/>
          </c:marker>
          <c:cat>
            <c:numRef>
              <c:f>q31_q33_Fig!$B$71:$L$71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q31_q33_Fig!$B$77:$L$77</c:f>
              <c:numCache>
                <c:formatCode>0.00</c:formatCode>
                <c:ptCount val="11"/>
                <c:pt idx="0">
                  <c:v>8.8699999999999992</c:v>
                </c:pt>
                <c:pt idx="1">
                  <c:v>8.6999999999999993</c:v>
                </c:pt>
                <c:pt idx="2">
                  <c:v>7.59</c:v>
                </c:pt>
                <c:pt idx="3">
                  <c:v>0.28999999999999998</c:v>
                </c:pt>
                <c:pt idx="4">
                  <c:v>0.24</c:v>
                </c:pt>
                <c:pt idx="5">
                  <c:v>0.28000000000000003</c:v>
                </c:pt>
                <c:pt idx="6">
                  <c:v>0.21</c:v>
                </c:pt>
                <c:pt idx="7">
                  <c:v>0.15</c:v>
                </c:pt>
                <c:pt idx="8">
                  <c:v>0.15</c:v>
                </c:pt>
                <c:pt idx="9">
                  <c:v>0.13</c:v>
                </c:pt>
                <c:pt idx="10">
                  <c:v>0.11</c:v>
                </c:pt>
              </c:numCache>
            </c:numRef>
          </c:val>
          <c:smooth val="0"/>
          <c:extLst>
            <c:ext xmlns:c16="http://schemas.microsoft.com/office/drawing/2014/chart" uri="{C3380CC4-5D6E-409C-BE32-E72D297353CC}">
              <c16:uniqueId val="{00000006-03A9-40ED-9FAB-602781CD29FA}"/>
            </c:ext>
          </c:extLst>
        </c:ser>
        <c:dLbls>
          <c:showLegendKey val="0"/>
          <c:showVal val="0"/>
          <c:showCatName val="0"/>
          <c:showSerName val="0"/>
          <c:showPercent val="0"/>
          <c:showBubbleSize val="0"/>
        </c:dLbls>
        <c:marker val="1"/>
        <c:smooth val="0"/>
        <c:axId val="1043261775"/>
        <c:axId val="636615199"/>
      </c:lineChart>
      <c:catAx>
        <c:axId val="141760094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1F497D"/>
                </a:solidFill>
                <a:latin typeface="+mn-lt"/>
                <a:ea typeface="+mn-ea"/>
                <a:cs typeface="+mn-cs"/>
              </a:defRPr>
            </a:pPr>
            <a:endParaRPr lang="pt-PT"/>
          </a:p>
        </c:txPr>
        <c:crossAx val="1841201583"/>
        <c:crosses val="autoZero"/>
        <c:auto val="1"/>
        <c:lblAlgn val="ctr"/>
        <c:lblOffset val="100"/>
        <c:noMultiLvlLbl val="0"/>
      </c:catAx>
      <c:valAx>
        <c:axId val="1841201583"/>
        <c:scaling>
          <c:orientation val="minMax"/>
          <c:max val="1400"/>
          <c:min val="0"/>
        </c:scaling>
        <c:delete val="0"/>
        <c:axPos val="l"/>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pt-PT" b="1"/>
                  <a:t>Euros</a:t>
                </a:r>
              </a:p>
            </c:rich>
          </c:tx>
          <c:layout>
            <c:manualLayout>
              <c:xMode val="edge"/>
              <c:yMode val="edge"/>
              <c:x val="8.6198295445675723E-3"/>
              <c:y val="1.9930596498683378E-2"/>
            </c:manualLayout>
          </c:layout>
          <c:overlay val="0"/>
          <c:spPr>
            <a:solidFill>
              <a:sysClr val="window" lastClr="FFFFFF">
                <a:lumMod val="95000"/>
              </a:sysClr>
            </a:solid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title>
        <c:numFmt formatCode="#,##0\ &quot;€&quot;"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1F497D"/>
                </a:solidFill>
                <a:latin typeface="+mn-lt"/>
                <a:ea typeface="+mn-ea"/>
                <a:cs typeface="+mn-cs"/>
              </a:defRPr>
            </a:pPr>
            <a:endParaRPr lang="pt-PT"/>
          </a:p>
        </c:txPr>
        <c:crossAx val="1417600943"/>
        <c:crosses val="autoZero"/>
        <c:crossBetween val="between"/>
        <c:majorUnit val="200"/>
      </c:valAx>
      <c:valAx>
        <c:axId val="636615199"/>
        <c:scaling>
          <c:orientation val="minMax"/>
          <c:max val="20"/>
        </c:scaling>
        <c:delete val="0"/>
        <c:axPos val="r"/>
        <c:title>
          <c:tx>
            <c:rich>
              <a:bodyPr rot="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r>
                  <a:rPr lang="pt-PT" b="1"/>
                  <a:t>%</a:t>
                </a:r>
              </a:p>
            </c:rich>
          </c:tx>
          <c:layout>
            <c:manualLayout>
              <c:xMode val="edge"/>
              <c:yMode val="edge"/>
              <c:x val="0.96980009752700702"/>
              <c:y val="2.1581401317370762E-2"/>
            </c:manualLayout>
          </c:layout>
          <c:overlay val="0"/>
          <c:spPr>
            <a:solidFill>
              <a:sysClr val="window" lastClr="FFFFFF">
                <a:lumMod val="95000"/>
              </a:sysClr>
            </a:solidFill>
            <a:ln>
              <a:noFill/>
            </a:ln>
            <a:effectLst/>
          </c:spPr>
          <c:txPr>
            <a:bodyPr rot="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1043261775"/>
        <c:crosses val="max"/>
        <c:crossBetween val="between"/>
        <c:majorUnit val="2"/>
      </c:valAx>
      <c:catAx>
        <c:axId val="1043261775"/>
        <c:scaling>
          <c:orientation val="minMax"/>
        </c:scaling>
        <c:delete val="1"/>
        <c:axPos val="b"/>
        <c:numFmt formatCode="General" sourceLinked="1"/>
        <c:majorTickMark val="out"/>
        <c:minorTickMark val="none"/>
        <c:tickLblPos val="nextTo"/>
        <c:crossAx val="636615199"/>
        <c:crosses val="autoZero"/>
        <c:auto val="1"/>
        <c:lblAlgn val="ctr"/>
        <c:lblOffset val="100"/>
        <c:noMultiLvlLbl val="0"/>
      </c:catAx>
      <c:spPr>
        <a:noFill/>
        <a:ln>
          <a:noFill/>
        </a:ln>
        <a:effectLst/>
      </c:spPr>
    </c:plotArea>
    <c:legend>
      <c:legendPos val="b"/>
      <c:layout>
        <c:manualLayout>
          <c:xMode val="edge"/>
          <c:yMode val="edge"/>
          <c:x val="1.8805959800139844E-2"/>
          <c:y val="0.81439324941150226"/>
          <c:w val="0.96495900920077704"/>
          <c:h val="6.9533187028072554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pt-PT"/>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700"/>
      </a:pPr>
      <a:endParaRPr lang="pt-PT"/>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006098566012853E-2"/>
          <c:y val="3.6962499706357212E-2"/>
          <c:w val="0.89162801798624847"/>
          <c:h val="0.82367292275951709"/>
        </c:manualLayout>
      </c:layout>
      <c:lineChart>
        <c:grouping val="standard"/>
        <c:varyColors val="0"/>
        <c:ser>
          <c:idx val="3"/>
          <c:order val="0"/>
          <c:tx>
            <c:strRef>
              <c:f>q31_q33_Fig!$A$38</c:f>
              <c:strCache>
                <c:ptCount val="1"/>
                <c:pt idx="0">
                  <c:v>P20</c:v>
                </c:pt>
              </c:strCache>
            </c:strRef>
          </c:tx>
          <c:spPr>
            <a:ln w="28575" cap="rnd">
              <a:noFill/>
              <a:round/>
            </a:ln>
            <a:effectLst/>
          </c:spPr>
          <c:marker>
            <c:symbol val="dash"/>
            <c:size val="5"/>
            <c:spPr>
              <a:solidFill>
                <a:schemeClr val="accent4"/>
              </a:solidFill>
              <a:ln w="25400">
                <a:solidFill>
                  <a:schemeClr val="accent1"/>
                </a:solidFill>
              </a:ln>
              <a:effectLst/>
            </c:spPr>
          </c:marker>
          <c:dLbls>
            <c:dLbl>
              <c:idx val="0"/>
              <c:layout>
                <c:manualLayout>
                  <c:x val="1.0749222928015713E-3"/>
                  <c:y val="-1.241027247890967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A99-4C98-9F03-4A2B0BF2BFA0}"/>
                </c:ext>
              </c:extLst>
            </c:dLbl>
            <c:dLbl>
              <c:idx val="1"/>
              <c:layout>
                <c:manualLayout>
                  <c:x val="4.6665343448171184E-3"/>
                  <c:y val="-1.9065018041589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99-4C98-9F03-4A2B0BF2BFA0}"/>
                </c:ext>
              </c:extLst>
            </c:dLbl>
            <c:dLbl>
              <c:idx val="2"/>
              <c:layout>
                <c:manualLayout>
                  <c:x val="-9.7794939380095179E-4"/>
                  <c:y val="-2.1664057416465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99-4C98-9F03-4A2B0BF2BFA0}"/>
                </c:ext>
              </c:extLst>
            </c:dLbl>
            <c:dLbl>
              <c:idx val="3"/>
              <c:layout>
                <c:manualLayout>
                  <c:x val="2.5610041042107554E-3"/>
                  <c:y val="-1.90649468867967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99-4C98-9F03-4A2B0BF2BFA0}"/>
                </c:ext>
              </c:extLst>
            </c:dLbl>
            <c:dLbl>
              <c:idx val="4"/>
              <c:layout>
                <c:manualLayout>
                  <c:x val="7.6421889514150453E-4"/>
                  <c:y val="-2.1969619865218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99-4C98-9F03-4A2B0BF2BFA0}"/>
                </c:ext>
              </c:extLst>
            </c:dLbl>
            <c:dLbl>
              <c:idx val="5"/>
              <c:layout>
                <c:manualLayout>
                  <c:x val="-9.7794939380088674E-4"/>
                  <c:y val="-2.1664057416464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A99-4C98-9F03-4A2B0BF2BFA0}"/>
                </c:ext>
              </c:extLst>
            </c:dLbl>
            <c:dLbl>
              <c:idx val="6"/>
              <c:layout>
                <c:manualLayout>
                  <c:x val="2.5610041042107554E-3"/>
                  <c:y val="-2.1664057416464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99-4C98-9F03-4A2B0BF2BFA0}"/>
                </c:ext>
              </c:extLst>
            </c:dLbl>
            <c:dLbl>
              <c:idx val="7"/>
              <c:layout>
                <c:manualLayout>
                  <c:x val="2.6154816954596758E-3"/>
                  <c:y val="-1.8759384438042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A99-4C98-9F03-4A2B0BF2BFA0}"/>
                </c:ext>
              </c:extLst>
            </c:dLbl>
            <c:dLbl>
              <c:idx val="8"/>
              <c:layout>
                <c:manualLayout>
                  <c:x val="2.5610041042107554E-3"/>
                  <c:y val="-2.45687303948869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A99-4C98-9F03-4A2B0BF2BFA0}"/>
                </c:ext>
              </c:extLst>
            </c:dLbl>
            <c:dLbl>
              <c:idx val="9"/>
              <c:layout>
                <c:manualLayout>
                  <c:x val="-9.7794939380108146E-4"/>
                  <c:y val="-2.48742928436406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A99-4C98-9F03-4A2B0BF2BFA0}"/>
                </c:ext>
              </c:extLst>
            </c:dLbl>
            <c:dLbl>
              <c:idx val="10"/>
              <c:layout>
                <c:manualLayout>
                  <c:x val="1.6716822754529896E-2"/>
                  <c:y val="-1.3461497671726294E-2"/>
                </c:manualLayout>
              </c:layout>
              <c:tx>
                <c:rich>
                  <a:bodyPr/>
                  <a:lstStyle/>
                  <a:p>
                    <a:fld id="{911B36C7-7B88-4D5A-BD1C-09A6550FCEC2}" type="VALUE">
                      <a:rPr lang="en-US"/>
                      <a:pPr/>
                      <a:t>[VALOR]</a:t>
                    </a:fld>
                    <a:r>
                      <a:rPr lang="en-US"/>
                      <a:t>  →  P20</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CA99-4C98-9F03-4A2B0BF2BFA0}"/>
                </c:ext>
              </c:extLst>
            </c:dLbl>
            <c:dLbl>
              <c:idx val="11"/>
              <c:layout>
                <c:manualLayout>
                  <c:x val="-2.2266218149659376E-2"/>
                  <c:y val="-4.2607806767563865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C-CA99-4C98-9F03-4A2B0BF2BFA0}"/>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ot"/>
                      <a:round/>
                    </a:ln>
                    <a:effectLst/>
                  </c:spPr>
                </c15:leaderLines>
              </c:ext>
            </c:extLst>
          </c:dLbls>
          <c:cat>
            <c:numRef>
              <c:extLst>
                <c:ext xmlns:c15="http://schemas.microsoft.com/office/drawing/2012/chart" uri="{02D57815-91ED-43cb-92C2-25804820EDAC}">
                  <c15:fullRef>
                    <c15:sqref>q31_q33_Fig!$B$34:$M$34</c15:sqref>
                  </c15:fullRef>
                </c:ext>
              </c:extLst>
              <c:f>q31_q33_Fig!$B$34:$M$34</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extLst>
                <c:ext xmlns:c15="http://schemas.microsoft.com/office/drawing/2012/chart" uri="{02D57815-91ED-43cb-92C2-25804820EDAC}">
                  <c15:fullRef>
                    <c15:sqref>q31_q33_Fig!$B$38:$L$38</c15:sqref>
                  </c15:fullRef>
                </c:ext>
              </c:extLst>
              <c:f>q31_q33_Fig!$B$38:$L$38</c:f>
              <c:numCache>
                <c:formatCode>#,##0\ "€"</c:formatCode>
                <c:ptCount val="11"/>
                <c:pt idx="0">
                  <c:v>603</c:v>
                </c:pt>
                <c:pt idx="1">
                  <c:v>599.86</c:v>
                </c:pt>
                <c:pt idx="2">
                  <c:v>618.22</c:v>
                </c:pt>
                <c:pt idx="3">
                  <c:v>651.55999999999995</c:v>
                </c:pt>
                <c:pt idx="4">
                  <c:v>681.85</c:v>
                </c:pt>
                <c:pt idx="5">
                  <c:v>709.7</c:v>
                </c:pt>
                <c:pt idx="6">
                  <c:v>737.42</c:v>
                </c:pt>
                <c:pt idx="7">
                  <c:v>766</c:v>
                </c:pt>
                <c:pt idx="8">
                  <c:v>809.94</c:v>
                </c:pt>
                <c:pt idx="9">
                  <c:v>885</c:v>
                </c:pt>
                <c:pt idx="10">
                  <c:v>958</c:v>
                </c:pt>
              </c:numCache>
            </c:numRef>
          </c:val>
          <c:smooth val="0"/>
          <c:extLst>
            <c:ext xmlns:c16="http://schemas.microsoft.com/office/drawing/2014/chart" uri="{C3380CC4-5D6E-409C-BE32-E72D297353CC}">
              <c16:uniqueId val="{0000000B-CA99-4C98-9F03-4A2B0BF2BFA0}"/>
            </c:ext>
          </c:extLst>
        </c:ser>
        <c:ser>
          <c:idx val="0"/>
          <c:order val="1"/>
          <c:tx>
            <c:strRef>
              <c:f>q31_q33_Fig!$A$35</c:f>
              <c:strCache>
                <c:ptCount val="1"/>
                <c:pt idx="0">
                  <c:v>P90</c:v>
                </c:pt>
              </c:strCache>
            </c:strRef>
          </c:tx>
          <c:spPr>
            <a:ln w="28575" cap="rnd">
              <a:noFill/>
              <a:round/>
            </a:ln>
            <a:effectLst/>
          </c:spPr>
          <c:marker>
            <c:symbol val="dash"/>
            <c:size val="5"/>
            <c:spPr>
              <a:solidFill>
                <a:schemeClr val="accent1"/>
              </a:solidFill>
              <a:ln w="25400">
                <a:solidFill>
                  <a:schemeClr val="accent1"/>
                </a:solidFill>
              </a:ln>
              <a:effectLst/>
            </c:spPr>
          </c:marker>
          <c:dLbls>
            <c:dLbl>
              <c:idx val="0"/>
              <c:layout>
                <c:manualLayout>
                  <c:x val="-3.3801464430103803E-2"/>
                  <c:y val="-4.1457002263129095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CA99-4C98-9F03-4A2B0BF2BFA0}"/>
                </c:ext>
              </c:extLst>
            </c:dLbl>
            <c:dLbl>
              <c:idx val="1"/>
              <c:layout>
                <c:manualLayout>
                  <c:x val="-3.4448048412030474E-2"/>
                  <c:y val="-4.58767469754188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A99-4C98-9F03-4A2B0BF2BFA0}"/>
                </c:ext>
              </c:extLst>
            </c:dLbl>
            <c:dLbl>
              <c:idx val="2"/>
              <c:layout>
                <c:manualLayout>
                  <c:x val="-3.4448048412030474E-2"/>
                  <c:y val="-4.2662405850809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A99-4C98-9F03-4A2B0BF2BFA0}"/>
                </c:ext>
              </c:extLst>
            </c:dLbl>
            <c:dLbl>
              <c:idx val="3"/>
              <c:layout>
                <c:manualLayout>
                  <c:x val="-3.4448048412030509E-2"/>
                  <c:y val="-3.94480647262001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A99-4C98-9F03-4A2B0BF2BFA0}"/>
                </c:ext>
              </c:extLst>
            </c:dLbl>
            <c:dLbl>
              <c:idx val="4"/>
              <c:layout>
                <c:manualLayout>
                  <c:x val="-3.4448048412030544E-2"/>
                  <c:y val="-4.5876746975418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A99-4C98-9F03-4A2B0BF2BFA0}"/>
                </c:ext>
              </c:extLst>
            </c:dLbl>
            <c:dLbl>
              <c:idx val="5"/>
              <c:layout>
                <c:manualLayout>
                  <c:x val="-3.4448048412030544E-2"/>
                  <c:y val="-3.9448064726200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A99-4C98-9F03-4A2B0BF2BFA0}"/>
                </c:ext>
              </c:extLst>
            </c:dLbl>
            <c:dLbl>
              <c:idx val="6"/>
              <c:layout>
                <c:manualLayout>
                  <c:x val="-3.4448048412030474E-2"/>
                  <c:y val="-3.94480647262001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A99-4C98-9F03-4A2B0BF2BFA0}"/>
                </c:ext>
              </c:extLst>
            </c:dLbl>
            <c:dLbl>
              <c:idx val="7"/>
              <c:layout>
                <c:manualLayout>
                  <c:x val="-3.4448048412030474E-2"/>
                  <c:y val="-4.2662405850809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A99-4C98-9F03-4A2B0BF2BFA0}"/>
                </c:ext>
              </c:extLst>
            </c:dLbl>
            <c:dLbl>
              <c:idx val="8"/>
              <c:layout>
                <c:manualLayout>
                  <c:x val="-3.4448048412030544E-2"/>
                  <c:y val="-3.94480647262001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A99-4C98-9F03-4A2B0BF2BFA0}"/>
                </c:ext>
              </c:extLst>
            </c:dLbl>
            <c:dLbl>
              <c:idx val="9"/>
              <c:layout>
                <c:manualLayout>
                  <c:x val="-3.4448048412030474E-2"/>
                  <c:y val="-3.94480647262001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A99-4C98-9F03-4A2B0BF2BFA0}"/>
                </c:ext>
              </c:extLst>
            </c:dLbl>
            <c:dLbl>
              <c:idx val="10"/>
              <c:layout>
                <c:manualLayout>
                  <c:x val="9.4144549013892625E-4"/>
                  <c:y val="-3.3972931038533015E-2"/>
                </c:manualLayout>
              </c:layout>
              <c:tx>
                <c:rich>
                  <a:bodyPr/>
                  <a:lstStyle/>
                  <a:p>
                    <a:fld id="{9683D013-A4A6-44B2-99E5-63F9F488E35E}" type="VALUE">
                      <a:rPr lang="en-US"/>
                      <a:pPr/>
                      <a:t>[VALOR]</a:t>
                    </a:fld>
                    <a:r>
                      <a:rPr lang="en-US"/>
                      <a:t>   →  P90</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CA99-4C98-9F03-4A2B0BF2BFA0}"/>
                </c:ext>
              </c:extLst>
            </c:dLbl>
            <c:dLbl>
              <c:idx val="11"/>
              <c:layout>
                <c:manualLayout>
                  <c:x val="-3.4448048412030474E-2"/>
                  <c:y val="-4.5876746975418908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D-CA99-4C98-9F03-4A2B0BF2BFA0}"/>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ash"/>
                      <a:round/>
                    </a:ln>
                    <a:effectLst/>
                  </c:spPr>
                </c15:leaderLines>
              </c:ext>
            </c:extLst>
          </c:dLbls>
          <c:cat>
            <c:numRef>
              <c:extLst>
                <c:ext xmlns:c15="http://schemas.microsoft.com/office/drawing/2012/chart" uri="{02D57815-91ED-43cb-92C2-25804820EDAC}">
                  <c15:fullRef>
                    <c15:sqref>q31_q33_Fig!$B$34:$M$34</c15:sqref>
                  </c15:fullRef>
                </c:ext>
              </c:extLst>
              <c:f>q31_q33_Fig!$B$34:$M$34</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extLst>
                <c:ext xmlns:c15="http://schemas.microsoft.com/office/drawing/2012/chart" uri="{02D57815-91ED-43cb-92C2-25804820EDAC}">
                  <c15:fullRef>
                    <c15:sqref>q31_q33_Fig!$B$35:$L$35</c15:sqref>
                  </c15:fullRef>
                </c:ext>
              </c:extLst>
              <c:f>q31_q33_Fig!$B$35:$L$35</c:f>
              <c:numCache>
                <c:formatCode>#,##0\ "€"</c:formatCode>
                <c:ptCount val="11"/>
                <c:pt idx="0">
                  <c:v>1932.5</c:v>
                </c:pt>
                <c:pt idx="1">
                  <c:v>1929.23</c:v>
                </c:pt>
                <c:pt idx="2">
                  <c:v>1934.8</c:v>
                </c:pt>
                <c:pt idx="3">
                  <c:v>1951.52</c:v>
                </c:pt>
                <c:pt idx="4">
                  <c:v>2000</c:v>
                </c:pt>
                <c:pt idx="5">
                  <c:v>2061.38</c:v>
                </c:pt>
                <c:pt idx="6">
                  <c:v>2123.3000000000002</c:v>
                </c:pt>
                <c:pt idx="7">
                  <c:v>2181.67</c:v>
                </c:pt>
                <c:pt idx="8">
                  <c:v>2306.09</c:v>
                </c:pt>
                <c:pt idx="9">
                  <c:v>2460.2399999999998</c:v>
                </c:pt>
                <c:pt idx="10">
                  <c:v>2644.06</c:v>
                </c:pt>
              </c:numCache>
            </c:numRef>
          </c:val>
          <c:smooth val="0"/>
          <c:extLst>
            <c:ext xmlns:c16="http://schemas.microsoft.com/office/drawing/2014/chart" uri="{C3380CC4-5D6E-409C-BE32-E72D297353CC}">
              <c16:uniqueId val="{00000017-CA99-4C98-9F03-4A2B0BF2BFA0}"/>
            </c:ext>
          </c:extLst>
        </c:ser>
        <c:ser>
          <c:idx val="2"/>
          <c:order val="2"/>
          <c:tx>
            <c:strRef>
              <c:f>q31_q33_Fig!$A$37</c:f>
              <c:strCache>
                <c:ptCount val="1"/>
                <c:pt idx="0">
                  <c:v>P50</c:v>
                </c:pt>
              </c:strCache>
            </c:strRef>
          </c:tx>
          <c:spPr>
            <a:ln w="28575" cap="rnd">
              <a:noFill/>
              <a:round/>
            </a:ln>
            <a:effectLst/>
          </c:spPr>
          <c:marker>
            <c:symbol val="dash"/>
            <c:size val="5"/>
            <c:spPr>
              <a:solidFill>
                <a:schemeClr val="accent3"/>
              </a:solidFill>
              <a:ln w="25400">
                <a:solidFill>
                  <a:schemeClr val="accent1"/>
                </a:solidFill>
              </a:ln>
              <a:effectLst/>
            </c:spPr>
          </c:marker>
          <c:dLbls>
            <c:dLbl>
              <c:idx val="0"/>
              <c:layout>
                <c:manualLayout>
                  <c:x val="-1.5038601762259513E-2"/>
                  <c:y val="-3.290674284381207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CA99-4C98-9F03-4A2B0BF2BFA0}"/>
                </c:ext>
              </c:extLst>
            </c:dLbl>
            <c:dLbl>
              <c:idx val="1"/>
              <c:layout>
                <c:manualLayout>
                  <c:x val="-2.2266218149659407E-2"/>
                  <c:y val="-4.2607806767563865E-2"/>
                </c:manualLayout>
              </c:layout>
              <c:spPr>
                <a:noFill/>
                <a:ln>
                  <a:noFill/>
                </a:ln>
                <a:effectLst/>
              </c:spPr>
              <c:txPr>
                <a:bodyPr rot="0" spcFirstLastPara="1" vertOverflow="ellipsis" vert="horz" wrap="none" lIns="38100" tIns="19050" rIns="38100" bIns="19050" anchor="ctr" anchorCtr="1">
                  <a:noAutofit/>
                </a:bodyPr>
                <a:lstStyle/>
                <a:p>
                  <a:pPr>
                    <a:defRPr sz="700" b="1" i="0" u="none" strike="noStrike" kern="1200" baseline="0">
                      <a:solidFill>
                        <a:schemeClr val="tx1"/>
                      </a:solidFill>
                      <a:latin typeface="+mn-lt"/>
                      <a:ea typeface="+mn-ea"/>
                      <a:cs typeface="+mn-cs"/>
                    </a:defRPr>
                  </a:pPr>
                  <a:endParaRPr lang="pt-PT"/>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9-CA99-4C98-9F03-4A2B0BF2BFA0}"/>
                </c:ext>
              </c:extLst>
            </c:dLbl>
            <c:dLbl>
              <c:idx val="2"/>
              <c:layout>
                <c:manualLayout>
                  <c:x val="-1.8863859092054406E-2"/>
                  <c:y val="-4.278879281798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A99-4C98-9F03-4A2B0BF2BFA0}"/>
                </c:ext>
              </c:extLst>
            </c:dLbl>
            <c:dLbl>
              <c:idx val="3"/>
              <c:layout>
                <c:manualLayout>
                  <c:x val="-2.0660605735639714E-2"/>
                  <c:y val="-4.5999020248699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A99-4C98-9F03-4A2B0BF2BFA0}"/>
                </c:ext>
              </c:extLst>
            </c:dLbl>
            <c:dLbl>
              <c:idx val="4"/>
              <c:layout>
                <c:manualLayout>
                  <c:x val="-1.8863859092054406E-2"/>
                  <c:y val="-4.5999020248699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A99-4C98-9F03-4A2B0BF2BFA0}"/>
                </c:ext>
              </c:extLst>
            </c:dLbl>
            <c:dLbl>
              <c:idx val="5"/>
              <c:layout>
                <c:manualLayout>
                  <c:x val="-2.0660605735639714E-2"/>
                  <c:y val="-4.278879281798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A99-4C98-9F03-4A2B0BF2BFA0}"/>
                </c:ext>
              </c:extLst>
            </c:dLbl>
            <c:dLbl>
              <c:idx val="6"/>
              <c:layout>
                <c:manualLayout>
                  <c:x val="-2.066060573563978E-2"/>
                  <c:y val="-4.27887928179883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A99-4C98-9F03-4A2B0BF2BFA0}"/>
                </c:ext>
              </c:extLst>
            </c:dLbl>
            <c:dLbl>
              <c:idx val="7"/>
              <c:layout>
                <c:manualLayout>
                  <c:x val="-2.0660605735639714E-2"/>
                  <c:y val="-4.278879281798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A99-4C98-9F03-4A2B0BF2BFA0}"/>
                </c:ext>
              </c:extLst>
            </c:dLbl>
            <c:dLbl>
              <c:idx val="8"/>
              <c:layout>
                <c:manualLayout>
                  <c:x val="-1.3246681980974843E-2"/>
                  <c:y val="-4.9209223083827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A99-4C98-9F03-4A2B0BF2BFA0}"/>
                </c:ext>
              </c:extLst>
            </c:dLbl>
            <c:dLbl>
              <c:idx val="9"/>
              <c:layout>
                <c:manualLayout>
                  <c:x val="-1.7067112448469226E-2"/>
                  <c:y val="-4.599902024869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A99-4C98-9F03-4A2B0BF2BFA0}"/>
                </c:ext>
              </c:extLst>
            </c:dLbl>
            <c:dLbl>
              <c:idx val="10"/>
              <c:layout>
                <c:manualLayout>
                  <c:x val="1.3041325931995506E-2"/>
                  <c:y val="-2.2826821001514626E-2"/>
                </c:manualLayout>
              </c:layout>
              <c:tx>
                <c:rich>
                  <a:bodyPr/>
                  <a:lstStyle/>
                  <a:p>
                    <a:fld id="{FA269642-5558-45EE-AB1A-6433A33E01F2}" type="VALUE">
                      <a:rPr lang="en-US"/>
                      <a:pPr/>
                      <a:t>[VALOR]</a:t>
                    </a:fld>
                    <a:r>
                      <a:rPr lang="en-US"/>
                      <a:t>  →  P50</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2-CA99-4C98-9F03-4A2B0BF2BFA0}"/>
                </c:ext>
              </c:extLst>
            </c:dLbl>
            <c:dLbl>
              <c:idx val="11"/>
              <c:layout>
                <c:manualLayout>
                  <c:x val="-1.8863859092054406E-2"/>
                  <c:y val="-5.2419475110120968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E-CA99-4C98-9F03-4A2B0BF2BFA0}"/>
                </c:ext>
              </c:extLst>
            </c:dLbl>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ysClr val="windowText" lastClr="000000">
                          <a:lumMod val="35000"/>
                          <a:lumOff val="65000"/>
                        </a:sysClr>
                      </a:solidFill>
                      <a:prstDash val="sysDot"/>
                      <a:round/>
                    </a:ln>
                    <a:effectLst/>
                  </c:spPr>
                </c15:leaderLines>
              </c:ext>
            </c:extLst>
          </c:dLbls>
          <c:cat>
            <c:numRef>
              <c:extLst>
                <c:ext xmlns:c15="http://schemas.microsoft.com/office/drawing/2012/chart" uri="{02D57815-91ED-43cb-92C2-25804820EDAC}">
                  <c15:fullRef>
                    <c15:sqref>q31_q33_Fig!$B$34:$M$34</c15:sqref>
                  </c15:fullRef>
                </c:ext>
              </c:extLst>
              <c:f>q31_q33_Fig!$B$34:$M$34</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extLst>
                <c:ext xmlns:c15="http://schemas.microsoft.com/office/drawing/2012/chart" uri="{02D57815-91ED-43cb-92C2-25804820EDAC}">
                  <c15:fullRef>
                    <c15:sqref>q31_q33_Fig!$B$37:$L$37</c15:sqref>
                  </c15:fullRef>
                </c:ext>
              </c:extLst>
              <c:f>q31_q33_Fig!$B$37:$L$37</c:f>
              <c:numCache>
                <c:formatCode>#,##0\ "€"</c:formatCode>
                <c:ptCount val="11"/>
                <c:pt idx="0">
                  <c:v>786.98</c:v>
                </c:pt>
                <c:pt idx="1">
                  <c:v>790.03</c:v>
                </c:pt>
                <c:pt idx="2">
                  <c:v>800</c:v>
                </c:pt>
                <c:pt idx="3">
                  <c:v>822.95</c:v>
                </c:pt>
                <c:pt idx="4">
                  <c:v>854.8</c:v>
                </c:pt>
                <c:pt idx="5">
                  <c:v>892.01</c:v>
                </c:pt>
                <c:pt idx="6">
                  <c:v>926.14</c:v>
                </c:pt>
                <c:pt idx="7">
                  <c:v>962.2</c:v>
                </c:pt>
                <c:pt idx="8">
                  <c:v>1017.5</c:v>
                </c:pt>
                <c:pt idx="9">
                  <c:v>1100.17</c:v>
                </c:pt>
                <c:pt idx="10">
                  <c:v>1191.02</c:v>
                </c:pt>
              </c:numCache>
            </c:numRef>
          </c:val>
          <c:smooth val="0"/>
          <c:extLst>
            <c:ext xmlns:c16="http://schemas.microsoft.com/office/drawing/2014/chart" uri="{C3380CC4-5D6E-409C-BE32-E72D297353CC}">
              <c16:uniqueId val="{00000023-CA99-4C98-9F03-4A2B0BF2BFA0}"/>
            </c:ext>
          </c:extLst>
        </c:ser>
        <c:ser>
          <c:idx val="4"/>
          <c:order val="3"/>
          <c:tx>
            <c:strRef>
              <c:f>q31_q33_Fig!$A$39</c:f>
              <c:strCache>
                <c:ptCount val="1"/>
                <c:pt idx="0">
                  <c:v>P10</c:v>
                </c:pt>
              </c:strCache>
            </c:strRef>
          </c:tx>
          <c:spPr>
            <a:ln w="28575" cap="rnd">
              <a:noFill/>
              <a:round/>
            </a:ln>
            <a:effectLst/>
          </c:spPr>
          <c:marker>
            <c:symbol val="dash"/>
            <c:size val="5"/>
            <c:spPr>
              <a:solidFill>
                <a:schemeClr val="accent5"/>
              </a:solidFill>
              <a:ln w="25400">
                <a:solidFill>
                  <a:schemeClr val="accent1"/>
                </a:solidFill>
              </a:ln>
              <a:effectLst/>
            </c:spPr>
          </c:marker>
          <c:dLbls>
            <c:dLbl>
              <c:idx val="0"/>
              <c:layout>
                <c:manualLayout>
                  <c:x val="-2.9561102374952467E-2"/>
                  <c:y val="4.2662369417242198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4-CA99-4C98-9F03-4A2B0BF2BFA0}"/>
                </c:ext>
              </c:extLst>
            </c:dLbl>
            <c:dLbl>
              <c:idx val="1"/>
              <c:layout>
                <c:manualLayout>
                  <c:x val="-2.9561102374952467E-2"/>
                  <c:y val="4.266236941724230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5-CA99-4C98-9F03-4A2B0BF2BFA0}"/>
                </c:ext>
              </c:extLst>
            </c:dLbl>
            <c:dLbl>
              <c:idx val="2"/>
              <c:layout>
                <c:manualLayout>
                  <c:x val="-2.9561102374952498E-2"/>
                  <c:y val="4.266236941724230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6-CA99-4C98-9F03-4A2B0BF2BFA0}"/>
                </c:ext>
              </c:extLst>
            </c:dLbl>
            <c:dLbl>
              <c:idx val="3"/>
              <c:layout>
                <c:manualLayout>
                  <c:x val="-2.9561102374952467E-2"/>
                  <c:y val="4.266236941724230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7-CA99-4C98-9F03-4A2B0BF2BFA0}"/>
                </c:ext>
              </c:extLst>
            </c:dLbl>
            <c:dLbl>
              <c:idx val="4"/>
              <c:layout>
                <c:manualLayout>
                  <c:x val="-2.9561102374952467E-2"/>
                  <c:y val="4.2662369417242198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8-CA99-4C98-9F03-4A2B0BF2BFA0}"/>
                </c:ext>
              </c:extLst>
            </c:dLbl>
            <c:dLbl>
              <c:idx val="5"/>
              <c:layout>
                <c:manualLayout>
                  <c:x val="-2.9561102374952467E-2"/>
                  <c:y val="4.266236941724230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9-CA99-4C98-9F03-4A2B0BF2BFA0}"/>
                </c:ext>
              </c:extLst>
            </c:dLbl>
            <c:dLbl>
              <c:idx val="6"/>
              <c:layout>
                <c:manualLayout>
                  <c:x val="-2.9561102374952533E-2"/>
                  <c:y val="4.266236941724230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A-CA99-4C98-9F03-4A2B0BF2BFA0}"/>
                </c:ext>
              </c:extLst>
            </c:dLbl>
            <c:dLbl>
              <c:idx val="7"/>
              <c:layout>
                <c:manualLayout>
                  <c:x val="-2.9561102374952467E-2"/>
                  <c:y val="4.2662369417242198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B-CA99-4C98-9F03-4A2B0BF2BFA0}"/>
                </c:ext>
              </c:extLst>
            </c:dLbl>
            <c:dLbl>
              <c:idx val="8"/>
              <c:layout>
                <c:manualLayout>
                  <c:x val="-2.9561102374952467E-2"/>
                  <c:y val="4.266236941724230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C-CA99-4C98-9F03-4A2B0BF2BFA0}"/>
                </c:ext>
              </c:extLst>
            </c:dLbl>
            <c:dLbl>
              <c:idx val="9"/>
              <c:layout>
                <c:manualLayout>
                  <c:x val="-2.9561102374952467E-2"/>
                  <c:y val="4.2662369417242198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D-CA99-4C98-9F03-4A2B0BF2BFA0}"/>
                </c:ext>
              </c:extLst>
            </c:dLbl>
            <c:dLbl>
              <c:idx val="10"/>
              <c:layout>
                <c:manualLayout>
                  <c:x val="1.6445410024799025E-2"/>
                  <c:y val="2.528338524633722E-2"/>
                </c:manualLayout>
              </c:layout>
              <c:tx>
                <c:rich>
                  <a:bodyPr/>
                  <a:lstStyle/>
                  <a:p>
                    <a:fld id="{F127EA96-2B6A-4708-961B-27357BD702B1}" type="VALUE">
                      <a:rPr lang="en-US"/>
                      <a:pPr/>
                      <a:t>[VALOR]</a:t>
                    </a:fld>
                    <a:r>
                      <a:rPr lang="en-US" baseline="0"/>
                      <a:t>  →  </a:t>
                    </a:r>
                    <a:r>
                      <a:rPr lang="en-US"/>
                      <a:t>P10</a:t>
                    </a:r>
                  </a:p>
                </c:rich>
              </c:tx>
              <c:dLblPos val="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E-CA99-4C98-9F03-4A2B0BF2BFA0}"/>
                </c:ext>
              </c:extLst>
            </c:dLbl>
            <c:numFmt formatCode="#,##0\ &quot;€&quot;"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pt-PT"/>
              </a:p>
            </c:txPr>
            <c:dLblPos val="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ash"/>
                      <a:round/>
                    </a:ln>
                    <a:effectLst/>
                  </c:spPr>
                </c15:leaderLines>
              </c:ext>
            </c:extLst>
          </c:dLbls>
          <c:cat>
            <c:numRef>
              <c:extLst>
                <c:ext xmlns:c15="http://schemas.microsoft.com/office/drawing/2012/chart" uri="{02D57815-91ED-43cb-92C2-25804820EDAC}">
                  <c15:fullRef>
                    <c15:sqref>q31_q33_Fig!$B$34:$M$34</c15:sqref>
                  </c15:fullRef>
                </c:ext>
              </c:extLst>
              <c:f>q31_q33_Fig!$B$34:$M$34</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extLst>
                <c:ext xmlns:c15="http://schemas.microsoft.com/office/drawing/2012/chart" uri="{02D57815-91ED-43cb-92C2-25804820EDAC}">
                  <c15:fullRef>
                    <c15:sqref>q31_q33_Fig!$B$39:$L$39</c15:sqref>
                  </c15:fullRef>
                </c:ext>
              </c:extLst>
              <c:f>q31_q33_Fig!$B$39:$L$39</c:f>
              <c:numCache>
                <c:formatCode>#,##0\ "€"</c:formatCode>
                <c:ptCount val="11"/>
                <c:pt idx="0">
                  <c:v>555.6</c:v>
                </c:pt>
                <c:pt idx="1">
                  <c:v>557.4</c:v>
                </c:pt>
                <c:pt idx="2">
                  <c:v>578</c:v>
                </c:pt>
                <c:pt idx="3">
                  <c:v>605</c:v>
                </c:pt>
                <c:pt idx="4">
                  <c:v>632.79999999999995</c:v>
                </c:pt>
                <c:pt idx="5">
                  <c:v>655.20000000000005</c:v>
                </c:pt>
                <c:pt idx="6">
                  <c:v>695</c:v>
                </c:pt>
                <c:pt idx="7">
                  <c:v>728</c:v>
                </c:pt>
                <c:pt idx="8">
                  <c:v>775</c:v>
                </c:pt>
                <c:pt idx="9">
                  <c:v>839.6</c:v>
                </c:pt>
                <c:pt idx="10">
                  <c:v>911</c:v>
                </c:pt>
              </c:numCache>
            </c:numRef>
          </c:val>
          <c:smooth val="0"/>
          <c:extLst>
            <c:ext xmlns:c15="http://schemas.microsoft.com/office/drawing/2012/chart" uri="{02D57815-91ED-43cb-92C2-25804820EDAC}">
              <c15:datalabelsRange>
                <c15:f>q31_q33_Fig!$M$39</c15:f>
                <c15:dlblRangeCache>
                  <c:ptCount val="1"/>
                </c15:dlblRangeCache>
              </c15:datalabelsRange>
            </c:ext>
            <c:ext xmlns:c16="http://schemas.microsoft.com/office/drawing/2014/chart" uri="{C3380CC4-5D6E-409C-BE32-E72D297353CC}">
              <c16:uniqueId val="{0000002F-CA99-4C98-9F03-4A2B0BF2BFA0}"/>
            </c:ext>
          </c:extLst>
        </c:ser>
        <c:ser>
          <c:idx val="1"/>
          <c:order val="4"/>
          <c:tx>
            <c:strRef>
              <c:f>q31_q33_Fig!$A$36</c:f>
              <c:strCache>
                <c:ptCount val="1"/>
                <c:pt idx="0">
                  <c:v>P80</c:v>
                </c:pt>
              </c:strCache>
            </c:strRef>
          </c:tx>
          <c:spPr>
            <a:ln w="28575" cap="rnd">
              <a:noFill/>
              <a:round/>
            </a:ln>
            <a:effectLst/>
          </c:spPr>
          <c:marker>
            <c:symbol val="dash"/>
            <c:size val="5"/>
            <c:spPr>
              <a:solidFill>
                <a:schemeClr val="accent2"/>
              </a:solidFill>
              <a:ln w="25400">
                <a:solidFill>
                  <a:schemeClr val="accent1"/>
                </a:solidFill>
              </a:ln>
              <a:effectLst/>
            </c:spPr>
          </c:marker>
          <c:dLbls>
            <c:dLbl>
              <c:idx val="0"/>
              <c:layout>
                <c:manualLayout>
                  <c:x val="-1.2567743442033544E-2"/>
                  <c:y val="-3.855232928470712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0-CA99-4C98-9F03-4A2B0BF2BFA0}"/>
                </c:ext>
              </c:extLst>
            </c:dLbl>
            <c:dLbl>
              <c:idx val="1"/>
              <c:layout>
                <c:manualLayout>
                  <c:x val="-2.5338654910190255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A99-4C98-9F03-4A2B0BF2BFA0}"/>
                </c:ext>
              </c:extLst>
            </c:dLbl>
            <c:dLbl>
              <c:idx val="2"/>
              <c:layout>
                <c:manualLayout>
                  <c:x val="-2.7135401553775598E-2"/>
                  <c:y val="-3.939757933685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A99-4C98-9F03-4A2B0BF2BFA0}"/>
                </c:ext>
              </c:extLst>
            </c:dLbl>
            <c:dLbl>
              <c:idx val="3"/>
              <c:layout>
                <c:manualLayout>
                  <c:x val="-2.1745161623019604E-2"/>
                  <c:y val="-3.939757933685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CA99-4C98-9F03-4A2B0BF2BFA0}"/>
                </c:ext>
              </c:extLst>
            </c:dLbl>
            <c:dLbl>
              <c:idx val="4"/>
              <c:layout>
                <c:manualLayout>
                  <c:x val="-2.7135401553775567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CA99-4C98-9F03-4A2B0BF2BFA0}"/>
                </c:ext>
              </c:extLst>
            </c:dLbl>
            <c:dLbl>
              <c:idx val="5"/>
              <c:layout>
                <c:manualLayout>
                  <c:x val="-2.5338654910190255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CA99-4C98-9F03-4A2B0BF2BFA0}"/>
                </c:ext>
              </c:extLst>
            </c:dLbl>
            <c:dLbl>
              <c:idx val="6"/>
              <c:layout>
                <c:manualLayout>
                  <c:x val="-2.5338654910190255E-2"/>
                  <c:y val="-3.939757933685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CA99-4C98-9F03-4A2B0BF2BFA0}"/>
                </c:ext>
              </c:extLst>
            </c:dLbl>
            <c:dLbl>
              <c:idx val="7"/>
              <c:layout>
                <c:manualLayout>
                  <c:x val="-2.1745161623019635E-2"/>
                  <c:y val="-4.260780676756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CA99-4C98-9F03-4A2B0BF2BFA0}"/>
                </c:ext>
              </c:extLst>
            </c:dLbl>
            <c:dLbl>
              <c:idx val="8"/>
              <c:layout>
                <c:manualLayout>
                  <c:x val="-2.5338654910190189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A99-4C98-9F03-4A2B0BF2BFA0}"/>
                </c:ext>
              </c:extLst>
            </c:dLbl>
            <c:dLbl>
              <c:idx val="9"/>
              <c:layout>
                <c:manualLayout>
                  <c:x val="-2.5338654910190255E-2"/>
                  <c:y val="-4.260780676756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CA99-4C98-9F03-4A2B0BF2BFA0}"/>
                </c:ext>
              </c:extLst>
            </c:dLbl>
            <c:dLbl>
              <c:idx val="10"/>
              <c:layout>
                <c:manualLayout>
                  <c:x val="1.1793078167284149E-2"/>
                  <c:y val="-1.6539102157812641E-2"/>
                </c:manualLayout>
              </c:layout>
              <c:tx>
                <c:rich>
                  <a:bodyPr/>
                  <a:lstStyle/>
                  <a:p>
                    <a:fld id="{7DBCAAD3-4591-432D-A2D1-9FD73A61948A}" type="VALUE">
                      <a:rPr lang="en-US"/>
                      <a:pPr/>
                      <a:t>[VALOR]</a:t>
                    </a:fld>
                    <a:r>
                      <a:rPr lang="en-US"/>
                      <a:t>  →  P80</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A-CA99-4C98-9F03-4A2B0BF2BFA0}"/>
                </c:ext>
              </c:extLst>
            </c:dLbl>
            <c:dLbl>
              <c:idx val="11"/>
              <c:layout>
                <c:manualLayout>
                  <c:x val="-2.7135401553775567E-2"/>
                  <c:y val="-4.5818034198274828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40-CA99-4C98-9F03-4A2B0BF2BFA0}"/>
                </c:ext>
              </c:extLst>
            </c:dLbl>
            <c:numFmt formatCode="#,##0\ &quot;€&quot;"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ot"/>
                      <a:round/>
                    </a:ln>
                    <a:effectLst/>
                  </c:spPr>
                </c15:leaderLines>
              </c:ext>
            </c:extLst>
          </c:dLbls>
          <c:cat>
            <c:numRef>
              <c:extLst>
                <c:ext xmlns:c15="http://schemas.microsoft.com/office/drawing/2012/chart" uri="{02D57815-91ED-43cb-92C2-25804820EDAC}">
                  <c15:fullRef>
                    <c15:sqref>q31_q33_Fig!$B$34:$M$34</c15:sqref>
                  </c15:fullRef>
                </c:ext>
              </c:extLst>
              <c:f>q31_q33_Fig!$B$34:$M$34</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extLst>
                <c:ext xmlns:c15="http://schemas.microsoft.com/office/drawing/2012/chart" uri="{02D57815-91ED-43cb-92C2-25804820EDAC}">
                  <c15:fullRef>
                    <c15:sqref>q31_q33_Fig!$B$36:$O$36</c15:sqref>
                  </c15:fullRef>
                </c:ext>
              </c:extLst>
              <c:f>q31_q33_Fig!$B$36:$M$36</c:f>
              <c:numCache>
                <c:formatCode>#,##0\ "€"</c:formatCode>
                <c:ptCount val="12"/>
                <c:pt idx="0">
                  <c:v>1349.76</c:v>
                </c:pt>
                <c:pt idx="1">
                  <c:v>1350</c:v>
                </c:pt>
                <c:pt idx="2">
                  <c:v>1351.02</c:v>
                </c:pt>
                <c:pt idx="3">
                  <c:v>1374.6</c:v>
                </c:pt>
                <c:pt idx="4">
                  <c:v>1417.92</c:v>
                </c:pt>
                <c:pt idx="5">
                  <c:v>1471.67</c:v>
                </c:pt>
                <c:pt idx="6">
                  <c:v>1517.99</c:v>
                </c:pt>
                <c:pt idx="7">
                  <c:v>1569.5</c:v>
                </c:pt>
                <c:pt idx="8">
                  <c:v>1652.03</c:v>
                </c:pt>
                <c:pt idx="9">
                  <c:v>1763.96</c:v>
                </c:pt>
                <c:pt idx="10">
                  <c:v>1893.43</c:v>
                </c:pt>
              </c:numCache>
            </c:numRef>
          </c:val>
          <c:smooth val="0"/>
          <c:extLst>
            <c:ext xmlns:c16="http://schemas.microsoft.com/office/drawing/2014/chart" uri="{C3380CC4-5D6E-409C-BE32-E72D297353CC}">
              <c16:uniqueId val="{0000003B-CA99-4C98-9F03-4A2B0BF2BFA0}"/>
            </c:ext>
          </c:extLst>
        </c:ser>
        <c:dLbls>
          <c:showLegendKey val="0"/>
          <c:showVal val="0"/>
          <c:showCatName val="0"/>
          <c:showSerName val="0"/>
          <c:showPercent val="0"/>
          <c:showBubbleSize val="0"/>
        </c:dLbls>
        <c:hiLowLines>
          <c:spPr>
            <a:ln w="9525" cap="flat" cmpd="sng" algn="ctr">
              <a:solidFill>
                <a:schemeClr val="tx1">
                  <a:lumMod val="75000"/>
                  <a:lumOff val="25000"/>
                  <a:alpha val="21000"/>
                </a:schemeClr>
              </a:solidFill>
              <a:round/>
            </a:ln>
            <a:effectLst/>
          </c:spPr>
        </c:hiLowLines>
        <c:upDownBars>
          <c:gapWidth val="219"/>
          <c:upBars>
            <c:spPr>
              <a:solidFill>
                <a:srgbClr val="4F81BD">
                  <a:lumMod val="60000"/>
                  <a:lumOff val="40000"/>
                  <a:alpha val="57000"/>
                </a:srgbClr>
              </a:solidFill>
              <a:ln w="34925">
                <a:solidFill>
                  <a:schemeClr val="tx2">
                    <a:lumMod val="20000"/>
                    <a:lumOff val="80000"/>
                  </a:schemeClr>
                </a:solidFill>
              </a:ln>
              <a:effectLst/>
              <a:scene3d>
                <a:camera prst="orthographicFront"/>
                <a:lightRig rig="threePt" dir="t"/>
              </a:scene3d>
              <a:sp3d>
                <a:bevelB w="133350"/>
              </a:sp3d>
            </c:spPr>
          </c:upBars>
          <c:downBars>
            <c:spPr>
              <a:solidFill>
                <a:schemeClr val="dk1">
                  <a:lumMod val="65000"/>
                  <a:lumOff val="35000"/>
                </a:schemeClr>
              </a:solidFill>
              <a:ln w="9525">
                <a:solidFill>
                  <a:schemeClr val="tx1">
                    <a:lumMod val="65000"/>
                    <a:lumOff val="35000"/>
                  </a:schemeClr>
                </a:solidFill>
              </a:ln>
              <a:effectLst/>
            </c:spPr>
          </c:downBars>
        </c:upDownBars>
        <c:marker val="1"/>
        <c:smooth val="0"/>
        <c:axId val="1516193728"/>
        <c:axId val="243822752"/>
      </c:lineChart>
      <c:catAx>
        <c:axId val="151619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243822752"/>
        <c:crosses val="autoZero"/>
        <c:auto val="1"/>
        <c:lblAlgn val="ctr"/>
        <c:lblOffset val="100"/>
        <c:noMultiLvlLbl val="0"/>
      </c:catAx>
      <c:valAx>
        <c:axId val="243822752"/>
        <c:scaling>
          <c:orientation val="minMax"/>
          <c:max val="2800"/>
          <c:min val="0"/>
        </c:scaling>
        <c:delete val="0"/>
        <c:axPos val="l"/>
        <c:majorGridlines>
          <c:spPr>
            <a:ln w="9525" cap="flat" cmpd="sng" algn="ctr">
              <a:noFill/>
              <a:round/>
            </a:ln>
            <a:effectLst/>
          </c:spPr>
        </c:majorGridlines>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516193728"/>
        <c:crosses val="autoZero"/>
        <c:crossBetween val="between"/>
        <c:majorUnit val="400"/>
        <c:minorUnit val="2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q4_8_12_16_25_37_Fig!$AS$37</c:f>
              <c:strCache>
                <c:ptCount val="1"/>
                <c:pt idx="0">
                  <c:v>Empresas</c:v>
                </c:pt>
              </c:strCache>
            </c:strRef>
          </c:tx>
          <c:spPr>
            <a:solidFill>
              <a:srgbClr val="4572A5"/>
            </a:solidFill>
            <a:ln w="15875" cmpd="sng">
              <a:noFill/>
              <a:prstDash val="soli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q4_8_12_16_25_37_Fig!$AR$38</c:f>
              <c:strCache>
                <c:ptCount val="1"/>
                <c:pt idx="0">
                  <c:v>Norte</c:v>
                </c:pt>
              </c:strCache>
            </c:strRef>
          </c:cat>
          <c:val>
            <c:numRef>
              <c:extLst>
                <c:ext xmlns:c15="http://schemas.microsoft.com/office/drawing/2012/chart" uri="{02D57815-91ED-43cb-92C2-25804820EDAC}">
                  <c15:fullRef>
                    <c15:sqref>q4_8_12_16_25_37_Fig!$AS$38:$AS$44</c15:sqref>
                  </c15:fullRef>
                </c:ext>
              </c:extLst>
              <c:f>q4_8_12_16_25_37_Fig!$AS$38</c:f>
              <c:numCache>
                <c:formatCode>#,##0</c:formatCode>
                <c:ptCount val="1"/>
                <c:pt idx="0">
                  <c:v>111564.99999999994</c:v>
                </c:pt>
              </c:numCache>
            </c:numRef>
          </c:val>
          <c:extLst>
            <c:ext xmlns:c16="http://schemas.microsoft.com/office/drawing/2014/chart" uri="{C3380CC4-5D6E-409C-BE32-E72D297353CC}">
              <c16:uniqueId val="{00000000-3306-48D2-8CE1-BA805F620CB1}"/>
            </c:ext>
          </c:extLst>
        </c:ser>
        <c:ser>
          <c:idx val="1"/>
          <c:order val="1"/>
          <c:tx>
            <c:strRef>
              <c:f>q4_8_12_16_25_37_Fig!$AT$37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q4_8_12_16_25_37_Fig!$AR$38</c:f>
              <c:strCache>
                <c:ptCount val="1"/>
                <c:pt idx="0">
                  <c:v>Norte</c:v>
                </c:pt>
              </c:strCache>
            </c:strRef>
          </c:cat>
          <c:val>
            <c:numRef>
              <c:extLst>
                <c:ext xmlns:c15="http://schemas.microsoft.com/office/drawing/2012/chart" uri="{02D57815-91ED-43cb-92C2-25804820EDAC}">
                  <c15:fullRef>
                    <c15:sqref>q4_8_12_16_25_37_Fig!$AT$38:$AT$44</c15:sqref>
                  </c15:fullRef>
                </c:ext>
              </c:extLst>
              <c:f>q4_8_12_16_25_37_Fig!$AT$38</c:f>
              <c:numCache>
                <c:formatCode>#,##0</c:formatCode>
                <c:ptCount val="1"/>
                <c:pt idx="0">
                  <c:v>127676.00000000001</c:v>
                </c:pt>
              </c:numCache>
            </c:numRef>
          </c:val>
          <c:extLst>
            <c:ext xmlns:c16="http://schemas.microsoft.com/office/drawing/2014/chart" uri="{C3380CC4-5D6E-409C-BE32-E72D297353CC}">
              <c16:uniqueId val="{00000001-3306-48D2-8CE1-BA805F620CB1}"/>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q4_8_12_16_25_37_Fig!$AR$39</c:f>
              <c:strCache>
                <c:ptCount val="1"/>
                <c:pt idx="0">
                  <c:v>Centro</c:v>
                </c:pt>
              </c:strCache>
            </c:strRef>
          </c:cat>
          <c:val>
            <c:numRef>
              <c:extLst>
                <c:ext xmlns:c15="http://schemas.microsoft.com/office/drawing/2012/chart" uri="{02D57815-91ED-43cb-92C2-25804820EDAC}">
                  <c15:fullRef>
                    <c15:sqref>q4_8_12_16_25_37_Fig!$AS$38:$AS$44</c15:sqref>
                  </c15:fullRef>
                </c:ext>
              </c:extLst>
              <c:f>q4_8_12_16_25_37_Fig!$AS$39</c:f>
              <c:numCache>
                <c:formatCode>#,##0</c:formatCode>
                <c:ptCount val="1"/>
                <c:pt idx="0">
                  <c:v>46606.999999999985</c:v>
                </c:pt>
              </c:numCache>
            </c:numRef>
          </c:val>
          <c:extLst>
            <c:ext xmlns:c16="http://schemas.microsoft.com/office/drawing/2014/chart" uri="{C3380CC4-5D6E-409C-BE32-E72D297353CC}">
              <c16:uniqueId val="{00000000-17F5-4BC1-A117-99C450BF8C5C}"/>
            </c:ext>
          </c:extLst>
        </c:ser>
        <c:ser>
          <c:idx val="1"/>
          <c:order val="1"/>
          <c:tx>
            <c:strRef>
              <c:f>q4_8_12_16_25_37_Fig!$AT$37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q4_8_12_16_25_37_Fig!$AR$39</c:f>
              <c:strCache>
                <c:ptCount val="1"/>
                <c:pt idx="0">
                  <c:v>Centro</c:v>
                </c:pt>
              </c:strCache>
            </c:strRef>
          </c:cat>
          <c:val>
            <c:numRef>
              <c:extLst>
                <c:ext xmlns:c15="http://schemas.microsoft.com/office/drawing/2012/chart" uri="{02D57815-91ED-43cb-92C2-25804820EDAC}">
                  <c15:fullRef>
                    <c15:sqref>q4_8_12_16_25_37_Fig!$AT$38:$AT$44</c15:sqref>
                  </c15:fullRef>
                </c:ext>
              </c:extLst>
              <c:f>q4_8_12_16_25_37_Fig!$AT$39</c:f>
              <c:numCache>
                <c:formatCode>#,##0</c:formatCode>
                <c:ptCount val="1"/>
                <c:pt idx="0">
                  <c:v>55186.999999999978</c:v>
                </c:pt>
              </c:numCache>
            </c:numRef>
          </c:val>
          <c:extLst>
            <c:ext xmlns:c16="http://schemas.microsoft.com/office/drawing/2014/chart" uri="{C3380CC4-5D6E-409C-BE32-E72D297353CC}">
              <c16:uniqueId val="{00000001-17F5-4BC1-A117-99C450BF8C5C}"/>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q4_8_12_16_25_37_Fig!$AR$40</c:f>
              <c:strCache>
                <c:ptCount val="1"/>
                <c:pt idx="0">
                  <c:v>Oeste e Vale do Tejo</c:v>
                </c:pt>
              </c:strCache>
            </c:strRef>
          </c:cat>
          <c:val>
            <c:numRef>
              <c:extLst>
                <c:ext xmlns:c15="http://schemas.microsoft.com/office/drawing/2012/chart" uri="{02D57815-91ED-43cb-92C2-25804820EDAC}">
                  <c15:fullRef>
                    <c15:sqref>q4_8_12_16_25_37_Fig!$AS$38:$AS$44</c15:sqref>
                  </c15:fullRef>
                </c:ext>
              </c:extLst>
              <c:f>q4_8_12_16_25_37_Fig!$AS$40</c:f>
              <c:numCache>
                <c:formatCode>#,##0</c:formatCode>
                <c:ptCount val="1"/>
                <c:pt idx="0">
                  <c:v>23734</c:v>
                </c:pt>
              </c:numCache>
            </c:numRef>
          </c:val>
          <c:extLst>
            <c:ext xmlns:c16="http://schemas.microsoft.com/office/drawing/2014/chart" uri="{C3380CC4-5D6E-409C-BE32-E72D297353CC}">
              <c16:uniqueId val="{00000000-C379-4AA7-984A-3B322BED12A4}"/>
            </c:ext>
          </c:extLst>
        </c:ser>
        <c:ser>
          <c:idx val="1"/>
          <c:order val="1"/>
          <c:tx>
            <c:strRef>
              <c:f>q4_8_12_16_25_37_Fig!$AT$37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q4_8_12_16_25_37_Fig!$AR$40</c:f>
              <c:strCache>
                <c:ptCount val="1"/>
                <c:pt idx="0">
                  <c:v>Oeste e Vale do Tejo</c:v>
                </c:pt>
              </c:strCache>
            </c:strRef>
          </c:cat>
          <c:val>
            <c:numRef>
              <c:extLst>
                <c:ext xmlns:c15="http://schemas.microsoft.com/office/drawing/2012/chart" uri="{02D57815-91ED-43cb-92C2-25804820EDAC}">
                  <c15:fullRef>
                    <c15:sqref>q4_8_12_16_25_37_Fig!$AT$38:$AT$44</c15:sqref>
                  </c15:fullRef>
                </c:ext>
              </c:extLst>
              <c:f>q4_8_12_16_25_37_Fig!$AT$40</c:f>
              <c:numCache>
                <c:formatCode>#,##0</c:formatCode>
                <c:ptCount val="1"/>
                <c:pt idx="0">
                  <c:v>27902.999999999993</c:v>
                </c:pt>
              </c:numCache>
            </c:numRef>
          </c:val>
          <c:extLst>
            <c:ext xmlns:c16="http://schemas.microsoft.com/office/drawing/2014/chart" uri="{C3380CC4-5D6E-409C-BE32-E72D297353CC}">
              <c16:uniqueId val="{00000001-C379-4AA7-984A-3B322BED12A4}"/>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majorUnit val="4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q4_8_12_16_25_37_Fig!$AR$42</c:f>
              <c:strCache>
                <c:ptCount val="1"/>
                <c:pt idx="0">
                  <c:v>Península de Setúbal</c:v>
                </c:pt>
              </c:strCache>
            </c:strRef>
          </c:cat>
          <c:val>
            <c:numRef>
              <c:extLst>
                <c:ext xmlns:c15="http://schemas.microsoft.com/office/drawing/2012/chart" uri="{02D57815-91ED-43cb-92C2-25804820EDAC}">
                  <c15:fullRef>
                    <c15:sqref>q4_8_12_16_25_37_Fig!$AS$38:$AS$44</c15:sqref>
                  </c15:fullRef>
                </c:ext>
              </c:extLst>
              <c:f>q4_8_12_16_25_37_Fig!$AS$42</c:f>
              <c:numCache>
                <c:formatCode>#,##0</c:formatCode>
                <c:ptCount val="1"/>
                <c:pt idx="0">
                  <c:v>14916</c:v>
                </c:pt>
              </c:numCache>
            </c:numRef>
          </c:val>
          <c:extLst>
            <c:ext xmlns:c16="http://schemas.microsoft.com/office/drawing/2014/chart" uri="{C3380CC4-5D6E-409C-BE32-E72D297353CC}">
              <c16:uniqueId val="{00000000-DFFA-4B81-BF7C-68426DBE9865}"/>
            </c:ext>
          </c:extLst>
        </c:ser>
        <c:ser>
          <c:idx val="1"/>
          <c:order val="1"/>
          <c:tx>
            <c:strRef>
              <c:f>q4_8_12_16_25_37_Fig!$AT$37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q4_8_12_16_25_37_Fig!$AR$42</c:f>
              <c:strCache>
                <c:ptCount val="1"/>
                <c:pt idx="0">
                  <c:v>Península de Setúbal</c:v>
                </c:pt>
              </c:strCache>
            </c:strRef>
          </c:cat>
          <c:val>
            <c:numRef>
              <c:extLst>
                <c:ext xmlns:c15="http://schemas.microsoft.com/office/drawing/2012/chart" uri="{02D57815-91ED-43cb-92C2-25804820EDAC}">
                  <c15:fullRef>
                    <c15:sqref>q4_8_12_16_25_37_Fig!$AT$38:$AT$44</c15:sqref>
                  </c15:fullRef>
                </c:ext>
              </c:extLst>
              <c:f>q4_8_12_16_25_37_Fig!$AT$42</c:f>
              <c:numCache>
                <c:formatCode>#,##0</c:formatCode>
                <c:ptCount val="1"/>
                <c:pt idx="0">
                  <c:v>18128</c:v>
                </c:pt>
              </c:numCache>
            </c:numRef>
          </c:val>
          <c:extLst>
            <c:ext xmlns:c16="http://schemas.microsoft.com/office/drawing/2014/chart" uri="{C3380CC4-5D6E-409C-BE32-E72D297353CC}">
              <c16:uniqueId val="{00000001-DFFA-4B81-BF7C-68426DBE9865}"/>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min val="0"/>
        </c:scaling>
        <c:delete val="1"/>
        <c:axPos val="l"/>
        <c:numFmt formatCode="#,##0" sourceLinked="1"/>
        <c:majorTickMark val="out"/>
        <c:minorTickMark val="none"/>
        <c:tickLblPos val="nextTo"/>
        <c:crossAx val="636287087"/>
        <c:crosses val="autoZero"/>
        <c:crossBetween val="between"/>
        <c:majorUnit val="50000"/>
        <c:minorUnit val="1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q4_8_12_16_25_37_Fig!$AR$41</c:f>
              <c:strCache>
                <c:ptCount val="1"/>
                <c:pt idx="0">
                  <c:v>Grande Lisboa</c:v>
                </c:pt>
              </c:strCache>
            </c:strRef>
          </c:cat>
          <c:val>
            <c:numRef>
              <c:extLst>
                <c:ext xmlns:c15="http://schemas.microsoft.com/office/drawing/2012/chart" uri="{02D57815-91ED-43cb-92C2-25804820EDAC}">
                  <c15:fullRef>
                    <c15:sqref>q4_8_12_16_25_37_Fig!$AS$38:$AS$44</c15:sqref>
                  </c15:fullRef>
                </c:ext>
              </c:extLst>
              <c:f>q4_8_12_16_25_37_Fig!$AS$41</c:f>
              <c:numCache>
                <c:formatCode>#,##0</c:formatCode>
                <c:ptCount val="1"/>
                <c:pt idx="0">
                  <c:v>59232</c:v>
                </c:pt>
              </c:numCache>
            </c:numRef>
          </c:val>
          <c:extLst>
            <c:ext xmlns:c16="http://schemas.microsoft.com/office/drawing/2014/chart" uri="{C3380CC4-5D6E-409C-BE32-E72D297353CC}">
              <c16:uniqueId val="{00000000-B07C-4A48-912E-25270951C9D9}"/>
            </c:ext>
          </c:extLst>
        </c:ser>
        <c:ser>
          <c:idx val="1"/>
          <c:order val="1"/>
          <c:tx>
            <c:strRef>
              <c:f>q4_8_12_16_25_37_Fig!$AT$37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q4_8_12_16_25_37_Fig!$AR$41</c:f>
              <c:strCache>
                <c:ptCount val="1"/>
                <c:pt idx="0">
                  <c:v>Grande Lisboa</c:v>
                </c:pt>
              </c:strCache>
            </c:strRef>
          </c:cat>
          <c:val>
            <c:numRef>
              <c:extLst>
                <c:ext xmlns:c15="http://schemas.microsoft.com/office/drawing/2012/chart" uri="{02D57815-91ED-43cb-92C2-25804820EDAC}">
                  <c15:fullRef>
                    <c15:sqref>q4_8_12_16_25_37_Fig!$AT$38:$AT$44</c15:sqref>
                  </c15:fullRef>
                </c:ext>
              </c:extLst>
              <c:f>q4_8_12_16_25_37_Fig!$AT$41</c:f>
              <c:numCache>
                <c:formatCode>#,##0</c:formatCode>
                <c:ptCount val="1"/>
                <c:pt idx="0">
                  <c:v>69821</c:v>
                </c:pt>
              </c:numCache>
            </c:numRef>
          </c:val>
          <c:extLst>
            <c:ext xmlns:c16="http://schemas.microsoft.com/office/drawing/2014/chart" uri="{C3380CC4-5D6E-409C-BE32-E72D297353CC}">
              <c16:uniqueId val="{00000001-B07C-4A48-912E-25270951C9D9}"/>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PT" sz="900" b="1">
                <a:solidFill>
                  <a:schemeClr val="tx2">
                    <a:lumMod val="75000"/>
                  </a:schemeClr>
                </a:solidFill>
              </a:rPr>
              <a:t>...por Secção de Atividade Económica* do</a:t>
            </a:r>
            <a:r>
              <a:rPr lang="pt-PT" sz="900" b="1" baseline="0">
                <a:solidFill>
                  <a:schemeClr val="tx2">
                    <a:lumMod val="75000"/>
                  </a:schemeClr>
                </a:solidFill>
              </a:rPr>
              <a:t> estabelecimento</a:t>
            </a:r>
            <a:endParaRPr lang="pt-PT" sz="900" b="1">
              <a:solidFill>
                <a:schemeClr val="tx2">
                  <a:lumMod val="75000"/>
                </a:schemeClr>
              </a:solidFill>
            </a:endParaRPr>
          </a:p>
        </c:rich>
      </c:tx>
      <c:layout>
        <c:manualLayout>
          <c:xMode val="edge"/>
          <c:yMode val="edge"/>
          <c:x val="0.46600349040139616"/>
          <c:y val="3.71345029239766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PT"/>
        </a:p>
      </c:txPr>
    </c:title>
    <c:autoTitleDeleted val="0"/>
    <c:plotArea>
      <c:layout/>
      <c:barChart>
        <c:barDir val="col"/>
        <c:grouping val="stacked"/>
        <c:varyColors val="0"/>
        <c:ser>
          <c:idx val="0"/>
          <c:order val="0"/>
          <c:tx>
            <c:strRef>
              <c:f>q11_q13_q15_q17_Fig!$R$7</c:f>
              <c:strCache>
                <c:ptCount val="1"/>
                <c:pt idx="0">
                  <c:v>A</c:v>
                </c:pt>
              </c:strCache>
            </c:strRef>
          </c:tx>
          <c:spPr>
            <a:solidFill>
              <a:schemeClr val="accent1"/>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q11_q13_q15_q17_Fig!$S$7:$AC$7</c:f>
              <c:numCache>
                <c:formatCode>General</c:formatCode>
                <c:ptCount val="11"/>
                <c:pt idx="0">
                  <c:v>54661</c:v>
                </c:pt>
                <c:pt idx="1">
                  <c:v>57045</c:v>
                </c:pt>
                <c:pt idx="2">
                  <c:v>60375</c:v>
                </c:pt>
                <c:pt idx="3">
                  <c:v>61737</c:v>
                </c:pt>
                <c:pt idx="4">
                  <c:v>65121</c:v>
                </c:pt>
                <c:pt idx="5">
                  <c:v>66106</c:v>
                </c:pt>
                <c:pt idx="6">
                  <c:v>69923</c:v>
                </c:pt>
                <c:pt idx="7">
                  <c:v>68486</c:v>
                </c:pt>
                <c:pt idx="8">
                  <c:v>74274</c:v>
                </c:pt>
                <c:pt idx="9">
                  <c:v>78184</c:v>
                </c:pt>
                <c:pt idx="10">
                  <c:v>80117</c:v>
                </c:pt>
              </c:numCache>
            </c:numRef>
          </c:val>
          <c:extLst xmlns:c15="http://schemas.microsoft.com/office/drawing/2012/chart">
            <c:ext xmlns:c16="http://schemas.microsoft.com/office/drawing/2014/chart" uri="{C3380CC4-5D6E-409C-BE32-E72D297353CC}">
              <c16:uniqueId val="{00000000-6646-49E4-B77D-FBBB2FE74EB7}"/>
            </c:ext>
          </c:extLst>
        </c:ser>
        <c:ser>
          <c:idx val="1"/>
          <c:order val="1"/>
          <c:tx>
            <c:strRef>
              <c:f>q11_q13_q15_q17_Fig!$R$8</c:f>
              <c:strCache>
                <c:ptCount val="1"/>
                <c:pt idx="0">
                  <c:v>B</c:v>
                </c:pt>
              </c:strCache>
            </c:strRef>
          </c:tx>
          <c:spPr>
            <a:solidFill>
              <a:schemeClr val="accent3"/>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q11_q13_q15_q17_Fig!$S$8:$AC$8</c:f>
              <c:numCache>
                <c:formatCode>General</c:formatCode>
                <c:ptCount val="11"/>
                <c:pt idx="0">
                  <c:v>8158</c:v>
                </c:pt>
                <c:pt idx="1">
                  <c:v>8132</c:v>
                </c:pt>
                <c:pt idx="2">
                  <c:v>8049</c:v>
                </c:pt>
                <c:pt idx="3">
                  <c:v>8407</c:v>
                </c:pt>
                <c:pt idx="4">
                  <c:v>8338</c:v>
                </c:pt>
                <c:pt idx="5">
                  <c:v>8161</c:v>
                </c:pt>
                <c:pt idx="6">
                  <c:v>8029</c:v>
                </c:pt>
                <c:pt idx="7">
                  <c:v>8140</c:v>
                </c:pt>
                <c:pt idx="8">
                  <c:v>8518</c:v>
                </c:pt>
                <c:pt idx="9">
                  <c:v>9125</c:v>
                </c:pt>
                <c:pt idx="10">
                  <c:v>9139</c:v>
                </c:pt>
              </c:numCache>
            </c:numRef>
          </c:val>
          <c:extLst>
            <c:ext xmlns:c16="http://schemas.microsoft.com/office/drawing/2014/chart" uri="{C3380CC4-5D6E-409C-BE32-E72D297353CC}">
              <c16:uniqueId val="{00000001-6646-49E4-B77D-FBBB2FE74EB7}"/>
            </c:ext>
          </c:extLst>
        </c:ser>
        <c:ser>
          <c:idx val="2"/>
          <c:order val="2"/>
          <c:tx>
            <c:strRef>
              <c:f>q11_q13_q15_q17_Fig!$R$9</c:f>
              <c:strCache>
                <c:ptCount val="1"/>
                <c:pt idx="0">
                  <c:v>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q11_q13_q15_q17_Fig!$S$9:$AC$9</c:f>
              <c:numCache>
                <c:formatCode>General</c:formatCode>
                <c:ptCount val="11"/>
                <c:pt idx="0">
                  <c:v>557477</c:v>
                </c:pt>
                <c:pt idx="1">
                  <c:v>572207</c:v>
                </c:pt>
                <c:pt idx="2">
                  <c:v>589603</c:v>
                </c:pt>
                <c:pt idx="3">
                  <c:v>613379</c:v>
                </c:pt>
                <c:pt idx="4">
                  <c:v>633595</c:v>
                </c:pt>
                <c:pt idx="5">
                  <c:v>625633</c:v>
                </c:pt>
                <c:pt idx="6">
                  <c:v>614674</c:v>
                </c:pt>
                <c:pt idx="7">
                  <c:v>612054</c:v>
                </c:pt>
                <c:pt idx="8">
                  <c:v>642354</c:v>
                </c:pt>
                <c:pt idx="9">
                  <c:v>650876</c:v>
                </c:pt>
                <c:pt idx="10">
                  <c:v>641915</c:v>
                </c:pt>
              </c:numCache>
            </c:numRef>
          </c:val>
          <c:extLst>
            <c:ext xmlns:c16="http://schemas.microsoft.com/office/drawing/2014/chart" uri="{C3380CC4-5D6E-409C-BE32-E72D297353CC}">
              <c16:uniqueId val="{00000002-6646-49E4-B77D-FBBB2FE74EB7}"/>
            </c:ext>
          </c:extLst>
        </c:ser>
        <c:ser>
          <c:idx val="3"/>
          <c:order val="3"/>
          <c:tx>
            <c:strRef>
              <c:f>q11_q13_q15_q17_Fig!$R$10</c:f>
              <c:strCache>
                <c:ptCount val="1"/>
                <c:pt idx="0">
                  <c:v>D</c:v>
                </c:pt>
              </c:strCache>
            </c:strRef>
          </c:tx>
          <c:spPr>
            <a:solidFill>
              <a:schemeClr val="accent1">
                <a:lumMod val="6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q11_q13_q15_q17_Fig!$S$10:$AC$10</c:f>
              <c:numCache>
                <c:formatCode>General</c:formatCode>
                <c:ptCount val="11"/>
                <c:pt idx="0">
                  <c:v>6277</c:v>
                </c:pt>
                <c:pt idx="1">
                  <c:v>6611</c:v>
                </c:pt>
                <c:pt idx="2">
                  <c:v>6390</c:v>
                </c:pt>
                <c:pt idx="3">
                  <c:v>6505</c:v>
                </c:pt>
                <c:pt idx="4">
                  <c:v>6748</c:v>
                </c:pt>
                <c:pt idx="5">
                  <c:v>6736</c:v>
                </c:pt>
                <c:pt idx="6">
                  <c:v>6671</c:v>
                </c:pt>
                <c:pt idx="7">
                  <c:v>6574</c:v>
                </c:pt>
                <c:pt idx="8">
                  <c:v>6551</c:v>
                </c:pt>
                <c:pt idx="9">
                  <c:v>6954</c:v>
                </c:pt>
                <c:pt idx="10">
                  <c:v>7070</c:v>
                </c:pt>
              </c:numCache>
            </c:numRef>
          </c:val>
          <c:extLst>
            <c:ext xmlns:c16="http://schemas.microsoft.com/office/drawing/2014/chart" uri="{C3380CC4-5D6E-409C-BE32-E72D297353CC}">
              <c16:uniqueId val="{00000003-6646-49E4-B77D-FBBB2FE74EB7}"/>
            </c:ext>
          </c:extLst>
        </c:ser>
        <c:ser>
          <c:idx val="4"/>
          <c:order val="4"/>
          <c:tx>
            <c:strRef>
              <c:f>q11_q13_q15_q17_Fig!$R$11</c:f>
              <c:strCache>
                <c:ptCount val="1"/>
                <c:pt idx="0">
                  <c:v>E</c:v>
                </c:pt>
              </c:strCache>
            </c:strRef>
          </c:tx>
          <c:spPr>
            <a:solidFill>
              <a:schemeClr val="accent3">
                <a:lumMod val="6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q11_q13_q15_q17_Fig!$S$11:$AC$11</c:f>
              <c:numCache>
                <c:formatCode>General</c:formatCode>
                <c:ptCount val="11"/>
                <c:pt idx="0">
                  <c:v>20348</c:v>
                </c:pt>
                <c:pt idx="1">
                  <c:v>20860</c:v>
                </c:pt>
                <c:pt idx="2">
                  <c:v>22233</c:v>
                </c:pt>
                <c:pt idx="3">
                  <c:v>23079</c:v>
                </c:pt>
                <c:pt idx="4">
                  <c:v>23567</c:v>
                </c:pt>
                <c:pt idx="5">
                  <c:v>24904</c:v>
                </c:pt>
                <c:pt idx="6">
                  <c:v>25711</c:v>
                </c:pt>
                <c:pt idx="7">
                  <c:v>27469</c:v>
                </c:pt>
                <c:pt idx="8">
                  <c:v>28585</c:v>
                </c:pt>
                <c:pt idx="9">
                  <c:v>29229</c:v>
                </c:pt>
                <c:pt idx="10">
                  <c:v>30260</c:v>
                </c:pt>
              </c:numCache>
            </c:numRef>
          </c:val>
          <c:extLst>
            <c:ext xmlns:c16="http://schemas.microsoft.com/office/drawing/2014/chart" uri="{C3380CC4-5D6E-409C-BE32-E72D297353CC}">
              <c16:uniqueId val="{00000004-6646-49E4-B77D-FBBB2FE74EB7}"/>
            </c:ext>
          </c:extLst>
        </c:ser>
        <c:ser>
          <c:idx val="5"/>
          <c:order val="5"/>
          <c:tx>
            <c:strRef>
              <c:f>q11_q13_q15_q17_Fig!$R$12</c:f>
              <c:strCache>
                <c:ptCount val="1"/>
                <c:pt idx="0">
                  <c:v>F</c:v>
                </c:pt>
              </c:strCache>
            </c:strRef>
          </c:tx>
          <c:spPr>
            <a:solidFill>
              <a:schemeClr val="accent5">
                <a:lumMod val="60000"/>
              </a:schemeClr>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4DF5-4D5B-A7E8-8DA0DB9067D4}"/>
                </c:ext>
              </c:extLst>
            </c:dLbl>
            <c:dLbl>
              <c:idx val="4"/>
              <c:delete val="1"/>
              <c:extLst>
                <c:ext xmlns:c15="http://schemas.microsoft.com/office/drawing/2012/chart" uri="{CE6537A1-D6FC-4f65-9D91-7224C49458BB}"/>
                <c:ext xmlns:c16="http://schemas.microsoft.com/office/drawing/2014/chart" uri="{C3380CC4-5D6E-409C-BE32-E72D297353CC}">
                  <c16:uniqueId val="{00000005-6646-49E4-B77D-FBBB2FE74EB7}"/>
                </c:ext>
              </c:extLst>
            </c:dLbl>
            <c:dLbl>
              <c:idx val="5"/>
              <c:delete val="1"/>
              <c:extLst>
                <c:ext xmlns:c15="http://schemas.microsoft.com/office/drawing/2012/chart" uri="{CE6537A1-D6FC-4f65-9D91-7224C49458BB}"/>
                <c:ext xmlns:c16="http://schemas.microsoft.com/office/drawing/2014/chart" uri="{C3380CC4-5D6E-409C-BE32-E72D297353CC}">
                  <c16:uniqueId val="{00000006-6646-49E4-B77D-FBBB2FE74EB7}"/>
                </c:ext>
              </c:extLst>
            </c:dLbl>
            <c:dLbl>
              <c:idx val="6"/>
              <c:delete val="1"/>
              <c:extLst>
                <c:ext xmlns:c15="http://schemas.microsoft.com/office/drawing/2012/chart" uri="{CE6537A1-D6FC-4f65-9D91-7224C49458BB}"/>
                <c:ext xmlns:c16="http://schemas.microsoft.com/office/drawing/2014/chart" uri="{C3380CC4-5D6E-409C-BE32-E72D297353CC}">
                  <c16:uniqueId val="{00000007-6646-49E4-B77D-FBBB2FE74EB7}"/>
                </c:ext>
              </c:extLst>
            </c:dLbl>
            <c:dLbl>
              <c:idx val="7"/>
              <c:delete val="1"/>
              <c:extLst>
                <c:ext xmlns:c15="http://schemas.microsoft.com/office/drawing/2012/chart" uri="{CE6537A1-D6FC-4f65-9D91-7224C49458BB}"/>
                <c:ext xmlns:c16="http://schemas.microsoft.com/office/drawing/2014/chart" uri="{C3380CC4-5D6E-409C-BE32-E72D297353CC}">
                  <c16:uniqueId val="{00000008-6646-49E4-B77D-FBBB2FE74EB7}"/>
                </c:ext>
              </c:extLst>
            </c:dLbl>
            <c:dLbl>
              <c:idx val="10"/>
              <c:delete val="1"/>
              <c:extLst>
                <c:ext xmlns:c15="http://schemas.microsoft.com/office/drawing/2012/chart" uri="{CE6537A1-D6FC-4f65-9D91-7224C49458BB}"/>
                <c:ext xmlns:c16="http://schemas.microsoft.com/office/drawing/2014/chart" uri="{C3380CC4-5D6E-409C-BE32-E72D297353CC}">
                  <c16:uniqueId val="{00000002-4DF5-4D5B-A7E8-8DA0DB9067D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q11_q13_q15_q17_Fig!$S$12:$AC$12</c:f>
              <c:numCache>
                <c:formatCode>General</c:formatCode>
                <c:ptCount val="11"/>
                <c:pt idx="0">
                  <c:v>178366</c:v>
                </c:pt>
                <c:pt idx="1">
                  <c:v>178864</c:v>
                </c:pt>
                <c:pt idx="2">
                  <c:v>183547</c:v>
                </c:pt>
                <c:pt idx="3">
                  <c:v>195420</c:v>
                </c:pt>
                <c:pt idx="4">
                  <c:v>206868</c:v>
                </c:pt>
                <c:pt idx="5">
                  <c:v>219984</c:v>
                </c:pt>
                <c:pt idx="6">
                  <c:v>232381</c:v>
                </c:pt>
                <c:pt idx="7">
                  <c:v>234450</c:v>
                </c:pt>
                <c:pt idx="8">
                  <c:v>253501</c:v>
                </c:pt>
                <c:pt idx="9">
                  <c:v>275564</c:v>
                </c:pt>
                <c:pt idx="10">
                  <c:v>287512</c:v>
                </c:pt>
              </c:numCache>
            </c:numRef>
          </c:val>
          <c:extLst>
            <c:ext xmlns:c16="http://schemas.microsoft.com/office/drawing/2014/chart" uri="{C3380CC4-5D6E-409C-BE32-E72D297353CC}">
              <c16:uniqueId val="{0000000A-6646-49E4-B77D-FBBB2FE74EB7}"/>
            </c:ext>
          </c:extLst>
        </c:ser>
        <c:ser>
          <c:idx val="6"/>
          <c:order val="6"/>
          <c:tx>
            <c:strRef>
              <c:f>q11_q13_q15_q17_Fig!$R$13</c:f>
              <c:strCache>
                <c:ptCount val="1"/>
                <c:pt idx="0">
                  <c:v>G</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q11_q13_q15_q17_Fig!$S$13:$AC$13</c:f>
              <c:numCache>
                <c:formatCode>General</c:formatCode>
                <c:ptCount val="11"/>
                <c:pt idx="0">
                  <c:v>463519</c:v>
                </c:pt>
                <c:pt idx="1">
                  <c:v>478256</c:v>
                </c:pt>
                <c:pt idx="2">
                  <c:v>492250</c:v>
                </c:pt>
                <c:pt idx="3">
                  <c:v>507360</c:v>
                </c:pt>
                <c:pt idx="4">
                  <c:v>522673</c:v>
                </c:pt>
                <c:pt idx="5">
                  <c:v>538367</c:v>
                </c:pt>
                <c:pt idx="6">
                  <c:v>525816</c:v>
                </c:pt>
                <c:pt idx="7">
                  <c:v>533620</c:v>
                </c:pt>
                <c:pt idx="8">
                  <c:v>559353</c:v>
                </c:pt>
                <c:pt idx="9">
                  <c:v>577407</c:v>
                </c:pt>
                <c:pt idx="10">
                  <c:v>583143</c:v>
                </c:pt>
              </c:numCache>
            </c:numRef>
          </c:val>
          <c:extLst>
            <c:ext xmlns:c16="http://schemas.microsoft.com/office/drawing/2014/chart" uri="{C3380CC4-5D6E-409C-BE32-E72D297353CC}">
              <c16:uniqueId val="{0000000B-6646-49E4-B77D-FBBB2FE74EB7}"/>
            </c:ext>
          </c:extLst>
        </c:ser>
        <c:ser>
          <c:idx val="7"/>
          <c:order val="7"/>
          <c:tx>
            <c:strRef>
              <c:f>q11_q13_q15_q17_Fig!$R$14</c:f>
              <c:strCache>
                <c:ptCount val="1"/>
                <c:pt idx="0">
                  <c:v>H</c:v>
                </c:pt>
              </c:strCache>
            </c:strRef>
          </c:tx>
          <c:spPr>
            <a:solidFill>
              <a:schemeClr val="accent3">
                <a:lumMod val="80000"/>
                <a:lumOff val="2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q11_q13_q15_q17_Fig!$S$14:$AC$14</c:f>
              <c:numCache>
                <c:formatCode>General</c:formatCode>
                <c:ptCount val="11"/>
                <c:pt idx="0">
                  <c:v>122986</c:v>
                </c:pt>
                <c:pt idx="1">
                  <c:v>127238</c:v>
                </c:pt>
                <c:pt idx="2">
                  <c:v>132842</c:v>
                </c:pt>
                <c:pt idx="3">
                  <c:v>140148</c:v>
                </c:pt>
                <c:pt idx="4">
                  <c:v>145741</c:v>
                </c:pt>
                <c:pt idx="5">
                  <c:v>147408</c:v>
                </c:pt>
                <c:pt idx="6">
                  <c:v>146314</c:v>
                </c:pt>
                <c:pt idx="7">
                  <c:v>142969</c:v>
                </c:pt>
                <c:pt idx="8">
                  <c:v>149925</c:v>
                </c:pt>
                <c:pt idx="9">
                  <c:v>159412</c:v>
                </c:pt>
                <c:pt idx="10">
                  <c:v>163507</c:v>
                </c:pt>
              </c:numCache>
            </c:numRef>
          </c:val>
          <c:extLst>
            <c:ext xmlns:c16="http://schemas.microsoft.com/office/drawing/2014/chart" uri="{C3380CC4-5D6E-409C-BE32-E72D297353CC}">
              <c16:uniqueId val="{0000000C-6646-49E4-B77D-FBBB2FE74EB7}"/>
            </c:ext>
          </c:extLst>
        </c:ser>
        <c:ser>
          <c:idx val="8"/>
          <c:order val="8"/>
          <c:tx>
            <c:strRef>
              <c:f>q11_q13_q15_q17_Fig!$R$15</c:f>
              <c:strCache>
                <c:ptCount val="1"/>
                <c:pt idx="0">
                  <c:v>I</c:v>
                </c:pt>
              </c:strCache>
            </c:strRef>
          </c:tx>
          <c:spPr>
            <a:solidFill>
              <a:schemeClr val="accent5">
                <a:lumMod val="80000"/>
                <a:lumOff val="2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6646-49E4-B77D-FBBB2FE74EB7}"/>
                </c:ext>
              </c:extLst>
            </c:dLbl>
            <c:dLbl>
              <c:idx val="1"/>
              <c:delete val="1"/>
              <c:extLst>
                <c:ext xmlns:c15="http://schemas.microsoft.com/office/drawing/2012/chart" uri="{CE6537A1-D6FC-4f65-9D91-7224C49458BB}"/>
                <c:ext xmlns:c16="http://schemas.microsoft.com/office/drawing/2014/chart" uri="{C3380CC4-5D6E-409C-BE32-E72D297353CC}">
                  <c16:uniqueId val="{0000000E-6646-49E4-B77D-FBBB2FE74EB7}"/>
                </c:ext>
              </c:extLst>
            </c:dLbl>
            <c:dLbl>
              <c:idx val="2"/>
              <c:delete val="1"/>
              <c:extLst>
                <c:ext xmlns:c15="http://schemas.microsoft.com/office/drawing/2012/chart" uri="{CE6537A1-D6FC-4f65-9D91-7224C49458BB}"/>
                <c:ext xmlns:c16="http://schemas.microsoft.com/office/drawing/2014/chart" uri="{C3380CC4-5D6E-409C-BE32-E72D297353CC}">
                  <c16:uniqueId val="{0000000F-6646-49E4-B77D-FBBB2FE74EB7}"/>
                </c:ext>
              </c:extLst>
            </c:dLbl>
            <c:dLbl>
              <c:idx val="8"/>
              <c:delete val="1"/>
              <c:extLst>
                <c:ext xmlns:c15="http://schemas.microsoft.com/office/drawing/2012/chart" uri="{CE6537A1-D6FC-4f65-9D91-7224C49458BB}"/>
                <c:ext xmlns:c16="http://schemas.microsoft.com/office/drawing/2014/chart" uri="{C3380CC4-5D6E-409C-BE32-E72D297353CC}">
                  <c16:uniqueId val="{00000001-4DF5-4D5B-A7E8-8DA0DB9067D4}"/>
                </c:ext>
              </c:extLst>
            </c:dLbl>
            <c:dLbl>
              <c:idx val="9"/>
              <c:delete val="1"/>
              <c:extLst>
                <c:ext xmlns:c15="http://schemas.microsoft.com/office/drawing/2012/chart" uri="{CE6537A1-D6FC-4f65-9D91-7224C49458BB}"/>
                <c:ext xmlns:c16="http://schemas.microsoft.com/office/drawing/2014/chart" uri="{C3380CC4-5D6E-409C-BE32-E72D297353CC}">
                  <c16:uniqueId val="{00000011-6646-49E4-B77D-FBBB2FE74EB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q11_q13_q15_q17_Fig!$S$15:$AC$15</c:f>
              <c:numCache>
                <c:formatCode>General</c:formatCode>
                <c:ptCount val="11"/>
                <c:pt idx="0">
                  <c:v>174663</c:v>
                </c:pt>
                <c:pt idx="1">
                  <c:v>189219</c:v>
                </c:pt>
                <c:pt idx="2">
                  <c:v>204110</c:v>
                </c:pt>
                <c:pt idx="3">
                  <c:v>223805</c:v>
                </c:pt>
                <c:pt idx="4">
                  <c:v>241853</c:v>
                </c:pt>
                <c:pt idx="5">
                  <c:v>251350</c:v>
                </c:pt>
                <c:pt idx="6">
                  <c:v>214079</c:v>
                </c:pt>
                <c:pt idx="7">
                  <c:v>220649</c:v>
                </c:pt>
                <c:pt idx="8">
                  <c:v>259660</c:v>
                </c:pt>
                <c:pt idx="9">
                  <c:v>286812</c:v>
                </c:pt>
                <c:pt idx="10">
                  <c:v>295279</c:v>
                </c:pt>
              </c:numCache>
            </c:numRef>
          </c:val>
          <c:extLst>
            <c:ext xmlns:c16="http://schemas.microsoft.com/office/drawing/2014/chart" uri="{C3380CC4-5D6E-409C-BE32-E72D297353CC}">
              <c16:uniqueId val="{00000013-6646-49E4-B77D-FBBB2FE74EB7}"/>
            </c:ext>
          </c:extLst>
        </c:ser>
        <c:ser>
          <c:idx val="9"/>
          <c:order val="9"/>
          <c:tx>
            <c:strRef>
              <c:f>q11_q13_q15_q17_Fig!$R$16</c:f>
              <c:strCache>
                <c:ptCount val="1"/>
                <c:pt idx="0">
                  <c:v>J</c:v>
                </c:pt>
              </c:strCache>
            </c:strRef>
          </c:tx>
          <c:spPr>
            <a:solidFill>
              <a:schemeClr val="accent1">
                <a:lumMod val="8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q11_q13_q15_q17_Fig!$S$16:$AC$16</c:f>
              <c:numCache>
                <c:formatCode>General</c:formatCode>
                <c:ptCount val="11"/>
                <c:pt idx="0">
                  <c:v>67783</c:v>
                </c:pt>
                <c:pt idx="1">
                  <c:v>68812</c:v>
                </c:pt>
                <c:pt idx="2">
                  <c:v>72936</c:v>
                </c:pt>
                <c:pt idx="3">
                  <c:v>79205</c:v>
                </c:pt>
                <c:pt idx="4">
                  <c:v>86973</c:v>
                </c:pt>
                <c:pt idx="5">
                  <c:v>94794</c:v>
                </c:pt>
                <c:pt idx="6">
                  <c:v>102655</c:v>
                </c:pt>
                <c:pt idx="7">
                  <c:v>109224</c:v>
                </c:pt>
                <c:pt idx="8">
                  <c:v>127560</c:v>
                </c:pt>
                <c:pt idx="9">
                  <c:v>130681</c:v>
                </c:pt>
                <c:pt idx="10">
                  <c:v>136793</c:v>
                </c:pt>
              </c:numCache>
            </c:numRef>
          </c:val>
          <c:extLst>
            <c:ext xmlns:c16="http://schemas.microsoft.com/office/drawing/2014/chart" uri="{C3380CC4-5D6E-409C-BE32-E72D297353CC}">
              <c16:uniqueId val="{00000014-6646-49E4-B77D-FBBB2FE74EB7}"/>
            </c:ext>
          </c:extLst>
        </c:ser>
        <c:ser>
          <c:idx val="10"/>
          <c:order val="10"/>
          <c:tx>
            <c:strRef>
              <c:f>q11_q13_q15_q17_Fig!$R$17</c:f>
              <c:strCache>
                <c:ptCount val="1"/>
                <c:pt idx="0">
                  <c:v>K</c:v>
                </c:pt>
              </c:strCache>
            </c:strRef>
          </c:tx>
          <c:spPr>
            <a:solidFill>
              <a:schemeClr val="accent3">
                <a:lumMod val="8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q11_q13_q15_q17_Fig!$S$17:$AC$17</c:f>
              <c:numCache>
                <c:formatCode>General</c:formatCode>
                <c:ptCount val="11"/>
                <c:pt idx="0">
                  <c:v>79315</c:v>
                </c:pt>
                <c:pt idx="1">
                  <c:v>77783</c:v>
                </c:pt>
                <c:pt idx="2">
                  <c:v>76080</c:v>
                </c:pt>
                <c:pt idx="3">
                  <c:v>74708</c:v>
                </c:pt>
                <c:pt idx="4">
                  <c:v>75395</c:v>
                </c:pt>
                <c:pt idx="5">
                  <c:v>69033</c:v>
                </c:pt>
                <c:pt idx="6">
                  <c:v>75376</c:v>
                </c:pt>
                <c:pt idx="7">
                  <c:v>74155</c:v>
                </c:pt>
                <c:pt idx="8">
                  <c:v>76725</c:v>
                </c:pt>
                <c:pt idx="9">
                  <c:v>79929</c:v>
                </c:pt>
                <c:pt idx="10">
                  <c:v>81427</c:v>
                </c:pt>
              </c:numCache>
            </c:numRef>
          </c:val>
          <c:extLst>
            <c:ext xmlns:c16="http://schemas.microsoft.com/office/drawing/2014/chart" uri="{C3380CC4-5D6E-409C-BE32-E72D297353CC}">
              <c16:uniqueId val="{00000015-6646-49E4-B77D-FBBB2FE74EB7}"/>
            </c:ext>
          </c:extLst>
        </c:ser>
        <c:ser>
          <c:idx val="11"/>
          <c:order val="11"/>
          <c:tx>
            <c:strRef>
              <c:f>q11_q13_q15_q17_Fig!$R$18</c:f>
              <c:strCache>
                <c:ptCount val="1"/>
                <c:pt idx="0">
                  <c:v>L</c:v>
                </c:pt>
              </c:strCache>
            </c:strRef>
          </c:tx>
          <c:spPr>
            <a:solidFill>
              <a:schemeClr val="accent5">
                <a:lumMod val="8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q11_q13_q15_q17_Fig!$S$18:$AC$18</c:f>
              <c:numCache>
                <c:formatCode>General</c:formatCode>
                <c:ptCount val="11"/>
                <c:pt idx="0">
                  <c:v>16356</c:v>
                </c:pt>
                <c:pt idx="1">
                  <c:v>17668</c:v>
                </c:pt>
                <c:pt idx="2">
                  <c:v>18643</c:v>
                </c:pt>
                <c:pt idx="3">
                  <c:v>20754</c:v>
                </c:pt>
                <c:pt idx="4">
                  <c:v>23132</c:v>
                </c:pt>
                <c:pt idx="5">
                  <c:v>24348</c:v>
                </c:pt>
                <c:pt idx="6">
                  <c:v>24974</c:v>
                </c:pt>
                <c:pt idx="7">
                  <c:v>26345</c:v>
                </c:pt>
                <c:pt idx="8">
                  <c:v>28809</c:v>
                </c:pt>
                <c:pt idx="9">
                  <c:v>31375</c:v>
                </c:pt>
                <c:pt idx="10">
                  <c:v>32991</c:v>
                </c:pt>
              </c:numCache>
            </c:numRef>
          </c:val>
          <c:extLst>
            <c:ext xmlns:c16="http://schemas.microsoft.com/office/drawing/2014/chart" uri="{C3380CC4-5D6E-409C-BE32-E72D297353CC}">
              <c16:uniqueId val="{00000016-6646-49E4-B77D-FBBB2FE74EB7}"/>
            </c:ext>
          </c:extLst>
        </c:ser>
        <c:ser>
          <c:idx val="12"/>
          <c:order val="12"/>
          <c:tx>
            <c:strRef>
              <c:f>q11_q13_q15_q17_Fig!$R$19</c:f>
              <c:strCache>
                <c:ptCount val="1"/>
                <c:pt idx="0">
                  <c:v>M</c:v>
                </c:pt>
              </c:strCache>
            </c:strRef>
          </c:tx>
          <c:spPr>
            <a:solidFill>
              <a:schemeClr val="accent1">
                <a:lumMod val="60000"/>
                <a:lumOff val="4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q11_q13_q15_q17_Fig!$S$19:$AC$19</c:f>
              <c:numCache>
                <c:formatCode>General</c:formatCode>
                <c:ptCount val="11"/>
                <c:pt idx="0">
                  <c:v>105085</c:v>
                </c:pt>
                <c:pt idx="1">
                  <c:v>109770</c:v>
                </c:pt>
                <c:pt idx="2">
                  <c:v>111974</c:v>
                </c:pt>
                <c:pt idx="3">
                  <c:v>113617</c:v>
                </c:pt>
                <c:pt idx="4">
                  <c:v>123636</c:v>
                </c:pt>
                <c:pt idx="5">
                  <c:v>132611</c:v>
                </c:pt>
                <c:pt idx="6">
                  <c:v>134408</c:v>
                </c:pt>
                <c:pt idx="7">
                  <c:v>139839</c:v>
                </c:pt>
                <c:pt idx="8">
                  <c:v>159252</c:v>
                </c:pt>
                <c:pt idx="9">
                  <c:v>173417</c:v>
                </c:pt>
                <c:pt idx="10">
                  <c:v>184737</c:v>
                </c:pt>
              </c:numCache>
            </c:numRef>
          </c:val>
          <c:extLst>
            <c:ext xmlns:c16="http://schemas.microsoft.com/office/drawing/2014/chart" uri="{C3380CC4-5D6E-409C-BE32-E72D297353CC}">
              <c16:uniqueId val="{00000017-6646-49E4-B77D-FBBB2FE74EB7}"/>
            </c:ext>
          </c:extLst>
        </c:ser>
        <c:ser>
          <c:idx val="13"/>
          <c:order val="13"/>
          <c:tx>
            <c:strRef>
              <c:f>q11_q13_q15_q17_Fig!$R$20</c:f>
              <c:strCache>
                <c:ptCount val="1"/>
                <c:pt idx="0">
                  <c:v>N</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q11_q13_q15_q17_Fig!$S$20:$AC$20</c:f>
              <c:numCache>
                <c:formatCode>General</c:formatCode>
                <c:ptCount val="11"/>
                <c:pt idx="0">
                  <c:v>238916</c:v>
                </c:pt>
                <c:pt idx="1">
                  <c:v>246451</c:v>
                </c:pt>
                <c:pt idx="2">
                  <c:v>268226</c:v>
                </c:pt>
                <c:pt idx="3">
                  <c:v>294174</c:v>
                </c:pt>
                <c:pt idx="4">
                  <c:v>293550</c:v>
                </c:pt>
                <c:pt idx="5">
                  <c:v>293948</c:v>
                </c:pt>
                <c:pt idx="6">
                  <c:v>285919</c:v>
                </c:pt>
                <c:pt idx="7">
                  <c:v>275843</c:v>
                </c:pt>
                <c:pt idx="8">
                  <c:v>307876</c:v>
                </c:pt>
                <c:pt idx="9">
                  <c:v>323487</c:v>
                </c:pt>
                <c:pt idx="10">
                  <c:v>325009</c:v>
                </c:pt>
              </c:numCache>
            </c:numRef>
          </c:val>
          <c:extLst>
            <c:ext xmlns:c16="http://schemas.microsoft.com/office/drawing/2014/chart" uri="{C3380CC4-5D6E-409C-BE32-E72D297353CC}">
              <c16:uniqueId val="{00000018-6646-49E4-B77D-FBBB2FE74EB7}"/>
            </c:ext>
          </c:extLst>
        </c:ser>
        <c:ser>
          <c:idx val="14"/>
          <c:order val="14"/>
          <c:tx>
            <c:strRef>
              <c:f>q11_q13_q15_q17_Fig!$R$21</c:f>
              <c:strCache>
                <c:ptCount val="1"/>
                <c:pt idx="0">
                  <c:v>O</c:v>
                </c:pt>
              </c:strCache>
            </c:strRef>
          </c:tx>
          <c:spPr>
            <a:solidFill>
              <a:schemeClr val="accent5">
                <a:lumMod val="60000"/>
                <a:lumOff val="4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q11_q13_q15_q17_Fig!$S$21:$AC$21</c:f>
              <c:numCache>
                <c:formatCode>General</c:formatCode>
                <c:ptCount val="11"/>
                <c:pt idx="0">
                  <c:v>10787</c:v>
                </c:pt>
                <c:pt idx="1">
                  <c:v>10612</c:v>
                </c:pt>
                <c:pt idx="2">
                  <c:v>10688</c:v>
                </c:pt>
                <c:pt idx="3">
                  <c:v>11236</c:v>
                </c:pt>
                <c:pt idx="4">
                  <c:v>11602</c:v>
                </c:pt>
                <c:pt idx="5">
                  <c:v>11794</c:v>
                </c:pt>
                <c:pt idx="6">
                  <c:v>12327</c:v>
                </c:pt>
                <c:pt idx="7">
                  <c:v>11997</c:v>
                </c:pt>
                <c:pt idx="8">
                  <c:v>13111</c:v>
                </c:pt>
                <c:pt idx="9">
                  <c:v>14202</c:v>
                </c:pt>
                <c:pt idx="10">
                  <c:v>14524</c:v>
                </c:pt>
              </c:numCache>
            </c:numRef>
          </c:val>
          <c:extLst>
            <c:ext xmlns:c16="http://schemas.microsoft.com/office/drawing/2014/chart" uri="{C3380CC4-5D6E-409C-BE32-E72D297353CC}">
              <c16:uniqueId val="{00000019-6646-49E4-B77D-FBBB2FE74EB7}"/>
            </c:ext>
          </c:extLst>
        </c:ser>
        <c:ser>
          <c:idx val="15"/>
          <c:order val="15"/>
          <c:tx>
            <c:strRef>
              <c:f>q11_q13_q15_q17_Fig!$R$22</c:f>
              <c:strCache>
                <c:ptCount val="1"/>
                <c:pt idx="0">
                  <c:v>P</c:v>
                </c:pt>
              </c:strCache>
            </c:strRef>
          </c:tx>
          <c:spPr>
            <a:solidFill>
              <a:schemeClr val="accent1">
                <a:lumMod val="5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q11_q13_q15_q17_Fig!$S$22:$AC$22</c:f>
              <c:numCache>
                <c:formatCode>General</c:formatCode>
                <c:ptCount val="11"/>
                <c:pt idx="0">
                  <c:v>50957</c:v>
                </c:pt>
                <c:pt idx="1">
                  <c:v>53876</c:v>
                </c:pt>
                <c:pt idx="2">
                  <c:v>53906</c:v>
                </c:pt>
                <c:pt idx="3">
                  <c:v>53502</c:v>
                </c:pt>
                <c:pt idx="4">
                  <c:v>57690</c:v>
                </c:pt>
                <c:pt idx="5">
                  <c:v>58269</c:v>
                </c:pt>
                <c:pt idx="6">
                  <c:v>59807</c:v>
                </c:pt>
                <c:pt idx="7">
                  <c:v>58921</c:v>
                </c:pt>
                <c:pt idx="8">
                  <c:v>62076</c:v>
                </c:pt>
                <c:pt idx="9">
                  <c:v>66613</c:v>
                </c:pt>
                <c:pt idx="10">
                  <c:v>69990</c:v>
                </c:pt>
              </c:numCache>
            </c:numRef>
          </c:val>
          <c:extLst>
            <c:ext xmlns:c16="http://schemas.microsoft.com/office/drawing/2014/chart" uri="{C3380CC4-5D6E-409C-BE32-E72D297353CC}">
              <c16:uniqueId val="{0000001A-6646-49E4-B77D-FBBB2FE74EB7}"/>
            </c:ext>
          </c:extLst>
        </c:ser>
        <c:ser>
          <c:idx val="16"/>
          <c:order val="16"/>
          <c:tx>
            <c:strRef>
              <c:f>q11_q13_q15_q17_Fig!$R$23</c:f>
              <c:strCache>
                <c:ptCount val="1"/>
                <c:pt idx="0">
                  <c:v>Q</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q11_q13_q15_q17_Fig!$S$23:$AC$23</c:f>
              <c:numCache>
                <c:formatCode>General</c:formatCode>
                <c:ptCount val="11"/>
                <c:pt idx="0">
                  <c:v>221126</c:v>
                </c:pt>
                <c:pt idx="1">
                  <c:v>232717</c:v>
                </c:pt>
                <c:pt idx="2">
                  <c:v>246800</c:v>
                </c:pt>
                <c:pt idx="3">
                  <c:v>257306</c:v>
                </c:pt>
                <c:pt idx="4">
                  <c:v>263021</c:v>
                </c:pt>
                <c:pt idx="5">
                  <c:v>269760</c:v>
                </c:pt>
                <c:pt idx="6">
                  <c:v>280115</c:v>
                </c:pt>
                <c:pt idx="7">
                  <c:v>286750</c:v>
                </c:pt>
                <c:pt idx="8">
                  <c:v>299622</c:v>
                </c:pt>
                <c:pt idx="9">
                  <c:v>309289</c:v>
                </c:pt>
                <c:pt idx="10">
                  <c:v>316504</c:v>
                </c:pt>
              </c:numCache>
            </c:numRef>
          </c:val>
          <c:extLst>
            <c:ext xmlns:c16="http://schemas.microsoft.com/office/drawing/2014/chart" uri="{C3380CC4-5D6E-409C-BE32-E72D297353CC}">
              <c16:uniqueId val="{0000001B-6646-49E4-B77D-FBBB2FE74EB7}"/>
            </c:ext>
          </c:extLst>
        </c:ser>
        <c:ser>
          <c:idx val="17"/>
          <c:order val="17"/>
          <c:tx>
            <c:strRef>
              <c:f>q11_q13_q15_q17_Fig!$R$24</c:f>
              <c:strCache>
                <c:ptCount val="1"/>
                <c:pt idx="0">
                  <c:v>R</c:v>
                </c:pt>
              </c:strCache>
            </c:strRef>
          </c:tx>
          <c:spPr>
            <a:solidFill>
              <a:schemeClr val="accent5">
                <a:lumMod val="5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q11_q13_q15_q17_Fig!$S$24:$AC$24</c:f>
              <c:numCache>
                <c:formatCode>General</c:formatCode>
                <c:ptCount val="11"/>
                <c:pt idx="0">
                  <c:v>18760</c:v>
                </c:pt>
                <c:pt idx="1">
                  <c:v>21039</c:v>
                </c:pt>
                <c:pt idx="2">
                  <c:v>22077</c:v>
                </c:pt>
                <c:pt idx="3">
                  <c:v>24123</c:v>
                </c:pt>
                <c:pt idx="4">
                  <c:v>26529</c:v>
                </c:pt>
                <c:pt idx="5">
                  <c:v>28069</c:v>
                </c:pt>
                <c:pt idx="6">
                  <c:v>26263</c:v>
                </c:pt>
                <c:pt idx="7">
                  <c:v>28680</c:v>
                </c:pt>
                <c:pt idx="8">
                  <c:v>30827</c:v>
                </c:pt>
                <c:pt idx="9">
                  <c:v>34107</c:v>
                </c:pt>
                <c:pt idx="10">
                  <c:v>36494</c:v>
                </c:pt>
              </c:numCache>
            </c:numRef>
          </c:val>
          <c:extLst>
            <c:ext xmlns:c16="http://schemas.microsoft.com/office/drawing/2014/chart" uri="{C3380CC4-5D6E-409C-BE32-E72D297353CC}">
              <c16:uniqueId val="{0000001C-6646-49E4-B77D-FBBB2FE74EB7}"/>
            </c:ext>
          </c:extLst>
        </c:ser>
        <c:ser>
          <c:idx val="18"/>
          <c:order val="18"/>
          <c:tx>
            <c:strRef>
              <c:f>q11_q13_q15_q17_Fig!$R$25</c:f>
              <c:strCache>
                <c:ptCount val="1"/>
                <c:pt idx="0">
                  <c:v>S</c:v>
                </c:pt>
              </c:strCache>
            </c:strRef>
          </c:tx>
          <c:spPr>
            <a:solidFill>
              <a:schemeClr val="accent1">
                <a:lumMod val="70000"/>
                <a:lumOff val="3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q11_q13_q15_q17_Fig!$S$25:$AC$25</c:f>
              <c:numCache>
                <c:formatCode>General</c:formatCode>
                <c:ptCount val="11"/>
                <c:pt idx="0">
                  <c:v>62532</c:v>
                </c:pt>
                <c:pt idx="1">
                  <c:v>60404</c:v>
                </c:pt>
                <c:pt idx="2">
                  <c:v>61086</c:v>
                </c:pt>
                <c:pt idx="3">
                  <c:v>58964</c:v>
                </c:pt>
                <c:pt idx="4">
                  <c:v>61792</c:v>
                </c:pt>
                <c:pt idx="5">
                  <c:v>59107</c:v>
                </c:pt>
                <c:pt idx="6">
                  <c:v>57266</c:v>
                </c:pt>
                <c:pt idx="7">
                  <c:v>56071</c:v>
                </c:pt>
                <c:pt idx="8">
                  <c:v>59443</c:v>
                </c:pt>
                <c:pt idx="9">
                  <c:v>59326</c:v>
                </c:pt>
                <c:pt idx="10">
                  <c:v>57571</c:v>
                </c:pt>
              </c:numCache>
            </c:numRef>
          </c:val>
          <c:extLst>
            <c:ext xmlns:c16="http://schemas.microsoft.com/office/drawing/2014/chart" uri="{C3380CC4-5D6E-409C-BE32-E72D297353CC}">
              <c16:uniqueId val="{0000001D-6646-49E4-B77D-FBBB2FE74EB7}"/>
            </c:ext>
          </c:extLst>
        </c:ser>
        <c:ser>
          <c:idx val="19"/>
          <c:order val="19"/>
          <c:tx>
            <c:strRef>
              <c:f>q11_q13_q15_q17_Fig!$R$26</c:f>
              <c:strCache>
                <c:ptCount val="1"/>
                <c:pt idx="0">
                  <c:v>U</c:v>
                </c:pt>
              </c:strCache>
            </c:strRef>
          </c:tx>
          <c:spPr>
            <a:solidFill>
              <a:schemeClr val="accent3">
                <a:lumMod val="70000"/>
                <a:lumOff val="30000"/>
              </a:schemeClr>
            </a:solidFill>
            <a:ln>
              <a:noFill/>
            </a:ln>
            <a:effectLst/>
          </c:spPr>
          <c:invertIfNegative val="0"/>
          <c:cat>
            <c:numRef>
              <c:f>q11_q13_q15_q17_Fig!$S$6:$AC$6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q11_q13_q15_q17_Fig!$S$26:$AC$26</c:f>
              <c:numCache>
                <c:formatCode>General</c:formatCode>
                <c:ptCount val="11"/>
                <c:pt idx="0">
                  <c:v>91</c:v>
                </c:pt>
                <c:pt idx="1">
                  <c:v>89</c:v>
                </c:pt>
                <c:pt idx="2">
                  <c:v>104</c:v>
                </c:pt>
                <c:pt idx="3">
                  <c:v>92</c:v>
                </c:pt>
                <c:pt idx="4">
                  <c:v>94</c:v>
                </c:pt>
                <c:pt idx="5">
                  <c:v>100</c:v>
                </c:pt>
                <c:pt idx="6">
                  <c:v>117</c:v>
                </c:pt>
                <c:pt idx="7">
                  <c:v>107</c:v>
                </c:pt>
                <c:pt idx="8">
                  <c:v>125</c:v>
                </c:pt>
                <c:pt idx="9">
                  <c:v>145</c:v>
                </c:pt>
                <c:pt idx="10">
                  <c:v>154</c:v>
                </c:pt>
              </c:numCache>
            </c:numRef>
          </c:val>
          <c:extLst>
            <c:ext xmlns:c16="http://schemas.microsoft.com/office/drawing/2014/chart" uri="{C3380CC4-5D6E-409C-BE32-E72D297353CC}">
              <c16:uniqueId val="{0000001E-6646-49E4-B77D-FBBB2FE74EB7}"/>
            </c:ext>
          </c:extLst>
        </c:ser>
        <c:dLbls>
          <c:showLegendKey val="0"/>
          <c:showVal val="0"/>
          <c:showCatName val="0"/>
          <c:showSerName val="0"/>
          <c:showPercent val="0"/>
          <c:showBubbleSize val="0"/>
        </c:dLbls>
        <c:gapWidth val="50"/>
        <c:overlap val="100"/>
        <c:axId val="211072368"/>
        <c:axId val="1682385520"/>
        <c:extLst/>
      </c:barChart>
      <c:catAx>
        <c:axId val="21107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crossAx val="1682385520"/>
        <c:crosses val="autoZero"/>
        <c:auto val="1"/>
        <c:lblAlgn val="ctr"/>
        <c:lblOffset val="100"/>
        <c:noMultiLvlLbl val="0"/>
      </c:catAx>
      <c:valAx>
        <c:axId val="1682385520"/>
        <c:scaling>
          <c:orientation val="minMax"/>
          <c:max val="3500000"/>
          <c:min val="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211072368"/>
        <c:crosses val="autoZero"/>
        <c:crossBetween val="between"/>
      </c:valAx>
      <c:spPr>
        <a:noFill/>
        <a:ln>
          <a:noFill/>
        </a:ln>
        <a:effectLst/>
      </c:spPr>
    </c:plotArea>
    <c:legend>
      <c:legendPos val="b"/>
      <c:layout>
        <c:manualLayout>
          <c:xMode val="edge"/>
          <c:yMode val="edge"/>
          <c:x val="3.7437102506546943E-2"/>
          <c:y val="0.89261540822590557"/>
          <c:w val="0.94198021885521888"/>
          <c:h val="7.953376304481277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q4_8_12_16_25_37_Fig!$AR$43</c:f>
              <c:strCache>
                <c:ptCount val="1"/>
                <c:pt idx="0">
                  <c:v>Alentejo</c:v>
                </c:pt>
              </c:strCache>
            </c:strRef>
          </c:cat>
          <c:val>
            <c:numRef>
              <c:extLst>
                <c:ext xmlns:c15="http://schemas.microsoft.com/office/drawing/2012/chart" uri="{02D57815-91ED-43cb-92C2-25804820EDAC}">
                  <c15:fullRef>
                    <c15:sqref>q4_8_12_16_25_37_Fig!$AS$38:$AS$44</c15:sqref>
                  </c15:fullRef>
                </c:ext>
              </c:extLst>
              <c:f>q4_8_12_16_25_37_Fig!$AS$43</c:f>
              <c:numCache>
                <c:formatCode>#,##0</c:formatCode>
                <c:ptCount val="1"/>
                <c:pt idx="0">
                  <c:v>14534.999999999996</c:v>
                </c:pt>
              </c:numCache>
            </c:numRef>
          </c:val>
          <c:extLst>
            <c:ext xmlns:c16="http://schemas.microsoft.com/office/drawing/2014/chart" uri="{C3380CC4-5D6E-409C-BE32-E72D297353CC}">
              <c16:uniqueId val="{00000000-9BAE-4E89-8EEC-3378486AA5EC}"/>
            </c:ext>
          </c:extLst>
        </c:ser>
        <c:ser>
          <c:idx val="1"/>
          <c:order val="1"/>
          <c:tx>
            <c:strRef>
              <c:f>q4_8_12_16_25_37_Fig!$AT$37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q4_8_12_16_25_37_Fig!$AR$43</c:f>
              <c:strCache>
                <c:ptCount val="1"/>
                <c:pt idx="0">
                  <c:v>Alentejo</c:v>
                </c:pt>
              </c:strCache>
            </c:strRef>
          </c:cat>
          <c:val>
            <c:numRef>
              <c:extLst>
                <c:ext xmlns:c15="http://schemas.microsoft.com/office/drawing/2012/chart" uri="{02D57815-91ED-43cb-92C2-25804820EDAC}">
                  <c15:fullRef>
                    <c15:sqref>q4_8_12_16_25_37_Fig!$AT$38:$AT$44</c15:sqref>
                  </c15:fullRef>
                </c:ext>
              </c:extLst>
              <c:f>q4_8_12_16_25_37_Fig!$AT$43</c:f>
              <c:numCache>
                <c:formatCode>#,##0</c:formatCode>
                <c:ptCount val="1"/>
                <c:pt idx="0">
                  <c:v>17352.000000000004</c:v>
                </c:pt>
              </c:numCache>
            </c:numRef>
          </c:val>
          <c:extLst>
            <c:ext xmlns:c16="http://schemas.microsoft.com/office/drawing/2014/chart" uri="{C3380CC4-5D6E-409C-BE32-E72D297353CC}">
              <c16:uniqueId val="{00000001-9BAE-4E89-8EEC-3378486AA5EC}"/>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q4_8_12_16_25_37_Fig!$AR$44</c:f>
              <c:strCache>
                <c:ptCount val="1"/>
                <c:pt idx="0">
                  <c:v>Algarve</c:v>
                </c:pt>
              </c:strCache>
            </c:strRef>
          </c:cat>
          <c:val>
            <c:numRef>
              <c:extLst>
                <c:ext xmlns:c15="http://schemas.microsoft.com/office/drawing/2012/chart" uri="{02D57815-91ED-43cb-92C2-25804820EDAC}">
                  <c15:fullRef>
                    <c15:sqref>q4_8_12_16_25_37_Fig!$AS$38:$AS$44</c15:sqref>
                  </c15:fullRef>
                </c:ext>
              </c:extLst>
              <c:f>q4_8_12_16_25_37_Fig!$AS$44</c:f>
              <c:numCache>
                <c:formatCode>#,##0</c:formatCode>
                <c:ptCount val="1"/>
                <c:pt idx="0">
                  <c:v>18173.999999999996</c:v>
                </c:pt>
              </c:numCache>
            </c:numRef>
          </c:val>
          <c:extLst>
            <c:ext xmlns:c16="http://schemas.microsoft.com/office/drawing/2014/chart" uri="{C3380CC4-5D6E-409C-BE32-E72D297353CC}">
              <c16:uniqueId val="{00000000-E7ED-46D1-A658-2E529A2675E5}"/>
            </c:ext>
          </c:extLst>
        </c:ser>
        <c:ser>
          <c:idx val="1"/>
          <c:order val="1"/>
          <c:tx>
            <c:strRef>
              <c:f>q4_8_12_16_25_37_Fig!$AT$37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q4_8_12_16_25_37_Fig!$AR$38:$AR$44</c15:sqref>
                  </c15:fullRef>
                </c:ext>
              </c:extLst>
              <c:f>q4_8_12_16_25_37_Fig!$AR$44</c:f>
              <c:strCache>
                <c:ptCount val="1"/>
                <c:pt idx="0">
                  <c:v>Algarve</c:v>
                </c:pt>
              </c:strCache>
            </c:strRef>
          </c:cat>
          <c:val>
            <c:numRef>
              <c:extLst>
                <c:ext xmlns:c15="http://schemas.microsoft.com/office/drawing/2012/chart" uri="{02D57815-91ED-43cb-92C2-25804820EDAC}">
                  <c15:fullRef>
                    <c15:sqref>q4_8_12_16_25_37_Fig!$AT$38:$AT$44</c15:sqref>
                  </c15:fullRef>
                </c:ext>
              </c:extLst>
              <c:f>q4_8_12_16_25_37_Fig!$AT$44</c:f>
              <c:numCache>
                <c:formatCode>#,##0</c:formatCode>
                <c:ptCount val="1"/>
                <c:pt idx="0">
                  <c:v>21958.999999999996</c:v>
                </c:pt>
              </c:numCache>
            </c:numRef>
          </c:val>
          <c:extLst>
            <c:ext xmlns:c16="http://schemas.microsoft.com/office/drawing/2014/chart" uri="{C3380CC4-5D6E-409C-BE32-E72D297353CC}">
              <c16:uniqueId val="{00000001-E7ED-46D1-A658-2E529A2675E5}"/>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81286012579858"/>
          <c:y val="3.567815386713024E-2"/>
          <c:w val="0.58508829721255928"/>
          <c:h val="0.92049561986569861"/>
        </c:manualLayout>
      </c:layout>
      <c:barChart>
        <c:barDir val="bar"/>
        <c:grouping val="clustered"/>
        <c:varyColors val="0"/>
        <c:ser>
          <c:idx val="0"/>
          <c:order val="0"/>
          <c:tx>
            <c:strRef>
              <c:f>q4_8_12_16_25_37_Fig!$AS$7</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q4_8_12_16_25_37_Fig!$AR$8:$AR$31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q4_8_12_16_25_37_Fig!$AS$8:$AS$31</c:f>
              <c:numCache>
                <c:formatCode>#,##0</c:formatCode>
                <c:ptCount val="24"/>
                <c:pt idx="0">
                  <c:v>7328</c:v>
                </c:pt>
                <c:pt idx="1">
                  <c:v>15022</c:v>
                </c:pt>
                <c:pt idx="2">
                  <c:v>13685</c:v>
                </c:pt>
                <c:pt idx="3">
                  <c:v>51191</c:v>
                </c:pt>
                <c:pt idx="4">
                  <c:v>2432</c:v>
                </c:pt>
                <c:pt idx="5">
                  <c:v>13342</c:v>
                </c:pt>
                <c:pt idx="6">
                  <c:v>5377</c:v>
                </c:pt>
                <c:pt idx="7">
                  <c:v>3188</c:v>
                </c:pt>
                <c:pt idx="8">
                  <c:v>9773</c:v>
                </c:pt>
                <c:pt idx="9">
                  <c:v>10899</c:v>
                </c:pt>
                <c:pt idx="10">
                  <c:v>10282.999999999996</c:v>
                </c:pt>
                <c:pt idx="11">
                  <c:v>7294</c:v>
                </c:pt>
                <c:pt idx="12">
                  <c:v>2681.9999999999995</c:v>
                </c:pt>
                <c:pt idx="13">
                  <c:v>5676</c:v>
                </c:pt>
                <c:pt idx="14">
                  <c:v>11570</c:v>
                </c:pt>
                <c:pt idx="15">
                  <c:v>5983</c:v>
                </c:pt>
                <c:pt idx="16">
                  <c:v>6181</c:v>
                </c:pt>
                <c:pt idx="17">
                  <c:v>59232</c:v>
                </c:pt>
                <c:pt idx="18">
                  <c:v>14916</c:v>
                </c:pt>
                <c:pt idx="19">
                  <c:v>2837</c:v>
                </c:pt>
                <c:pt idx="20">
                  <c:v>3881</c:v>
                </c:pt>
                <c:pt idx="21">
                  <c:v>2787</c:v>
                </c:pt>
                <c:pt idx="22">
                  <c:v>5030</c:v>
                </c:pt>
                <c:pt idx="23">
                  <c:v>18173.999999999996</c:v>
                </c:pt>
              </c:numCache>
            </c:numRef>
          </c:val>
          <c:extLst>
            <c:ext xmlns:c16="http://schemas.microsoft.com/office/drawing/2014/chart" uri="{C3380CC4-5D6E-409C-BE32-E72D297353CC}">
              <c16:uniqueId val="{00000000-23EE-41F5-A33B-F00E06F2093A}"/>
            </c:ext>
          </c:extLst>
        </c:ser>
        <c:ser>
          <c:idx val="1"/>
          <c:order val="1"/>
          <c:tx>
            <c:strRef>
              <c:f>q4_8_12_16_25_37_Fig!$AT$7</c:f>
              <c:strCache>
                <c:ptCount val="1"/>
                <c:pt idx="0">
                  <c:v>Estabelecimentos</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q4_8_12_16_25_37_Fig!$AR$8:$AR$31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q4_8_12_16_25_37_Fig!$AT$8:$AT$31</c:f>
              <c:numCache>
                <c:formatCode>#,##0</c:formatCode>
                <c:ptCount val="24"/>
                <c:pt idx="0">
                  <c:v>8424</c:v>
                </c:pt>
                <c:pt idx="1">
                  <c:v>16874</c:v>
                </c:pt>
                <c:pt idx="2">
                  <c:v>15255</c:v>
                </c:pt>
                <c:pt idx="3">
                  <c:v>59738.999999999993</c:v>
                </c:pt>
                <c:pt idx="4">
                  <c:v>2794</c:v>
                </c:pt>
                <c:pt idx="5">
                  <c:v>14547</c:v>
                </c:pt>
                <c:pt idx="6">
                  <c:v>6331</c:v>
                </c:pt>
                <c:pt idx="7">
                  <c:v>3712</c:v>
                </c:pt>
                <c:pt idx="8">
                  <c:v>11509.999999999998</c:v>
                </c:pt>
                <c:pt idx="9">
                  <c:v>13262.000000000002</c:v>
                </c:pt>
                <c:pt idx="10">
                  <c:v>11964</c:v>
                </c:pt>
                <c:pt idx="11">
                  <c:v>8583</c:v>
                </c:pt>
                <c:pt idx="12">
                  <c:v>3212</c:v>
                </c:pt>
                <c:pt idx="13">
                  <c:v>6656</c:v>
                </c:pt>
                <c:pt idx="14">
                  <c:v>13413</c:v>
                </c:pt>
                <c:pt idx="15">
                  <c:v>7122</c:v>
                </c:pt>
                <c:pt idx="16">
                  <c:v>7367.9999999999991</c:v>
                </c:pt>
                <c:pt idx="17">
                  <c:v>69821</c:v>
                </c:pt>
                <c:pt idx="18">
                  <c:v>18128</c:v>
                </c:pt>
                <c:pt idx="19">
                  <c:v>3421</c:v>
                </c:pt>
                <c:pt idx="20">
                  <c:v>4522</c:v>
                </c:pt>
                <c:pt idx="21">
                  <c:v>3351.0000000000005</c:v>
                </c:pt>
                <c:pt idx="22">
                  <c:v>6058</c:v>
                </c:pt>
                <c:pt idx="23">
                  <c:v>21958.999999999996</c:v>
                </c:pt>
              </c:numCache>
            </c:numRef>
          </c:val>
          <c:extLst>
            <c:ext xmlns:c16="http://schemas.microsoft.com/office/drawing/2014/chart" uri="{C3380CC4-5D6E-409C-BE32-E72D297353CC}">
              <c16:uniqueId val="{00000001-23EE-41F5-A33B-F00E06F2093A}"/>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24551192435551517"/>
          <c:y val="0.9719496963216957"/>
          <c:w val="0.69325196057755245"/>
          <c:h val="2.7076310786953984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q4_8_12_16_25_37_Fig!$BM$38</c:f>
              <c:strCache>
                <c:ptCount val="1"/>
                <c:pt idx="0">
                  <c:v>Norte</c:v>
                </c:pt>
              </c:strCache>
            </c:strRef>
          </c:cat>
          <c:val>
            <c:numRef>
              <c:extLst>
                <c:ext xmlns:c15="http://schemas.microsoft.com/office/drawing/2012/chart" uri="{02D57815-91ED-43cb-92C2-25804820EDAC}">
                  <c15:fullRef>
                    <c15:sqref>q4_8_12_16_25_37_Fig!$BN$38:$BN$44</c15:sqref>
                  </c15:fullRef>
                </c:ext>
              </c:extLst>
              <c:f>q4_8_12_16_25_37_Fig!$BN$38</c:f>
              <c:numCache>
                <c:formatCode>#,##0</c:formatCode>
                <c:ptCount val="1"/>
                <c:pt idx="0">
                  <c:v>1269596.0000000002</c:v>
                </c:pt>
              </c:numCache>
            </c:numRef>
          </c:val>
          <c:extLst>
            <c:ext xmlns:c16="http://schemas.microsoft.com/office/drawing/2014/chart" uri="{C3380CC4-5D6E-409C-BE32-E72D297353CC}">
              <c16:uniqueId val="{00000000-9900-4B5F-9802-DAB6531C8B05}"/>
            </c:ext>
          </c:extLst>
        </c:ser>
        <c:ser>
          <c:idx val="1"/>
          <c:order val="1"/>
          <c:tx>
            <c:strRef>
              <c:f>q4_8_12_16_25_37_Fig!$BO$37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q4_8_12_16_25_37_Fig!$BM$38</c:f>
              <c:strCache>
                <c:ptCount val="1"/>
                <c:pt idx="0">
                  <c:v>Norte</c:v>
                </c:pt>
              </c:strCache>
            </c:strRef>
          </c:cat>
          <c:val>
            <c:numRef>
              <c:extLst>
                <c:ext xmlns:c15="http://schemas.microsoft.com/office/drawing/2012/chart" uri="{02D57815-91ED-43cb-92C2-25804820EDAC}">
                  <c15:fullRef>
                    <c15:sqref>q4_8_12_16_25_37_Fig!$BO$38:$BO$44</c15:sqref>
                  </c15:fullRef>
                </c:ext>
              </c:extLst>
              <c:f>q4_8_12_16_25_37_Fig!$BO$38</c:f>
              <c:numCache>
                <c:formatCode>#,##0</c:formatCode>
                <c:ptCount val="1"/>
                <c:pt idx="0">
                  <c:v>1196817.9999999998</c:v>
                </c:pt>
              </c:numCache>
            </c:numRef>
          </c:val>
          <c:extLst>
            <c:ext xmlns:c16="http://schemas.microsoft.com/office/drawing/2014/chart" uri="{C3380CC4-5D6E-409C-BE32-E72D297353CC}">
              <c16:uniqueId val="{00000001-9900-4B5F-9802-DAB6531C8B05}"/>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q4_8_12_16_25_37_Fig!$BM$39</c:f>
              <c:strCache>
                <c:ptCount val="1"/>
                <c:pt idx="0">
                  <c:v>Centro</c:v>
                </c:pt>
              </c:strCache>
            </c:strRef>
          </c:cat>
          <c:val>
            <c:numRef>
              <c:extLst>
                <c:ext xmlns:c15="http://schemas.microsoft.com/office/drawing/2012/chart" uri="{02D57815-91ED-43cb-92C2-25804820EDAC}">
                  <c15:fullRef>
                    <c15:sqref>q4_8_12_16_25_37_Fig!$BN$38:$BN$44</c15:sqref>
                  </c15:fullRef>
                </c:ext>
              </c:extLst>
              <c:f>q4_8_12_16_25_37_Fig!$BN$39</c:f>
              <c:numCache>
                <c:formatCode>#,##0</c:formatCode>
                <c:ptCount val="1"/>
                <c:pt idx="0">
                  <c:v>530374</c:v>
                </c:pt>
              </c:numCache>
            </c:numRef>
          </c:val>
          <c:extLst>
            <c:ext xmlns:c16="http://schemas.microsoft.com/office/drawing/2014/chart" uri="{C3380CC4-5D6E-409C-BE32-E72D297353CC}">
              <c16:uniqueId val="{00000000-7C6A-4CDA-96F2-EA48998702AA}"/>
            </c:ext>
          </c:extLst>
        </c:ser>
        <c:ser>
          <c:idx val="1"/>
          <c:order val="1"/>
          <c:tx>
            <c:strRef>
              <c:f>q4_8_12_16_25_37_Fig!$BO$37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q4_8_12_16_25_37_Fig!$BM$39</c:f>
              <c:strCache>
                <c:ptCount val="1"/>
                <c:pt idx="0">
                  <c:v>Centro</c:v>
                </c:pt>
              </c:strCache>
            </c:strRef>
          </c:cat>
          <c:val>
            <c:numRef>
              <c:extLst>
                <c:ext xmlns:c15="http://schemas.microsoft.com/office/drawing/2012/chart" uri="{02D57815-91ED-43cb-92C2-25804820EDAC}">
                  <c15:fullRef>
                    <c15:sqref>q4_8_12_16_25_37_Fig!$BO$38:$BO$44</c15:sqref>
                  </c15:fullRef>
                </c:ext>
              </c:extLst>
              <c:f>q4_8_12_16_25_37_Fig!$BO$39</c:f>
              <c:numCache>
                <c:formatCode>#,##0</c:formatCode>
                <c:ptCount val="1"/>
                <c:pt idx="0">
                  <c:v>497594.00000000012</c:v>
                </c:pt>
              </c:numCache>
            </c:numRef>
          </c:val>
          <c:extLst>
            <c:ext xmlns:c16="http://schemas.microsoft.com/office/drawing/2014/chart" uri="{C3380CC4-5D6E-409C-BE32-E72D297353CC}">
              <c16:uniqueId val="{00000001-7C6A-4CDA-96F2-EA48998702AA}"/>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q4_8_12_16_25_37_Fig!$BM$40</c:f>
              <c:strCache>
                <c:ptCount val="1"/>
                <c:pt idx="0">
                  <c:v>Oeste e Vale do Tejo</c:v>
                </c:pt>
              </c:strCache>
            </c:strRef>
          </c:cat>
          <c:val>
            <c:numRef>
              <c:extLst>
                <c:ext xmlns:c15="http://schemas.microsoft.com/office/drawing/2012/chart" uri="{02D57815-91ED-43cb-92C2-25804820EDAC}">
                  <c15:fullRef>
                    <c15:sqref>q4_8_12_16_25_37_Fig!$BN$38:$BN$44</c15:sqref>
                  </c15:fullRef>
                </c:ext>
              </c:extLst>
              <c:f>q4_8_12_16_25_37_Fig!$BN$40</c:f>
              <c:numCache>
                <c:formatCode>#,##0</c:formatCode>
                <c:ptCount val="1"/>
                <c:pt idx="0">
                  <c:v>249048</c:v>
                </c:pt>
              </c:numCache>
            </c:numRef>
          </c:val>
          <c:extLst>
            <c:ext xmlns:c16="http://schemas.microsoft.com/office/drawing/2014/chart" uri="{C3380CC4-5D6E-409C-BE32-E72D297353CC}">
              <c16:uniqueId val="{00000000-785D-4D8C-B835-C6B7AD25E36A}"/>
            </c:ext>
          </c:extLst>
        </c:ser>
        <c:ser>
          <c:idx val="1"/>
          <c:order val="1"/>
          <c:tx>
            <c:strRef>
              <c:f>q4_8_12_16_25_37_Fig!$BO$37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q4_8_12_16_25_37_Fig!$BM$40</c:f>
              <c:strCache>
                <c:ptCount val="1"/>
                <c:pt idx="0">
                  <c:v>Oeste e Vale do Tejo</c:v>
                </c:pt>
              </c:strCache>
            </c:strRef>
          </c:cat>
          <c:val>
            <c:numRef>
              <c:extLst>
                <c:ext xmlns:c15="http://schemas.microsoft.com/office/drawing/2012/chart" uri="{02D57815-91ED-43cb-92C2-25804820EDAC}">
                  <c15:fullRef>
                    <c15:sqref>q4_8_12_16_25_37_Fig!$BO$38:$BO$44</c15:sqref>
                  </c15:fullRef>
                </c:ext>
              </c:extLst>
              <c:f>q4_8_12_16_25_37_Fig!$BO$40</c:f>
              <c:numCache>
                <c:formatCode>#,##0</c:formatCode>
                <c:ptCount val="1"/>
                <c:pt idx="0">
                  <c:v>232968.00000000003</c:v>
                </c:pt>
              </c:numCache>
            </c:numRef>
          </c:val>
          <c:extLst>
            <c:ext xmlns:c16="http://schemas.microsoft.com/office/drawing/2014/chart" uri="{C3380CC4-5D6E-409C-BE32-E72D297353CC}">
              <c16:uniqueId val="{00000001-785D-4D8C-B835-C6B7AD25E36A}"/>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q4_8_12_16_25_37_Fig!$BM$42</c:f>
              <c:strCache>
                <c:ptCount val="1"/>
                <c:pt idx="0">
                  <c:v>Península de Setúbal</c:v>
                </c:pt>
              </c:strCache>
            </c:strRef>
          </c:cat>
          <c:val>
            <c:numRef>
              <c:extLst>
                <c:ext xmlns:c15="http://schemas.microsoft.com/office/drawing/2012/chart" uri="{02D57815-91ED-43cb-92C2-25804820EDAC}">
                  <c15:fullRef>
                    <c15:sqref>q4_8_12_16_25_37_Fig!$BN$38:$BN$44</c15:sqref>
                  </c15:fullRef>
                </c:ext>
              </c:extLst>
              <c:f>q4_8_12_16_25_37_Fig!$BN$42</c:f>
              <c:numCache>
                <c:formatCode>#,##0</c:formatCode>
                <c:ptCount val="1"/>
                <c:pt idx="0">
                  <c:v>177662</c:v>
                </c:pt>
              </c:numCache>
            </c:numRef>
          </c:val>
          <c:extLst>
            <c:ext xmlns:c16="http://schemas.microsoft.com/office/drawing/2014/chart" uri="{C3380CC4-5D6E-409C-BE32-E72D297353CC}">
              <c16:uniqueId val="{00000000-783A-4C34-B358-9057338425B9}"/>
            </c:ext>
          </c:extLst>
        </c:ser>
        <c:ser>
          <c:idx val="1"/>
          <c:order val="1"/>
          <c:tx>
            <c:strRef>
              <c:f>q4_8_12_16_25_37_Fig!$BO$37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q4_8_12_16_25_37_Fig!$BM$42</c:f>
              <c:strCache>
                <c:ptCount val="1"/>
                <c:pt idx="0">
                  <c:v>Península de Setúbal</c:v>
                </c:pt>
              </c:strCache>
            </c:strRef>
          </c:cat>
          <c:val>
            <c:numRef>
              <c:extLst>
                <c:ext xmlns:c15="http://schemas.microsoft.com/office/drawing/2012/chart" uri="{02D57815-91ED-43cb-92C2-25804820EDAC}">
                  <c15:fullRef>
                    <c15:sqref>q4_8_12_16_25_37_Fig!$BO$38:$BO$44</c15:sqref>
                  </c15:fullRef>
                </c:ext>
              </c:extLst>
              <c:f>q4_8_12_16_25_37_Fig!$BO$42</c:f>
              <c:numCache>
                <c:formatCode>#,##0</c:formatCode>
                <c:ptCount val="1"/>
                <c:pt idx="0">
                  <c:v>167647</c:v>
                </c:pt>
              </c:numCache>
            </c:numRef>
          </c:val>
          <c:extLst>
            <c:ext xmlns:c16="http://schemas.microsoft.com/office/drawing/2014/chart" uri="{C3380CC4-5D6E-409C-BE32-E72D297353CC}">
              <c16:uniqueId val="{00000001-783A-4C34-B358-9057338425B9}"/>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q4_8_12_16_25_37_Fig!$BM$41</c:f>
              <c:strCache>
                <c:ptCount val="1"/>
                <c:pt idx="0">
                  <c:v>Grande Lisboa</c:v>
                </c:pt>
              </c:strCache>
            </c:strRef>
          </c:cat>
          <c:val>
            <c:numRef>
              <c:extLst>
                <c:ext xmlns:c15="http://schemas.microsoft.com/office/drawing/2012/chart" uri="{02D57815-91ED-43cb-92C2-25804820EDAC}">
                  <c15:fullRef>
                    <c15:sqref>q4_8_12_16_25_37_Fig!$BN$38:$BN$44</c15:sqref>
                  </c15:fullRef>
                </c:ext>
              </c:extLst>
              <c:f>q4_8_12_16_25_37_Fig!$BN$41</c:f>
              <c:numCache>
                <c:formatCode>#,##0</c:formatCode>
                <c:ptCount val="1"/>
                <c:pt idx="0">
                  <c:v>996445</c:v>
                </c:pt>
              </c:numCache>
            </c:numRef>
          </c:val>
          <c:extLst>
            <c:ext xmlns:c16="http://schemas.microsoft.com/office/drawing/2014/chart" uri="{C3380CC4-5D6E-409C-BE32-E72D297353CC}">
              <c16:uniqueId val="{00000000-F05B-4124-A7B0-AF94280606D2}"/>
            </c:ext>
          </c:extLst>
        </c:ser>
        <c:ser>
          <c:idx val="1"/>
          <c:order val="1"/>
          <c:tx>
            <c:strRef>
              <c:f>q4_8_12_16_25_37_Fig!$BO$37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q4_8_12_16_25_37_Fig!$BM$41</c:f>
              <c:strCache>
                <c:ptCount val="1"/>
                <c:pt idx="0">
                  <c:v>Grande Lisboa</c:v>
                </c:pt>
              </c:strCache>
            </c:strRef>
          </c:cat>
          <c:val>
            <c:numRef>
              <c:extLst>
                <c:ext xmlns:c15="http://schemas.microsoft.com/office/drawing/2012/chart" uri="{02D57815-91ED-43cb-92C2-25804820EDAC}">
                  <c15:fullRef>
                    <c15:sqref>q4_8_12_16_25_37_Fig!$BO$38:$BO$44</c15:sqref>
                  </c15:fullRef>
                </c:ext>
              </c:extLst>
              <c:f>q4_8_12_16_25_37_Fig!$BO$41</c:f>
              <c:numCache>
                <c:formatCode>#,##0</c:formatCode>
                <c:ptCount val="1"/>
                <c:pt idx="0">
                  <c:v>956373.99999999988</c:v>
                </c:pt>
              </c:numCache>
            </c:numRef>
          </c:val>
          <c:extLst>
            <c:ext xmlns:c16="http://schemas.microsoft.com/office/drawing/2014/chart" uri="{C3380CC4-5D6E-409C-BE32-E72D297353CC}">
              <c16:uniqueId val="{00000001-F05B-4124-A7B0-AF94280606D2}"/>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5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q4_8_12_16_25_37_Fig!$BM$43</c:f>
              <c:strCache>
                <c:ptCount val="1"/>
                <c:pt idx="0">
                  <c:v>Alentejo</c:v>
                </c:pt>
              </c:strCache>
            </c:strRef>
          </c:cat>
          <c:val>
            <c:numRef>
              <c:extLst>
                <c:ext xmlns:c15="http://schemas.microsoft.com/office/drawing/2012/chart" uri="{02D57815-91ED-43cb-92C2-25804820EDAC}">
                  <c15:fullRef>
                    <c15:sqref>q4_8_12_16_25_37_Fig!$BN$38:$BN$44</c15:sqref>
                  </c15:fullRef>
                </c:ext>
              </c:extLst>
              <c:f>q4_8_12_16_25_37_Fig!$BN$43</c:f>
              <c:numCache>
                <c:formatCode>#,##0</c:formatCode>
                <c:ptCount val="1"/>
                <c:pt idx="0">
                  <c:v>137731</c:v>
                </c:pt>
              </c:numCache>
            </c:numRef>
          </c:val>
          <c:extLst>
            <c:ext xmlns:c16="http://schemas.microsoft.com/office/drawing/2014/chart" uri="{C3380CC4-5D6E-409C-BE32-E72D297353CC}">
              <c16:uniqueId val="{00000000-3709-4E9E-B1E8-2B596368D8EA}"/>
            </c:ext>
          </c:extLst>
        </c:ser>
        <c:ser>
          <c:idx val="1"/>
          <c:order val="1"/>
          <c:tx>
            <c:strRef>
              <c:f>q4_8_12_16_25_37_Fig!$BO$37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5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q4_8_12_16_25_37_Fig!$BM$43</c:f>
              <c:strCache>
                <c:ptCount val="1"/>
                <c:pt idx="0">
                  <c:v>Alentejo</c:v>
                </c:pt>
              </c:strCache>
            </c:strRef>
          </c:cat>
          <c:val>
            <c:numRef>
              <c:extLst>
                <c:ext xmlns:c15="http://schemas.microsoft.com/office/drawing/2012/chart" uri="{02D57815-91ED-43cb-92C2-25804820EDAC}">
                  <c15:fullRef>
                    <c15:sqref>q4_8_12_16_25_37_Fig!$BO$38:$BO$44</c15:sqref>
                  </c15:fullRef>
                </c:ext>
              </c:extLst>
              <c:f>q4_8_12_16_25_37_Fig!$BO$43</c:f>
              <c:numCache>
                <c:formatCode>#,##0</c:formatCode>
                <c:ptCount val="1"/>
                <c:pt idx="0">
                  <c:v>130362.00000000001</c:v>
                </c:pt>
              </c:numCache>
            </c:numRef>
          </c:val>
          <c:extLst>
            <c:ext xmlns:c16="http://schemas.microsoft.com/office/drawing/2014/chart" uri="{C3380CC4-5D6E-409C-BE32-E72D297353CC}">
              <c16:uniqueId val="{00000001-3709-4E9E-B1E8-2B596368D8EA}"/>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q4_8_12_16_25_37_Fig!$BM$44</c:f>
              <c:strCache>
                <c:ptCount val="1"/>
                <c:pt idx="0">
                  <c:v>Algarve</c:v>
                </c:pt>
              </c:strCache>
            </c:strRef>
          </c:cat>
          <c:val>
            <c:numRef>
              <c:extLst>
                <c:ext xmlns:c15="http://schemas.microsoft.com/office/drawing/2012/chart" uri="{02D57815-91ED-43cb-92C2-25804820EDAC}">
                  <c15:fullRef>
                    <c15:sqref>q4_8_12_16_25_37_Fig!$BN$38:$BN$44</c15:sqref>
                  </c15:fullRef>
                </c:ext>
              </c:extLst>
              <c:f>q4_8_12_16_25_37_Fig!$BN$44</c:f>
              <c:numCache>
                <c:formatCode>#,##0</c:formatCode>
                <c:ptCount val="1"/>
                <c:pt idx="0">
                  <c:v>184098.99999999997</c:v>
                </c:pt>
              </c:numCache>
            </c:numRef>
          </c:val>
          <c:extLst>
            <c:ext xmlns:c16="http://schemas.microsoft.com/office/drawing/2014/chart" uri="{C3380CC4-5D6E-409C-BE32-E72D297353CC}">
              <c16:uniqueId val="{00000000-4C6E-4C41-85F3-4518D3C98702}"/>
            </c:ext>
          </c:extLst>
        </c:ser>
        <c:ser>
          <c:idx val="1"/>
          <c:order val="1"/>
          <c:tx>
            <c:strRef>
              <c:f>q4_8_12_16_25_37_Fig!$BO$37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q4_8_12_16_25_37_Fig!$BM$38:$BM$44</c15:sqref>
                  </c15:fullRef>
                </c:ext>
              </c:extLst>
              <c:f>q4_8_12_16_25_37_Fig!$BM$44</c:f>
              <c:strCache>
                <c:ptCount val="1"/>
                <c:pt idx="0">
                  <c:v>Algarve</c:v>
                </c:pt>
              </c:strCache>
            </c:strRef>
          </c:cat>
          <c:val>
            <c:numRef>
              <c:extLst>
                <c:ext xmlns:c15="http://schemas.microsoft.com/office/drawing/2012/chart" uri="{02D57815-91ED-43cb-92C2-25804820EDAC}">
                  <c15:fullRef>
                    <c15:sqref>q4_8_12_16_25_37_Fig!$BO$38:$BO$44</c15:sqref>
                  </c15:fullRef>
                </c:ext>
              </c:extLst>
              <c:f>q4_8_12_16_25_37_Fig!$BO$44</c:f>
              <c:numCache>
                <c:formatCode>#,##0</c:formatCode>
                <c:ptCount val="1"/>
                <c:pt idx="0">
                  <c:v>172373</c:v>
                </c:pt>
              </c:numCache>
            </c:numRef>
          </c:val>
          <c:extLst>
            <c:ext xmlns:c16="http://schemas.microsoft.com/office/drawing/2014/chart" uri="{C3380CC4-5D6E-409C-BE32-E72D297353CC}">
              <c16:uniqueId val="{00000001-4C6E-4C41-85F3-4518D3C98702}"/>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pt-PT" sz="900">
                <a:solidFill>
                  <a:schemeClr val="tx2">
                    <a:lumMod val="75000"/>
                  </a:schemeClr>
                </a:solidFill>
              </a:rPr>
              <a:t>...por dimensão do estabelecimento</a:t>
            </a:r>
          </a:p>
        </c:rich>
      </c:tx>
      <c:layout>
        <c:manualLayout>
          <c:xMode val="edge"/>
          <c:yMode val="edge"/>
          <c:x val="0.75006003767601337"/>
          <c:y val="3.404253798289474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pt-PT"/>
        </a:p>
      </c:txPr>
    </c:title>
    <c:autoTitleDeleted val="0"/>
    <c:plotArea>
      <c:layout/>
      <c:lineChart>
        <c:grouping val="standard"/>
        <c:varyColors val="0"/>
        <c:ser>
          <c:idx val="0"/>
          <c:order val="0"/>
          <c:tx>
            <c:strRef>
              <c:f>q11_q13_q15_q17_Fig!$R$31</c:f>
              <c:strCache>
                <c:ptCount val="1"/>
                <c:pt idx="0">
                  <c:v>Micro (1-9 pessoas)</c:v>
                </c:pt>
              </c:strCache>
            </c:strRef>
          </c:tx>
          <c:spPr>
            <a:ln w="25400" cap="rnd">
              <a:solidFill>
                <a:srgbClr val="3C1692"/>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F161-4D59-80A8-67394CF81024}"/>
                </c:ext>
              </c:extLst>
            </c:dLbl>
            <c:dLbl>
              <c:idx val="1"/>
              <c:delete val="1"/>
              <c:extLst>
                <c:ext xmlns:c15="http://schemas.microsoft.com/office/drawing/2012/chart" uri="{CE6537A1-D6FC-4f65-9D91-7224C49458BB}"/>
                <c:ext xmlns:c16="http://schemas.microsoft.com/office/drawing/2014/chart" uri="{C3380CC4-5D6E-409C-BE32-E72D297353CC}">
                  <c16:uniqueId val="{00000001-F161-4D59-80A8-67394CF81024}"/>
                </c:ext>
              </c:extLst>
            </c:dLbl>
            <c:dLbl>
              <c:idx val="2"/>
              <c:delete val="1"/>
              <c:extLst>
                <c:ext xmlns:c15="http://schemas.microsoft.com/office/drawing/2012/chart" uri="{CE6537A1-D6FC-4f65-9D91-7224C49458BB}"/>
                <c:ext xmlns:c16="http://schemas.microsoft.com/office/drawing/2014/chart" uri="{C3380CC4-5D6E-409C-BE32-E72D297353CC}">
                  <c16:uniqueId val="{00000002-F161-4D59-80A8-67394CF81024}"/>
                </c:ext>
              </c:extLst>
            </c:dLbl>
            <c:dLbl>
              <c:idx val="3"/>
              <c:layout>
                <c:manualLayout>
                  <c:x val="5.2322336290242126E-2"/>
                  <c:y val="8.1294291338582722E-2"/>
                </c:manualLayout>
              </c:layout>
              <c:tx>
                <c:rich>
                  <a:bodyPr/>
                  <a:lstStyle/>
                  <a:p>
                    <a:fld id="{A8C9B93E-BD4A-47C8-81CF-FD69EB3EB9F8}" type="SERIESNAME">
                      <a:rPr lang="en-US">
                        <a:solidFill>
                          <a:srgbClr val="3C1692"/>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F161-4D59-80A8-67394CF81024}"/>
                </c:ext>
              </c:extLst>
            </c:dLbl>
            <c:dLbl>
              <c:idx val="4"/>
              <c:delete val="1"/>
              <c:extLst>
                <c:ext xmlns:c15="http://schemas.microsoft.com/office/drawing/2012/chart" uri="{CE6537A1-D6FC-4f65-9D91-7224C49458BB}"/>
                <c:ext xmlns:c16="http://schemas.microsoft.com/office/drawing/2014/chart" uri="{C3380CC4-5D6E-409C-BE32-E72D297353CC}">
                  <c16:uniqueId val="{00000004-F161-4D59-80A8-67394CF81024}"/>
                </c:ext>
              </c:extLst>
            </c:dLbl>
            <c:dLbl>
              <c:idx val="5"/>
              <c:delete val="1"/>
              <c:extLst>
                <c:ext xmlns:c15="http://schemas.microsoft.com/office/drawing/2012/chart" uri="{CE6537A1-D6FC-4f65-9D91-7224C49458BB}"/>
                <c:ext xmlns:c16="http://schemas.microsoft.com/office/drawing/2014/chart" uri="{C3380CC4-5D6E-409C-BE32-E72D297353CC}">
                  <c16:uniqueId val="{00000005-F161-4D59-80A8-67394CF81024}"/>
                </c:ext>
              </c:extLst>
            </c:dLbl>
            <c:dLbl>
              <c:idx val="6"/>
              <c:delete val="1"/>
              <c:extLst>
                <c:ext xmlns:c15="http://schemas.microsoft.com/office/drawing/2012/chart" uri="{CE6537A1-D6FC-4f65-9D91-7224C49458BB}"/>
                <c:ext xmlns:c16="http://schemas.microsoft.com/office/drawing/2014/chart" uri="{C3380CC4-5D6E-409C-BE32-E72D297353CC}">
                  <c16:uniqueId val="{00000006-F161-4D59-80A8-67394CF81024}"/>
                </c:ext>
              </c:extLst>
            </c:dLbl>
            <c:dLbl>
              <c:idx val="7"/>
              <c:delete val="1"/>
              <c:extLst>
                <c:ext xmlns:c15="http://schemas.microsoft.com/office/drawing/2012/chart" uri="{CE6537A1-D6FC-4f65-9D91-7224C49458BB}"/>
                <c:ext xmlns:c16="http://schemas.microsoft.com/office/drawing/2014/chart" uri="{C3380CC4-5D6E-409C-BE32-E72D297353CC}">
                  <c16:uniqueId val="{00000007-F161-4D59-80A8-67394CF81024}"/>
                </c:ext>
              </c:extLst>
            </c:dLbl>
            <c:dLbl>
              <c:idx val="8"/>
              <c:delete val="1"/>
              <c:extLst>
                <c:ext xmlns:c15="http://schemas.microsoft.com/office/drawing/2012/chart" uri="{CE6537A1-D6FC-4f65-9D91-7224C49458BB}"/>
                <c:ext xmlns:c16="http://schemas.microsoft.com/office/drawing/2014/chart" uri="{C3380CC4-5D6E-409C-BE32-E72D297353CC}">
                  <c16:uniqueId val="{00000008-F161-4D59-80A8-67394CF81024}"/>
                </c:ext>
              </c:extLst>
            </c:dLbl>
            <c:dLbl>
              <c:idx val="9"/>
              <c:delete val="1"/>
              <c:extLst>
                <c:ext xmlns:c15="http://schemas.microsoft.com/office/drawing/2012/chart" uri="{CE6537A1-D6FC-4f65-9D91-7224C49458BB}"/>
                <c:ext xmlns:c16="http://schemas.microsoft.com/office/drawing/2014/chart" uri="{C3380CC4-5D6E-409C-BE32-E72D297353CC}">
                  <c16:uniqueId val="{00000009-F161-4D59-80A8-67394CF81024}"/>
                </c:ext>
              </c:extLst>
            </c:dLbl>
            <c:dLbl>
              <c:idx val="10"/>
              <c:delete val="1"/>
              <c:extLst>
                <c:ext xmlns:c15="http://schemas.microsoft.com/office/drawing/2012/chart" uri="{CE6537A1-D6FC-4f65-9D91-7224C49458BB}"/>
                <c:ext xmlns:c16="http://schemas.microsoft.com/office/drawing/2014/chart" uri="{C3380CC4-5D6E-409C-BE32-E72D297353CC}">
                  <c16:uniqueId val="{0000000A-F161-4D59-80A8-67394CF8102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3C1692"/>
                      </a:solidFill>
                    </a:ln>
                    <a:effectLst/>
                  </c:spPr>
                </c15:leaderLines>
              </c:ext>
            </c:extLst>
          </c:dLbls>
          <c:cat>
            <c:numRef>
              <c:f>q11_q13_q15_q17_Fig!$S$30:$AC$30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q11_q13_q15_q17_Fig!$S$31:$AC$31</c:f>
              <c:numCache>
                <c:formatCode>General</c:formatCode>
                <c:ptCount val="11"/>
                <c:pt idx="0">
                  <c:v>664177</c:v>
                </c:pt>
                <c:pt idx="1">
                  <c:v>675159</c:v>
                </c:pt>
                <c:pt idx="2">
                  <c:v>686327</c:v>
                </c:pt>
                <c:pt idx="3">
                  <c:v>693453</c:v>
                </c:pt>
                <c:pt idx="4">
                  <c:v>703921</c:v>
                </c:pt>
                <c:pt idx="5">
                  <c:v>690476</c:v>
                </c:pt>
                <c:pt idx="6">
                  <c:v>691923</c:v>
                </c:pt>
                <c:pt idx="7">
                  <c:v>678736</c:v>
                </c:pt>
                <c:pt idx="8">
                  <c:v>710989</c:v>
                </c:pt>
                <c:pt idx="9">
                  <c:v>727162</c:v>
                </c:pt>
                <c:pt idx="10">
                  <c:v>722178</c:v>
                </c:pt>
              </c:numCache>
            </c:numRef>
          </c:val>
          <c:smooth val="0"/>
          <c:extLst>
            <c:ext xmlns:c16="http://schemas.microsoft.com/office/drawing/2014/chart" uri="{C3380CC4-5D6E-409C-BE32-E72D297353CC}">
              <c16:uniqueId val="{0000000B-F161-4D59-80A8-67394CF81024}"/>
            </c:ext>
          </c:extLst>
        </c:ser>
        <c:ser>
          <c:idx val="1"/>
          <c:order val="1"/>
          <c:tx>
            <c:strRef>
              <c:f>q11_q13_q15_q17_Fig!$R$32</c:f>
              <c:strCache>
                <c:ptCount val="1"/>
                <c:pt idx="0">
                  <c:v>Pequenos (10 - 49 pessoas)</c:v>
                </c:pt>
              </c:strCache>
            </c:strRef>
          </c:tx>
          <c:spPr>
            <a:ln w="25400" cap="rnd">
              <a:solidFill>
                <a:srgbClr val="1403EB"/>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C-F161-4D59-80A8-67394CF81024}"/>
                </c:ext>
              </c:extLst>
            </c:dLbl>
            <c:dLbl>
              <c:idx val="1"/>
              <c:delete val="1"/>
              <c:extLst>
                <c:ext xmlns:c15="http://schemas.microsoft.com/office/drawing/2012/chart" uri="{CE6537A1-D6FC-4f65-9D91-7224C49458BB}"/>
                <c:ext xmlns:c16="http://schemas.microsoft.com/office/drawing/2014/chart" uri="{C3380CC4-5D6E-409C-BE32-E72D297353CC}">
                  <c16:uniqueId val="{0000000D-F161-4D59-80A8-67394CF81024}"/>
                </c:ext>
              </c:extLst>
            </c:dLbl>
            <c:dLbl>
              <c:idx val="2"/>
              <c:delete val="1"/>
              <c:extLst>
                <c:ext xmlns:c15="http://schemas.microsoft.com/office/drawing/2012/chart" uri="{CE6537A1-D6FC-4f65-9D91-7224C49458BB}"/>
                <c:ext xmlns:c16="http://schemas.microsoft.com/office/drawing/2014/chart" uri="{C3380CC4-5D6E-409C-BE32-E72D297353CC}">
                  <c16:uniqueId val="{0000000E-F161-4D59-80A8-67394CF81024}"/>
                </c:ext>
              </c:extLst>
            </c:dLbl>
            <c:dLbl>
              <c:idx val="3"/>
              <c:layout>
                <c:manualLayout>
                  <c:x val="-7.5833748629522579E-2"/>
                  <c:y val="-0.19104617782152231"/>
                </c:manualLayout>
              </c:layout>
              <c:tx>
                <c:rich>
                  <a:bodyPr/>
                  <a:lstStyle/>
                  <a:p>
                    <a:fld id="{BE7735F4-BAB8-4FFE-9997-93C135EB11A4}" type="SERIESNAME">
                      <a:rPr lang="en-US">
                        <a:solidFill>
                          <a:srgbClr val="1403EB"/>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F161-4D59-80A8-67394CF81024}"/>
                </c:ext>
              </c:extLst>
            </c:dLbl>
            <c:dLbl>
              <c:idx val="4"/>
              <c:delete val="1"/>
              <c:extLst>
                <c:ext xmlns:c15="http://schemas.microsoft.com/office/drawing/2012/chart" uri="{CE6537A1-D6FC-4f65-9D91-7224C49458BB}"/>
                <c:ext xmlns:c16="http://schemas.microsoft.com/office/drawing/2014/chart" uri="{C3380CC4-5D6E-409C-BE32-E72D297353CC}">
                  <c16:uniqueId val="{00000010-F161-4D59-80A8-67394CF81024}"/>
                </c:ext>
              </c:extLst>
            </c:dLbl>
            <c:dLbl>
              <c:idx val="5"/>
              <c:delete val="1"/>
              <c:extLst>
                <c:ext xmlns:c15="http://schemas.microsoft.com/office/drawing/2012/chart" uri="{CE6537A1-D6FC-4f65-9D91-7224C49458BB}"/>
                <c:ext xmlns:c16="http://schemas.microsoft.com/office/drawing/2014/chart" uri="{C3380CC4-5D6E-409C-BE32-E72D297353CC}">
                  <c16:uniqueId val="{00000011-F161-4D59-80A8-67394CF81024}"/>
                </c:ext>
              </c:extLst>
            </c:dLbl>
            <c:dLbl>
              <c:idx val="6"/>
              <c:delete val="1"/>
              <c:extLst>
                <c:ext xmlns:c15="http://schemas.microsoft.com/office/drawing/2012/chart" uri="{CE6537A1-D6FC-4f65-9D91-7224C49458BB}"/>
                <c:ext xmlns:c16="http://schemas.microsoft.com/office/drawing/2014/chart" uri="{C3380CC4-5D6E-409C-BE32-E72D297353CC}">
                  <c16:uniqueId val="{00000012-F161-4D59-80A8-67394CF81024}"/>
                </c:ext>
              </c:extLst>
            </c:dLbl>
            <c:dLbl>
              <c:idx val="7"/>
              <c:delete val="1"/>
              <c:extLst>
                <c:ext xmlns:c15="http://schemas.microsoft.com/office/drawing/2012/chart" uri="{CE6537A1-D6FC-4f65-9D91-7224C49458BB}"/>
                <c:ext xmlns:c16="http://schemas.microsoft.com/office/drawing/2014/chart" uri="{C3380CC4-5D6E-409C-BE32-E72D297353CC}">
                  <c16:uniqueId val="{00000013-F161-4D59-80A8-67394CF81024}"/>
                </c:ext>
              </c:extLst>
            </c:dLbl>
            <c:dLbl>
              <c:idx val="8"/>
              <c:delete val="1"/>
              <c:extLst>
                <c:ext xmlns:c15="http://schemas.microsoft.com/office/drawing/2012/chart" uri="{CE6537A1-D6FC-4f65-9D91-7224C49458BB}"/>
                <c:ext xmlns:c16="http://schemas.microsoft.com/office/drawing/2014/chart" uri="{C3380CC4-5D6E-409C-BE32-E72D297353CC}">
                  <c16:uniqueId val="{00000014-F161-4D59-80A8-67394CF81024}"/>
                </c:ext>
              </c:extLst>
            </c:dLbl>
            <c:dLbl>
              <c:idx val="9"/>
              <c:delete val="1"/>
              <c:extLst>
                <c:ext xmlns:c15="http://schemas.microsoft.com/office/drawing/2012/chart" uri="{CE6537A1-D6FC-4f65-9D91-7224C49458BB}"/>
                <c:ext xmlns:c16="http://schemas.microsoft.com/office/drawing/2014/chart" uri="{C3380CC4-5D6E-409C-BE32-E72D297353CC}">
                  <c16:uniqueId val="{00000015-F161-4D59-80A8-67394CF81024}"/>
                </c:ext>
              </c:extLst>
            </c:dLbl>
            <c:dLbl>
              <c:idx val="10"/>
              <c:delete val="1"/>
              <c:extLst>
                <c:ext xmlns:c15="http://schemas.microsoft.com/office/drawing/2012/chart" uri="{CE6537A1-D6FC-4f65-9D91-7224C49458BB}"/>
                <c:ext xmlns:c16="http://schemas.microsoft.com/office/drawing/2014/chart" uri="{C3380CC4-5D6E-409C-BE32-E72D297353CC}">
                  <c16:uniqueId val="{00000016-F161-4D59-80A8-67394CF8102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1403EB"/>
                      </a:solidFill>
                    </a:ln>
                    <a:effectLst/>
                  </c:spPr>
                </c15:leaderLines>
              </c:ext>
            </c:extLst>
          </c:dLbls>
          <c:cat>
            <c:numRef>
              <c:f>q11_q13_q15_q17_Fig!$S$30:$AC$30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q11_q13_q15_q17_Fig!$S$32:$AC$32</c:f>
              <c:numCache>
                <c:formatCode>General</c:formatCode>
                <c:ptCount val="11"/>
                <c:pt idx="0">
                  <c:v>751440</c:v>
                </c:pt>
                <c:pt idx="1">
                  <c:v>776454</c:v>
                </c:pt>
                <c:pt idx="2">
                  <c:v>805324</c:v>
                </c:pt>
                <c:pt idx="3">
                  <c:v>844629</c:v>
                </c:pt>
                <c:pt idx="4">
                  <c:v>879333</c:v>
                </c:pt>
                <c:pt idx="5">
                  <c:v>898123</c:v>
                </c:pt>
                <c:pt idx="6">
                  <c:v>887304</c:v>
                </c:pt>
                <c:pt idx="7">
                  <c:v>894687</c:v>
                </c:pt>
                <c:pt idx="8">
                  <c:v>963576</c:v>
                </c:pt>
                <c:pt idx="9">
                  <c:v>1013588</c:v>
                </c:pt>
                <c:pt idx="10">
                  <c:v>1027002</c:v>
                </c:pt>
              </c:numCache>
            </c:numRef>
          </c:val>
          <c:smooth val="0"/>
          <c:extLst>
            <c:ext xmlns:c16="http://schemas.microsoft.com/office/drawing/2014/chart" uri="{C3380CC4-5D6E-409C-BE32-E72D297353CC}">
              <c16:uniqueId val="{00000017-F161-4D59-80A8-67394CF81024}"/>
            </c:ext>
          </c:extLst>
        </c:ser>
        <c:ser>
          <c:idx val="2"/>
          <c:order val="2"/>
          <c:tx>
            <c:strRef>
              <c:f>q11_q13_q15_q17_Fig!$R$33</c:f>
              <c:strCache>
                <c:ptCount val="1"/>
                <c:pt idx="0">
                  <c:v>Médios (50 - 249 pessoas)</c:v>
                </c:pt>
              </c:strCache>
            </c:strRef>
          </c:tx>
          <c:spPr>
            <a:ln w="25400" cap="rnd">
              <a:solidFill>
                <a:schemeClr val="tx2">
                  <a:lumMod val="60000"/>
                  <a:lumOff val="40000"/>
                </a:schemeClr>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8-F161-4D59-80A8-67394CF81024}"/>
                </c:ext>
              </c:extLst>
            </c:dLbl>
            <c:dLbl>
              <c:idx val="1"/>
              <c:delete val="1"/>
              <c:extLst>
                <c:ext xmlns:c15="http://schemas.microsoft.com/office/drawing/2012/chart" uri="{CE6537A1-D6FC-4f65-9D91-7224C49458BB}"/>
                <c:ext xmlns:c16="http://schemas.microsoft.com/office/drawing/2014/chart" uri="{C3380CC4-5D6E-409C-BE32-E72D297353CC}">
                  <c16:uniqueId val="{00000019-F161-4D59-80A8-67394CF81024}"/>
                </c:ext>
              </c:extLst>
            </c:dLbl>
            <c:dLbl>
              <c:idx val="2"/>
              <c:layout>
                <c:manualLayout>
                  <c:x val="-2.2571514003787579E-2"/>
                  <c:y val="0.13382094816272966"/>
                </c:manualLayout>
              </c:layout>
              <c:tx>
                <c:rich>
                  <a:bodyPr/>
                  <a:lstStyle/>
                  <a:p>
                    <a:fld id="{66688D69-0E74-4700-B821-CD6491C19966}" type="SERIESNAME">
                      <a:rPr lang="en-US">
                        <a:solidFill>
                          <a:srgbClr val="558ED5"/>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F161-4D59-80A8-67394CF81024}"/>
                </c:ext>
              </c:extLst>
            </c:dLbl>
            <c:dLbl>
              <c:idx val="3"/>
              <c:delete val="1"/>
              <c:extLst>
                <c:ext xmlns:c15="http://schemas.microsoft.com/office/drawing/2012/chart" uri="{CE6537A1-D6FC-4f65-9D91-7224C49458BB}"/>
                <c:ext xmlns:c16="http://schemas.microsoft.com/office/drawing/2014/chart" uri="{C3380CC4-5D6E-409C-BE32-E72D297353CC}">
                  <c16:uniqueId val="{0000001B-F161-4D59-80A8-67394CF81024}"/>
                </c:ext>
              </c:extLst>
            </c:dLbl>
            <c:dLbl>
              <c:idx val="4"/>
              <c:delete val="1"/>
              <c:extLst>
                <c:ext xmlns:c15="http://schemas.microsoft.com/office/drawing/2012/chart" uri="{CE6537A1-D6FC-4f65-9D91-7224C49458BB}"/>
                <c:ext xmlns:c16="http://schemas.microsoft.com/office/drawing/2014/chart" uri="{C3380CC4-5D6E-409C-BE32-E72D297353CC}">
                  <c16:uniqueId val="{0000001C-F161-4D59-80A8-67394CF81024}"/>
                </c:ext>
              </c:extLst>
            </c:dLbl>
            <c:dLbl>
              <c:idx val="5"/>
              <c:delete val="1"/>
              <c:extLst>
                <c:ext xmlns:c15="http://schemas.microsoft.com/office/drawing/2012/chart" uri="{CE6537A1-D6FC-4f65-9D91-7224C49458BB}"/>
                <c:ext xmlns:c16="http://schemas.microsoft.com/office/drawing/2014/chart" uri="{C3380CC4-5D6E-409C-BE32-E72D297353CC}">
                  <c16:uniqueId val="{0000001D-F161-4D59-80A8-67394CF81024}"/>
                </c:ext>
              </c:extLst>
            </c:dLbl>
            <c:dLbl>
              <c:idx val="6"/>
              <c:delete val="1"/>
              <c:extLst>
                <c:ext xmlns:c15="http://schemas.microsoft.com/office/drawing/2012/chart" uri="{CE6537A1-D6FC-4f65-9D91-7224C49458BB}"/>
                <c:ext xmlns:c16="http://schemas.microsoft.com/office/drawing/2014/chart" uri="{C3380CC4-5D6E-409C-BE32-E72D297353CC}">
                  <c16:uniqueId val="{0000001E-F161-4D59-80A8-67394CF81024}"/>
                </c:ext>
              </c:extLst>
            </c:dLbl>
            <c:dLbl>
              <c:idx val="7"/>
              <c:delete val="1"/>
              <c:extLst>
                <c:ext xmlns:c15="http://schemas.microsoft.com/office/drawing/2012/chart" uri="{CE6537A1-D6FC-4f65-9D91-7224C49458BB}"/>
                <c:ext xmlns:c16="http://schemas.microsoft.com/office/drawing/2014/chart" uri="{C3380CC4-5D6E-409C-BE32-E72D297353CC}">
                  <c16:uniqueId val="{0000001F-F161-4D59-80A8-67394CF81024}"/>
                </c:ext>
              </c:extLst>
            </c:dLbl>
            <c:dLbl>
              <c:idx val="8"/>
              <c:delete val="1"/>
              <c:extLst>
                <c:ext xmlns:c15="http://schemas.microsoft.com/office/drawing/2012/chart" uri="{CE6537A1-D6FC-4f65-9D91-7224C49458BB}"/>
                <c:ext xmlns:c16="http://schemas.microsoft.com/office/drawing/2014/chart" uri="{C3380CC4-5D6E-409C-BE32-E72D297353CC}">
                  <c16:uniqueId val="{00000020-F161-4D59-80A8-67394CF81024}"/>
                </c:ext>
              </c:extLst>
            </c:dLbl>
            <c:dLbl>
              <c:idx val="9"/>
              <c:delete val="1"/>
              <c:extLst>
                <c:ext xmlns:c15="http://schemas.microsoft.com/office/drawing/2012/chart" uri="{CE6537A1-D6FC-4f65-9D91-7224C49458BB}"/>
                <c:ext xmlns:c16="http://schemas.microsoft.com/office/drawing/2014/chart" uri="{C3380CC4-5D6E-409C-BE32-E72D297353CC}">
                  <c16:uniqueId val="{00000021-F161-4D59-80A8-67394CF81024}"/>
                </c:ext>
              </c:extLst>
            </c:dLbl>
            <c:dLbl>
              <c:idx val="10"/>
              <c:delete val="1"/>
              <c:extLst>
                <c:ext xmlns:c15="http://schemas.microsoft.com/office/drawing/2012/chart" uri="{CE6537A1-D6FC-4f65-9D91-7224C49458BB}"/>
                <c:ext xmlns:c16="http://schemas.microsoft.com/office/drawing/2014/chart" uri="{C3380CC4-5D6E-409C-BE32-E72D297353CC}">
                  <c16:uniqueId val="{00000022-F161-4D59-80A8-67394CF8102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558ED5"/>
                      </a:solidFill>
                    </a:ln>
                    <a:effectLst/>
                  </c:spPr>
                </c15:leaderLines>
              </c:ext>
            </c:extLst>
          </c:dLbls>
          <c:cat>
            <c:numRef>
              <c:f>q11_q13_q15_q17_Fig!$S$30:$AC$30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q11_q13_q15_q17_Fig!$S$33:$AC$33</c:f>
              <c:numCache>
                <c:formatCode>General</c:formatCode>
                <c:ptCount val="11"/>
                <c:pt idx="0">
                  <c:v>588868</c:v>
                </c:pt>
                <c:pt idx="1">
                  <c:v>609333</c:v>
                </c:pt>
                <c:pt idx="2">
                  <c:v>637668</c:v>
                </c:pt>
                <c:pt idx="3">
                  <c:v>669638</c:v>
                </c:pt>
                <c:pt idx="4">
                  <c:v>705658</c:v>
                </c:pt>
                <c:pt idx="5">
                  <c:v>722607</c:v>
                </c:pt>
                <c:pt idx="6">
                  <c:v>712172</c:v>
                </c:pt>
                <c:pt idx="7">
                  <c:v>730932</c:v>
                </c:pt>
                <c:pt idx="8">
                  <c:v>799590</c:v>
                </c:pt>
                <c:pt idx="9">
                  <c:v>840662</c:v>
                </c:pt>
                <c:pt idx="10">
                  <c:v>859516</c:v>
                </c:pt>
              </c:numCache>
            </c:numRef>
          </c:val>
          <c:smooth val="0"/>
          <c:extLst>
            <c:ext xmlns:c16="http://schemas.microsoft.com/office/drawing/2014/chart" uri="{C3380CC4-5D6E-409C-BE32-E72D297353CC}">
              <c16:uniqueId val="{00000023-F161-4D59-80A8-67394CF81024}"/>
            </c:ext>
          </c:extLst>
        </c:ser>
        <c:ser>
          <c:idx val="3"/>
          <c:order val="3"/>
          <c:tx>
            <c:strRef>
              <c:f>q11_q13_q15_q17_Fig!$R$34</c:f>
              <c:strCache>
                <c:ptCount val="1"/>
                <c:pt idx="0">
                  <c:v>Grandes (250 ou + pessoas)</c:v>
                </c:pt>
              </c:strCache>
            </c:strRef>
          </c:tx>
          <c:spPr>
            <a:ln w="25400" cap="rnd">
              <a:solidFill>
                <a:srgbClr val="B6C3FF"/>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4-F161-4D59-80A8-67394CF81024}"/>
                </c:ext>
              </c:extLst>
            </c:dLbl>
            <c:dLbl>
              <c:idx val="1"/>
              <c:delete val="1"/>
              <c:extLst>
                <c:ext xmlns:c15="http://schemas.microsoft.com/office/drawing/2012/chart" uri="{CE6537A1-D6FC-4f65-9D91-7224C49458BB}"/>
                <c:ext xmlns:c16="http://schemas.microsoft.com/office/drawing/2014/chart" uri="{C3380CC4-5D6E-409C-BE32-E72D297353CC}">
                  <c16:uniqueId val="{00000025-F161-4D59-80A8-67394CF81024}"/>
                </c:ext>
              </c:extLst>
            </c:dLbl>
            <c:dLbl>
              <c:idx val="2"/>
              <c:delete val="1"/>
              <c:extLst>
                <c:ext xmlns:c15="http://schemas.microsoft.com/office/drawing/2012/chart" uri="{CE6537A1-D6FC-4f65-9D91-7224C49458BB}"/>
                <c:ext xmlns:c16="http://schemas.microsoft.com/office/drawing/2014/chart" uri="{C3380CC4-5D6E-409C-BE32-E72D297353CC}">
                  <c16:uniqueId val="{00000026-F161-4D59-80A8-67394CF81024}"/>
                </c:ext>
              </c:extLst>
            </c:dLbl>
            <c:dLbl>
              <c:idx val="3"/>
              <c:delete val="1"/>
              <c:extLst>
                <c:ext xmlns:c15="http://schemas.microsoft.com/office/drawing/2012/chart" uri="{CE6537A1-D6FC-4f65-9D91-7224C49458BB}"/>
                <c:ext xmlns:c16="http://schemas.microsoft.com/office/drawing/2014/chart" uri="{C3380CC4-5D6E-409C-BE32-E72D297353CC}">
                  <c16:uniqueId val="{00000027-F161-4D59-80A8-67394CF81024}"/>
                </c:ext>
              </c:extLst>
            </c:dLbl>
            <c:dLbl>
              <c:idx val="4"/>
              <c:delete val="1"/>
              <c:extLst>
                <c:ext xmlns:c15="http://schemas.microsoft.com/office/drawing/2012/chart" uri="{CE6537A1-D6FC-4f65-9D91-7224C49458BB}"/>
                <c:ext xmlns:c16="http://schemas.microsoft.com/office/drawing/2014/chart" uri="{C3380CC4-5D6E-409C-BE32-E72D297353CC}">
                  <c16:uniqueId val="{00000028-F161-4D59-80A8-67394CF81024}"/>
                </c:ext>
              </c:extLst>
            </c:dLbl>
            <c:dLbl>
              <c:idx val="5"/>
              <c:delete val="1"/>
              <c:extLst>
                <c:ext xmlns:c15="http://schemas.microsoft.com/office/drawing/2012/chart" uri="{CE6537A1-D6FC-4f65-9D91-7224C49458BB}"/>
                <c:ext xmlns:c16="http://schemas.microsoft.com/office/drawing/2014/chart" uri="{C3380CC4-5D6E-409C-BE32-E72D297353CC}">
                  <c16:uniqueId val="{00000029-F161-4D59-80A8-67394CF81024}"/>
                </c:ext>
              </c:extLst>
            </c:dLbl>
            <c:dLbl>
              <c:idx val="6"/>
              <c:delete val="1"/>
              <c:extLst>
                <c:ext xmlns:c15="http://schemas.microsoft.com/office/drawing/2012/chart" uri="{CE6537A1-D6FC-4f65-9D91-7224C49458BB}"/>
                <c:ext xmlns:c16="http://schemas.microsoft.com/office/drawing/2014/chart" uri="{C3380CC4-5D6E-409C-BE32-E72D297353CC}">
                  <c16:uniqueId val="{0000002A-F161-4D59-80A8-67394CF81024}"/>
                </c:ext>
              </c:extLst>
            </c:dLbl>
            <c:dLbl>
              <c:idx val="7"/>
              <c:delete val="1"/>
              <c:extLst>
                <c:ext xmlns:c15="http://schemas.microsoft.com/office/drawing/2012/chart" uri="{CE6537A1-D6FC-4f65-9D91-7224C49458BB}"/>
                <c:ext xmlns:c16="http://schemas.microsoft.com/office/drawing/2014/chart" uri="{C3380CC4-5D6E-409C-BE32-E72D297353CC}">
                  <c16:uniqueId val="{0000002B-F161-4D59-80A8-67394CF81024}"/>
                </c:ext>
              </c:extLst>
            </c:dLbl>
            <c:dLbl>
              <c:idx val="8"/>
              <c:layout>
                <c:manualLayout>
                  <c:x val="-1.9764111764510449E-2"/>
                  <c:y val="0.18162688648293954"/>
                </c:manualLayout>
              </c:layout>
              <c:tx>
                <c:rich>
                  <a:bodyPr/>
                  <a:lstStyle/>
                  <a:p>
                    <a:fld id="{2774078E-33D2-4E65-92A4-30963C09B901}" type="SERIESNAME">
                      <a:rPr lang="en-US">
                        <a:solidFill>
                          <a:srgbClr val="B6C3FF"/>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C-F161-4D59-80A8-67394CF81024}"/>
                </c:ext>
              </c:extLst>
            </c:dLbl>
            <c:dLbl>
              <c:idx val="9"/>
              <c:delete val="1"/>
              <c:extLst>
                <c:ext xmlns:c15="http://schemas.microsoft.com/office/drawing/2012/chart" uri="{CE6537A1-D6FC-4f65-9D91-7224C49458BB}"/>
                <c:ext xmlns:c16="http://schemas.microsoft.com/office/drawing/2014/chart" uri="{C3380CC4-5D6E-409C-BE32-E72D297353CC}">
                  <c16:uniqueId val="{0000002D-F161-4D59-80A8-67394CF81024}"/>
                </c:ext>
              </c:extLst>
            </c:dLbl>
            <c:dLbl>
              <c:idx val="10"/>
              <c:delete val="1"/>
              <c:extLst>
                <c:ext xmlns:c15="http://schemas.microsoft.com/office/drawing/2012/chart" uri="{CE6537A1-D6FC-4f65-9D91-7224C49458BB}"/>
                <c:ext xmlns:c16="http://schemas.microsoft.com/office/drawing/2014/chart" uri="{C3380CC4-5D6E-409C-BE32-E72D297353CC}">
                  <c16:uniqueId val="{0000002E-F161-4D59-80A8-67394CF8102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q11_q13_q15_q17_Fig!$S$30:$AC$30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q11_q13_q15_q17_Fig!$S$34:$AC$34</c:f>
              <c:numCache>
                <c:formatCode>General</c:formatCode>
                <c:ptCount val="11"/>
                <c:pt idx="0">
                  <c:v>453678</c:v>
                </c:pt>
                <c:pt idx="1">
                  <c:v>476707</c:v>
                </c:pt>
                <c:pt idx="2">
                  <c:v>512600</c:v>
                </c:pt>
                <c:pt idx="3">
                  <c:v>559801</c:v>
                </c:pt>
                <c:pt idx="4">
                  <c:v>589006</c:v>
                </c:pt>
                <c:pt idx="5">
                  <c:v>619276</c:v>
                </c:pt>
                <c:pt idx="6">
                  <c:v>611426</c:v>
                </c:pt>
                <c:pt idx="7">
                  <c:v>617988</c:v>
                </c:pt>
                <c:pt idx="8">
                  <c:v>673992</c:v>
                </c:pt>
                <c:pt idx="9">
                  <c:v>714722</c:v>
                </c:pt>
                <c:pt idx="10">
                  <c:v>745440</c:v>
                </c:pt>
              </c:numCache>
            </c:numRef>
          </c:val>
          <c:smooth val="0"/>
          <c:extLst>
            <c:ext xmlns:c16="http://schemas.microsoft.com/office/drawing/2014/chart" uri="{C3380CC4-5D6E-409C-BE32-E72D297353CC}">
              <c16:uniqueId val="{0000002F-F161-4D59-80A8-67394CF81024}"/>
            </c:ext>
          </c:extLst>
        </c:ser>
        <c:dLbls>
          <c:dLblPos val="ctr"/>
          <c:showLegendKey val="0"/>
          <c:showVal val="1"/>
          <c:showCatName val="0"/>
          <c:showSerName val="0"/>
          <c:showPercent val="0"/>
          <c:showBubbleSize val="0"/>
        </c:dLbls>
        <c:smooth val="0"/>
        <c:axId val="1734530655"/>
        <c:axId val="1715689631"/>
      </c:lineChart>
      <c:catAx>
        <c:axId val="1734530655"/>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715689631"/>
        <c:crosses val="autoZero"/>
        <c:auto val="1"/>
        <c:lblAlgn val="ctr"/>
        <c:lblOffset val="100"/>
        <c:tickMarkSkip val="1"/>
        <c:noMultiLvlLbl val="0"/>
      </c:catAx>
      <c:valAx>
        <c:axId val="1715689631"/>
        <c:scaling>
          <c:orientation val="minMax"/>
          <c:max val="1250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1734530655"/>
        <c:crosses val="autoZero"/>
        <c:crossBetween val="between"/>
        <c:majorUnit val="25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4153546419317925"/>
          <c:y val="3.567815386713024E-2"/>
          <c:w val="0.4688775475927614"/>
          <c:h val="0.92928226487152177"/>
        </c:manualLayout>
      </c:layout>
      <c:barChart>
        <c:barDir val="bar"/>
        <c:grouping val="clustered"/>
        <c:varyColors val="0"/>
        <c:ser>
          <c:idx val="0"/>
          <c:order val="0"/>
          <c:tx>
            <c:strRef>
              <c:f>q4_8_12_16_25_37_Fig!$BN$7</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q4_8_12_16_25_37_Fig!$BM$8:$BM$31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q4_8_12_16_25_37_Fig!$BN$8:$BN$31</c:f>
              <c:numCache>
                <c:formatCode>#,##0</c:formatCode>
                <c:ptCount val="24"/>
                <c:pt idx="0">
                  <c:v>73222</c:v>
                </c:pt>
                <c:pt idx="1">
                  <c:v>160991</c:v>
                </c:pt>
                <c:pt idx="2">
                  <c:v>149150.00000000003</c:v>
                </c:pt>
                <c:pt idx="3">
                  <c:v>666772</c:v>
                </c:pt>
                <c:pt idx="4">
                  <c:v>17027</c:v>
                </c:pt>
                <c:pt idx="5">
                  <c:v>137932</c:v>
                </c:pt>
                <c:pt idx="6">
                  <c:v>42955</c:v>
                </c:pt>
                <c:pt idx="7">
                  <c:v>21547</c:v>
                </c:pt>
                <c:pt idx="8">
                  <c:v>139173</c:v>
                </c:pt>
                <c:pt idx="9">
                  <c:v>125294.99999999997</c:v>
                </c:pt>
                <c:pt idx="10">
                  <c:v>111125.99999999999</c:v>
                </c:pt>
                <c:pt idx="11">
                  <c:v>79469</c:v>
                </c:pt>
                <c:pt idx="12">
                  <c:v>23660</c:v>
                </c:pt>
                <c:pt idx="13">
                  <c:v>51650.999999999993</c:v>
                </c:pt>
                <c:pt idx="14">
                  <c:v>112479</c:v>
                </c:pt>
                <c:pt idx="15">
                  <c:v>59911.000000000007</c:v>
                </c:pt>
                <c:pt idx="16">
                  <c:v>76658</c:v>
                </c:pt>
                <c:pt idx="17">
                  <c:v>996445</c:v>
                </c:pt>
                <c:pt idx="18">
                  <c:v>177662</c:v>
                </c:pt>
                <c:pt idx="19">
                  <c:v>36011</c:v>
                </c:pt>
                <c:pt idx="20">
                  <c:v>33016.999999999993</c:v>
                </c:pt>
                <c:pt idx="21">
                  <c:v>23829.999999999996</c:v>
                </c:pt>
                <c:pt idx="22">
                  <c:v>44873</c:v>
                </c:pt>
                <c:pt idx="23">
                  <c:v>184098.99999999997</c:v>
                </c:pt>
              </c:numCache>
            </c:numRef>
          </c:val>
          <c:extLst>
            <c:ext xmlns:c16="http://schemas.microsoft.com/office/drawing/2014/chart" uri="{C3380CC4-5D6E-409C-BE32-E72D297353CC}">
              <c16:uniqueId val="{00000000-A268-4844-A80D-DCA0F0E75040}"/>
            </c:ext>
          </c:extLst>
        </c:ser>
        <c:ser>
          <c:idx val="1"/>
          <c:order val="1"/>
          <c:tx>
            <c:strRef>
              <c:f>q4_8_12_16_25_37_Fig!$BO$7</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q4_8_12_16_25_37_Fig!$BM$8:$BM$31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q4_8_12_16_25_37_Fig!$BO$8:$BO$31</c:f>
              <c:numCache>
                <c:formatCode>#,##0</c:formatCode>
                <c:ptCount val="24"/>
                <c:pt idx="0">
                  <c:v>68763</c:v>
                </c:pt>
                <c:pt idx="1">
                  <c:v>150659</c:v>
                </c:pt>
                <c:pt idx="2">
                  <c:v>140354</c:v>
                </c:pt>
                <c:pt idx="3">
                  <c:v>631342.00000000012</c:v>
                </c:pt>
                <c:pt idx="4">
                  <c:v>15712.999999999998</c:v>
                </c:pt>
                <c:pt idx="5">
                  <c:v>130073</c:v>
                </c:pt>
                <c:pt idx="6">
                  <c:v>40207</c:v>
                </c:pt>
                <c:pt idx="7">
                  <c:v>19707</c:v>
                </c:pt>
                <c:pt idx="8">
                  <c:v>131216</c:v>
                </c:pt>
                <c:pt idx="9">
                  <c:v>117601.00000000003</c:v>
                </c:pt>
                <c:pt idx="10">
                  <c:v>103510</c:v>
                </c:pt>
                <c:pt idx="11">
                  <c:v>74675</c:v>
                </c:pt>
                <c:pt idx="12">
                  <c:v>22041</c:v>
                </c:pt>
                <c:pt idx="13">
                  <c:v>48551</c:v>
                </c:pt>
                <c:pt idx="14">
                  <c:v>104588.00000000001</c:v>
                </c:pt>
                <c:pt idx="15">
                  <c:v>55609</c:v>
                </c:pt>
                <c:pt idx="16">
                  <c:v>72771</c:v>
                </c:pt>
                <c:pt idx="17">
                  <c:v>956373.99999999988</c:v>
                </c:pt>
                <c:pt idx="18">
                  <c:v>167647</c:v>
                </c:pt>
                <c:pt idx="19">
                  <c:v>34505</c:v>
                </c:pt>
                <c:pt idx="20">
                  <c:v>31283.999999999996</c:v>
                </c:pt>
                <c:pt idx="21">
                  <c:v>22423</c:v>
                </c:pt>
                <c:pt idx="22">
                  <c:v>42150</c:v>
                </c:pt>
                <c:pt idx="23">
                  <c:v>172373</c:v>
                </c:pt>
              </c:numCache>
            </c:numRef>
          </c:val>
          <c:extLst>
            <c:ext xmlns:c16="http://schemas.microsoft.com/office/drawing/2014/chart" uri="{C3380CC4-5D6E-409C-BE32-E72D297353CC}">
              <c16:uniqueId val="{00000001-A268-4844-A80D-DCA0F0E75040}"/>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44011161149168404"/>
          <c:y val="0.96954452342956621"/>
          <c:w val="0.53621439080593625"/>
          <c:h val="2.47560133468736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q4_8_12_16_25_37_Fig!$CG$38</c:f>
              <c:strCache>
                <c:ptCount val="1"/>
                <c:pt idx="0">
                  <c:v>Norte</c:v>
                </c:pt>
              </c:strCache>
            </c:strRef>
          </c:cat>
          <c:val>
            <c:numRef>
              <c:extLst>
                <c:ext xmlns:c15="http://schemas.microsoft.com/office/drawing/2012/chart" uri="{02D57815-91ED-43cb-92C2-25804820EDAC}">
                  <c15:fullRef>
                    <c15:sqref>q4_8_12_16_25_37_Fig!$CH$38:$CH$44</c15:sqref>
                  </c15:fullRef>
                </c:ext>
              </c:extLst>
              <c:f>q4_8_12_16_25_37_Fig!$CH$38</c:f>
              <c:numCache>
                <c:formatCode>#,##0\ "€"</c:formatCode>
                <c:ptCount val="1"/>
                <c:pt idx="0">
                  <c:v>1233.0899999999999</c:v>
                </c:pt>
              </c:numCache>
            </c:numRef>
          </c:val>
          <c:extLst>
            <c:ext xmlns:c16="http://schemas.microsoft.com/office/drawing/2014/chart" uri="{C3380CC4-5D6E-409C-BE32-E72D297353CC}">
              <c16:uniqueId val="{00000000-E1AF-44C9-BD8E-D11549E96083}"/>
            </c:ext>
          </c:extLst>
        </c:ser>
        <c:ser>
          <c:idx val="1"/>
          <c:order val="1"/>
          <c:tx>
            <c:strRef>
              <c:f>q4_8_12_16_25_37_Fig!$CI$37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q4_8_12_16_25_37_Fig!$CG$38</c:f>
              <c:strCache>
                <c:ptCount val="1"/>
                <c:pt idx="0">
                  <c:v>Norte</c:v>
                </c:pt>
              </c:strCache>
            </c:strRef>
          </c:cat>
          <c:val>
            <c:numRef>
              <c:extLst>
                <c:ext xmlns:c15="http://schemas.microsoft.com/office/drawing/2012/chart" uri="{02D57815-91ED-43cb-92C2-25804820EDAC}">
                  <c15:fullRef>
                    <c15:sqref>q4_8_12_16_25_37_Fig!$CI$38:$CI$44</c15:sqref>
                  </c15:fullRef>
                </c:ext>
              </c:extLst>
              <c:f>q4_8_12_16_25_37_Fig!$CI$38</c:f>
              <c:numCache>
                <c:formatCode>#,##0\ "€"</c:formatCode>
                <c:ptCount val="1"/>
                <c:pt idx="0">
                  <c:v>1474.68</c:v>
                </c:pt>
              </c:numCache>
            </c:numRef>
          </c:val>
          <c:extLst>
            <c:ext xmlns:c16="http://schemas.microsoft.com/office/drawing/2014/chart" uri="{C3380CC4-5D6E-409C-BE32-E72D297353CC}">
              <c16:uniqueId val="{00000001-E1AF-44C9-BD8E-D11549E96083}"/>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q4_8_12_16_25_37_Fig!$CG$39</c:f>
              <c:strCache>
                <c:ptCount val="1"/>
                <c:pt idx="0">
                  <c:v>Centro</c:v>
                </c:pt>
              </c:strCache>
            </c:strRef>
          </c:cat>
          <c:val>
            <c:numRef>
              <c:extLst>
                <c:ext xmlns:c15="http://schemas.microsoft.com/office/drawing/2012/chart" uri="{02D57815-91ED-43cb-92C2-25804820EDAC}">
                  <c15:fullRef>
                    <c15:sqref>q4_8_12_16_25_37_Fig!$CH$38:$CH$44</c15:sqref>
                  </c15:fullRef>
                </c:ext>
              </c:extLst>
              <c:f>q4_8_12_16_25_37_Fig!$CH$39</c:f>
              <c:numCache>
                <c:formatCode>#,##0\ "€"</c:formatCode>
                <c:ptCount val="1"/>
                <c:pt idx="0">
                  <c:v>1150.98</c:v>
                </c:pt>
              </c:numCache>
            </c:numRef>
          </c:val>
          <c:extLst>
            <c:ext xmlns:c16="http://schemas.microsoft.com/office/drawing/2014/chart" uri="{C3380CC4-5D6E-409C-BE32-E72D297353CC}">
              <c16:uniqueId val="{00000000-A370-4EE1-8D6C-B73623DCF3F1}"/>
            </c:ext>
          </c:extLst>
        </c:ser>
        <c:ser>
          <c:idx val="1"/>
          <c:order val="1"/>
          <c:tx>
            <c:strRef>
              <c:f>q4_8_12_16_25_37_Fig!$CI$37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q4_8_12_16_25_37_Fig!$CG$39</c:f>
              <c:strCache>
                <c:ptCount val="1"/>
                <c:pt idx="0">
                  <c:v>Centro</c:v>
                </c:pt>
              </c:strCache>
            </c:strRef>
          </c:cat>
          <c:val>
            <c:numRef>
              <c:extLst>
                <c:ext xmlns:c15="http://schemas.microsoft.com/office/drawing/2012/chart" uri="{02D57815-91ED-43cb-92C2-25804820EDAC}">
                  <c15:fullRef>
                    <c15:sqref>q4_8_12_16_25_37_Fig!$CI$38:$CI$44</c15:sqref>
                  </c15:fullRef>
                </c:ext>
              </c:extLst>
              <c:f>q4_8_12_16_25_37_Fig!$CI$39</c:f>
              <c:numCache>
                <c:formatCode>#,##0\ "€"</c:formatCode>
                <c:ptCount val="1"/>
                <c:pt idx="0">
                  <c:v>1410.88</c:v>
                </c:pt>
              </c:numCache>
            </c:numRef>
          </c:val>
          <c:extLst>
            <c:ext xmlns:c16="http://schemas.microsoft.com/office/drawing/2014/chart" uri="{C3380CC4-5D6E-409C-BE32-E72D297353CC}">
              <c16:uniqueId val="{00000001-A370-4EE1-8D6C-B73623DCF3F1}"/>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q4_8_12_16_25_37_Fig!$CG$40</c:f>
              <c:strCache>
                <c:ptCount val="1"/>
                <c:pt idx="0">
                  <c:v>Oeste e Vale do Tejo</c:v>
                </c:pt>
              </c:strCache>
            </c:strRef>
          </c:cat>
          <c:val>
            <c:numRef>
              <c:extLst>
                <c:ext xmlns:c15="http://schemas.microsoft.com/office/drawing/2012/chart" uri="{02D57815-91ED-43cb-92C2-25804820EDAC}">
                  <c15:fullRef>
                    <c15:sqref>q4_8_12_16_25_37_Fig!$CH$38:$CH$44</c15:sqref>
                  </c15:fullRef>
                </c:ext>
              </c:extLst>
              <c:f>q4_8_12_16_25_37_Fig!$CH$40</c:f>
              <c:numCache>
                <c:formatCode>#,##0\ "€"</c:formatCode>
                <c:ptCount val="1"/>
                <c:pt idx="0">
                  <c:v>1103.5999999999999</c:v>
                </c:pt>
              </c:numCache>
            </c:numRef>
          </c:val>
          <c:extLst>
            <c:ext xmlns:c16="http://schemas.microsoft.com/office/drawing/2014/chart" uri="{C3380CC4-5D6E-409C-BE32-E72D297353CC}">
              <c16:uniqueId val="{00000000-8FA8-4176-8BBE-C89977C00354}"/>
            </c:ext>
          </c:extLst>
        </c:ser>
        <c:ser>
          <c:idx val="1"/>
          <c:order val="1"/>
          <c:tx>
            <c:strRef>
              <c:f>q4_8_12_16_25_37_Fig!$CI$37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q4_8_12_16_25_37_Fig!$CG$40</c:f>
              <c:strCache>
                <c:ptCount val="1"/>
                <c:pt idx="0">
                  <c:v>Oeste e Vale do Tejo</c:v>
                </c:pt>
              </c:strCache>
            </c:strRef>
          </c:cat>
          <c:val>
            <c:numRef>
              <c:extLst>
                <c:ext xmlns:c15="http://schemas.microsoft.com/office/drawing/2012/chart" uri="{02D57815-91ED-43cb-92C2-25804820EDAC}">
                  <c15:fullRef>
                    <c15:sqref>q4_8_12_16_25_37_Fig!$CI$38:$CI$44</c15:sqref>
                  </c15:fullRef>
                </c:ext>
              </c:extLst>
              <c:f>q4_8_12_16_25_37_Fig!$CI$40</c:f>
              <c:numCache>
                <c:formatCode>#,##0\ "€"</c:formatCode>
                <c:ptCount val="1"/>
                <c:pt idx="0">
                  <c:v>1346.57</c:v>
                </c:pt>
              </c:numCache>
            </c:numRef>
          </c:val>
          <c:extLst>
            <c:ext xmlns:c16="http://schemas.microsoft.com/office/drawing/2014/chart" uri="{C3380CC4-5D6E-409C-BE32-E72D297353CC}">
              <c16:uniqueId val="{00000001-8FA8-4176-8BBE-C89977C00354}"/>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q4_8_12_16_25_37_Fig!$CH$37</c:f>
              <c:strCache>
                <c:ptCount val="1"/>
                <c:pt idx="0">
                  <c:v>Base</c:v>
                </c:pt>
              </c:strCache>
            </c:strRef>
          </c:tx>
          <c:spPr>
            <a:solidFill>
              <a:srgbClr val="4572A5"/>
            </a:solidFill>
            <a:ln>
              <a:noFill/>
            </a:ln>
            <a:effectLst/>
          </c:spPr>
          <c:invertIfNegative val="0"/>
          <c:dLbls>
            <c:dLbl>
              <c:idx val="0"/>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0-E98C-43FC-8DC2-F84D4CFADA08}"/>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q4_8_12_16_25_37_Fig!$CG$42</c:f>
              <c:strCache>
                <c:ptCount val="1"/>
                <c:pt idx="0">
                  <c:v>Península de Setúbal</c:v>
                </c:pt>
              </c:strCache>
            </c:strRef>
          </c:cat>
          <c:val>
            <c:numRef>
              <c:extLst>
                <c:ext xmlns:c15="http://schemas.microsoft.com/office/drawing/2012/chart" uri="{02D57815-91ED-43cb-92C2-25804820EDAC}">
                  <c15:fullRef>
                    <c15:sqref>q4_8_12_16_25_37_Fig!$CH$38:$CH$44</c15:sqref>
                  </c15:fullRef>
                </c:ext>
              </c:extLst>
              <c:f>q4_8_12_16_25_37_Fig!$CH$42</c:f>
              <c:numCache>
                <c:formatCode>#,##0\ "€"</c:formatCode>
                <c:ptCount val="1"/>
                <c:pt idx="0">
                  <c:v>1275.49</c:v>
                </c:pt>
              </c:numCache>
            </c:numRef>
          </c:val>
          <c:extLst>
            <c:ext xmlns:c16="http://schemas.microsoft.com/office/drawing/2014/chart" uri="{C3380CC4-5D6E-409C-BE32-E72D297353CC}">
              <c16:uniqueId val="{00000001-E98C-43FC-8DC2-F84D4CFADA08}"/>
            </c:ext>
          </c:extLst>
        </c:ser>
        <c:ser>
          <c:idx val="1"/>
          <c:order val="1"/>
          <c:tx>
            <c:strRef>
              <c:f>q4_8_12_16_25_37_Fig!$CI$37</c:f>
              <c:strCache>
                <c:ptCount val="1"/>
                <c:pt idx="0">
                  <c:v>Ganho</c:v>
                </c:pt>
              </c:strCache>
            </c:strRef>
          </c:tx>
          <c:spPr>
            <a:solidFill>
              <a:srgbClr val="FFC000"/>
            </a:solidFill>
            <a:ln>
              <a:noFill/>
            </a:ln>
            <a:effectLst/>
          </c:spPr>
          <c:invertIfNegative val="0"/>
          <c:dLbls>
            <c:dLbl>
              <c:idx val="0"/>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2-E98C-43FC-8DC2-F84D4CFADA08}"/>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q4_8_12_16_25_37_Fig!$CG$42</c:f>
              <c:strCache>
                <c:ptCount val="1"/>
                <c:pt idx="0">
                  <c:v>Península de Setúbal</c:v>
                </c:pt>
              </c:strCache>
            </c:strRef>
          </c:cat>
          <c:val>
            <c:numRef>
              <c:extLst>
                <c:ext xmlns:c15="http://schemas.microsoft.com/office/drawing/2012/chart" uri="{02D57815-91ED-43cb-92C2-25804820EDAC}">
                  <c15:fullRef>
                    <c15:sqref>q4_8_12_16_25_37_Fig!$CI$38:$CI$44</c15:sqref>
                  </c15:fullRef>
                </c:ext>
              </c:extLst>
              <c:f>q4_8_12_16_25_37_Fig!$CI$42</c:f>
              <c:numCache>
                <c:formatCode>#,##0\ "€"</c:formatCode>
                <c:ptCount val="1"/>
                <c:pt idx="0">
                  <c:v>1545.45</c:v>
                </c:pt>
              </c:numCache>
            </c:numRef>
          </c:val>
          <c:extLst>
            <c:ext xmlns:c16="http://schemas.microsoft.com/office/drawing/2014/chart" uri="{C3380CC4-5D6E-409C-BE32-E72D297353CC}">
              <c16:uniqueId val="{00000003-E98C-43FC-8DC2-F84D4CFADA08}"/>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q4_8_12_16_25_37_Fig!$CG$41</c:f>
              <c:strCache>
                <c:ptCount val="1"/>
                <c:pt idx="0">
                  <c:v>Grande Lisboa</c:v>
                </c:pt>
              </c:strCache>
            </c:strRef>
          </c:cat>
          <c:val>
            <c:numRef>
              <c:extLst>
                <c:ext xmlns:c15="http://schemas.microsoft.com/office/drawing/2012/chart" uri="{02D57815-91ED-43cb-92C2-25804820EDAC}">
                  <c15:fullRef>
                    <c15:sqref>q4_8_12_16_25_37_Fig!$CH$38:$CH$44</c15:sqref>
                  </c15:fullRef>
                </c:ext>
              </c:extLst>
              <c:f>q4_8_12_16_25_37_Fig!$CH$41</c:f>
              <c:numCache>
                <c:formatCode>#,##0\ "€"</c:formatCode>
                <c:ptCount val="1"/>
                <c:pt idx="0">
                  <c:v>1600.02</c:v>
                </c:pt>
              </c:numCache>
            </c:numRef>
          </c:val>
          <c:extLst>
            <c:ext xmlns:c16="http://schemas.microsoft.com/office/drawing/2014/chart" uri="{C3380CC4-5D6E-409C-BE32-E72D297353CC}">
              <c16:uniqueId val="{00000000-C01D-4CD1-A8F2-3322933A2383}"/>
            </c:ext>
          </c:extLst>
        </c:ser>
        <c:ser>
          <c:idx val="1"/>
          <c:order val="1"/>
          <c:tx>
            <c:strRef>
              <c:f>q4_8_12_16_25_37_Fig!$CI$37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q4_8_12_16_25_37_Fig!$CG$41</c:f>
              <c:strCache>
                <c:ptCount val="1"/>
                <c:pt idx="0">
                  <c:v>Grande Lisboa</c:v>
                </c:pt>
              </c:strCache>
            </c:strRef>
          </c:cat>
          <c:val>
            <c:numRef>
              <c:extLst>
                <c:ext xmlns:c15="http://schemas.microsoft.com/office/drawing/2012/chart" uri="{02D57815-91ED-43cb-92C2-25804820EDAC}">
                  <c15:fullRef>
                    <c15:sqref>q4_8_12_16_25_37_Fig!$CI$38:$CI$44</c15:sqref>
                  </c15:fullRef>
                </c:ext>
              </c:extLst>
              <c:f>q4_8_12_16_25_37_Fig!$CI$41</c:f>
              <c:numCache>
                <c:formatCode>#,##0\ "€"</c:formatCode>
                <c:ptCount val="1"/>
                <c:pt idx="0">
                  <c:v>1935.68</c:v>
                </c:pt>
              </c:numCache>
            </c:numRef>
          </c:val>
          <c:extLst>
            <c:ext xmlns:c16="http://schemas.microsoft.com/office/drawing/2014/chart" uri="{C3380CC4-5D6E-409C-BE32-E72D297353CC}">
              <c16:uniqueId val="{00000001-C01D-4CD1-A8F2-3322933A2383}"/>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q4_8_12_16_25_37_Fig!$CG$43</c:f>
              <c:strCache>
                <c:ptCount val="1"/>
                <c:pt idx="0">
                  <c:v>Alentejo</c:v>
                </c:pt>
              </c:strCache>
            </c:strRef>
          </c:cat>
          <c:val>
            <c:numRef>
              <c:extLst>
                <c:ext xmlns:c15="http://schemas.microsoft.com/office/drawing/2012/chart" uri="{02D57815-91ED-43cb-92C2-25804820EDAC}">
                  <c15:fullRef>
                    <c15:sqref>q4_8_12_16_25_37_Fig!$CH$38:$CH$44</c15:sqref>
                  </c15:fullRef>
                </c:ext>
              </c:extLst>
              <c:f>q4_8_12_16_25_37_Fig!$CH$43</c:f>
              <c:numCache>
                <c:formatCode>#,##0\ "€"</c:formatCode>
                <c:ptCount val="1"/>
                <c:pt idx="0">
                  <c:v>1127.48</c:v>
                </c:pt>
              </c:numCache>
            </c:numRef>
          </c:val>
          <c:extLst>
            <c:ext xmlns:c16="http://schemas.microsoft.com/office/drawing/2014/chart" uri="{C3380CC4-5D6E-409C-BE32-E72D297353CC}">
              <c16:uniqueId val="{00000000-57C3-44F7-8ECF-4F5A6FD87B54}"/>
            </c:ext>
          </c:extLst>
        </c:ser>
        <c:ser>
          <c:idx val="1"/>
          <c:order val="1"/>
          <c:tx>
            <c:strRef>
              <c:f>q4_8_12_16_25_37_Fig!$CI$37</c:f>
              <c:strCache>
                <c:ptCount val="1"/>
                <c:pt idx="0">
                  <c:v>Ganho</c:v>
                </c:pt>
              </c:strCache>
            </c:strRef>
          </c:tx>
          <c:spPr>
            <a:solidFill>
              <a:srgbClr val="FFC000"/>
            </a:solidFill>
            <a:ln>
              <a:noFill/>
            </a:ln>
            <a:effectLst/>
          </c:spPr>
          <c:invertIfNegative val="0"/>
          <c:dLbls>
            <c:dLbl>
              <c:idx val="0"/>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1-57C3-44F7-8ECF-4F5A6FD87B54}"/>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q4_8_12_16_25_37_Fig!$CG$43</c:f>
              <c:strCache>
                <c:ptCount val="1"/>
                <c:pt idx="0">
                  <c:v>Alentejo</c:v>
                </c:pt>
              </c:strCache>
            </c:strRef>
          </c:cat>
          <c:val>
            <c:numRef>
              <c:extLst>
                <c:ext xmlns:c15="http://schemas.microsoft.com/office/drawing/2012/chart" uri="{02D57815-91ED-43cb-92C2-25804820EDAC}">
                  <c15:fullRef>
                    <c15:sqref>q4_8_12_16_25_37_Fig!$CI$38:$CI$44</c15:sqref>
                  </c15:fullRef>
                </c:ext>
              </c:extLst>
              <c:f>q4_8_12_16_25_37_Fig!$CI$43</c:f>
              <c:numCache>
                <c:formatCode>#,##0\ "€"</c:formatCode>
                <c:ptCount val="1"/>
                <c:pt idx="0">
                  <c:v>1409.53</c:v>
                </c:pt>
              </c:numCache>
            </c:numRef>
          </c:val>
          <c:extLst>
            <c:ext xmlns:c16="http://schemas.microsoft.com/office/drawing/2014/chart" uri="{C3380CC4-5D6E-409C-BE32-E72D297353CC}">
              <c16:uniqueId val="{00000002-57C3-44F7-8ECF-4F5A6FD87B54}"/>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q4_8_12_16_25_37_Fig!$CG$44</c:f>
              <c:strCache>
                <c:ptCount val="1"/>
                <c:pt idx="0">
                  <c:v>Algarve</c:v>
                </c:pt>
              </c:strCache>
            </c:strRef>
          </c:cat>
          <c:val>
            <c:numRef>
              <c:extLst>
                <c:ext xmlns:c15="http://schemas.microsoft.com/office/drawing/2012/chart" uri="{02D57815-91ED-43cb-92C2-25804820EDAC}">
                  <c15:fullRef>
                    <c15:sqref>q4_8_12_16_25_37_Fig!$CH$38:$CH$44</c15:sqref>
                  </c15:fullRef>
                </c:ext>
              </c:extLst>
              <c:f>q4_8_12_16_25_37_Fig!$CH$44</c:f>
              <c:numCache>
                <c:formatCode>#,##0\ "€"</c:formatCode>
                <c:ptCount val="1"/>
                <c:pt idx="0">
                  <c:v>1095.01</c:v>
                </c:pt>
              </c:numCache>
            </c:numRef>
          </c:val>
          <c:extLst>
            <c:ext xmlns:c16="http://schemas.microsoft.com/office/drawing/2014/chart" uri="{C3380CC4-5D6E-409C-BE32-E72D297353CC}">
              <c16:uniqueId val="{00000000-BDC5-453F-9240-D8ED9F92F8AC}"/>
            </c:ext>
          </c:extLst>
        </c:ser>
        <c:ser>
          <c:idx val="1"/>
          <c:order val="1"/>
          <c:tx>
            <c:strRef>
              <c:f>q4_8_12_16_25_37_Fig!$CI$37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q4_8_12_16_25_37_Fig!$CG$38:$CG$44</c15:sqref>
                  </c15:fullRef>
                </c:ext>
              </c:extLst>
              <c:f>q4_8_12_16_25_37_Fig!$CG$44</c:f>
              <c:strCache>
                <c:ptCount val="1"/>
                <c:pt idx="0">
                  <c:v>Algarve</c:v>
                </c:pt>
              </c:strCache>
            </c:strRef>
          </c:cat>
          <c:val>
            <c:numRef>
              <c:extLst>
                <c:ext xmlns:c15="http://schemas.microsoft.com/office/drawing/2012/chart" uri="{02D57815-91ED-43cb-92C2-25804820EDAC}">
                  <c15:fullRef>
                    <c15:sqref>q4_8_12_16_25_37_Fig!$CI$38:$CI$44</c15:sqref>
                  </c15:fullRef>
                </c:ext>
              </c:extLst>
              <c:f>q4_8_12_16_25_37_Fig!$CI$44</c:f>
              <c:numCache>
                <c:formatCode>#,##0\ "€"</c:formatCode>
                <c:ptCount val="1"/>
                <c:pt idx="0">
                  <c:v>1320.22</c:v>
                </c:pt>
              </c:numCache>
            </c:numRef>
          </c:val>
          <c:extLst>
            <c:ext xmlns:c16="http://schemas.microsoft.com/office/drawing/2014/chart" uri="{C3380CC4-5D6E-409C-BE32-E72D297353CC}">
              <c16:uniqueId val="{00000001-BDC5-453F-9240-D8ED9F92F8AC}"/>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4046526140590472"/>
          <c:y val="3.567815386713024E-2"/>
          <c:w val="0.53097209215663055"/>
          <c:h val="0.92049561986569861"/>
        </c:manualLayout>
      </c:layout>
      <c:barChart>
        <c:barDir val="bar"/>
        <c:grouping val="clustered"/>
        <c:varyColors val="0"/>
        <c:ser>
          <c:idx val="0"/>
          <c:order val="0"/>
          <c:tx>
            <c:strRef>
              <c:f>q4_8_12_16_25_37_Fig!$CH$7</c:f>
              <c:strCache>
                <c:ptCount val="1"/>
                <c:pt idx="0">
                  <c:v>Base</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q4_8_12_16_25_37_Fig!$CG$8:$CG$31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q4_8_12_16_25_37_Fig!$CH$8:$CH$31</c:f>
              <c:numCache>
                <c:formatCode>#,##0\ "€"</c:formatCode>
                <c:ptCount val="24"/>
                <c:pt idx="0">
                  <c:v>1098.82</c:v>
                </c:pt>
                <c:pt idx="1">
                  <c:v>1183.58</c:v>
                </c:pt>
                <c:pt idx="2">
                  <c:v>1109.23</c:v>
                </c:pt>
                <c:pt idx="3">
                  <c:v>1351.51</c:v>
                </c:pt>
                <c:pt idx="4">
                  <c:v>1024.3399999999999</c:v>
                </c:pt>
                <c:pt idx="5">
                  <c:v>1026.48</c:v>
                </c:pt>
                <c:pt idx="6">
                  <c:v>1059.6099999999999</c:v>
                </c:pt>
                <c:pt idx="7">
                  <c:v>1033.23</c:v>
                </c:pt>
                <c:pt idx="8">
                  <c:v>1223.23</c:v>
                </c:pt>
                <c:pt idx="9">
                  <c:v>1154.1500000000001</c:v>
                </c:pt>
                <c:pt idx="10">
                  <c:v>1171.5899999999999</c:v>
                </c:pt>
                <c:pt idx="11">
                  <c:v>1078.24</c:v>
                </c:pt>
                <c:pt idx="12">
                  <c:v>1063.8800000000001</c:v>
                </c:pt>
                <c:pt idx="13">
                  <c:v>1058.19</c:v>
                </c:pt>
                <c:pt idx="14">
                  <c:v>1100.1600000000001</c:v>
                </c:pt>
                <c:pt idx="15">
                  <c:v>1108.57</c:v>
                </c:pt>
                <c:pt idx="16">
                  <c:v>1104.77</c:v>
                </c:pt>
                <c:pt idx="17">
                  <c:v>1600.02</c:v>
                </c:pt>
                <c:pt idx="18">
                  <c:v>1275.49</c:v>
                </c:pt>
                <c:pt idx="19">
                  <c:v>1180.01</c:v>
                </c:pt>
                <c:pt idx="20">
                  <c:v>1119.75</c:v>
                </c:pt>
                <c:pt idx="21">
                  <c:v>1064.08</c:v>
                </c:pt>
                <c:pt idx="22">
                  <c:v>1125.55</c:v>
                </c:pt>
                <c:pt idx="23">
                  <c:v>1095.01</c:v>
                </c:pt>
              </c:numCache>
            </c:numRef>
          </c:val>
          <c:extLst>
            <c:ext xmlns:c16="http://schemas.microsoft.com/office/drawing/2014/chart" uri="{C3380CC4-5D6E-409C-BE32-E72D297353CC}">
              <c16:uniqueId val="{00000000-E84C-4849-8247-7672CBD3576F}"/>
            </c:ext>
          </c:extLst>
        </c:ser>
        <c:ser>
          <c:idx val="1"/>
          <c:order val="1"/>
          <c:tx>
            <c:strRef>
              <c:f>q4_8_12_16_25_37_Fig!$CI$7</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q4_8_12_16_25_37_Fig!$CG$8:$CG$31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q4_8_12_16_25_37_Fig!$CI$8:$CI$31</c:f>
              <c:numCache>
                <c:formatCode>#,##0\ "€"</c:formatCode>
                <c:ptCount val="24"/>
                <c:pt idx="0">
                  <c:v>1340.14</c:v>
                </c:pt>
                <c:pt idx="1">
                  <c:v>1403.34</c:v>
                </c:pt>
                <c:pt idx="2">
                  <c:v>1321.75</c:v>
                </c:pt>
                <c:pt idx="3">
                  <c:v>1620.05</c:v>
                </c:pt>
                <c:pt idx="4">
                  <c:v>1207.05</c:v>
                </c:pt>
                <c:pt idx="5">
                  <c:v>1210.7</c:v>
                </c:pt>
                <c:pt idx="6">
                  <c:v>1268.7</c:v>
                </c:pt>
                <c:pt idx="7">
                  <c:v>1267.6300000000001</c:v>
                </c:pt>
                <c:pt idx="8">
                  <c:v>1492.3</c:v>
                </c:pt>
                <c:pt idx="9">
                  <c:v>1423.9</c:v>
                </c:pt>
                <c:pt idx="10">
                  <c:v>1434.69</c:v>
                </c:pt>
                <c:pt idx="11">
                  <c:v>1331.89</c:v>
                </c:pt>
                <c:pt idx="12">
                  <c:v>1279.02</c:v>
                </c:pt>
                <c:pt idx="13">
                  <c:v>1292.95</c:v>
                </c:pt>
                <c:pt idx="14">
                  <c:v>1324.42</c:v>
                </c:pt>
                <c:pt idx="15">
                  <c:v>1367.1</c:v>
                </c:pt>
                <c:pt idx="16">
                  <c:v>1363.59</c:v>
                </c:pt>
                <c:pt idx="17">
                  <c:v>1935.68</c:v>
                </c:pt>
                <c:pt idx="18">
                  <c:v>1545.45</c:v>
                </c:pt>
                <c:pt idx="19">
                  <c:v>1480.81</c:v>
                </c:pt>
                <c:pt idx="20">
                  <c:v>1469.2</c:v>
                </c:pt>
                <c:pt idx="21">
                  <c:v>1295.3599999999999</c:v>
                </c:pt>
                <c:pt idx="22">
                  <c:v>1371.98</c:v>
                </c:pt>
                <c:pt idx="23">
                  <c:v>1320.22</c:v>
                </c:pt>
              </c:numCache>
            </c:numRef>
          </c:val>
          <c:extLst>
            <c:ext xmlns:c16="http://schemas.microsoft.com/office/drawing/2014/chart" uri="{C3380CC4-5D6E-409C-BE32-E72D297353CC}">
              <c16:uniqueId val="{00000001-E84C-4849-8247-7672CBD3576F}"/>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804965417"/>
          <c:y val="0.96716776837043916"/>
          <c:w val="0.36497235015434393"/>
          <c:h val="3.1244729343526473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q4_8_12_16_25_37_Fig!$AS$7</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A3AF-4097-9909-6CE9FD58CA74}"/>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q4_8_12_16_25_37_Fig!$AR$32</c:f>
              <c:strCache>
                <c:ptCount val="1"/>
                <c:pt idx="0">
                  <c:v>Continente</c:v>
                </c:pt>
              </c:strCache>
            </c:strRef>
          </c:cat>
          <c:val>
            <c:numRef>
              <c:f>q4_8_12_16_25_37_Fig!$AS$32</c:f>
              <c:numCache>
                <c:formatCode>#,##0</c:formatCode>
                <c:ptCount val="1"/>
                <c:pt idx="0">
                  <c:v>288762.99999999994</c:v>
                </c:pt>
              </c:numCache>
            </c:numRef>
          </c:val>
          <c:extLst>
            <c:ext xmlns:c16="http://schemas.microsoft.com/office/drawing/2014/chart" uri="{C3380CC4-5D6E-409C-BE32-E72D297353CC}">
              <c16:uniqueId val="{00000001-A3AF-4097-9909-6CE9FD58CA74}"/>
            </c:ext>
          </c:extLst>
        </c:ser>
        <c:ser>
          <c:idx val="1"/>
          <c:order val="1"/>
          <c:tx>
            <c:strRef>
              <c:f>q4_8_12_16_25_37_Fig!$AT$7</c:f>
              <c:strCache>
                <c:ptCount val="1"/>
                <c:pt idx="0">
                  <c:v>Estabelecimentos</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layout>
                <c:manualLayout>
                  <c:x val="-0.20423521519576349"/>
                  <c:y val="-2.3821382281370079E-2"/>
                </c:manualLayout>
              </c:layout>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3393754759212016"/>
                      <c:h val="0.37912244133627981"/>
                    </c:manualLayout>
                  </c15:layout>
                </c:ext>
                <c:ext xmlns:c16="http://schemas.microsoft.com/office/drawing/2014/chart" uri="{C3380CC4-5D6E-409C-BE32-E72D297353CC}">
                  <c16:uniqueId val="{00000002-A3AF-4097-9909-6CE9FD58CA74}"/>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q4_8_12_16_25_37_Fig!$AR$32</c:f>
              <c:strCache>
                <c:ptCount val="1"/>
                <c:pt idx="0">
                  <c:v>Continente</c:v>
                </c:pt>
              </c:strCache>
            </c:strRef>
          </c:cat>
          <c:val>
            <c:numRef>
              <c:f>q4_8_12_16_25_37_Fig!$AT$32</c:f>
              <c:numCache>
                <c:formatCode>#,##0</c:formatCode>
                <c:ptCount val="1"/>
                <c:pt idx="0">
                  <c:v>338025.99999999988</c:v>
                </c:pt>
              </c:numCache>
            </c:numRef>
          </c:val>
          <c:extLst>
            <c:ext xmlns:c16="http://schemas.microsoft.com/office/drawing/2014/chart" uri="{C3380CC4-5D6E-409C-BE32-E72D297353CC}">
              <c16:uniqueId val="{00000003-A3AF-4097-9909-6CE9FD58CA74}"/>
            </c:ext>
          </c:extLst>
        </c:ser>
        <c:dLbls>
          <c:dLblPos val="inEnd"/>
          <c:showLegendKey val="0"/>
          <c:showVal val="1"/>
          <c:showCatName val="0"/>
          <c:showSerName val="0"/>
          <c:showPercent val="0"/>
          <c:showBubbleSize val="0"/>
        </c:dLbls>
        <c:gapWidth val="309"/>
        <c:overlap val="-5"/>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q1_q2_q5_q6_Fig!$AS$4</c:f>
              <c:strCache>
                <c:ptCount val="1"/>
                <c:pt idx="0">
                  <c:v>Empresas</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1.4299842519685028E-2"/>
                  <c:y val="1.9559194284403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87-48BE-8389-07FE26BB3F84}"/>
                </c:ext>
              </c:extLst>
            </c:dLbl>
            <c:dLbl>
              <c:idx val="10"/>
              <c:layout>
                <c:manualLayout>
                  <c:x val="8.9841469816271981E-3"/>
                  <c:y val="1.46693957133022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87-48BE-8389-07FE26BB3F84}"/>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87-48BE-8389-07FE26BB3F8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q1_q2_q5_q6_Fig!$AT$3:$BD$3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q1_q2_q5_q6_Fig!$AT$4:$BD$4</c:f>
              <c:numCache>
                <c:formatCode>#\ ###\ ##0</c:formatCode>
                <c:ptCount val="11"/>
                <c:pt idx="0">
                  <c:v>270181</c:v>
                </c:pt>
                <c:pt idx="1">
                  <c:v>273060</c:v>
                </c:pt>
                <c:pt idx="2">
                  <c:v>276332</c:v>
                </c:pt>
                <c:pt idx="3">
                  <c:v>279191</c:v>
                </c:pt>
                <c:pt idx="4">
                  <c:v>282236</c:v>
                </c:pt>
                <c:pt idx="5">
                  <c:v>275751</c:v>
                </c:pt>
                <c:pt idx="6">
                  <c:v>277641</c:v>
                </c:pt>
                <c:pt idx="7">
                  <c:v>271806</c:v>
                </c:pt>
                <c:pt idx="8">
                  <c:v>284860</c:v>
                </c:pt>
                <c:pt idx="9">
                  <c:v>291252</c:v>
                </c:pt>
                <c:pt idx="10">
                  <c:v>288763</c:v>
                </c:pt>
              </c:numCache>
            </c:numRef>
          </c:val>
          <c:extLst>
            <c:ext xmlns:c16="http://schemas.microsoft.com/office/drawing/2014/chart" uri="{C3380CC4-5D6E-409C-BE32-E72D297353CC}">
              <c16:uniqueId val="{00000003-F587-48BE-8389-07FE26BB3F84}"/>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q1_q2_q5_q6_Fig!$AS$5</c:f>
              <c:strCache>
                <c:ptCount val="1"/>
                <c:pt idx="0">
                  <c:v>Estabelecimentos</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F587-48BE-8389-07FE26BB3F84}"/>
              </c:ext>
            </c:extLst>
          </c:dPt>
          <c:dPt>
            <c:idx val="10"/>
            <c:marker>
              <c:symbol val="none"/>
            </c:marker>
            <c:bubble3D val="0"/>
            <c:extLst>
              <c:ext xmlns:c16="http://schemas.microsoft.com/office/drawing/2014/chart" uri="{C3380CC4-5D6E-409C-BE32-E72D297353CC}">
                <c16:uniqueId val="{00000006-F587-48BE-8389-07FE26BB3F84}"/>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F587-48BE-8389-07FE26BB3F84}"/>
              </c:ext>
            </c:extLst>
          </c:dPt>
          <c:dLbls>
            <c:dLbl>
              <c:idx val="0"/>
              <c:layout>
                <c:manualLayout>
                  <c:x val="2.9545616797900239E-2"/>
                  <c:y val="-6.2709164021555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87-48BE-8389-07FE26BB3F84}"/>
                </c:ext>
              </c:extLst>
            </c:dLbl>
            <c:dLbl>
              <c:idx val="10"/>
              <c:layout>
                <c:manualLayout>
                  <c:x val="-1.6693360565536556E-2"/>
                  <c:y val="-5.1920899755453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587-48BE-8389-07FE26BB3F84}"/>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87-48BE-8389-07FE26BB3F84}"/>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q1_q2_q5_q6_Fig!$AT$3:$BD$3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q1_q2_q5_q6_Fig!$AT$5:$BD$5</c:f>
              <c:numCache>
                <c:formatCode>#\ ###\ ##0</c:formatCode>
                <c:ptCount val="11"/>
                <c:pt idx="0">
                  <c:v>318886</c:v>
                </c:pt>
                <c:pt idx="1">
                  <c:v>321500</c:v>
                </c:pt>
                <c:pt idx="2">
                  <c:v>324933</c:v>
                </c:pt>
                <c:pt idx="3">
                  <c:v>327295</c:v>
                </c:pt>
                <c:pt idx="4">
                  <c:v>330668</c:v>
                </c:pt>
                <c:pt idx="5">
                  <c:v>322978</c:v>
                </c:pt>
                <c:pt idx="6">
                  <c:v>324959</c:v>
                </c:pt>
                <c:pt idx="7">
                  <c:v>318254</c:v>
                </c:pt>
                <c:pt idx="8">
                  <c:v>332683</c:v>
                </c:pt>
                <c:pt idx="9">
                  <c:v>340364</c:v>
                </c:pt>
                <c:pt idx="10">
                  <c:v>338026</c:v>
                </c:pt>
              </c:numCache>
            </c:numRef>
          </c:val>
          <c:smooth val="0"/>
          <c:extLst>
            <c:ext xmlns:c16="http://schemas.microsoft.com/office/drawing/2014/chart" uri="{C3380CC4-5D6E-409C-BE32-E72D297353CC}">
              <c16:uniqueId val="{00000007-F587-48BE-8389-07FE26BB3F84}"/>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2.4221308218089335E-2"/>
          <c:y val="0.886956194263678"/>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q4_8_12_16_25_37_Fig!$BN$7</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6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8DF6-4BD7-9089-B9EE99B63DF1}"/>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6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q4_8_12_16_25_37_Fig!$BM$32</c:f>
              <c:strCache>
                <c:ptCount val="1"/>
                <c:pt idx="0">
                  <c:v>Continente</c:v>
                </c:pt>
              </c:strCache>
            </c:strRef>
          </c:cat>
          <c:val>
            <c:numRef>
              <c:f>q4_8_12_16_25_37_Fig!$BN$32</c:f>
              <c:numCache>
                <c:formatCode>#,##0</c:formatCode>
                <c:ptCount val="1"/>
                <c:pt idx="0">
                  <c:v>3544955.0000000019</c:v>
                </c:pt>
              </c:numCache>
            </c:numRef>
          </c:val>
          <c:extLst>
            <c:ext xmlns:c16="http://schemas.microsoft.com/office/drawing/2014/chart" uri="{C3380CC4-5D6E-409C-BE32-E72D297353CC}">
              <c16:uniqueId val="{00000001-8DF6-4BD7-9089-B9EE99B63DF1}"/>
            </c:ext>
          </c:extLst>
        </c:ser>
        <c:ser>
          <c:idx val="1"/>
          <c:order val="1"/>
          <c:tx>
            <c:strRef>
              <c:f>q4_8_12_16_25_37_Fig!$BO$7</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6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8DF6-4BD7-9089-B9EE99B63DF1}"/>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q4_8_12_16_25_37_Fig!$BM$32</c:f>
              <c:strCache>
                <c:ptCount val="1"/>
                <c:pt idx="0">
                  <c:v>Continente</c:v>
                </c:pt>
              </c:strCache>
            </c:strRef>
          </c:cat>
          <c:val>
            <c:numRef>
              <c:f>q4_8_12_16_25_37_Fig!$BO$32</c:f>
              <c:numCache>
                <c:formatCode>#,##0</c:formatCode>
                <c:ptCount val="1"/>
                <c:pt idx="0">
                  <c:v>3354135.9999999991</c:v>
                </c:pt>
              </c:numCache>
            </c:numRef>
          </c:val>
          <c:extLst>
            <c:ext xmlns:c16="http://schemas.microsoft.com/office/drawing/2014/chart" uri="{C3380CC4-5D6E-409C-BE32-E72D297353CC}">
              <c16:uniqueId val="{00000003-8DF6-4BD7-9089-B9EE99B63DF1}"/>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q4_8_12_16_25_37_Fig!$CH$7</c:f>
              <c:strCache>
                <c:ptCount val="1"/>
                <c:pt idx="0">
                  <c:v>Base</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quot;€&quot;"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8E12-4777-A837-FFA30A0A04F7}"/>
                </c:ext>
              </c:extLst>
            </c:dLbl>
            <c:numFmt formatCode="#,##0\ &quot;€&quot;"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q4_8_12_16_25_37_Fig!$CG$32</c:f>
              <c:strCache>
                <c:ptCount val="1"/>
                <c:pt idx="0">
                  <c:v>Continente</c:v>
                </c:pt>
              </c:strCache>
            </c:strRef>
          </c:cat>
          <c:val>
            <c:numRef>
              <c:f>q4_8_12_16_25_37_Fig!$CH$32</c:f>
              <c:numCache>
                <c:formatCode>#,##0\ "€"</c:formatCode>
                <c:ptCount val="1"/>
                <c:pt idx="0">
                  <c:v>1308.96</c:v>
                </c:pt>
              </c:numCache>
            </c:numRef>
          </c:val>
          <c:extLst>
            <c:ext xmlns:c16="http://schemas.microsoft.com/office/drawing/2014/chart" uri="{C3380CC4-5D6E-409C-BE32-E72D297353CC}">
              <c16:uniqueId val="{00000001-8E12-4777-A837-FFA30A0A04F7}"/>
            </c:ext>
          </c:extLst>
        </c:ser>
        <c:ser>
          <c:idx val="1"/>
          <c:order val="1"/>
          <c:tx>
            <c:strRef>
              <c:f>q4_8_12_16_25_37_Fig!$CI$7</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quot;€&quot;"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8E12-4777-A837-FFA30A0A04F7}"/>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q4_8_12_16_25_37_Fig!$CG$32</c:f>
              <c:strCache>
                <c:ptCount val="1"/>
                <c:pt idx="0">
                  <c:v>Continente</c:v>
                </c:pt>
              </c:strCache>
            </c:strRef>
          </c:cat>
          <c:val>
            <c:numRef>
              <c:f>q4_8_12_16_25_37_Fig!$CI$32</c:f>
              <c:numCache>
                <c:formatCode>#,##0\ "€"</c:formatCode>
                <c:ptCount val="1"/>
                <c:pt idx="0">
                  <c:v>1582.75</c:v>
                </c:pt>
              </c:numCache>
            </c:numRef>
          </c:val>
          <c:extLst>
            <c:ext xmlns:c16="http://schemas.microsoft.com/office/drawing/2014/chart" uri="{C3380CC4-5D6E-409C-BE32-E72D297353CC}">
              <c16:uniqueId val="{00000003-8E12-4777-A837-FFA30A0A04F7}"/>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8601375008343493"/>
          <c:h val="0.61909228840533581"/>
        </c:manualLayout>
      </c:layout>
      <c:barChart>
        <c:barDir val="col"/>
        <c:grouping val="clustered"/>
        <c:varyColors val="0"/>
        <c:ser>
          <c:idx val="0"/>
          <c:order val="0"/>
          <c:tx>
            <c:strRef>
              <c:f>q4_8_12_16_25_37_Fig_b!$R$6</c:f>
              <c:strCache>
                <c:ptCount val="1"/>
                <c:pt idx="0">
                  <c:v>Empresas</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3.9156548280025974E-2"/>
                  <c:y val="1.5162518104348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C9-4FFE-8848-C68ABA9B3287}"/>
                </c:ext>
              </c:extLst>
            </c:dLbl>
            <c:dLbl>
              <c:idx val="10"/>
              <c:layout>
                <c:manualLayout>
                  <c:x val="2.1382411301039447E-2"/>
                  <c:y val="7.05177001583077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C9-4FFE-8848-C68ABA9B3287}"/>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C9-4FFE-8848-C68ABA9B328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q4_8_12_16_25_37_Fig_b!$S$5:$AC$5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q4_8_12_16_25_37_Fig_b!$S$6:$AC$6</c:f>
              <c:numCache>
                <c:formatCode>#,##0</c:formatCode>
                <c:ptCount val="11"/>
                <c:pt idx="0">
                  <c:v>67539</c:v>
                </c:pt>
                <c:pt idx="1">
                  <c:v>68279</c:v>
                </c:pt>
                <c:pt idx="2">
                  <c:v>68838</c:v>
                </c:pt>
                <c:pt idx="3">
                  <c:v>69774</c:v>
                </c:pt>
                <c:pt idx="4">
                  <c:v>71059</c:v>
                </c:pt>
                <c:pt idx="5">
                  <c:v>69212</c:v>
                </c:pt>
                <c:pt idx="6">
                  <c:v>70690</c:v>
                </c:pt>
                <c:pt idx="7">
                  <c:v>68646</c:v>
                </c:pt>
                <c:pt idx="8">
                  <c:v>72553</c:v>
                </c:pt>
                <c:pt idx="9">
                  <c:v>74483.000000000029</c:v>
                </c:pt>
                <c:pt idx="10">
                  <c:v>74147.999999999971</c:v>
                </c:pt>
              </c:numCache>
            </c:numRef>
          </c:val>
          <c:extLst>
            <c:ext xmlns:c16="http://schemas.microsoft.com/office/drawing/2014/chart" uri="{C3380CC4-5D6E-409C-BE32-E72D297353CC}">
              <c16:uniqueId val="{00000003-47C9-4FFE-8848-C68ABA9B3287}"/>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q4_8_12_16_25_37_Fig_b!$R$7</c:f>
              <c:strCache>
                <c:ptCount val="1"/>
                <c:pt idx="0">
                  <c:v>Estabelecimentos</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47C9-4FFE-8848-C68ABA9B3287}"/>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47C9-4FFE-8848-C68ABA9B3287}"/>
              </c:ext>
            </c:extLst>
          </c:dPt>
          <c:dLbls>
            <c:dLbl>
              <c:idx val="0"/>
              <c:layout>
                <c:manualLayout>
                  <c:x val="2.8066432441944428E-2"/>
                  <c:y val="-5.9913435952709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7C9-4FFE-8848-C68ABA9B3287}"/>
                </c:ext>
              </c:extLst>
            </c:dLbl>
            <c:dLbl>
              <c:idx val="10"/>
              <c:layout>
                <c:manualLayout>
                  <c:x val="-8.8428567051686627E-2"/>
                  <c:y val="-6.8324732023237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7C9-4FFE-8848-C68ABA9B3287}"/>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7C9-4FFE-8848-C68ABA9B3287}"/>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q4_8_12_16_25_37_Fig_b!$S$5:$AC$5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q4_8_12_16_25_37_Fig_b!$S$7:$AC$7</c:f>
              <c:numCache>
                <c:formatCode>#,##0</c:formatCode>
                <c:ptCount val="11"/>
                <c:pt idx="0">
                  <c:v>81706</c:v>
                </c:pt>
                <c:pt idx="1">
                  <c:v>82356</c:v>
                </c:pt>
                <c:pt idx="2">
                  <c:v>82859</c:v>
                </c:pt>
                <c:pt idx="3">
                  <c:v>83567</c:v>
                </c:pt>
                <c:pt idx="4">
                  <c:v>84949</c:v>
                </c:pt>
                <c:pt idx="5">
                  <c:v>82771</c:v>
                </c:pt>
                <c:pt idx="6">
                  <c:v>84202</c:v>
                </c:pt>
                <c:pt idx="7">
                  <c:v>81787</c:v>
                </c:pt>
                <c:pt idx="8">
                  <c:v>86056</c:v>
                </c:pt>
                <c:pt idx="9">
                  <c:v>88188.999999999985</c:v>
                </c:pt>
                <c:pt idx="10">
                  <c:v>87949</c:v>
                </c:pt>
              </c:numCache>
            </c:numRef>
          </c:val>
          <c:smooth val="0"/>
          <c:extLst>
            <c:ext xmlns:c16="http://schemas.microsoft.com/office/drawing/2014/chart" uri="{C3380CC4-5D6E-409C-BE32-E72D297353CC}">
              <c16:uniqueId val="{00000007-47C9-4FFE-8848-C68ABA9B3287}"/>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88994062500000004"/>
          <c:w val="0.66415393518518528"/>
          <c:h val="7.919131944444443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9894576291867485"/>
          <c:h val="0.61909228840533581"/>
        </c:manualLayout>
      </c:layout>
      <c:barChart>
        <c:barDir val="col"/>
        <c:grouping val="clustered"/>
        <c:varyColors val="0"/>
        <c:ser>
          <c:idx val="0"/>
          <c:order val="0"/>
          <c:tx>
            <c:strRef>
              <c:f>q4_8_12_16_25_37_Fig_b!$R$38</c:f>
              <c:strCache>
                <c:ptCount val="1"/>
                <c:pt idx="0">
                  <c:v>Pessoas ao serviço</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8.4266288849565468E-2"/>
                  <c:y val="-6.38899929266731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28-4C53-B8A2-007E241BA2BF}"/>
                </c:ext>
              </c:extLst>
            </c:dLbl>
            <c:dLbl>
              <c:idx val="10"/>
              <c:layout>
                <c:manualLayout>
                  <c:x val="-9.4456226834674278E-2"/>
                  <c:y val="2.0943783893024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28-4C53-B8A2-007E241BA2BF}"/>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28-4C53-B8A2-007E241BA2B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q4_8_12_16_25_37_Fig_b!$S$37:$AC$37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q4_8_12_16_25_37_Fig_b!$S$38:$AC$38</c:f>
              <c:numCache>
                <c:formatCode>#,##0</c:formatCode>
                <c:ptCount val="11"/>
                <c:pt idx="0">
                  <c:v>844718</c:v>
                </c:pt>
                <c:pt idx="1">
                  <c:v>862910</c:v>
                </c:pt>
                <c:pt idx="2">
                  <c:v>901190</c:v>
                </c:pt>
                <c:pt idx="3">
                  <c:v>934313</c:v>
                </c:pt>
                <c:pt idx="4">
                  <c:v>979056</c:v>
                </c:pt>
                <c:pt idx="5">
                  <c:v>1001279</c:v>
                </c:pt>
                <c:pt idx="6">
                  <c:v>991460</c:v>
                </c:pt>
                <c:pt idx="7">
                  <c:v>996023</c:v>
                </c:pt>
                <c:pt idx="8">
                  <c:v>1083786</c:v>
                </c:pt>
                <c:pt idx="9">
                  <c:v>1142871</c:v>
                </c:pt>
                <c:pt idx="10">
                  <c:v>1174107</c:v>
                </c:pt>
              </c:numCache>
            </c:numRef>
          </c:val>
          <c:extLst>
            <c:ext xmlns:c16="http://schemas.microsoft.com/office/drawing/2014/chart" uri="{C3380CC4-5D6E-409C-BE32-E72D297353CC}">
              <c16:uniqueId val="{00000003-6E28-4C53-B8A2-007E241BA2BF}"/>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q4_8_12_16_25_37_Fig_b!$R$39</c:f>
              <c:strCache>
                <c:ptCount val="1"/>
                <c:pt idx="0">
                  <c:v>TCO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6E28-4C53-B8A2-007E241BA2BF}"/>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6E28-4C53-B8A2-007E241BA2BF}"/>
              </c:ext>
            </c:extLst>
          </c:dPt>
          <c:dLbls>
            <c:dLbl>
              <c:idx val="0"/>
              <c:layout>
                <c:manualLayout>
                  <c:x val="2.3703827300895902E-2"/>
                  <c:y val="-6.4295530331099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28-4C53-B8A2-007E241BA2BF}"/>
                </c:ext>
              </c:extLst>
            </c:dLbl>
            <c:dLbl>
              <c:idx val="10"/>
              <c:layout>
                <c:manualLayout>
                  <c:x val="-0.18669245317552327"/>
                  <c:y val="-0.108327326619286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E28-4C53-B8A2-007E241BA2BF}"/>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28-4C53-B8A2-007E241BA2BF}"/>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q4_8_12_16_25_37_Fig_b!$S$37:$AC$37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q4_8_12_16_25_37_Fig_b!$S$39:$AC$39</c:f>
              <c:numCache>
                <c:formatCode>#,##0</c:formatCode>
                <c:ptCount val="11"/>
                <c:pt idx="0">
                  <c:v>797999</c:v>
                </c:pt>
                <c:pt idx="1">
                  <c:v>816297</c:v>
                </c:pt>
                <c:pt idx="2">
                  <c:v>855415</c:v>
                </c:pt>
                <c:pt idx="3">
                  <c:v>888098</c:v>
                </c:pt>
                <c:pt idx="4">
                  <c:v>931712</c:v>
                </c:pt>
                <c:pt idx="5">
                  <c:v>954999</c:v>
                </c:pt>
                <c:pt idx="6">
                  <c:v>944358</c:v>
                </c:pt>
                <c:pt idx="7">
                  <c:v>949891</c:v>
                </c:pt>
                <c:pt idx="8">
                  <c:v>1034482</c:v>
                </c:pt>
                <c:pt idx="9">
                  <c:v>1092322.0000000002</c:v>
                </c:pt>
                <c:pt idx="10">
                  <c:v>1124021</c:v>
                </c:pt>
              </c:numCache>
            </c:numRef>
          </c:val>
          <c:smooth val="0"/>
          <c:extLst>
            <c:ext xmlns:c16="http://schemas.microsoft.com/office/drawing/2014/chart" uri="{C3380CC4-5D6E-409C-BE32-E72D297353CC}">
              <c16:uniqueId val="{00000007-6E28-4C53-B8A2-007E241BA2BF}"/>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88764639535528711"/>
          <c:w val="0.62299652777777781"/>
          <c:h val="8.1485416666666671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8909629306003075"/>
          <c:h val="0.61909228840533581"/>
        </c:manualLayout>
      </c:layout>
      <c:barChart>
        <c:barDir val="col"/>
        <c:grouping val="clustered"/>
        <c:varyColors val="0"/>
        <c:ser>
          <c:idx val="0"/>
          <c:order val="0"/>
          <c:tx>
            <c:strRef>
              <c:f>q4_8_12_16_25_37_Fig_b!$R$72</c:f>
              <c:strCache>
                <c:ptCount val="1"/>
                <c:pt idx="0">
                  <c:v>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chemeClr val="accent1">
                  <a:shade val="76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D4CF-4329-A8B9-D496AF47D4F9}"/>
              </c:ext>
            </c:extLst>
          </c:dPt>
          <c:dLbls>
            <c:dLbl>
              <c:idx val="0"/>
              <c:layout>
                <c:manualLayout>
                  <c:x val="5.4788924690077005E-2"/>
                  <c:y val="-8.2851332325181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CF-4329-A8B9-D496AF47D4F9}"/>
                </c:ext>
              </c:extLst>
            </c:dLbl>
            <c:dLbl>
              <c:idx val="10"/>
              <c:layout>
                <c:manualLayout>
                  <c:x val="-0.12032991129904101"/>
                  <c:y val="-4.8872433992108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CF-4329-A8B9-D496AF47D4F9}"/>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CF-4329-A8B9-D496AF47D4F9}"/>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q4_8_12_16_25_37_Fig_b!$S$71:$AC$71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q4_8_12_16_25_37_Fig_b!$S$72:$AC$72</c:f>
              <c:numCache>
                <c:formatCode>#,##0.00</c:formatCode>
                <c:ptCount val="11"/>
                <c:pt idx="0">
                  <c:v>1139.73</c:v>
                </c:pt>
                <c:pt idx="1">
                  <c:v>1143.49</c:v>
                </c:pt>
                <c:pt idx="2">
                  <c:v>1150.72</c:v>
                </c:pt>
                <c:pt idx="3">
                  <c:v>1166.67</c:v>
                </c:pt>
                <c:pt idx="4">
                  <c:v>1187.08</c:v>
                </c:pt>
                <c:pt idx="5">
                  <c:v>1221.83</c:v>
                </c:pt>
                <c:pt idx="6">
                  <c:v>1257.56</c:v>
                </c:pt>
                <c:pt idx="7">
                  <c:v>1301.0999999999999</c:v>
                </c:pt>
                <c:pt idx="8">
                  <c:v>1376.38</c:v>
                </c:pt>
                <c:pt idx="9">
                  <c:v>1462.95</c:v>
                </c:pt>
                <c:pt idx="10">
                  <c:v>1554.49</c:v>
                </c:pt>
              </c:numCache>
            </c:numRef>
          </c:val>
          <c:extLst>
            <c:ext xmlns:c16="http://schemas.microsoft.com/office/drawing/2014/chart" uri="{C3380CC4-5D6E-409C-BE32-E72D297353CC}">
              <c16:uniqueId val="{00000004-D4CF-4329-A8B9-D496AF47D4F9}"/>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q4_8_12_16_25_37_Fig_b!$R$73</c:f>
              <c:strCache>
                <c:ptCount val="1"/>
                <c:pt idx="0">
                  <c:v>Ganho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5-D4CF-4329-A8B9-D496AF47D4F9}"/>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6-D4CF-4329-A8B9-D496AF47D4F9}"/>
              </c:ext>
            </c:extLst>
          </c:dPt>
          <c:dLbls>
            <c:dLbl>
              <c:idx val="0"/>
              <c:layout>
                <c:manualLayout>
                  <c:x val="2.2241993710124357E-2"/>
                  <c:y val="-0.120134169866146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CF-4329-A8B9-D496AF47D4F9}"/>
                </c:ext>
              </c:extLst>
            </c:dLbl>
            <c:dLbl>
              <c:idx val="10"/>
              <c:layout>
                <c:manualLayout>
                  <c:x val="-0.22687549822754238"/>
                  <c:y val="-7.9306513723648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CF-4329-A8B9-D496AF47D4F9}"/>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CF-4329-A8B9-D496AF47D4F9}"/>
                </c:ext>
              </c:extLst>
            </c:dLbl>
            <c:numFmt formatCode="#,##0.00\ &quot;€&quot;"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q4_8_12_16_25_37_Fig_b!$S$71:$AC$71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q4_8_12_16_25_37_Fig_b!$S$73:$AC$73</c:f>
              <c:numCache>
                <c:formatCode>#,##0.00</c:formatCode>
                <c:ptCount val="11"/>
                <c:pt idx="0">
                  <c:v>1378.34</c:v>
                </c:pt>
                <c:pt idx="1">
                  <c:v>1380.08</c:v>
                </c:pt>
                <c:pt idx="2">
                  <c:v>1388.49</c:v>
                </c:pt>
                <c:pt idx="3">
                  <c:v>1410.52</c:v>
                </c:pt>
                <c:pt idx="4">
                  <c:v>1440.11</c:v>
                </c:pt>
                <c:pt idx="5">
                  <c:v>1477.39</c:v>
                </c:pt>
                <c:pt idx="6">
                  <c:v>1516.42</c:v>
                </c:pt>
                <c:pt idx="7">
                  <c:v>1562.69</c:v>
                </c:pt>
                <c:pt idx="8">
                  <c:v>1655.56</c:v>
                </c:pt>
                <c:pt idx="9">
                  <c:v>1765.15</c:v>
                </c:pt>
                <c:pt idx="10">
                  <c:v>1880.94</c:v>
                </c:pt>
              </c:numCache>
            </c:numRef>
          </c:val>
          <c:smooth val="0"/>
          <c:extLst>
            <c:ext xmlns:c16="http://schemas.microsoft.com/office/drawing/2014/chart" uri="{C3380CC4-5D6E-409C-BE32-E72D297353CC}">
              <c16:uniqueId val="{00000008-D4CF-4329-A8B9-D496AF47D4F9}"/>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2000"/>
          <c:min val="0"/>
        </c:scaling>
        <c:delete val="0"/>
        <c:axPos val="l"/>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88112118055555555"/>
          <c:w val="0.49070486111111111"/>
          <c:h val="8.360104166666665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q4_8_12_16_25_37_Fig_b!$AS$7</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2DBA-4E33-9AF8-73B913D60368}"/>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q4_8_12_16_25_37_Fig_b!$AR$31</c:f>
              <c:strCache>
                <c:ptCount val="1"/>
                <c:pt idx="0">
                  <c:v>Continente</c:v>
                </c:pt>
              </c:strCache>
            </c:strRef>
          </c:cat>
          <c:val>
            <c:numRef>
              <c:f>q4_8_12_16_25_37_Fig_b!$AS$31</c:f>
              <c:numCache>
                <c:formatCode>#,##0</c:formatCode>
                <c:ptCount val="1"/>
                <c:pt idx="0">
                  <c:v>288762.99999999994</c:v>
                </c:pt>
              </c:numCache>
            </c:numRef>
          </c:val>
          <c:extLst>
            <c:ext xmlns:c16="http://schemas.microsoft.com/office/drawing/2014/chart" uri="{C3380CC4-5D6E-409C-BE32-E72D297353CC}">
              <c16:uniqueId val="{00000001-2DBA-4E33-9AF8-73B913D60368}"/>
            </c:ext>
          </c:extLst>
        </c:ser>
        <c:ser>
          <c:idx val="1"/>
          <c:order val="1"/>
          <c:tx>
            <c:strRef>
              <c:f>q4_8_12_16_25_37_Fig_b!$AT$7</c:f>
              <c:strCache>
                <c:ptCount val="1"/>
                <c:pt idx="0">
                  <c:v>Estabelecimentos</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layout>
                <c:manualLayout>
                  <c:x val="-0.20423521519576349"/>
                  <c:y val="-2.3821382281370079E-2"/>
                </c:manualLayout>
              </c:layout>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3393754759212016"/>
                      <c:h val="0.37912244133627981"/>
                    </c:manualLayout>
                  </c15:layout>
                </c:ext>
                <c:ext xmlns:c16="http://schemas.microsoft.com/office/drawing/2014/chart" uri="{C3380CC4-5D6E-409C-BE32-E72D297353CC}">
                  <c16:uniqueId val="{00000002-2DBA-4E33-9AF8-73B913D60368}"/>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q4_8_12_16_25_37_Fig_b!$AR$31</c:f>
              <c:strCache>
                <c:ptCount val="1"/>
                <c:pt idx="0">
                  <c:v>Continente</c:v>
                </c:pt>
              </c:strCache>
            </c:strRef>
          </c:cat>
          <c:val>
            <c:numRef>
              <c:f>q4_8_12_16_25_37_Fig_b!$AT$31</c:f>
              <c:numCache>
                <c:formatCode>#,##0</c:formatCode>
                <c:ptCount val="1"/>
                <c:pt idx="0">
                  <c:v>338025.99999999988</c:v>
                </c:pt>
              </c:numCache>
            </c:numRef>
          </c:val>
          <c:extLst>
            <c:ext xmlns:c16="http://schemas.microsoft.com/office/drawing/2014/chart" uri="{C3380CC4-5D6E-409C-BE32-E72D297353CC}">
              <c16:uniqueId val="{00000003-2DBA-4E33-9AF8-73B913D60368}"/>
            </c:ext>
          </c:extLst>
        </c:ser>
        <c:dLbls>
          <c:dLblPos val="inEnd"/>
          <c:showLegendKey val="0"/>
          <c:showVal val="1"/>
          <c:showCatName val="0"/>
          <c:showSerName val="0"/>
          <c:showPercent val="0"/>
          <c:showBubbleSize val="0"/>
        </c:dLbls>
        <c:gapWidth val="309"/>
        <c:overlap val="-5"/>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q4_8_12_16_25_37_Fig_b!$BN$7</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6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843C-474F-B02B-7475E9962683}"/>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6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q4_8_12_16_25_37_Fig_b!$BM$31</c:f>
              <c:strCache>
                <c:ptCount val="1"/>
                <c:pt idx="0">
                  <c:v>Continente</c:v>
                </c:pt>
              </c:strCache>
            </c:strRef>
          </c:cat>
          <c:val>
            <c:numRef>
              <c:f>q4_8_12_16_25_37_Fig_b!$BN$31</c:f>
              <c:numCache>
                <c:formatCode>#,##0</c:formatCode>
                <c:ptCount val="1"/>
                <c:pt idx="0">
                  <c:v>3544955.0000000019</c:v>
                </c:pt>
              </c:numCache>
            </c:numRef>
          </c:val>
          <c:extLst>
            <c:ext xmlns:c16="http://schemas.microsoft.com/office/drawing/2014/chart" uri="{C3380CC4-5D6E-409C-BE32-E72D297353CC}">
              <c16:uniqueId val="{00000001-843C-474F-B02B-7475E9962683}"/>
            </c:ext>
          </c:extLst>
        </c:ser>
        <c:ser>
          <c:idx val="1"/>
          <c:order val="1"/>
          <c:tx>
            <c:strRef>
              <c:f>q4_8_12_16_25_37_Fig_b!$BO$7</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6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843C-474F-B02B-7475E9962683}"/>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q4_8_12_16_25_37_Fig_b!$BM$31</c:f>
              <c:strCache>
                <c:ptCount val="1"/>
                <c:pt idx="0">
                  <c:v>Continente</c:v>
                </c:pt>
              </c:strCache>
            </c:strRef>
          </c:cat>
          <c:val>
            <c:numRef>
              <c:f>q4_8_12_16_25_37_Fig_b!$BO$31</c:f>
              <c:numCache>
                <c:formatCode>#,##0</c:formatCode>
                <c:ptCount val="1"/>
                <c:pt idx="0">
                  <c:v>3354135.9999999991</c:v>
                </c:pt>
              </c:numCache>
            </c:numRef>
          </c:val>
          <c:extLst>
            <c:ext xmlns:c16="http://schemas.microsoft.com/office/drawing/2014/chart" uri="{C3380CC4-5D6E-409C-BE32-E72D297353CC}">
              <c16:uniqueId val="{00000003-843C-474F-B02B-7475E9962683}"/>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q4_8_12_16_25_37_Fig_b!$CH$7</c:f>
              <c:strCache>
                <c:ptCount val="1"/>
                <c:pt idx="0">
                  <c:v>Base</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quot;€&quot;"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E919-43B6-B989-5F0E15DFB1E8}"/>
                </c:ext>
              </c:extLst>
            </c:dLbl>
            <c:numFmt formatCode="#,##0\ &quot;€&quot;"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q4_8_12_16_25_37_Fig_b!$CG$31</c:f>
              <c:strCache>
                <c:ptCount val="1"/>
                <c:pt idx="0">
                  <c:v>Continente</c:v>
                </c:pt>
              </c:strCache>
            </c:strRef>
          </c:cat>
          <c:val>
            <c:numRef>
              <c:f>q4_8_12_16_25_37_Fig_b!$CH$31</c:f>
              <c:numCache>
                <c:formatCode>#,##0\ "€"</c:formatCode>
                <c:ptCount val="1"/>
                <c:pt idx="0">
                  <c:v>1308.96</c:v>
                </c:pt>
              </c:numCache>
            </c:numRef>
          </c:val>
          <c:extLst>
            <c:ext xmlns:c16="http://schemas.microsoft.com/office/drawing/2014/chart" uri="{C3380CC4-5D6E-409C-BE32-E72D297353CC}">
              <c16:uniqueId val="{00000001-E919-43B6-B989-5F0E15DFB1E8}"/>
            </c:ext>
          </c:extLst>
        </c:ser>
        <c:ser>
          <c:idx val="1"/>
          <c:order val="1"/>
          <c:tx>
            <c:strRef>
              <c:f>q4_8_12_16_25_37_Fig_b!$CI$7</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quot;€&quot;"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E919-43B6-B989-5F0E15DFB1E8}"/>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q4_8_12_16_25_37_Fig_b!$CG$31</c:f>
              <c:strCache>
                <c:ptCount val="1"/>
                <c:pt idx="0">
                  <c:v>Continente</c:v>
                </c:pt>
              </c:strCache>
            </c:strRef>
          </c:cat>
          <c:val>
            <c:numRef>
              <c:f>q4_8_12_16_25_37_Fig_b!$CI$31</c:f>
              <c:numCache>
                <c:formatCode>#,##0\ "€"</c:formatCode>
                <c:ptCount val="1"/>
                <c:pt idx="0">
                  <c:v>1582.75</c:v>
                </c:pt>
              </c:numCache>
            </c:numRef>
          </c:val>
          <c:extLst>
            <c:ext xmlns:c16="http://schemas.microsoft.com/office/drawing/2014/chart" uri="{C3380CC4-5D6E-409C-BE32-E72D297353CC}">
              <c16:uniqueId val="{00000003-E919-43B6-B989-5F0E15DFB1E8}"/>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q4_8_12_16_25_37_Fig_b!$AS$37</c:f>
              <c:strCache>
                <c:ptCount val="1"/>
                <c:pt idx="0">
                  <c:v>Empresas</c:v>
                </c:pt>
              </c:strCache>
            </c:strRef>
          </c:tx>
          <c:spPr>
            <a:solidFill>
              <a:srgbClr val="4572A5"/>
            </a:solidFill>
            <a:ln w="15875" cmpd="sng">
              <a:noFill/>
              <a:prstDash val="soli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q4_8_12_16_25_37_Fig_b!$AR$38:$AR$42</c15:sqref>
                  </c15:fullRef>
                </c:ext>
              </c:extLst>
              <c:f>q4_8_12_16_25_37_Fig_b!$AR$38</c:f>
              <c:strCache>
                <c:ptCount val="1"/>
                <c:pt idx="0">
                  <c:v>Norte</c:v>
                </c:pt>
              </c:strCache>
            </c:strRef>
          </c:cat>
          <c:val>
            <c:numRef>
              <c:extLst>
                <c:ext xmlns:c15="http://schemas.microsoft.com/office/drawing/2012/chart" uri="{02D57815-91ED-43cb-92C2-25804820EDAC}">
                  <c15:fullRef>
                    <c15:sqref>q4_8_12_16_25_37_Fig_b!$AS$38:$AS$42</c15:sqref>
                  </c15:fullRef>
                </c:ext>
              </c:extLst>
              <c:f>q4_8_12_16_25_37_Fig_b!$AS$38</c:f>
              <c:numCache>
                <c:formatCode>#,##0</c:formatCode>
                <c:ptCount val="1"/>
                <c:pt idx="0">
                  <c:v>111564.99999999994</c:v>
                </c:pt>
              </c:numCache>
            </c:numRef>
          </c:val>
          <c:extLst>
            <c:ext xmlns:c16="http://schemas.microsoft.com/office/drawing/2014/chart" uri="{C3380CC4-5D6E-409C-BE32-E72D297353CC}">
              <c16:uniqueId val="{00000000-7624-4FEB-935E-A5F8B5031A45}"/>
            </c:ext>
          </c:extLst>
        </c:ser>
        <c:ser>
          <c:idx val="1"/>
          <c:order val="1"/>
          <c:tx>
            <c:strRef>
              <c:f>q4_8_12_16_25_37_Fig_b!$AT$37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q4_8_12_16_25_37_Fig_b!$AR$38:$AR$42</c15:sqref>
                  </c15:fullRef>
                </c:ext>
              </c:extLst>
              <c:f>q4_8_12_16_25_37_Fig_b!$AR$38</c:f>
              <c:strCache>
                <c:ptCount val="1"/>
                <c:pt idx="0">
                  <c:v>Norte</c:v>
                </c:pt>
              </c:strCache>
            </c:strRef>
          </c:cat>
          <c:val>
            <c:numRef>
              <c:extLst>
                <c:ext xmlns:c15="http://schemas.microsoft.com/office/drawing/2012/chart" uri="{02D57815-91ED-43cb-92C2-25804820EDAC}">
                  <c15:fullRef>
                    <c15:sqref>q4_8_12_16_25_37_Fig_b!$AT$38:$AT$42</c15:sqref>
                  </c15:fullRef>
                </c:ext>
              </c:extLst>
              <c:f>q4_8_12_16_25_37_Fig_b!$AT$38</c:f>
              <c:numCache>
                <c:formatCode>#,##0</c:formatCode>
                <c:ptCount val="1"/>
                <c:pt idx="0">
                  <c:v>127676.00000000001</c:v>
                </c:pt>
              </c:numCache>
            </c:numRef>
          </c:val>
          <c:extLst>
            <c:ext xmlns:c16="http://schemas.microsoft.com/office/drawing/2014/chart" uri="{C3380CC4-5D6E-409C-BE32-E72D297353CC}">
              <c16:uniqueId val="{00000001-7624-4FEB-935E-A5F8B5031A45}"/>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759634812542094"/>
          <c:y val="0.17838921959231341"/>
          <c:w val="0.52480730374915807"/>
          <c:h val="0.68144782215658317"/>
        </c:manualLayout>
      </c:layout>
      <c:barChart>
        <c:barDir val="col"/>
        <c:grouping val="clustered"/>
        <c:varyColors val="0"/>
        <c:ser>
          <c:idx val="0"/>
          <c:order val="0"/>
          <c:tx>
            <c:strRef>
              <c:f>q4_8_12_16_25_37_Fig_b!$AS$37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q4_8_12_16_25_37_Fig_b!$AR$38:$AR$42</c15:sqref>
                  </c15:fullRef>
                </c:ext>
              </c:extLst>
              <c:f>q4_8_12_16_25_37_Fig_b!$AR$39</c:f>
              <c:strCache>
                <c:ptCount val="1"/>
                <c:pt idx="0">
                  <c:v>Centro</c:v>
                </c:pt>
              </c:strCache>
            </c:strRef>
          </c:cat>
          <c:val>
            <c:numRef>
              <c:extLst>
                <c:ext xmlns:c15="http://schemas.microsoft.com/office/drawing/2012/chart" uri="{02D57815-91ED-43cb-92C2-25804820EDAC}">
                  <c15:fullRef>
                    <c15:sqref>q4_8_12_16_25_37_Fig_b!$AS$38:$AS$42</c15:sqref>
                  </c15:fullRef>
                </c:ext>
              </c:extLst>
              <c:f>q4_8_12_16_25_37_Fig_b!$AS$39</c:f>
              <c:numCache>
                <c:formatCode>#,##0</c:formatCode>
                <c:ptCount val="1"/>
                <c:pt idx="0">
                  <c:v>64160.000000000015</c:v>
                </c:pt>
              </c:numCache>
            </c:numRef>
          </c:val>
          <c:extLst>
            <c:ext xmlns:c16="http://schemas.microsoft.com/office/drawing/2014/chart" uri="{C3380CC4-5D6E-409C-BE32-E72D297353CC}">
              <c16:uniqueId val="{00000000-ABA9-4869-8114-314F4EB55A67}"/>
            </c:ext>
          </c:extLst>
        </c:ser>
        <c:ser>
          <c:idx val="1"/>
          <c:order val="1"/>
          <c:tx>
            <c:strRef>
              <c:f>q4_8_12_16_25_37_Fig_b!$AT$37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q4_8_12_16_25_37_Fig_b!$AR$38:$AR$42</c15:sqref>
                  </c15:fullRef>
                </c:ext>
              </c:extLst>
              <c:f>q4_8_12_16_25_37_Fig_b!$AR$39</c:f>
              <c:strCache>
                <c:ptCount val="1"/>
                <c:pt idx="0">
                  <c:v>Centro</c:v>
                </c:pt>
              </c:strCache>
            </c:strRef>
          </c:cat>
          <c:val>
            <c:numRef>
              <c:extLst>
                <c:ext xmlns:c15="http://schemas.microsoft.com/office/drawing/2012/chart" uri="{02D57815-91ED-43cb-92C2-25804820EDAC}">
                  <c15:fullRef>
                    <c15:sqref>q4_8_12_16_25_37_Fig_b!$AT$38:$AT$42</c15:sqref>
                  </c15:fullRef>
                </c:ext>
              </c:extLst>
              <c:f>q4_8_12_16_25_37_Fig_b!$AT$39</c:f>
              <c:numCache>
                <c:formatCode>#,##0</c:formatCode>
                <c:ptCount val="1"/>
                <c:pt idx="0">
                  <c:v>75721.999999999956</c:v>
                </c:pt>
              </c:numCache>
            </c:numRef>
          </c:val>
          <c:extLst>
            <c:ext xmlns:c16="http://schemas.microsoft.com/office/drawing/2014/chart" uri="{C3380CC4-5D6E-409C-BE32-E72D297353CC}">
              <c16:uniqueId val="{00000001-ABA9-4869-8114-314F4EB55A67}"/>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q11_q13_q15_q17_Fig!$AS$4</c:f>
              <c:strCache>
                <c:ptCount val="1"/>
                <c:pt idx="0">
                  <c:v>Pessoas ao serviço</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1.6800081692632286E-2"/>
                  <c:y val="-6.8592148410570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A5-45B2-B37E-1C5EAD54CE62}"/>
                </c:ext>
              </c:extLst>
            </c:dLbl>
            <c:dLbl>
              <c:idx val="10"/>
              <c:layout>
                <c:manualLayout>
                  <c:x val="5.5720542022900242E-2"/>
                  <c:y val="-8.0425915383071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A5-45B2-B37E-1C5EAD54CE6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q11_q13_q15_q17_Fig!$AT$3:$BD$3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q11_q13_q15_q17_Fig!$AT$4:$BD$4</c:f>
              <c:numCache>
                <c:formatCode>#,##0</c:formatCode>
                <c:ptCount val="11"/>
                <c:pt idx="0">
                  <c:v>2636881</c:v>
                </c:pt>
                <c:pt idx="1">
                  <c:v>2716011</c:v>
                </c:pt>
                <c:pt idx="2">
                  <c:v>2819978</c:v>
                </c:pt>
                <c:pt idx="3">
                  <c:v>2946903</c:v>
                </c:pt>
                <c:pt idx="4">
                  <c:v>3060489</c:v>
                </c:pt>
                <c:pt idx="5">
                  <c:v>3110949</c:v>
                </c:pt>
                <c:pt idx="6">
                  <c:v>3085566</c:v>
                </c:pt>
                <c:pt idx="7">
                  <c:v>3102345</c:v>
                </c:pt>
                <c:pt idx="8">
                  <c:v>3337082</c:v>
                </c:pt>
                <c:pt idx="9">
                  <c:v>3489583</c:v>
                </c:pt>
                <c:pt idx="10">
                  <c:v>3544955</c:v>
                </c:pt>
              </c:numCache>
            </c:numRef>
          </c:val>
          <c:extLst>
            <c:ext xmlns:c16="http://schemas.microsoft.com/office/drawing/2014/chart" uri="{C3380CC4-5D6E-409C-BE32-E72D297353CC}">
              <c16:uniqueId val="{00000002-9DA5-45B2-B37E-1C5EAD54CE62}"/>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q11_q13_q15_q17_Fig!$AS$5</c:f>
              <c:strCache>
                <c:ptCount val="1"/>
                <c:pt idx="0">
                  <c:v>TCO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3-9DA5-45B2-B37E-1C5EAD54CE62}"/>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9DA5-45B2-B37E-1C5EAD54CE62}"/>
              </c:ext>
            </c:extLst>
          </c:dPt>
          <c:dLbls>
            <c:dLbl>
              <c:idx val="0"/>
              <c:layout>
                <c:manualLayout>
                  <c:x val="-1.9483754794768413E-2"/>
                  <c:y val="-7.4069634577372159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C000"/>
                      </a:solidFill>
                      <a:latin typeface="+mn-lt"/>
                      <a:ea typeface="+mn-ea"/>
                      <a:cs typeface="+mn-cs"/>
                    </a:defRPr>
                  </a:pPr>
                  <a:endParaRPr lang="pt-PT"/>
                </a:p>
              </c:txPr>
              <c:showLegendKey val="0"/>
              <c:showVal val="1"/>
              <c:showCatName val="0"/>
              <c:showSerName val="0"/>
              <c:showPercent val="0"/>
              <c:showBubbleSize val="0"/>
              <c:extLst>
                <c:ext xmlns:c15="http://schemas.microsoft.com/office/drawing/2012/chart" uri="{CE6537A1-D6FC-4f65-9D91-7224C49458BB}">
                  <c15:layout>
                    <c:manualLayout>
                      <c:w val="0.15235967373628478"/>
                      <c:h val="5.2349626592401534E-2"/>
                    </c:manualLayout>
                  </c15:layout>
                </c:ext>
                <c:ext xmlns:c16="http://schemas.microsoft.com/office/drawing/2014/chart" uri="{C3380CC4-5D6E-409C-BE32-E72D297353CC}">
                  <c16:uniqueId val="{00000003-9DA5-45B2-B37E-1C5EAD54CE62}"/>
                </c:ext>
              </c:extLst>
            </c:dLbl>
            <c:dLbl>
              <c:idx val="10"/>
              <c:layout>
                <c:manualLayout>
                  <c:x val="1.318458355744118E-2"/>
                  <c:y val="-1.0969271600849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A5-45B2-B37E-1C5EAD54CE6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q11_q13_q15_q17_Fig!$AT$3:$BD$3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q11_q13_q15_q17_Fig!$AT$5:$BD$5</c:f>
              <c:numCache>
                <c:formatCode>#,##0</c:formatCode>
                <c:ptCount val="11"/>
                <c:pt idx="0">
                  <c:v>2458163</c:v>
                </c:pt>
                <c:pt idx="1">
                  <c:v>2537653</c:v>
                </c:pt>
                <c:pt idx="2">
                  <c:v>2641919</c:v>
                </c:pt>
                <c:pt idx="3">
                  <c:v>2767521</c:v>
                </c:pt>
                <c:pt idx="4">
                  <c:v>2877918</c:v>
                </c:pt>
                <c:pt idx="5">
                  <c:v>2930482</c:v>
                </c:pt>
                <c:pt idx="6">
                  <c:v>2902825</c:v>
                </c:pt>
                <c:pt idx="7">
                  <c:v>2922343</c:v>
                </c:pt>
                <c:pt idx="8">
                  <c:v>3148147</c:v>
                </c:pt>
                <c:pt idx="9">
                  <c:v>3296134</c:v>
                </c:pt>
                <c:pt idx="10">
                  <c:v>3354136</c:v>
                </c:pt>
              </c:numCache>
            </c:numRef>
          </c:val>
          <c:smooth val="0"/>
          <c:extLst>
            <c:ext xmlns:c16="http://schemas.microsoft.com/office/drawing/2014/chart" uri="{C3380CC4-5D6E-409C-BE32-E72D297353CC}">
              <c16:uniqueId val="{00000006-9DA5-45B2-B37E-1C5EAD54CE62}"/>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360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majorUnit val="400000"/>
      </c:valAx>
      <c:spPr>
        <a:noFill/>
        <a:ln>
          <a:noFill/>
        </a:ln>
        <a:effectLst/>
      </c:spPr>
    </c:plotArea>
    <c:legend>
      <c:legendPos val="b"/>
      <c:layout>
        <c:manualLayout>
          <c:xMode val="edge"/>
          <c:yMode val="edge"/>
          <c:x val="1.3975067550970277E-2"/>
          <c:y val="0.87446938131313134"/>
          <c:w val="0.56198825022516985"/>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q4_8_12_16_25_37_Fig_b!$AR$38:$AR$42</c15:sqref>
                  </c15:fullRef>
                </c:ext>
              </c:extLst>
              <c:f>q4_8_12_16_25_37_Fig_b!$AR$42</c:f>
              <c:strCache>
                <c:ptCount val="1"/>
                <c:pt idx="0">
                  <c:v>Algarve</c:v>
                </c:pt>
              </c:strCache>
            </c:strRef>
          </c:cat>
          <c:val>
            <c:numRef>
              <c:extLst>
                <c:ext xmlns:c15="http://schemas.microsoft.com/office/drawing/2012/chart" uri="{02D57815-91ED-43cb-92C2-25804820EDAC}">
                  <c15:fullRef>
                    <c15:sqref>q4_8_12_16_25_37_Fig_b!$AS$38:$AS$42</c15:sqref>
                  </c15:fullRef>
                </c:ext>
              </c:extLst>
              <c:f>q4_8_12_16_25_37_Fig_b!$AS$42</c:f>
              <c:numCache>
                <c:formatCode>#,##0</c:formatCode>
                <c:ptCount val="1"/>
                <c:pt idx="0">
                  <c:v>18173.999999999996</c:v>
                </c:pt>
              </c:numCache>
            </c:numRef>
          </c:val>
          <c:extLst>
            <c:ext xmlns:c16="http://schemas.microsoft.com/office/drawing/2014/chart" uri="{C3380CC4-5D6E-409C-BE32-E72D297353CC}">
              <c16:uniqueId val="{00000000-E87C-4D93-BA23-79EC78CB45FD}"/>
            </c:ext>
          </c:extLst>
        </c:ser>
        <c:ser>
          <c:idx val="1"/>
          <c:order val="1"/>
          <c:tx>
            <c:strRef>
              <c:f>q4_8_12_16_25_37_Fig_b!$AT$37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q4_8_12_16_25_37_Fig_b!$AR$38:$AR$42</c15:sqref>
                  </c15:fullRef>
                </c:ext>
              </c:extLst>
              <c:f>q4_8_12_16_25_37_Fig_b!$AR$42</c:f>
              <c:strCache>
                <c:ptCount val="1"/>
                <c:pt idx="0">
                  <c:v>Algarve</c:v>
                </c:pt>
              </c:strCache>
            </c:strRef>
          </c:cat>
          <c:val>
            <c:numRef>
              <c:extLst>
                <c:ext xmlns:c15="http://schemas.microsoft.com/office/drawing/2012/chart" uri="{02D57815-91ED-43cb-92C2-25804820EDAC}">
                  <c15:fullRef>
                    <c15:sqref>q4_8_12_16_25_37_Fig_b!$AT$38:$AT$42</c15:sqref>
                  </c15:fullRef>
                </c:ext>
              </c:extLst>
              <c:f>q4_8_12_16_25_37_Fig_b!$AT$42</c:f>
              <c:numCache>
                <c:formatCode>#,##0</c:formatCode>
                <c:ptCount val="1"/>
                <c:pt idx="0">
                  <c:v>21958.999999999996</c:v>
                </c:pt>
              </c:numCache>
            </c:numRef>
          </c:val>
          <c:extLst>
            <c:ext xmlns:c16="http://schemas.microsoft.com/office/drawing/2014/chart" uri="{C3380CC4-5D6E-409C-BE32-E72D297353CC}">
              <c16:uniqueId val="{00000001-E87C-4D93-BA23-79EC78CB45FD}"/>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min val="0"/>
        </c:scaling>
        <c:delete val="1"/>
        <c:axPos val="l"/>
        <c:numFmt formatCode="#,##0" sourceLinked="1"/>
        <c:majorTickMark val="out"/>
        <c:minorTickMark val="none"/>
        <c:tickLblPos val="nextTo"/>
        <c:crossAx val="636287087"/>
        <c:crosses val="autoZero"/>
        <c:crossBetween val="between"/>
        <c:majorUnit val="50000"/>
        <c:minorUnit val="1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92978304850156"/>
          <c:y val="0.12089057499174664"/>
          <c:w val="0.73070216951498435"/>
          <c:h val="0.8791094250082534"/>
        </c:manualLayout>
      </c:layout>
      <c:barChart>
        <c:barDir val="col"/>
        <c:grouping val="clustered"/>
        <c:varyColors val="0"/>
        <c:ser>
          <c:idx val="0"/>
          <c:order val="0"/>
          <c:tx>
            <c:strRef>
              <c:f>q4_8_12_16_25_37_Fig_b!$AS$37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q4_8_12_16_25_37_Fig_b!$AR$38:$AR$42</c15:sqref>
                  </c15:fullRef>
                </c:ext>
              </c:extLst>
              <c:f>q4_8_12_16_25_37_Fig_b!$AR$40</c:f>
              <c:strCache>
                <c:ptCount val="1"/>
                <c:pt idx="0">
                  <c:v>Área Metropolitana de Lisboa</c:v>
                </c:pt>
              </c:strCache>
            </c:strRef>
          </c:cat>
          <c:val>
            <c:numRef>
              <c:extLst>
                <c:ext xmlns:c15="http://schemas.microsoft.com/office/drawing/2012/chart" uri="{02D57815-91ED-43cb-92C2-25804820EDAC}">
                  <c15:fullRef>
                    <c15:sqref>q4_8_12_16_25_37_Fig_b!$AS$38:$AS$44</c15:sqref>
                  </c15:fullRef>
                </c:ext>
              </c:extLst>
              <c:f>q4_8_12_16_25_37_Fig_b!$AS$40</c:f>
              <c:numCache>
                <c:formatCode>#,##0</c:formatCode>
                <c:ptCount val="1"/>
                <c:pt idx="0">
                  <c:v>74147.999999999971</c:v>
                </c:pt>
              </c:numCache>
            </c:numRef>
          </c:val>
          <c:extLst>
            <c:ext xmlns:c16="http://schemas.microsoft.com/office/drawing/2014/chart" uri="{C3380CC4-5D6E-409C-BE32-E72D297353CC}">
              <c16:uniqueId val="{00000000-1D64-4403-A530-3FBD6D985872}"/>
            </c:ext>
          </c:extLst>
        </c:ser>
        <c:ser>
          <c:idx val="1"/>
          <c:order val="1"/>
          <c:tx>
            <c:strRef>
              <c:f>q4_8_12_16_25_37_Fig_b!$AT$37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q4_8_12_16_25_37_Fig_b!$AR$38:$AR$42</c15:sqref>
                  </c15:fullRef>
                </c:ext>
              </c:extLst>
              <c:f>q4_8_12_16_25_37_Fig_b!$AR$40</c:f>
              <c:strCache>
                <c:ptCount val="1"/>
                <c:pt idx="0">
                  <c:v>Área Metropolitana de Lisboa</c:v>
                </c:pt>
              </c:strCache>
            </c:strRef>
          </c:cat>
          <c:val>
            <c:numRef>
              <c:extLst>
                <c:ext xmlns:c15="http://schemas.microsoft.com/office/drawing/2012/chart" uri="{02D57815-91ED-43cb-92C2-25804820EDAC}">
                  <c15:fullRef>
                    <c15:sqref>q4_8_12_16_25_37_Fig_b!$AT$38:$AT$42</c15:sqref>
                  </c15:fullRef>
                </c:ext>
              </c:extLst>
              <c:f>q4_8_12_16_25_37_Fig_b!$AT$40</c:f>
              <c:numCache>
                <c:formatCode>#,##0</c:formatCode>
                <c:ptCount val="1"/>
                <c:pt idx="0">
                  <c:v>87949</c:v>
                </c:pt>
              </c:numCache>
            </c:numRef>
          </c:val>
          <c:extLst>
            <c:ext xmlns:c16="http://schemas.microsoft.com/office/drawing/2014/chart" uri="{C3380CC4-5D6E-409C-BE32-E72D297353CC}">
              <c16:uniqueId val="{00000001-1D64-4403-A530-3FBD6D985872}"/>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majorUnit val="4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q4_8_12_16_25_37_Fig_b!$AR$38:$AR$42</c15:sqref>
                  </c15:fullRef>
                </c:ext>
              </c:extLst>
              <c:f>q4_8_12_16_25_37_Fig_b!$AR$41</c:f>
              <c:strCache>
                <c:ptCount val="1"/>
                <c:pt idx="0">
                  <c:v>Alentejo</c:v>
                </c:pt>
              </c:strCache>
            </c:strRef>
          </c:cat>
          <c:val>
            <c:numRef>
              <c:extLst>
                <c:ext xmlns:c15="http://schemas.microsoft.com/office/drawing/2012/chart" uri="{02D57815-91ED-43cb-92C2-25804820EDAC}">
                  <c15:fullRef>
                    <c15:sqref>q4_8_12_16_25_37_Fig_b!$AS$38:$AS$42</c15:sqref>
                  </c15:fullRef>
                </c:ext>
              </c:extLst>
              <c:f>q4_8_12_16_25_37_Fig_b!$AS$41</c:f>
              <c:numCache>
                <c:formatCode>#,##0</c:formatCode>
                <c:ptCount val="1"/>
                <c:pt idx="0">
                  <c:v>20715.999999999993</c:v>
                </c:pt>
              </c:numCache>
            </c:numRef>
          </c:val>
          <c:extLst>
            <c:ext xmlns:c16="http://schemas.microsoft.com/office/drawing/2014/chart" uri="{C3380CC4-5D6E-409C-BE32-E72D297353CC}">
              <c16:uniqueId val="{00000000-3350-4FFB-901F-76753E841355}"/>
            </c:ext>
          </c:extLst>
        </c:ser>
        <c:ser>
          <c:idx val="1"/>
          <c:order val="1"/>
          <c:tx>
            <c:strRef>
              <c:f>q4_8_12_16_25_37_Fig_b!$AT$37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q4_8_12_16_25_37_Fig_b!$AR$38:$AR$42</c15:sqref>
                  </c15:fullRef>
                </c:ext>
              </c:extLst>
              <c:f>q4_8_12_16_25_37_Fig_b!$AR$41</c:f>
              <c:strCache>
                <c:ptCount val="1"/>
                <c:pt idx="0">
                  <c:v>Alentejo</c:v>
                </c:pt>
              </c:strCache>
            </c:strRef>
          </c:cat>
          <c:val>
            <c:numRef>
              <c:extLst>
                <c:ext xmlns:c15="http://schemas.microsoft.com/office/drawing/2012/chart" uri="{02D57815-91ED-43cb-92C2-25804820EDAC}">
                  <c15:fullRef>
                    <c15:sqref>q4_8_12_16_25_37_Fig_b!$AT$38:$AT$42</c15:sqref>
                  </c15:fullRef>
                </c:ext>
              </c:extLst>
              <c:f>q4_8_12_16_25_37_Fig_b!$AT$41</c:f>
              <c:numCache>
                <c:formatCode>#,##0</c:formatCode>
                <c:ptCount val="1"/>
                <c:pt idx="0">
                  <c:v>24720.000000000004</c:v>
                </c:pt>
              </c:numCache>
            </c:numRef>
          </c:val>
          <c:extLst>
            <c:ext xmlns:c16="http://schemas.microsoft.com/office/drawing/2014/chart" uri="{C3380CC4-5D6E-409C-BE32-E72D297353CC}">
              <c16:uniqueId val="{00000001-3350-4FFB-901F-76753E841355}"/>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min val="0"/>
        </c:scaling>
        <c:delete val="1"/>
        <c:axPos val="l"/>
        <c:numFmt formatCode="#,##0" sourceLinked="1"/>
        <c:majorTickMark val="out"/>
        <c:minorTickMark val="none"/>
        <c:tickLblPos val="nextTo"/>
        <c:crossAx val="636287087"/>
        <c:crosses val="autoZero"/>
        <c:crossBetween val="between"/>
        <c:majorUnit val="50000"/>
        <c:minorUnit val="1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042502433016683"/>
          <c:y val="3.567815386713024E-2"/>
          <c:w val="0.61234267209825088"/>
          <c:h val="0.92049561986569861"/>
        </c:manualLayout>
      </c:layout>
      <c:barChart>
        <c:barDir val="bar"/>
        <c:grouping val="clustered"/>
        <c:varyColors val="0"/>
        <c:ser>
          <c:idx val="0"/>
          <c:order val="0"/>
          <c:tx>
            <c:strRef>
              <c:f>q4_8_12_16_25_37_Fig_b!$AS$7</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q4_8_12_16_25_37_Fig_b!$AR$8:$AR$30</c:f>
              <c:strCache>
                <c:ptCount val="23"/>
                <c:pt idx="0">
                  <c:v>Alto Minho</c:v>
                </c:pt>
                <c:pt idx="1">
                  <c:v>Cávado</c:v>
                </c:pt>
                <c:pt idx="2">
                  <c:v>Ave</c:v>
                </c:pt>
                <c:pt idx="3">
                  <c:v>Área Metropolitana do Porto</c:v>
                </c:pt>
                <c:pt idx="4">
                  <c:v>Alto Tâmega</c:v>
                </c:pt>
                <c:pt idx="5">
                  <c:v>Tâmega e Sousa</c:v>
                </c:pt>
                <c:pt idx="6">
                  <c:v>Douro</c:v>
                </c:pt>
                <c:pt idx="7">
                  <c:v>Terras de Trás-os-Montes</c:v>
                </c:pt>
                <c:pt idx="8">
                  <c:v>Oeste</c:v>
                </c:pt>
                <c:pt idx="9">
                  <c:v>Região de Aveiro</c:v>
                </c:pt>
                <c:pt idx="10">
                  <c:v>Região de Coimbra</c:v>
                </c:pt>
                <c:pt idx="11">
                  <c:v>Região de Leiria</c:v>
                </c:pt>
                <c:pt idx="12">
                  <c:v>Viseu Dão Lafões</c:v>
                </c:pt>
                <c:pt idx="13">
                  <c:v>Beira Baixa</c:v>
                </c:pt>
                <c:pt idx="14">
                  <c:v>Médio Tejo</c:v>
                </c:pt>
                <c:pt idx="15">
                  <c:v>Beiras e Serra da Estrela</c:v>
                </c:pt>
                <c:pt idx="16">
                  <c:v>Área Metropolitana de Lisboa</c:v>
                </c:pt>
                <c:pt idx="17">
                  <c:v>Alentejo Litoral</c:v>
                </c:pt>
                <c:pt idx="18">
                  <c:v>Baixo Alentejo</c:v>
                </c:pt>
                <c:pt idx="19">
                  <c:v>Lezíria do Tejo</c:v>
                </c:pt>
                <c:pt idx="20">
                  <c:v>Alto Alentejo</c:v>
                </c:pt>
                <c:pt idx="21">
                  <c:v>Alentejo Central</c:v>
                </c:pt>
                <c:pt idx="22">
                  <c:v>Algarve</c:v>
                </c:pt>
              </c:strCache>
            </c:strRef>
          </c:cat>
          <c:val>
            <c:numRef>
              <c:f>q4_8_12_16_25_37_Fig_b!$AS$8:$AS$30</c:f>
              <c:numCache>
                <c:formatCode>#,##0</c:formatCode>
                <c:ptCount val="23"/>
                <c:pt idx="0">
                  <c:v>7328</c:v>
                </c:pt>
                <c:pt idx="1">
                  <c:v>15022</c:v>
                </c:pt>
                <c:pt idx="2">
                  <c:v>13685</c:v>
                </c:pt>
                <c:pt idx="3">
                  <c:v>51191</c:v>
                </c:pt>
                <c:pt idx="4">
                  <c:v>2432</c:v>
                </c:pt>
                <c:pt idx="5">
                  <c:v>13342</c:v>
                </c:pt>
                <c:pt idx="6">
                  <c:v>5377</c:v>
                </c:pt>
                <c:pt idx="7">
                  <c:v>3188</c:v>
                </c:pt>
                <c:pt idx="8">
                  <c:v>11570</c:v>
                </c:pt>
                <c:pt idx="9">
                  <c:v>9773</c:v>
                </c:pt>
                <c:pt idx="10">
                  <c:v>10899</c:v>
                </c:pt>
                <c:pt idx="11">
                  <c:v>10282.999999999996</c:v>
                </c:pt>
                <c:pt idx="12">
                  <c:v>7294</c:v>
                </c:pt>
                <c:pt idx="13">
                  <c:v>2138</c:v>
                </c:pt>
                <c:pt idx="14">
                  <c:v>6526.9999999999991</c:v>
                </c:pt>
                <c:pt idx="15">
                  <c:v>5676</c:v>
                </c:pt>
                <c:pt idx="16">
                  <c:v>74147.999999999971</c:v>
                </c:pt>
                <c:pt idx="17">
                  <c:v>2837</c:v>
                </c:pt>
                <c:pt idx="18">
                  <c:v>3881</c:v>
                </c:pt>
                <c:pt idx="19">
                  <c:v>6181</c:v>
                </c:pt>
                <c:pt idx="20">
                  <c:v>2787</c:v>
                </c:pt>
                <c:pt idx="21">
                  <c:v>5030</c:v>
                </c:pt>
                <c:pt idx="22">
                  <c:v>18173.999999999996</c:v>
                </c:pt>
              </c:numCache>
            </c:numRef>
          </c:val>
          <c:extLst>
            <c:ext xmlns:c16="http://schemas.microsoft.com/office/drawing/2014/chart" uri="{C3380CC4-5D6E-409C-BE32-E72D297353CC}">
              <c16:uniqueId val="{00000000-8DB6-4DE3-A7DF-8F6155F69295}"/>
            </c:ext>
          </c:extLst>
        </c:ser>
        <c:ser>
          <c:idx val="1"/>
          <c:order val="1"/>
          <c:tx>
            <c:strRef>
              <c:f>q4_8_12_16_25_37_Fig_b!$AT$7</c:f>
              <c:strCache>
                <c:ptCount val="1"/>
                <c:pt idx="0">
                  <c:v>Estabelecimentos</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q4_8_12_16_25_37_Fig_b!$AR$8:$AR$30</c:f>
              <c:strCache>
                <c:ptCount val="23"/>
                <c:pt idx="0">
                  <c:v>Alto Minho</c:v>
                </c:pt>
                <c:pt idx="1">
                  <c:v>Cávado</c:v>
                </c:pt>
                <c:pt idx="2">
                  <c:v>Ave</c:v>
                </c:pt>
                <c:pt idx="3">
                  <c:v>Área Metropolitana do Porto</c:v>
                </c:pt>
                <c:pt idx="4">
                  <c:v>Alto Tâmega</c:v>
                </c:pt>
                <c:pt idx="5">
                  <c:v>Tâmega e Sousa</c:v>
                </c:pt>
                <c:pt idx="6">
                  <c:v>Douro</c:v>
                </c:pt>
                <c:pt idx="7">
                  <c:v>Terras de Trás-os-Montes</c:v>
                </c:pt>
                <c:pt idx="8">
                  <c:v>Oeste</c:v>
                </c:pt>
                <c:pt idx="9">
                  <c:v>Região de Aveiro</c:v>
                </c:pt>
                <c:pt idx="10">
                  <c:v>Região de Coimbra</c:v>
                </c:pt>
                <c:pt idx="11">
                  <c:v>Região de Leiria</c:v>
                </c:pt>
                <c:pt idx="12">
                  <c:v>Viseu Dão Lafões</c:v>
                </c:pt>
                <c:pt idx="13">
                  <c:v>Beira Baixa</c:v>
                </c:pt>
                <c:pt idx="14">
                  <c:v>Médio Tejo</c:v>
                </c:pt>
                <c:pt idx="15">
                  <c:v>Beiras e Serra da Estrela</c:v>
                </c:pt>
                <c:pt idx="16">
                  <c:v>Área Metropolitana de Lisboa</c:v>
                </c:pt>
                <c:pt idx="17">
                  <c:v>Alentejo Litoral</c:v>
                </c:pt>
                <c:pt idx="18">
                  <c:v>Baixo Alentejo</c:v>
                </c:pt>
                <c:pt idx="19">
                  <c:v>Lezíria do Tejo</c:v>
                </c:pt>
                <c:pt idx="20">
                  <c:v>Alto Alentejo</c:v>
                </c:pt>
                <c:pt idx="21">
                  <c:v>Alentejo Central</c:v>
                </c:pt>
                <c:pt idx="22">
                  <c:v>Algarve</c:v>
                </c:pt>
              </c:strCache>
            </c:strRef>
          </c:cat>
          <c:val>
            <c:numRef>
              <c:f>q4_8_12_16_25_37_Fig_b!$AT$8:$AT$30</c:f>
              <c:numCache>
                <c:formatCode>#,##0</c:formatCode>
                <c:ptCount val="23"/>
                <c:pt idx="0">
                  <c:v>8424</c:v>
                </c:pt>
                <c:pt idx="1">
                  <c:v>16874</c:v>
                </c:pt>
                <c:pt idx="2">
                  <c:v>15255</c:v>
                </c:pt>
                <c:pt idx="3">
                  <c:v>59738.999999999993</c:v>
                </c:pt>
                <c:pt idx="4">
                  <c:v>2794</c:v>
                </c:pt>
                <c:pt idx="5">
                  <c:v>14547</c:v>
                </c:pt>
                <c:pt idx="6">
                  <c:v>6331</c:v>
                </c:pt>
                <c:pt idx="7">
                  <c:v>3712</c:v>
                </c:pt>
                <c:pt idx="8">
                  <c:v>13413</c:v>
                </c:pt>
                <c:pt idx="9">
                  <c:v>11509.999999999998</c:v>
                </c:pt>
                <c:pt idx="10">
                  <c:v>13262.000000000002</c:v>
                </c:pt>
                <c:pt idx="11">
                  <c:v>11964</c:v>
                </c:pt>
                <c:pt idx="12">
                  <c:v>8583</c:v>
                </c:pt>
                <c:pt idx="13">
                  <c:v>2592</c:v>
                </c:pt>
                <c:pt idx="14">
                  <c:v>7741.9999999999982</c:v>
                </c:pt>
                <c:pt idx="15">
                  <c:v>6656</c:v>
                </c:pt>
                <c:pt idx="16">
                  <c:v>87949</c:v>
                </c:pt>
                <c:pt idx="17">
                  <c:v>3421</c:v>
                </c:pt>
                <c:pt idx="18">
                  <c:v>4522</c:v>
                </c:pt>
                <c:pt idx="19">
                  <c:v>7367.9999999999991</c:v>
                </c:pt>
                <c:pt idx="20">
                  <c:v>3351.0000000000005</c:v>
                </c:pt>
                <c:pt idx="21">
                  <c:v>6058</c:v>
                </c:pt>
                <c:pt idx="22">
                  <c:v>21958.999999999996</c:v>
                </c:pt>
              </c:numCache>
            </c:numRef>
          </c:val>
          <c:extLst>
            <c:ext xmlns:c16="http://schemas.microsoft.com/office/drawing/2014/chart" uri="{C3380CC4-5D6E-409C-BE32-E72D297353CC}">
              <c16:uniqueId val="{00000001-8DB6-4DE3-A7DF-8F6155F69295}"/>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ax val="150000"/>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1213051209"/>
          <c:y val="0.8958285000206182"/>
          <c:w val="0.33981512399659702"/>
          <c:h val="7.6847968932930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070158953761786"/>
          <c:y val="4.5634486448533823E-2"/>
          <c:w val="0.57859682092476428"/>
          <c:h val="0.90416757845807894"/>
        </c:manualLayout>
      </c:layout>
      <c:barChart>
        <c:barDir val="col"/>
        <c:grouping val="clustered"/>
        <c:varyColors val="0"/>
        <c:ser>
          <c:idx val="0"/>
          <c:order val="0"/>
          <c:tx>
            <c:strRef>
              <c:f>q4_8_12_16_25_37_Fig_b!$BN$37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q4_8_12_16_25_37_Fig_b!$BM$38:$BM$42</c15:sqref>
                  </c15:fullRef>
                </c:ext>
              </c:extLst>
              <c:f>q4_8_12_16_25_37_Fig_b!$BM$42</c:f>
              <c:strCache>
                <c:ptCount val="1"/>
                <c:pt idx="0">
                  <c:v>Algarve</c:v>
                </c:pt>
              </c:strCache>
            </c:strRef>
          </c:cat>
          <c:val>
            <c:numRef>
              <c:extLst>
                <c:ext xmlns:c15="http://schemas.microsoft.com/office/drawing/2012/chart" uri="{02D57815-91ED-43cb-92C2-25804820EDAC}">
                  <c15:fullRef>
                    <c15:sqref>q4_8_12_16_25_37_Fig_b!$BN$38:$BN$42</c15:sqref>
                  </c15:fullRef>
                </c:ext>
              </c:extLst>
              <c:f>q4_8_12_16_25_37_Fig_b!$BN$42</c:f>
              <c:numCache>
                <c:formatCode>#,##0</c:formatCode>
                <c:ptCount val="1"/>
                <c:pt idx="0">
                  <c:v>184098.99999999997</c:v>
                </c:pt>
              </c:numCache>
            </c:numRef>
          </c:val>
          <c:extLst>
            <c:ext xmlns:c16="http://schemas.microsoft.com/office/drawing/2014/chart" uri="{C3380CC4-5D6E-409C-BE32-E72D297353CC}">
              <c16:uniqueId val="{00000000-3370-47E6-801E-4D21D07AFDE4}"/>
            </c:ext>
          </c:extLst>
        </c:ser>
        <c:ser>
          <c:idx val="1"/>
          <c:order val="1"/>
          <c:tx>
            <c:strRef>
              <c:f>q4_8_12_16_25_37_Fig_b!$BO$37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q4_8_12_16_25_37_Fig_b!$BM$38:$BM$42</c15:sqref>
                  </c15:fullRef>
                </c:ext>
              </c:extLst>
              <c:f>q4_8_12_16_25_37_Fig_b!$BM$42</c:f>
              <c:strCache>
                <c:ptCount val="1"/>
                <c:pt idx="0">
                  <c:v>Algarve</c:v>
                </c:pt>
              </c:strCache>
            </c:strRef>
          </c:cat>
          <c:val>
            <c:numRef>
              <c:extLst>
                <c:ext xmlns:c15="http://schemas.microsoft.com/office/drawing/2012/chart" uri="{02D57815-91ED-43cb-92C2-25804820EDAC}">
                  <c15:fullRef>
                    <c15:sqref>q4_8_12_16_25_37_Fig_b!$BO$38:$BO$42</c15:sqref>
                  </c15:fullRef>
                </c:ext>
              </c:extLst>
              <c:f>q4_8_12_16_25_37_Fig_b!$BO$42</c:f>
              <c:numCache>
                <c:formatCode>#,##0</c:formatCode>
                <c:ptCount val="1"/>
                <c:pt idx="0">
                  <c:v>172373</c:v>
                </c:pt>
              </c:numCache>
            </c:numRef>
          </c:val>
          <c:extLst>
            <c:ext xmlns:c16="http://schemas.microsoft.com/office/drawing/2014/chart" uri="{C3380CC4-5D6E-409C-BE32-E72D297353CC}">
              <c16:uniqueId val="{00000001-3370-47E6-801E-4D21D07AFDE4}"/>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4284834044189"/>
          <c:y val="0"/>
          <c:w val="0.60514303319116225"/>
          <c:h val="0.97656984354374654"/>
        </c:manualLayout>
      </c:layout>
      <c:barChart>
        <c:barDir val="col"/>
        <c:grouping val="clustered"/>
        <c:varyColors val="0"/>
        <c:ser>
          <c:idx val="0"/>
          <c:order val="0"/>
          <c:tx>
            <c:strRef>
              <c:f>q4_8_12_16_25_37_Fig_b!$BN$37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q4_8_12_16_25_37_Fig_b!$BM$38:$BM$42</c15:sqref>
                  </c15:fullRef>
                </c:ext>
              </c:extLst>
              <c:f>q4_8_12_16_25_37_Fig_b!$BM$41</c:f>
              <c:strCache>
                <c:ptCount val="1"/>
                <c:pt idx="0">
                  <c:v>Alentejo</c:v>
                </c:pt>
              </c:strCache>
            </c:strRef>
          </c:cat>
          <c:val>
            <c:numRef>
              <c:extLst>
                <c:ext xmlns:c15="http://schemas.microsoft.com/office/drawing/2012/chart" uri="{02D57815-91ED-43cb-92C2-25804820EDAC}">
                  <c15:fullRef>
                    <c15:sqref>q4_8_12_16_25_37_Fig_b!$BN$38:$BN$42</c15:sqref>
                  </c15:fullRef>
                </c:ext>
              </c:extLst>
              <c:f>q4_8_12_16_25_37_Fig_b!$BN$41</c:f>
              <c:numCache>
                <c:formatCode>#,##0</c:formatCode>
                <c:ptCount val="1"/>
                <c:pt idx="0">
                  <c:v>214388.99999999997</c:v>
                </c:pt>
              </c:numCache>
            </c:numRef>
          </c:val>
          <c:extLst>
            <c:ext xmlns:c16="http://schemas.microsoft.com/office/drawing/2014/chart" uri="{C3380CC4-5D6E-409C-BE32-E72D297353CC}">
              <c16:uniqueId val="{00000000-EEE3-4C5E-B828-9719A888DFD1}"/>
            </c:ext>
          </c:extLst>
        </c:ser>
        <c:ser>
          <c:idx val="1"/>
          <c:order val="1"/>
          <c:tx>
            <c:strRef>
              <c:f>q4_8_12_16_25_37_Fig_b!$BO$37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q4_8_12_16_25_37_Fig_b!$BM$38:$BM$42</c15:sqref>
                  </c15:fullRef>
                </c:ext>
              </c:extLst>
              <c:f>q4_8_12_16_25_37_Fig_b!$BM$41</c:f>
              <c:strCache>
                <c:ptCount val="1"/>
                <c:pt idx="0">
                  <c:v>Alentejo</c:v>
                </c:pt>
              </c:strCache>
            </c:strRef>
          </c:cat>
          <c:val>
            <c:numRef>
              <c:extLst>
                <c:ext xmlns:c15="http://schemas.microsoft.com/office/drawing/2012/chart" uri="{02D57815-91ED-43cb-92C2-25804820EDAC}">
                  <c15:fullRef>
                    <c15:sqref>q4_8_12_16_25_37_Fig_b!$BO$38:$BO$42</c15:sqref>
                  </c15:fullRef>
                </c:ext>
              </c:extLst>
              <c:f>q4_8_12_16_25_37_Fig_b!$BO$41</c:f>
              <c:numCache>
                <c:formatCode>#,##0</c:formatCode>
                <c:ptCount val="1"/>
                <c:pt idx="0">
                  <c:v>203132.99999999997</c:v>
                </c:pt>
              </c:numCache>
            </c:numRef>
          </c:val>
          <c:extLst>
            <c:ext xmlns:c16="http://schemas.microsoft.com/office/drawing/2014/chart" uri="{C3380CC4-5D6E-409C-BE32-E72D297353CC}">
              <c16:uniqueId val="{00000001-EEE3-4C5E-B828-9719A888DFD1}"/>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q4_8_12_16_25_37_Fig_b!$BM$38:$BM$42</c15:sqref>
                  </c15:fullRef>
                </c:ext>
              </c:extLst>
              <c:f>q4_8_12_16_25_37_Fig_b!$BM$39</c:f>
              <c:strCache>
                <c:ptCount val="1"/>
                <c:pt idx="0">
                  <c:v>Centro</c:v>
                </c:pt>
              </c:strCache>
            </c:strRef>
          </c:cat>
          <c:val>
            <c:numRef>
              <c:extLst>
                <c:ext xmlns:c15="http://schemas.microsoft.com/office/drawing/2012/chart" uri="{02D57815-91ED-43cb-92C2-25804820EDAC}">
                  <c15:fullRef>
                    <c15:sqref>q4_8_12_16_25_37_Fig_b!$BN$38:$BN$42</c15:sqref>
                  </c15:fullRef>
                </c:ext>
              </c:extLst>
              <c:f>q4_8_12_16_25_37_Fig_b!$BN$39</c:f>
              <c:numCache>
                <c:formatCode>#,##0</c:formatCode>
                <c:ptCount val="1"/>
                <c:pt idx="0">
                  <c:v>702764.00000000035</c:v>
                </c:pt>
              </c:numCache>
            </c:numRef>
          </c:val>
          <c:extLst>
            <c:ext xmlns:c16="http://schemas.microsoft.com/office/drawing/2014/chart" uri="{C3380CC4-5D6E-409C-BE32-E72D297353CC}">
              <c16:uniqueId val="{00000000-2CAD-430F-9AD0-0549C6C1B87B}"/>
            </c:ext>
          </c:extLst>
        </c:ser>
        <c:ser>
          <c:idx val="1"/>
          <c:order val="1"/>
          <c:tx>
            <c:strRef>
              <c:f>q4_8_12_16_25_37_Fig_b!$BO$37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q4_8_12_16_25_37_Fig_b!$BM$38:$BM$42</c15:sqref>
                  </c15:fullRef>
                </c:ext>
              </c:extLst>
              <c:f>q4_8_12_16_25_37_Fig_b!$BM$39</c:f>
              <c:strCache>
                <c:ptCount val="1"/>
                <c:pt idx="0">
                  <c:v>Centro</c:v>
                </c:pt>
              </c:strCache>
            </c:strRef>
          </c:cat>
          <c:val>
            <c:numRef>
              <c:extLst>
                <c:ext xmlns:c15="http://schemas.microsoft.com/office/drawing/2012/chart" uri="{02D57815-91ED-43cb-92C2-25804820EDAC}">
                  <c15:fullRef>
                    <c15:sqref>q4_8_12_16_25_37_Fig_b!$BO$38:$BO$42</c15:sqref>
                  </c15:fullRef>
                </c:ext>
              </c:extLst>
              <c:f>q4_8_12_16_25_37_Fig_b!$BO$39</c:f>
              <c:numCache>
                <c:formatCode>#,##0</c:formatCode>
                <c:ptCount val="1"/>
                <c:pt idx="0">
                  <c:v>657790.99999999965</c:v>
                </c:pt>
              </c:numCache>
            </c:numRef>
          </c:val>
          <c:extLst>
            <c:ext xmlns:c16="http://schemas.microsoft.com/office/drawing/2014/chart" uri="{C3380CC4-5D6E-409C-BE32-E72D297353CC}">
              <c16:uniqueId val="{00000001-2CAD-430F-9AD0-0549C6C1B87B}"/>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q4_8_12_16_25_37_Fig_b!$BM$38:$BM$42</c15:sqref>
                  </c15:fullRef>
                </c:ext>
              </c:extLst>
              <c:f>q4_8_12_16_25_37_Fig_b!$BM$38</c:f>
              <c:strCache>
                <c:ptCount val="1"/>
                <c:pt idx="0">
                  <c:v>Norte</c:v>
                </c:pt>
              </c:strCache>
            </c:strRef>
          </c:cat>
          <c:val>
            <c:numRef>
              <c:extLst>
                <c:ext xmlns:c15="http://schemas.microsoft.com/office/drawing/2012/chart" uri="{02D57815-91ED-43cb-92C2-25804820EDAC}">
                  <c15:fullRef>
                    <c15:sqref>q4_8_12_16_25_37_Fig_b!$BN$38:$BN$42</c15:sqref>
                  </c15:fullRef>
                </c:ext>
              </c:extLst>
              <c:f>q4_8_12_16_25_37_Fig_b!$BN$38</c:f>
              <c:numCache>
                <c:formatCode>#,##0</c:formatCode>
                <c:ptCount val="1"/>
                <c:pt idx="0">
                  <c:v>1269596.0000000002</c:v>
                </c:pt>
              </c:numCache>
            </c:numRef>
          </c:val>
          <c:extLst>
            <c:ext xmlns:c16="http://schemas.microsoft.com/office/drawing/2014/chart" uri="{C3380CC4-5D6E-409C-BE32-E72D297353CC}">
              <c16:uniqueId val="{00000000-49E6-4D15-A94D-41512E1D986C}"/>
            </c:ext>
          </c:extLst>
        </c:ser>
        <c:ser>
          <c:idx val="1"/>
          <c:order val="1"/>
          <c:tx>
            <c:strRef>
              <c:f>q4_8_12_16_25_37_Fig_b!$BO$37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q4_8_12_16_25_37_Fig_b!$BM$38:$BM$42</c15:sqref>
                  </c15:fullRef>
                </c:ext>
              </c:extLst>
              <c:f>q4_8_12_16_25_37_Fig_b!$BM$38</c:f>
              <c:strCache>
                <c:ptCount val="1"/>
                <c:pt idx="0">
                  <c:v>Norte</c:v>
                </c:pt>
              </c:strCache>
            </c:strRef>
          </c:cat>
          <c:val>
            <c:numRef>
              <c:extLst>
                <c:ext xmlns:c15="http://schemas.microsoft.com/office/drawing/2012/chart" uri="{02D57815-91ED-43cb-92C2-25804820EDAC}">
                  <c15:fullRef>
                    <c15:sqref>q4_8_12_16_25_37_Fig_b!$BO$38:$BO$42</c15:sqref>
                  </c15:fullRef>
                </c:ext>
              </c:extLst>
              <c:f>q4_8_12_16_25_37_Fig_b!$BO$38</c:f>
              <c:numCache>
                <c:formatCode>#,##0</c:formatCode>
                <c:ptCount val="1"/>
                <c:pt idx="0">
                  <c:v>1196817.9999999998</c:v>
                </c:pt>
              </c:numCache>
            </c:numRef>
          </c:val>
          <c:extLst>
            <c:ext xmlns:c16="http://schemas.microsoft.com/office/drawing/2014/chart" uri="{C3380CC4-5D6E-409C-BE32-E72D297353CC}">
              <c16:uniqueId val="{00000001-49E6-4D15-A94D-41512E1D986C}"/>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q4_8_12_16_25_37_Fig_b!$BM$38:$BM$42</c15:sqref>
                  </c15:fullRef>
                </c:ext>
              </c:extLst>
              <c:f>q4_8_12_16_25_37_Fig_b!$BM$40</c:f>
              <c:strCache>
                <c:ptCount val="1"/>
                <c:pt idx="0">
                  <c:v>Área Metropolitana de Lisboa</c:v>
                </c:pt>
              </c:strCache>
            </c:strRef>
          </c:cat>
          <c:val>
            <c:numRef>
              <c:extLst>
                <c:ext xmlns:c15="http://schemas.microsoft.com/office/drawing/2012/chart" uri="{02D57815-91ED-43cb-92C2-25804820EDAC}">
                  <c15:fullRef>
                    <c15:sqref>q4_8_12_16_25_37_Fig_b!$BN$38:$BN$42</c15:sqref>
                  </c15:fullRef>
                </c:ext>
              </c:extLst>
              <c:f>q4_8_12_16_25_37_Fig_b!$BN$40</c:f>
              <c:numCache>
                <c:formatCode>#,##0</c:formatCode>
                <c:ptCount val="1"/>
                <c:pt idx="0">
                  <c:v>1174107</c:v>
                </c:pt>
              </c:numCache>
            </c:numRef>
          </c:val>
          <c:extLst>
            <c:ext xmlns:c16="http://schemas.microsoft.com/office/drawing/2014/chart" uri="{C3380CC4-5D6E-409C-BE32-E72D297353CC}">
              <c16:uniqueId val="{00000000-E286-4CE5-A4E7-8D7F61F0FBB1}"/>
            </c:ext>
          </c:extLst>
        </c:ser>
        <c:ser>
          <c:idx val="1"/>
          <c:order val="1"/>
          <c:tx>
            <c:strRef>
              <c:f>q4_8_12_16_25_37_Fig_b!$BO$37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q4_8_12_16_25_37_Fig_b!$BM$38:$BM$42</c15:sqref>
                  </c15:fullRef>
                </c:ext>
              </c:extLst>
              <c:f>q4_8_12_16_25_37_Fig_b!$BM$40</c:f>
              <c:strCache>
                <c:ptCount val="1"/>
                <c:pt idx="0">
                  <c:v>Área Metropolitana de Lisboa</c:v>
                </c:pt>
              </c:strCache>
            </c:strRef>
          </c:cat>
          <c:val>
            <c:numRef>
              <c:extLst>
                <c:ext xmlns:c15="http://schemas.microsoft.com/office/drawing/2012/chart" uri="{02D57815-91ED-43cb-92C2-25804820EDAC}">
                  <c15:fullRef>
                    <c15:sqref>q4_8_12_16_25_37_Fig_b!$BO$38:$BO$42</c15:sqref>
                  </c15:fullRef>
                </c:ext>
              </c:extLst>
              <c:f>q4_8_12_16_25_37_Fig_b!$BO$40</c:f>
              <c:numCache>
                <c:formatCode>#,##0</c:formatCode>
                <c:ptCount val="1"/>
                <c:pt idx="0">
                  <c:v>1124021</c:v>
                </c:pt>
              </c:numCache>
            </c:numRef>
          </c:val>
          <c:extLst>
            <c:ext xmlns:c16="http://schemas.microsoft.com/office/drawing/2014/chart" uri="{C3380CC4-5D6E-409C-BE32-E72D297353CC}">
              <c16:uniqueId val="{00000001-E286-4CE5-A4E7-8D7F61F0FBB1}"/>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042502433016683"/>
          <c:y val="3.567815386713024E-2"/>
          <c:w val="0.61234267209825088"/>
          <c:h val="0.92049561986569861"/>
        </c:manualLayout>
      </c:layout>
      <c:barChart>
        <c:barDir val="bar"/>
        <c:grouping val="clustered"/>
        <c:varyColors val="0"/>
        <c:ser>
          <c:idx val="0"/>
          <c:order val="0"/>
          <c:tx>
            <c:strRef>
              <c:f>q4_8_12_16_25_37_Fig_b!$BN$7</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q4_8_12_16_25_37_Fig_b!$BM$8:$BM$30</c:f>
              <c:strCache>
                <c:ptCount val="23"/>
                <c:pt idx="0">
                  <c:v>Alto Minho</c:v>
                </c:pt>
                <c:pt idx="1">
                  <c:v>Cávado</c:v>
                </c:pt>
                <c:pt idx="2">
                  <c:v>Ave</c:v>
                </c:pt>
                <c:pt idx="3">
                  <c:v>Área Metropolitana do Porto</c:v>
                </c:pt>
                <c:pt idx="4">
                  <c:v>Alto Tâmega</c:v>
                </c:pt>
                <c:pt idx="5">
                  <c:v>Tâmega e Sousa</c:v>
                </c:pt>
                <c:pt idx="6">
                  <c:v>Douro</c:v>
                </c:pt>
                <c:pt idx="7">
                  <c:v>Terras de Trás-os-Montes</c:v>
                </c:pt>
                <c:pt idx="8">
                  <c:v>Oeste</c:v>
                </c:pt>
                <c:pt idx="9">
                  <c:v>Região de Aveiro</c:v>
                </c:pt>
                <c:pt idx="10">
                  <c:v>Região de Coimbra</c:v>
                </c:pt>
                <c:pt idx="11">
                  <c:v>Região de Leiria</c:v>
                </c:pt>
                <c:pt idx="12">
                  <c:v>Viseu Dão Lafões</c:v>
                </c:pt>
                <c:pt idx="13">
                  <c:v>Beira Baixa</c:v>
                </c:pt>
                <c:pt idx="14">
                  <c:v>Médio Tejo</c:v>
                </c:pt>
                <c:pt idx="15">
                  <c:v>Beiras e Serra da Estrela</c:v>
                </c:pt>
                <c:pt idx="16">
                  <c:v>Área Metropolitana de Lisboa</c:v>
                </c:pt>
                <c:pt idx="17">
                  <c:v>Alentejo Litoral</c:v>
                </c:pt>
                <c:pt idx="18">
                  <c:v>Baixo Alentejo</c:v>
                </c:pt>
                <c:pt idx="19">
                  <c:v>Lezíria do Tejo</c:v>
                </c:pt>
                <c:pt idx="20">
                  <c:v>Alto Alentejo</c:v>
                </c:pt>
                <c:pt idx="21">
                  <c:v>Alentejo Central</c:v>
                </c:pt>
                <c:pt idx="22">
                  <c:v>Algarve</c:v>
                </c:pt>
              </c:strCache>
            </c:strRef>
          </c:cat>
          <c:val>
            <c:numRef>
              <c:f>q4_8_12_16_25_37_Fig_b!$BN$8:$BN$30</c:f>
              <c:numCache>
                <c:formatCode>#,##0</c:formatCode>
                <c:ptCount val="23"/>
                <c:pt idx="0">
                  <c:v>73222</c:v>
                </c:pt>
                <c:pt idx="1">
                  <c:v>160991</c:v>
                </c:pt>
                <c:pt idx="2">
                  <c:v>149150.00000000003</c:v>
                </c:pt>
                <c:pt idx="3">
                  <c:v>666772</c:v>
                </c:pt>
                <c:pt idx="4">
                  <c:v>17027</c:v>
                </c:pt>
                <c:pt idx="5">
                  <c:v>137932</c:v>
                </c:pt>
                <c:pt idx="6">
                  <c:v>42955</c:v>
                </c:pt>
                <c:pt idx="7">
                  <c:v>21547</c:v>
                </c:pt>
                <c:pt idx="8">
                  <c:v>112479</c:v>
                </c:pt>
                <c:pt idx="9">
                  <c:v>139173</c:v>
                </c:pt>
                <c:pt idx="10">
                  <c:v>125294.99999999997</c:v>
                </c:pt>
                <c:pt idx="11">
                  <c:v>111125.99999999999</c:v>
                </c:pt>
                <c:pt idx="12">
                  <c:v>79469</c:v>
                </c:pt>
                <c:pt idx="13">
                  <c:v>19323</c:v>
                </c:pt>
                <c:pt idx="14">
                  <c:v>64247.999999999993</c:v>
                </c:pt>
                <c:pt idx="15">
                  <c:v>51650.999999999993</c:v>
                </c:pt>
                <c:pt idx="16">
                  <c:v>1174107</c:v>
                </c:pt>
                <c:pt idx="17">
                  <c:v>36011</c:v>
                </c:pt>
                <c:pt idx="18">
                  <c:v>33016.999999999993</c:v>
                </c:pt>
                <c:pt idx="19">
                  <c:v>76658</c:v>
                </c:pt>
                <c:pt idx="20">
                  <c:v>23829.999999999996</c:v>
                </c:pt>
                <c:pt idx="21">
                  <c:v>44873</c:v>
                </c:pt>
                <c:pt idx="22">
                  <c:v>184098.99999999997</c:v>
                </c:pt>
              </c:numCache>
            </c:numRef>
          </c:val>
          <c:extLst>
            <c:ext xmlns:c16="http://schemas.microsoft.com/office/drawing/2014/chart" uri="{C3380CC4-5D6E-409C-BE32-E72D297353CC}">
              <c16:uniqueId val="{00000000-FCFC-4B13-B963-66702C176ABA}"/>
            </c:ext>
          </c:extLst>
        </c:ser>
        <c:ser>
          <c:idx val="1"/>
          <c:order val="1"/>
          <c:tx>
            <c:strRef>
              <c:f>q4_8_12_16_25_37_Fig_b!$BO$7</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q4_8_12_16_25_37_Fig_b!$BM$8:$BM$30</c:f>
              <c:strCache>
                <c:ptCount val="23"/>
                <c:pt idx="0">
                  <c:v>Alto Minho</c:v>
                </c:pt>
                <c:pt idx="1">
                  <c:v>Cávado</c:v>
                </c:pt>
                <c:pt idx="2">
                  <c:v>Ave</c:v>
                </c:pt>
                <c:pt idx="3">
                  <c:v>Área Metropolitana do Porto</c:v>
                </c:pt>
                <c:pt idx="4">
                  <c:v>Alto Tâmega</c:v>
                </c:pt>
                <c:pt idx="5">
                  <c:v>Tâmega e Sousa</c:v>
                </c:pt>
                <c:pt idx="6">
                  <c:v>Douro</c:v>
                </c:pt>
                <c:pt idx="7">
                  <c:v>Terras de Trás-os-Montes</c:v>
                </c:pt>
                <c:pt idx="8">
                  <c:v>Oeste</c:v>
                </c:pt>
                <c:pt idx="9">
                  <c:v>Região de Aveiro</c:v>
                </c:pt>
                <c:pt idx="10">
                  <c:v>Região de Coimbra</c:v>
                </c:pt>
                <c:pt idx="11">
                  <c:v>Região de Leiria</c:v>
                </c:pt>
                <c:pt idx="12">
                  <c:v>Viseu Dão Lafões</c:v>
                </c:pt>
                <c:pt idx="13">
                  <c:v>Beira Baixa</c:v>
                </c:pt>
                <c:pt idx="14">
                  <c:v>Médio Tejo</c:v>
                </c:pt>
                <c:pt idx="15">
                  <c:v>Beiras e Serra da Estrela</c:v>
                </c:pt>
                <c:pt idx="16">
                  <c:v>Área Metropolitana de Lisboa</c:v>
                </c:pt>
                <c:pt idx="17">
                  <c:v>Alentejo Litoral</c:v>
                </c:pt>
                <c:pt idx="18">
                  <c:v>Baixo Alentejo</c:v>
                </c:pt>
                <c:pt idx="19">
                  <c:v>Lezíria do Tejo</c:v>
                </c:pt>
                <c:pt idx="20">
                  <c:v>Alto Alentejo</c:v>
                </c:pt>
                <c:pt idx="21">
                  <c:v>Alentejo Central</c:v>
                </c:pt>
                <c:pt idx="22">
                  <c:v>Algarve</c:v>
                </c:pt>
              </c:strCache>
            </c:strRef>
          </c:cat>
          <c:val>
            <c:numRef>
              <c:f>q4_8_12_16_25_37_Fig_b!$BO$8:$BO$30</c:f>
              <c:numCache>
                <c:formatCode>#,##0</c:formatCode>
                <c:ptCount val="23"/>
                <c:pt idx="0">
                  <c:v>68763</c:v>
                </c:pt>
                <c:pt idx="1">
                  <c:v>150659</c:v>
                </c:pt>
                <c:pt idx="2">
                  <c:v>140354</c:v>
                </c:pt>
                <c:pt idx="3">
                  <c:v>631342.00000000012</c:v>
                </c:pt>
                <c:pt idx="4">
                  <c:v>15712.999999999998</c:v>
                </c:pt>
                <c:pt idx="5">
                  <c:v>130073</c:v>
                </c:pt>
                <c:pt idx="6">
                  <c:v>40207</c:v>
                </c:pt>
                <c:pt idx="7">
                  <c:v>19707</c:v>
                </c:pt>
                <c:pt idx="8">
                  <c:v>104588.00000000001</c:v>
                </c:pt>
                <c:pt idx="9">
                  <c:v>131216</c:v>
                </c:pt>
                <c:pt idx="10">
                  <c:v>117601.00000000003</c:v>
                </c:pt>
                <c:pt idx="11">
                  <c:v>103510</c:v>
                </c:pt>
                <c:pt idx="12">
                  <c:v>74675</c:v>
                </c:pt>
                <c:pt idx="13">
                  <c:v>18069.000000000004</c:v>
                </c:pt>
                <c:pt idx="14">
                  <c:v>59580.999999999993</c:v>
                </c:pt>
                <c:pt idx="15">
                  <c:v>48551</c:v>
                </c:pt>
                <c:pt idx="16">
                  <c:v>1124021</c:v>
                </c:pt>
                <c:pt idx="17">
                  <c:v>34505</c:v>
                </c:pt>
                <c:pt idx="18">
                  <c:v>31283.999999999996</c:v>
                </c:pt>
                <c:pt idx="19">
                  <c:v>72771</c:v>
                </c:pt>
                <c:pt idx="20">
                  <c:v>22423</c:v>
                </c:pt>
                <c:pt idx="21">
                  <c:v>42150</c:v>
                </c:pt>
                <c:pt idx="22">
                  <c:v>172373</c:v>
                </c:pt>
              </c:numCache>
            </c:numRef>
          </c:val>
          <c:extLst>
            <c:ext xmlns:c16="http://schemas.microsoft.com/office/drawing/2014/chart" uri="{C3380CC4-5D6E-409C-BE32-E72D297353CC}">
              <c16:uniqueId val="{00000001-FCFC-4B13-B963-66702C176ABA}"/>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ax val="1500000"/>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1213051209"/>
          <c:y val="0.8958285000206182"/>
          <c:w val="0.33981512399659702"/>
          <c:h val="7.6847968932930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[Dashboard_seriesqp_2014_2024.xlsx]q22_q34_Fig!Tabela Dinâmica1</c:name>
    <c:fmtId val="8"/>
  </c:pivotSource>
  <c:chart>
    <c:autoTitleDeleted val="1"/>
    <c:pivotFmts>
      <c:pivotFmt>
        <c:idx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clip" horzOverflow="clip"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clip" horzOverflow="clip"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4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horzOverflow="clip" vert="horz" wrap="square" lIns="38100" tIns="36000" rIns="38100" bIns="3600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4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8"/>
      </c:pivotFmt>
      <c:pivotFmt>
        <c:idx val="4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clip" horzOverflow="clip"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clip" horzOverflow="clip"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8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8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8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9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6"/>
        <c:spPr>
          <a:gradFill>
            <a:gsLst>
              <a:gs pos="0">
                <a:schemeClr val="accent1"/>
              </a:gs>
              <a:gs pos="100000">
                <a:schemeClr val="accent1">
                  <a:lumMod val="84000"/>
                </a:schemeClr>
              </a:gs>
            </a:gsLst>
            <a:lin ang="5400000" scaled="1"/>
          </a:gradFill>
          <a:ln>
            <a:noFill/>
          </a:ln>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7"/>
        <c:spPr>
          <a:gradFill>
            <a:gsLst>
              <a:gs pos="0">
                <a:schemeClr val="accent1"/>
              </a:gs>
              <a:gs pos="100000">
                <a:schemeClr val="accent1">
                  <a:lumMod val="84000"/>
                </a:schemeClr>
              </a:gs>
            </a:gsLst>
            <a:lin ang="5400000" scaled="1"/>
          </a:gradFill>
          <a:ln>
            <a:noFill/>
          </a:ln>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s>
    <c:plotArea>
      <c:layout>
        <c:manualLayout>
          <c:layoutTarget val="inner"/>
          <c:xMode val="edge"/>
          <c:yMode val="edge"/>
          <c:x val="4.160946204071217E-2"/>
          <c:y val="0.10694915712855482"/>
          <c:w val="0.9285441549297756"/>
          <c:h val="0.74702347773538613"/>
        </c:manualLayout>
      </c:layout>
      <c:barChart>
        <c:barDir val="col"/>
        <c:grouping val="clustered"/>
        <c:varyColors val="0"/>
        <c:ser>
          <c:idx val="0"/>
          <c:order val="0"/>
          <c:tx>
            <c:strRef>
              <c:f>q22_q34_Fig!$J$5:$J$7</c:f>
              <c:strCache>
                <c:ptCount val="1"/>
                <c:pt idx="0">
                  <c:v>C - Base</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q22_q34_Fig!$I$8:$I$19</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q22_q34_Fig!$J$8:$J$19</c:f>
              <c:numCache>
                <c:formatCode>#,##0.0\ "€"</c:formatCode>
                <c:ptCount val="11"/>
                <c:pt idx="0">
                  <c:v>844.01</c:v>
                </c:pt>
                <c:pt idx="1">
                  <c:v>856.12</c:v>
                </c:pt>
                <c:pt idx="2">
                  <c:v>870.08</c:v>
                </c:pt>
                <c:pt idx="3">
                  <c:v>895.89</c:v>
                </c:pt>
                <c:pt idx="4">
                  <c:v>929.15</c:v>
                </c:pt>
                <c:pt idx="5">
                  <c:v>964.71</c:v>
                </c:pt>
                <c:pt idx="6">
                  <c:v>1003.21</c:v>
                </c:pt>
                <c:pt idx="7">
                  <c:v>1031.03</c:v>
                </c:pt>
                <c:pt idx="8">
                  <c:v>1095.17</c:v>
                </c:pt>
                <c:pt idx="9">
                  <c:v>1172.58</c:v>
                </c:pt>
                <c:pt idx="10">
                  <c:v>1262.53</c:v>
                </c:pt>
              </c:numCache>
            </c:numRef>
          </c:val>
          <c:extLst>
            <c:ext xmlns:c16="http://schemas.microsoft.com/office/drawing/2014/chart" uri="{C3380CC4-5D6E-409C-BE32-E72D297353CC}">
              <c16:uniqueId val="{00000000-C011-4A10-8851-0F65F8BB0CF1}"/>
            </c:ext>
          </c:extLst>
        </c:ser>
        <c:ser>
          <c:idx val="1"/>
          <c:order val="1"/>
          <c:tx>
            <c:strRef>
              <c:f>q22_q34_Fig!$K$5:$K$7</c:f>
              <c:strCache>
                <c:ptCount val="1"/>
                <c:pt idx="0">
                  <c:v>C - Ganho</c:v>
                </c:pt>
              </c:strCache>
            </c:strRef>
          </c:tx>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q22_q34_Fig!$I$8:$I$19</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q22_q34_Fig!$K$8:$K$19</c:f>
              <c:numCache>
                <c:formatCode>#,##0.0\ "€"</c:formatCode>
                <c:ptCount val="11"/>
                <c:pt idx="0">
                  <c:v>1003.09</c:v>
                </c:pt>
                <c:pt idx="1">
                  <c:v>1015.82</c:v>
                </c:pt>
                <c:pt idx="2">
                  <c:v>1031.5999999999999</c:v>
                </c:pt>
                <c:pt idx="3">
                  <c:v>1068.43</c:v>
                </c:pt>
                <c:pt idx="4">
                  <c:v>1110.54</c:v>
                </c:pt>
                <c:pt idx="5">
                  <c:v>1154.94</c:v>
                </c:pt>
                <c:pt idx="6">
                  <c:v>1198.04</c:v>
                </c:pt>
                <c:pt idx="7">
                  <c:v>1224.79</c:v>
                </c:pt>
                <c:pt idx="8">
                  <c:v>1302.5899999999999</c:v>
                </c:pt>
                <c:pt idx="9">
                  <c:v>1400.65</c:v>
                </c:pt>
                <c:pt idx="10">
                  <c:v>1521.41</c:v>
                </c:pt>
              </c:numCache>
            </c:numRef>
          </c:val>
          <c:extLst>
            <c:ext xmlns:c16="http://schemas.microsoft.com/office/drawing/2014/chart" uri="{C3380CC4-5D6E-409C-BE32-E72D297353CC}">
              <c16:uniqueId val="{00000001-336A-4068-8AA0-E496CEBE21D9}"/>
            </c:ext>
          </c:extLst>
        </c:ser>
        <c:dLbls>
          <c:dLblPos val="inBase"/>
          <c:showLegendKey val="0"/>
          <c:showVal val="1"/>
          <c:showCatName val="0"/>
          <c:showSerName val="0"/>
          <c:showPercent val="0"/>
          <c:showBubbleSize val="0"/>
        </c:dLbls>
        <c:gapWidth val="91"/>
        <c:axId val="518723167"/>
        <c:axId val="384185983"/>
      </c:barChart>
      <c:catAx>
        <c:axId val="51872316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effectLst/>
                <a:latin typeface="+mn-lt"/>
                <a:ea typeface="+mn-ea"/>
                <a:cs typeface="+mn-cs"/>
              </a:defRPr>
            </a:pPr>
            <a:endParaRPr lang="pt-PT"/>
          </a:p>
        </c:txPr>
        <c:crossAx val="384185983"/>
        <c:crosses val="autoZero"/>
        <c:auto val="1"/>
        <c:lblAlgn val="ctr"/>
        <c:lblOffset val="100"/>
        <c:noMultiLvlLbl val="0"/>
      </c:catAx>
      <c:valAx>
        <c:axId val="384185983"/>
        <c:scaling>
          <c:orientation val="minMax"/>
          <c:max val="3600"/>
          <c:min val="0"/>
        </c:scaling>
        <c:delete val="0"/>
        <c:axPos val="l"/>
        <c:numFmt formatCode="#,##0\ &quot;€&quot;"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latin typeface="+mn-lt"/>
                <a:ea typeface="+mn-ea"/>
                <a:cs typeface="+mn-cs"/>
              </a:defRPr>
            </a:pPr>
            <a:endParaRPr lang="pt-PT"/>
          </a:p>
        </c:txPr>
        <c:crossAx val="518723167"/>
        <c:crosses val="autoZero"/>
        <c:crossBetween val="between"/>
        <c:majorUnit val="300"/>
      </c:valAx>
      <c:spPr>
        <a:noFill/>
        <a:ln>
          <a:noFill/>
        </a:ln>
        <a:effectLst/>
      </c:spPr>
    </c:plotArea>
    <c:legend>
      <c:legendPos val="t"/>
      <c:layout>
        <c:manualLayout>
          <c:xMode val="edge"/>
          <c:yMode val="edge"/>
          <c:x val="9.1424355351236872E-2"/>
          <c:y val="2.4076554940779288E-2"/>
          <c:w val="0.1196552632434925"/>
          <c:h val="7.178612982655518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q4_8_12_16_25_37_Fig_b!$CG$38:$CG$42</c15:sqref>
                  </c15:fullRef>
                </c:ext>
              </c:extLst>
              <c:f>q4_8_12_16_25_37_Fig_b!$CG$38</c:f>
              <c:strCache>
                <c:ptCount val="1"/>
                <c:pt idx="0">
                  <c:v>Norte</c:v>
                </c:pt>
              </c:strCache>
            </c:strRef>
          </c:cat>
          <c:val>
            <c:numRef>
              <c:extLst>
                <c:ext xmlns:c15="http://schemas.microsoft.com/office/drawing/2012/chart" uri="{02D57815-91ED-43cb-92C2-25804820EDAC}">
                  <c15:fullRef>
                    <c15:sqref>q4_8_12_16_25_37_Fig_b!$CH$38:$CH$42</c15:sqref>
                  </c15:fullRef>
                </c:ext>
              </c:extLst>
              <c:f>q4_8_12_16_25_37_Fig_b!$CH$38</c:f>
              <c:numCache>
                <c:formatCode>#,##0\ "€"</c:formatCode>
                <c:ptCount val="1"/>
                <c:pt idx="0">
                  <c:v>1233.0899999999999</c:v>
                </c:pt>
              </c:numCache>
            </c:numRef>
          </c:val>
          <c:extLst>
            <c:ext xmlns:c16="http://schemas.microsoft.com/office/drawing/2014/chart" uri="{C3380CC4-5D6E-409C-BE32-E72D297353CC}">
              <c16:uniqueId val="{00000000-11F5-45D8-92BD-C3EDA9689ED9}"/>
            </c:ext>
          </c:extLst>
        </c:ser>
        <c:ser>
          <c:idx val="1"/>
          <c:order val="1"/>
          <c:tx>
            <c:strRef>
              <c:f>q4_8_12_16_25_37_Fig_b!$CI$37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q4_8_12_16_25_37_Fig_b!$CG$38:$CG$42</c15:sqref>
                  </c15:fullRef>
                </c:ext>
              </c:extLst>
              <c:f>q4_8_12_16_25_37_Fig_b!$CG$38</c:f>
              <c:strCache>
                <c:ptCount val="1"/>
                <c:pt idx="0">
                  <c:v>Norte</c:v>
                </c:pt>
              </c:strCache>
            </c:strRef>
          </c:cat>
          <c:val>
            <c:numRef>
              <c:extLst>
                <c:ext xmlns:c15="http://schemas.microsoft.com/office/drawing/2012/chart" uri="{02D57815-91ED-43cb-92C2-25804820EDAC}">
                  <c15:fullRef>
                    <c15:sqref>q4_8_12_16_25_37_Fig_b!$CI$38:$CI$42</c15:sqref>
                  </c15:fullRef>
                </c:ext>
              </c:extLst>
              <c:f>q4_8_12_16_25_37_Fig_b!$CI$38</c:f>
              <c:numCache>
                <c:formatCode>#,##0\ "€"</c:formatCode>
                <c:ptCount val="1"/>
                <c:pt idx="0">
                  <c:v>1474.68</c:v>
                </c:pt>
              </c:numCache>
            </c:numRef>
          </c:val>
          <c:extLst>
            <c:ext xmlns:c16="http://schemas.microsoft.com/office/drawing/2014/chart" uri="{C3380CC4-5D6E-409C-BE32-E72D297353CC}">
              <c16:uniqueId val="{00000001-11F5-45D8-92BD-C3EDA9689ED9}"/>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q4_8_12_16_25_37_Fig_b!$CG$38:$CG$42</c15:sqref>
                  </c15:fullRef>
                </c:ext>
              </c:extLst>
              <c:f>q4_8_12_16_25_37_Fig_b!$CG$39</c:f>
              <c:strCache>
                <c:ptCount val="1"/>
                <c:pt idx="0">
                  <c:v>Centro</c:v>
                </c:pt>
              </c:strCache>
            </c:strRef>
          </c:cat>
          <c:val>
            <c:numRef>
              <c:extLst>
                <c:ext xmlns:c15="http://schemas.microsoft.com/office/drawing/2012/chart" uri="{02D57815-91ED-43cb-92C2-25804820EDAC}">
                  <c15:fullRef>
                    <c15:sqref>q4_8_12_16_25_37_Fig_b!$CH$38:$CH$42</c15:sqref>
                  </c15:fullRef>
                </c:ext>
              </c:extLst>
              <c:f>q4_8_12_16_25_37_Fig_b!$CH$39</c:f>
              <c:numCache>
                <c:formatCode>#,##0\ "€"</c:formatCode>
                <c:ptCount val="1"/>
                <c:pt idx="0">
                  <c:v>1139.44</c:v>
                </c:pt>
              </c:numCache>
            </c:numRef>
          </c:val>
          <c:extLst>
            <c:ext xmlns:c16="http://schemas.microsoft.com/office/drawing/2014/chart" uri="{C3380CC4-5D6E-409C-BE32-E72D297353CC}">
              <c16:uniqueId val="{00000000-2F66-4A85-A672-3B6369642CF2}"/>
            </c:ext>
          </c:extLst>
        </c:ser>
        <c:ser>
          <c:idx val="1"/>
          <c:order val="1"/>
          <c:tx>
            <c:strRef>
              <c:f>q4_8_12_16_25_37_Fig_b!$CI$37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q4_8_12_16_25_37_Fig_b!$CG$38:$CG$42</c15:sqref>
                  </c15:fullRef>
                </c:ext>
              </c:extLst>
              <c:f>q4_8_12_16_25_37_Fig_b!$CG$39</c:f>
              <c:strCache>
                <c:ptCount val="1"/>
                <c:pt idx="0">
                  <c:v>Centro</c:v>
                </c:pt>
              </c:strCache>
            </c:strRef>
          </c:cat>
          <c:val>
            <c:numRef>
              <c:extLst>
                <c:ext xmlns:c15="http://schemas.microsoft.com/office/drawing/2012/chart" uri="{02D57815-91ED-43cb-92C2-25804820EDAC}">
                  <c15:fullRef>
                    <c15:sqref>q4_8_12_16_25_37_Fig_b!$CI$38:$CI$42</c15:sqref>
                  </c15:fullRef>
                </c:ext>
              </c:extLst>
              <c:f>q4_8_12_16_25_37_Fig_b!$CI$39</c:f>
              <c:numCache>
                <c:formatCode>#,##0\ "€"</c:formatCode>
                <c:ptCount val="1"/>
                <c:pt idx="0">
                  <c:v>1393.64</c:v>
                </c:pt>
              </c:numCache>
            </c:numRef>
          </c:val>
          <c:extLst>
            <c:ext xmlns:c16="http://schemas.microsoft.com/office/drawing/2014/chart" uri="{C3380CC4-5D6E-409C-BE32-E72D297353CC}">
              <c16:uniqueId val="{00000001-2F66-4A85-A672-3B6369642CF2}"/>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q4_8_12_16_25_37_Fig_b!$CG$38:$CG$42</c15:sqref>
                  </c15:fullRef>
                </c:ext>
              </c:extLst>
              <c:f>q4_8_12_16_25_37_Fig_b!$CG$40</c:f>
              <c:strCache>
                <c:ptCount val="1"/>
                <c:pt idx="0">
                  <c:v>Área Metropolitana de Lisboa</c:v>
                </c:pt>
              </c:strCache>
            </c:strRef>
          </c:cat>
          <c:val>
            <c:numRef>
              <c:extLst>
                <c:ext xmlns:c15="http://schemas.microsoft.com/office/drawing/2012/chart" uri="{02D57815-91ED-43cb-92C2-25804820EDAC}">
                  <c15:fullRef>
                    <c15:sqref>q4_8_12_16_25_37_Fig_b!$CH$38:$CH$42</c15:sqref>
                  </c15:fullRef>
                </c:ext>
              </c:extLst>
              <c:f>q4_8_12_16_25_37_Fig_b!$CH$40</c:f>
              <c:numCache>
                <c:formatCode>#,##0\ "€"</c:formatCode>
                <c:ptCount val="1"/>
                <c:pt idx="0">
                  <c:v>1554.49</c:v>
                </c:pt>
              </c:numCache>
            </c:numRef>
          </c:val>
          <c:extLst>
            <c:ext xmlns:c16="http://schemas.microsoft.com/office/drawing/2014/chart" uri="{C3380CC4-5D6E-409C-BE32-E72D297353CC}">
              <c16:uniqueId val="{00000000-5AF1-410A-A9D5-610109035F18}"/>
            </c:ext>
          </c:extLst>
        </c:ser>
        <c:ser>
          <c:idx val="1"/>
          <c:order val="1"/>
          <c:tx>
            <c:strRef>
              <c:f>q4_8_12_16_25_37_Fig_b!$CI$37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q4_8_12_16_25_37_Fig_b!$CG$38:$CG$42</c15:sqref>
                  </c15:fullRef>
                </c:ext>
              </c:extLst>
              <c:f>q4_8_12_16_25_37_Fig_b!$CG$40</c:f>
              <c:strCache>
                <c:ptCount val="1"/>
                <c:pt idx="0">
                  <c:v>Área Metropolitana de Lisboa</c:v>
                </c:pt>
              </c:strCache>
            </c:strRef>
          </c:cat>
          <c:val>
            <c:numRef>
              <c:extLst>
                <c:ext xmlns:c15="http://schemas.microsoft.com/office/drawing/2012/chart" uri="{02D57815-91ED-43cb-92C2-25804820EDAC}">
                  <c15:fullRef>
                    <c15:sqref>q4_8_12_16_25_37_Fig_b!$CI$38:$CI$42</c15:sqref>
                  </c15:fullRef>
                </c:ext>
              </c:extLst>
              <c:f>q4_8_12_16_25_37_Fig_b!$CI$40</c:f>
              <c:numCache>
                <c:formatCode>#,##0\ "€"</c:formatCode>
                <c:ptCount val="1"/>
                <c:pt idx="0">
                  <c:v>1880.94</c:v>
                </c:pt>
              </c:numCache>
            </c:numRef>
          </c:val>
          <c:extLst>
            <c:ext xmlns:c16="http://schemas.microsoft.com/office/drawing/2014/chart" uri="{C3380CC4-5D6E-409C-BE32-E72D297353CC}">
              <c16:uniqueId val="{00000001-5AF1-410A-A9D5-610109035F18}"/>
            </c:ext>
          </c:extLst>
        </c:ser>
        <c:dLbls>
          <c:showLegendKey val="0"/>
          <c:showVal val="0"/>
          <c:showCatName val="0"/>
          <c:showSerName val="0"/>
          <c:showPercent val="0"/>
          <c:showBubbleSize val="0"/>
        </c:dLbls>
        <c:gapWidth val="201"/>
        <c:overlap val="-25"/>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q4_8_12_16_25_37_Fig_b!$CH$37</c:f>
              <c:strCache>
                <c:ptCount val="1"/>
                <c:pt idx="0">
                  <c:v>Base</c:v>
                </c:pt>
              </c:strCache>
            </c:strRef>
          </c:tx>
          <c:spPr>
            <a:solidFill>
              <a:srgbClr val="4572A5"/>
            </a:solidFill>
            <a:ln>
              <a:noFill/>
            </a:ln>
            <a:effectLst/>
          </c:spPr>
          <c:invertIfNegative val="0"/>
          <c:dLbls>
            <c:dLbl>
              <c:idx val="0"/>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0-CAF0-46C0-A0F1-7B8AAD95FDE1}"/>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q4_8_12_16_25_37_Fig_b!$CG$38:$CG$42</c15:sqref>
                  </c15:fullRef>
                </c:ext>
              </c:extLst>
              <c:f>q4_8_12_16_25_37_Fig_b!$CG$42</c:f>
              <c:strCache>
                <c:ptCount val="1"/>
                <c:pt idx="0">
                  <c:v>Algarve</c:v>
                </c:pt>
              </c:strCache>
            </c:strRef>
          </c:cat>
          <c:val>
            <c:numRef>
              <c:extLst>
                <c:ext xmlns:c15="http://schemas.microsoft.com/office/drawing/2012/chart" uri="{02D57815-91ED-43cb-92C2-25804820EDAC}">
                  <c15:fullRef>
                    <c15:sqref>q4_8_12_16_25_37_Fig_b!$CH$38:$CH$42</c15:sqref>
                  </c15:fullRef>
                </c:ext>
              </c:extLst>
              <c:f>q4_8_12_16_25_37_Fig_b!$CH$42</c:f>
              <c:numCache>
                <c:formatCode>#,##0\ "€"</c:formatCode>
                <c:ptCount val="1"/>
                <c:pt idx="0">
                  <c:v>1095.01</c:v>
                </c:pt>
              </c:numCache>
            </c:numRef>
          </c:val>
          <c:extLst>
            <c:ext xmlns:c16="http://schemas.microsoft.com/office/drawing/2014/chart" uri="{C3380CC4-5D6E-409C-BE32-E72D297353CC}">
              <c16:uniqueId val="{00000001-CAF0-46C0-A0F1-7B8AAD95FDE1}"/>
            </c:ext>
          </c:extLst>
        </c:ser>
        <c:ser>
          <c:idx val="1"/>
          <c:order val="1"/>
          <c:tx>
            <c:strRef>
              <c:f>q4_8_12_16_25_37_Fig_b!$CI$37</c:f>
              <c:strCache>
                <c:ptCount val="1"/>
                <c:pt idx="0">
                  <c:v>Ganho</c:v>
                </c:pt>
              </c:strCache>
            </c:strRef>
          </c:tx>
          <c:spPr>
            <a:solidFill>
              <a:srgbClr val="FFC000"/>
            </a:solidFill>
            <a:ln>
              <a:noFill/>
            </a:ln>
            <a:effectLst/>
          </c:spPr>
          <c:invertIfNegative val="0"/>
          <c:dLbls>
            <c:dLbl>
              <c:idx val="0"/>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2-CAF0-46C0-A0F1-7B8AAD95FDE1}"/>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q4_8_12_16_25_37_Fig_b!$CG$38:$CG$42</c15:sqref>
                  </c15:fullRef>
                </c:ext>
              </c:extLst>
              <c:f>q4_8_12_16_25_37_Fig_b!$CG$42</c:f>
              <c:strCache>
                <c:ptCount val="1"/>
                <c:pt idx="0">
                  <c:v>Algarve</c:v>
                </c:pt>
              </c:strCache>
            </c:strRef>
          </c:cat>
          <c:val>
            <c:numRef>
              <c:extLst>
                <c:ext xmlns:c15="http://schemas.microsoft.com/office/drawing/2012/chart" uri="{02D57815-91ED-43cb-92C2-25804820EDAC}">
                  <c15:fullRef>
                    <c15:sqref>q4_8_12_16_25_37_Fig_b!$CI$38:$CI$42</c15:sqref>
                  </c15:fullRef>
                </c:ext>
              </c:extLst>
              <c:f>q4_8_12_16_25_37_Fig_b!$CI$42</c:f>
              <c:numCache>
                <c:formatCode>#,##0\ "€"</c:formatCode>
                <c:ptCount val="1"/>
                <c:pt idx="0">
                  <c:v>1320.22</c:v>
                </c:pt>
              </c:numCache>
            </c:numRef>
          </c:val>
          <c:extLst>
            <c:ext xmlns:c16="http://schemas.microsoft.com/office/drawing/2014/chart" uri="{C3380CC4-5D6E-409C-BE32-E72D297353CC}">
              <c16:uniqueId val="{00000003-CAF0-46C0-A0F1-7B8AAD95FDE1}"/>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q4_8_12_16_25_37_Fig_b!$CH$37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q4_8_12_16_25_37_Fig_b!$CG$38:$CG$42</c15:sqref>
                  </c15:fullRef>
                </c:ext>
              </c:extLst>
              <c:f>q4_8_12_16_25_37_Fig_b!$CG$41</c:f>
              <c:strCache>
                <c:ptCount val="1"/>
                <c:pt idx="0">
                  <c:v>Alentejo</c:v>
                </c:pt>
              </c:strCache>
            </c:strRef>
          </c:cat>
          <c:val>
            <c:numRef>
              <c:extLst>
                <c:ext xmlns:c15="http://schemas.microsoft.com/office/drawing/2012/chart" uri="{02D57815-91ED-43cb-92C2-25804820EDAC}">
                  <c15:fullRef>
                    <c15:sqref>q4_8_12_16_25_37_Fig_b!$CH$38:$CH$42</c15:sqref>
                  </c15:fullRef>
                </c:ext>
              </c:extLst>
              <c:f>q4_8_12_16_25_37_Fig_b!$CH$41</c:f>
              <c:numCache>
                <c:formatCode>#,##0\ "€"</c:formatCode>
                <c:ptCount val="1"/>
                <c:pt idx="0">
                  <c:v>1119.54</c:v>
                </c:pt>
              </c:numCache>
            </c:numRef>
          </c:val>
          <c:extLst>
            <c:ext xmlns:c16="http://schemas.microsoft.com/office/drawing/2014/chart" uri="{C3380CC4-5D6E-409C-BE32-E72D297353CC}">
              <c16:uniqueId val="{00000000-F71C-41E3-B5E0-CB807486A733}"/>
            </c:ext>
          </c:extLst>
        </c:ser>
        <c:ser>
          <c:idx val="1"/>
          <c:order val="1"/>
          <c:tx>
            <c:strRef>
              <c:f>q4_8_12_16_25_37_Fig_b!$CI$37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q4_8_12_16_25_37_Fig_b!$CG$38:$CG$42</c15:sqref>
                  </c15:fullRef>
                </c:ext>
              </c:extLst>
              <c:f>q4_8_12_16_25_37_Fig_b!$CG$41</c:f>
              <c:strCache>
                <c:ptCount val="1"/>
                <c:pt idx="0">
                  <c:v>Alentejo</c:v>
                </c:pt>
              </c:strCache>
            </c:strRef>
          </c:cat>
          <c:val>
            <c:numRef>
              <c:extLst>
                <c:ext xmlns:c15="http://schemas.microsoft.com/office/drawing/2012/chart" uri="{02D57815-91ED-43cb-92C2-25804820EDAC}">
                  <c15:fullRef>
                    <c15:sqref>q4_8_12_16_25_37_Fig_b!$CI$38:$CI$42</c15:sqref>
                  </c15:fullRef>
                </c:ext>
              </c:extLst>
              <c:f>q4_8_12_16_25_37_Fig_b!$CI$41</c:f>
              <c:numCache>
                <c:formatCode>#,##0\ "€"</c:formatCode>
                <c:ptCount val="1"/>
                <c:pt idx="0">
                  <c:v>1393.47</c:v>
                </c:pt>
              </c:numCache>
            </c:numRef>
          </c:val>
          <c:extLst>
            <c:ext xmlns:c16="http://schemas.microsoft.com/office/drawing/2014/chart" uri="{C3380CC4-5D6E-409C-BE32-E72D297353CC}">
              <c16:uniqueId val="{00000001-F71C-41E3-B5E0-CB807486A733}"/>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q4_8_12_16_25_37_Fig_b!$CH$7</c:f>
              <c:strCache>
                <c:ptCount val="1"/>
                <c:pt idx="0">
                  <c:v>Base</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q4_8_12_16_25_37_Fig_b!$CG$8:$CG$30</c:f>
              <c:strCache>
                <c:ptCount val="23"/>
                <c:pt idx="0">
                  <c:v>Alto Minho</c:v>
                </c:pt>
                <c:pt idx="1">
                  <c:v>Cávado</c:v>
                </c:pt>
                <c:pt idx="2">
                  <c:v>Ave</c:v>
                </c:pt>
                <c:pt idx="3">
                  <c:v>Área Metropolitana do Porto</c:v>
                </c:pt>
                <c:pt idx="4">
                  <c:v>Alto Tâmega</c:v>
                </c:pt>
                <c:pt idx="5">
                  <c:v>Tâmega e Sousa</c:v>
                </c:pt>
                <c:pt idx="6">
                  <c:v>Douro</c:v>
                </c:pt>
                <c:pt idx="7">
                  <c:v>Terras de Trás-os-Montes</c:v>
                </c:pt>
                <c:pt idx="8">
                  <c:v>Oeste</c:v>
                </c:pt>
                <c:pt idx="9">
                  <c:v>Região de Aveiro</c:v>
                </c:pt>
                <c:pt idx="10">
                  <c:v>Região de Coimbra</c:v>
                </c:pt>
                <c:pt idx="11">
                  <c:v>Região de Leiria</c:v>
                </c:pt>
                <c:pt idx="12">
                  <c:v>Viseu Dão Lafões</c:v>
                </c:pt>
                <c:pt idx="13">
                  <c:v>Beira Baixa</c:v>
                </c:pt>
                <c:pt idx="14">
                  <c:v>Médio Tejo</c:v>
                </c:pt>
                <c:pt idx="15">
                  <c:v>Beiras e Serra da Estrela</c:v>
                </c:pt>
                <c:pt idx="16">
                  <c:v>Área Metropolitana de Lisboa</c:v>
                </c:pt>
                <c:pt idx="17">
                  <c:v>Alentejo Litoral</c:v>
                </c:pt>
                <c:pt idx="18">
                  <c:v>Baixo Alentejo</c:v>
                </c:pt>
                <c:pt idx="19">
                  <c:v>Lezíria do Tejo</c:v>
                </c:pt>
                <c:pt idx="20">
                  <c:v>Alto Alentejo</c:v>
                </c:pt>
                <c:pt idx="21">
                  <c:v>Alentejo Central</c:v>
                </c:pt>
                <c:pt idx="22">
                  <c:v>Algarve</c:v>
                </c:pt>
              </c:strCache>
            </c:strRef>
          </c:cat>
          <c:val>
            <c:numRef>
              <c:f>q4_8_12_16_25_37_Fig_b!$CH$8:$CH$30</c:f>
              <c:numCache>
                <c:formatCode>#,##0\ "€"</c:formatCode>
                <c:ptCount val="23"/>
                <c:pt idx="0">
                  <c:v>1098.82</c:v>
                </c:pt>
                <c:pt idx="1">
                  <c:v>1183.58</c:v>
                </c:pt>
                <c:pt idx="2">
                  <c:v>1109.23</c:v>
                </c:pt>
                <c:pt idx="3">
                  <c:v>1351.51</c:v>
                </c:pt>
                <c:pt idx="4">
                  <c:v>1024.3399999999999</c:v>
                </c:pt>
                <c:pt idx="5">
                  <c:v>1026.48</c:v>
                </c:pt>
                <c:pt idx="6">
                  <c:v>1059.6099999999999</c:v>
                </c:pt>
                <c:pt idx="7">
                  <c:v>1033.23</c:v>
                </c:pt>
                <c:pt idx="8">
                  <c:v>1100.1600000000001</c:v>
                </c:pt>
                <c:pt idx="9">
                  <c:v>1223.23</c:v>
                </c:pt>
                <c:pt idx="10">
                  <c:v>1154.1500000000001</c:v>
                </c:pt>
                <c:pt idx="11">
                  <c:v>1171.5899999999999</c:v>
                </c:pt>
                <c:pt idx="12">
                  <c:v>1078.24</c:v>
                </c:pt>
                <c:pt idx="13">
                  <c:v>1082.8599999999999</c:v>
                </c:pt>
                <c:pt idx="14">
                  <c:v>1099.72</c:v>
                </c:pt>
                <c:pt idx="15">
                  <c:v>1058.19</c:v>
                </c:pt>
                <c:pt idx="16">
                  <c:v>1554.49</c:v>
                </c:pt>
                <c:pt idx="17">
                  <c:v>1180.01</c:v>
                </c:pt>
                <c:pt idx="18">
                  <c:v>1119.75</c:v>
                </c:pt>
                <c:pt idx="19">
                  <c:v>1104.77</c:v>
                </c:pt>
                <c:pt idx="20">
                  <c:v>1064.08</c:v>
                </c:pt>
                <c:pt idx="21">
                  <c:v>1125.55</c:v>
                </c:pt>
                <c:pt idx="22">
                  <c:v>1095.01</c:v>
                </c:pt>
              </c:numCache>
            </c:numRef>
          </c:val>
          <c:extLst>
            <c:ext xmlns:c16="http://schemas.microsoft.com/office/drawing/2014/chart" uri="{C3380CC4-5D6E-409C-BE32-E72D297353CC}">
              <c16:uniqueId val="{00000000-8BEB-447B-BE7C-B694194C6165}"/>
            </c:ext>
          </c:extLst>
        </c:ser>
        <c:ser>
          <c:idx val="1"/>
          <c:order val="1"/>
          <c:tx>
            <c:strRef>
              <c:f>q4_8_12_16_25_37_Fig_b!$CI$7</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q4_8_12_16_25_37_Fig_b!$CG$8:$CG$30</c:f>
              <c:strCache>
                <c:ptCount val="23"/>
                <c:pt idx="0">
                  <c:v>Alto Minho</c:v>
                </c:pt>
                <c:pt idx="1">
                  <c:v>Cávado</c:v>
                </c:pt>
                <c:pt idx="2">
                  <c:v>Ave</c:v>
                </c:pt>
                <c:pt idx="3">
                  <c:v>Área Metropolitana do Porto</c:v>
                </c:pt>
                <c:pt idx="4">
                  <c:v>Alto Tâmega</c:v>
                </c:pt>
                <c:pt idx="5">
                  <c:v>Tâmega e Sousa</c:v>
                </c:pt>
                <c:pt idx="6">
                  <c:v>Douro</c:v>
                </c:pt>
                <c:pt idx="7">
                  <c:v>Terras de Trás-os-Montes</c:v>
                </c:pt>
                <c:pt idx="8">
                  <c:v>Oeste</c:v>
                </c:pt>
                <c:pt idx="9">
                  <c:v>Região de Aveiro</c:v>
                </c:pt>
                <c:pt idx="10">
                  <c:v>Região de Coimbra</c:v>
                </c:pt>
                <c:pt idx="11">
                  <c:v>Região de Leiria</c:v>
                </c:pt>
                <c:pt idx="12">
                  <c:v>Viseu Dão Lafões</c:v>
                </c:pt>
                <c:pt idx="13">
                  <c:v>Beira Baixa</c:v>
                </c:pt>
                <c:pt idx="14">
                  <c:v>Médio Tejo</c:v>
                </c:pt>
                <c:pt idx="15">
                  <c:v>Beiras e Serra da Estrela</c:v>
                </c:pt>
                <c:pt idx="16">
                  <c:v>Área Metropolitana de Lisboa</c:v>
                </c:pt>
                <c:pt idx="17">
                  <c:v>Alentejo Litoral</c:v>
                </c:pt>
                <c:pt idx="18">
                  <c:v>Baixo Alentejo</c:v>
                </c:pt>
                <c:pt idx="19">
                  <c:v>Lezíria do Tejo</c:v>
                </c:pt>
                <c:pt idx="20">
                  <c:v>Alto Alentejo</c:v>
                </c:pt>
                <c:pt idx="21">
                  <c:v>Alentejo Central</c:v>
                </c:pt>
                <c:pt idx="22">
                  <c:v>Algarve</c:v>
                </c:pt>
              </c:strCache>
            </c:strRef>
          </c:cat>
          <c:val>
            <c:numRef>
              <c:f>q4_8_12_16_25_37_Fig_b!$CI$8:$CI$30</c:f>
              <c:numCache>
                <c:formatCode>#,##0\ "€"</c:formatCode>
                <c:ptCount val="23"/>
                <c:pt idx="0">
                  <c:v>1340.14</c:v>
                </c:pt>
                <c:pt idx="1">
                  <c:v>1403.34</c:v>
                </c:pt>
                <c:pt idx="2">
                  <c:v>1321.75</c:v>
                </c:pt>
                <c:pt idx="3">
                  <c:v>1620.05</c:v>
                </c:pt>
                <c:pt idx="4">
                  <c:v>1207.05</c:v>
                </c:pt>
                <c:pt idx="5">
                  <c:v>1210.7</c:v>
                </c:pt>
                <c:pt idx="6">
                  <c:v>1268.7</c:v>
                </c:pt>
                <c:pt idx="7">
                  <c:v>1267.6300000000001</c:v>
                </c:pt>
                <c:pt idx="8">
                  <c:v>1324.42</c:v>
                </c:pt>
                <c:pt idx="9">
                  <c:v>1492.3</c:v>
                </c:pt>
                <c:pt idx="10">
                  <c:v>1423.9</c:v>
                </c:pt>
                <c:pt idx="11">
                  <c:v>1434.69</c:v>
                </c:pt>
                <c:pt idx="12">
                  <c:v>1331.89</c:v>
                </c:pt>
                <c:pt idx="13">
                  <c:v>1306.07</c:v>
                </c:pt>
                <c:pt idx="14">
                  <c:v>1352.82</c:v>
                </c:pt>
                <c:pt idx="15">
                  <c:v>1292.95</c:v>
                </c:pt>
                <c:pt idx="16">
                  <c:v>1880.94</c:v>
                </c:pt>
                <c:pt idx="17">
                  <c:v>1480.81</c:v>
                </c:pt>
                <c:pt idx="18">
                  <c:v>1469.2</c:v>
                </c:pt>
                <c:pt idx="19">
                  <c:v>1363.59</c:v>
                </c:pt>
                <c:pt idx="20">
                  <c:v>1295.3599999999999</c:v>
                </c:pt>
                <c:pt idx="21">
                  <c:v>1371.98</c:v>
                </c:pt>
                <c:pt idx="22">
                  <c:v>1320.22</c:v>
                </c:pt>
              </c:numCache>
            </c:numRef>
          </c:val>
          <c:extLst>
            <c:ext xmlns:c16="http://schemas.microsoft.com/office/drawing/2014/chart" uri="{C3380CC4-5D6E-409C-BE32-E72D297353CC}">
              <c16:uniqueId val="{00000001-8BEB-447B-BE7C-B694194C6165}"/>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804965417"/>
          <c:y val="0.95587928345349849"/>
          <c:w val="0.36497235015434393"/>
          <c:h val="4.2533324537005042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661888417793929"/>
          <c:y val="0.27515080793654073"/>
          <c:w val="0.84338111582206066"/>
          <c:h val="0.72484919206345932"/>
        </c:manualLayout>
      </c:layout>
      <c:barChart>
        <c:barDir val="bar"/>
        <c:grouping val="clustered"/>
        <c:varyColors val="0"/>
        <c:ser>
          <c:idx val="0"/>
          <c:order val="0"/>
          <c:tx>
            <c:strRef>
              <c:f>q17_a_q19_q26_a_q29_q38_q41_Fig!$R$15</c:f>
              <c:strCache>
                <c:ptCount val="1"/>
                <c:pt idx="0">
                  <c:v>Homens</c:v>
                </c:pt>
              </c:strCache>
            </c:strRef>
          </c:tx>
          <c:spPr>
            <a:solidFill>
              <a:srgbClr val="4F81BD"/>
            </a:solidFill>
            <a:ln>
              <a:noFill/>
            </a:ln>
            <a:effectLst/>
            <a:scene3d>
              <a:camera prst="orthographicFront"/>
              <a:lightRig rig="threePt" dir="t"/>
            </a:scene3d>
            <a:sp3d>
              <a:bevelT w="0" h="0"/>
              <a:bevelB w="0" h="0"/>
            </a:sp3d>
          </c:spPr>
          <c:invertIfNegative val="0"/>
          <c:dLbls>
            <c:numFmt formatCode="#,##0;#,##0" sourceLinked="0"/>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q17_a_q19_q26_a_q29_q38_q41_Fig!$Q$16:$Q$22</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q17_a_q19_q26_a_q29_q38_q41_Fig!$R$16:$R$22</c:f>
              <c:numCache>
                <c:formatCode>#,##0</c:formatCode>
                <c:ptCount val="7"/>
                <c:pt idx="0">
                  <c:v>-548</c:v>
                </c:pt>
                <c:pt idx="1">
                  <c:v>-154240</c:v>
                </c:pt>
                <c:pt idx="2">
                  <c:v>-456663</c:v>
                </c:pt>
                <c:pt idx="3">
                  <c:v>-447534</c:v>
                </c:pt>
                <c:pt idx="4">
                  <c:v>-422726</c:v>
                </c:pt>
                <c:pt idx="5">
                  <c:v>-262183</c:v>
                </c:pt>
                <c:pt idx="6">
                  <c:v>-39491</c:v>
                </c:pt>
              </c:numCache>
            </c:numRef>
          </c:val>
          <c:extLst>
            <c:ext xmlns:c16="http://schemas.microsoft.com/office/drawing/2014/chart" uri="{C3380CC4-5D6E-409C-BE32-E72D297353CC}">
              <c16:uniqueId val="{00000000-D461-4081-B656-5FF462F10629}"/>
            </c:ext>
          </c:extLst>
        </c:ser>
        <c:ser>
          <c:idx val="1"/>
          <c:order val="1"/>
          <c:tx>
            <c:strRef>
              <c:f>q17_a_q19_q26_a_q29_q38_q41_Fig!$S$15</c:f>
              <c:strCache>
                <c:ptCount val="1"/>
                <c:pt idx="0">
                  <c:v>Mulheres</c:v>
                </c:pt>
              </c:strCache>
            </c:strRef>
          </c:tx>
          <c:spPr>
            <a:solidFill>
              <a:srgbClr val="FFC000"/>
            </a:solidFill>
            <a:ln>
              <a:noFill/>
            </a:ln>
            <a:effectLst/>
            <a:scene3d>
              <a:camera prst="orthographicFront"/>
              <a:lightRig rig="threePt" dir="t"/>
            </a:scene3d>
            <a:sp3d>
              <a:bevelT w="0" h="0"/>
              <a:bevelB w="0" h="0"/>
            </a:sp3d>
          </c:spPr>
          <c:invertIfNegative val="0"/>
          <c:dLbls>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q17_a_q19_q26_a_q29_q38_q41_Fig!$Q$16:$Q$22</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q17_a_q19_q26_a_q29_q38_q41_Fig!$S$16:$S$22</c:f>
              <c:numCache>
                <c:formatCode>#,##0</c:formatCode>
                <c:ptCount val="7"/>
                <c:pt idx="0">
                  <c:v>413</c:v>
                </c:pt>
                <c:pt idx="1">
                  <c:v>124774</c:v>
                </c:pt>
                <c:pt idx="2">
                  <c:v>380114</c:v>
                </c:pt>
                <c:pt idx="3">
                  <c:v>399838</c:v>
                </c:pt>
                <c:pt idx="4">
                  <c:v>402481</c:v>
                </c:pt>
                <c:pt idx="5">
                  <c:v>235405</c:v>
                </c:pt>
                <c:pt idx="6">
                  <c:v>26977</c:v>
                </c:pt>
              </c:numCache>
            </c:numRef>
          </c:val>
          <c:extLst>
            <c:ext xmlns:c16="http://schemas.microsoft.com/office/drawing/2014/chart" uri="{C3380CC4-5D6E-409C-BE32-E72D297353CC}">
              <c16:uniqueId val="{00000001-D461-4081-B656-5FF462F10629}"/>
            </c:ext>
          </c:extLst>
        </c:ser>
        <c:dLbls>
          <c:showLegendKey val="0"/>
          <c:showVal val="0"/>
          <c:showCatName val="0"/>
          <c:showSerName val="0"/>
          <c:showPercent val="0"/>
          <c:showBubbleSize val="0"/>
        </c:dLbls>
        <c:gapWidth val="40"/>
        <c:overlap val="100"/>
        <c:axId val="1261817855"/>
        <c:axId val="267587263"/>
      </c:barChart>
      <c:catAx>
        <c:axId val="1261817855"/>
        <c:scaling>
          <c:orientation val="maxMin"/>
        </c:scaling>
        <c:delete val="0"/>
        <c:axPos val="l"/>
        <c:majorGridlines>
          <c:spPr>
            <a:ln>
              <a:solidFill>
                <a:srgbClr val="D9D9D9"/>
              </a:solidFill>
            </a:ln>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max val="450000"/>
          <c:min val="-450000"/>
        </c:scaling>
        <c:delete val="1"/>
        <c:axPos val="t"/>
        <c:numFmt formatCode="#,##0;#,##0" sourceLinked="0"/>
        <c:majorTickMark val="out"/>
        <c:minorTickMark val="none"/>
        <c:tickLblPos val="nextTo"/>
        <c:crossAx val="1261817855"/>
        <c:crosses val="autoZero"/>
        <c:crossBetween val="between"/>
      </c:valAx>
      <c:spPr>
        <a:noFill/>
        <a:ln>
          <a:noFill/>
        </a:ln>
        <a:effectLst/>
      </c:spPr>
    </c:plotArea>
    <c:legend>
      <c:legendPos val="t"/>
      <c:layout>
        <c:manualLayout>
          <c:xMode val="edge"/>
          <c:yMode val="edge"/>
          <c:x val="0.39529230248938402"/>
          <c:y val="5.2371061645764681E-2"/>
          <c:w val="0.39199891301477158"/>
          <c:h val="6.3868088368791875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t" anchorCtr="0"/>
          <a:lstStyle/>
          <a:p>
            <a:pPr>
              <a:defRPr sz="700" b="1" i="0" u="none" strike="noStrike" kern="1200" baseline="0">
                <a:solidFill>
                  <a:schemeClr val="tx1"/>
                </a:solidFill>
                <a:latin typeface="+mn-lt"/>
                <a:ea typeface="+mn-ea"/>
                <a:cs typeface="+mn-cs"/>
              </a:defRPr>
            </a:pPr>
            <a:r>
              <a:rPr lang="en-US" sz="700" b="1" i="0" baseline="0">
                <a:solidFill>
                  <a:srgbClr val="17375E"/>
                </a:solidFill>
                <a:effectLst/>
              </a:rPr>
              <a:t>Homens + Mulheres</a:t>
            </a:r>
            <a:endParaRPr lang="pt-PT" sz="700">
              <a:solidFill>
                <a:srgbClr val="17375E"/>
              </a:solidFill>
              <a:effectLst/>
            </a:endParaRPr>
          </a:p>
        </c:rich>
      </c:tx>
      <c:layout>
        <c:manualLayout>
          <c:xMode val="edge"/>
          <c:yMode val="edge"/>
          <c:x val="0.22471764117941029"/>
          <c:y val="1.5098897535667963E-2"/>
        </c:manualLayout>
      </c:layout>
      <c:overlay val="0"/>
      <c:spPr>
        <a:noFill/>
        <a:ln>
          <a:noFill/>
        </a:ln>
        <a:effectLst/>
      </c:spPr>
      <c:txPr>
        <a:bodyPr rot="0" spcFirstLastPara="1" vertOverflow="ellipsis" vert="horz" wrap="square" anchor="t" anchorCtr="0"/>
        <a:lstStyle/>
        <a:p>
          <a:pPr>
            <a:defRPr sz="700" b="1" i="0" u="none" strike="noStrike" kern="1200" baseline="0">
              <a:solidFill>
                <a:schemeClr val="tx1"/>
              </a:solidFill>
              <a:latin typeface="+mn-lt"/>
              <a:ea typeface="+mn-ea"/>
              <a:cs typeface="+mn-cs"/>
            </a:defRPr>
          </a:pPr>
          <a:endParaRPr lang="pt-PT"/>
        </a:p>
      </c:txPr>
    </c:title>
    <c:autoTitleDeleted val="0"/>
    <c:plotArea>
      <c:layout>
        <c:manualLayout>
          <c:layoutTarget val="inner"/>
          <c:xMode val="edge"/>
          <c:yMode val="edge"/>
          <c:x val="6.645451605451605E-2"/>
          <c:y val="0.23192568942879796"/>
          <c:w val="0.60804176484176498"/>
          <c:h val="0.65021473137038388"/>
        </c:manualLayout>
      </c:layout>
      <c:doughnutChart>
        <c:varyColors val="1"/>
        <c:ser>
          <c:idx val="0"/>
          <c:order val="0"/>
          <c:tx>
            <c:strRef>
              <c:f>q17_a_q19_q26_a_q29_q38_q41_Fig!$T$15</c:f>
              <c:strCache>
                <c:ptCount val="1"/>
                <c:pt idx="0">
                  <c:v>Total</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5ABA-4754-ABCE-4B5F5F2D0CB4}"/>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5ABA-4754-ABCE-4B5F5F2D0CB4}"/>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5ABA-4754-ABCE-4B5F5F2D0CB4}"/>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5ABA-4754-ABCE-4B5F5F2D0CB4}"/>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5ABA-4754-ABCE-4B5F5F2D0CB4}"/>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5ABA-4754-ABCE-4B5F5F2D0CB4}"/>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5ABA-4754-ABCE-4B5F5F2D0CB4}"/>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5ABA-4754-ABCE-4B5F5F2D0CB4}"/>
              </c:ext>
            </c:extLst>
          </c:dPt>
          <c:dLbls>
            <c:dLbl>
              <c:idx val="0"/>
              <c:layout>
                <c:manualLayout>
                  <c:x val="0.12956140350877179"/>
                  <c:y val="-0.1749737195941816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10726871345029237"/>
                      <c:h val="9.8239823982398236E-2"/>
                    </c:manualLayout>
                  </c15:layout>
                </c:ext>
                <c:ext xmlns:c16="http://schemas.microsoft.com/office/drawing/2014/chart" uri="{C3380CC4-5D6E-409C-BE32-E72D297353CC}">
                  <c16:uniqueId val="{00000001-5ABA-4754-ABCE-4B5F5F2D0CB4}"/>
                </c:ext>
              </c:extLst>
            </c:dLbl>
            <c:dLbl>
              <c:idx val="2"/>
              <c:layout>
                <c:manualLayout>
                  <c:x val="0"/>
                  <c:y val="-8.4875562720133283E-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ABA-4754-ABCE-4B5F5F2D0CB4}"/>
                </c:ext>
              </c:extLst>
            </c:dLbl>
            <c:dLbl>
              <c:idx val="6"/>
              <c:layout>
                <c:manualLayout>
                  <c:x val="-0.12605263157894744"/>
                  <c:y val="-0.1762392535549851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5ABA-4754-ABCE-4B5F5F2D0CB4}"/>
                </c:ext>
              </c:extLst>
            </c:dLbl>
            <c:dLbl>
              <c:idx val="7"/>
              <c:layout>
                <c:manualLayout>
                  <c:x val="0.11388888888888894"/>
                  <c:y val="-0.111111111111111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5ABA-4754-ABCE-4B5F5F2D0CB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q17_a_q19_q26_a_q29_q38_q41_Fig!$Q$16:$Q$22</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q17_a_q19_q26_a_q29_q38_q41_Fig!$T$16:$T$22</c:f>
              <c:numCache>
                <c:formatCode>#,##0</c:formatCode>
                <c:ptCount val="7"/>
                <c:pt idx="0">
                  <c:v>961</c:v>
                </c:pt>
                <c:pt idx="1">
                  <c:v>279014</c:v>
                </c:pt>
                <c:pt idx="2">
                  <c:v>836777</c:v>
                </c:pt>
                <c:pt idx="3">
                  <c:v>847372</c:v>
                </c:pt>
                <c:pt idx="4">
                  <c:v>825207</c:v>
                </c:pt>
                <c:pt idx="5">
                  <c:v>497588</c:v>
                </c:pt>
                <c:pt idx="6">
                  <c:v>66468</c:v>
                </c:pt>
              </c:numCache>
            </c:numRef>
          </c:val>
          <c:extLst>
            <c:ext xmlns:c16="http://schemas.microsoft.com/office/drawing/2014/chart" uri="{C3380CC4-5D6E-409C-BE32-E72D297353CC}">
              <c16:uniqueId val="{00000010-5ABA-4754-ABCE-4B5F5F2D0CB4}"/>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67128185907046478"/>
          <c:y val="0.19463641904117482"/>
          <c:w val="0.30055472263868072"/>
          <c:h val="0.72389134505706798"/>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793875765529326E-2"/>
          <c:y val="0.13630659253375696"/>
          <c:w val="0.48423902012248471"/>
          <c:h val="0.73270479216309237"/>
        </c:manualLayout>
      </c:layout>
      <c:doughnutChart>
        <c:varyColors val="1"/>
        <c:ser>
          <c:idx val="0"/>
          <c:order val="0"/>
          <c:tx>
            <c:strRef>
              <c:f>q17_a_q19_q26_a_q29_q38_q41_Fig!$R$76</c:f>
              <c:strCache>
                <c:ptCount val="1"/>
                <c:pt idx="0">
                  <c:v>TCO</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CDA5-43BE-8A28-486E160A8F7F}"/>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CDA5-43BE-8A28-486E160A8F7F}"/>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CDA5-43BE-8A28-486E160A8F7F}"/>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CDA5-43BE-8A28-486E160A8F7F}"/>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CDA5-43BE-8A28-486E160A8F7F}"/>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CDA5-43BE-8A28-486E160A8F7F}"/>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CDA5-43BE-8A28-486E160A8F7F}"/>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CDA5-43BE-8A28-486E160A8F7F}"/>
              </c:ext>
            </c:extLst>
          </c:dPt>
          <c:dLbls>
            <c:dLbl>
              <c:idx val="0"/>
              <c:layout>
                <c:manualLayout>
                  <c:x val="3.60926650137601E-2"/>
                  <c:y val="-0.1877321733384725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10726871345029237"/>
                      <c:h val="9.8239823982398236E-2"/>
                    </c:manualLayout>
                  </c15:layout>
                </c:ext>
                <c:ext xmlns:c16="http://schemas.microsoft.com/office/drawing/2014/chart" uri="{C3380CC4-5D6E-409C-BE32-E72D297353CC}">
                  <c16:uniqueId val="{00000001-CDA5-43BE-8A28-486E160A8F7F}"/>
                </c:ext>
              </c:extLst>
            </c:dLbl>
            <c:dLbl>
              <c:idx val="2"/>
              <c:layout>
                <c:manualLayout>
                  <c:x val="0"/>
                  <c:y val="-8.4875562720133283E-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DA5-43BE-8A28-486E160A8F7F}"/>
                </c:ext>
              </c:extLst>
            </c:dLbl>
            <c:dLbl>
              <c:idx val="6"/>
              <c:layout>
                <c:manualLayout>
                  <c:x val="-1.2895066645765179E-2"/>
                  <c:y val="-1.796597367775071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DA5-43BE-8A28-486E160A8F7F}"/>
                </c:ext>
              </c:extLst>
            </c:dLbl>
            <c:dLbl>
              <c:idx val="7"/>
              <c:layout>
                <c:manualLayout>
                  <c:x val="-2.7558220897347684E-2"/>
                  <c:y val="-0.18784984610736608"/>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CDA5-43BE-8A28-486E160A8F7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q17_a_q19_q26_a_q29_q38_q41_Fig!$Q$77:$Q$80</c:f>
              <c:strCache>
                <c:ptCount val="4"/>
                <c:pt idx="0">
                  <c:v>&lt; 1.º ciclo do ensino básico</c:v>
                </c:pt>
                <c:pt idx="1">
                  <c:v>Ensino básico</c:v>
                </c:pt>
                <c:pt idx="2">
                  <c:v>Ensino secundário + pós sec. não superior nível IV</c:v>
                </c:pt>
                <c:pt idx="3">
                  <c:v>Ensino superior**</c:v>
                </c:pt>
              </c:strCache>
            </c:strRef>
          </c:cat>
          <c:val>
            <c:numRef>
              <c:f>q17_a_q19_q26_a_q29_q38_q41_Fig!$R$77:$R$80</c:f>
              <c:numCache>
                <c:formatCode>#,##0</c:formatCode>
                <c:ptCount val="4"/>
                <c:pt idx="0">
                  <c:v>6694</c:v>
                </c:pt>
                <c:pt idx="1">
                  <c:v>918964</c:v>
                </c:pt>
                <c:pt idx="2">
                  <c:v>894978</c:v>
                </c:pt>
                <c:pt idx="3">
                  <c:v>676845</c:v>
                </c:pt>
              </c:numCache>
            </c:numRef>
          </c:val>
          <c:extLst>
            <c:ext xmlns:c16="http://schemas.microsoft.com/office/drawing/2014/chart" uri="{C3380CC4-5D6E-409C-BE32-E72D297353CC}">
              <c16:uniqueId val="{00000010-CDA5-43BE-8A28-486E160A8F7F}"/>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54653718285214348"/>
          <c:y val="4.9101932750860465E-2"/>
          <c:w val="0.39061767279090115"/>
          <c:h val="0.82165051628276409"/>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2757621189405304"/>
          <c:y val="0.12694453453786034"/>
          <c:w val="0.41229760119940023"/>
          <c:h val="0.79289885381340897"/>
        </c:manualLayout>
      </c:layout>
      <c:barChart>
        <c:barDir val="bar"/>
        <c:grouping val="clustered"/>
        <c:varyColors val="0"/>
        <c:ser>
          <c:idx val="0"/>
          <c:order val="0"/>
          <c:tx>
            <c:strRef>
              <c:f>q17_a_q19_q26_a_q29_q38_q41_Fig!$R$76</c:f>
              <c:strCache>
                <c:ptCount val="1"/>
                <c:pt idx="0">
                  <c:v>TCO</c:v>
                </c:pt>
              </c:strCache>
            </c:strRef>
          </c:tx>
          <c:spPr>
            <a:solidFill>
              <a:srgbClr val="4F81BD"/>
            </a:solidFill>
            <a:ln w="19050">
              <a:solidFill>
                <a:schemeClr val="lt1"/>
              </a:solidFill>
            </a:ln>
            <a:effectLst/>
          </c:spPr>
          <c:invertIfNegative val="0"/>
          <c:dPt>
            <c:idx val="0"/>
            <c:invertIfNegative val="0"/>
            <c:bubble3D val="0"/>
            <c:explosion val="4"/>
            <c:spPr>
              <a:solidFill>
                <a:srgbClr val="4F81BD"/>
              </a:solidFill>
              <a:ln w="19050">
                <a:solidFill>
                  <a:schemeClr val="lt1"/>
                </a:solidFill>
              </a:ln>
              <a:effectLst/>
            </c:spPr>
            <c:extLst>
              <c:ext xmlns:c16="http://schemas.microsoft.com/office/drawing/2014/chart" uri="{C3380CC4-5D6E-409C-BE32-E72D297353CC}">
                <c16:uniqueId val="{00000001-B695-4285-8E11-92612446CC2B}"/>
              </c:ext>
            </c:extLst>
          </c:dPt>
          <c:dPt>
            <c:idx val="1"/>
            <c:invertIfNegative val="0"/>
            <c:bubble3D val="0"/>
            <c:explosion val="2"/>
            <c:spPr>
              <a:solidFill>
                <a:srgbClr val="4F81BD"/>
              </a:solidFill>
              <a:ln w="19050">
                <a:solidFill>
                  <a:schemeClr val="lt1"/>
                </a:solidFill>
              </a:ln>
              <a:effectLst/>
            </c:spPr>
            <c:extLst>
              <c:ext xmlns:c16="http://schemas.microsoft.com/office/drawing/2014/chart" uri="{C3380CC4-5D6E-409C-BE32-E72D297353CC}">
                <c16:uniqueId val="{00000003-B695-4285-8E11-92612446CC2B}"/>
              </c:ext>
            </c:extLst>
          </c:dPt>
          <c:dPt>
            <c:idx val="2"/>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5-B695-4285-8E11-92612446CC2B}"/>
              </c:ext>
            </c:extLst>
          </c:dPt>
          <c:dPt>
            <c:idx val="3"/>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7-B695-4285-8E11-92612446CC2B}"/>
              </c:ext>
            </c:extLst>
          </c:dPt>
          <c:dPt>
            <c:idx val="4"/>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9-B695-4285-8E11-92612446CC2B}"/>
              </c:ext>
            </c:extLst>
          </c:dPt>
          <c:dLbls>
            <c:dLbl>
              <c:idx val="0"/>
              <c:layout>
                <c:manualLayout>
                  <c:x val="0"/>
                  <c:y val="3.005422002962037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95-4285-8E11-92612446CC2B}"/>
                </c:ext>
              </c:extLst>
            </c:dLbl>
            <c:spPr>
              <a:noFill/>
              <a:ln>
                <a:noFill/>
              </a:ln>
              <a:effectLst/>
            </c:spPr>
            <c:txPr>
              <a:bodyPr rot="0" spcFirstLastPara="1" vertOverflow="overflow" horzOverflow="overflow" vert="horz" wrap="non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q17_a_q19_q26_a_q29_q38_q41_Fig!$Q$77:$Q$81</c15:sqref>
                  </c15:fullRef>
                </c:ext>
              </c:extLst>
              <c:f>q17_a_q19_q26_a_q29_q38_q41_Fig!$Q$77:$Q$80</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q17_a_q19_q26_a_q29_q38_q41_Fig!$R$77:$R$81</c15:sqref>
                  </c15:fullRef>
                </c:ext>
              </c:extLst>
              <c:f>q17_a_q19_q26_a_q29_q38_q41_Fig!$R$77:$R$80</c:f>
              <c:numCache>
                <c:formatCode>#,##0</c:formatCode>
                <c:ptCount val="4"/>
                <c:pt idx="0">
                  <c:v>6694</c:v>
                </c:pt>
                <c:pt idx="1">
                  <c:v>918964</c:v>
                </c:pt>
                <c:pt idx="2">
                  <c:v>894978</c:v>
                </c:pt>
                <c:pt idx="3">
                  <c:v>676845</c:v>
                </c:pt>
              </c:numCache>
            </c:numRef>
          </c:val>
          <c:extLst>
            <c:ext xmlns:c15="http://schemas.microsoft.com/office/drawing/2012/chart" uri="{02D57815-91ED-43cb-92C2-25804820EDAC}">
              <c15:categoryFilterExceptions>
                <c15:categoryFilterException>
                  <c15:sqref>q17_a_q19_q26_a_q29_q38_q41_Fig!$R$81</c15:sqref>
                  <c15:spPr xmlns:c15="http://schemas.microsoft.com/office/drawing/2012/chart">
                    <a:solidFill>
                      <a:srgbClr val="4F81BD"/>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A-B695-4285-8E11-92612446CC2B}"/>
            </c:ext>
          </c:extLst>
        </c:ser>
        <c:dLbls>
          <c:showLegendKey val="0"/>
          <c:showVal val="0"/>
          <c:showCatName val="0"/>
          <c:showSerName val="0"/>
          <c:showPercent val="0"/>
          <c:showBubbleSize val="0"/>
        </c:dLbls>
        <c:gapWidth val="118"/>
        <c:axId val="891633855"/>
        <c:axId val="1319480015"/>
      </c:barChart>
      <c:valAx>
        <c:axId val="1319480015"/>
        <c:scaling>
          <c:orientation val="minMax"/>
          <c:max val="1200000"/>
          <c:min val="0"/>
        </c:scaling>
        <c:delete val="1"/>
        <c:axPos val="t"/>
        <c:numFmt formatCode="#,##0" sourceLinked="1"/>
        <c:majorTickMark val="out"/>
        <c:minorTickMark val="none"/>
        <c:tickLblPos val="nextTo"/>
        <c:crossAx val="891633855"/>
        <c:crosses val="autoZero"/>
        <c:crossBetween val="between"/>
        <c:majorUnit val="400000"/>
      </c:valAx>
      <c:catAx>
        <c:axId val="891633855"/>
        <c:scaling>
          <c:orientation val="maxMin"/>
        </c:scaling>
        <c:delete val="0"/>
        <c:axPos val="l"/>
        <c:numFmt formatCode="General" sourceLinked="1"/>
        <c:majorTickMark val="out"/>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q22_q23_q34_q35_Fig!$AS$4</c:f>
              <c:strCache>
                <c:ptCount val="1"/>
                <c:pt idx="0">
                  <c:v>Remuneração 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3.0450466947445524E-2"/>
                  <c:y val="1.62528955922576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56-4B41-90AB-F1B52AB911CC}"/>
                </c:ext>
              </c:extLst>
            </c:dLbl>
            <c:dLbl>
              <c:idx val="10"/>
              <c:layout>
                <c:manualLayout>
                  <c:x val="6.5324697316061298E-3"/>
                  <c:y val="9.7795971422014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56-4B41-90AB-F1B52AB911CC}"/>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q22_q23_q34_q35_Fig!$AT$3:$BD$3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q22_q23_q34_q35_Fig!$AT$4:$BD$4</c:f>
              <c:numCache>
                <c:formatCode>#,##0.00</c:formatCode>
                <c:ptCount val="11"/>
                <c:pt idx="0">
                  <c:v>909.49</c:v>
                </c:pt>
                <c:pt idx="1">
                  <c:v>913.93</c:v>
                </c:pt>
                <c:pt idx="2">
                  <c:v>924.94</c:v>
                </c:pt>
                <c:pt idx="3">
                  <c:v>943</c:v>
                </c:pt>
                <c:pt idx="4">
                  <c:v>970.42</c:v>
                </c:pt>
                <c:pt idx="5">
                  <c:v>1005.09</c:v>
                </c:pt>
                <c:pt idx="6">
                  <c:v>1041.99</c:v>
                </c:pt>
                <c:pt idx="7">
                  <c:v>1082.77</c:v>
                </c:pt>
                <c:pt idx="8">
                  <c:v>1143.45</c:v>
                </c:pt>
                <c:pt idx="9">
                  <c:v>1219.8699999999999</c:v>
                </c:pt>
                <c:pt idx="10">
                  <c:v>1308.96</c:v>
                </c:pt>
              </c:numCache>
            </c:numRef>
          </c:val>
          <c:extLst>
            <c:ext xmlns:c16="http://schemas.microsoft.com/office/drawing/2014/chart" uri="{C3380CC4-5D6E-409C-BE32-E72D297353CC}">
              <c16:uniqueId val="{00000002-B756-4B41-90AB-F1B52AB911CC}"/>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q22_q23_q34_q35_Fig!$AS$5</c:f>
              <c:strCache>
                <c:ptCount val="1"/>
                <c:pt idx="0">
                  <c:v>Remuneração Ganho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3-B756-4B41-90AB-F1B52AB911CC}"/>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B756-4B41-90AB-F1B52AB911CC}"/>
              </c:ext>
            </c:extLst>
          </c:dPt>
          <c:dLbls>
            <c:dLbl>
              <c:idx val="0"/>
              <c:layout>
                <c:manualLayout>
                  <c:x val="2.1333290999915332E-2"/>
                  <c:y val="-8.80163742798135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56-4B41-90AB-F1B52AB911CC}"/>
                </c:ext>
              </c:extLst>
            </c:dLbl>
            <c:dLbl>
              <c:idx val="10"/>
              <c:layout>
                <c:manualLayout>
                  <c:x val="5.0125355442092786E-3"/>
                  <c:y val="-3.6456068735581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756-4B41-90AB-F1B52AB911CC}"/>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q22_q23_q34_q35_Fig!$AT$3:$BD$3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q22_q23_q34_q35_Fig!$AT$5:$BD$5</c:f>
              <c:numCache>
                <c:formatCode>#,##0.00</c:formatCode>
                <c:ptCount val="11"/>
                <c:pt idx="0">
                  <c:v>1093.21</c:v>
                </c:pt>
                <c:pt idx="1">
                  <c:v>1096.6600000000001</c:v>
                </c:pt>
                <c:pt idx="2">
                  <c:v>1107.8599999999999</c:v>
                </c:pt>
                <c:pt idx="3">
                  <c:v>1133.3399999999999</c:v>
                </c:pt>
                <c:pt idx="4">
                  <c:v>1170.25</c:v>
                </c:pt>
                <c:pt idx="5">
                  <c:v>1209.94</c:v>
                </c:pt>
                <c:pt idx="6">
                  <c:v>1250.75</c:v>
                </c:pt>
                <c:pt idx="7">
                  <c:v>1294.1099999999999</c:v>
                </c:pt>
                <c:pt idx="8">
                  <c:v>1368</c:v>
                </c:pt>
                <c:pt idx="9">
                  <c:v>1466.66</c:v>
                </c:pt>
                <c:pt idx="10">
                  <c:v>1582.75</c:v>
                </c:pt>
              </c:numCache>
            </c:numRef>
          </c:val>
          <c:smooth val="0"/>
          <c:extLst>
            <c:ext xmlns:c16="http://schemas.microsoft.com/office/drawing/2014/chart" uri="{C3380CC4-5D6E-409C-BE32-E72D297353CC}">
              <c16:uniqueId val="{00000006-B756-4B41-90AB-F1B52AB911CC}"/>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1600"/>
          <c:min val="0"/>
        </c:scaling>
        <c:delete val="0"/>
        <c:axPos val="l"/>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majorUnit val="200"/>
      </c:valAx>
      <c:spPr>
        <a:noFill/>
        <a:ln>
          <a:noFill/>
        </a:ln>
        <a:effectLst/>
      </c:spPr>
    </c:plotArea>
    <c:legend>
      <c:legendPos val="b"/>
      <c:layout>
        <c:manualLayout>
          <c:xMode val="edge"/>
          <c:yMode val="edge"/>
          <c:x val="0"/>
          <c:y val="0.90565922955255651"/>
          <c:w val="0.64269409872153083"/>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41320491579663"/>
          <c:y val="0.13893333333333333"/>
          <c:w val="0.63847227349341062"/>
          <c:h val="0.78091002624671901"/>
        </c:manualLayout>
      </c:layout>
      <c:barChart>
        <c:barDir val="bar"/>
        <c:grouping val="clustered"/>
        <c:varyColors val="0"/>
        <c:ser>
          <c:idx val="0"/>
          <c:order val="0"/>
          <c:tx>
            <c:strRef>
              <c:f>q17_a_q19_q26_a_q29_q38_q41_Fig!$Q$107</c:f>
              <c:strCache>
                <c:ptCount val="1"/>
                <c:pt idx="0">
                  <c:v>Base </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0-FE4F-4357-9EB5-D7BF786017E3}"/>
              </c:ext>
            </c:extLst>
          </c:dPt>
          <c:dPt>
            <c:idx val="1"/>
            <c:invertIfNegative val="0"/>
            <c:bubble3D val="0"/>
            <c:extLst>
              <c:ext xmlns:c16="http://schemas.microsoft.com/office/drawing/2014/chart" uri="{C3380CC4-5D6E-409C-BE32-E72D297353CC}">
                <c16:uniqueId val="{00000001-FE4F-4357-9EB5-D7BF786017E3}"/>
              </c:ext>
            </c:extLst>
          </c:dPt>
          <c:dPt>
            <c:idx val="2"/>
            <c:invertIfNegative val="0"/>
            <c:bubble3D val="0"/>
            <c:extLst>
              <c:ext xmlns:c16="http://schemas.microsoft.com/office/drawing/2014/chart" uri="{C3380CC4-5D6E-409C-BE32-E72D297353CC}">
                <c16:uniqueId val="{00000002-FE4F-4357-9EB5-D7BF786017E3}"/>
              </c:ext>
            </c:extLst>
          </c:dPt>
          <c:dPt>
            <c:idx val="3"/>
            <c:invertIfNegative val="0"/>
            <c:bubble3D val="0"/>
            <c:extLst>
              <c:ext xmlns:c16="http://schemas.microsoft.com/office/drawing/2014/chart" uri="{C3380CC4-5D6E-409C-BE32-E72D297353CC}">
                <c16:uniqueId val="{00000003-FE4F-4357-9EB5-D7BF786017E3}"/>
              </c:ext>
            </c:extLst>
          </c:dPt>
          <c:dPt>
            <c:idx val="4"/>
            <c:invertIfNegative val="0"/>
            <c:bubble3D val="0"/>
            <c:extLst>
              <c:ext xmlns:c16="http://schemas.microsoft.com/office/drawing/2014/chart" uri="{C3380CC4-5D6E-409C-BE32-E72D297353CC}">
                <c16:uniqueId val="{00000004-FE4F-4357-9EB5-D7BF786017E3}"/>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q17_a_q19_q26_a_q29_q38_q41_Fig!$R$106:$Y$106</c15:sqref>
                  </c15:fullRef>
                </c:ext>
              </c:extLst>
              <c:f>q17_a_q19_q26_a_q29_q38_q41_Fig!$S$106:$Y$106</c:f>
              <c:strCache>
                <c:ptCount val="7"/>
                <c:pt idx="0">
                  <c:v>&lt; 18 anos</c:v>
                </c:pt>
                <c:pt idx="1">
                  <c:v>18 - 24 anos</c:v>
                </c:pt>
                <c:pt idx="2">
                  <c:v>25 - 34 anos</c:v>
                </c:pt>
                <c:pt idx="3">
                  <c:v>35 - 44 anos</c:v>
                </c:pt>
                <c:pt idx="4">
                  <c:v>45 - 54 anos</c:v>
                </c:pt>
                <c:pt idx="5">
                  <c:v>55 - 64 anos</c:v>
                </c:pt>
                <c:pt idx="6">
                  <c:v>65 e + anos</c:v>
                </c:pt>
              </c:strCache>
            </c:strRef>
          </c:cat>
          <c:val>
            <c:numRef>
              <c:extLst>
                <c:ext xmlns:c15="http://schemas.microsoft.com/office/drawing/2012/chart" uri="{02D57815-91ED-43cb-92C2-25804820EDAC}">
                  <c15:fullRef>
                    <c15:sqref>q17_a_q19_q26_a_q29_q38_q41_Fig!$R$107:$Y$107</c15:sqref>
                  </c15:fullRef>
                </c:ext>
              </c:extLst>
              <c:f>q17_a_q19_q26_a_q29_q38_q41_Fig!$S$107:$Y$107</c:f>
              <c:numCache>
                <c:formatCode>#,##0.00\ "€"</c:formatCode>
                <c:ptCount val="7"/>
                <c:pt idx="0">
                  <c:v>1321.63</c:v>
                </c:pt>
                <c:pt idx="1">
                  <c:v>996.39</c:v>
                </c:pt>
                <c:pt idx="2">
                  <c:v>1218.3837835621853</c:v>
                </c:pt>
                <c:pt idx="3">
                  <c:v>1360.9851196135858</c:v>
                </c:pt>
                <c:pt idx="4">
                  <c:v>1412.1448217241295</c:v>
                </c:pt>
                <c:pt idx="5">
                  <c:v>1316.1852411793977</c:v>
                </c:pt>
                <c:pt idx="6">
                  <c:v>1413.77</c:v>
                </c:pt>
              </c:numCache>
            </c:numRef>
          </c:val>
          <c:extLst>
            <c:ext xmlns:c16="http://schemas.microsoft.com/office/drawing/2014/chart" uri="{C3380CC4-5D6E-409C-BE32-E72D297353CC}">
              <c16:uniqueId val="{00000005-FE4F-4357-9EB5-D7BF786017E3}"/>
            </c:ext>
          </c:extLst>
        </c:ser>
        <c:ser>
          <c:idx val="1"/>
          <c:order val="1"/>
          <c:tx>
            <c:strRef>
              <c:f>q17_a_q19_q26_a_q29_q38_q41_Fig!$Q$108</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q17_a_q19_q26_a_q29_q38_q41_Fig!$R$106:$Y$106</c15:sqref>
                  </c15:fullRef>
                </c:ext>
              </c:extLst>
              <c:f>q17_a_q19_q26_a_q29_q38_q41_Fig!$S$106:$Y$106</c:f>
              <c:strCache>
                <c:ptCount val="7"/>
                <c:pt idx="0">
                  <c:v>&lt; 18 anos</c:v>
                </c:pt>
                <c:pt idx="1">
                  <c:v>18 - 24 anos</c:v>
                </c:pt>
                <c:pt idx="2">
                  <c:v>25 - 34 anos</c:v>
                </c:pt>
                <c:pt idx="3">
                  <c:v>35 - 44 anos</c:v>
                </c:pt>
                <c:pt idx="4">
                  <c:v>45 - 54 anos</c:v>
                </c:pt>
                <c:pt idx="5">
                  <c:v>55 - 64 anos</c:v>
                </c:pt>
                <c:pt idx="6">
                  <c:v>65 e + anos</c:v>
                </c:pt>
              </c:strCache>
            </c:strRef>
          </c:cat>
          <c:val>
            <c:numRef>
              <c:extLst>
                <c:ext xmlns:c15="http://schemas.microsoft.com/office/drawing/2012/chart" uri="{02D57815-91ED-43cb-92C2-25804820EDAC}">
                  <c15:fullRef>
                    <c15:sqref>q17_a_q19_q26_a_q29_q38_q41_Fig!$R$108:$Y$108</c15:sqref>
                  </c15:fullRef>
                </c:ext>
              </c:extLst>
              <c:f>q17_a_q19_q26_a_q29_q38_q41_Fig!$S$108:$Y$108</c:f>
              <c:numCache>
                <c:formatCode>#,##0.00\ "€"</c:formatCode>
                <c:ptCount val="7"/>
                <c:pt idx="0">
                  <c:v>1427.69</c:v>
                </c:pt>
                <c:pt idx="1">
                  <c:v>1191.1199999999999</c:v>
                </c:pt>
                <c:pt idx="2">
                  <c:v>1459.7882770853512</c:v>
                </c:pt>
                <c:pt idx="3">
                  <c:v>1645.469162122856</c:v>
                </c:pt>
                <c:pt idx="4">
                  <c:v>1722.5511225340456</c:v>
                </c:pt>
                <c:pt idx="5">
                  <c:v>1600.2360382917216</c:v>
                </c:pt>
                <c:pt idx="6">
                  <c:v>1651.23</c:v>
                </c:pt>
              </c:numCache>
            </c:numRef>
          </c:val>
          <c:extLst>
            <c:ext xmlns:c15="http://schemas.microsoft.com/office/drawing/2012/chart" uri="{02D57815-91ED-43cb-92C2-25804820EDAC}">
              <c15:categoryFilterExceptions>
                <c15:categoryFilterException>
                  <c15:sqref>q17_a_q19_q26_a_q29_q38_q41_Fig!$R$108</c15:sqref>
                  <c15:spPr xmlns:c15="http://schemas.microsoft.com/office/drawing/2012/chart">
                    <a:solidFill>
                      <a:sysClr val="window" lastClr="FFFFFF">
                        <a:lumMod val="85000"/>
                      </a:sysClr>
                    </a:solidFill>
                    <a:ln w="19050">
                      <a:solidFill>
                        <a:schemeClr val="lt1"/>
                      </a:solidFill>
                    </a:ln>
                    <a:effectLst/>
                  </c15:spPr>
                  <c15:invertIfNegative val="0"/>
                  <c15:bubble3D val="0"/>
                  <c15:dLbl>
                    <c:idx val="-1"/>
                    <c:dLblPos val="inEnd"/>
                    <c:showLegendKey val="0"/>
                    <c:showVal val="1"/>
                    <c:showCatName val="0"/>
                    <c:showSerName val="1"/>
                    <c:showPercent val="0"/>
                    <c:showBubbleSize val="0"/>
                    <c:separator> </c:separator>
                    <c:extLst>
                      <c:ext uri="{CE6537A1-D6FC-4f65-9D91-7224C49458BB}"/>
                      <c:ext xmlns:c16="http://schemas.microsoft.com/office/drawing/2014/chart" uri="{C3380CC4-5D6E-409C-BE32-E72D297353CC}">
                        <c16:uniqueId val="{00000006-8A7D-4D2F-B360-2C5476B9033F}"/>
                      </c:ext>
                    </c:extLst>
                  </c15:dLbl>
                </c15:categoryFilterException>
              </c15:categoryFilterExceptions>
            </c:ext>
            <c:ext xmlns:c16="http://schemas.microsoft.com/office/drawing/2014/chart" uri="{C3380CC4-5D6E-409C-BE32-E72D297353CC}">
              <c16:uniqueId val="{00000006-FE4F-4357-9EB5-D7BF786017E3}"/>
            </c:ext>
          </c:extLst>
        </c:ser>
        <c:dLbls>
          <c:showLegendKey val="0"/>
          <c:showVal val="0"/>
          <c:showCatName val="0"/>
          <c:showSerName val="0"/>
          <c:showPercent val="0"/>
          <c:showBubbleSize val="0"/>
        </c:dLbls>
        <c:gapWidth val="42"/>
        <c:axId val="891633855"/>
        <c:axId val="1319480015"/>
      </c:barChart>
      <c:valAx>
        <c:axId val="1319480015"/>
        <c:scaling>
          <c:orientation val="minMax"/>
          <c:max val="20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out"/>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52993679015136186"/>
          <c:y val="1.7451035760195285E-2"/>
          <c:w val="0.21659713598755717"/>
          <c:h val="9.798516112321462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205684241132001E-2"/>
          <c:y val="0.22899703122140164"/>
          <c:w val="0.93679431575886796"/>
          <c:h val="0.77100296877859842"/>
        </c:manualLayout>
      </c:layout>
      <c:barChart>
        <c:barDir val="bar"/>
        <c:grouping val="clustered"/>
        <c:varyColors val="0"/>
        <c:ser>
          <c:idx val="0"/>
          <c:order val="0"/>
          <c:tx>
            <c:strRef>
              <c:f>q17_a_q19_q26_a_q29_q38_q41_Fig!$S$96</c:f>
              <c:strCache>
                <c:ptCount val="1"/>
                <c:pt idx="0">
                  <c:v>Base - H</c:v>
                </c:pt>
              </c:strCache>
            </c:strRef>
          </c:tx>
          <c:spPr>
            <a:solidFill>
              <a:srgbClr val="4F81BD"/>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q17_a_q19_q26_a_q29_q38_q41_Fig!$R$97:$R$103</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q17_a_q19_q26_a_q29_q38_q41_Fig!$S$97:$S$103</c:f>
              <c:numCache>
                <c:formatCode>#,##0.00\ "€"</c:formatCode>
                <c:ptCount val="7"/>
                <c:pt idx="0">
                  <c:v>-1446.9</c:v>
                </c:pt>
                <c:pt idx="1">
                  <c:v>-1025.51</c:v>
                </c:pt>
                <c:pt idx="2">
                  <c:v>-1250.965635030389</c:v>
                </c:pt>
                <c:pt idx="3">
                  <c:v>-1434.8524908108961</c:v>
                </c:pt>
                <c:pt idx="4">
                  <c:v>-1520.8383123051801</c:v>
                </c:pt>
                <c:pt idx="5">
                  <c:v>-1434.3463126994259</c:v>
                </c:pt>
                <c:pt idx="6">
                  <c:v>-1519.75</c:v>
                </c:pt>
              </c:numCache>
            </c:numRef>
          </c:val>
          <c:extLst>
            <c:ext xmlns:c16="http://schemas.microsoft.com/office/drawing/2014/chart" uri="{C3380CC4-5D6E-409C-BE32-E72D297353CC}">
              <c16:uniqueId val="{00000000-AFCC-475E-88CB-DC5F801C852C}"/>
            </c:ext>
          </c:extLst>
        </c:ser>
        <c:ser>
          <c:idx val="1"/>
          <c:order val="1"/>
          <c:tx>
            <c:strRef>
              <c:f>q17_a_q19_q26_a_q29_q38_q41_Fig!$T$96</c:f>
              <c:strCache>
                <c:ptCount val="1"/>
                <c:pt idx="0">
                  <c:v>Ganho - H</c:v>
                </c:pt>
              </c:strCache>
            </c:strRef>
          </c:tx>
          <c:spPr>
            <a:solidFill>
              <a:srgbClr val="FFC000"/>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q17_a_q19_q26_a_q29_q38_q41_Fig!$R$97:$R$103</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q17_a_q19_q26_a_q29_q38_q41_Fig!$T$97:$T$103</c:f>
              <c:numCache>
                <c:formatCode>#,##0.00\ "€"</c:formatCode>
                <c:ptCount val="7"/>
                <c:pt idx="0">
                  <c:v>-1544.65</c:v>
                </c:pt>
                <c:pt idx="1">
                  <c:v>-1230.2</c:v>
                </c:pt>
                <c:pt idx="2">
                  <c:v>-1510.0488478925288</c:v>
                </c:pt>
                <c:pt idx="3">
                  <c:v>-1756.2152658357013</c:v>
                </c:pt>
                <c:pt idx="4">
                  <c:v>-1884.0243925337686</c:v>
                </c:pt>
                <c:pt idx="5">
                  <c:v>-1776.1291780472241</c:v>
                </c:pt>
                <c:pt idx="6">
                  <c:v>-1785.68</c:v>
                </c:pt>
              </c:numCache>
            </c:numRef>
          </c:val>
          <c:extLst>
            <c:ext xmlns:c16="http://schemas.microsoft.com/office/drawing/2014/chart" uri="{C3380CC4-5D6E-409C-BE32-E72D297353CC}">
              <c16:uniqueId val="{00000001-AFCC-475E-88CB-DC5F801C852C}"/>
            </c:ext>
          </c:extLst>
        </c:ser>
        <c:dLbls>
          <c:showLegendKey val="0"/>
          <c:showVal val="0"/>
          <c:showCatName val="0"/>
          <c:showSerName val="0"/>
          <c:showPercent val="0"/>
          <c:showBubbleSize val="0"/>
        </c:dLbls>
        <c:gapWidth val="42"/>
        <c:axId val="1450378176"/>
        <c:axId val="1375020736"/>
      </c:barChart>
      <c:barChart>
        <c:barDir val="bar"/>
        <c:grouping val="clustered"/>
        <c:varyColors val="0"/>
        <c:ser>
          <c:idx val="2"/>
          <c:order val="2"/>
          <c:tx>
            <c:strRef>
              <c:f>q17_a_q19_q26_a_q29_q38_q41_Fig!$U$96</c:f>
              <c:strCache>
                <c:ptCount val="1"/>
                <c:pt idx="0">
                  <c:v>Base - M</c:v>
                </c:pt>
              </c:strCache>
            </c:strRef>
          </c:tx>
          <c:spPr>
            <a:solidFill>
              <a:srgbClr val="95B3D7"/>
            </a:solidFill>
          </c:spPr>
          <c:invertIfNegative val="0"/>
          <c:dLbls>
            <c:spPr>
              <a:noFill/>
              <a:ln>
                <a:noFill/>
              </a:ln>
              <a:effectLst/>
            </c:spPr>
            <c:txPr>
              <a:bodyPr wrap="none" lIns="38100" tIns="19050" rIns="38100" bIns="19050" anchor="ctr">
                <a:spAutoFit/>
              </a:bodyPr>
              <a:lstStyle/>
              <a:p>
                <a:pPr>
                  <a:defRPr sz="700" b="0"/>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q17_a_q19_q26_a_q29_q38_q41_Fig!$R$97:$R$103</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q17_a_q19_q26_a_q29_q38_q41_Fig!$U$97:$U$103</c:f>
              <c:numCache>
                <c:formatCode>#,##0.00\ "€"</c:formatCode>
                <c:ptCount val="7"/>
                <c:pt idx="0">
                  <c:v>888.86</c:v>
                </c:pt>
                <c:pt idx="1">
                  <c:v>956.09</c:v>
                </c:pt>
                <c:pt idx="2">
                  <c:v>1176.5559239708268</c:v>
                </c:pt>
                <c:pt idx="3">
                  <c:v>1270.4699891197349</c:v>
                </c:pt>
                <c:pt idx="4">
                  <c:v>1288.1139574240785</c:v>
                </c:pt>
                <c:pt idx="5">
                  <c:v>1167.6433434357841</c:v>
                </c:pt>
                <c:pt idx="6">
                  <c:v>1234.77</c:v>
                </c:pt>
              </c:numCache>
            </c:numRef>
          </c:val>
          <c:extLst>
            <c:ext xmlns:c16="http://schemas.microsoft.com/office/drawing/2014/chart" uri="{C3380CC4-5D6E-409C-BE32-E72D297353CC}">
              <c16:uniqueId val="{00000002-AFCC-475E-88CB-DC5F801C852C}"/>
            </c:ext>
          </c:extLst>
        </c:ser>
        <c:ser>
          <c:idx val="3"/>
          <c:order val="3"/>
          <c:tx>
            <c:strRef>
              <c:f>q17_a_q19_q26_a_q29_q38_q41_Fig!$V$96</c:f>
              <c:strCache>
                <c:ptCount val="1"/>
                <c:pt idx="0">
                  <c:v>Ganho - M</c:v>
                </c:pt>
              </c:strCache>
            </c:strRef>
          </c:tx>
          <c:spPr>
            <a:solidFill>
              <a:srgbClr val="FFEF57"/>
            </a:solidFill>
          </c:spPr>
          <c:invertIfNegative val="0"/>
          <c:dLbls>
            <c:spPr>
              <a:noFill/>
              <a:ln>
                <a:noFill/>
              </a:ln>
              <a:effectLst/>
            </c:spPr>
            <c:txPr>
              <a:bodyPr wrap="none" lIns="38100" tIns="19050" rIns="38100" bIns="19050" anchor="ctr">
                <a:sp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q17_a_q19_q26_a_q29_q38_q41_Fig!$R$97:$R$103</c:f>
              <c:strCache>
                <c:ptCount val="7"/>
                <c:pt idx="0">
                  <c:v>&lt; 18 anos</c:v>
                </c:pt>
                <c:pt idx="1">
                  <c:v>18 - 24 anos</c:v>
                </c:pt>
                <c:pt idx="2">
                  <c:v>25 - 34 anos</c:v>
                </c:pt>
                <c:pt idx="3">
                  <c:v>35 - 44 anos</c:v>
                </c:pt>
                <c:pt idx="4">
                  <c:v>45 - 54 anos</c:v>
                </c:pt>
                <c:pt idx="5">
                  <c:v>55 - 64 anos</c:v>
                </c:pt>
                <c:pt idx="6">
                  <c:v>65 e + anos</c:v>
                </c:pt>
              </c:strCache>
            </c:strRef>
          </c:cat>
          <c:val>
            <c:numRef>
              <c:f>q17_a_q19_q26_a_q29_q38_q41_Fig!$V$97:$V$103</c:f>
              <c:numCache>
                <c:formatCode>#,##0.00\ "€"</c:formatCode>
                <c:ptCount val="7"/>
                <c:pt idx="0">
                  <c:v>1023.65</c:v>
                </c:pt>
                <c:pt idx="1">
                  <c:v>1137.02</c:v>
                </c:pt>
                <c:pt idx="2">
                  <c:v>1395.2639475107721</c:v>
                </c:pt>
                <c:pt idx="3">
                  <c:v>1509.7697170094814</c:v>
                </c:pt>
                <c:pt idx="4">
                  <c:v>1538.3108694972445</c:v>
                </c:pt>
                <c:pt idx="5">
                  <c:v>1379.1083256079298</c:v>
                </c:pt>
                <c:pt idx="6">
                  <c:v>1424.15</c:v>
                </c:pt>
              </c:numCache>
            </c:numRef>
          </c:val>
          <c:extLst>
            <c:ext xmlns:c16="http://schemas.microsoft.com/office/drawing/2014/chart" uri="{C3380CC4-5D6E-409C-BE32-E72D297353CC}">
              <c16:uniqueId val="{00000003-AFCC-475E-88CB-DC5F801C852C}"/>
            </c:ext>
          </c:extLst>
        </c:ser>
        <c:dLbls>
          <c:showLegendKey val="0"/>
          <c:showVal val="0"/>
          <c:showCatName val="0"/>
          <c:showSerName val="0"/>
          <c:showPercent val="0"/>
          <c:showBubbleSize val="0"/>
        </c:dLbls>
        <c:gapWidth val="42"/>
        <c:axId val="1450370176"/>
        <c:axId val="1375018240"/>
      </c:barChart>
      <c:valAx>
        <c:axId val="1375020736"/>
        <c:scaling>
          <c:orientation val="minMax"/>
        </c:scaling>
        <c:delete val="1"/>
        <c:axPos val="b"/>
        <c:numFmt formatCode="#,##0.00\ &quot;€&quot;" sourceLinked="1"/>
        <c:majorTickMark val="out"/>
        <c:minorTickMark val="none"/>
        <c:tickLblPos val="nextTo"/>
        <c:crossAx val="1450378176"/>
        <c:crosses val="max"/>
        <c:crossBetween val="between"/>
      </c:valAx>
      <c:catAx>
        <c:axId val="1450378176"/>
        <c:scaling>
          <c:orientation val="maxMin"/>
        </c:scaling>
        <c:delete val="1"/>
        <c:axPos val="l"/>
        <c:numFmt formatCode="General" sourceLinked="1"/>
        <c:majorTickMark val="out"/>
        <c:minorTickMark val="none"/>
        <c:tickLblPos val="nextTo"/>
        <c:crossAx val="1375020736"/>
        <c:crosses val="autoZero"/>
        <c:auto val="1"/>
        <c:lblAlgn val="ctr"/>
        <c:lblOffset val="100"/>
        <c:noMultiLvlLbl val="0"/>
      </c:catAx>
      <c:valAx>
        <c:axId val="1375018240"/>
        <c:scaling>
          <c:orientation val="minMax"/>
        </c:scaling>
        <c:delete val="1"/>
        <c:axPos val="t"/>
        <c:numFmt formatCode="#,##0.00\ &quot;€&quot;" sourceLinked="1"/>
        <c:majorTickMark val="out"/>
        <c:minorTickMark val="none"/>
        <c:tickLblPos val="nextTo"/>
        <c:crossAx val="1450370176"/>
        <c:crosses val="autoZero"/>
        <c:crossBetween val="between"/>
      </c:valAx>
      <c:catAx>
        <c:axId val="1450370176"/>
        <c:scaling>
          <c:orientation val="maxMin"/>
        </c:scaling>
        <c:delete val="1"/>
        <c:axPos val="r"/>
        <c:numFmt formatCode="General" sourceLinked="1"/>
        <c:majorTickMark val="out"/>
        <c:minorTickMark val="none"/>
        <c:tickLblPos val="nextTo"/>
        <c:crossAx val="1375018240"/>
        <c:crosses val="max"/>
        <c:auto val="1"/>
        <c:lblAlgn val="ctr"/>
        <c:lblOffset val="100"/>
        <c:noMultiLvlLbl val="0"/>
      </c:catAx>
      <c:spPr>
        <a:noFill/>
        <a:ln>
          <a:noFill/>
        </a:ln>
        <a:effectLst/>
      </c:spPr>
    </c:plotArea>
    <c:legend>
      <c:legendPos val="t"/>
      <c:layout>
        <c:manualLayout>
          <c:xMode val="edge"/>
          <c:yMode val="edge"/>
          <c:x val="0.10183330070804396"/>
          <c:y val="2.6527633955922166E-2"/>
          <c:w val="0.8636341084320287"/>
          <c:h val="5.2745989459947698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345665328524363E-2"/>
          <c:y val="0.18179050350130707"/>
          <c:w val="0.60632456527300227"/>
          <c:h val="0.70374569616569937"/>
        </c:manualLayout>
      </c:layout>
      <c:barChart>
        <c:barDir val="bar"/>
        <c:grouping val="clustered"/>
        <c:varyColors val="0"/>
        <c:ser>
          <c:idx val="0"/>
          <c:order val="0"/>
          <c:tx>
            <c:strRef>
              <c:f>q17_a_q19_q26_a_q29_q38_q41_Fig!$Q$156</c:f>
              <c:strCache>
                <c:ptCount val="1"/>
                <c:pt idx="0">
                  <c:v>Base</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0-0A64-443D-AA8C-2A067C297490}"/>
              </c:ext>
            </c:extLst>
          </c:dPt>
          <c:dPt>
            <c:idx val="1"/>
            <c:invertIfNegative val="0"/>
            <c:bubble3D val="0"/>
            <c:extLst>
              <c:ext xmlns:c16="http://schemas.microsoft.com/office/drawing/2014/chart" uri="{C3380CC4-5D6E-409C-BE32-E72D297353CC}">
                <c16:uniqueId val="{00000001-0A64-443D-AA8C-2A067C297490}"/>
              </c:ext>
            </c:extLst>
          </c:dPt>
          <c:dPt>
            <c:idx val="2"/>
            <c:invertIfNegative val="0"/>
            <c:bubble3D val="0"/>
            <c:extLst>
              <c:ext xmlns:c16="http://schemas.microsoft.com/office/drawing/2014/chart" uri="{C3380CC4-5D6E-409C-BE32-E72D297353CC}">
                <c16:uniqueId val="{00000002-0A64-443D-AA8C-2A067C297490}"/>
              </c:ext>
            </c:extLst>
          </c:dPt>
          <c:dPt>
            <c:idx val="3"/>
            <c:invertIfNegative val="0"/>
            <c:bubble3D val="0"/>
            <c:extLst>
              <c:ext xmlns:c16="http://schemas.microsoft.com/office/drawing/2014/chart" uri="{C3380CC4-5D6E-409C-BE32-E72D297353CC}">
                <c16:uniqueId val="{00000003-0A64-443D-AA8C-2A067C297490}"/>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q17_a_q19_q26_a_q29_q38_q41_Fig!$R$155:$W$155</c15:sqref>
                  </c15:fullRef>
                </c:ext>
              </c:extLst>
              <c:f>q17_a_q19_q26_a_q29_q38_q41_Fig!$S$155:$V$155</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q17_a_q19_q26_a_q29_q38_q41_Fig!$R$156:$W$156</c15:sqref>
                  </c15:fullRef>
                </c:ext>
              </c:extLst>
              <c:f>q17_a_q19_q26_a_q29_q38_q41_Fig!$S$156:$V$156</c:f>
              <c:numCache>
                <c:formatCode>#,##0.00\ "€"</c:formatCode>
                <c:ptCount val="4"/>
                <c:pt idx="0">
                  <c:v>880.14</c:v>
                </c:pt>
                <c:pt idx="1">
                  <c:v>995.25</c:v>
                </c:pt>
                <c:pt idx="2">
                  <c:v>1120.8900000000001</c:v>
                </c:pt>
                <c:pt idx="3">
                  <c:v>1990.45</c:v>
                </c:pt>
              </c:numCache>
            </c:numRef>
          </c:val>
          <c:extLst>
            <c:ext xmlns:c15="http://schemas.microsoft.com/office/drawing/2012/chart" uri="{02D57815-91ED-43cb-92C2-25804820EDAC}">
              <c15:categoryFilterExceptions>
                <c15:categoryFilterException>
                  <c15:sqref>q17_a_q19_q26_a_q29_q38_q41_Fig!$W$156</c15:sqref>
                  <c15:spPr xmlns:c15="http://schemas.microsoft.com/office/drawing/2012/chart">
                    <a:solidFill>
                      <a:srgbClr val="4F81BD"/>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4-0A64-443D-AA8C-2A067C297490}"/>
            </c:ext>
          </c:extLst>
        </c:ser>
        <c:ser>
          <c:idx val="1"/>
          <c:order val="1"/>
          <c:tx>
            <c:strRef>
              <c:f>q17_a_q19_q26_a_q29_q38_q41_Fig!$Q$157</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q17_a_q19_q26_a_q29_q38_q41_Fig!$R$155:$W$155</c15:sqref>
                  </c15:fullRef>
                </c:ext>
              </c:extLst>
              <c:f>q17_a_q19_q26_a_q29_q38_q41_Fig!$S$155:$V$155</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q17_a_q19_q26_a_q29_q38_q41_Fig!$R$157:$W$157</c15:sqref>
                  </c15:fullRef>
                </c:ext>
              </c:extLst>
              <c:f>q17_a_q19_q26_a_q29_q38_q41_Fig!$S$157:$V$157</c:f>
              <c:numCache>
                <c:formatCode>#,##0.00\ "€"</c:formatCode>
                <c:ptCount val="4"/>
                <c:pt idx="0">
                  <c:v>1032.94</c:v>
                </c:pt>
                <c:pt idx="1">
                  <c:v>1209.6199999999999</c:v>
                </c:pt>
                <c:pt idx="2">
                  <c:v>1382.39</c:v>
                </c:pt>
                <c:pt idx="3">
                  <c:v>2363.21</c:v>
                </c:pt>
              </c:numCache>
            </c:numRef>
          </c:val>
          <c:extLst>
            <c:ext xmlns:c16="http://schemas.microsoft.com/office/drawing/2014/chart" uri="{C3380CC4-5D6E-409C-BE32-E72D297353CC}">
              <c16:uniqueId val="{00000005-0A64-443D-AA8C-2A067C297490}"/>
            </c:ext>
          </c:extLst>
        </c:ser>
        <c:dLbls>
          <c:showLegendKey val="0"/>
          <c:showVal val="0"/>
          <c:showCatName val="0"/>
          <c:showSerName val="0"/>
          <c:showPercent val="0"/>
          <c:showBubbleSize val="0"/>
        </c:dLbls>
        <c:gapWidth val="42"/>
        <c:axId val="891633855"/>
        <c:axId val="1319480015"/>
      </c:barChart>
      <c:valAx>
        <c:axId val="1319480015"/>
        <c:scaling>
          <c:orientation val="minMax"/>
          <c:max val="25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9273983843809283"/>
          <c:y val="8.2522611688207285E-3"/>
          <c:w val="0.23703567588317281"/>
          <c:h val="6.992608664633585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742641318886547"/>
          <c:y val="0.17702860588135602"/>
          <c:w val="0.7546157966014222"/>
          <c:h val="0.74281478392983291"/>
        </c:manualLayout>
      </c:layout>
      <c:barChart>
        <c:barDir val="bar"/>
        <c:grouping val="clustered"/>
        <c:varyColors val="0"/>
        <c:ser>
          <c:idx val="0"/>
          <c:order val="0"/>
          <c:tx>
            <c:strRef>
              <c:f>q17_a_q19_q26_a_q29_q38_q41_Fig!$Q$161</c:f>
              <c:strCache>
                <c:ptCount val="1"/>
                <c:pt idx="0">
                  <c:v>Base</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0-1E7C-482C-B8DB-5954607137C7}"/>
              </c:ext>
            </c:extLst>
          </c:dPt>
          <c:dPt>
            <c:idx val="1"/>
            <c:invertIfNegative val="0"/>
            <c:bubble3D val="0"/>
            <c:extLst>
              <c:ext xmlns:c16="http://schemas.microsoft.com/office/drawing/2014/chart" uri="{C3380CC4-5D6E-409C-BE32-E72D297353CC}">
                <c16:uniqueId val="{00000001-1E7C-482C-B8DB-5954607137C7}"/>
              </c:ext>
            </c:extLst>
          </c:dPt>
          <c:dPt>
            <c:idx val="2"/>
            <c:invertIfNegative val="0"/>
            <c:bubble3D val="0"/>
            <c:extLst>
              <c:ext xmlns:c16="http://schemas.microsoft.com/office/drawing/2014/chart" uri="{C3380CC4-5D6E-409C-BE32-E72D297353CC}">
                <c16:uniqueId val="{00000002-1E7C-482C-B8DB-5954607137C7}"/>
              </c:ext>
            </c:extLst>
          </c:dPt>
          <c:dPt>
            <c:idx val="3"/>
            <c:invertIfNegative val="0"/>
            <c:bubble3D val="0"/>
            <c:extLst>
              <c:ext xmlns:c16="http://schemas.microsoft.com/office/drawing/2014/chart" uri="{C3380CC4-5D6E-409C-BE32-E72D297353CC}">
                <c16:uniqueId val="{00000003-1E7C-482C-B8DB-5954607137C7}"/>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q17_a_q19_q26_a_q29_q38_q41_Fig!$R$160:$W$160</c15:sqref>
                  </c15:fullRef>
                </c:ext>
              </c:extLst>
              <c:f>q17_a_q19_q26_a_q29_q38_q41_Fig!$S$160:$V$160</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q17_a_q19_q26_a_q29_q38_q41_Fig!$R$161:$W$161</c15:sqref>
                  </c15:fullRef>
                </c:ext>
              </c:extLst>
              <c:f>q17_a_q19_q26_a_q29_q38_q41_Fig!$S$161:$V$161</c:f>
              <c:numCache>
                <c:formatCode>#,##0.00\ "€"</c:formatCode>
                <c:ptCount val="4"/>
                <c:pt idx="0">
                  <c:v>820</c:v>
                </c:pt>
                <c:pt idx="1">
                  <c:v>870</c:v>
                </c:pt>
                <c:pt idx="2">
                  <c:v>903.8</c:v>
                </c:pt>
                <c:pt idx="3">
                  <c:v>1544</c:v>
                </c:pt>
              </c:numCache>
            </c:numRef>
          </c:val>
          <c:extLst>
            <c:ext xmlns:c15="http://schemas.microsoft.com/office/drawing/2012/chart" uri="{02D57815-91ED-43cb-92C2-25804820EDAC}">
              <c15:categoryFilterExceptions>
                <c15:categoryFilterException>
                  <c15:sqref>q17_a_q19_q26_a_q29_q38_q41_Fig!$W$161</c15:sqref>
                  <c15:spPr xmlns:c15="http://schemas.microsoft.com/office/drawing/2012/chart">
                    <a:solidFill>
                      <a:srgbClr val="4F81BD"/>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4-1E7C-482C-B8DB-5954607137C7}"/>
            </c:ext>
          </c:extLst>
        </c:ser>
        <c:ser>
          <c:idx val="1"/>
          <c:order val="1"/>
          <c:tx>
            <c:strRef>
              <c:f>q17_a_q19_q26_a_q29_q38_q41_Fig!$Q$162</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q17_a_q19_q26_a_q29_q38_q41_Fig!$R$160:$W$160</c15:sqref>
                  </c15:fullRef>
                </c:ext>
              </c:extLst>
              <c:f>q17_a_q19_q26_a_q29_q38_q41_Fig!$S$160:$V$160</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q17_a_q19_q26_a_q29_q38_q41_Fig!$R$162:$W$162</c15:sqref>
                  </c15:fullRef>
                </c:ext>
              </c:extLst>
              <c:f>q17_a_q19_q26_a_q29_q38_q41_Fig!$S$162:$V$162</c:f>
              <c:numCache>
                <c:formatCode>#,##0.00\ "€"</c:formatCode>
                <c:ptCount val="4"/>
                <c:pt idx="0">
                  <c:v>958</c:v>
                </c:pt>
                <c:pt idx="1">
                  <c:v>1047.94</c:v>
                </c:pt>
                <c:pt idx="2">
                  <c:v>1132.5</c:v>
                </c:pt>
                <c:pt idx="3">
                  <c:v>1853</c:v>
                </c:pt>
              </c:numCache>
            </c:numRef>
          </c:val>
          <c:extLst>
            <c:ext xmlns:c16="http://schemas.microsoft.com/office/drawing/2014/chart" uri="{C3380CC4-5D6E-409C-BE32-E72D297353CC}">
              <c16:uniqueId val="{00000005-1E7C-482C-B8DB-5954607137C7}"/>
            </c:ext>
          </c:extLst>
        </c:ser>
        <c:dLbls>
          <c:showLegendKey val="0"/>
          <c:showVal val="0"/>
          <c:showCatName val="0"/>
          <c:showSerName val="0"/>
          <c:showPercent val="0"/>
          <c:showBubbleSize val="0"/>
        </c:dLbls>
        <c:gapWidth val="42"/>
        <c:axId val="891633855"/>
        <c:axId val="1319480015"/>
      </c:barChart>
      <c:valAx>
        <c:axId val="1319480015"/>
        <c:scaling>
          <c:orientation val="minMax"/>
          <c:max val="25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4825260812496481"/>
          <c:y val="3.8008150319151146E-3"/>
          <c:w val="0.2584854060556499"/>
          <c:h val="7.711706036745406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661888417793929"/>
          <c:y val="0.27515080793654073"/>
          <c:w val="0.84338111582206066"/>
          <c:h val="0.72484919206345932"/>
        </c:manualLayout>
      </c:layout>
      <c:barChart>
        <c:barDir val="bar"/>
        <c:grouping val="clustered"/>
        <c:varyColors val="0"/>
        <c:ser>
          <c:idx val="0"/>
          <c:order val="0"/>
          <c:tx>
            <c:strRef>
              <c:f>q17_a_q19_q26_a_q29_q38_q41_Fig!$R$44</c:f>
              <c:strCache>
                <c:ptCount val="1"/>
                <c:pt idx="0">
                  <c:v>Homens</c:v>
                </c:pt>
              </c:strCache>
            </c:strRef>
          </c:tx>
          <c:spPr>
            <a:solidFill>
              <a:srgbClr val="4F81BD"/>
            </a:solidFill>
            <a:ln>
              <a:noFill/>
            </a:ln>
            <a:effectLst/>
            <a:scene3d>
              <a:camera prst="orthographicFront"/>
              <a:lightRig rig="threePt" dir="t"/>
            </a:scene3d>
            <a:sp3d>
              <a:bevelT w="0" h="0"/>
              <a:bevelB w="0" h="0"/>
            </a:sp3d>
          </c:spPr>
          <c:invertIfNegative val="0"/>
          <c:dLbls>
            <c:numFmt formatCode="#,##0;#,##0" sourceLinked="0"/>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q17_a_q19_q26_a_q29_q38_q41_Fig!$Q$45:$Q$52</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q17_a_q19_q26_a_q29_q38_q41_Fig!$R$45:$R$52</c:f>
              <c:numCache>
                <c:formatCode>#,##0</c:formatCode>
                <c:ptCount val="8"/>
                <c:pt idx="0">
                  <c:v>-171641</c:v>
                </c:pt>
                <c:pt idx="1">
                  <c:v>-101765</c:v>
                </c:pt>
                <c:pt idx="2">
                  <c:v>-96673</c:v>
                </c:pt>
                <c:pt idx="3">
                  <c:v>-158519</c:v>
                </c:pt>
                <c:pt idx="4">
                  <c:v>-696010</c:v>
                </c:pt>
                <c:pt idx="5">
                  <c:v>-300507</c:v>
                </c:pt>
                <c:pt idx="6">
                  <c:v>-215398</c:v>
                </c:pt>
                <c:pt idx="7">
                  <c:v>-43199</c:v>
                </c:pt>
              </c:numCache>
            </c:numRef>
          </c:val>
          <c:extLst>
            <c:ext xmlns:c16="http://schemas.microsoft.com/office/drawing/2014/chart" uri="{C3380CC4-5D6E-409C-BE32-E72D297353CC}">
              <c16:uniqueId val="{00000000-1154-43D7-BBE2-6DFCBD41DFCB}"/>
            </c:ext>
          </c:extLst>
        </c:ser>
        <c:ser>
          <c:idx val="1"/>
          <c:order val="1"/>
          <c:tx>
            <c:strRef>
              <c:f>q17_a_q19_q26_a_q29_q38_q41_Fig!$S$44</c:f>
              <c:strCache>
                <c:ptCount val="1"/>
                <c:pt idx="0">
                  <c:v>Mulheres</c:v>
                </c:pt>
              </c:strCache>
            </c:strRef>
          </c:tx>
          <c:spPr>
            <a:solidFill>
              <a:srgbClr val="FFC000"/>
            </a:solidFill>
            <a:ln>
              <a:noFill/>
            </a:ln>
            <a:effectLst/>
            <a:scene3d>
              <a:camera prst="orthographicFront"/>
              <a:lightRig rig="threePt" dir="t"/>
            </a:scene3d>
            <a:sp3d>
              <a:bevelT w="0" h="0"/>
              <a:bevelB w="0" h="0"/>
            </a:sp3d>
          </c:spPr>
          <c:invertIfNegative val="0"/>
          <c:dLbls>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q17_a_q19_q26_a_q29_q38_q41_Fig!$Q$45:$Q$52</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q17_a_q19_q26_a_q29_q38_q41_Fig!$S$45:$S$52</c:f>
              <c:numCache>
                <c:formatCode>#,##0</c:formatCode>
                <c:ptCount val="8"/>
                <c:pt idx="0">
                  <c:v>161670</c:v>
                </c:pt>
                <c:pt idx="1">
                  <c:v>97204</c:v>
                </c:pt>
                <c:pt idx="2">
                  <c:v>63610</c:v>
                </c:pt>
                <c:pt idx="3">
                  <c:v>155722</c:v>
                </c:pt>
                <c:pt idx="4">
                  <c:v>492264</c:v>
                </c:pt>
                <c:pt idx="5">
                  <c:v>384907</c:v>
                </c:pt>
                <c:pt idx="6">
                  <c:v>183296</c:v>
                </c:pt>
                <c:pt idx="7">
                  <c:v>31751</c:v>
                </c:pt>
              </c:numCache>
            </c:numRef>
          </c:val>
          <c:extLst>
            <c:ext xmlns:c16="http://schemas.microsoft.com/office/drawing/2014/chart" uri="{C3380CC4-5D6E-409C-BE32-E72D297353CC}">
              <c16:uniqueId val="{00000001-1154-43D7-BBE2-6DFCBD41DFCB}"/>
            </c:ext>
          </c:extLst>
        </c:ser>
        <c:dLbls>
          <c:showLegendKey val="0"/>
          <c:showVal val="0"/>
          <c:showCatName val="0"/>
          <c:showSerName val="0"/>
          <c:showPercent val="0"/>
          <c:showBubbleSize val="0"/>
        </c:dLbls>
        <c:gapWidth val="40"/>
        <c:overlap val="100"/>
        <c:axId val="1261817855"/>
        <c:axId val="267587263"/>
      </c:barChart>
      <c:catAx>
        <c:axId val="1261817855"/>
        <c:scaling>
          <c:orientation val="maxMin"/>
        </c:scaling>
        <c:delete val="0"/>
        <c:axPos val="l"/>
        <c:majorGridlines>
          <c:spPr>
            <a:ln>
              <a:solidFill>
                <a:srgbClr val="D9D9D9"/>
              </a:solidFill>
            </a:ln>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max val="680000"/>
          <c:min val="-680000"/>
        </c:scaling>
        <c:delete val="1"/>
        <c:axPos val="t"/>
        <c:numFmt formatCode="#,##0;#,##0" sourceLinked="0"/>
        <c:majorTickMark val="out"/>
        <c:minorTickMark val="none"/>
        <c:tickLblPos val="nextTo"/>
        <c:crossAx val="1261817855"/>
        <c:crosses val="autoZero"/>
        <c:crossBetween val="between"/>
        <c:majorUnit val="300000"/>
      </c:valAx>
      <c:spPr>
        <a:noFill/>
        <a:ln>
          <a:noFill/>
        </a:ln>
        <a:effectLst/>
      </c:spPr>
    </c:plotArea>
    <c:legend>
      <c:legendPos val="t"/>
      <c:layout>
        <c:manualLayout>
          <c:xMode val="edge"/>
          <c:yMode val="edge"/>
          <c:x val="0.3952921863554163"/>
          <c:y val="2.2249882951519907E-2"/>
          <c:w val="0.39199891301477158"/>
          <c:h val="7.892867243936505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t" anchorCtr="0"/>
          <a:lstStyle/>
          <a:p>
            <a:pPr>
              <a:defRPr sz="700" b="1" i="0" u="none" strike="noStrike" kern="1200" baseline="0">
                <a:solidFill>
                  <a:schemeClr val="tx1"/>
                </a:solidFill>
                <a:latin typeface="+mn-lt"/>
                <a:ea typeface="+mn-ea"/>
                <a:cs typeface="+mn-cs"/>
              </a:defRPr>
            </a:pPr>
            <a:r>
              <a:rPr lang="en-US" sz="700" b="1" i="0" baseline="0">
                <a:solidFill>
                  <a:srgbClr val="17375E"/>
                </a:solidFill>
                <a:effectLst/>
              </a:rPr>
              <a:t>Homens + Mulheres</a:t>
            </a:r>
            <a:endParaRPr lang="pt-PT" sz="700">
              <a:solidFill>
                <a:srgbClr val="17375E"/>
              </a:solidFill>
              <a:effectLst/>
            </a:endParaRPr>
          </a:p>
        </c:rich>
      </c:tx>
      <c:layout>
        <c:manualLayout>
          <c:xMode val="edge"/>
          <c:yMode val="edge"/>
          <c:x val="0.32626710030457906"/>
          <c:y val="2.1962219622196223E-2"/>
        </c:manualLayout>
      </c:layout>
      <c:overlay val="0"/>
      <c:spPr>
        <a:noFill/>
        <a:ln>
          <a:noFill/>
        </a:ln>
        <a:effectLst/>
      </c:spPr>
      <c:txPr>
        <a:bodyPr rot="0" spcFirstLastPara="1" vertOverflow="ellipsis" vert="horz" wrap="square" anchor="t" anchorCtr="0"/>
        <a:lstStyle/>
        <a:p>
          <a:pPr>
            <a:defRPr sz="700" b="1" i="0" u="none" strike="noStrike" kern="1200" baseline="0">
              <a:solidFill>
                <a:schemeClr val="tx1"/>
              </a:solidFill>
              <a:latin typeface="+mn-lt"/>
              <a:ea typeface="+mn-ea"/>
              <a:cs typeface="+mn-cs"/>
            </a:defRPr>
          </a:pPr>
          <a:endParaRPr lang="pt-PT"/>
        </a:p>
      </c:txPr>
    </c:title>
    <c:autoTitleDeleted val="0"/>
    <c:plotArea>
      <c:layout>
        <c:manualLayout>
          <c:layoutTarget val="inner"/>
          <c:xMode val="edge"/>
          <c:yMode val="edge"/>
          <c:x val="0.10057665234430598"/>
          <c:y val="0.1704118028534371"/>
          <c:w val="0.44813898561610344"/>
          <c:h val="0.68743028534370942"/>
        </c:manualLayout>
      </c:layout>
      <c:doughnutChart>
        <c:varyColors val="1"/>
        <c:ser>
          <c:idx val="0"/>
          <c:order val="0"/>
          <c:tx>
            <c:strRef>
              <c:f>q17_a_q19_q26_a_q29_q38_q41_Fig!$T$44</c:f>
              <c:strCache>
                <c:ptCount val="1"/>
                <c:pt idx="0">
                  <c:v>Total</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1F-4470-897D-E290E6B796C0}"/>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1F-4470-897D-E290E6B796C0}"/>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1F-4470-897D-E290E6B796C0}"/>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1F-4470-897D-E290E6B796C0}"/>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1F-4470-897D-E290E6B796C0}"/>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1F-4470-897D-E290E6B796C0}"/>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1F-4470-897D-E290E6B796C0}"/>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1F-4470-897D-E290E6B796C0}"/>
              </c:ext>
            </c:extLst>
          </c:dPt>
          <c:dLbls>
            <c:dLbl>
              <c:idx val="0"/>
              <c:layout>
                <c:manualLayout>
                  <c:x val="5.7951507621849772E-3"/>
                  <c:y val="-3.108895560716781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10726871345029237"/>
                      <c:h val="9.8239823982398236E-2"/>
                    </c:manualLayout>
                  </c15:layout>
                </c:ext>
                <c:ext xmlns:c16="http://schemas.microsoft.com/office/drawing/2014/chart" uri="{C3380CC4-5D6E-409C-BE32-E72D297353CC}">
                  <c16:uniqueId val="{00000001-201F-4470-897D-E290E6B796C0}"/>
                </c:ext>
              </c:extLst>
            </c:dLbl>
            <c:dLbl>
              <c:idx val="2"/>
              <c:layout>
                <c:manualLayout>
                  <c:x val="0"/>
                  <c:y val="-8.4875562720133283E-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01F-4470-897D-E290E6B796C0}"/>
                </c:ext>
              </c:extLst>
            </c:dLbl>
            <c:dLbl>
              <c:idx val="6"/>
              <c:layout>
                <c:manualLayout>
                  <c:x val="-1.2895066645765179E-2"/>
                  <c:y val="-1.796597367775071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01F-4470-897D-E290E6B796C0}"/>
                </c:ext>
              </c:extLst>
            </c:dLbl>
            <c:dLbl>
              <c:idx val="7"/>
              <c:layout>
                <c:manualLayout>
                  <c:x val="-2.7558220897347684E-2"/>
                  <c:y val="-0.18784984610736608"/>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201F-4470-897D-E290E6B796C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q17_a_q19_q26_a_q29_q38_q41_Fig!$Q$45:$Q$52</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q17_a_q19_q26_a_q29_q38_q41_Fig!$T$45:$T$52</c:f>
              <c:numCache>
                <c:formatCode>#,##0</c:formatCode>
                <c:ptCount val="8"/>
                <c:pt idx="0">
                  <c:v>333311</c:v>
                </c:pt>
                <c:pt idx="1">
                  <c:v>198969</c:v>
                </c:pt>
                <c:pt idx="2">
                  <c:v>160283</c:v>
                </c:pt>
                <c:pt idx="3">
                  <c:v>314241</c:v>
                </c:pt>
                <c:pt idx="4">
                  <c:v>1188274</c:v>
                </c:pt>
                <c:pt idx="5">
                  <c:v>685414</c:v>
                </c:pt>
                <c:pt idx="6">
                  <c:v>398694</c:v>
                </c:pt>
                <c:pt idx="7">
                  <c:v>74950</c:v>
                </c:pt>
              </c:numCache>
            </c:numRef>
          </c:val>
          <c:extLst>
            <c:ext xmlns:c16="http://schemas.microsoft.com/office/drawing/2014/chart" uri="{C3380CC4-5D6E-409C-BE32-E72D297353CC}">
              <c16:uniqueId val="{00000010-201F-4470-897D-E290E6B796C0}"/>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54169350054184462"/>
          <c:y val="0.14209342093420935"/>
          <c:w val="0.43208164168356555"/>
          <c:h val="0.84273842738427385"/>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13893333333333333"/>
          <c:w val="0.564163817970042"/>
          <c:h val="0.78091002624671901"/>
        </c:manualLayout>
      </c:layout>
      <c:barChart>
        <c:barDir val="bar"/>
        <c:grouping val="clustered"/>
        <c:varyColors val="0"/>
        <c:ser>
          <c:idx val="0"/>
          <c:order val="0"/>
          <c:tx>
            <c:strRef>
              <c:f>q17_a_q19_q26_a_q29_q38_q41_Fig!$Q$132</c:f>
              <c:strCache>
                <c:ptCount val="1"/>
                <c:pt idx="0">
                  <c:v>Base </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0-2EB0-49FB-BC72-9B1CD4A2AE19}"/>
              </c:ext>
            </c:extLst>
          </c:dPt>
          <c:dPt>
            <c:idx val="1"/>
            <c:invertIfNegative val="0"/>
            <c:bubble3D val="0"/>
            <c:extLst>
              <c:ext xmlns:c16="http://schemas.microsoft.com/office/drawing/2014/chart" uri="{C3380CC4-5D6E-409C-BE32-E72D297353CC}">
                <c16:uniqueId val="{00000001-2EB0-49FB-BC72-9B1CD4A2AE19}"/>
              </c:ext>
            </c:extLst>
          </c:dPt>
          <c:dPt>
            <c:idx val="2"/>
            <c:invertIfNegative val="0"/>
            <c:bubble3D val="0"/>
            <c:extLst>
              <c:ext xmlns:c16="http://schemas.microsoft.com/office/drawing/2014/chart" uri="{C3380CC4-5D6E-409C-BE32-E72D297353CC}">
                <c16:uniqueId val="{00000002-2EB0-49FB-BC72-9B1CD4A2AE19}"/>
              </c:ext>
            </c:extLst>
          </c:dPt>
          <c:dPt>
            <c:idx val="3"/>
            <c:invertIfNegative val="0"/>
            <c:bubble3D val="0"/>
            <c:extLst>
              <c:ext xmlns:c16="http://schemas.microsoft.com/office/drawing/2014/chart" uri="{C3380CC4-5D6E-409C-BE32-E72D297353CC}">
                <c16:uniqueId val="{00000003-2EB0-49FB-BC72-9B1CD4A2AE19}"/>
              </c:ext>
            </c:extLst>
          </c:dPt>
          <c:dPt>
            <c:idx val="4"/>
            <c:invertIfNegative val="0"/>
            <c:bubble3D val="0"/>
            <c:extLst>
              <c:ext xmlns:c16="http://schemas.microsoft.com/office/drawing/2014/chart" uri="{C3380CC4-5D6E-409C-BE32-E72D297353CC}">
                <c16:uniqueId val="{00000004-2EB0-49FB-BC72-9B1CD4A2AE19}"/>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q17_a_q19_q26_a_q29_q38_q41_Fig!$R$131:$Z$131</c15:sqref>
                  </c15:fullRef>
                </c:ext>
              </c:extLst>
              <c:f>q17_a_q19_q26_a_q29_q38_q41_Fig!$S$131:$Z$131</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extLst>
                <c:ext xmlns:c15="http://schemas.microsoft.com/office/drawing/2012/chart" uri="{02D57815-91ED-43cb-92C2-25804820EDAC}">
                  <c15:fullRef>
                    <c15:sqref>q17_a_q19_q26_a_q29_q38_q41_Fig!$R$132:$Z$132</c15:sqref>
                  </c15:fullRef>
                </c:ext>
              </c:extLst>
              <c:f>q17_a_q19_q26_a_q29_q38_q41_Fig!$S$132:$Z$132</c:f>
              <c:numCache>
                <c:formatCode>#,##0.00\ "€"</c:formatCode>
                <c:ptCount val="8"/>
                <c:pt idx="0">
                  <c:v>2526.42</c:v>
                </c:pt>
                <c:pt idx="1">
                  <c:v>1819.65</c:v>
                </c:pt>
                <c:pt idx="2">
                  <c:v>1789.03</c:v>
                </c:pt>
                <c:pt idx="3">
                  <c:v>1412.04</c:v>
                </c:pt>
                <c:pt idx="4">
                  <c:v>1055.9100000000001</c:v>
                </c:pt>
                <c:pt idx="5">
                  <c:v>911.18</c:v>
                </c:pt>
                <c:pt idx="6">
                  <c:v>862.05</c:v>
                </c:pt>
                <c:pt idx="7">
                  <c:v>884.68</c:v>
                </c:pt>
              </c:numCache>
            </c:numRef>
          </c:val>
          <c:extLst>
            <c:ext xmlns:c16="http://schemas.microsoft.com/office/drawing/2014/chart" uri="{C3380CC4-5D6E-409C-BE32-E72D297353CC}">
              <c16:uniqueId val="{00000005-2EB0-49FB-BC72-9B1CD4A2AE19}"/>
            </c:ext>
          </c:extLst>
        </c:ser>
        <c:ser>
          <c:idx val="1"/>
          <c:order val="1"/>
          <c:tx>
            <c:strRef>
              <c:f>q17_a_q19_q26_a_q29_q38_q41_Fig!$Q$133</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q17_a_q19_q26_a_q29_q38_q41_Fig!$R$131:$Z$131</c15:sqref>
                  </c15:fullRef>
                </c:ext>
              </c:extLst>
              <c:f>q17_a_q19_q26_a_q29_q38_q41_Fig!$S$131:$Z$131</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extLst>
                <c:ext xmlns:c15="http://schemas.microsoft.com/office/drawing/2012/chart" uri="{02D57815-91ED-43cb-92C2-25804820EDAC}">
                  <c15:fullRef>
                    <c15:sqref>q17_a_q19_q26_a_q29_q38_q41_Fig!$R$133:$Z$133</c15:sqref>
                  </c15:fullRef>
                </c:ext>
              </c:extLst>
              <c:f>q17_a_q19_q26_a_q29_q38_q41_Fig!$S$133:$Z$133</c:f>
              <c:numCache>
                <c:formatCode>#,##0.00\ "€"</c:formatCode>
                <c:ptCount val="8"/>
                <c:pt idx="0">
                  <c:v>2980.13</c:v>
                </c:pt>
                <c:pt idx="1">
                  <c:v>2178.6</c:v>
                </c:pt>
                <c:pt idx="2">
                  <c:v>2159.09</c:v>
                </c:pt>
                <c:pt idx="3">
                  <c:v>1757.96</c:v>
                </c:pt>
                <c:pt idx="4">
                  <c:v>1295.24</c:v>
                </c:pt>
                <c:pt idx="5">
                  <c:v>1104.49</c:v>
                </c:pt>
                <c:pt idx="6">
                  <c:v>1023.82</c:v>
                </c:pt>
                <c:pt idx="7">
                  <c:v>1049.19</c:v>
                </c:pt>
              </c:numCache>
            </c:numRef>
          </c:val>
          <c:extLst>
            <c:ext xmlns:c16="http://schemas.microsoft.com/office/drawing/2014/chart" uri="{C3380CC4-5D6E-409C-BE32-E72D297353CC}">
              <c16:uniqueId val="{00000006-2EB0-49FB-BC72-9B1CD4A2AE19}"/>
            </c:ext>
          </c:extLst>
        </c:ser>
        <c:dLbls>
          <c:showLegendKey val="0"/>
          <c:showVal val="0"/>
          <c:showCatName val="0"/>
          <c:showSerName val="0"/>
          <c:showPercent val="0"/>
          <c:showBubbleSize val="0"/>
        </c:dLbls>
        <c:gapWidth val="42"/>
        <c:axId val="891633855"/>
        <c:axId val="1319480015"/>
      </c:barChart>
      <c:valAx>
        <c:axId val="1319480015"/>
        <c:scaling>
          <c:orientation val="minMax"/>
          <c:max val="28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022566875875509"/>
          <c:y val="3.2000000000000001E-2"/>
          <c:w val="0.26686175496572434"/>
          <c:h val="7.711706036745406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67446682230048"/>
          <c:y val="0.22899703122140164"/>
          <c:w val="0.76325533177699523"/>
          <c:h val="0.77100296877859842"/>
        </c:manualLayout>
      </c:layout>
      <c:barChart>
        <c:barDir val="bar"/>
        <c:grouping val="clustered"/>
        <c:varyColors val="0"/>
        <c:ser>
          <c:idx val="0"/>
          <c:order val="0"/>
          <c:tx>
            <c:strRef>
              <c:f>q17_a_q19_q26_a_q29_q38_q41_Fig!$R$120</c:f>
              <c:strCache>
                <c:ptCount val="1"/>
                <c:pt idx="0">
                  <c:v>Base - H</c:v>
                </c:pt>
              </c:strCache>
            </c:strRef>
          </c:tx>
          <c:spPr>
            <a:solidFill>
              <a:srgbClr val="4F81BD"/>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q17_a_q19_q26_a_q29_q38_q41_Fig!$Q$121:$Q$128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q17_a_q19_q26_a_q29_q38_q41_Fig!$R$121:$R$128</c:f>
              <c:numCache>
                <c:formatCode>#,##0.00\ "€"</c:formatCode>
                <c:ptCount val="8"/>
                <c:pt idx="0">
                  <c:v>-2865.98</c:v>
                </c:pt>
                <c:pt idx="1">
                  <c:v>-1964.59</c:v>
                </c:pt>
                <c:pt idx="2">
                  <c:v>-1828.64</c:v>
                </c:pt>
                <c:pt idx="3">
                  <c:v>-1516.81</c:v>
                </c:pt>
                <c:pt idx="4">
                  <c:v>-1083.82</c:v>
                </c:pt>
                <c:pt idx="5">
                  <c:v>-945.97</c:v>
                </c:pt>
                <c:pt idx="6">
                  <c:v>-876.05</c:v>
                </c:pt>
                <c:pt idx="7">
                  <c:v>-891.14</c:v>
                </c:pt>
              </c:numCache>
            </c:numRef>
          </c:val>
          <c:extLst>
            <c:ext xmlns:c16="http://schemas.microsoft.com/office/drawing/2014/chart" uri="{C3380CC4-5D6E-409C-BE32-E72D297353CC}">
              <c16:uniqueId val="{00000000-6967-41E3-A529-A2E39E3E06D9}"/>
            </c:ext>
          </c:extLst>
        </c:ser>
        <c:ser>
          <c:idx val="1"/>
          <c:order val="1"/>
          <c:tx>
            <c:strRef>
              <c:f>q17_a_q19_q26_a_q29_q38_q41_Fig!$S$120</c:f>
              <c:strCache>
                <c:ptCount val="1"/>
                <c:pt idx="0">
                  <c:v>Ganho - H</c:v>
                </c:pt>
              </c:strCache>
            </c:strRef>
          </c:tx>
          <c:spPr>
            <a:solidFill>
              <a:srgbClr val="FFC000"/>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q17_a_q19_q26_a_q29_q38_q41_Fig!$Q$121:$Q$128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q17_a_q19_q26_a_q29_q38_q41_Fig!$S$121:$S$128</c:f>
              <c:numCache>
                <c:formatCode>#,##0.00\ "€"</c:formatCode>
                <c:ptCount val="8"/>
                <c:pt idx="0">
                  <c:v>-3378.31</c:v>
                </c:pt>
                <c:pt idx="1">
                  <c:v>-2362.9899999999998</c:v>
                </c:pt>
                <c:pt idx="2">
                  <c:v>-2221.7800000000002</c:v>
                </c:pt>
                <c:pt idx="3">
                  <c:v>-1932.22</c:v>
                </c:pt>
                <c:pt idx="4">
                  <c:v>-1354.16</c:v>
                </c:pt>
                <c:pt idx="5">
                  <c:v>-1171.3399999999999</c:v>
                </c:pt>
                <c:pt idx="6">
                  <c:v>-1059.8399999999999</c:v>
                </c:pt>
                <c:pt idx="7">
                  <c:v>-1064.74</c:v>
                </c:pt>
              </c:numCache>
            </c:numRef>
          </c:val>
          <c:extLst>
            <c:ext xmlns:c16="http://schemas.microsoft.com/office/drawing/2014/chart" uri="{C3380CC4-5D6E-409C-BE32-E72D297353CC}">
              <c16:uniqueId val="{00000001-6967-41E3-A529-A2E39E3E06D9}"/>
            </c:ext>
          </c:extLst>
        </c:ser>
        <c:dLbls>
          <c:showLegendKey val="0"/>
          <c:showVal val="0"/>
          <c:showCatName val="0"/>
          <c:showSerName val="0"/>
          <c:showPercent val="0"/>
          <c:showBubbleSize val="0"/>
        </c:dLbls>
        <c:gapWidth val="42"/>
        <c:axId val="1261817855"/>
        <c:axId val="267587263"/>
      </c:barChart>
      <c:barChart>
        <c:barDir val="bar"/>
        <c:grouping val="clustered"/>
        <c:varyColors val="0"/>
        <c:ser>
          <c:idx val="2"/>
          <c:order val="2"/>
          <c:tx>
            <c:strRef>
              <c:f>q17_a_q19_q26_a_q29_q38_q41_Fig!$T$120</c:f>
              <c:strCache>
                <c:ptCount val="1"/>
                <c:pt idx="0">
                  <c:v>Base - M</c:v>
                </c:pt>
              </c:strCache>
            </c:strRef>
          </c:tx>
          <c:spPr>
            <a:solidFill>
              <a:srgbClr val="95B3D7"/>
            </a:solidFill>
          </c:spPr>
          <c:invertIfNegative val="0"/>
          <c:dLbls>
            <c:spPr>
              <a:noFill/>
              <a:ln>
                <a:noFill/>
              </a:ln>
              <a:effectLst/>
            </c:spPr>
            <c:txPr>
              <a:bodyPr wrap="none" lIns="38100" tIns="19050" rIns="38100" bIns="19050" anchor="ctr">
                <a:spAutoFit/>
              </a:bodyPr>
              <a:lstStyle/>
              <a:p>
                <a:pPr>
                  <a:defRPr sz="700" b="0">
                    <a:solidFill>
                      <a:sysClr val="windowText" lastClr="000000"/>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q17_a_q19_q26_a_q29_q38_q41_Fig!$Q$121:$Q$128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q17_a_q19_q26_a_q29_q38_q41_Fig!$T$121:$T$128</c:f>
              <c:numCache>
                <c:formatCode>#,##0.00\ "€"</c:formatCode>
                <c:ptCount val="8"/>
                <c:pt idx="0">
                  <c:v>2136.92</c:v>
                </c:pt>
                <c:pt idx="1">
                  <c:v>1658.94</c:v>
                </c:pt>
                <c:pt idx="2">
                  <c:v>1725.98</c:v>
                </c:pt>
                <c:pt idx="3">
                  <c:v>1299.2</c:v>
                </c:pt>
                <c:pt idx="4">
                  <c:v>1014.54</c:v>
                </c:pt>
                <c:pt idx="5">
                  <c:v>880.36</c:v>
                </c:pt>
                <c:pt idx="6">
                  <c:v>842.94</c:v>
                </c:pt>
                <c:pt idx="7">
                  <c:v>874.36</c:v>
                </c:pt>
              </c:numCache>
            </c:numRef>
          </c:val>
          <c:extLst>
            <c:ext xmlns:c16="http://schemas.microsoft.com/office/drawing/2014/chart" uri="{C3380CC4-5D6E-409C-BE32-E72D297353CC}">
              <c16:uniqueId val="{00000002-6967-41E3-A529-A2E39E3E06D9}"/>
            </c:ext>
          </c:extLst>
        </c:ser>
        <c:ser>
          <c:idx val="3"/>
          <c:order val="3"/>
          <c:tx>
            <c:strRef>
              <c:f>q17_a_q19_q26_a_q29_q38_q41_Fig!$U$120</c:f>
              <c:strCache>
                <c:ptCount val="1"/>
                <c:pt idx="0">
                  <c:v>Ganho - M</c:v>
                </c:pt>
              </c:strCache>
            </c:strRef>
          </c:tx>
          <c:spPr>
            <a:solidFill>
              <a:srgbClr val="FFEF57"/>
            </a:solidFill>
          </c:spPr>
          <c:invertIfNegative val="0"/>
          <c:dLbls>
            <c:dLbl>
              <c:idx val="2"/>
              <c:spPr>
                <a:noFill/>
                <a:ln>
                  <a:noFill/>
                </a:ln>
                <a:effectLst/>
              </c:spPr>
              <c:txPr>
                <a:bodyPr wrap="none" lIns="38100" tIns="19050" rIns="38100" bIns="19050" anchor="ctr">
                  <a:no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6967-41E3-A529-A2E39E3E06D9}"/>
                </c:ext>
              </c:extLst>
            </c:dLbl>
            <c:spPr>
              <a:noFill/>
              <a:ln>
                <a:noFill/>
              </a:ln>
              <a:effectLst/>
            </c:spPr>
            <c:txPr>
              <a:bodyPr wrap="none" lIns="38100" tIns="19050" rIns="38100" bIns="19050" anchor="ctr">
                <a:sp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q17_a_q19_q26_a_q29_q38_q41_Fig!$Q$121:$Q$128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q17_a_q19_q26_a_q29_q38_q41_Fig!$U$121:$U$128</c:f>
              <c:numCache>
                <c:formatCode>#,##0.00\ "€"</c:formatCode>
                <c:ptCount val="8"/>
                <c:pt idx="0">
                  <c:v>2523.38</c:v>
                </c:pt>
                <c:pt idx="1">
                  <c:v>1974.13</c:v>
                </c:pt>
                <c:pt idx="2">
                  <c:v>2059.3200000000002</c:v>
                </c:pt>
                <c:pt idx="3">
                  <c:v>1570.29</c:v>
                </c:pt>
                <c:pt idx="4">
                  <c:v>1207.9100000000001</c:v>
                </c:pt>
                <c:pt idx="5">
                  <c:v>1045.28</c:v>
                </c:pt>
                <c:pt idx="6">
                  <c:v>974.64</c:v>
                </c:pt>
                <c:pt idx="7">
                  <c:v>1024.3699999999999</c:v>
                </c:pt>
              </c:numCache>
            </c:numRef>
          </c:val>
          <c:extLst>
            <c:ext xmlns:c16="http://schemas.microsoft.com/office/drawing/2014/chart" uri="{C3380CC4-5D6E-409C-BE32-E72D297353CC}">
              <c16:uniqueId val="{00000004-6967-41E3-A529-A2E39E3E06D9}"/>
            </c:ext>
          </c:extLst>
        </c:ser>
        <c:dLbls>
          <c:showLegendKey val="0"/>
          <c:showVal val="0"/>
          <c:showCatName val="0"/>
          <c:showSerName val="0"/>
          <c:showPercent val="0"/>
          <c:showBubbleSize val="0"/>
        </c:dLbls>
        <c:gapWidth val="42"/>
        <c:axId val="1450336976"/>
        <c:axId val="465148416"/>
      </c:barChart>
      <c:catAx>
        <c:axId val="1261817855"/>
        <c:scaling>
          <c:orientation val="maxMin"/>
        </c:scaling>
        <c:delete val="0"/>
        <c:axPos val="l"/>
        <c:majorGridlines>
          <c:spPr>
            <a:ln>
              <a:solidFill>
                <a:srgbClr val="D9D9D9"/>
              </a:solidFill>
            </a:ln>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scaling>
        <c:delete val="1"/>
        <c:axPos val="t"/>
        <c:numFmt formatCode="#,##0;#,##0" sourceLinked="0"/>
        <c:majorTickMark val="out"/>
        <c:minorTickMark val="none"/>
        <c:tickLblPos val="nextTo"/>
        <c:crossAx val="1261817855"/>
        <c:crosses val="autoZero"/>
        <c:crossBetween val="between"/>
        <c:majorUnit val="500"/>
      </c:valAx>
      <c:valAx>
        <c:axId val="465148416"/>
        <c:scaling>
          <c:orientation val="minMax"/>
        </c:scaling>
        <c:delete val="1"/>
        <c:axPos val="b"/>
        <c:numFmt formatCode="#,##0.00\ &quot;€&quot;" sourceLinked="1"/>
        <c:majorTickMark val="out"/>
        <c:minorTickMark val="none"/>
        <c:tickLblPos val="nextTo"/>
        <c:crossAx val="1450336976"/>
        <c:crosses val="max"/>
        <c:crossBetween val="between"/>
      </c:valAx>
      <c:catAx>
        <c:axId val="1450336976"/>
        <c:scaling>
          <c:orientation val="maxMin"/>
        </c:scaling>
        <c:delete val="1"/>
        <c:axPos val="r"/>
        <c:numFmt formatCode="General" sourceLinked="1"/>
        <c:majorTickMark val="out"/>
        <c:minorTickMark val="none"/>
        <c:tickLblPos val="nextTo"/>
        <c:crossAx val="465148416"/>
        <c:crosses val="max"/>
        <c:auto val="1"/>
        <c:lblAlgn val="ctr"/>
        <c:lblOffset val="100"/>
        <c:noMultiLvlLbl val="0"/>
      </c:catAx>
      <c:spPr>
        <a:noFill/>
        <a:ln>
          <a:noFill/>
        </a:ln>
        <a:effectLst/>
      </c:spPr>
    </c:plotArea>
    <c:legend>
      <c:legendPos val="t"/>
      <c:layout>
        <c:manualLayout>
          <c:xMode val="edge"/>
          <c:yMode val="edge"/>
          <c:x val="0.18002599047564213"/>
          <c:y val="4.1970662888849528E-2"/>
          <c:w val="0.72325983073291489"/>
          <c:h val="5.4940430513743782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541962742462074E-2"/>
          <c:y val="0.13630659253375696"/>
          <c:w val="0.48749094168107027"/>
          <c:h val="0.61503188433701927"/>
        </c:manualLayout>
      </c:layout>
      <c:doughnutChart>
        <c:varyColors val="1"/>
        <c:ser>
          <c:idx val="0"/>
          <c:order val="0"/>
          <c:tx>
            <c:strRef>
              <c:f>q17_a_q19_q26_a_q29_q38_q41_Fig!$T$253</c:f>
              <c:strCache>
                <c:ptCount val="1"/>
                <c:pt idx="0">
                  <c:v>TCO</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001A-4E4D-B41E-49A96B66B3DF}"/>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001A-4E4D-B41E-49A96B66B3DF}"/>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001A-4E4D-B41E-49A96B66B3DF}"/>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001A-4E4D-B41E-49A96B66B3DF}"/>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001A-4E4D-B41E-49A96B66B3DF}"/>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001A-4E4D-B41E-49A96B66B3DF}"/>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01A-4E4D-B41E-49A96B66B3DF}"/>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001A-4E4D-B41E-49A96B66B3DF}"/>
              </c:ext>
            </c:extLst>
          </c:dPt>
          <c:dPt>
            <c:idx val="8"/>
            <c:bubble3D val="0"/>
            <c:spPr>
              <a:solidFill>
                <a:schemeClr val="accent5">
                  <a:lumMod val="80000"/>
                  <a:lumOff val="20000"/>
                </a:schemeClr>
              </a:solidFill>
              <a:ln>
                <a:noFill/>
              </a:ln>
              <a:effectLst/>
            </c:spPr>
            <c:extLst>
              <c:ext xmlns:c16="http://schemas.microsoft.com/office/drawing/2014/chart" uri="{C3380CC4-5D6E-409C-BE32-E72D297353CC}">
                <c16:uniqueId val="{00000011-001A-4E4D-B41E-49A96B66B3DF}"/>
              </c:ext>
            </c:extLst>
          </c:dPt>
          <c:dPt>
            <c:idx val="9"/>
            <c:bubble3D val="0"/>
            <c:spPr>
              <a:solidFill>
                <a:schemeClr val="accent1">
                  <a:lumMod val="80000"/>
                </a:schemeClr>
              </a:solidFill>
              <a:ln>
                <a:noFill/>
              </a:ln>
              <a:effectLst/>
            </c:spPr>
            <c:extLst>
              <c:ext xmlns:c16="http://schemas.microsoft.com/office/drawing/2014/chart" uri="{C3380CC4-5D6E-409C-BE32-E72D297353CC}">
                <c16:uniqueId val="{00000013-001A-4E4D-B41E-49A96B66B3DF}"/>
              </c:ext>
            </c:extLst>
          </c:dPt>
          <c:dLbls>
            <c:dLbl>
              <c:idx val="0"/>
              <c:layout>
                <c:manualLayout>
                  <c:x val="4.2276422764227585E-2"/>
                  <c:y val="-0.1805255334758886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1A-4E4D-B41E-49A96B66B3DF}"/>
                </c:ext>
              </c:extLst>
            </c:dLbl>
            <c:dLbl>
              <c:idx val="5"/>
              <c:layout>
                <c:manualLayout>
                  <c:x val="-0.14308943089430895"/>
                  <c:y val="0.15180556224108815"/>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01A-4E4D-B41E-49A96B66B3DF}"/>
                </c:ext>
              </c:extLst>
            </c:dLbl>
            <c:dLbl>
              <c:idx val="9"/>
              <c:layout>
                <c:manualLayout>
                  <c:x val="-0.11382113821138215"/>
                  <c:y val="-0.1846283865094315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2"/>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layout>
                    <c:manualLayout>
                      <c:w val="8.4585365853658528E-2"/>
                      <c:h val="7.0589747971752992E-2"/>
                    </c:manualLayout>
                  </c15:layout>
                </c:ext>
                <c:ext xmlns:c16="http://schemas.microsoft.com/office/drawing/2014/chart" uri="{C3380CC4-5D6E-409C-BE32-E72D297353CC}">
                  <c16:uniqueId val="{00000013-001A-4E4D-B41E-49A96B66B3D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q17_a_q19_q26_a_q29_q38_q41_Fig!$S$254:$S$263</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q17_a_q19_q26_a_q29_q38_q41_Fig!$T$254:$T$263</c:f>
              <c:numCache>
                <c:formatCode>#,##0</c:formatCode>
                <c:ptCount val="10"/>
                <c:pt idx="0">
                  <c:v>114787</c:v>
                </c:pt>
                <c:pt idx="1">
                  <c:v>441951</c:v>
                </c:pt>
                <c:pt idx="2">
                  <c:v>353603</c:v>
                </c:pt>
                <c:pt idx="3">
                  <c:v>435944</c:v>
                </c:pt>
                <c:pt idx="4">
                  <c:v>700751</c:v>
                </c:pt>
                <c:pt idx="5">
                  <c:v>36010</c:v>
                </c:pt>
                <c:pt idx="6">
                  <c:v>457922</c:v>
                </c:pt>
                <c:pt idx="7">
                  <c:v>323244</c:v>
                </c:pt>
                <c:pt idx="8">
                  <c:v>485614</c:v>
                </c:pt>
                <c:pt idx="9">
                  <c:v>4310</c:v>
                </c:pt>
              </c:numCache>
            </c:numRef>
          </c:val>
          <c:extLst>
            <c:ext xmlns:c16="http://schemas.microsoft.com/office/drawing/2014/chart" uri="{C3380CC4-5D6E-409C-BE32-E72D297353CC}">
              <c16:uniqueId val="{00000014-001A-4E4D-B41E-49A96B66B3DF}"/>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59856961782216245"/>
          <c:y val="2.0381810857182919E-2"/>
          <c:w val="0.37078887592293658"/>
          <c:h val="0.90370765459921754"/>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2757621189405304"/>
          <c:y val="0.10742898448458355"/>
          <c:w val="0.41229760119940023"/>
          <c:h val="0.85925208587139457"/>
        </c:manualLayout>
      </c:layout>
      <c:barChart>
        <c:barDir val="bar"/>
        <c:grouping val="clustered"/>
        <c:varyColors val="0"/>
        <c:ser>
          <c:idx val="0"/>
          <c:order val="0"/>
          <c:tx>
            <c:strRef>
              <c:f>q17_a_q19_q26_a_q29_q38_q41_Fig!$T$253</c:f>
              <c:strCache>
                <c:ptCount val="1"/>
                <c:pt idx="0">
                  <c:v>TCO</c:v>
                </c:pt>
              </c:strCache>
            </c:strRef>
          </c:tx>
          <c:spPr>
            <a:solidFill>
              <a:srgbClr val="4F81BD"/>
            </a:solidFill>
            <a:ln w="19050">
              <a:solidFill>
                <a:schemeClr val="lt1"/>
              </a:solidFill>
            </a:ln>
            <a:effectLst/>
          </c:spPr>
          <c:invertIfNegative val="0"/>
          <c:dPt>
            <c:idx val="0"/>
            <c:invertIfNegative val="0"/>
            <c:bubble3D val="0"/>
            <c:explosion val="4"/>
            <c:spPr>
              <a:solidFill>
                <a:srgbClr val="4F81BD"/>
              </a:solidFill>
              <a:ln w="19050">
                <a:solidFill>
                  <a:schemeClr val="lt1"/>
                </a:solidFill>
              </a:ln>
              <a:effectLst/>
            </c:spPr>
            <c:extLst>
              <c:ext xmlns:c16="http://schemas.microsoft.com/office/drawing/2014/chart" uri="{C3380CC4-5D6E-409C-BE32-E72D297353CC}">
                <c16:uniqueId val="{00000001-6D26-4136-92E5-4D966DDC6BD0}"/>
              </c:ext>
            </c:extLst>
          </c:dPt>
          <c:dPt>
            <c:idx val="1"/>
            <c:invertIfNegative val="0"/>
            <c:bubble3D val="0"/>
            <c:explosion val="2"/>
            <c:spPr>
              <a:solidFill>
                <a:srgbClr val="4F81BD"/>
              </a:solidFill>
              <a:ln w="19050">
                <a:solidFill>
                  <a:schemeClr val="lt1"/>
                </a:solidFill>
              </a:ln>
              <a:effectLst/>
            </c:spPr>
            <c:extLst>
              <c:ext xmlns:c16="http://schemas.microsoft.com/office/drawing/2014/chart" uri="{C3380CC4-5D6E-409C-BE32-E72D297353CC}">
                <c16:uniqueId val="{00000003-6D26-4136-92E5-4D966DDC6BD0}"/>
              </c:ext>
            </c:extLst>
          </c:dPt>
          <c:dPt>
            <c:idx val="2"/>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5-6D26-4136-92E5-4D966DDC6BD0}"/>
              </c:ext>
            </c:extLst>
          </c:dPt>
          <c:dPt>
            <c:idx val="3"/>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7-6D26-4136-92E5-4D966DDC6BD0}"/>
              </c:ext>
            </c:extLst>
          </c:dPt>
          <c:dPt>
            <c:idx val="4"/>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9-6D26-4136-92E5-4D966DDC6BD0}"/>
              </c:ext>
            </c:extLst>
          </c:dPt>
          <c:dPt>
            <c:idx val="5"/>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B-6D26-4136-92E5-4D966DDC6BD0}"/>
              </c:ext>
            </c:extLst>
          </c:dPt>
          <c:dLbls>
            <c:dLbl>
              <c:idx val="0"/>
              <c:layout>
                <c:manualLayout>
                  <c:x val="0"/>
                  <c:y val="3.005422002962037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26-4136-92E5-4D966DDC6BD0}"/>
                </c:ext>
              </c:extLst>
            </c:dLbl>
            <c:spPr>
              <a:noFill/>
              <a:ln>
                <a:noFill/>
              </a:ln>
              <a:effectLst/>
            </c:spPr>
            <c:txPr>
              <a:bodyPr rot="0" spcFirstLastPara="1" vertOverflow="overflow" horzOverflow="overflow" vert="horz" wrap="non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q17_a_q19_q26_a_q29_q38_q41_Fig!$S$254:$S$263</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q17_a_q19_q26_a_q29_q38_q41_Fig!$T$254:$T$263</c:f>
              <c:numCache>
                <c:formatCode>#,##0</c:formatCode>
                <c:ptCount val="10"/>
                <c:pt idx="0">
                  <c:v>114787</c:v>
                </c:pt>
                <c:pt idx="1">
                  <c:v>441951</c:v>
                </c:pt>
                <c:pt idx="2">
                  <c:v>353603</c:v>
                </c:pt>
                <c:pt idx="3">
                  <c:v>435944</c:v>
                </c:pt>
                <c:pt idx="4">
                  <c:v>700751</c:v>
                </c:pt>
                <c:pt idx="5">
                  <c:v>36010</c:v>
                </c:pt>
                <c:pt idx="6">
                  <c:v>457922</c:v>
                </c:pt>
                <c:pt idx="7">
                  <c:v>323244</c:v>
                </c:pt>
                <c:pt idx="8">
                  <c:v>485614</c:v>
                </c:pt>
                <c:pt idx="9">
                  <c:v>4310</c:v>
                </c:pt>
              </c:numCache>
            </c:numRef>
          </c:val>
          <c:extLst>
            <c:ext xmlns:c16="http://schemas.microsoft.com/office/drawing/2014/chart" uri="{C3380CC4-5D6E-409C-BE32-E72D297353CC}">
              <c16:uniqueId val="{0000000C-6D26-4136-92E5-4D966DDC6BD0}"/>
            </c:ext>
          </c:extLst>
        </c:ser>
        <c:dLbls>
          <c:showLegendKey val="0"/>
          <c:showVal val="0"/>
          <c:showCatName val="0"/>
          <c:showSerName val="0"/>
          <c:showPercent val="0"/>
          <c:showBubbleSize val="0"/>
        </c:dLbls>
        <c:gapWidth val="118"/>
        <c:axId val="891633855"/>
        <c:axId val="1319480015"/>
      </c:barChart>
      <c:valAx>
        <c:axId val="1319480015"/>
        <c:scaling>
          <c:orientation val="minMax"/>
          <c:max val="800000"/>
          <c:min val="0"/>
        </c:scaling>
        <c:delete val="1"/>
        <c:axPos val="t"/>
        <c:numFmt formatCode="#,##0" sourceLinked="1"/>
        <c:majorTickMark val="out"/>
        <c:minorTickMark val="none"/>
        <c:tickLblPos val="nextTo"/>
        <c:crossAx val="891633855"/>
        <c:crosses val="autoZero"/>
        <c:crossBetween val="between"/>
        <c:majorUnit val="400000"/>
      </c:valAx>
      <c:catAx>
        <c:axId val="891633855"/>
        <c:scaling>
          <c:orientation val="maxMin"/>
        </c:scaling>
        <c:delete val="0"/>
        <c:axPos val="l"/>
        <c:numFmt formatCode="General" sourceLinked="1"/>
        <c:majorTickMark val="out"/>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[Dashboard_seriesqp_2014_2024.xlsx]q23_q35_Fig!Tabela Dinâmica3</c:name>
    <c:fmtId val="2"/>
  </c:pivotSource>
  <c:chart>
    <c:autoTitleDeleted val="1"/>
    <c:pivotFmts>
      <c:pivotFmt>
        <c:idx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gradFill>
            <a:gsLst>
              <a:gs pos="0">
                <a:schemeClr val="accent1"/>
              </a:gs>
              <a:gs pos="100000">
                <a:schemeClr val="accent1">
                  <a:lumMod val="84000"/>
                </a:schemeClr>
              </a:gs>
            </a:gsLst>
            <a:lin ang="5400000" scaled="1"/>
          </a:gradFill>
          <a:ln>
            <a:noFill/>
          </a:ln>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gradFill>
            <a:gsLst>
              <a:gs pos="0">
                <a:schemeClr val="accent1"/>
              </a:gs>
              <a:gs pos="100000">
                <a:schemeClr val="accent1">
                  <a:lumMod val="84000"/>
                </a:schemeClr>
              </a:gs>
            </a:gsLst>
            <a:lin ang="5400000" scaled="1"/>
          </a:gradFill>
          <a:ln>
            <a:noFill/>
          </a:ln>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gradFill>
            <a:gsLst>
              <a:gs pos="0">
                <a:schemeClr val="accent3"/>
              </a:gs>
              <a:gs pos="100000">
                <a:schemeClr val="accent3">
                  <a:lumMod val="84000"/>
                </a:schemeClr>
              </a:gs>
            </a:gsLst>
            <a:lin ang="5400000" scaled="1"/>
          </a:gradFill>
          <a:ln>
            <a:noFill/>
          </a:ln>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gradFill>
            <a:gsLst>
              <a:gs pos="0">
                <a:schemeClr val="accent1"/>
              </a:gs>
              <a:gs pos="100000">
                <a:schemeClr val="accent1">
                  <a:lumMod val="84000"/>
                </a:schemeClr>
              </a:gs>
            </a:gsLst>
            <a:lin ang="5400000" scaled="1"/>
          </a:gradFill>
          <a:ln>
            <a:noFill/>
          </a:ln>
          <a:effectLst/>
        </c:spPr>
        <c:marker>
          <c:symbol val="none"/>
        </c:marker>
        <c:dLbl>
          <c:idx val="0"/>
          <c:numFmt formatCode="#,##0.00\ &quot;€&quot;" sourceLinked="0"/>
          <c:spPr>
            <a:noFill/>
            <a:ln>
              <a:noFill/>
            </a:ln>
            <a:effectLst/>
          </c:spPr>
          <c:txPr>
            <a:bodyPr rot="-5400000" spcFirstLastPara="1" vertOverflow="ellipsis" vert="horz" wrap="non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s>
    <c:plotArea>
      <c:layout>
        <c:manualLayout>
          <c:layoutTarget val="inner"/>
          <c:xMode val="edge"/>
          <c:yMode val="edge"/>
          <c:x val="6.7691875107930455E-2"/>
          <c:y val="6.1792516320075375E-2"/>
          <c:w val="0.9127264577058416"/>
          <c:h val="0.84700349956255483"/>
        </c:manualLayout>
      </c:layout>
      <c:barChart>
        <c:barDir val="col"/>
        <c:grouping val="clustered"/>
        <c:varyColors val="0"/>
        <c:ser>
          <c:idx val="0"/>
          <c:order val="0"/>
          <c:tx>
            <c:strRef>
              <c:f>q23_q35_Fig!$B$80:$B$82</c:f>
              <c:strCache>
                <c:ptCount val="1"/>
                <c:pt idx="0">
                  <c:v>Base - Total</c:v>
                </c:pt>
              </c:strCache>
            </c:strRef>
          </c:tx>
          <c:spPr>
            <a:gradFill>
              <a:gsLst>
                <a:gs pos="0">
                  <a:schemeClr val="accent1"/>
                </a:gs>
                <a:gs pos="100000">
                  <a:schemeClr val="accent1">
                    <a:lumMod val="84000"/>
                  </a:schemeClr>
                </a:gs>
              </a:gsLst>
              <a:lin ang="5400000" scaled="1"/>
            </a:gradFill>
            <a:ln>
              <a:noFill/>
            </a:ln>
            <a:effectLst/>
          </c:spPr>
          <c:invertIfNegative val="0"/>
          <c:dLbls>
            <c:numFmt formatCode="#,##0.00\ &quot;€&quot;" sourceLinked="0"/>
            <c:spPr>
              <a:noFill/>
              <a:ln>
                <a:noFill/>
              </a:ln>
              <a:effectLst/>
            </c:spPr>
            <c:txPr>
              <a:bodyPr rot="-5400000" spcFirstLastPara="1" vertOverflow="ellipsis" vert="horz" wrap="non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dk1">
                          <a:lumMod val="50000"/>
                          <a:lumOff val="50000"/>
                        </a:schemeClr>
                      </a:solidFill>
                    </a:ln>
                    <a:effectLst/>
                  </c:spPr>
                </c15:leaderLines>
              </c:ext>
            </c:extLst>
          </c:dLbls>
          <c:cat>
            <c:strRef>
              <c:f>q23_q35_Fig!$A$83:$A$93</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q23_q35_Fig!$B$83:$B$93</c:f>
              <c:numCache>
                <c:formatCode>General</c:formatCode>
                <c:ptCount val="11"/>
                <c:pt idx="0">
                  <c:v>909.49</c:v>
                </c:pt>
                <c:pt idx="1">
                  <c:v>913.93</c:v>
                </c:pt>
                <c:pt idx="2">
                  <c:v>924.94</c:v>
                </c:pt>
                <c:pt idx="3">
                  <c:v>943</c:v>
                </c:pt>
                <c:pt idx="4">
                  <c:v>970.42</c:v>
                </c:pt>
                <c:pt idx="5">
                  <c:v>1005.09</c:v>
                </c:pt>
                <c:pt idx="6">
                  <c:v>1041.99</c:v>
                </c:pt>
                <c:pt idx="7">
                  <c:v>1082.77</c:v>
                </c:pt>
                <c:pt idx="8">
                  <c:v>1143.45</c:v>
                </c:pt>
                <c:pt idx="9">
                  <c:v>1219.8699999999999</c:v>
                </c:pt>
                <c:pt idx="10">
                  <c:v>1308.96</c:v>
                </c:pt>
              </c:numCache>
            </c:numRef>
          </c:val>
          <c:extLst>
            <c:ext xmlns:c16="http://schemas.microsoft.com/office/drawing/2014/chart" uri="{C3380CC4-5D6E-409C-BE32-E72D297353CC}">
              <c16:uniqueId val="{00000009-7D82-4A5B-872E-D965A4F072AC}"/>
            </c:ext>
          </c:extLst>
        </c:ser>
        <c:ser>
          <c:idx val="1"/>
          <c:order val="1"/>
          <c:tx>
            <c:strRef>
              <c:f>q23_q35_Fig!$C$80:$C$82</c:f>
              <c:strCache>
                <c:ptCount val="1"/>
                <c:pt idx="0">
                  <c:v>Ganho - Total</c:v>
                </c:pt>
              </c:strCache>
            </c:strRef>
          </c:tx>
          <c:spPr>
            <a:gradFill>
              <a:gsLst>
                <a:gs pos="0">
                  <a:schemeClr val="accent3"/>
                </a:gs>
                <a:gs pos="100000">
                  <a:schemeClr val="accent3">
                    <a:lumMod val="84000"/>
                  </a:schemeClr>
                </a:gs>
              </a:gsLst>
              <a:lin ang="5400000" scaled="1"/>
            </a:gradFill>
            <a:ln>
              <a:noFill/>
            </a:ln>
            <a:effectLst/>
          </c:spPr>
          <c:invertIfNegative val="0"/>
          <c:dLbls>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q23_q35_Fig!$A$83:$A$93</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q23_q35_Fig!$C$83:$C$93</c:f>
              <c:numCache>
                <c:formatCode>General</c:formatCode>
                <c:ptCount val="11"/>
                <c:pt idx="0">
                  <c:v>1093.21</c:v>
                </c:pt>
                <c:pt idx="1">
                  <c:v>1096.6600000000001</c:v>
                </c:pt>
                <c:pt idx="2">
                  <c:v>1107.8599999999999</c:v>
                </c:pt>
                <c:pt idx="3">
                  <c:v>1133.3399999999999</c:v>
                </c:pt>
                <c:pt idx="4">
                  <c:v>1170.25</c:v>
                </c:pt>
                <c:pt idx="5">
                  <c:v>1209.94</c:v>
                </c:pt>
                <c:pt idx="6">
                  <c:v>1250.75</c:v>
                </c:pt>
                <c:pt idx="7">
                  <c:v>1294.1099999999999</c:v>
                </c:pt>
                <c:pt idx="8">
                  <c:v>1368</c:v>
                </c:pt>
                <c:pt idx="9">
                  <c:v>1466.66</c:v>
                </c:pt>
                <c:pt idx="10">
                  <c:v>1582.75</c:v>
                </c:pt>
              </c:numCache>
            </c:numRef>
          </c:val>
          <c:extLst>
            <c:ext xmlns:c16="http://schemas.microsoft.com/office/drawing/2014/chart" uri="{C3380CC4-5D6E-409C-BE32-E72D297353CC}">
              <c16:uniqueId val="{00000000-975C-44B0-BEEA-8964B07F8F0C}"/>
            </c:ext>
          </c:extLst>
        </c:ser>
        <c:dLbls>
          <c:dLblPos val="inEnd"/>
          <c:showLegendKey val="0"/>
          <c:showVal val="1"/>
          <c:showCatName val="0"/>
          <c:showSerName val="0"/>
          <c:showPercent val="0"/>
          <c:showBubbleSize val="0"/>
        </c:dLbls>
        <c:gapWidth val="41"/>
        <c:axId val="935681696"/>
        <c:axId val="883457568"/>
      </c:barChart>
      <c:catAx>
        <c:axId val="9356816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effectLst/>
                <a:latin typeface="+mn-lt"/>
                <a:ea typeface="+mn-ea"/>
                <a:cs typeface="+mn-cs"/>
              </a:defRPr>
            </a:pPr>
            <a:endParaRPr lang="pt-PT"/>
          </a:p>
        </c:txPr>
        <c:crossAx val="883457568"/>
        <c:crosses val="autoZero"/>
        <c:auto val="1"/>
        <c:lblAlgn val="ctr"/>
        <c:lblOffset val="100"/>
        <c:noMultiLvlLbl val="0"/>
      </c:catAx>
      <c:valAx>
        <c:axId val="883457568"/>
        <c:scaling>
          <c:orientation val="minMax"/>
          <c:max val="1800"/>
          <c:min val="0"/>
        </c:scaling>
        <c:delete val="0"/>
        <c:axPos val="l"/>
        <c:numFmt formatCode="#,##0\ &quot;€&quot;"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latin typeface="+mn-lt"/>
                <a:ea typeface="+mn-ea"/>
                <a:cs typeface="+mn-cs"/>
              </a:defRPr>
            </a:pPr>
            <a:endParaRPr lang="pt-PT"/>
          </a:p>
        </c:txPr>
        <c:crossAx val="935681696"/>
        <c:crosses val="autoZero"/>
        <c:crossBetween val="between"/>
      </c:valAx>
      <c:spPr>
        <a:noFill/>
        <a:ln>
          <a:noFill/>
        </a:ln>
        <a:effectLst/>
      </c:spPr>
    </c:plotArea>
    <c:legend>
      <c:legendPos val="t"/>
      <c:layout>
        <c:manualLayout>
          <c:xMode val="edge"/>
          <c:yMode val="edge"/>
          <c:x val="0.13511635313368259"/>
          <c:y val="6.9444582585071607E-2"/>
          <c:w val="0.18591524460123485"/>
          <c:h val="6.1792516320075375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dk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345665328524363E-2"/>
          <c:y val="0.14696557342948274"/>
          <c:w val="0.47051144456440863"/>
          <c:h val="0.79171744577056835"/>
        </c:manualLayout>
      </c:layout>
      <c:barChart>
        <c:barDir val="bar"/>
        <c:grouping val="clustered"/>
        <c:varyColors val="0"/>
        <c:ser>
          <c:idx val="1"/>
          <c:order val="1"/>
          <c:tx>
            <c:strRef>
              <c:f>q17_a_q19_q26_a_q29_q38_q41_Fig!$U$253</c:f>
              <c:strCache>
                <c:ptCount val="1"/>
                <c:pt idx="0">
                  <c:v>Base</c:v>
                </c:pt>
              </c:strCache>
            </c:strRef>
          </c:tx>
          <c:spPr>
            <a:solidFill>
              <a:srgbClr val="4F81BD"/>
            </a:solidFill>
            <a:ln w="19050">
              <a:solidFill>
                <a:schemeClr val="lt1"/>
              </a:solidFill>
            </a:ln>
            <a:effectLst/>
          </c:spPr>
          <c:invertIfNegative val="0"/>
          <c:dLbls>
            <c:numFmt formatCode="#,##0.00\ &quot;€&quot;" sourceLinked="0"/>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q19_q28_q29_q40_Fig!$S$17:$S$26</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q17_a_q19_q26_a_q29_q38_q41_Fig!$U$254:$U$263</c:f>
              <c:numCache>
                <c:formatCode>#,##0.00\ "€"</c:formatCode>
                <c:ptCount val="10"/>
                <c:pt idx="0">
                  <c:v>2846.78</c:v>
                </c:pt>
                <c:pt idx="1">
                  <c:v>2032.28</c:v>
                </c:pt>
                <c:pt idx="2">
                  <c:v>1589.95</c:v>
                </c:pt>
                <c:pt idx="3">
                  <c:v>1143.01</c:v>
                </c:pt>
                <c:pt idx="4">
                  <c:v>964.25</c:v>
                </c:pt>
                <c:pt idx="5">
                  <c:v>1015.15</c:v>
                </c:pt>
                <c:pt idx="6">
                  <c:v>1018.26</c:v>
                </c:pt>
                <c:pt idx="7">
                  <c:v>1002.33</c:v>
                </c:pt>
                <c:pt idx="8">
                  <c:v>894.26</c:v>
                </c:pt>
                <c:pt idx="9">
                  <c:v>3106.87</c:v>
                </c:pt>
              </c:numCache>
            </c:numRef>
          </c:val>
          <c:extLst>
            <c:ext xmlns:c16="http://schemas.microsoft.com/office/drawing/2014/chart" uri="{C3380CC4-5D6E-409C-BE32-E72D297353CC}">
              <c16:uniqueId val="{00000000-E880-4ED0-88F3-932A5063397E}"/>
            </c:ext>
          </c:extLst>
        </c:ser>
        <c:ser>
          <c:idx val="2"/>
          <c:order val="2"/>
          <c:tx>
            <c:strRef>
              <c:f>q17_a_q19_q26_a_q29_q38_q41_Fig!$V$253</c:f>
              <c:strCache>
                <c:ptCount val="1"/>
                <c:pt idx="0">
                  <c:v>Ganho</c:v>
                </c:pt>
              </c:strCache>
            </c:strRef>
          </c:tx>
          <c:spPr>
            <a:solidFill>
              <a:srgbClr val="FFC000"/>
            </a:solidFill>
            <a:ln>
              <a:solidFill>
                <a:sysClr val="window" lastClr="FFFFFF"/>
              </a:solidFill>
            </a:ln>
          </c:spPr>
          <c:invertIfNegative val="0"/>
          <c:dLbls>
            <c:numFmt formatCode="#,##0.00\ &quot;€&quot;" sourceLinked="0"/>
            <c:spPr>
              <a:noFill/>
              <a:ln>
                <a:noFill/>
              </a:ln>
              <a:effectLst/>
            </c:spPr>
            <c:txPr>
              <a:bodyPr wrap="square" lIns="38100" tIns="19050" rIns="38100" bIns="19050" anchor="ctr">
                <a:spAutoFit/>
              </a:bodyPr>
              <a:lstStyle/>
              <a:p>
                <a:pPr>
                  <a:defRPr sz="700" b="1"/>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q19_q28_q29_q40_Fig!$S$17:$S$26</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q17_a_q19_q26_a_q29_q38_q41_Fig!$V$254:$V$263</c:f>
              <c:numCache>
                <c:formatCode>#,##0.00\ "€"</c:formatCode>
                <c:ptCount val="10"/>
                <c:pt idx="0">
                  <c:v>3295.85</c:v>
                </c:pt>
                <c:pt idx="1">
                  <c:v>2400.04</c:v>
                </c:pt>
                <c:pt idx="2">
                  <c:v>1947.34</c:v>
                </c:pt>
                <c:pt idx="3">
                  <c:v>1391.18</c:v>
                </c:pt>
                <c:pt idx="4">
                  <c:v>1162.67</c:v>
                </c:pt>
                <c:pt idx="5">
                  <c:v>1167.21</c:v>
                </c:pt>
                <c:pt idx="6">
                  <c:v>1246.3800000000001</c:v>
                </c:pt>
                <c:pt idx="7">
                  <c:v>1341.97</c:v>
                </c:pt>
                <c:pt idx="8">
                  <c:v>1058.49</c:v>
                </c:pt>
                <c:pt idx="9">
                  <c:v>3504.65</c:v>
                </c:pt>
              </c:numCache>
            </c:numRef>
          </c:val>
          <c:extLst>
            <c:ext xmlns:c16="http://schemas.microsoft.com/office/drawing/2014/chart" uri="{C3380CC4-5D6E-409C-BE32-E72D297353CC}">
              <c16:uniqueId val="{00000001-E880-4ED0-88F3-932A5063397E}"/>
            </c:ext>
          </c:extLst>
        </c:ser>
        <c:dLbls>
          <c:showLegendKey val="0"/>
          <c:showVal val="0"/>
          <c:showCatName val="0"/>
          <c:showSerName val="0"/>
          <c:showPercent val="0"/>
          <c:showBubbleSize val="0"/>
        </c:dLbls>
        <c:gapWidth val="42"/>
        <c:axId val="891633855"/>
        <c:axId val="1319480015"/>
        <c:extLst>
          <c:ext xmlns:c15="http://schemas.microsoft.com/office/drawing/2012/chart" uri="{02D57815-91ED-43cb-92C2-25804820EDAC}">
            <c15:filteredBarSeries>
              <c15:ser>
                <c:idx val="0"/>
                <c:order val="0"/>
                <c:tx>
                  <c:strRef>
                    <c:extLst>
                      <c:ext uri="{02D57815-91ED-43cb-92C2-25804820EDAC}">
                        <c15:formulaRef>
                          <c15:sqref>q17_a_q19_q26_a_q29_q38_q41_Fig!$T$253</c15:sqref>
                        </c15:formulaRef>
                      </c:ext>
                    </c:extLst>
                    <c:strCache>
                      <c:ptCount val="1"/>
                      <c:pt idx="0">
                        <c:v>TCO</c:v>
                      </c:pt>
                    </c:strCache>
                  </c:strRef>
                </c:tx>
                <c:spPr>
                  <a:solidFill>
                    <a:srgbClr val="4F81BD"/>
                  </a:solidFill>
                  <a:ln w="19050">
                    <a:solidFill>
                      <a:schemeClr val="lt1"/>
                    </a:solidFill>
                  </a:ln>
                  <a:effectLst/>
                </c:spPr>
                <c:invertIfNegative val="0"/>
                <c:dPt>
                  <c:idx val="1"/>
                  <c:invertIfNegative val="0"/>
                  <c:bubble3D val="0"/>
                  <c:explosion val="2"/>
                  <c:extLst>
                    <c:ext xmlns:c16="http://schemas.microsoft.com/office/drawing/2014/chart" uri="{C3380CC4-5D6E-409C-BE32-E72D297353CC}">
                      <c16:uniqueId val="{00000002-E880-4ED0-88F3-932A5063397E}"/>
                    </c:ext>
                  </c:extLst>
                </c:dPt>
                <c:dPt>
                  <c:idx val="2"/>
                  <c:invertIfNegative val="0"/>
                  <c:bubble3D val="0"/>
                  <c:extLst>
                    <c:ext xmlns:c16="http://schemas.microsoft.com/office/drawing/2014/chart" uri="{C3380CC4-5D6E-409C-BE32-E72D297353CC}">
                      <c16:uniqueId val="{00000003-E880-4ED0-88F3-932A5063397E}"/>
                    </c:ext>
                  </c:extLst>
                </c:dPt>
                <c:dPt>
                  <c:idx val="3"/>
                  <c:invertIfNegative val="0"/>
                  <c:bubble3D val="0"/>
                  <c:extLst>
                    <c:ext xmlns:c16="http://schemas.microsoft.com/office/drawing/2014/chart" uri="{C3380CC4-5D6E-409C-BE32-E72D297353CC}">
                      <c16:uniqueId val="{00000004-E880-4ED0-88F3-932A5063397E}"/>
                    </c:ext>
                  </c:extLst>
                </c:dPt>
                <c:dPt>
                  <c:idx val="4"/>
                  <c:invertIfNegative val="0"/>
                  <c:bubble3D val="0"/>
                  <c:extLst>
                    <c:ext xmlns:c16="http://schemas.microsoft.com/office/drawing/2014/chart" uri="{C3380CC4-5D6E-409C-BE32-E72D297353CC}">
                      <c16:uniqueId val="{00000005-E880-4ED0-88F3-932A5063397E}"/>
                    </c:ext>
                  </c:extLst>
                </c:dPt>
                <c:dPt>
                  <c:idx val="5"/>
                  <c:invertIfNegative val="0"/>
                  <c:bubble3D val="0"/>
                  <c:extLst>
                    <c:ext xmlns:c16="http://schemas.microsoft.com/office/drawing/2014/chart" uri="{C3380CC4-5D6E-409C-BE32-E72D297353CC}">
                      <c16:uniqueId val="{00000006-E880-4ED0-88F3-932A5063397E}"/>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q19_q28_q29_q40_Fig!$S$17:$S$26</c15:sqref>
                        </c15:formulaRef>
                      </c:ext>
                    </c:extLst>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extLst>
                      <c:ext uri="{02D57815-91ED-43cb-92C2-25804820EDAC}">
                        <c15:formulaRef>
                          <c15:sqref>q17_a_q19_q26_a_q29_q38_q41_Fig!$T$254:$T$263</c15:sqref>
                        </c15:formulaRef>
                      </c:ext>
                    </c:extLst>
                    <c:numCache>
                      <c:formatCode>#,##0</c:formatCode>
                      <c:ptCount val="10"/>
                      <c:pt idx="0">
                        <c:v>114787</c:v>
                      </c:pt>
                      <c:pt idx="1">
                        <c:v>441951</c:v>
                      </c:pt>
                      <c:pt idx="2">
                        <c:v>353603</c:v>
                      </c:pt>
                      <c:pt idx="3">
                        <c:v>435944</c:v>
                      </c:pt>
                      <c:pt idx="4">
                        <c:v>700751</c:v>
                      </c:pt>
                      <c:pt idx="5">
                        <c:v>36010</c:v>
                      </c:pt>
                      <c:pt idx="6">
                        <c:v>457922</c:v>
                      </c:pt>
                      <c:pt idx="7">
                        <c:v>323244</c:v>
                      </c:pt>
                      <c:pt idx="8">
                        <c:v>485614</c:v>
                      </c:pt>
                      <c:pt idx="9">
                        <c:v>4310</c:v>
                      </c:pt>
                    </c:numCache>
                  </c:numRef>
                </c:val>
                <c:extLst>
                  <c:ext xmlns:c16="http://schemas.microsoft.com/office/drawing/2014/chart" uri="{C3380CC4-5D6E-409C-BE32-E72D297353CC}">
                    <c16:uniqueId val="{00000007-E880-4ED0-88F3-932A5063397E}"/>
                  </c:ext>
                </c:extLst>
              </c15:ser>
            </c15:filteredBarSeries>
          </c:ext>
        </c:extLst>
      </c:barChart>
      <c:valAx>
        <c:axId val="1319480015"/>
        <c:scaling>
          <c:orientation val="minMax"/>
          <c:max val="3300"/>
          <c:min val="0"/>
        </c:scaling>
        <c:delete val="1"/>
        <c:axPos val="t"/>
        <c:numFmt formatCode="#,##0.00\ &quot;€&quot;" sourceLinked="1"/>
        <c:majorTickMark val="out"/>
        <c:minorTickMark val="none"/>
        <c:tickLblPos val="nextTo"/>
        <c:crossAx val="891633855"/>
        <c:crosses val="autoZero"/>
        <c:crossBetween val="between"/>
        <c:majorUnit val="300"/>
      </c:valAx>
      <c:catAx>
        <c:axId val="89163385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5036216525202521"/>
          <c:y val="1.9620487218601212E-2"/>
          <c:w val="0.16526299705334702"/>
          <c:h val="8.889572494316742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742641318886547"/>
          <c:y val="0.12141943790027154"/>
          <c:w val="0.7546157966014222"/>
          <c:h val="0.84693069647889441"/>
        </c:manualLayout>
      </c:layout>
      <c:barChart>
        <c:barDir val="bar"/>
        <c:grouping val="clustered"/>
        <c:varyColors val="0"/>
        <c:ser>
          <c:idx val="3"/>
          <c:order val="3"/>
          <c:tx>
            <c:strRef>
              <c:f>q17_a_q19_q26_a_q29_q38_q41_Fig!$W$253</c:f>
              <c:strCache>
                <c:ptCount val="1"/>
                <c:pt idx="0">
                  <c:v>Base</c:v>
                </c:pt>
              </c:strCache>
            </c:strRef>
          </c:tx>
          <c:spPr>
            <a:solidFill>
              <a:srgbClr val="4F81BD"/>
            </a:solidFill>
            <a:ln w="19050">
              <a:solidFill>
                <a:sysClr val="window" lastClr="FFFFFF"/>
              </a:solidFill>
            </a:ln>
          </c:spPr>
          <c:invertIfNegative val="0"/>
          <c:dLbls>
            <c:numFmt formatCode="#,##0.00\ &quot;€&quot;" sourceLinked="0"/>
            <c:spPr>
              <a:noFill/>
              <a:ln>
                <a:noFill/>
              </a:ln>
              <a:effectLst/>
            </c:spPr>
            <c:txPr>
              <a:bodyPr wrap="square" lIns="38100" tIns="19050" rIns="38100" bIns="19050" anchor="ctr">
                <a:spAutoFit/>
              </a:bodyPr>
              <a:lstStyle/>
              <a:p>
                <a:pPr>
                  <a:defRPr sz="700" b="1">
                    <a:solidFill>
                      <a:schemeClr val="tx2"/>
                    </a:solidFil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q17_a_q19_q26_a_q29_q38_q41_Fig!$S$254:$S$263</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q17_a_q19_q26_a_q29_q38_q41_Fig!$W$254:$W$263</c:f>
              <c:numCache>
                <c:formatCode>#,##0.00\ "€"</c:formatCode>
                <c:ptCount val="10"/>
                <c:pt idx="0">
                  <c:v>16.54</c:v>
                </c:pt>
                <c:pt idx="1">
                  <c:v>12.04</c:v>
                </c:pt>
                <c:pt idx="2">
                  <c:v>9.17</c:v>
                </c:pt>
                <c:pt idx="3">
                  <c:v>6.56</c:v>
                </c:pt>
                <c:pt idx="4">
                  <c:v>5.57</c:v>
                </c:pt>
                <c:pt idx="5">
                  <c:v>5.48</c:v>
                </c:pt>
                <c:pt idx="6">
                  <c:v>5.8</c:v>
                </c:pt>
                <c:pt idx="7">
                  <c:v>5.72</c:v>
                </c:pt>
                <c:pt idx="8">
                  <c:v>5.12</c:v>
                </c:pt>
                <c:pt idx="9">
                  <c:v>18.2</c:v>
                </c:pt>
              </c:numCache>
            </c:numRef>
          </c:val>
          <c:extLst>
            <c:ext xmlns:c16="http://schemas.microsoft.com/office/drawing/2014/chart" uri="{C3380CC4-5D6E-409C-BE32-E72D297353CC}">
              <c16:uniqueId val="{00000000-2161-4DB6-A3B3-2F249B63F464}"/>
            </c:ext>
          </c:extLst>
        </c:ser>
        <c:dLbls>
          <c:showLegendKey val="0"/>
          <c:showVal val="0"/>
          <c:showCatName val="0"/>
          <c:showSerName val="0"/>
          <c:showPercent val="0"/>
          <c:showBubbleSize val="0"/>
        </c:dLbls>
        <c:gapWidth val="42"/>
        <c:axId val="891633855"/>
        <c:axId val="1319480015"/>
        <c:extLst>
          <c:ext xmlns:c15="http://schemas.microsoft.com/office/drawing/2012/chart" uri="{02D57815-91ED-43cb-92C2-25804820EDAC}">
            <c15:filteredBarSeries>
              <c15:ser>
                <c:idx val="0"/>
                <c:order val="0"/>
                <c:tx>
                  <c:strRef>
                    <c:extLst>
                      <c:ext uri="{02D57815-91ED-43cb-92C2-25804820EDAC}">
                        <c15:formulaRef>
                          <c15:sqref>q17_a_q19_q26_a_q29_q38_q41_Fig!$T$253</c15:sqref>
                        </c15:formulaRef>
                      </c:ext>
                    </c:extLst>
                    <c:strCache>
                      <c:ptCount val="1"/>
                      <c:pt idx="0">
                        <c:v>TCO</c:v>
                      </c:pt>
                    </c:strCache>
                  </c:strRef>
                </c:tx>
                <c:spPr>
                  <a:solidFill>
                    <a:srgbClr val="4F81BD"/>
                  </a:solidFill>
                  <a:ln w="19050">
                    <a:solidFill>
                      <a:schemeClr val="lt1"/>
                    </a:solidFill>
                  </a:ln>
                  <a:effectLst/>
                </c:spPr>
                <c:invertIfNegative val="0"/>
                <c:dPt>
                  <c:idx val="1"/>
                  <c:invertIfNegative val="0"/>
                  <c:bubble3D val="0"/>
                  <c:explosion val="2"/>
                  <c:extLst>
                    <c:ext xmlns:c16="http://schemas.microsoft.com/office/drawing/2014/chart" uri="{C3380CC4-5D6E-409C-BE32-E72D297353CC}">
                      <c16:uniqueId val="{00000001-2161-4DB6-A3B3-2F249B63F464}"/>
                    </c:ext>
                  </c:extLst>
                </c:dPt>
                <c:dPt>
                  <c:idx val="2"/>
                  <c:invertIfNegative val="0"/>
                  <c:bubble3D val="0"/>
                  <c:extLst>
                    <c:ext xmlns:c16="http://schemas.microsoft.com/office/drawing/2014/chart" uri="{C3380CC4-5D6E-409C-BE32-E72D297353CC}">
                      <c16:uniqueId val="{00000002-2161-4DB6-A3B3-2F249B63F464}"/>
                    </c:ext>
                  </c:extLst>
                </c:dPt>
                <c:dPt>
                  <c:idx val="3"/>
                  <c:invertIfNegative val="0"/>
                  <c:bubble3D val="0"/>
                  <c:extLst>
                    <c:ext xmlns:c16="http://schemas.microsoft.com/office/drawing/2014/chart" uri="{C3380CC4-5D6E-409C-BE32-E72D297353CC}">
                      <c16:uniqueId val="{00000003-2161-4DB6-A3B3-2F249B63F464}"/>
                    </c:ext>
                  </c:extLst>
                </c:dPt>
                <c:dPt>
                  <c:idx val="4"/>
                  <c:invertIfNegative val="0"/>
                  <c:bubble3D val="0"/>
                  <c:extLst>
                    <c:ext xmlns:c16="http://schemas.microsoft.com/office/drawing/2014/chart" uri="{C3380CC4-5D6E-409C-BE32-E72D297353CC}">
                      <c16:uniqueId val="{00000004-2161-4DB6-A3B3-2F249B63F464}"/>
                    </c:ext>
                  </c:extLst>
                </c:dPt>
                <c:dPt>
                  <c:idx val="5"/>
                  <c:invertIfNegative val="0"/>
                  <c:bubble3D val="0"/>
                  <c:extLst>
                    <c:ext xmlns:c16="http://schemas.microsoft.com/office/drawing/2014/chart" uri="{C3380CC4-5D6E-409C-BE32-E72D297353CC}">
                      <c16:uniqueId val="{00000005-2161-4DB6-A3B3-2F249B63F464}"/>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q17_a_q19_q26_a_q29_q38_q41_Fig!$S$254:$S$263</c15:sqref>
                        </c15:formulaRef>
                      </c:ext>
                    </c:extLst>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extLst>
                      <c:ext uri="{02D57815-91ED-43cb-92C2-25804820EDAC}">
                        <c15:formulaRef>
                          <c15:sqref>q17_a_q19_q26_a_q29_q38_q41_Fig!$T$254:$T$263</c15:sqref>
                        </c15:formulaRef>
                      </c:ext>
                    </c:extLst>
                    <c:numCache>
                      <c:formatCode>#,##0</c:formatCode>
                      <c:ptCount val="10"/>
                      <c:pt idx="0">
                        <c:v>114787</c:v>
                      </c:pt>
                      <c:pt idx="1">
                        <c:v>441951</c:v>
                      </c:pt>
                      <c:pt idx="2">
                        <c:v>353603</c:v>
                      </c:pt>
                      <c:pt idx="3">
                        <c:v>435944</c:v>
                      </c:pt>
                      <c:pt idx="4">
                        <c:v>700751</c:v>
                      </c:pt>
                      <c:pt idx="5">
                        <c:v>36010</c:v>
                      </c:pt>
                      <c:pt idx="6">
                        <c:v>457922</c:v>
                      </c:pt>
                      <c:pt idx="7">
                        <c:v>323244</c:v>
                      </c:pt>
                      <c:pt idx="8">
                        <c:v>485614</c:v>
                      </c:pt>
                      <c:pt idx="9">
                        <c:v>4310</c:v>
                      </c:pt>
                    </c:numCache>
                  </c:numRef>
                </c:val>
                <c:extLst>
                  <c:ext xmlns:c16="http://schemas.microsoft.com/office/drawing/2014/chart" uri="{C3380CC4-5D6E-409C-BE32-E72D297353CC}">
                    <c16:uniqueId val="{00000006-2161-4DB6-A3B3-2F249B63F46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q17_a_q19_q26_a_q29_q38_q41_Fig!$U$253</c15:sqref>
                        </c15:formulaRef>
                      </c:ext>
                    </c:extLst>
                    <c:strCache>
                      <c:ptCount val="1"/>
                      <c:pt idx="0">
                        <c:v>Base</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q17_a_q19_q26_a_q29_q38_q41_Fig!$S$254:$S$263</c15:sqref>
                        </c15:formulaRef>
                      </c:ext>
                    </c:extLst>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extLst xmlns:c15="http://schemas.microsoft.com/office/drawing/2012/chart">
                      <c:ext xmlns:c15="http://schemas.microsoft.com/office/drawing/2012/chart" uri="{02D57815-91ED-43cb-92C2-25804820EDAC}">
                        <c15:formulaRef>
                          <c15:sqref>q17_a_q19_q26_a_q29_q38_q41_Fig!$U$254:$U$263</c15:sqref>
                        </c15:formulaRef>
                      </c:ext>
                    </c:extLst>
                    <c:numCache>
                      <c:formatCode>#,##0.00\ "€"</c:formatCode>
                      <c:ptCount val="10"/>
                      <c:pt idx="0">
                        <c:v>2846.78</c:v>
                      </c:pt>
                      <c:pt idx="1">
                        <c:v>2032.28</c:v>
                      </c:pt>
                      <c:pt idx="2">
                        <c:v>1589.95</c:v>
                      </c:pt>
                      <c:pt idx="3">
                        <c:v>1143.01</c:v>
                      </c:pt>
                      <c:pt idx="4">
                        <c:v>964.25</c:v>
                      </c:pt>
                      <c:pt idx="5">
                        <c:v>1015.15</c:v>
                      </c:pt>
                      <c:pt idx="6">
                        <c:v>1018.26</c:v>
                      </c:pt>
                      <c:pt idx="7">
                        <c:v>1002.33</c:v>
                      </c:pt>
                      <c:pt idx="8">
                        <c:v>894.26</c:v>
                      </c:pt>
                      <c:pt idx="9">
                        <c:v>3106.87</c:v>
                      </c:pt>
                    </c:numCache>
                  </c:numRef>
                </c:val>
                <c:extLst xmlns:c15="http://schemas.microsoft.com/office/drawing/2012/chart">
                  <c:ext xmlns:c16="http://schemas.microsoft.com/office/drawing/2014/chart" uri="{C3380CC4-5D6E-409C-BE32-E72D297353CC}">
                    <c16:uniqueId val="{00000007-2161-4DB6-A3B3-2F249B63F46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q17_a_q19_q26_a_q29_q38_q41_Fig!$V$253</c15:sqref>
                        </c15:formulaRef>
                      </c:ext>
                    </c:extLst>
                    <c:strCache>
                      <c:ptCount val="1"/>
                      <c:pt idx="0">
                        <c:v>Ganho</c:v>
                      </c:pt>
                    </c:strCache>
                  </c:strRef>
                </c:tx>
                <c:invertIfNegative val="0"/>
                <c:cat>
                  <c:strRef>
                    <c:extLst xmlns:c15="http://schemas.microsoft.com/office/drawing/2012/chart">
                      <c:ext xmlns:c15="http://schemas.microsoft.com/office/drawing/2012/chart" uri="{02D57815-91ED-43cb-92C2-25804820EDAC}">
                        <c15:formulaRef>
                          <c15:sqref>q17_a_q19_q26_a_q29_q38_q41_Fig!$S$254:$S$263</c15:sqref>
                        </c15:formulaRef>
                      </c:ext>
                    </c:extLst>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extLst xmlns:c15="http://schemas.microsoft.com/office/drawing/2012/chart">
                      <c:ext xmlns:c15="http://schemas.microsoft.com/office/drawing/2012/chart" uri="{02D57815-91ED-43cb-92C2-25804820EDAC}">
                        <c15:formulaRef>
                          <c15:sqref>q17_a_q19_q26_a_q29_q38_q41_Fig!$V$254:$V$263</c15:sqref>
                        </c15:formulaRef>
                      </c:ext>
                    </c:extLst>
                    <c:numCache>
                      <c:formatCode>#,##0.00\ "€"</c:formatCode>
                      <c:ptCount val="10"/>
                      <c:pt idx="0">
                        <c:v>3295.85</c:v>
                      </c:pt>
                      <c:pt idx="1">
                        <c:v>2400.04</c:v>
                      </c:pt>
                      <c:pt idx="2">
                        <c:v>1947.34</c:v>
                      </c:pt>
                      <c:pt idx="3">
                        <c:v>1391.18</c:v>
                      </c:pt>
                      <c:pt idx="4">
                        <c:v>1162.67</c:v>
                      </c:pt>
                      <c:pt idx="5">
                        <c:v>1167.21</c:v>
                      </c:pt>
                      <c:pt idx="6">
                        <c:v>1246.3800000000001</c:v>
                      </c:pt>
                      <c:pt idx="7">
                        <c:v>1341.97</c:v>
                      </c:pt>
                      <c:pt idx="8">
                        <c:v>1058.49</c:v>
                      </c:pt>
                      <c:pt idx="9">
                        <c:v>3504.65</c:v>
                      </c:pt>
                    </c:numCache>
                  </c:numRef>
                </c:val>
                <c:extLst xmlns:c15="http://schemas.microsoft.com/office/drawing/2012/chart">
                  <c:ext xmlns:c16="http://schemas.microsoft.com/office/drawing/2014/chart" uri="{C3380CC4-5D6E-409C-BE32-E72D297353CC}">
                    <c16:uniqueId val="{00000008-2161-4DB6-A3B3-2F249B63F464}"/>
                  </c:ext>
                </c:extLst>
              </c15:ser>
            </c15:filteredBarSeries>
          </c:ext>
        </c:extLst>
      </c:barChart>
      <c:valAx>
        <c:axId val="1319480015"/>
        <c:scaling>
          <c:orientation val="minMax"/>
          <c:max val="20"/>
          <c:min val="0"/>
        </c:scaling>
        <c:delete val="1"/>
        <c:axPos val="t"/>
        <c:numFmt formatCode="#,##0.00\ &quot;€&quot;" sourceLinked="1"/>
        <c:majorTickMark val="out"/>
        <c:minorTickMark val="none"/>
        <c:tickLblPos val="nextTo"/>
        <c:crossAx val="891633855"/>
        <c:crosses val="autoZero"/>
        <c:crossBetween val="between"/>
        <c:majorUnit val="2"/>
      </c:valAx>
      <c:catAx>
        <c:axId val="891633855"/>
        <c:scaling>
          <c:orientation val="maxMin"/>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4825260812496481"/>
          <c:y val="3.8008150319151146E-3"/>
          <c:w val="0.17017432744235686"/>
          <c:h val="5.546408946742573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PT" sz="900" b="1">
                <a:solidFill>
                  <a:schemeClr val="tx2">
                    <a:lumMod val="75000"/>
                  </a:schemeClr>
                </a:solidFill>
              </a:rPr>
              <a:t>...por Secção de Atividade Económica* do</a:t>
            </a:r>
            <a:r>
              <a:rPr lang="pt-PT" sz="900" b="1" baseline="0">
                <a:solidFill>
                  <a:schemeClr val="tx2">
                    <a:lumMod val="75000"/>
                  </a:schemeClr>
                </a:solidFill>
              </a:rPr>
              <a:t> estabelecimento</a:t>
            </a:r>
            <a:endParaRPr lang="pt-PT" sz="900" b="1">
              <a:solidFill>
                <a:schemeClr val="tx2">
                  <a:lumMod val="75000"/>
                </a:schemeClr>
              </a:solidFill>
            </a:endParaRPr>
          </a:p>
        </c:rich>
      </c:tx>
      <c:layout>
        <c:manualLayout>
          <c:xMode val="edge"/>
          <c:yMode val="edge"/>
          <c:x val="0.46600349040139616"/>
          <c:y val="3.71345029239766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PT"/>
        </a:p>
      </c:txPr>
    </c:title>
    <c:autoTitleDeleted val="0"/>
    <c:plotArea>
      <c:layout/>
      <c:barChart>
        <c:barDir val="col"/>
        <c:grouping val="stacked"/>
        <c:varyColors val="0"/>
        <c:ser>
          <c:idx val="0"/>
          <c:order val="0"/>
          <c:tx>
            <c:strRef>
              <c:f>q9_13_16_27_28_39_40_E_Fig!$R$7</c:f>
              <c:strCache>
                <c:ptCount val="1"/>
                <c:pt idx="0">
                  <c:v>A</c:v>
                </c:pt>
              </c:strCache>
            </c:strRef>
          </c:tx>
          <c:spPr>
            <a:solidFill>
              <a:schemeClr val="accent1"/>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q9_13_16_27_28_39_40_E_Fig!$S$7:$AC$7</c:f>
              <c:numCache>
                <c:formatCode>General</c:formatCode>
                <c:ptCount val="11"/>
                <c:pt idx="0">
                  <c:v>7205</c:v>
                </c:pt>
                <c:pt idx="1">
                  <c:v>7947</c:v>
                </c:pt>
                <c:pt idx="2">
                  <c:v>9445</c:v>
                </c:pt>
                <c:pt idx="3">
                  <c:v>10109</c:v>
                </c:pt>
                <c:pt idx="4">
                  <c:v>12079</c:v>
                </c:pt>
                <c:pt idx="5">
                  <c:v>14470</c:v>
                </c:pt>
                <c:pt idx="6">
                  <c:v>19004</c:v>
                </c:pt>
                <c:pt idx="7">
                  <c:v>18272</c:v>
                </c:pt>
                <c:pt idx="8">
                  <c:v>22728</c:v>
                </c:pt>
                <c:pt idx="9">
                  <c:v>26238</c:v>
                </c:pt>
                <c:pt idx="10">
                  <c:v>31117</c:v>
                </c:pt>
              </c:numCache>
            </c:numRef>
          </c:val>
          <c:extLst xmlns:c15="http://schemas.microsoft.com/office/drawing/2012/chart">
            <c:ext xmlns:c16="http://schemas.microsoft.com/office/drawing/2014/chart" uri="{C3380CC4-5D6E-409C-BE32-E72D297353CC}">
              <c16:uniqueId val="{00000000-D8BA-44F9-9202-C57083056871}"/>
            </c:ext>
          </c:extLst>
        </c:ser>
        <c:ser>
          <c:idx val="1"/>
          <c:order val="1"/>
          <c:tx>
            <c:strRef>
              <c:f>q9_13_16_27_28_39_40_E_Fig!$R$8</c:f>
              <c:strCache>
                <c:ptCount val="1"/>
                <c:pt idx="0">
                  <c:v>B</c:v>
                </c:pt>
              </c:strCache>
            </c:strRef>
          </c:tx>
          <c:spPr>
            <a:solidFill>
              <a:schemeClr val="accent3"/>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q9_13_16_27_28_39_40_E_Fig!$S$8:$AC$8</c:f>
              <c:numCache>
                <c:formatCode>General</c:formatCode>
                <c:ptCount val="11"/>
                <c:pt idx="0">
                  <c:v>231</c:v>
                </c:pt>
                <c:pt idx="1">
                  <c:v>229</c:v>
                </c:pt>
                <c:pt idx="2">
                  <c:v>221</c:v>
                </c:pt>
                <c:pt idx="3">
                  <c:v>234</c:v>
                </c:pt>
                <c:pt idx="4">
                  <c:v>250</c:v>
                </c:pt>
                <c:pt idx="5">
                  <c:v>276</c:v>
                </c:pt>
                <c:pt idx="6">
                  <c:v>289</c:v>
                </c:pt>
                <c:pt idx="7">
                  <c:v>352</c:v>
                </c:pt>
                <c:pt idx="8">
                  <c:v>530</c:v>
                </c:pt>
                <c:pt idx="9">
                  <c:v>741</c:v>
                </c:pt>
                <c:pt idx="10">
                  <c:v>1039</c:v>
                </c:pt>
              </c:numCache>
            </c:numRef>
          </c:val>
          <c:extLst>
            <c:ext xmlns:c16="http://schemas.microsoft.com/office/drawing/2014/chart" uri="{C3380CC4-5D6E-409C-BE32-E72D297353CC}">
              <c16:uniqueId val="{00000001-D8BA-44F9-9202-C57083056871}"/>
            </c:ext>
          </c:extLst>
        </c:ser>
        <c:ser>
          <c:idx val="2"/>
          <c:order val="2"/>
          <c:tx>
            <c:strRef>
              <c:f>q9_13_16_27_28_39_40_E_Fig!$R$9</c:f>
              <c:strCache>
                <c:ptCount val="1"/>
                <c:pt idx="0">
                  <c:v>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q9_13_16_27_28_39_40_E_Fig!$S$9:$AC$9</c:f>
              <c:numCache>
                <c:formatCode>General</c:formatCode>
                <c:ptCount val="11"/>
                <c:pt idx="0">
                  <c:v>11696</c:v>
                </c:pt>
                <c:pt idx="1">
                  <c:v>12230</c:v>
                </c:pt>
                <c:pt idx="2">
                  <c:v>12876</c:v>
                </c:pt>
                <c:pt idx="3">
                  <c:v>13906</c:v>
                </c:pt>
                <c:pt idx="4">
                  <c:v>17154</c:v>
                </c:pt>
                <c:pt idx="5">
                  <c:v>20859</c:v>
                </c:pt>
                <c:pt idx="6">
                  <c:v>22497</c:v>
                </c:pt>
                <c:pt idx="7">
                  <c:v>24420</c:v>
                </c:pt>
                <c:pt idx="8">
                  <c:v>36582</c:v>
                </c:pt>
                <c:pt idx="9">
                  <c:v>49355</c:v>
                </c:pt>
                <c:pt idx="10">
                  <c:v>60489</c:v>
                </c:pt>
              </c:numCache>
            </c:numRef>
          </c:val>
          <c:extLst>
            <c:ext xmlns:c16="http://schemas.microsoft.com/office/drawing/2014/chart" uri="{C3380CC4-5D6E-409C-BE32-E72D297353CC}">
              <c16:uniqueId val="{00000002-D8BA-44F9-9202-C57083056871}"/>
            </c:ext>
          </c:extLst>
        </c:ser>
        <c:ser>
          <c:idx val="3"/>
          <c:order val="3"/>
          <c:tx>
            <c:strRef>
              <c:f>q9_13_16_27_28_39_40_E_Fig!$R$10</c:f>
              <c:strCache>
                <c:ptCount val="1"/>
                <c:pt idx="0">
                  <c:v>D</c:v>
                </c:pt>
              </c:strCache>
            </c:strRef>
          </c:tx>
          <c:spPr>
            <a:solidFill>
              <a:schemeClr val="accent1">
                <a:lumMod val="6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q9_13_16_27_28_39_40_E_Fig!$S$10:$AC$10</c:f>
              <c:numCache>
                <c:formatCode>General</c:formatCode>
                <c:ptCount val="11"/>
                <c:pt idx="0">
                  <c:v>62</c:v>
                </c:pt>
                <c:pt idx="1">
                  <c:v>61</c:v>
                </c:pt>
                <c:pt idx="2">
                  <c:v>65</c:v>
                </c:pt>
                <c:pt idx="3">
                  <c:v>65</c:v>
                </c:pt>
                <c:pt idx="4">
                  <c:v>104</c:v>
                </c:pt>
                <c:pt idx="5">
                  <c:v>99</c:v>
                </c:pt>
                <c:pt idx="6">
                  <c:v>115</c:v>
                </c:pt>
                <c:pt idx="7">
                  <c:v>120</c:v>
                </c:pt>
                <c:pt idx="8">
                  <c:v>156</c:v>
                </c:pt>
                <c:pt idx="9">
                  <c:v>231</c:v>
                </c:pt>
                <c:pt idx="10">
                  <c:v>306</c:v>
                </c:pt>
              </c:numCache>
            </c:numRef>
          </c:val>
          <c:extLst>
            <c:ext xmlns:c16="http://schemas.microsoft.com/office/drawing/2014/chart" uri="{C3380CC4-5D6E-409C-BE32-E72D297353CC}">
              <c16:uniqueId val="{00000003-D8BA-44F9-9202-C57083056871}"/>
            </c:ext>
          </c:extLst>
        </c:ser>
        <c:ser>
          <c:idx val="4"/>
          <c:order val="4"/>
          <c:tx>
            <c:strRef>
              <c:f>q9_13_16_27_28_39_40_E_Fig!$R$11</c:f>
              <c:strCache>
                <c:ptCount val="1"/>
                <c:pt idx="0">
                  <c:v>E</c:v>
                </c:pt>
              </c:strCache>
            </c:strRef>
          </c:tx>
          <c:spPr>
            <a:solidFill>
              <a:schemeClr val="accent3">
                <a:lumMod val="6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q9_13_16_27_28_39_40_E_Fig!$S$11:$AC$11</c:f>
              <c:numCache>
                <c:formatCode>General</c:formatCode>
                <c:ptCount val="11"/>
                <c:pt idx="0">
                  <c:v>958</c:v>
                </c:pt>
                <c:pt idx="1">
                  <c:v>955</c:v>
                </c:pt>
                <c:pt idx="2">
                  <c:v>964</c:v>
                </c:pt>
                <c:pt idx="3">
                  <c:v>982</c:v>
                </c:pt>
                <c:pt idx="4">
                  <c:v>1060</c:v>
                </c:pt>
                <c:pt idx="5">
                  <c:v>1261</c:v>
                </c:pt>
                <c:pt idx="6">
                  <c:v>1592</c:v>
                </c:pt>
                <c:pt idx="7">
                  <c:v>1754</c:v>
                </c:pt>
                <c:pt idx="8">
                  <c:v>1887</c:v>
                </c:pt>
                <c:pt idx="9">
                  <c:v>2290</c:v>
                </c:pt>
                <c:pt idx="10">
                  <c:v>3083</c:v>
                </c:pt>
              </c:numCache>
            </c:numRef>
          </c:val>
          <c:extLst>
            <c:ext xmlns:c16="http://schemas.microsoft.com/office/drawing/2014/chart" uri="{C3380CC4-5D6E-409C-BE32-E72D297353CC}">
              <c16:uniqueId val="{00000004-D8BA-44F9-9202-C57083056871}"/>
            </c:ext>
          </c:extLst>
        </c:ser>
        <c:ser>
          <c:idx val="5"/>
          <c:order val="5"/>
          <c:tx>
            <c:strRef>
              <c:f>q9_13_16_27_28_39_40_E_Fig!$R$12</c:f>
              <c:strCache>
                <c:ptCount val="1"/>
                <c:pt idx="0">
                  <c:v>F</c:v>
                </c:pt>
              </c:strCache>
            </c:strRef>
          </c:tx>
          <c:spPr>
            <a:solidFill>
              <a:schemeClr val="accent5">
                <a:lumMod val="60000"/>
              </a:schemeClr>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5-D8BA-44F9-9202-C57083056871}"/>
                </c:ext>
              </c:extLst>
            </c:dLbl>
            <c:dLbl>
              <c:idx val="5"/>
              <c:delete val="1"/>
              <c:extLst>
                <c:ext xmlns:c15="http://schemas.microsoft.com/office/drawing/2012/chart" uri="{CE6537A1-D6FC-4f65-9D91-7224C49458BB}"/>
                <c:ext xmlns:c16="http://schemas.microsoft.com/office/drawing/2014/chart" uri="{C3380CC4-5D6E-409C-BE32-E72D297353CC}">
                  <c16:uniqueId val="{00000006-D8BA-44F9-9202-C57083056871}"/>
                </c:ext>
              </c:extLst>
            </c:dLbl>
            <c:dLbl>
              <c:idx val="6"/>
              <c:delete val="1"/>
              <c:extLst>
                <c:ext xmlns:c15="http://schemas.microsoft.com/office/drawing/2012/chart" uri="{CE6537A1-D6FC-4f65-9D91-7224C49458BB}"/>
                <c:ext xmlns:c16="http://schemas.microsoft.com/office/drawing/2014/chart" uri="{C3380CC4-5D6E-409C-BE32-E72D297353CC}">
                  <c16:uniqueId val="{00000007-D8BA-44F9-9202-C57083056871}"/>
                </c:ext>
              </c:extLst>
            </c:dLbl>
            <c:dLbl>
              <c:idx val="7"/>
              <c:delete val="1"/>
              <c:extLst>
                <c:ext xmlns:c15="http://schemas.microsoft.com/office/drawing/2012/chart" uri="{CE6537A1-D6FC-4f65-9D91-7224C49458BB}"/>
                <c:ext xmlns:c16="http://schemas.microsoft.com/office/drawing/2014/chart" uri="{C3380CC4-5D6E-409C-BE32-E72D297353CC}">
                  <c16:uniqueId val="{00000008-D8BA-44F9-9202-C57083056871}"/>
                </c:ext>
              </c:extLst>
            </c:dLbl>
            <c:dLbl>
              <c:idx val="8"/>
              <c:delete val="1"/>
              <c:extLst>
                <c:ext xmlns:c15="http://schemas.microsoft.com/office/drawing/2012/chart" uri="{CE6537A1-D6FC-4f65-9D91-7224C49458BB}"/>
                <c:ext xmlns:c16="http://schemas.microsoft.com/office/drawing/2014/chart" uri="{C3380CC4-5D6E-409C-BE32-E72D297353CC}">
                  <c16:uniqueId val="{00000009-D8BA-44F9-9202-C5708305687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q9_13_16_27_28_39_40_E_Fig!$S$12:$AC$12</c:f>
              <c:numCache>
                <c:formatCode>General</c:formatCode>
                <c:ptCount val="11"/>
                <c:pt idx="0">
                  <c:v>9907</c:v>
                </c:pt>
                <c:pt idx="1">
                  <c:v>10112</c:v>
                </c:pt>
                <c:pt idx="2">
                  <c:v>10815</c:v>
                </c:pt>
                <c:pt idx="3">
                  <c:v>12528</c:v>
                </c:pt>
                <c:pt idx="4">
                  <c:v>15987</c:v>
                </c:pt>
                <c:pt idx="5">
                  <c:v>21695</c:v>
                </c:pt>
                <c:pt idx="6">
                  <c:v>25598</c:v>
                </c:pt>
                <c:pt idx="7">
                  <c:v>26636</c:v>
                </c:pt>
                <c:pt idx="8">
                  <c:v>37834</c:v>
                </c:pt>
                <c:pt idx="9">
                  <c:v>50985</c:v>
                </c:pt>
                <c:pt idx="10">
                  <c:v>67631</c:v>
                </c:pt>
              </c:numCache>
            </c:numRef>
          </c:val>
          <c:extLst>
            <c:ext xmlns:c16="http://schemas.microsoft.com/office/drawing/2014/chart" uri="{C3380CC4-5D6E-409C-BE32-E72D297353CC}">
              <c16:uniqueId val="{0000000A-D8BA-44F9-9202-C57083056871}"/>
            </c:ext>
          </c:extLst>
        </c:ser>
        <c:ser>
          <c:idx val="6"/>
          <c:order val="6"/>
          <c:tx>
            <c:strRef>
              <c:f>q9_13_16_27_28_39_40_E_Fig!$R$13</c:f>
              <c:strCache>
                <c:ptCount val="1"/>
                <c:pt idx="0">
                  <c:v>G</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q9_13_16_27_28_39_40_E_Fig!$S$13:$AC$13</c:f>
              <c:numCache>
                <c:formatCode>General</c:formatCode>
                <c:ptCount val="11"/>
                <c:pt idx="0">
                  <c:v>17426</c:v>
                </c:pt>
                <c:pt idx="1">
                  <c:v>18321</c:v>
                </c:pt>
                <c:pt idx="2">
                  <c:v>18275</c:v>
                </c:pt>
                <c:pt idx="3">
                  <c:v>18846</c:v>
                </c:pt>
                <c:pt idx="4">
                  <c:v>21580</c:v>
                </c:pt>
                <c:pt idx="5">
                  <c:v>25528</c:v>
                </c:pt>
                <c:pt idx="6">
                  <c:v>25321</c:v>
                </c:pt>
                <c:pt idx="7">
                  <c:v>26532</c:v>
                </c:pt>
                <c:pt idx="8">
                  <c:v>34265</c:v>
                </c:pt>
                <c:pt idx="9">
                  <c:v>46202</c:v>
                </c:pt>
                <c:pt idx="10">
                  <c:v>58057</c:v>
                </c:pt>
              </c:numCache>
            </c:numRef>
          </c:val>
          <c:extLst>
            <c:ext xmlns:c16="http://schemas.microsoft.com/office/drawing/2014/chart" uri="{C3380CC4-5D6E-409C-BE32-E72D297353CC}">
              <c16:uniqueId val="{0000000B-D8BA-44F9-9202-C57083056871}"/>
            </c:ext>
          </c:extLst>
        </c:ser>
        <c:ser>
          <c:idx val="7"/>
          <c:order val="7"/>
          <c:tx>
            <c:strRef>
              <c:f>q9_13_16_27_28_39_40_E_Fig!$R$14</c:f>
              <c:strCache>
                <c:ptCount val="1"/>
                <c:pt idx="0">
                  <c:v>H</c:v>
                </c:pt>
              </c:strCache>
            </c:strRef>
          </c:tx>
          <c:spPr>
            <a:solidFill>
              <a:schemeClr val="accent3">
                <a:lumMod val="80000"/>
                <a:lumOff val="2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q9_13_16_27_28_39_40_E_Fig!$S$14:$AC$14</c:f>
              <c:numCache>
                <c:formatCode>General</c:formatCode>
                <c:ptCount val="11"/>
                <c:pt idx="0">
                  <c:v>5440</c:v>
                </c:pt>
                <c:pt idx="1">
                  <c:v>5485</c:v>
                </c:pt>
                <c:pt idx="2">
                  <c:v>5241</c:v>
                </c:pt>
                <c:pt idx="3">
                  <c:v>5422</c:v>
                </c:pt>
                <c:pt idx="4">
                  <c:v>6418</c:v>
                </c:pt>
                <c:pt idx="5">
                  <c:v>6978</c:v>
                </c:pt>
                <c:pt idx="6">
                  <c:v>7193</c:v>
                </c:pt>
                <c:pt idx="7">
                  <c:v>7404</c:v>
                </c:pt>
                <c:pt idx="8">
                  <c:v>9136</c:v>
                </c:pt>
                <c:pt idx="9">
                  <c:v>12863</c:v>
                </c:pt>
                <c:pt idx="10">
                  <c:v>18524</c:v>
                </c:pt>
              </c:numCache>
            </c:numRef>
          </c:val>
          <c:extLst>
            <c:ext xmlns:c16="http://schemas.microsoft.com/office/drawing/2014/chart" uri="{C3380CC4-5D6E-409C-BE32-E72D297353CC}">
              <c16:uniqueId val="{0000000C-D8BA-44F9-9202-C57083056871}"/>
            </c:ext>
          </c:extLst>
        </c:ser>
        <c:ser>
          <c:idx val="8"/>
          <c:order val="8"/>
          <c:tx>
            <c:strRef>
              <c:f>q9_13_16_27_28_39_40_E_Fig!$R$15</c:f>
              <c:strCache>
                <c:ptCount val="1"/>
                <c:pt idx="0">
                  <c:v>I</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q9_13_16_27_28_39_40_E_Fig!$S$15:$AC$15</c:f>
              <c:numCache>
                <c:formatCode>General</c:formatCode>
                <c:ptCount val="11"/>
                <c:pt idx="0">
                  <c:v>22421</c:v>
                </c:pt>
                <c:pt idx="1">
                  <c:v>24396</c:v>
                </c:pt>
                <c:pt idx="2">
                  <c:v>26994</c:v>
                </c:pt>
                <c:pt idx="3">
                  <c:v>30926</c:v>
                </c:pt>
                <c:pt idx="4">
                  <c:v>37855</c:v>
                </c:pt>
                <c:pt idx="5">
                  <c:v>46407</c:v>
                </c:pt>
                <c:pt idx="6">
                  <c:v>36187</c:v>
                </c:pt>
                <c:pt idx="7">
                  <c:v>37538</c:v>
                </c:pt>
                <c:pt idx="8">
                  <c:v>58475</c:v>
                </c:pt>
                <c:pt idx="9">
                  <c:v>77812</c:v>
                </c:pt>
                <c:pt idx="10">
                  <c:v>95946</c:v>
                </c:pt>
              </c:numCache>
            </c:numRef>
          </c:val>
          <c:extLst>
            <c:ext xmlns:c16="http://schemas.microsoft.com/office/drawing/2014/chart" uri="{C3380CC4-5D6E-409C-BE32-E72D297353CC}">
              <c16:uniqueId val="{0000000D-D8BA-44F9-9202-C57083056871}"/>
            </c:ext>
          </c:extLst>
        </c:ser>
        <c:ser>
          <c:idx val="9"/>
          <c:order val="9"/>
          <c:tx>
            <c:strRef>
              <c:f>q9_13_16_27_28_39_40_E_Fig!$R$16</c:f>
              <c:strCache>
                <c:ptCount val="1"/>
                <c:pt idx="0">
                  <c:v>J</c:v>
                </c:pt>
              </c:strCache>
            </c:strRef>
          </c:tx>
          <c:spPr>
            <a:solidFill>
              <a:schemeClr val="accent1">
                <a:lumMod val="8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q9_13_16_27_28_39_40_E_Fig!$S$16:$AC$16</c:f>
              <c:numCache>
                <c:formatCode>General</c:formatCode>
                <c:ptCount val="11"/>
                <c:pt idx="0">
                  <c:v>1730</c:v>
                </c:pt>
                <c:pt idx="1">
                  <c:v>1981</c:v>
                </c:pt>
                <c:pt idx="2">
                  <c:v>2350</c:v>
                </c:pt>
                <c:pt idx="3">
                  <c:v>2901</c:v>
                </c:pt>
                <c:pt idx="4">
                  <c:v>3983</c:v>
                </c:pt>
                <c:pt idx="5">
                  <c:v>6025</c:v>
                </c:pt>
                <c:pt idx="6">
                  <c:v>8114</c:v>
                </c:pt>
                <c:pt idx="7">
                  <c:v>9191</c:v>
                </c:pt>
                <c:pt idx="8">
                  <c:v>14392</c:v>
                </c:pt>
                <c:pt idx="9">
                  <c:v>16133</c:v>
                </c:pt>
                <c:pt idx="10">
                  <c:v>18637</c:v>
                </c:pt>
              </c:numCache>
            </c:numRef>
          </c:val>
          <c:extLst>
            <c:ext xmlns:c16="http://schemas.microsoft.com/office/drawing/2014/chart" uri="{C3380CC4-5D6E-409C-BE32-E72D297353CC}">
              <c16:uniqueId val="{0000000E-D8BA-44F9-9202-C57083056871}"/>
            </c:ext>
          </c:extLst>
        </c:ser>
        <c:ser>
          <c:idx val="10"/>
          <c:order val="10"/>
          <c:tx>
            <c:strRef>
              <c:f>q9_13_16_27_28_39_40_E_Fig!$R$17</c:f>
              <c:strCache>
                <c:ptCount val="1"/>
                <c:pt idx="0">
                  <c:v>K</c:v>
                </c:pt>
              </c:strCache>
            </c:strRef>
          </c:tx>
          <c:spPr>
            <a:solidFill>
              <a:schemeClr val="accent3">
                <a:lumMod val="8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q9_13_16_27_28_39_40_E_Fig!$S$17:$AC$17</c:f>
              <c:numCache>
                <c:formatCode>General</c:formatCode>
                <c:ptCount val="11"/>
                <c:pt idx="0">
                  <c:v>979</c:v>
                </c:pt>
                <c:pt idx="1">
                  <c:v>1003</c:v>
                </c:pt>
                <c:pt idx="2">
                  <c:v>1048</c:v>
                </c:pt>
                <c:pt idx="3">
                  <c:v>1178</c:v>
                </c:pt>
                <c:pt idx="4">
                  <c:v>1413</c:v>
                </c:pt>
                <c:pt idx="5">
                  <c:v>1648</c:v>
                </c:pt>
                <c:pt idx="6">
                  <c:v>1808</c:v>
                </c:pt>
                <c:pt idx="7">
                  <c:v>2044</c:v>
                </c:pt>
                <c:pt idx="8">
                  <c:v>2562</c:v>
                </c:pt>
                <c:pt idx="9">
                  <c:v>3219</c:v>
                </c:pt>
                <c:pt idx="10">
                  <c:v>3728</c:v>
                </c:pt>
              </c:numCache>
            </c:numRef>
          </c:val>
          <c:extLst>
            <c:ext xmlns:c16="http://schemas.microsoft.com/office/drawing/2014/chart" uri="{C3380CC4-5D6E-409C-BE32-E72D297353CC}">
              <c16:uniqueId val="{0000000F-D8BA-44F9-9202-C57083056871}"/>
            </c:ext>
          </c:extLst>
        </c:ser>
        <c:ser>
          <c:idx val="11"/>
          <c:order val="11"/>
          <c:tx>
            <c:strRef>
              <c:f>q9_13_16_27_28_39_40_E_Fig!$R$18</c:f>
              <c:strCache>
                <c:ptCount val="1"/>
                <c:pt idx="0">
                  <c:v>L</c:v>
                </c:pt>
              </c:strCache>
            </c:strRef>
          </c:tx>
          <c:spPr>
            <a:solidFill>
              <a:schemeClr val="accent5">
                <a:lumMod val="8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q9_13_16_27_28_39_40_E_Fig!$S$18:$AC$18</c:f>
              <c:numCache>
                <c:formatCode>General</c:formatCode>
                <c:ptCount val="11"/>
                <c:pt idx="0">
                  <c:v>1522</c:v>
                </c:pt>
                <c:pt idx="1">
                  <c:v>1648</c:v>
                </c:pt>
                <c:pt idx="2">
                  <c:v>1618</c:v>
                </c:pt>
                <c:pt idx="3">
                  <c:v>1894</c:v>
                </c:pt>
                <c:pt idx="4">
                  <c:v>2187</c:v>
                </c:pt>
                <c:pt idx="5">
                  <c:v>2377</c:v>
                </c:pt>
                <c:pt idx="6">
                  <c:v>2320</c:v>
                </c:pt>
                <c:pt idx="7">
                  <c:v>2472</c:v>
                </c:pt>
                <c:pt idx="8">
                  <c:v>3007</c:v>
                </c:pt>
                <c:pt idx="9">
                  <c:v>3763</c:v>
                </c:pt>
                <c:pt idx="10">
                  <c:v>4904</c:v>
                </c:pt>
              </c:numCache>
            </c:numRef>
          </c:val>
          <c:extLst>
            <c:ext xmlns:c16="http://schemas.microsoft.com/office/drawing/2014/chart" uri="{C3380CC4-5D6E-409C-BE32-E72D297353CC}">
              <c16:uniqueId val="{00000010-D8BA-44F9-9202-C57083056871}"/>
            </c:ext>
          </c:extLst>
        </c:ser>
        <c:ser>
          <c:idx val="12"/>
          <c:order val="12"/>
          <c:tx>
            <c:strRef>
              <c:f>q9_13_16_27_28_39_40_E_Fig!$R$19</c:f>
              <c:strCache>
                <c:ptCount val="1"/>
                <c:pt idx="0">
                  <c:v>M</c:v>
                </c:pt>
              </c:strCache>
            </c:strRef>
          </c:tx>
          <c:spPr>
            <a:solidFill>
              <a:schemeClr val="accent1">
                <a:lumMod val="60000"/>
                <a:lumOff val="4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q9_13_16_27_28_39_40_E_Fig!$S$19:$AC$19</c:f>
              <c:numCache>
                <c:formatCode>General</c:formatCode>
                <c:ptCount val="11"/>
                <c:pt idx="0">
                  <c:v>2980</c:v>
                </c:pt>
                <c:pt idx="1">
                  <c:v>3156</c:v>
                </c:pt>
                <c:pt idx="2">
                  <c:v>3496</c:v>
                </c:pt>
                <c:pt idx="3">
                  <c:v>3594</c:v>
                </c:pt>
                <c:pt idx="4">
                  <c:v>4961</c:v>
                </c:pt>
                <c:pt idx="5">
                  <c:v>6898</c:v>
                </c:pt>
                <c:pt idx="6">
                  <c:v>7218</c:v>
                </c:pt>
                <c:pt idx="7">
                  <c:v>7523</c:v>
                </c:pt>
                <c:pt idx="8">
                  <c:v>10332</c:v>
                </c:pt>
                <c:pt idx="9">
                  <c:v>14066</c:v>
                </c:pt>
                <c:pt idx="10">
                  <c:v>18678</c:v>
                </c:pt>
              </c:numCache>
            </c:numRef>
          </c:val>
          <c:extLst>
            <c:ext xmlns:c16="http://schemas.microsoft.com/office/drawing/2014/chart" uri="{C3380CC4-5D6E-409C-BE32-E72D297353CC}">
              <c16:uniqueId val="{00000011-D8BA-44F9-9202-C57083056871}"/>
            </c:ext>
          </c:extLst>
        </c:ser>
        <c:ser>
          <c:idx val="13"/>
          <c:order val="13"/>
          <c:tx>
            <c:strRef>
              <c:f>q9_13_16_27_28_39_40_E_Fig!$R$20</c:f>
              <c:strCache>
                <c:ptCount val="1"/>
                <c:pt idx="0">
                  <c:v>N</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q9_13_16_27_28_39_40_E_Fig!$S$20:$AC$20</c:f>
              <c:numCache>
                <c:formatCode>General</c:formatCode>
                <c:ptCount val="11"/>
                <c:pt idx="0">
                  <c:v>21681</c:v>
                </c:pt>
                <c:pt idx="1">
                  <c:v>22250</c:v>
                </c:pt>
                <c:pt idx="2">
                  <c:v>27492</c:v>
                </c:pt>
                <c:pt idx="3">
                  <c:v>30903</c:v>
                </c:pt>
                <c:pt idx="4">
                  <c:v>36229</c:v>
                </c:pt>
                <c:pt idx="5">
                  <c:v>45543</c:v>
                </c:pt>
                <c:pt idx="6">
                  <c:v>48376</c:v>
                </c:pt>
                <c:pt idx="7">
                  <c:v>51133</c:v>
                </c:pt>
                <c:pt idx="8">
                  <c:v>72441</c:v>
                </c:pt>
                <c:pt idx="9">
                  <c:v>86959</c:v>
                </c:pt>
                <c:pt idx="10">
                  <c:v>97612</c:v>
                </c:pt>
              </c:numCache>
            </c:numRef>
          </c:val>
          <c:extLst>
            <c:ext xmlns:c16="http://schemas.microsoft.com/office/drawing/2014/chart" uri="{C3380CC4-5D6E-409C-BE32-E72D297353CC}">
              <c16:uniqueId val="{00000012-D8BA-44F9-9202-C57083056871}"/>
            </c:ext>
          </c:extLst>
        </c:ser>
        <c:ser>
          <c:idx val="14"/>
          <c:order val="14"/>
          <c:tx>
            <c:strRef>
              <c:f>q9_13_16_27_28_39_40_E_Fig!$R$21</c:f>
              <c:strCache>
                <c:ptCount val="1"/>
                <c:pt idx="0">
                  <c:v>O</c:v>
                </c:pt>
              </c:strCache>
            </c:strRef>
          </c:tx>
          <c:spPr>
            <a:solidFill>
              <a:schemeClr val="accent5">
                <a:lumMod val="60000"/>
                <a:lumOff val="4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q9_13_16_27_28_39_40_E_Fig!$S$21:$AC$21</c:f>
              <c:numCache>
                <c:formatCode>General</c:formatCode>
                <c:ptCount val="11"/>
                <c:pt idx="0">
                  <c:v>112</c:v>
                </c:pt>
                <c:pt idx="1">
                  <c:v>111</c:v>
                </c:pt>
                <c:pt idx="2">
                  <c:v>109</c:v>
                </c:pt>
                <c:pt idx="3">
                  <c:v>113</c:v>
                </c:pt>
                <c:pt idx="4">
                  <c:v>105</c:v>
                </c:pt>
                <c:pt idx="5">
                  <c:v>105</c:v>
                </c:pt>
                <c:pt idx="6">
                  <c:v>116</c:v>
                </c:pt>
                <c:pt idx="7">
                  <c:v>115</c:v>
                </c:pt>
                <c:pt idx="8">
                  <c:v>182</c:v>
                </c:pt>
                <c:pt idx="9">
                  <c:v>274</c:v>
                </c:pt>
                <c:pt idx="10">
                  <c:v>476</c:v>
                </c:pt>
              </c:numCache>
            </c:numRef>
          </c:val>
          <c:extLst>
            <c:ext xmlns:c16="http://schemas.microsoft.com/office/drawing/2014/chart" uri="{C3380CC4-5D6E-409C-BE32-E72D297353CC}">
              <c16:uniqueId val="{00000013-D8BA-44F9-9202-C57083056871}"/>
            </c:ext>
          </c:extLst>
        </c:ser>
        <c:ser>
          <c:idx val="15"/>
          <c:order val="15"/>
          <c:tx>
            <c:strRef>
              <c:f>q9_13_16_27_28_39_40_E_Fig!$R$22</c:f>
              <c:strCache>
                <c:ptCount val="1"/>
                <c:pt idx="0">
                  <c:v>P</c:v>
                </c:pt>
              </c:strCache>
            </c:strRef>
          </c:tx>
          <c:spPr>
            <a:solidFill>
              <a:schemeClr val="accent1">
                <a:lumMod val="5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q9_13_16_27_28_39_40_E_Fig!$S$22:$AC$22</c:f>
              <c:numCache>
                <c:formatCode>General</c:formatCode>
                <c:ptCount val="11"/>
                <c:pt idx="0">
                  <c:v>1797</c:v>
                </c:pt>
                <c:pt idx="1">
                  <c:v>1863</c:v>
                </c:pt>
                <c:pt idx="2">
                  <c:v>1877</c:v>
                </c:pt>
                <c:pt idx="3">
                  <c:v>1874</c:v>
                </c:pt>
                <c:pt idx="4">
                  <c:v>2052</c:v>
                </c:pt>
                <c:pt idx="5">
                  <c:v>2338</c:v>
                </c:pt>
                <c:pt idx="6">
                  <c:v>2589</c:v>
                </c:pt>
                <c:pt idx="7">
                  <c:v>2706</c:v>
                </c:pt>
                <c:pt idx="8">
                  <c:v>2960</c:v>
                </c:pt>
                <c:pt idx="9">
                  <c:v>3878</c:v>
                </c:pt>
                <c:pt idx="10">
                  <c:v>4584</c:v>
                </c:pt>
              </c:numCache>
            </c:numRef>
          </c:val>
          <c:extLst>
            <c:ext xmlns:c16="http://schemas.microsoft.com/office/drawing/2014/chart" uri="{C3380CC4-5D6E-409C-BE32-E72D297353CC}">
              <c16:uniqueId val="{00000014-D8BA-44F9-9202-C57083056871}"/>
            </c:ext>
          </c:extLst>
        </c:ser>
        <c:ser>
          <c:idx val="16"/>
          <c:order val="16"/>
          <c:tx>
            <c:strRef>
              <c:f>q9_13_16_27_28_39_40_E_Fig!$R$23</c:f>
              <c:strCache>
                <c:ptCount val="1"/>
                <c:pt idx="0">
                  <c:v>Q</c:v>
                </c:pt>
              </c:strCache>
            </c:strRef>
          </c:tx>
          <c:spPr>
            <a:solidFill>
              <a:schemeClr val="accent3">
                <a:lumMod val="5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q9_13_16_27_28_39_40_E_Fig!$S$23:$AC$23</c:f>
              <c:numCache>
                <c:formatCode>General</c:formatCode>
                <c:ptCount val="11"/>
                <c:pt idx="0">
                  <c:v>6267</c:v>
                </c:pt>
                <c:pt idx="1">
                  <c:v>6493</c:v>
                </c:pt>
                <c:pt idx="2">
                  <c:v>6806</c:v>
                </c:pt>
                <c:pt idx="3">
                  <c:v>7204</c:v>
                </c:pt>
                <c:pt idx="4">
                  <c:v>8283</c:v>
                </c:pt>
                <c:pt idx="5">
                  <c:v>10226</c:v>
                </c:pt>
                <c:pt idx="6">
                  <c:v>12107</c:v>
                </c:pt>
                <c:pt idx="7">
                  <c:v>12960</c:v>
                </c:pt>
                <c:pt idx="8">
                  <c:v>16549</c:v>
                </c:pt>
                <c:pt idx="9">
                  <c:v>21307</c:v>
                </c:pt>
                <c:pt idx="10">
                  <c:v>26915</c:v>
                </c:pt>
              </c:numCache>
            </c:numRef>
          </c:val>
          <c:extLst>
            <c:ext xmlns:c16="http://schemas.microsoft.com/office/drawing/2014/chart" uri="{C3380CC4-5D6E-409C-BE32-E72D297353CC}">
              <c16:uniqueId val="{00000015-D8BA-44F9-9202-C57083056871}"/>
            </c:ext>
          </c:extLst>
        </c:ser>
        <c:ser>
          <c:idx val="17"/>
          <c:order val="17"/>
          <c:tx>
            <c:strRef>
              <c:f>q9_13_16_27_28_39_40_E_Fig!$R$24</c:f>
              <c:strCache>
                <c:ptCount val="1"/>
                <c:pt idx="0">
                  <c:v>R</c:v>
                </c:pt>
              </c:strCache>
            </c:strRef>
          </c:tx>
          <c:spPr>
            <a:solidFill>
              <a:schemeClr val="accent5">
                <a:lumMod val="5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q9_13_16_27_28_39_40_E_Fig!$S$24:$AC$24</c:f>
              <c:numCache>
                <c:formatCode>General</c:formatCode>
                <c:ptCount val="11"/>
                <c:pt idx="0">
                  <c:v>1357</c:v>
                </c:pt>
                <c:pt idx="1">
                  <c:v>1580</c:v>
                </c:pt>
                <c:pt idx="2">
                  <c:v>1556</c:v>
                </c:pt>
                <c:pt idx="3">
                  <c:v>1738</c:v>
                </c:pt>
                <c:pt idx="4">
                  <c:v>2069</c:v>
                </c:pt>
                <c:pt idx="5">
                  <c:v>2363</c:v>
                </c:pt>
                <c:pt idx="6">
                  <c:v>2178</c:v>
                </c:pt>
                <c:pt idx="7">
                  <c:v>2347</c:v>
                </c:pt>
                <c:pt idx="8">
                  <c:v>3016</c:v>
                </c:pt>
                <c:pt idx="9">
                  <c:v>3744</c:v>
                </c:pt>
                <c:pt idx="10">
                  <c:v>4642</c:v>
                </c:pt>
              </c:numCache>
            </c:numRef>
          </c:val>
          <c:extLst>
            <c:ext xmlns:c16="http://schemas.microsoft.com/office/drawing/2014/chart" uri="{C3380CC4-5D6E-409C-BE32-E72D297353CC}">
              <c16:uniqueId val="{00000016-D8BA-44F9-9202-C57083056871}"/>
            </c:ext>
          </c:extLst>
        </c:ser>
        <c:ser>
          <c:idx val="18"/>
          <c:order val="18"/>
          <c:tx>
            <c:strRef>
              <c:f>q9_13_16_27_28_39_40_E_Fig!$R$25</c:f>
              <c:strCache>
                <c:ptCount val="1"/>
                <c:pt idx="0">
                  <c:v>S</c:v>
                </c:pt>
              </c:strCache>
            </c:strRef>
          </c:tx>
          <c:spPr>
            <a:solidFill>
              <a:schemeClr val="accent1">
                <a:lumMod val="70000"/>
                <a:lumOff val="3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q9_13_16_27_28_39_40_E_Fig!$S$25:$AC$25</c:f>
              <c:numCache>
                <c:formatCode>General</c:formatCode>
                <c:ptCount val="11"/>
                <c:pt idx="0">
                  <c:v>3061</c:v>
                </c:pt>
                <c:pt idx="1">
                  <c:v>3074</c:v>
                </c:pt>
                <c:pt idx="2">
                  <c:v>3180</c:v>
                </c:pt>
                <c:pt idx="3">
                  <c:v>3326</c:v>
                </c:pt>
                <c:pt idx="4">
                  <c:v>3658</c:v>
                </c:pt>
                <c:pt idx="5">
                  <c:v>3877</c:v>
                </c:pt>
                <c:pt idx="6">
                  <c:v>3691</c:v>
                </c:pt>
                <c:pt idx="7">
                  <c:v>3507</c:v>
                </c:pt>
                <c:pt idx="8">
                  <c:v>4459</c:v>
                </c:pt>
                <c:pt idx="9">
                  <c:v>5364</c:v>
                </c:pt>
                <c:pt idx="10">
                  <c:v>6581</c:v>
                </c:pt>
              </c:numCache>
            </c:numRef>
          </c:val>
          <c:extLst>
            <c:ext xmlns:c16="http://schemas.microsoft.com/office/drawing/2014/chart" uri="{C3380CC4-5D6E-409C-BE32-E72D297353CC}">
              <c16:uniqueId val="{00000017-D8BA-44F9-9202-C57083056871}"/>
            </c:ext>
          </c:extLst>
        </c:ser>
        <c:ser>
          <c:idx val="19"/>
          <c:order val="19"/>
          <c:tx>
            <c:strRef>
              <c:f>q9_13_16_27_28_39_40_E_Fig!$R$26</c:f>
              <c:strCache>
                <c:ptCount val="1"/>
                <c:pt idx="0">
                  <c:v>U</c:v>
                </c:pt>
              </c:strCache>
            </c:strRef>
          </c:tx>
          <c:spPr>
            <a:solidFill>
              <a:schemeClr val="accent3">
                <a:lumMod val="70000"/>
                <a:lumOff val="30000"/>
              </a:schemeClr>
            </a:solidFill>
            <a:ln>
              <a:noFill/>
            </a:ln>
            <a:effectLst/>
          </c:spPr>
          <c:invertIfNegative val="0"/>
          <c:cat>
            <c:numRef>
              <c:f>q9_13_16_27_28_39_40_E_Fig!$S$6:$AC$6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q9_13_16_27_28_39_40_E_Fig!$S$26:$AC$26</c:f>
              <c:numCache>
                <c:formatCode>General</c:formatCode>
                <c:ptCount val="11"/>
                <c:pt idx="0">
                  <c:v>17</c:v>
                </c:pt>
                <c:pt idx="1">
                  <c:v>15</c:v>
                </c:pt>
                <c:pt idx="2">
                  <c:v>15</c:v>
                </c:pt>
                <c:pt idx="3">
                  <c:v>13</c:v>
                </c:pt>
                <c:pt idx="4">
                  <c:v>11</c:v>
                </c:pt>
                <c:pt idx="5">
                  <c:v>9</c:v>
                </c:pt>
                <c:pt idx="6">
                  <c:v>14</c:v>
                </c:pt>
                <c:pt idx="7">
                  <c:v>32</c:v>
                </c:pt>
                <c:pt idx="8">
                  <c:v>35</c:v>
                </c:pt>
                <c:pt idx="9">
                  <c:v>39</c:v>
                </c:pt>
                <c:pt idx="10">
                  <c:v>41</c:v>
                </c:pt>
              </c:numCache>
            </c:numRef>
          </c:val>
          <c:extLst>
            <c:ext xmlns:c16="http://schemas.microsoft.com/office/drawing/2014/chart" uri="{C3380CC4-5D6E-409C-BE32-E72D297353CC}">
              <c16:uniqueId val="{00000018-D8BA-44F9-9202-C57083056871}"/>
            </c:ext>
          </c:extLst>
        </c:ser>
        <c:dLbls>
          <c:showLegendKey val="0"/>
          <c:showVal val="0"/>
          <c:showCatName val="0"/>
          <c:showSerName val="0"/>
          <c:showPercent val="0"/>
          <c:showBubbleSize val="0"/>
        </c:dLbls>
        <c:gapWidth val="50"/>
        <c:overlap val="100"/>
        <c:axId val="211072368"/>
        <c:axId val="1682385520"/>
        <c:extLst/>
      </c:barChart>
      <c:catAx>
        <c:axId val="21107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crossAx val="1682385520"/>
        <c:crosses val="autoZero"/>
        <c:auto val="1"/>
        <c:lblAlgn val="ctr"/>
        <c:lblOffset val="100"/>
        <c:noMultiLvlLbl val="0"/>
      </c:catAx>
      <c:valAx>
        <c:axId val="1682385520"/>
        <c:scaling>
          <c:orientation val="minMax"/>
          <c:max val="600000"/>
          <c:min val="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211072368"/>
        <c:crosses val="autoZero"/>
        <c:crossBetween val="between"/>
        <c:majorUnit val="100000"/>
      </c:valAx>
      <c:spPr>
        <a:noFill/>
        <a:ln>
          <a:noFill/>
        </a:ln>
        <a:effectLst/>
      </c:spPr>
    </c:plotArea>
    <c:legend>
      <c:legendPos val="b"/>
      <c:layout>
        <c:manualLayout>
          <c:xMode val="edge"/>
          <c:yMode val="edge"/>
          <c:x val="3.7437102506546943E-2"/>
          <c:y val="0.89261540822590557"/>
          <c:w val="0.94198021885521888"/>
          <c:h val="7.953376304481277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865925860391048"/>
          <c:h val="0.59496464109460301"/>
        </c:manualLayout>
      </c:layout>
      <c:barChart>
        <c:barDir val="col"/>
        <c:grouping val="clustered"/>
        <c:varyColors val="0"/>
        <c:ser>
          <c:idx val="0"/>
          <c:order val="0"/>
          <c:tx>
            <c:strRef>
              <c:f>q9_13_16_27_28_39_40_E_Fig!$AS$4</c:f>
              <c:strCache>
                <c:ptCount val="1"/>
                <c:pt idx="0">
                  <c:v>Pessoas ao serviço de nacionalidade estrangeira</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4.5531446592532977E-2"/>
                  <c:y val="-0.114582488610416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49-4A12-8772-8E2D017CD08F}"/>
                </c:ext>
              </c:extLst>
            </c:dLbl>
            <c:dLbl>
              <c:idx val="10"/>
              <c:layout>
                <c:manualLayout>
                  <c:x val="3.4894098865656857E-2"/>
                  <c:y val="-2.4127774614921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49-4A12-8772-8E2D017CD08F}"/>
                </c:ext>
              </c:extLst>
            </c:dLbl>
            <c:spPr>
              <a:noFill/>
              <a:ln>
                <a:noFill/>
              </a:ln>
              <a:effectLst/>
            </c:spPr>
            <c:txPr>
              <a:bodyPr rot="0" spcFirstLastPara="1" vertOverflow="ellipsis" horzOverflow="clip" vert="horz" wrap="non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2">
                          <a:lumMod val="35000"/>
                          <a:lumOff val="65000"/>
                        </a:schemeClr>
                      </a:solidFill>
                    </a:ln>
                    <a:effectLst/>
                  </c:spPr>
                </c15:leaderLines>
              </c:ext>
            </c:extLst>
          </c:dLbls>
          <c:cat>
            <c:numRef>
              <c:f>q9_13_16_27_28_39_40_E_Fig!$AT$3:$BD$3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q9_13_16_27_28_39_40_E_Fig!$AT$4:$BD$4</c:f>
              <c:numCache>
                <c:formatCode>#,##0</c:formatCode>
                <c:ptCount val="11"/>
                <c:pt idx="0">
                  <c:v>116849</c:v>
                </c:pt>
                <c:pt idx="1">
                  <c:v>122910</c:v>
                </c:pt>
                <c:pt idx="2">
                  <c:v>134443</c:v>
                </c:pt>
                <c:pt idx="3">
                  <c:v>147756</c:v>
                </c:pt>
                <c:pt idx="4">
                  <c:v>177438</c:v>
                </c:pt>
                <c:pt idx="5">
                  <c:v>218982</c:v>
                </c:pt>
                <c:pt idx="6">
                  <c:v>226327</c:v>
                </c:pt>
                <c:pt idx="7">
                  <c:v>237058</c:v>
                </c:pt>
                <c:pt idx="8">
                  <c:v>331528</c:v>
                </c:pt>
                <c:pt idx="9">
                  <c:v>425463</c:v>
                </c:pt>
                <c:pt idx="10">
                  <c:v>522990</c:v>
                </c:pt>
              </c:numCache>
            </c:numRef>
          </c:val>
          <c:extLst>
            <c:ext xmlns:c16="http://schemas.microsoft.com/office/drawing/2014/chart" uri="{C3380CC4-5D6E-409C-BE32-E72D297353CC}">
              <c16:uniqueId val="{00000002-8749-4A12-8772-8E2D017CD08F}"/>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q9_13_16_27_28_39_40_E_Fig!$AS$5</c:f>
              <c:strCache>
                <c:ptCount val="1"/>
                <c:pt idx="0">
                  <c:v>TCO de nacionalidade estrangeira</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3-8749-4A12-8772-8E2D017CD08F}"/>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8749-4A12-8772-8E2D017CD08F}"/>
              </c:ext>
            </c:extLst>
          </c:dPt>
          <c:dLbls>
            <c:dLbl>
              <c:idx val="0"/>
              <c:layout>
                <c:manualLayout>
                  <c:x val="-6.620998856596544E-3"/>
                  <c:y val="-6.6078597017401763E-2"/>
                </c:manualLayout>
              </c:layout>
              <c:spPr>
                <a:noFill/>
                <a:ln>
                  <a:noFill/>
                </a:ln>
                <a:effectLst/>
              </c:spPr>
              <c:txPr>
                <a:bodyPr rot="0" spcFirstLastPara="1" vertOverflow="ellipsis" vert="horz" wrap="none" lIns="38100" tIns="19050" rIns="38100" bIns="19050" anchor="ctr" anchorCtr="1">
                  <a:noAutofit/>
                </a:bodyPr>
                <a:lstStyle/>
                <a:p>
                  <a:pPr>
                    <a:defRPr sz="900" b="1" i="0" u="none" strike="noStrike" kern="1200" baseline="0">
                      <a:solidFill>
                        <a:srgbClr val="FFC000"/>
                      </a:solidFill>
                      <a:latin typeface="+mn-lt"/>
                      <a:ea typeface="+mn-ea"/>
                      <a:cs typeface="+mn-cs"/>
                    </a:defRPr>
                  </a:pPr>
                  <a:endParaRPr lang="pt-PT"/>
                </a:p>
              </c:txPr>
              <c:showLegendKey val="0"/>
              <c:showVal val="1"/>
              <c:showCatName val="0"/>
              <c:showSerName val="0"/>
              <c:showPercent val="0"/>
              <c:showBubbleSize val="0"/>
              <c:extLst>
                <c:ext xmlns:c15="http://schemas.microsoft.com/office/drawing/2012/chart" uri="{CE6537A1-D6FC-4f65-9D91-7224C49458BB}">
                  <c15:layout>
                    <c:manualLayout>
                      <c:w val="0.15235967373628478"/>
                      <c:h val="5.2349626592401534E-2"/>
                    </c:manualLayout>
                  </c15:layout>
                </c:ext>
                <c:ext xmlns:c16="http://schemas.microsoft.com/office/drawing/2014/chart" uri="{C3380CC4-5D6E-409C-BE32-E72D297353CC}">
                  <c16:uniqueId val="{00000003-8749-4A12-8772-8E2D017CD08F}"/>
                </c:ext>
              </c:extLst>
            </c:dLbl>
            <c:dLbl>
              <c:idx val="10"/>
              <c:layout>
                <c:manualLayout>
                  <c:x val="-0.13780696939048692"/>
                  <c:y val="-3.10757504466171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49-4A12-8772-8E2D017CD08F}"/>
                </c:ext>
              </c:extLst>
            </c:dLbl>
            <c:spPr>
              <a:noFill/>
              <a:ln>
                <a:noFill/>
              </a:ln>
              <a:effectLst/>
            </c:spPr>
            <c:txPr>
              <a:bodyPr rot="0" spcFirstLastPara="1" vertOverflow="ellipsis" horzOverflow="clip" vert="horz" wrap="non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rgbClr val="FFC000"/>
                      </a:solidFill>
                    </a:ln>
                    <a:effectLst/>
                  </c:spPr>
                </c15:leaderLines>
              </c:ext>
            </c:extLst>
          </c:dLbls>
          <c:cat>
            <c:numRef>
              <c:f>q9_13_16_27_28_39_40_E_Fig!$AT$3:$BD$3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q9_13_16_27_28_39_40_E_Fig!$AT$5:$BD$5</c:f>
              <c:numCache>
                <c:formatCode>#,##0</c:formatCode>
                <c:ptCount val="11"/>
                <c:pt idx="0">
                  <c:v>110391</c:v>
                </c:pt>
                <c:pt idx="1">
                  <c:v>116011</c:v>
                </c:pt>
                <c:pt idx="2">
                  <c:v>127236</c:v>
                </c:pt>
                <c:pt idx="3">
                  <c:v>140295</c:v>
                </c:pt>
                <c:pt idx="4">
                  <c:v>169295</c:v>
                </c:pt>
                <c:pt idx="5">
                  <c:v>210583</c:v>
                </c:pt>
                <c:pt idx="6">
                  <c:v>217761</c:v>
                </c:pt>
                <c:pt idx="7">
                  <c:v>228523</c:v>
                </c:pt>
                <c:pt idx="8">
                  <c:v>322028</c:v>
                </c:pt>
                <c:pt idx="9">
                  <c:v>414783</c:v>
                </c:pt>
                <c:pt idx="10">
                  <c:v>509783</c:v>
                </c:pt>
              </c:numCache>
            </c:numRef>
          </c:val>
          <c:smooth val="0"/>
          <c:extLst>
            <c:ext xmlns:c16="http://schemas.microsoft.com/office/drawing/2014/chart" uri="{C3380CC4-5D6E-409C-BE32-E72D297353CC}">
              <c16:uniqueId val="{00000006-8749-4A12-8772-8E2D017CD08F}"/>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60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15773631"/>
        <c:crosses val="autoZero"/>
        <c:crossBetween val="between"/>
        <c:majorUnit val="100000"/>
      </c:valAx>
      <c:spPr>
        <a:noFill/>
        <a:ln>
          <a:noFill/>
        </a:ln>
        <a:effectLst/>
      </c:spPr>
    </c:plotArea>
    <c:legend>
      <c:legendPos val="b"/>
      <c:layout>
        <c:manualLayout>
          <c:xMode val="edge"/>
          <c:yMode val="edge"/>
          <c:x val="1.3975067550970277E-2"/>
          <c:y val="0.87446938131313134"/>
          <c:w val="0.64529402769504374"/>
          <c:h val="7.4781715189435743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13893333333333333"/>
          <c:w val="0.564163817970042"/>
          <c:h val="0.78091002624671901"/>
        </c:manualLayout>
      </c:layout>
      <c:barChart>
        <c:barDir val="bar"/>
        <c:grouping val="clustered"/>
        <c:varyColors val="0"/>
        <c:ser>
          <c:idx val="0"/>
          <c:order val="0"/>
          <c:tx>
            <c:strRef>
              <c:f>q9_13_16_27_28_39_40_E_Fig!$S$250</c:f>
              <c:strCache>
                <c:ptCount val="1"/>
                <c:pt idx="0">
                  <c:v>Base </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0-739A-4D84-848C-0B78A9C7BCB5}"/>
              </c:ext>
            </c:extLst>
          </c:dPt>
          <c:dPt>
            <c:idx val="1"/>
            <c:invertIfNegative val="0"/>
            <c:bubble3D val="0"/>
            <c:extLst>
              <c:ext xmlns:c16="http://schemas.microsoft.com/office/drawing/2014/chart" uri="{C3380CC4-5D6E-409C-BE32-E72D297353CC}">
                <c16:uniqueId val="{00000001-739A-4D84-848C-0B78A9C7BCB5}"/>
              </c:ext>
            </c:extLst>
          </c:dPt>
          <c:dPt>
            <c:idx val="2"/>
            <c:invertIfNegative val="0"/>
            <c:bubble3D val="0"/>
            <c:extLst>
              <c:ext xmlns:c16="http://schemas.microsoft.com/office/drawing/2014/chart" uri="{C3380CC4-5D6E-409C-BE32-E72D297353CC}">
                <c16:uniqueId val="{00000002-739A-4D84-848C-0B78A9C7BCB5}"/>
              </c:ext>
            </c:extLst>
          </c:dPt>
          <c:dPt>
            <c:idx val="3"/>
            <c:invertIfNegative val="0"/>
            <c:bubble3D val="0"/>
            <c:extLst>
              <c:ext xmlns:c16="http://schemas.microsoft.com/office/drawing/2014/chart" uri="{C3380CC4-5D6E-409C-BE32-E72D297353CC}">
                <c16:uniqueId val="{00000003-739A-4D84-848C-0B78A9C7BCB5}"/>
              </c:ext>
            </c:extLst>
          </c:dPt>
          <c:dPt>
            <c:idx val="4"/>
            <c:invertIfNegative val="0"/>
            <c:bubble3D val="0"/>
            <c:extLst>
              <c:ext xmlns:c16="http://schemas.microsoft.com/office/drawing/2014/chart" uri="{C3380CC4-5D6E-409C-BE32-E72D297353CC}">
                <c16:uniqueId val="{00000004-739A-4D84-848C-0B78A9C7BCB5}"/>
              </c:ext>
            </c:extLst>
          </c:dPt>
          <c:dLbls>
            <c:numFmt formatCode="#,##0.00\ &quot;€&quot;" sourceLinked="0"/>
            <c:spPr>
              <a:noFill/>
              <a:ln>
                <a:noFill/>
              </a:ln>
              <a:effectLst/>
            </c:spPr>
            <c:txPr>
              <a:bodyPr wrap="none" lIns="38100" tIns="19050" rIns="38100" bIns="19050" anchor="ctr">
                <a:spAutoFit/>
              </a:bodyPr>
              <a:lstStyle/>
              <a:p>
                <a:pPr>
                  <a:defRPr sz="700" b="1">
                    <a:solidFill>
                      <a:schemeClr val="tx1"/>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q9_13_16_27_28_39_40_E_Fig!$T$249:$AB$249</c15:sqref>
                  </c15:fullRef>
                </c:ext>
              </c:extLst>
              <c:f>q9_13_16_27_28_39_40_E_Fig!$U$249:$AB$249</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extLst>
                <c:ext xmlns:c15="http://schemas.microsoft.com/office/drawing/2012/chart" uri="{02D57815-91ED-43cb-92C2-25804820EDAC}">
                  <c15:fullRef>
                    <c15:sqref>q9_13_16_27_28_39_40_E_Fig!$T$250:$AB$250</c15:sqref>
                  </c15:fullRef>
                </c:ext>
              </c:extLst>
              <c:f>q9_13_16_27_28_39_40_E_Fig!$U$250:$AB$250</c:f>
              <c:numCache>
                <c:formatCode>#,##0.00\ "€"</c:formatCode>
                <c:ptCount val="8"/>
                <c:pt idx="0">
                  <c:v>3338.86</c:v>
                </c:pt>
                <c:pt idx="1">
                  <c:v>2106.92</c:v>
                </c:pt>
                <c:pt idx="2">
                  <c:v>1976.21</c:v>
                </c:pt>
                <c:pt idx="3">
                  <c:v>1809.22</c:v>
                </c:pt>
                <c:pt idx="4">
                  <c:v>985.49</c:v>
                </c:pt>
                <c:pt idx="5">
                  <c:v>879.94</c:v>
                </c:pt>
                <c:pt idx="6">
                  <c:v>844.25</c:v>
                </c:pt>
                <c:pt idx="7">
                  <c:v>850.36</c:v>
                </c:pt>
              </c:numCache>
            </c:numRef>
          </c:val>
          <c:extLst>
            <c:ext xmlns:c16="http://schemas.microsoft.com/office/drawing/2014/chart" uri="{C3380CC4-5D6E-409C-BE32-E72D297353CC}">
              <c16:uniqueId val="{00000005-739A-4D84-848C-0B78A9C7BCB5}"/>
            </c:ext>
          </c:extLst>
        </c:ser>
        <c:ser>
          <c:idx val="1"/>
          <c:order val="1"/>
          <c:tx>
            <c:strRef>
              <c:f>q9_13_16_27_28_39_40_E_Fig!$S$251</c:f>
              <c:strCache>
                <c:ptCount val="1"/>
                <c:pt idx="0">
                  <c:v>Ganho</c:v>
                </c:pt>
              </c:strCache>
            </c:strRef>
          </c:tx>
          <c:spPr>
            <a:solidFill>
              <a:srgbClr val="FFC000"/>
            </a:solidFill>
            <a:ln w="19050">
              <a:solidFill>
                <a:schemeClr val="lt1"/>
              </a:solidFill>
            </a:ln>
            <a:effectLst/>
          </c:spPr>
          <c:invertIfNegative val="0"/>
          <c:dLbls>
            <c:numFmt formatCode="#,##0.00\ &quot;€&quot;" sourceLinked="0"/>
            <c:spPr>
              <a:noFill/>
              <a:ln>
                <a:noFill/>
              </a:ln>
              <a:effectLst/>
            </c:spPr>
            <c:txPr>
              <a:bodyPr wrap="none" lIns="38100" tIns="19050" rIns="38100" bIns="19050" anchor="ctr">
                <a:spAutoFit/>
              </a:bodyPr>
              <a:lstStyle/>
              <a:p>
                <a:pPr>
                  <a:defRPr sz="700"/>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q9_13_16_27_28_39_40_E_Fig!$T$249:$AB$249</c15:sqref>
                  </c15:fullRef>
                </c:ext>
              </c:extLst>
              <c:f>q9_13_16_27_28_39_40_E_Fig!$U$249:$AB$249</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extLst>
                <c:ext xmlns:c15="http://schemas.microsoft.com/office/drawing/2012/chart" uri="{02D57815-91ED-43cb-92C2-25804820EDAC}">
                  <c15:fullRef>
                    <c15:sqref>q9_13_16_27_28_39_40_E_Fig!$T$251:$AB$251</c15:sqref>
                  </c15:fullRef>
                </c:ext>
              </c:extLst>
              <c:f>q9_13_16_27_28_39_40_E_Fig!$U$251:$AB$251</c:f>
              <c:numCache>
                <c:formatCode>#,##0.00\ "€"</c:formatCode>
                <c:ptCount val="8"/>
                <c:pt idx="0">
                  <c:v>3824.49</c:v>
                </c:pt>
                <c:pt idx="1">
                  <c:v>2446.27</c:v>
                </c:pt>
                <c:pt idx="2">
                  <c:v>2304.77</c:v>
                </c:pt>
                <c:pt idx="3">
                  <c:v>2088.37</c:v>
                </c:pt>
                <c:pt idx="4">
                  <c:v>1202.1600000000001</c:v>
                </c:pt>
                <c:pt idx="5">
                  <c:v>1065.8699999999999</c:v>
                </c:pt>
                <c:pt idx="6">
                  <c:v>1005.17</c:v>
                </c:pt>
                <c:pt idx="7">
                  <c:v>999.06</c:v>
                </c:pt>
              </c:numCache>
            </c:numRef>
          </c:val>
          <c:extLst>
            <c:ext xmlns:c16="http://schemas.microsoft.com/office/drawing/2014/chart" uri="{C3380CC4-5D6E-409C-BE32-E72D297353CC}">
              <c16:uniqueId val="{00000006-739A-4D84-848C-0B78A9C7BCB5}"/>
            </c:ext>
          </c:extLst>
        </c:ser>
        <c:dLbls>
          <c:showLegendKey val="0"/>
          <c:showVal val="0"/>
          <c:showCatName val="0"/>
          <c:showSerName val="0"/>
          <c:showPercent val="0"/>
          <c:showBubbleSize val="0"/>
        </c:dLbls>
        <c:gapWidth val="42"/>
        <c:axId val="891633855"/>
        <c:axId val="1319480015"/>
      </c:barChart>
      <c:valAx>
        <c:axId val="1319480015"/>
        <c:scaling>
          <c:orientation val="minMax"/>
          <c:max val="4000"/>
          <c:min val="0"/>
        </c:scaling>
        <c:delete val="1"/>
        <c:axPos val="t"/>
        <c:numFmt formatCode="#,##0.00\ &quot;€&quot;" sourceLinked="1"/>
        <c:majorTickMark val="out"/>
        <c:minorTickMark val="none"/>
        <c:tickLblPos val="nextTo"/>
        <c:crossAx val="891633855"/>
        <c:crosses val="autoZero"/>
        <c:crossBetween val="between"/>
        <c:majorUnit val="500"/>
      </c:valAx>
      <c:catAx>
        <c:axId val="89163385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772797534149289"/>
          <c:y val="4.1376487013068515E-2"/>
          <c:w val="0.26686175496572434"/>
          <c:h val="7.711706036745406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67446682230048"/>
          <c:y val="0.22899703122140164"/>
          <c:w val="0.76325533177699523"/>
          <c:h val="0.77100296877859842"/>
        </c:manualLayout>
      </c:layout>
      <c:barChart>
        <c:barDir val="bar"/>
        <c:grouping val="clustered"/>
        <c:varyColors val="0"/>
        <c:ser>
          <c:idx val="0"/>
          <c:order val="0"/>
          <c:tx>
            <c:strRef>
              <c:f>q9_13_16_27_28_39_40_E_Fig!$T$238</c:f>
              <c:strCache>
                <c:ptCount val="1"/>
                <c:pt idx="0">
                  <c:v>Base - H</c:v>
                </c:pt>
              </c:strCache>
            </c:strRef>
          </c:tx>
          <c:spPr>
            <a:solidFill>
              <a:srgbClr val="4F81BD"/>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q9_13_16_27_28_39_40_E_Fig!$S$239:$S$246</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q9_13_16_27_28_39_40_E_Fig!$T$239:$T$246</c:f>
              <c:numCache>
                <c:formatCode>#,##0.00\ "€"</c:formatCode>
                <c:ptCount val="8"/>
                <c:pt idx="0">
                  <c:v>-3670.58</c:v>
                </c:pt>
                <c:pt idx="1">
                  <c:v>-2239.0700000000002</c:v>
                </c:pt>
                <c:pt idx="2">
                  <c:v>-2008.05</c:v>
                </c:pt>
                <c:pt idx="3">
                  <c:v>-2180.5300000000002</c:v>
                </c:pt>
                <c:pt idx="4">
                  <c:v>-991.02</c:v>
                </c:pt>
                <c:pt idx="5">
                  <c:v>-891.09</c:v>
                </c:pt>
                <c:pt idx="6">
                  <c:v>-849.19</c:v>
                </c:pt>
                <c:pt idx="7">
                  <c:v>-852.66</c:v>
                </c:pt>
              </c:numCache>
            </c:numRef>
          </c:val>
          <c:extLst>
            <c:ext xmlns:c16="http://schemas.microsoft.com/office/drawing/2014/chart" uri="{C3380CC4-5D6E-409C-BE32-E72D297353CC}">
              <c16:uniqueId val="{00000000-C17A-4B20-B3FB-7B331D7A8E1E}"/>
            </c:ext>
          </c:extLst>
        </c:ser>
        <c:ser>
          <c:idx val="1"/>
          <c:order val="1"/>
          <c:tx>
            <c:strRef>
              <c:f>q9_13_16_27_28_39_40_E_Fig!$U$238</c:f>
              <c:strCache>
                <c:ptCount val="1"/>
                <c:pt idx="0">
                  <c:v>Ganho - H</c:v>
                </c:pt>
              </c:strCache>
            </c:strRef>
          </c:tx>
          <c:spPr>
            <a:solidFill>
              <a:srgbClr val="FFC000"/>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q9_13_16_27_28_39_40_E_Fig!$S$239:$S$246</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q9_13_16_27_28_39_40_E_Fig!$U$239:$U$246</c:f>
              <c:numCache>
                <c:formatCode>#,##0.00\ "€"</c:formatCode>
                <c:ptCount val="8"/>
                <c:pt idx="0">
                  <c:v>-4178.83</c:v>
                </c:pt>
                <c:pt idx="1">
                  <c:v>-2598.15</c:v>
                </c:pt>
                <c:pt idx="2">
                  <c:v>-2363.9</c:v>
                </c:pt>
                <c:pt idx="3">
                  <c:v>-2497.88</c:v>
                </c:pt>
                <c:pt idx="4">
                  <c:v>-1226.06</c:v>
                </c:pt>
                <c:pt idx="5">
                  <c:v>-1093.5999999999999</c:v>
                </c:pt>
                <c:pt idx="6">
                  <c:v>-1023.89</c:v>
                </c:pt>
                <c:pt idx="7">
                  <c:v>-1011.47</c:v>
                </c:pt>
              </c:numCache>
            </c:numRef>
          </c:val>
          <c:extLst>
            <c:ext xmlns:c16="http://schemas.microsoft.com/office/drawing/2014/chart" uri="{C3380CC4-5D6E-409C-BE32-E72D297353CC}">
              <c16:uniqueId val="{00000001-C17A-4B20-B3FB-7B331D7A8E1E}"/>
            </c:ext>
          </c:extLst>
        </c:ser>
        <c:dLbls>
          <c:showLegendKey val="0"/>
          <c:showVal val="0"/>
          <c:showCatName val="0"/>
          <c:showSerName val="0"/>
          <c:showPercent val="0"/>
          <c:showBubbleSize val="0"/>
        </c:dLbls>
        <c:gapWidth val="42"/>
        <c:axId val="1261817855"/>
        <c:axId val="267587263"/>
      </c:barChart>
      <c:barChart>
        <c:barDir val="bar"/>
        <c:grouping val="clustered"/>
        <c:varyColors val="0"/>
        <c:ser>
          <c:idx val="2"/>
          <c:order val="2"/>
          <c:tx>
            <c:strRef>
              <c:f>q9_13_16_27_28_39_40_E_Fig!$V$238</c:f>
              <c:strCache>
                <c:ptCount val="1"/>
                <c:pt idx="0">
                  <c:v>Base - M</c:v>
                </c:pt>
              </c:strCache>
            </c:strRef>
          </c:tx>
          <c:spPr>
            <a:solidFill>
              <a:srgbClr val="95B3D7"/>
            </a:solidFill>
          </c:spPr>
          <c:invertIfNegative val="0"/>
          <c:dLbls>
            <c:spPr>
              <a:noFill/>
              <a:ln>
                <a:noFill/>
              </a:ln>
              <a:effectLst/>
            </c:spPr>
            <c:txPr>
              <a:bodyPr wrap="none" lIns="38100" tIns="19050" rIns="38100" bIns="19050" anchor="ctr">
                <a:spAutoFit/>
              </a:bodyPr>
              <a:lstStyle/>
              <a:p>
                <a:pPr>
                  <a:defRPr sz="700" b="0">
                    <a:solidFill>
                      <a:sysClr val="windowText" lastClr="000000"/>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q9_13_16_27_28_39_40_E_Fig!$S$239:$S$246</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q9_13_16_27_28_39_40_E_Fig!$V$239:$V$246</c:f>
              <c:numCache>
                <c:formatCode>#,##0.00\ "€"</c:formatCode>
                <c:ptCount val="8"/>
                <c:pt idx="0">
                  <c:v>2716.25</c:v>
                </c:pt>
                <c:pt idx="1">
                  <c:v>1899.64</c:v>
                </c:pt>
                <c:pt idx="2">
                  <c:v>1926.26</c:v>
                </c:pt>
                <c:pt idx="3">
                  <c:v>1258.3</c:v>
                </c:pt>
                <c:pt idx="4">
                  <c:v>973.58</c:v>
                </c:pt>
                <c:pt idx="5">
                  <c:v>865.85</c:v>
                </c:pt>
                <c:pt idx="6">
                  <c:v>835.52</c:v>
                </c:pt>
                <c:pt idx="7">
                  <c:v>846.31</c:v>
                </c:pt>
              </c:numCache>
            </c:numRef>
          </c:val>
          <c:extLst>
            <c:ext xmlns:c16="http://schemas.microsoft.com/office/drawing/2014/chart" uri="{C3380CC4-5D6E-409C-BE32-E72D297353CC}">
              <c16:uniqueId val="{00000002-C17A-4B20-B3FB-7B331D7A8E1E}"/>
            </c:ext>
          </c:extLst>
        </c:ser>
        <c:ser>
          <c:idx val="3"/>
          <c:order val="3"/>
          <c:tx>
            <c:strRef>
              <c:f>q9_13_16_27_28_39_40_E_Fig!$W$238</c:f>
              <c:strCache>
                <c:ptCount val="1"/>
                <c:pt idx="0">
                  <c:v>Ganho - M</c:v>
                </c:pt>
              </c:strCache>
            </c:strRef>
          </c:tx>
          <c:spPr>
            <a:solidFill>
              <a:srgbClr val="FFEF57"/>
            </a:solidFill>
          </c:spPr>
          <c:invertIfNegative val="0"/>
          <c:dLbls>
            <c:dLbl>
              <c:idx val="2"/>
              <c:spPr>
                <a:noFill/>
                <a:ln>
                  <a:noFill/>
                </a:ln>
                <a:effectLst/>
              </c:spPr>
              <c:txPr>
                <a:bodyPr wrap="none" lIns="38100" tIns="19050" rIns="38100" bIns="19050" anchor="ctr">
                  <a:no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C17A-4B20-B3FB-7B331D7A8E1E}"/>
                </c:ext>
              </c:extLst>
            </c:dLbl>
            <c:spPr>
              <a:noFill/>
              <a:ln>
                <a:noFill/>
              </a:ln>
              <a:effectLst/>
            </c:spPr>
            <c:txPr>
              <a:bodyPr wrap="none" lIns="38100" tIns="19050" rIns="38100" bIns="19050" anchor="ctr">
                <a:sp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q9_13_16_27_28_39_40_E_Fig!$S$239:$S$246</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q9_13_16_27_28_39_40_E_Fig!$W$239:$W$246</c:f>
              <c:numCache>
                <c:formatCode>#,##0.00\ "€"</c:formatCode>
                <c:ptCount val="8"/>
                <c:pt idx="0">
                  <c:v>3159.42</c:v>
                </c:pt>
                <c:pt idx="1">
                  <c:v>2208.0300000000002</c:v>
                </c:pt>
                <c:pt idx="2">
                  <c:v>2212.02</c:v>
                </c:pt>
                <c:pt idx="3">
                  <c:v>1480.77</c:v>
                </c:pt>
                <c:pt idx="4">
                  <c:v>1150.71</c:v>
                </c:pt>
                <c:pt idx="5">
                  <c:v>1030.8399999999999</c:v>
                </c:pt>
                <c:pt idx="6">
                  <c:v>972.11</c:v>
                </c:pt>
                <c:pt idx="7">
                  <c:v>977.21</c:v>
                </c:pt>
              </c:numCache>
            </c:numRef>
          </c:val>
          <c:extLst>
            <c:ext xmlns:c16="http://schemas.microsoft.com/office/drawing/2014/chart" uri="{C3380CC4-5D6E-409C-BE32-E72D297353CC}">
              <c16:uniqueId val="{00000004-C17A-4B20-B3FB-7B331D7A8E1E}"/>
            </c:ext>
          </c:extLst>
        </c:ser>
        <c:dLbls>
          <c:showLegendKey val="0"/>
          <c:showVal val="0"/>
          <c:showCatName val="0"/>
          <c:showSerName val="0"/>
          <c:showPercent val="0"/>
          <c:showBubbleSize val="0"/>
        </c:dLbls>
        <c:gapWidth val="42"/>
        <c:axId val="1450336976"/>
        <c:axId val="465148416"/>
      </c:barChart>
      <c:catAx>
        <c:axId val="1261817855"/>
        <c:scaling>
          <c:orientation val="maxMin"/>
        </c:scaling>
        <c:delete val="0"/>
        <c:axPos val="l"/>
        <c:majorGridlines>
          <c:spPr>
            <a:ln>
              <a:solidFill>
                <a:srgbClr val="D9D9D9"/>
              </a:solidFill>
            </a:ln>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scaling>
        <c:delete val="1"/>
        <c:axPos val="t"/>
        <c:numFmt formatCode="#,##0;#,##0" sourceLinked="0"/>
        <c:majorTickMark val="out"/>
        <c:minorTickMark val="none"/>
        <c:tickLblPos val="nextTo"/>
        <c:crossAx val="1261817855"/>
        <c:crosses val="autoZero"/>
        <c:crossBetween val="between"/>
        <c:majorUnit val="500"/>
      </c:valAx>
      <c:valAx>
        <c:axId val="465148416"/>
        <c:scaling>
          <c:orientation val="minMax"/>
        </c:scaling>
        <c:delete val="1"/>
        <c:axPos val="b"/>
        <c:numFmt formatCode="#,##0.00\ &quot;€&quot;" sourceLinked="1"/>
        <c:majorTickMark val="out"/>
        <c:minorTickMark val="none"/>
        <c:tickLblPos val="nextTo"/>
        <c:crossAx val="1450336976"/>
        <c:crosses val="max"/>
        <c:crossBetween val="between"/>
      </c:valAx>
      <c:catAx>
        <c:axId val="1450336976"/>
        <c:scaling>
          <c:orientation val="maxMin"/>
        </c:scaling>
        <c:delete val="1"/>
        <c:axPos val="r"/>
        <c:numFmt formatCode="General" sourceLinked="1"/>
        <c:majorTickMark val="out"/>
        <c:minorTickMark val="none"/>
        <c:tickLblPos val="nextTo"/>
        <c:crossAx val="465148416"/>
        <c:crosses val="max"/>
        <c:auto val="1"/>
        <c:lblAlgn val="ctr"/>
        <c:lblOffset val="100"/>
        <c:noMultiLvlLbl val="0"/>
      </c:catAx>
      <c:spPr>
        <a:noFill/>
        <a:ln>
          <a:noFill/>
        </a:ln>
        <a:effectLst/>
      </c:spPr>
    </c:plotArea>
    <c:legend>
      <c:legendPos val="t"/>
      <c:layout>
        <c:manualLayout>
          <c:xMode val="edge"/>
          <c:yMode val="edge"/>
          <c:x val="0.18002599047564213"/>
          <c:y val="4.1970662888849528E-2"/>
          <c:w val="0.72325983073291489"/>
          <c:h val="5.4940430513743782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345665328524363E-2"/>
          <c:y val="0.1736838359021326"/>
          <c:w val="0.46826480651678509"/>
          <c:h val="0.76499913568849165"/>
        </c:manualLayout>
      </c:layout>
      <c:barChart>
        <c:barDir val="bar"/>
        <c:grouping val="clustered"/>
        <c:varyColors val="0"/>
        <c:ser>
          <c:idx val="1"/>
          <c:order val="1"/>
          <c:tx>
            <c:strRef>
              <c:f>q9_13_16_27_28_39_40_E_Fig!$T$292</c:f>
              <c:strCache>
                <c:ptCount val="1"/>
                <c:pt idx="0">
                  <c:v>Base</c:v>
                </c:pt>
              </c:strCache>
            </c:strRef>
          </c:tx>
          <c:spPr>
            <a:solidFill>
              <a:srgbClr val="4F81BD"/>
            </a:solidFill>
            <a:ln w="19050">
              <a:solidFill>
                <a:schemeClr val="lt1"/>
              </a:solidFill>
            </a:ln>
            <a:effectLst/>
          </c:spPr>
          <c:invertIfNegative val="0"/>
          <c:dLbls>
            <c:numFmt formatCode="#,##0.00\ &quot;€&quot;" sourceLinked="0"/>
            <c:spPr>
              <a:noFill/>
              <a:ln>
                <a:noFill/>
              </a:ln>
              <a:effectLst/>
            </c:spPr>
            <c:txPr>
              <a:bodyPr rot="0" spcFirstLastPara="1" vertOverflow="ellipsis" vert="horz" wrap="none" lIns="38100" tIns="19050" rIns="38100" bIns="19050" anchor="ctr" anchorCtr="1">
                <a:spAutoFit/>
              </a:bodyPr>
              <a:lstStyle/>
              <a:p>
                <a:pPr>
                  <a:defRPr sz="700" b="0" i="0" u="none" strike="noStrike" kern="1200" baseline="0">
                    <a:solidFill>
                      <a:schemeClr val="tx1"/>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q9_13_16_27_28_39_40_E_Fig!$S$293:$S$302</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q9_13_16_27_28_39_40_E_Fig!$T$293:$T$302</c:f>
              <c:numCache>
                <c:formatCode>#,##0.00\ "€"</c:formatCode>
                <c:ptCount val="10"/>
                <c:pt idx="0">
                  <c:v>4063.23</c:v>
                </c:pt>
                <c:pt idx="1">
                  <c:v>2512.0500000000002</c:v>
                </c:pt>
                <c:pt idx="2">
                  <c:v>2042.99</c:v>
                </c:pt>
                <c:pt idx="3">
                  <c:v>1027.46</c:v>
                </c:pt>
                <c:pt idx="4">
                  <c:v>903.77</c:v>
                </c:pt>
                <c:pt idx="5">
                  <c:v>911.75</c:v>
                </c:pt>
                <c:pt idx="6">
                  <c:v>935.01</c:v>
                </c:pt>
                <c:pt idx="7">
                  <c:v>929.07</c:v>
                </c:pt>
                <c:pt idx="8">
                  <c:v>857.81</c:v>
                </c:pt>
                <c:pt idx="9">
                  <c:v>4145.2700000000004</c:v>
                </c:pt>
              </c:numCache>
            </c:numRef>
          </c:val>
          <c:extLst>
            <c:ext xmlns:c16="http://schemas.microsoft.com/office/drawing/2014/chart" uri="{C3380CC4-5D6E-409C-BE32-E72D297353CC}">
              <c16:uniqueId val="{00000000-FE8F-4C2F-AE39-08286693C4E7}"/>
            </c:ext>
          </c:extLst>
        </c:ser>
        <c:ser>
          <c:idx val="2"/>
          <c:order val="2"/>
          <c:tx>
            <c:strRef>
              <c:f>q9_13_16_27_28_39_40_E_Fig!$U$292</c:f>
              <c:strCache>
                <c:ptCount val="1"/>
                <c:pt idx="0">
                  <c:v>Ganho</c:v>
                </c:pt>
              </c:strCache>
            </c:strRef>
          </c:tx>
          <c:spPr>
            <a:solidFill>
              <a:srgbClr val="FFC000"/>
            </a:solidFill>
            <a:ln>
              <a:solidFill>
                <a:sysClr val="window" lastClr="FFFFFF"/>
              </a:solidFill>
            </a:ln>
          </c:spPr>
          <c:invertIfNegative val="0"/>
          <c:dLbls>
            <c:numFmt formatCode="#,##0.00\ &quot;€&quot;" sourceLinked="0"/>
            <c:spPr>
              <a:noFill/>
              <a:ln>
                <a:noFill/>
              </a:ln>
              <a:effectLst/>
            </c:spPr>
            <c:txPr>
              <a:bodyPr wrap="square" lIns="38100" tIns="19050" rIns="38100" bIns="19050" anchor="ctr">
                <a:spAutoFit/>
              </a:bodyPr>
              <a:lstStyle/>
              <a:p>
                <a:pPr>
                  <a:defRPr sz="700" b="1"/>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q9_13_16_27_28_39_40_E_Fig!$S$293:$S$302</c:f>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f>q9_13_16_27_28_39_40_E_Fig!$U$293:$U$302</c:f>
              <c:numCache>
                <c:formatCode>#,##0.00\ "€"</c:formatCode>
                <c:ptCount val="10"/>
                <c:pt idx="0">
                  <c:v>4558.8100000000004</c:v>
                </c:pt>
                <c:pt idx="1">
                  <c:v>2902.03</c:v>
                </c:pt>
                <c:pt idx="2">
                  <c:v>2333.11</c:v>
                </c:pt>
                <c:pt idx="3">
                  <c:v>1262.76</c:v>
                </c:pt>
                <c:pt idx="4">
                  <c:v>1058.28</c:v>
                </c:pt>
                <c:pt idx="5">
                  <c:v>1052.21</c:v>
                </c:pt>
                <c:pt idx="6">
                  <c:v>1166.3900000000001</c:v>
                </c:pt>
                <c:pt idx="7">
                  <c:v>1259.9100000000001</c:v>
                </c:pt>
                <c:pt idx="8">
                  <c:v>1008.29</c:v>
                </c:pt>
                <c:pt idx="9">
                  <c:v>4623.66</c:v>
                </c:pt>
              </c:numCache>
            </c:numRef>
          </c:val>
          <c:extLst>
            <c:ext xmlns:c16="http://schemas.microsoft.com/office/drawing/2014/chart" uri="{C3380CC4-5D6E-409C-BE32-E72D297353CC}">
              <c16:uniqueId val="{00000001-FE8F-4C2F-AE39-08286693C4E7}"/>
            </c:ext>
          </c:extLst>
        </c:ser>
        <c:dLbls>
          <c:showLegendKey val="0"/>
          <c:showVal val="0"/>
          <c:showCatName val="0"/>
          <c:showSerName val="0"/>
          <c:showPercent val="0"/>
          <c:showBubbleSize val="0"/>
        </c:dLbls>
        <c:gapWidth val="42"/>
        <c:axId val="891633855"/>
        <c:axId val="1319480015"/>
        <c:extLst>
          <c:ext xmlns:c15="http://schemas.microsoft.com/office/drawing/2012/chart" uri="{02D57815-91ED-43cb-92C2-25804820EDAC}">
            <c15:filteredBarSeries>
              <c15:ser>
                <c:idx val="0"/>
                <c:order val="0"/>
                <c:tx>
                  <c:strRef>
                    <c:extLst>
                      <c:ext uri="{02D57815-91ED-43cb-92C2-25804820EDAC}">
                        <c15:formulaRef>
                          <c15:sqref>q19_q28_q29_q40_Fig!$T$16</c15:sqref>
                        </c15:formulaRef>
                      </c:ext>
                    </c:extLst>
                    <c:strCache>
                      <c:ptCount val="1"/>
                      <c:pt idx="0">
                        <c:v>TCO</c:v>
                      </c:pt>
                    </c:strCache>
                  </c:strRef>
                </c:tx>
                <c:spPr>
                  <a:solidFill>
                    <a:srgbClr val="4F81BD"/>
                  </a:solidFill>
                  <a:ln w="19050">
                    <a:solidFill>
                      <a:schemeClr val="lt1"/>
                    </a:solidFill>
                  </a:ln>
                  <a:effectLst/>
                </c:spPr>
                <c:invertIfNegative val="0"/>
                <c:dPt>
                  <c:idx val="1"/>
                  <c:invertIfNegative val="0"/>
                  <c:bubble3D val="0"/>
                  <c:explosion val="2"/>
                  <c:extLst>
                    <c:ext xmlns:c16="http://schemas.microsoft.com/office/drawing/2014/chart" uri="{C3380CC4-5D6E-409C-BE32-E72D297353CC}">
                      <c16:uniqueId val="{00000002-FE8F-4C2F-AE39-08286693C4E7}"/>
                    </c:ext>
                  </c:extLst>
                </c:dPt>
                <c:dPt>
                  <c:idx val="2"/>
                  <c:invertIfNegative val="0"/>
                  <c:bubble3D val="0"/>
                  <c:extLst>
                    <c:ext xmlns:c16="http://schemas.microsoft.com/office/drawing/2014/chart" uri="{C3380CC4-5D6E-409C-BE32-E72D297353CC}">
                      <c16:uniqueId val="{00000003-FE8F-4C2F-AE39-08286693C4E7}"/>
                    </c:ext>
                  </c:extLst>
                </c:dPt>
                <c:dPt>
                  <c:idx val="3"/>
                  <c:invertIfNegative val="0"/>
                  <c:bubble3D val="0"/>
                  <c:extLst>
                    <c:ext xmlns:c16="http://schemas.microsoft.com/office/drawing/2014/chart" uri="{C3380CC4-5D6E-409C-BE32-E72D297353CC}">
                      <c16:uniqueId val="{00000004-FE8F-4C2F-AE39-08286693C4E7}"/>
                    </c:ext>
                  </c:extLst>
                </c:dPt>
                <c:dPt>
                  <c:idx val="4"/>
                  <c:invertIfNegative val="0"/>
                  <c:bubble3D val="0"/>
                  <c:extLst>
                    <c:ext xmlns:c16="http://schemas.microsoft.com/office/drawing/2014/chart" uri="{C3380CC4-5D6E-409C-BE32-E72D297353CC}">
                      <c16:uniqueId val="{00000005-FE8F-4C2F-AE39-08286693C4E7}"/>
                    </c:ext>
                  </c:extLst>
                </c:dPt>
                <c:dPt>
                  <c:idx val="5"/>
                  <c:invertIfNegative val="0"/>
                  <c:bubble3D val="0"/>
                  <c:extLst>
                    <c:ext xmlns:c16="http://schemas.microsoft.com/office/drawing/2014/chart" uri="{C3380CC4-5D6E-409C-BE32-E72D297353CC}">
                      <c16:uniqueId val="{00000006-FE8F-4C2F-AE39-08286693C4E7}"/>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q9_13_16_27_28_39_40_E_Fig!$S$293:$S$302</c15:sqref>
                        </c15:formulaRef>
                      </c:ext>
                    </c:extLst>
                    <c:strCache>
                      <c:ptCount val="10"/>
                      <c:pt idx="0">
                        <c:v>Repres. poder leg. e de órgãos exec., dirig., diret. e gestores executivos</c:v>
                      </c:pt>
                      <c:pt idx="1">
                        <c:v>Especial.das ativ.intelet.e cientif.</c:v>
                      </c:pt>
                      <c:pt idx="2">
                        <c:v>Técn. e prof. de nível intermédio</c:v>
                      </c:pt>
                      <c:pt idx="3">
                        <c:v>Pessoal administrativo</c:v>
                      </c:pt>
                      <c:pt idx="4">
                        <c:v>Trab.dos serv.pessoais, de prot.e segur.e vendedores</c:v>
                      </c:pt>
                      <c:pt idx="5">
                        <c:v>Agric.e trab.qualif.da agric.,da pesca e da floresta</c:v>
                      </c:pt>
                      <c:pt idx="6">
                        <c:v>Trab.qualif.da ind.,constr.e artific.</c:v>
                      </c:pt>
                      <c:pt idx="7">
                        <c:v>Oper.de inst.e máq.e trab.mont.</c:v>
                      </c:pt>
                      <c:pt idx="8">
                        <c:v>Trabalhadores não qualificados</c:v>
                      </c:pt>
                      <c:pt idx="9">
                        <c:v>Trabalhadores sem profissão atribuida</c:v>
                      </c:pt>
                    </c:strCache>
                  </c:strRef>
                </c:cat>
                <c:val>
                  <c:numRef>
                    <c:extLst>
                      <c:ext uri="{02D57815-91ED-43cb-92C2-25804820EDAC}">
                        <c15:formulaRef>
                          <c15:sqref>q19_q28_q29_q40_Fig!$T$17:$T$27</c15:sqref>
                        </c15:formulaRef>
                      </c:ext>
                    </c:extLst>
                    <c:numCache>
                      <c:formatCode>#,##0</c:formatCode>
                      <c:ptCount val="11"/>
                      <c:pt idx="0">
                        <c:v>114787</c:v>
                      </c:pt>
                      <c:pt idx="1">
                        <c:v>441951</c:v>
                      </c:pt>
                      <c:pt idx="2">
                        <c:v>353603</c:v>
                      </c:pt>
                      <c:pt idx="3">
                        <c:v>435944</c:v>
                      </c:pt>
                      <c:pt idx="4">
                        <c:v>700751</c:v>
                      </c:pt>
                      <c:pt idx="5">
                        <c:v>36010</c:v>
                      </c:pt>
                      <c:pt idx="6">
                        <c:v>457922</c:v>
                      </c:pt>
                      <c:pt idx="7">
                        <c:v>323244</c:v>
                      </c:pt>
                      <c:pt idx="8">
                        <c:v>485614</c:v>
                      </c:pt>
                      <c:pt idx="9">
                        <c:v>4310</c:v>
                      </c:pt>
                      <c:pt idx="10">
                        <c:v>3354136</c:v>
                      </c:pt>
                    </c:numCache>
                  </c:numRef>
                </c:val>
                <c:extLst>
                  <c:ext xmlns:c16="http://schemas.microsoft.com/office/drawing/2014/chart" uri="{C3380CC4-5D6E-409C-BE32-E72D297353CC}">
                    <c16:uniqueId val="{00000007-FE8F-4C2F-AE39-08286693C4E7}"/>
                  </c:ext>
                </c:extLst>
              </c15:ser>
            </c15:filteredBarSeries>
          </c:ext>
        </c:extLst>
      </c:barChart>
      <c:valAx>
        <c:axId val="1319480015"/>
        <c:scaling>
          <c:orientation val="minMax"/>
          <c:max val="5000"/>
          <c:min val="0"/>
        </c:scaling>
        <c:delete val="1"/>
        <c:axPos val="t"/>
        <c:numFmt formatCode="#,##0.00\ &quot;€&quot;" sourceLinked="1"/>
        <c:majorTickMark val="out"/>
        <c:minorTickMark val="none"/>
        <c:tickLblPos val="nextTo"/>
        <c:crossAx val="891633855"/>
        <c:crosses val="autoZero"/>
        <c:crossBetween val="between"/>
        <c:majorUnit val="500"/>
      </c:valAx>
      <c:catAx>
        <c:axId val="89163385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37631274076725285"/>
          <c:y val="1.9620487218601212E-2"/>
          <c:w val="0.2791852855523726"/>
          <c:h val="8.889572494316742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q9_13_16_27_28_39_40_E_Fig!$Y$126</c:f>
              <c:strCache>
                <c:ptCount val="1"/>
                <c:pt idx="0">
                  <c:v>TCO</c:v>
                </c:pt>
              </c:strCache>
            </c:strRef>
          </c:tx>
          <c:spPr>
            <a:solidFill>
              <a:schemeClr val="accent1"/>
            </a:solidFill>
            <a:ln>
              <a:no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q9_13_16_27_28_39_40_E_Fig!$X$127:$X$133</c15:sqref>
                  </c15:fullRef>
                </c:ext>
              </c:extLst>
              <c:f>q9_13_16_27_28_39_40_E_Fig!$X$127</c:f>
              <c:strCache>
                <c:ptCount val="1"/>
                <c:pt idx="0">
                  <c:v>Norte</c:v>
                </c:pt>
              </c:strCache>
            </c:strRef>
          </c:cat>
          <c:val>
            <c:numRef>
              <c:extLst>
                <c:ext xmlns:c15="http://schemas.microsoft.com/office/drawing/2012/chart" uri="{02D57815-91ED-43cb-92C2-25804820EDAC}">
                  <c15:fullRef>
                    <c15:sqref>q9_13_16_27_28_39_40_E_Fig!$Y$127:$Y$133</c15:sqref>
                  </c15:fullRef>
                </c:ext>
              </c:extLst>
              <c:f>q9_13_16_27_28_39_40_E_Fig!$Y$127</c:f>
              <c:numCache>
                <c:formatCode>#,##0</c:formatCode>
                <c:ptCount val="1"/>
                <c:pt idx="0">
                  <c:v>108225.99999999999</c:v>
                </c:pt>
              </c:numCache>
            </c:numRef>
          </c:val>
          <c:extLst>
            <c:ext xmlns:c16="http://schemas.microsoft.com/office/drawing/2014/chart" uri="{C3380CC4-5D6E-409C-BE32-E72D297353CC}">
              <c16:uniqueId val="{00000000-C034-4420-B9B3-F190F6EA330C}"/>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0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q9_13_16_27_28_39_40_E_Fig!$Y$126</c:f>
              <c:strCache>
                <c:ptCount val="1"/>
                <c:pt idx="0">
                  <c:v>TCO</c:v>
                </c:pt>
              </c:strCache>
            </c:strRef>
          </c:tx>
          <c:spPr>
            <a:solidFill>
              <a:srgbClr val="4572A5"/>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1-A3F7-4DF6-8931-509B09F0FF4B}"/>
              </c:ext>
            </c:extLst>
          </c:dPt>
          <c:dLbls>
            <c:spPr>
              <a:noFill/>
              <a:ln>
                <a:noFill/>
              </a:ln>
              <a:effectLst/>
            </c:spPr>
            <c:txPr>
              <a:bodyPr rot="0" spcFirstLastPara="1" vertOverflow="ellipsis"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q9_13_16_27_28_39_40_E_Fig!$X$127:$X$133</c15:sqref>
                  </c15:fullRef>
                </c:ext>
              </c:extLst>
              <c:f>q9_13_16_27_28_39_40_E_Fig!$X$128</c:f>
              <c:strCache>
                <c:ptCount val="1"/>
                <c:pt idx="0">
                  <c:v>Centro</c:v>
                </c:pt>
              </c:strCache>
            </c:strRef>
          </c:cat>
          <c:val>
            <c:numRef>
              <c:extLst>
                <c:ext xmlns:c15="http://schemas.microsoft.com/office/drawing/2012/chart" uri="{02D57815-91ED-43cb-92C2-25804820EDAC}">
                  <c15:fullRef>
                    <c15:sqref>q9_13_16_27_28_39_40_E_Fig!$Y$127:$Y$133</c15:sqref>
                  </c15:fullRef>
                </c:ext>
              </c:extLst>
              <c:f>q9_13_16_27_28_39_40_E_Fig!$Y$128</c:f>
              <c:numCache>
                <c:formatCode>#,##0</c:formatCode>
                <c:ptCount val="1"/>
                <c:pt idx="0">
                  <c:v>57574.999999999993</c:v>
                </c:pt>
              </c:numCache>
            </c:numRef>
          </c:val>
          <c:extLst>
            <c:ext xmlns:c16="http://schemas.microsoft.com/office/drawing/2014/chart" uri="{C3380CC4-5D6E-409C-BE32-E72D297353CC}">
              <c16:uniqueId val="{00000002-A3F7-4DF6-8931-509B09F0FF4B}"/>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0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q9_13_16_27_28_39_40_E_Fig!$Y$126</c:f>
              <c:strCache>
                <c:ptCount val="1"/>
                <c:pt idx="0">
                  <c:v>TCO</c:v>
                </c:pt>
              </c:strCache>
            </c:strRef>
          </c:tx>
          <c:spPr>
            <a:solidFill>
              <a:schemeClr val="accent5"/>
            </a:solidFill>
            <a:ln>
              <a:noFill/>
            </a:ln>
            <a:effectLst/>
          </c:spPr>
          <c:invertIfNegative val="0"/>
          <c:dLbls>
            <c:spPr>
              <a:noFill/>
              <a:ln>
                <a:noFill/>
              </a:ln>
              <a:effectLst/>
            </c:spPr>
            <c:txPr>
              <a:bodyPr rot="0" spcFirstLastPara="1" vertOverflow="ellipsis" horzOverflow="clip" vert="horz" wrap="non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q9_13_16_27_28_39_40_E_Fig!$X$127:$X$133</c15:sqref>
                  </c15:fullRef>
                </c:ext>
              </c:extLst>
              <c:f>q9_13_16_27_28_39_40_E_Fig!$X$129</c:f>
              <c:strCache>
                <c:ptCount val="1"/>
                <c:pt idx="0">
                  <c:v>Oeste e Vale do Tejo</c:v>
                </c:pt>
              </c:strCache>
            </c:strRef>
          </c:cat>
          <c:val>
            <c:numRef>
              <c:extLst>
                <c:ext xmlns:c15="http://schemas.microsoft.com/office/drawing/2012/chart" uri="{02D57815-91ED-43cb-92C2-25804820EDAC}">
                  <c15:fullRef>
                    <c15:sqref>q9_13_16_27_28_39_40_E_Fig!$Y$127:$Y$133</c15:sqref>
                  </c15:fullRef>
                </c:ext>
              </c:extLst>
              <c:f>q9_13_16_27_28_39_40_E_Fig!$Y$129</c:f>
              <c:numCache>
                <c:formatCode>#,##0</c:formatCode>
                <c:ptCount val="1"/>
                <c:pt idx="0">
                  <c:v>40944.000000000007</c:v>
                </c:pt>
              </c:numCache>
            </c:numRef>
          </c:val>
          <c:extLst>
            <c:ext xmlns:c16="http://schemas.microsoft.com/office/drawing/2014/chart" uri="{C3380CC4-5D6E-409C-BE32-E72D297353CC}">
              <c16:uniqueId val="{00000000-F05F-47B7-999C-FA52EF461F12}"/>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200000"/>
          <c:min val="0"/>
        </c:scaling>
        <c:delete val="1"/>
        <c:axPos val="l"/>
        <c:numFmt formatCode="#,##0" sourceLinked="1"/>
        <c:majorTickMark val="out"/>
        <c:minorTickMark val="none"/>
        <c:tickLblPos val="nextTo"/>
        <c:crossAx val="636287087"/>
        <c:crosses val="autoZero"/>
        <c:crossBetween val="between"/>
        <c:majorUnit val="5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_xlchart.v5.22</cx:f>
        <cx:nf>_xlchart.v5.21</cx:nf>
      </cx:strDim>
      <cx:numDim type="colorVal">
        <cx:f>_xlchart.v5.24</cx:f>
        <cx:nf>_xlchart.v5.23</cx:nf>
      </cx:numDim>
    </cx:data>
  </cx:chartData>
  <cx:chart>
    <cx:plotArea>
      <cx:plotAreaRegion>
        <cx:series layoutId="regionMap" uniqueId="{8671570F-A959-4E8A-BBD8-90A5CA973BCF}">
          <cx:tx>
            <cx:txData>
              <cx:f>_xlchart.v5.23</cx:f>
              <cx:v>Empresas</cx:v>
            </cx:txData>
          </cx:tx>
          <cx:dataId val="0"/>
          <cx:layoutPr>
            <cx:geography viewedRegionType="dataOnly" cultureLanguage="pt-PT" cultureRegion="PT" attribution="Com tecnologia Bing">
              <cx:geoCache provider="{E9337A44-BEBE-4D9F-B70C-5C5E7DAFC167}">
                <cx:binary>1Hvbct04suWvOPw8dAEkAAIdXR0xIPddWzdLsq0XhqwLCd5AgDeQf3C+ZGJ+YV77xyYlS1WWSra7
p30ixrJNxwY2SBALyFy5MvX3a/e36/L2yr5xVVm3f7t2v7/Nuq7522+/tdfZbXXVvqvUtdWtvuve
XevqN313p65vf7uxV6Oq0998hMlv19mV7W7d23/8He6W3uoDfX3VKV2f9Ld2Or1t+7Jrv9P3ateb
q5tK1bFqO6uuO/z7W2mv0qv6n//r6u2b27pT3XQ2Nbe/v332tbdvfnt5s788+E0Jc+v6GxhL8DuK
REAEx+LhJ3z7ptR1+tjtsXecCiJCxL50C/707MOrCsb/S1N6mNDVzY29bVt4qYf/nw199gbPeq51
X3f3K5jCYv7+9ljbrk+vyrdvVKujL32Rvn+R47OHN//t+fL/4+8vGmAtXrR8hdDLhftR118Bus1/
IjZB+I77sPTE5+jhBz/HJnwnSMAFC8Mv3Sh4gc0PZvMNWB5GvUTkofHXAuN/DrfK6qcl+QlHBb0L
/SBkPn2BA39HWMhpQMnjGfGfHvrljPx4Iq8j8TTuBRZPzb8WGv/8r0Hbn3k4+DuGAkEYE984HJxg
4cPped1w/Xg+r4PyNO4FKE/NvxYoD9b7abP+hBMCzoT6Agn+tOjPDRZ/FyDBEOLBo8F6zZl8bzqv
Q/L4Fi8QeWz9tQCJrtruttRvYPL19U+0XYEAX8FISMWjKwET9bWbD4EFYEYDzB9Pi3iC4YsJ+9fn
9TpEL8e/wOpl9y8GmlbV559p2wh65yMS+D7Hr9o2OEcBDRk4ndcdTvTjCX0DpqeBL/F5av+1gFn1
V/bmJ/ocwIURRENK0JeFf0GWw3e+L3wa4sful2T5x/N5HZancS9QeWr+tUBZXv1MUgYc2Sch/GGP
JBg48NeGjb/DAQXSJvzHo8KeG7YfzeZ1QL6MegHHl8ZfC4wDoMjqJ54Q8DMhDimCY/K43i/hCAEs
xDh5PWT58XxeB+Rp3AtInpp/MVBU+1n/XFAQwoHwA/qq2RLvMPgSgoOnOJI8PyMHP5zPN0B5HPcS
lMfmXwuUe+XhqrxN7e3T4vznfBlOC76PXiCkfBWY8B3zEWUYP2oz4oXx+tfm9Do4X499AdDXXb8e
SD+RNYM45oN38SHmfxUf4GHUpwho2qOxexHP3C/kd6fzbWhg2CuoQOuvBcj7q7q7sv/839VPPTS+
AK2FU1jt566egHMRAj2SZgTs7ItM+iWG+Zfm8joiXw19gcpXPb8YMrfdP//P53sl9WdJycF9WMJw
iL46Dc/xAa0GU/aHlPwSn39hRt+A54+RL9H5o+PXAudCXdVXb270m8fA+OeBBCaNh2DPCKj+Dz8v
QhgOQgCgBGTg0aS90DL/nZm9DtZf7/ACtL9+4VcDr7x6c3r7M4/WfZaGgqOBs/WFN7+IcoAoBJiG
gf/IqhF+2jFfTN+F+hem9C24/hj6F5z+6PnVAGpv+6cF+s9ZHKgCoeA8hFTMq0cKsjghEigMw8f+
FyzuQv1gOt8C5mHYX0B5aP3/G5Bvzu5rV/TsS/9mVhOINeM+FiF9Yd4gZQYdPBRP5u2FD7pnbF/y
i9+eyutw/Dny2cT/+1OW305n/pH3ja+6q8VDwvirjOb3ex9eEvLYL4Z+jyx8WbHNze9vQx5QFMI2
/yMVfX+bZ2TsKV/yyqBb0MB/f+uF78BDUcDQFwwTUNWA7o23D12Q+qEUcgiYoICj+wT12zc1IJf9
/haQR34Ao3BIUOj7DGbR6v6hC7QgSmAYg5wp3Ba6nt7yWJdTqus/luTx85u6r461qrv297ccw52a
L9+7f0cKglMYQOjGKPEhpwGPhP7rq1MoCYCv4//hCjo77UwpOZrSqK/xUd2wz9i2Rznqdn5WF8sp
H+8GSmsZ5Mk2VM26rxLZhHiSNslinX3KUb0f3G3Rl/pTVQZydGkiPT2EJ9U2DSw6qibF5YiSQvqm
b+RE9alfiCtWzHgNdxcxylAuWaqJTD2exiUnwzJUHt4PyN3V2mmJXD2dU5Wv21SnkRXOngZ962I9
In+LbJpFOChumiIj27G2ZDFXxskxYeFinMxJVdk6Ju2wHmz1uR3LepXnbhdM2TIQXb9ISY3XLi1n
WYr6MlCTWedNeTE37LjaJtuR+3phR7eujJqjmgf+Ag/JKAcjxNqkS6aK27paOjSa5TB39SKpK7Si
7HTiiV12tGTRNLFpPcd6UERaM/rbpk7e65OqmMsoJTOP2iq57Ine9GUyR1hnwTK1wUUReN5ejNjb
u5Cu2RByiUykhBKyRQnZJtx8TELLD4Z0Ouxnc5fg/r3zvZuEZ0UUtIWLfDdOsme6lmOllrrMhKQF
3s8W7ZL2M8ytOev89MbkXbsibT4vVOFvmehUXHU0X+BKbGnV8JhmotuUdRGROsSyqLwsCmgzR+Eo
1kNFBpljb5vT8spDblzwFFdRFaaBJGg6GYOF55s0HnqnJE/SWgo1zREd6EkQZB+LBs3Sd/WdmoVZ
TZke4jYLP4+VK+I06JxESZ/J2rYAzZHOTlEyjDJVxRz3SXNnGM1kNrBu78/pyqs5WnM1okXCa7UM
CGuioOlP6DSRRZK6KW55biQoFlvftee+n0aFX1/zIYwYwX7cMgQrUKBIZ94Ola23GAlny9nxiwZP
KlZTegO76jj1XHkcYnsU2DJZqoA1q9HqiPQ2W5XTSGNs1BmxVS77PDMyJ+G1Z5ItMTWRlY3RiKsF
qoeoVbDxR6SlCcWdnw9y4uV8Unn9+9KMdeT0DSs8FTtMLxOfXPYquNVBGa4QcUaiDN4u7UOxTvh1
Mvs3s+0j13RMGhFc3h/rqBq6JEJZyKIqbZCsqihlju66VlPZtdM5DhspyDjINq1zSfzxxBf0czvP
pcyDfAt1G4u+I6cdMpkUQWFklaJKtgceTVWERzZGQdZNctTu3E3TZqSw8oES1YEYWBLVIQDuc57L
NDVxB+cqIXfdWB62qPakr8MPk18lC6e8/KCe4JkuJakUTXjuDyqBV3NFlA/iyCY5X6c4q9ZjKLD0
5ySTU+bDvX2DV0nZ+ZGo436oikaWU39qFB9XTYBOyg43skvomVANGCahdGw9T0RmtPs2LS/hH1pa
VS8qN5Ao0+Ug53QepEjCTjZq+IBn7ku/06Vsi7qRpPXaJaqplqLiNYy0aew8Pm25KwvZd/1Hv0Ru
wxQ6x8NoNsYFZ3RMdknap0d5jzd24ir2h6I61GmjoqE2Jx3NfKmSWcdF0dwlqK0ik2keKcNtPARZ
LbP5Y9j4bew10ydG+gvFg71DPZWY95ssGdSe9AhOjpFtHRbR5IVl1DN2Odr62pJICNwtGjznsum4
ZD0Zo1TkajEH861n627TM2QlJIUSmRS0jBSc3i3J9Iex5qs+sWw7dZZGdiKxxYChU70X2W6+US06
B6MnDrwyodLvYYegY2Yqydr6GpVERDh1izotQ1kV/V40+ngQ2Q1xg5BTAbsTURwVdZ4ujSfyGLX5
uCGmeY+bZD8Y48lidlsjGI0pxs1pbchWGT89HFxdxkPL0cL52Q7y+DejKq6wnt9nCF9wL/k8jfOu
buF0hJk6InXZHxfV6MdizgPJmtrKQSu9Lg26K0VmZRtmWdwwbKKgyJWclHeYlNWppcYeZKuEoNO2
/XTnMxUZg6/Al3dS2xlOEPfyhZd+7Oppkm2iOnBiGRzJdva3M5/qqB/XND9Kebph4TSuJuzWrMt9
sC6uixkLYMVZf2mq2o9SvCFFsIcSvqWq9XjVB2g913WkcnXXllmxT00P7jRBB7nXtjKHyUym51Fa
gD0Gc1QtdYiOuNLBqq0RA8ObHfn+/R40fWxu0MAOGe3TbR/ocpkXY5QTrZa2Ssa1rcCUpiKJta+H
dZUGm4H11daCQRMZmhauwOmeQcZkERg9y17QXCb1aWJCHZPC3yRJn0dszNstlALKQ6wnup2HUcUB
922cFm5aVEnKVhb3p2VaXHMfsM8q8mCopa1RdVFO1SZT6pAObIW58d47lyRrmhZStWWz64PhDoyb
AUMfrEOb4siaJtw0WXie+SiyVmyKZCoXtDZqV6X4cLRdZKu72uks9p0YdwaOdsW1kmXeZwdzNUeA
9HyM+fuiyy89rZ00kzXv27Y9SsvhuBDFtKmdHyWTSo9CV9NFOjXzYiwLvui8Oi7nwsReOfC4Dsdu
j3Lzye+7KbaluJlMis8yNqSruprl3H/ippOtyPCqqoKjlgT5IsdG2rIUuxLNyUprfqlRRWM2eyu/
aNnxtLV+Kh2dF62LOpzvbIvtMu8JX9PxNgws3nodWTSCICBm1UHezGrphcTFrpg3KZ9V3LpEywaH
+cbNx72u/LW1LZPYnQAZXZlwbqKuqi6KNFWyUr2JjEfSSCOsN8FYL+YioUtr4HgA56sm14AdCt4b
POTnyLQfPT73MkSzPcY6IPCcDLyZwFlMREePxjFgUViphWenpW7UFIHFMZIyU2ywdXihiKOy1V4R
dSFa9MMHTZ2JORi+NaqKVdfglWHtsrNhsaWjmdY4/ci8K78ZJlmZoDoqdD/sUDgfFFM1bGHHKTve
8kydlC0QCMZm2PXlsHPO5as0nK8Hj6pdHaaD5BaMO6o8BnSvL66QP2yGfFo2RXo6CHIBrG7hOXqY
iObA5dOB9W+CPPjMYIuTMF0gg4TkMzsI2YzBd5ZBPKpkT1mxYaK4S1W1mQOvXXTjrlEZWtQzMBiK
uvfd5K+KLCmjrgP7XFbjtdettD98hhc4rluudpjTUKZhEluBlSySeoJTwm89lMp06qOCFvmmMaEX
dyzbZGPY7rlrF4oWw6rLp1FmqtqG/hhsaK1uhimjkbgppixKjJB2ztbTYI442L5zqqfPaZ/czDXZ
zUYd+apWYEOIxM28xGWZRyYlxygku6Yy6aLS66k/xvmQHJXtGIczmJe0bIfIK5C3TOYKZj0n4Hja
mkoyN2deUNWwaa0XdaJRknp2Tcu0W2Y9eOpUgWFMed1sUcVOHGvsoWmJk5hN0WAtbAKdow0UYN2B
72uXVagideQBulIpdomTwi5axJea2Y8Q7wDJzryFAZssnc3H2OZ53IiWHcD++kgGc4cK50ncBfMy
TICDJKmRdV1fD+7MoFpOJU7juuoXOM/RWhXANbq633ZjctwY59YOe9Hohx0cSqMjL9FIijHf5xiR
hfGpWvnVdO7PJK5U15ypMFw09exkmFfR4DIRN2r2IpK4SRZ0Wfn4zp+mtWP4akiSk3v/skzEe5Yk
4HkCz0jiVcMS7N9xUCV6U3tpJV2CwJAmJbh/sQWzLGlJ1GHgrPR4CbSx9CEkER/FxM4dMaPMzbDV
XTUup1rkkpq5jIkLby13wV5kfjQ3E46tradVmlSbRFf2yAvpxvO8MapJDURbZeM+p/rDYBxEVZ49
dEBTds6kHzHKBtnRIj34uo75WWB6rZvJqjR7rCT/4+M/znQFfx8Km/9svC9E//PT/qmC/bvfWt3q
e8Gwffmle43hj3v9WUJ9H9X/UU/9Qin4UvP+FGD/O53PNIZnYsqTZncff2MBGui39YU/5Zg/FYaH
IY/qAnuHuX8vBNxnvjkiDAreHtWFALJ+IQ4IFzSA7N99GulRXCD+O0wou++BjCAHIelPcQG9Q1Dc
CAz/Xg8AkYn/O+ICvtcOvtYWAgzTQxzKiUCpYiD6PtcWRl2XM0F5+MA2N31z4wILkcJMjlq/Ywvg
h2c8gwgr7NtDUenmJNE93fRg/Ye2OatTIbaY6Q3jrVs2wJ/ir9byFfGD0JfzI5hDJSHwRxTCLDFg
8bX2MTapqrMAs8hzrFimfW6XLXKJNLuu94msh5IvM8HvRQPwXErnJ0A8yIJ66qRpOn8bztmGVUqf
G99FFhd9xEzPFr7ozwru1xHilTmi9WZOXbab2+rI8Ho6ZMJeGR2wOMnTbFNZ0i0geu+WSFckRvU9
yTPqCgFVPKyDMr0wZX6SBiyNbVboWAf4KmWGbEQwp8fDGASHtg4XIEecBmqsfrRE90vwDELCMbkv
qISUGCX4QT76Sh4ybNIh9fUU5QD2choKvnu4lKzjOzPqfkPHKgO+b4HIk6T8gFjKFhRo54pN1kXg
+fmuyMEDp9jtsgl7MS7KdOf6IRZKeSeN8z62tJx2Re8nJ6HXH839WJ5phg/TxiOr1qWhHBsICLK6
ZrPkuZZWZNMBVl3M/WwVVpZ/gLCzgognCHd5OYYf5gEB6crUdgo4AwkhQLGXBs3pRD0WfX8T3QuC
L1fovlg4YASK5qA45YWAZqaprdIsGKN2kplz/aYoWyTTbBxP8zJIDocuiOee5rshMR3QsTkbpUEd
i72+znekH/OdCLp9N9DDxpFiiXubL5LCpfvSsqPJJ8WedW25zyr/ssydv3po6kCjiAV4mAXQJnTi
96KIS+I1y9kIdOLuLxUFMoFHZNezaGZJyVCciCmXfp6yu6lsj2k9NCd2RgfjnDa7xgX6y4Xi5vEj
S5pF3WCyS1RBDiHgCQ5RrtV67Oy6yBq9L0Ku917SoahIA7HsgjTKuS4uaUnDJamKNIIVA2kNNe5g
Utlm4KrdDPefHppUlrqDplf5NgvLRTAW/c6rp27XNabe8SSiST5FU5GSwyZM7EGi2x/ZAB8s5HP4
mA8ZJyhCxVC+AjnFe3i/2uBeIdoSjq+LDPdQ7Gu/PMyy8BiWZZKiD+wqRbqLNeL5+Rh0wFi5Kc+q
Fi1NhtpFQl26tM7S9+XYbeuu46fgb0EGUtNhWQf5QRM0xWFbTLBxD8thMBfNBKSj0Ezvaz/jMkjn
amVqPu4bMuar7+9NDgryi5cLfAGOISBg8OEVXxi4Yc4Lhrt8jNw4fiYiGxeuztw+IZPapCkcKeTk
gB19n43JJzLVFy3G6sRjyXWmuNkiL8lOHprmIfSkYH2wemh7uFQsHGM26DROJrQqvUBdJG2frYe8
IDFPivzCazVbekItCtKTiAzUnT5cwmHaNN4wHILCN532emBb44M68dCZ2XI6DcKsjzrwAKsglZCQ
b4+rdAZpwSbAfcXI4oePD5fQ5iFEvjzdDWaCsH1sVZSwgF0xQY8LIIfnPmmGVR20EJkxf+EJrj7x
qfiEk9GcINzrYxw0a5eYZUoYhPPOijaGLSPgIc2immt9XuoyX7Rp4G9qjNgGCDKWM5qr3RzwMbLg
rZYo7E9Z7ZMjq4L0ImX+tqepPulzk140mQb5paanI2luvg8xfQViBiKmD9sX8A3Zff9X+5cLBVpT
MvfRwOkQQbR0klakONMTxLNz+zGtQ/opnSOvzXIJ9jrcfrkEHURAPD0sfFpuHbHNbqjzeem5OYvA
rZ1QPvCDh4tfVPwgKIleV1acqo6DkDeU/uUwiW4l8pAcVIOtt1PY7ZSFaASrwGxYG+CP2XzU9MI/
ACWqBCVA0B0iXbJOw/4iLd3wMZv450pTclPoTWeDddfoep/SfMgi0yyyvEXbzNt4ObbbohQEuDpE
ytssABn1yyU0LP7+cmL8F07AIKcCxdFQ28k5nBkgR1+vp/OwP1mQQaLRLTJG+m1ejWEpxzEbthVN
WCm9aeg2WcBkXlN6Wt5fOD5rfVAb8yFMD3tu1j3ceffnxYxd3LhkWJoORFEGpObcFONK5wx/oAZ0
V16NIDZYLRXK6HYq9bAC47kdKsivBNMipTo/5kLPpxXOwtgLEm9h3RzuMWkONPHJiS0gfK8pd1EZ
kA8ChFmIFsYpSnKDDkxwM7GQrYFCgchRE3vS3l+oP4xR34omNpQvTMfrQ4yndMNne4JEYXZ9D9oC
wglawkrNsvEaEWtXXfiZ23kYNIp8zLojFvagymG6e7jMc0J3pZddUifEqklab99DFmPfzkEhA3/t
dWVyDFq8OrHTDHpYh/aUQvapnfBaeMY/Du8vpnU4mrqgOHR67pYQf9CjKnPDIheg5SM0oFg0XnVI
rDdskjRnUddb+H1RXB7RDBT1hnblgR7IuJtDkArbstaXo3If+wbyRi5t6n0mkInmhNSXTdmdVb4e
D9psyk8eLnqeVgiUxm1l59rJJKS7cQrofsy9a450ff39XRf85RBDoi8U4H98EMRC+K2J55sunEu/
nnoQBTIbOzo0p9UwN2vbJAiyKlm4p71f70qRgxDko0JmVT8AqSw2w9Q2u8CV7brq6jtLK4dkpkW3
LlT4IakFuHab3RRKeKvMIyf1dKKLVMRF3RbLtsHeKZnGcd21/kqpSRw8XCqTjctE+W2EQcA6b4Ig
sqOaP3z/lWH3v4wOoJyAAfMC63X/61YQqTx/aSO6sedkKiS69/WTPnu4lEEm84z5p6NP8D51/FNb
0lamXcYiy3i1wQr4Jh0KdQGphvrAS8Qo9eDUBaR72HYcwhzyStDLEjZsSvhloqgdg+zCJVmywn1E
Z6WXU4PLc55nqQzbRZ8Y0H1Q2Z16ASrhSdptHz62pvKjLssEOElE7xwJyN5p8HdTx49twz1Q21uy
AE6/qpPORXVrIjy4cdPM5iIf7JnJ01RiZW7yxDRACc2lLg43baZueDE20ism0NjEZUKLSppZtrT7
NAXiYwuMNupvO4/f1YMv56bQkfNYK7NiunQBOLRA66jU4DGreZxlnU5XZlRZhAK9CllaRC4o22hm
ZCV06keqhJyrKUE/MSM/4huWzJeiq0c51eoQG2/RVfVxbodPuaXrIiyuuAlWwvBEYjqUkTZFF+kc
ZIQgqPByGPmh5VW3ool3NUP6Qo0zk8Ar1N6rQHDIw1RmXodlo4v3mDbLfhDAomhykav8o/XOGDPv
hykkm5xQBeJvd9nZqogHNn7waogdvL6MctPVoFN6RznHSdQjW0pSufOceH00sqVqx5U/zO+hBkzm
3nkmUsgA1mKfTM1JEXbNwqXDCuGGSGADMThjvdBqrKVxulpWFhILFicr69cfTNAGsY8grRuUfisR
BaGxJHO5RqItoh78exQM0gRWrQwOlrjwhJyzHkR/Q9ciT3M59MIsgya9hhSK54X8xjC0UVOfL32V
kSXuqmSTniaCtEtSeg4E7tTKkvZogfURxDxgnaqYhzk/r323qARooYTmEe9ruintAMirfoVtCcoW
5TTye+St/SGQw6BWdPAOSJJm25p2kH7RjRwhkQ7xdITLcFj1rpd+EmpJG5ceeE2xgzcLFx0ptUz8
REnT+5IY60HGEh2hBt9lXoN2g5+qZZYVNvLm+tT26Cz3Vv0wWMl5s2Z+E/s1BMlumDd+Q7eZKBuZ
O3bMG0iCwHp6sjEjpA+FlXTy8aFfzBezHepFSyiImD20g0MMlwys3pr6rZYuLxcEgt314KhbDKAr
qvpCdPyq0mKM1TrRwZ4Fjsddh7qVc9aeVSi8K22yGynJjhzIBpMFgjESgNMwtk8zqENo/Mw7xvN7
Q+vPLaQf8qxTcgYT0qpGJqkg62nOlz1kFYiP940Tx72f60Xb+6suwxLy6WXk8uLCQ+jKIyP4ovRD
qe8zj2g9sEEWZyrDrSw7kFd7HR51Th05DMnA7kMvGjiGjfg0W7YS1eTJuRji5t5RBZe566+z8BP2
2j5W4wT5IoO3/88FFBYScDHoGP+tBRRCj3XMoIBCkfx5AQVP6n4xT8N/WkDBIdNeBj+pgEKPzF8C
+fv3CyjyEgo72kZ50vjeHE8m0p3Xn4ygIXeMGkgb2FUz1cM+ZBPYdL+BKhbRr2kPub8hXPWG2i0r
V0MIydi+gNtUYfIxRazb5JNZVg3I/02GmrhGoCQr0523Sc7Whd8YuBmLUdDc9mov8Kma2F2e0XSp
VB0sUtvPEhsM/iSp9raZ5yVJpg9d0wLN90ccN8lYRC0bzSK0cHKx50NyWXXBsh2TGxxUt5yr8mNV
JAsoIqplqWbIOQTHtK3PPc+cWp+ZVVoc2rY/Ud3SjMFZrX0VJ416H3bkYKTDssnzeTP4c7uiRXnb
tVYtK+fG2GMuPUpCB/nvltwmJeuBzkGhiODvez5Oa+4nXFZNqU5rKDYoKe1Wve92pvu/1J1Zc+Q4
lqV/EdpIcH/l5vuiLUIRLzDFBgIgQXADl18/x6NmpjOr26q6rLqtZl7c0lMhyd1JAPee850rEaWJ
VAyO/Thk2tuA9ZS0hi82ee4ziVHutQsKomXNnM6Nb53/6oKfyKUlTb4l9ZNcHfcgZO4TpS5m6Kas
Vq4uIr3XTQtuoRLOjpIqF+IHjbfuUNXYEOcNBo3fded2YoAiltYpkl62JVgi09nvSYv/qC0IC7M4
3yoT9zdYBoXEXf6Kw/ZTZyHlJzaCUSvIJZirOjUOe7I0mq++Fk0xSfXTVJUtE9Fkc90PWeQHay4F
GjBnXd5itFxl47XfvYnH6Sj1mzfTJ+a9SLbxLGyHT4HXyWKOo9wEw3aZKClwqVlRET1lU6KzuWM9
rC2ee4Ees8CfvKxKGhy8bZgSlMWngZj3eV4SVCTJN6eb9r1sVlj74BfmdvhuxXS2UDrSvo/hpS02
KriAgGVE06RxxUqjcVE2KWFsWZXkc7UE+zZzCC0226yXCd1zRmt/hpXNVT75c3UIFvfiBOx5W/Sr
ctadi3uMhX1YdHMVpIr3txaYRLYK+U1u4b2XJNona82KJpyDNIANlQzddkqaj7qhsIikkWm70NOo
4u0vD+464WjC4WeaqD6HUb/dK0+hA52aM5ABqJD6xJVtTrr2mxP6iiANl/hX5OBYT7w89IO4jPql
SscqcsowjqZUk3DMcGgNuclXQGPpRMNpxz6oZRwlJkQbbeH0w3t+l/X6HtVeX8ZNpPaCLW/TOH9l
vnyoFs3Bto8WdyC8ECTQWS9VV4oaxinQmLpCoQgCI+uX+H0wkAkb79hHdXiCSIj64YeAEJF6wbjt
rZ5Av/iSoqowzrFvgRgk3RPgLVnYJIal9jj4Qpz1kRiLfiRFg5ecWjNHKdCtb1D7wtz3AZ31K1zE
TjFRNNrqTCnGAD4JoDNMffbe/U1Fe39w6xy0NnxWfy5CAsAkJKCBmJnvRsI7tP3RDDCcpsBRWQDQ
j6/DtYPw2FfbXFrTXJxa5GvPv1Yh7r+Z3WRUpRFFPTTjH4CCktkaRKfEgVsJy1UN0w/Bwz0ZfKjD
7eu8qVc1LksO0vUtWeeMLTPP6iku5pD8ouPG88pnBQDJOp/diKaRsYUS3UOBP8NWNZkatZsKfqSJ
3PbuMn5nS3yuUHdljE7vixP3h3U7jhPEA46OBpalSKt1OwS1fds2+IR1nMqxy4zvjWXdTSsuewrZ
Ay8JFkmxbUnuGlIQJqFfwV3cuWwEy1VvWSeoTodt9Etl0OpH4By6cdNF+CtucD+QJvX9k1ykOFWP
B950+3kKosM60KyZ27bsHDBtzLgqQ/lkpDcVUMBBxMSw2V/p0s97pS0ptmWCd+sRmWlNy8RNWGo3
JjKnBf+R1FuXAkFKOxffOjAryzUObmhfUaVqFEfreN8W3IOWw18F41YSJd1Cbt1nwex5rpO9FOze
NIIWcvLWPBgSsSOJN6NM2m6K0M9bV7TDBPvWVrdW47rF87AD9dKn3IFUMEl7DHFKwZENd1gaQdY1
7oQdufs6x2GVAkYDNxo0POt8H2xae5DEb1JX4W4nzO+h6VTfK+M9160BoTiGQ+ab9gO9KTYc0S05
bVDQUu6GR0fp8mGsl5tEm1Cv/Q+valXu4tWl6jSGdj4z6V03ZHsyqQQD9tHRyxZuWav7KA1xNKAL
AjNmnQ7tW67xIlHGt2PqYR2nvtt02VxVbg7o6EkGejt623BbYj4fWkcUTFZJ1q8h6kJwBN26fTTu
DMOcT5cuiIoBljPAgmoswiHCnt+ht6m27Rg6Jt7BLP6yrlPe2OScwPO208YgzcQh/JEe1vEkSJYE
djxPfn1Y7fBmqrogq9hKxTsvM72LQ0RM+aCcry6Z6yPpGy+NRfd10FRAop5F1tBkSJvEv7H1S9Sq
m+xgJ5OtijKCviB0t4/acXjRU1qCcDsLuohTLR+etMF6G6trz7s1C7dtzpc4BFbURFvR8Isn+h9i
hQ3dhEnpeBUvzBLFWSerDKaL+NQ4e9T1NxV4/M7H5c3HpmIW3RRwmHGcRFDR2NOykFw51XMjskCu
3rMVZk5JWPm7JlRruvbogCOVzM+BJgebQGpXw9l16Qfl9uAGTYjTzxbuqOXe8XUeYX/Z966w6GXH
MZs6kbtLl1kWESyg4Kkn1RdU4LmJ/a8Mpk+GsUdvivp7ZYcgJ51/s8vneEV7v72zKZJoxSWBxTjV
6eY/9IQ1sVlFz0oRd9ey8G1qzJ0HdPtR8znXIZnSkdB7NeJl6IpfjOlBoLBwvzoXh04VPlSyHqI0
DvDmlrrJ6Cb6fNBhdACOuQubBB3OZgocc58G439ghYl8AqaX1k6/ZoHTDHm1VR81b8E2z9nmpUyA
jhyMisp6YsegZig1ExxQrkvSio99Nj042npvZvwAMqH/HslYZe2MdeDVY8aD7Yfk5p17rUyjeTpP
UhqAtWiEEN3Nh81/aaYx7YkzH2JWvyp4ZpWsTr4K1zSmg8qrgMY549vntfVel1doVm1OcSAfCcgX
IAN4mQQANNkwDS4CoKuJ88XtgivcXZbFDNvVNjU/OUrSvi4DsAe7cbbfW3/Rh3boD3x2SqH0eKX3
eHJMCgV5KGFsbLBhJmySsEwfjEKajNbbkRbI5CRbaB4WjSUP7t3mFHHMOV7wkiUt9rxehnExCT/v
LFqslgN8UZ7WKW28TNg+3I82OqOoeWEtPJiV2mKYI1tMkHpcin0Rhk3QqXKe2QvbrtVKIA+sojuZ
ua5TBUwFjqi8qX7+YedtgIesjskSV5myOFOS3j2hth5xmv0a4vmtWzp76mNRjrb/Veml2WmCnZw5
X4ZWnEgzCmge2Ir4CBC+d2Mv5QmgYAPSsFjCws7AHNcGigCpSU7FRTLU/LXwPrxVfxCDCX7SNlkS
YZ0lXmY3eNEwO1gZLz52Jf8eLj4wlAAXKZzaDG+hHNtwy5t4o8Bw+bMzuTK3ff0WeaOT9pVZCtUx
9LYAq1E9NGBvUDGsoFlSseF2JM6AU+uOOhgelh8Fecfga41Ulz6tgsc/xK+z6rknqhgnt5xp86X3
j1HURMXKgi1nhBXgTFGb8SUqwvAtIACupxUKtdN6Eb7m46VObWkS/dKwvsEz2+QCP2drIX+Hs4uK
FPVrP3s2QzDgcZ+Qs2BueMAaUtjqN/9Mul1CjI8GW9G05sPJwHDLOgtCR6MYKGa4zBEJykosd67F
0Z+mJbeOkwcKEoGBFZX1ovm1oJa24TsJ65PyMsmUOI6qu3lx/T4rrVCP8DsgY1kGvfuzpsldbj3u
tnV6cQbA33HVDSlrQBuTpUyaGbcOpDpca/W1qm7jbGzuqBjdUzfvEkC2WAqflA9yduPWpLb2zsvo
q9wRKEbdTdhMuQlavEnlwca+wb3pU1dX1bmrWI7s6stUb+L+bKyjj2Yyz0YMF0K1Oi18vNTfdJXV
bEmw2IKDrdc2q8IB3Gov4zJsnEzz17Z3X0mdiomWzcbQIbgxnugPkXQHPY1741MJ4ULh9GuHo+kG
ldqmuW3KX0rt+uhL0M3+fqYWOMhDRC56CnfUG/h+sDiRZjcxR+3ST7rnXv6wjmijoNFx8cn0Hkfn
Jl955A2ZAWCC5gTIn1P1Y1HhrG47SN7jWoaW/lxGQY4z23azYtnqs25HAiAmNjZOjiLZW3Id9Grf
xmtRq9pPK4rSOhwXL116fFP7IWbIQnhdXVYv7pzWTYKOtMtlEH54AF9T4wGypjXPQMHRJz4PqMAB
QMMTA+uo4Q5KVDbLTN/8sP/cLlAL3GTlu8bIZ94EqOS083NoEhwCPkfEYaMRFGJdzpsDEm2e3vTK
IPDa8Ka8YJfYtgzQmO85L8fhqXec9dSrLinGqmlTIpH9sOGXHWZKviuHfwtjbVOP1PcpWiLc7tWa
NYw+OdX4q6YOKm/J39mYFLJu7u7YzcdkVgg+zJaB8A3P0zD8UO6vLgJiJjg2EY9+iiOXpXFdDSmx
2CIkyAul1wIRDrg/nSj6aWyeRlHtlkSwvZ9K4MTOssaHYAC6Yr0oVQtl2H76r/WyVvnZcXxo+H6b
Yv33eeNqfPLDkGSV/6abLkiXKar2xg3jq7+0wMfdEJ3Q6rBUHTu4i3F7B0249wguUkBeXLGghBT1
xczovXoJfWAixZpsiMTE4Qsb23MTwH1ncfIJByl2qUp9imZZH4hnIAQ6qLEZJP5o6W5kxS6mF8Rx
IB4EUH+tXzjtcmpc1IKO8gfsxyhx3HnLQjN8yNlxTvOjGZRjsAsXN+dQXNII9kI0VZdlG+ty82O/
6NkQlLo3U7rMHigBqBOeh1Z+BqAyu+pKJGsz1dcCfVbH95Hovrf1AIl46GyGmpi7L97WZyLskRWo
ZTl0dZKPdd2jnFV7F4dXCmR0xY62/XRiPaXgUvYQAkyhZr8/SETX04YYi/e2fIjKHiSE8myDBhx6
/FZTup/WEfukrz7XtMomW/MXZEkO87LJg/ADllZO92UmbDmML17vd5cqXxA4AvtK7C6eqdlNyXqt
XPeeuCD+cSf+7PIwwcVQzgSPRqLIAbH1EyZGinVynrC8cFyAvqZ1POySBOd+I3zUNR/Yy/CLYcxv
ET2uTXxbXXGUTLwIVCRLjBsoYNg55xELsO6BDvXuBLslacHF2wWRApu6VpxoH3sIWgRfyOOab/BF
9wEo6njov+E4IOD9iZ+14DiHIT737ZTsYBb+Gsn20yBElaP1+nBd1MiNkA6M8vsKXuY4qGZfJ6iV
dMDHFN3riDUcg38Q8aWeg62sR/sejVvKW3nZkpnuqu2wSTReEqg8TT5BuobE0QYnKqHRzX30sUTo
lkXCUazWLc0W2B/HBPmvcVWQARI+7DjFaQwEuuQSFkNXubJUjJQtc6IbHYecukjh1aQwMCxeWDLd
zYaehi3Nc+0+ST4jkSQOPfDcIhKNSKOea1BUKeS1n2oI8NnVkLLwQe5sPDyNcotTlYwUjTN5a4ig
SDD4JvWm7hccCJ6yqs55sND7HG9Nav3oV6OarI/dW6DiKZ16w9MhRLkMaxPcT1dV2QxJiy+9wVnG
PqPgZwVDvTKxoL5ERnyP1ervJsWg3zyaFTKsoF9Rdc49GLzRc1/nuHNfXdnuKCrmVDsL7KUYPTrQ
5BbsirPeo2k96lDzZxwf4wFuPe4Bv0oKNiwkA43IrgEKl2vsbFvB9YaUg2nRxqzJCQDJePVYjN6M
t2fhRv2VxHO1UzM6LPJJz+YXlziB3DYYz9i4J0Q82LpbUbmVkZ/8DCp5oojknGWzpP0ErmdxTQVK
uNbQKQ3KdqQSC+7Zb2RuTzpc9YFWAnKdcvurbtwgc804fpdLKtvOSx1POzsOb7QcEzidfQBNQNS6
z/vYmS9zNzXPSaTzDlXhs2l3zdgNzzAKC7u1MzQwHcKWlq3MKf4/UpthP4rDyEN7Aw4+3+Ix7PdI
pwzYsD4mJPnuUvbyWXhbcNqC6j0eiHj+/SBtXJeVj6YdaeNDFYr6ylAwP6M/APbgM3u0LYMjLYIB
GpDWJfDgZcdcg1hfbLz7VKOVcL9YUA3HqmXiSW1GPhEUsukysmn/+OJcN/6RkAFujLUmt52EbWp8
cofWNRfBpMJ86aoxJ/MwlFGihufk8dAPPtZgNV8dFfTPSbuyE978ezM2CLwoxzuKhsYvLPrODXpm
mOSIeuE4O7sBQVLJ87tz6BYknCeEN5m+0Gi5OBu1L039tsame0ZPPSMx5PU5gh1i9/upsyHbRX3R
lGsS/WgnLPzMyes51q914Pevvmp/qUQ757gb+tdY0wgcY5OUv7/Ixw67Nt9eV08+IzGXfJ4poleR
7pp9slkPUTD4qVY4JYtRgjrSW3aDFy4pEb5+oRyXEL0IdmU+6JeIImXlrcS/Nj5uF2Wy8L1d4vYX
FYqnABubSxVYJGM3Euah5Ms1qQQvqqG6b1wOMNCjD8/64dceDlfW9fG+V378pP3ul1xs+IOho34c
Oj4WzcdSV1+5dOxb7wkXbED0JGPi5m47duCnpjmf+kHvHvrpuQo6efQfrF7T0bORjQEgS6dffU9f
IxI6zzE5UQH9wvL5i1mb0oNLfPY9KOU+mY+bjF8r7mmYpQHYoQnLeumvkYStPMJ0zfCK1908FlCA
+rd+5N2LQqfkupdJrAiJuKwFSXl1oqDGcdDMx5UnPHORCjuNqJtC7fCzADmW18FrLL2MRC0aZG+Q
+5BEzwlR7TUgbIBhNleFIopeEOE58BofPT4Uluq5GT81iKUhHhPg3uKisCFsKb8lhcsM+xyg3Do6
wSOfF/wyEoEZI1vyrGT/us6EHr0+VhDd9FKMnqnOkFeeZilozhxkiWKx0AtwWwD4SPJgz3NXqBd1
CwRL7/pAhmkb9N1u7kjwtIa1vkGALpduTF70pJ+1MtHJ+gjkWl2XMUSkNHlAHnTi58lruqJZx+d+
/W2kUNgecdudva0Jjt2Ebb8KagCkyH86fnxqEvgemlpbegJJXur5GqTy9hX7L9tHKiIHUJkWtXK4
4yRpnt11bPf9w8Nsw3dvmMNDYIBIm3HxsRLEFZDou0S5cG37GOle3cS7DT3/bhi6uxoBqPC++jUP
bnz9/aCXcB91DdmvQASR1P054LQaNwnHvYu+KcgIQW0MfIEYVuxC/bPAWZSQqb+qJC5WmvDjGoqg
6JNwn+DAK9QwT7s4xI1qSBTlLgsPHudzhm4a+Et4V0QvB5x1CVhccjYVKJiVk2bPRuig2yJNTnxh
ss2a9RQRZCjdUKAX6B4oL1uGUmMdH0QT7bjpvO+N9nKzIk/mDs7n2l3XM/xBQBByUS9BG+auJ+PT
74dWgJMm/HNvG/0UNdx/1pSTPJ7eOUCW0oGNchTUrfa0Hb46bUQz2sgfPkUdEfM1fIpBVKZt8hB2
Ngi1QzSeNW3yZRuAOlqVh4o61ySBFNMZwvJNaX0PHXBdUTBWuVPD4Eez1X/QZPyR3NxtNs+IIBX+
XKPiaj0B2TOckE6PajAsfZxXaxOVkk9A+HT/0jQ/Ndf7VW3rjarQvLGZ/CAdWHUi16tY0FTESh2M
oNW5DlTGaSAvDulTY73g0zrq4NzFQ3yVBJn2bjWXrRJv3giHb1bcfVJjCCtuc1VKvJijYuUu8nIm
uWgrG+x4E7ToyYMAAnQXZIR5AgqzPSH47T/beDn1LaEH+mhQlCuqi458fkEa5mtcT0VIbVAoj7Oz
0VRDw6NzGlTOnCvsULvEW9enbfEP1WaiK1+GuWyHejxLGaDurOdSPv7/4ukeHETqD8q/1y2MxGTw
Nmjzo0U0OMIWJSdaDCuS0S6ayjduHtq69Ofzqv3otPTUhTVjYVAMPtnHK9s+1b6zI8gtf2Rj4M4X
l61bLnhHM9eJJKwigkU5reowt7U+/X6omYTYoCks1RkAbDKB/I/lt5i9TW4TaWTsMW8A+7lf1J3H
nrVgCSoOCE1uokrb8OR1CIfktUU4ES7bzd/i583FFq+3qS7tYnwwz2AZ1xiBeOnxK7p59IZdJ56G
/YaBCLz23CfoYuTiOnM5Ta53JC3zjnPcf9rgcu+qGNfci+KmQIQQqlOnm3PsNPsKeE+2bs0r0pj6
pCGR5ayeACH6fntjajK3YJLmhjkBezq8Vs3SnwbFwM86/PM8BusVi/TJIgzyK0Yj2g1IaWkkIe0W
BPm/1zntHBzgov8+E5LY0K/ONB01LPU8ZI80JQqso4k5AGNn2uGnBWkfEnRxfWzeotmxxUaSKV+8
xs86Wku4nuD9fMc4d5xDSICPenlNFhQpfSRNGZLwGI1QG7GuVD523VIKZ2K7po7WovXXocQ38JOo
hiiTSPm9hpbtADU0wG0C+YlvpRMO4dFrw591su6apWqf3WqkQHG1yeclatCjkDavJwc50ihsYLLV
9sKWIrTxSwKzUbdh8OIl0KN6Lj7qqoYKyHV/7higl8m5+cbl+7V3Xho35OcZBVLWv/eRCEoTTe4r
0y42REagwW4iOcL0zEakJlJhIyh3DrTsTLGk4BzSEcZS9OeoRjSYMSmzDemTElo+nAYXRFzSIavd
xogAZ/Vm6C1ZkFPfxsrb+w23e2YwnqCzRN2BvcHr78fr72eUdW4K9jJGRlnLYyvYhx/YCfjZEkKb
qKb9XG3tDnCgl0FfNc9dYsyzb3+ADdW3BHXDpUamMhq24MypwQNspmxzDcdIDm7vFKDRPVbxeMJ0
lzv3p2cn6t1rwur5dZavtHLo2+8n2nsxCaG3mtPXAPXxxQQaaQW5JV/WyBzQxFhIdqLeDUHHnoZg
bZ7+NgEJjweA4x+zNRFG+vrUg0YQBxRRrUc04Q/odqcqO1gGgEgAfMH4kcF5CmWYpJEnlsKXZjwl
jzCEcDVPnYk3uV4XLKJqRc60iREJdKYSR0qbqg7hZGwvM2Q0MCuV96mRvIYo4UbZ2lOQha0JoLy0
DPJi750gSD+AjRLcfRSDto/UeEF/0t7NIm/ILNnL7weywAzTC+aR/H7qyG9GwKhvaGQxzyDOBzsM
+9bG4QlTTapDLypxSiLfO6xadsdm+BpYHFdTFwI1dCZdlb4c3xtkuUYZN3f7eKgG3Nub5y6ZgOkE
lKVSdel5UDY9WoNXDvVbbcfgFFcBaBlk0+HrhZ+WqXfTBkF0yNdqv6HkSLcQ/CqaZgsSEfU8fo7/
xcNcDBKZhwXnnIDwuWkby3hX23b8rBfbpK2q9dXMm4Uo1y4Is7L2eYJCnMf1EpW/7zxP3ONoJJeO
L++ULfITLBnkN5aaH0fv8wKw5vn3Q+yjGEOyhpbtqa3q+tqysTsrTBUYI9K+mLGL0r99//wHaDgK
QV37URTSmAYhDTEt7U+3jxZR69iHPrJEcBN70cKU9trim1Ub+TKFY5BZYDj55ODfSDnOxybB5kYp
VCqDmA0umCwjtRjkImRwqWLTp9hUxH2Neo2pHhbijt+zG/H8b+1UL2hNAE5UDACccd8TzCvK9Yjz
a2iGZ1srUzK3hTTdwSF3Xe9eITdw+Ntv2X+8pT+tGCQS8Td+XLAabhL4f/2WnS6eR9ONfdpOrYWK
GmJkRrLmnm1pwTA2qdQLIMeBor12GXXOkQ5yB2MZbiPO5ptwMDmodfrxKDBQyCTh8HkRLTm2nYM5
M6gvvkz8YXnYazMh498hpYwSGt/Hq/Ba9R/WYV83bcarS3v4kN0AjLRdbh4Kx88VBnAcWdd8jpVz
dBtYGcigsJPbgOCEayVP0AQ+oyNqXv72R/LX8aUodijFBH0/wqeCmN5fJXy4obSSFvcy8axKIST9
DBvyS7io8zvyEOhd0AE2QOYZq0z8nVvwd37oT9cDv92LcSGAd3uu9xjY98db0NfJMAuBeTBs9T9q
Ir4uoX+wjUzybpNVqjARiMJSrfsCJixG9vjLh1/HY2bHadj/4x8EBArqhC7+cEcUYeLjH18KtkEi
Ww7HmVH9Yxl6VPbioGwVwGibTmGFCH3kb9O+7ehfPoX/PZHs/pf3+5ehWn9MD/8xTPxPZZf/dbHk
P03d+1Ms2cE4YGhaf7gE/2H22e+/TPLHP+P1O8/8f7/x7yeUo3/zKaVeglvYx+wx+og2/Z+Isvtv
SYwvoOhE6BRXFVcT+8lj/hmGSDpIC8QOphV6Hi61/49ElJFi/astBVso0tGYzIZxoZgn+vvrfziE
K88DJ1/DBkcBUkSSkVPQQlCAaE9z2Xp7krg6/41RNIAXe7n8v4RR+Ohc0hD6xD+BUYRxB5NgNf8k
RhFNDACyjkEP/kswCo+6HxWK2v92jIJxDNCwc/IPYRQYvTAfIG7+fYwCUlsLeKX/H8AoPJyGqWvi
fyVGsTbhtcMctz9hFNUcmFO8YKbW38Eo4Ae5pynAKJ+/i1F4Lj8NZvnPMQo/hIqAxMW/DKMYgi3M
alf8f4pRMLnrKPTK/wSj8OvGFoT8IxgFb9UpQoP8r8QoANVbzAUM/h2jaG2LXApE+/8SRuF8QTbk
H8MoNmcBGMS7/xJGgVGbJThm6CnCtNdJ68sSgHOtA/OTzjFoBUceOmJ/OMFyCTCmCZGzWzyzw+Db
g7M0d1V3HPYru7sGs5mglQJu0N5UMuUgdHlnAAxTVQcXTPC41RaDxrrqB8C8NudteI90W+C33THZ
wM0sh8u7KlDUoYiQhKuqp8nyb0s4FWTwCi8WKhcYI5r6mNeQkTAwhSTmgXhM9wAt1R72bABHQwIu
4wzD1NYaicoZiFnQZc7iPuYExVVJYasDCAeftAVJZvi2q91AZHgFV2IRXXNX7xs0q/dJxLs4shiR
BGQODumrFObaNs5wTKCZJMp3T+cERxDG3BCbVj18dhffXg+r2sman6M+GI4eDZ4XTCjYcKTPVQ8M
EJFjV2GUUmuaYh4g+gvnVzsBRsLEiuAQdsHrNN9BMcKGF7XIaNI/S8wFcGv5ffIx4WiDI4duYUDI
uh0yxqCBrpxnGLhazuN88yoBFAChvIb3n5ua+hlQ0Hyr9T5Bo5vCEDBFxOvT7ERAXYYKzHuSQHsF
86xb511GAJp0tHql36+mQLBgmFhcilcNQG63gDhZFPkUcP/AVj4cMJ9tyjHuMqonOKrgGWBV9VmI
eSbp6uWVngEqsQiNCT7GzZE7TSGsDQty1z4GVaSOEW8WhGc1g0LrorDEiE9dtqSXR5awSxj4qhCD
ApIiwq5YDT8t85OjmNmtrEe6FDPv2IOmN/+LvfNaktxKt/Or6AXA2AA23KVg0laW9zeI7qoueO/x
9PpAcjjkSIdnJkaa0JEmYngxbJbpzMTev1nrW9uYSGbrXsVHxoszYelXnNZPj2WCgVfB9KSa2a0+
9d+qdfhAiN9yZ45PS6/Pu7lSLAbfBauZrHlYwx+F1SEKQclYo1MHebOcWOoeRjjwh9QSiVsXgo8V
A48YHZdi82/MSeAULZbXFD1ggPBguGp11YsZqJr94DmZ8KOZrngqYN6NCfOnQgRGn77VPfOuWU8/
pAkEgVxbl7d4J/ow289Cv02j6sxM9W2upO/0XbAsQnh1r0Q+5qCPBNilQvnoSyAyvrpMCPKuk6XW
HpZ0/G6ZzXyFVQvc3S6qbFbfGXoAyriKCYhV++wLgkSNeJCZSHW5dcQcSpYLCKF/Wb/yh8bn/z7W
0n/Y1FhY+nkc/rSn+V3W7C8I6F+/5LduxtFZrNJ5oISShrNF2fzKW7J/slXLNBwm3UArQXZjZ/4L
zZlICRocWiNV3zplSQ/yazdD8BcBeVsui2FpzAMd9R/pZpwtPOSPAxIQ7bZuMRzRNGH8jHb6fRe8
rPag0+/m8G2n6yRJP8OhUT0tVE/2VIAuUJrbNtaFu3T4n0Y8bZY9nXTsRCh8PqvO/KZpsInMHxlW
x12K8ReBWXM7OHPk2ll8sfXhsunXusGEaxspJ7UupJun0g1HM2EZJaLDGN9rqeMlUpt3kIBxHgNz
5hAWa1AasG+EyE3fRshTlPl9Y+gvasj+OkZC4seYb4r9Grfdmb8nqgyhfs8zGD8OE310Yaj0rJHF
WGcVgZYvLupI3BptMjFiYS6NEEZxIfAc4gprnsEsbhL1t7TJkxdD/KgjnOXjBNkhnh9EWjcuO4gK
Ey7HgGaATAsNrs48zK4qAHpRWgjwv76QTMUY03MeJeM+yYvrInYSV8XQDzUuxhvjYHo1MmPAUue8
m5sIxpzZAsGMqAWWYFzjN3BkbthvKJxPm3dmMxuYcgzk6Ddqrp7LusOe8ncbpCeT0kOyZ/k7DNLq
ornw6f7FBunEWMGlhPpBJKwsOmczBP3XNUjDz1T206jd/J8wSOubQZo78v8fg3TlrMspefrZIA21
6G1Qcc2Wg+IOCcv7PzFIZ6K81PFbB3O+35zmxeS4ul4esNWdVoEby6z7L01ErD0ResegLova/I5B
7KZje+ING7VQ2/iFwFlfl41oqG1swwnIYQbssMLCcKkk/MMoimb4lCARNzZiDCSx22iJooabGAJQ
7DaSojFbP8yNrbhulMV64y1mgBcX2UxMQ82nCiSjWWy4RdgFKVacnoHkdePwf9RTK6POV5Ux8Veb
f9MmWgXGubqNugitGQAZGhGz8bT5QSmzdjeAipxARmoFCHp7+UI2p4ebDTVHIbSGFgTaLveQws0u
4KOA16B+1ITuF+H4lOhLsh/HgZm/EV/aNhcoDNHIRjNOescIPXWuoVxONm7gsD81BUrDjYRZocxp
qgnYBUTfaX5E+fUxbOxMVn6+ttE0s7xX0KKWXzLVX5uNuFmWCZ6EcPSXUHVcEwsi23F5X5vtaw+w
E+thi25fR2hERZ7elIA95Ub4VEF9IrUUx2mjf2pgQFF+UXqbkEFV7FIx29FTvFFDk40f2q8GXFgB
Zceh8h42ymgkKb+nvnzE0G/gu4JFqvxMJc3hk04avZ69MUsL4KUw1kMYc7dldWg2tum6QU432OlG
PRXgTyGluPrGQxWAUQULL4RUnybA1OkJR0ayVjcdKFUFz3++oVU/p42zagJctTUujgQE67CxWFlI
DftuaoNk47TGfXTsVSSsZEHA3jJ6z0LElffGj3yjvOIPxS6GZVPbCLAVTs0zFeJtrVExFntj6j+G
jRnboXryYsi4+dQ+AMaBmaqYK8TRs8AYF1QiOy5Z8pX36TGq7UvdoK7X80kF3CCv1AZuLQuliDGn
x3v2XSk+8366KqrqatV04NA2SjWj4SeL1p8UFqC5ndZHaxRo1PUUR0/bnrN+zLxsndqTPgPGQiZR
t+10HA0qgnwtHJ+3ECM3cLHJVtnOiqd1avKDEzqXiPLhwOfxeuqRFg4F+ZG5OXoVjqRd2N4pS3Nj
VrDlVShy3WAbAVqG92ze2NRszfE9Ic9a1PAoJbCUITeB26dsqmwB5birFn3fq86tPtSXZkk7V23X
tzIu1P2U7sNYUo47O1hOGwBJuU0140arAai0Mr52Kkqjpk6ORZ/ezXHBSwz0xet7rAR6eoyL9Lxr
dBnvernSVK/re73WL9FsINY1KQFgoOWBU/ippswBYnTIhg1v4Jda8aEEHKe4SmsRMtHkz3WISx7V
x9meUO4izHst7T52h74OA0RAaYzdYAE0eE6GLgoMxHUuTsk8EHkDbCkxjrbmTJcSAwOc8syXEVXT
UDYpHrlll2upchqLBA5J1e9Lae/BnQhaw+OAypmlu590CsZtFjBlVSK66fSrsl6/dfl0L9vYQo3f
Alyr5fdCFxyYa0/ZI/L6Rs1XiFY8ZoWd8TRMDkDbgxxi1Kk1rLQCJftFVu8yXdNTPlIrdsltRScK
nTl/q4vlebQXxx/iEeS/NdYnXFj1KW0hGYGJ4/F35F0+Rier5m9fTJGAzzvTHa/xfjJhpWPxeg41
9jYiWR6AZBfo30gKqdtiU6eM15j+b1QwkGDX1SmIOZz7RHzPGOy7VYgsLO4mbBnV5OGZRx8eM/pw
xlJ/TaIfhZNjeFBS7WLT/VcIFdF0zeNp7Q/5uJi0r23rx3PkQ+1tb6ZFWXhyItVDpOmqqfre9Qgo
2XW1nl7i7atxc9SVVh/nOrxa0Ggd9XFckZyYwlV77SZcm11YkgIBXXqdlUe1/q5a2Dqd7lVViqtx
VX6YmLrLddxTlLt5vWyGxOo2HXF55M7j2oVoayo/YY8eYWSgPv+ZLm2O5TsDhWPFaz5J7TBuAmOW
6nIab9qK30nk79U0gaXDcAm9GD/NqJrXZSJRI83PRTFfIvj8hShuTS276jXr9CAL/c7JOIesgoMd
o75tXPeIgFnnKSfGNg95jNzSyK7y2diFEhnDktpen5ziMQsKg533Yp8ME9IMFm3TpL8NFS9Vb/To
mA8OqsveX+YyQJCCH1rZjZm505A4uaEt923dvmpr9bApqwpzL9vqoVCyTxDnUJSLs+7wPlWaSfzC
55ppj4wgL0taeuqyXaEh0tJSHmiErgYFsUlP0EjYBWVV3YbdcBlRY5sYW2bc1MBMD1NLTW9qOIfA
CNad3w+4WCaEPYnuj+NhkXmgDV6LKGWy5PUEkxbAhd+06gaFw88dXWMDe0SHdM16/V3ve39Uxkv/
68s74lzQ5blP21cpzF3BSdHozmMpw5MKROTnf6LRn4cMl425m4YSkHvxLhXY+JCZ6Bz2qdk/C6EG
a5mXHkqvXYvtmEUU10dTEjZSOTu9IvGGpVkb6One1K8G1Mro6f11jB6czLpSuvRDZJQHal8MuBgj
C/9dfmnGT70As8iBVqRPfQrGsBFK70meTLqMeyYgZdp5cT59pDnHlEk6mCtHvN/GAgpT9nnv9mN9
49xCf2qR61vY5Jbio5v7KsCBfIsFIkBiP79ara9iqnJbKyS4YKrh53V7kmm0YNL6BsrKflAj7cXm
mBdOazzMdnnHeY+DVpufCqinQYapliQAn2kd1onY/gC7pGDHX65xnUjXXMWPSzIknx3SSEwo9Q07
PfrchqEgFHHd7YuKwgwZFk7Qiz59GVH8NYz1j2JovXaMedhyaPiZ8sBueqG1G70tM/VQz2enR5ZV
6Wm+G2xzbyCtRn4AEKEfSbLQ6H/VqXxsh/BtmVjl2OqKWXVBFmxr6i0/na9s3TXRx8NcVkdM1fSu
6qS5PZpLr+itWxsNqJvE5oPdIdpFFdrCQVD2xRDewwxsfVNL7nH0fDjq/JI37XlhFP8wxcpHDjPV
IsjFn2rlTWm7Z8yYg1/1oDOyri79Dh3Yobaupu2kLUHdnzplepdj1x/t7BV0RR8ge5ZYa0irqXPl
Zs7yf/Fu/L/wrAm9F1vr/5jt/d9HUst/y9X9ddr0yxf9Om2yfxIY7Z0t/w2RhcZ06HfTJotCkLGR
LVQT5vD2o/66O2fmKe1fvmJLZf5t2iQFTHCLjbsK+pdVuOr8I9Mmuf38P0ybTIZgDK9sU98g40L/
G3YuFjQjVNeidUV0Z/NpPCdivtdMJT4MNe3DUrU+0Pxqp0ZV6MoECpzZ6vu4Zm6aDxZ0FANIV9Uq
TmBXLYD8OFz8Zsq4YhCJH3CU7Aa1CQMdoZmLQLDGnNWt7vtjjiDGTez40Bfzt74f0TPH1j2m0Y6G
MBaYUblHshUHL342CiRIYhzgX+OCMcmUje1B8yQtAA/TRrtR4+G2KeB2W1px1zpwdQpZHoQx/Cgb
BTbZXOl3k9jbi4AJkJOGYrbjuYij7oAJod5l44TunuddV3u/7dWJjKVUdzUwsJAH+9cWY24+MISb
avuK7DK4ljq/wjDDi0h1nbQT7budHsMOuWmZx7WbjXyjOYru09H4QgPuF6Lah5WsA6HRqqGk+8gk
yTZy5j8eCAuq+9G3Nh14IRjhM/EzgyVRj5GjOGctm++nCcJYYtrHLuv34DQ8p0FUbmnqmerG3hO0
EPnGAGs9D6U3jlO1a2eOtbkNTY6W6rsxGv2uAgaATzQND4l9RbF0mxihju8aV9CM9QIUqdWDJdh8
qlxbNTOudY0+cBhR+Ekm6E10VwjsSE1dZC6a7QEXduvlThgYmiVdGT7TnMVHu1rSfYbQ/2wb9Pic
7dWlG7h8Y7wV4DfmTwSxxh0wmt5Lk1y7chgGPrbC5K2xQGD3URm0zXxZktHwF9PTFm3x9NXKzml9
ELMSQR0Szt7qWgH6dIqO6oKLWEU+R5MDAgSIF8kdRCHh6h1OrAtiWFirYIMCqG8quuuoD3dFKqxD
M7KAWlPtCiF1FQwRAsWsL0a3Yn3jZiaN2myNrxhMCUvrWH4VbUlFP+QvBgWZs8wQPcYGPsqw7HUU
i8moXYXGhMa1KAyoOMslnrZIjozDWpXvddfOKO30p2mtv6jq5NJ8EeSTBSLLfsDpPOY1ddM0NcQI
hZusEqBh3X6r0mHnLP13qnIGDyVoZGT8X8uyXBxs4Ekuz3YxXJRpeEnyHhwejlCzW+LzZiMo7Fnb
JFsxOAD2KlUk7hKRXy1qe0+Szc1ICBOZfsPFVrS9Dcac+CkIx8I+wBA5FpmgbpLJq2Eu3+x+/G4O
XXI19h+lsuIWn5vmBNz70C9V7Rm5qmPODy3XMLTFX43+MPZ1vIuyReyimLp+qvBa8JZdZTVllxkh
r0admR7iLnfpc4iZKsfRVcL8NFp0Bl3FJwobDuNllTe0pEetSBeIQH/oWXk/hxhxYLoHXeqsGALW
r0nF3JTNUt2Di8nc3jFehw0VBexrvUjFvNMaTrAxLR8d/bus4HRUBkNkI/7WE9uFEaHteHPG0+z0
mVvBP5DqBCcIhIxhV1eRDojT5FaWU3QeZmSu5MQEucgo79JPVdcPQAtmNxblQyboe/ho5+XJHquv
MOHPRsXG3j9e8Grt5tR5YLvJsKhxvHS1npxqhF4URVhlm+444apsFd3wDBPuWJLK82imx368n5bc
wbcbQvnZ6A86yVWWtdPtDbpXD6QY6dSf5ZwFOuDGtdDxKCFWb5PmRQVKNxsq5VBlHFKdJReiWV4h
5QRmSvOaWQWbtW6zkKcop660UAAH5mBcQf/SgnKBhjWlwxlL1ohaMn2wRZl6Y31eYbk8CHWLSWNh
2jvMgqySPnyyPq02tPdaN7zLkMBBfrM8H1M/rLTvY4sRImkMB8U+0sIMllKpznDiswQvXHeZOh2f
lxF9OPbUPHSdpnqpyKarmgSwh1a1HqY1rd9rvRx8Z4KG1rdz5XH0c0RM5cheFdNpjHrZ1dWcpbcx
D2T0Mb+TSXOAmjddaVCqANnM6l7LawLXaKT6VG/OpuwnWgoiMYeFQcBAhhfNG9bxvrvh4CKoUfCR
tGPoTSKWQPmAAfIZmm7NZaYOB+Kqq/40OMUDxxuGE1PH8zFdCQviQRgZb9iPqnfjGb7Kem3L8qxX
DXBlI1ZPhs6qknHQYV71+ozDH3QGgWouNIvE0zFy+FCnoEU16RVg9jaIE3Ief65b/r1Q/F+mKv81
iYWAWNPS/nSh6FVJ8b399ntt5W9f9WuVZ/1k6dqmZDQcbloqF0S0v+0UCZYg1MUUkpmPaluUcn+p
8sRPhqrpkqWjgV/vDyEuzk+OZqusKIH/qwLD/z9S5Zna34quyXWz4DRDcYHhbLOl/KOy1iHvTE0E
YDjNKku/rIrnWVN2PUMNbs268kBVOF33I3Qs2v3wLp36Y9akqxfj/HdXe/aVDCKQ6AgnbYr7DhUK
I7jjUGYfrROedbu8n4YUCCSE26mzfSu6d7obE2wh46YdExVmAAS2VaSb5eIapOMJ0cMbzEmQq4mb
zPrTrNvfzLX02xFgoTAxOoRwZeY1QbJS5DtUDg8m/rYu07cwJUkuqplQpGE9c8AwyEolGUAb7lJq
hyv5blAoOAoBIpt7gcCnGYjFGHqrNQLay5wflVTfza4DXCPtGXuYNQKRRtdVpSBBQFgfZSK+Ma/D
z6h/Dlnz1GJo3mkck5kYX6PeoPws+3knAQP1FAeG3eD+p9G0n1K8xXMfNE39FDnVPY5wf+QuVSvX
qiquyFCFA4rBjvAvoJhHQ4VHmsYh4LcpcGTTYwYb6NwNJqExubWh+GjtWzlt6S1FDvg4pOLNI07t
Mk3vAFu0Tntg5Dcfi41jWJmh7lskl1bFDMFJy099go027MYdc12+rUFhzdk/tyLG0so81MJzDrg6
71xDVVSkSsOtBt3cLeI69SJr3GUVg35J9O4soYXNwAtQzX/YzqJ7VaZtqmzTY+OeXa+ppWJEW7RA
RKQQ6uvwYxokCNYXwOaav0DM85Bwn3MZnwrlResYlKnYvZtI6CSXNsJXbe4Vo5yi3ZBDxQhBxh2F
fF90xrmk/iVedW/XS3gamTMc87i5qSV8RnVl6oTF/JCoIqhyvEkhr2Cn0jq06ozjFD54XHQSZEhx
C8pSIyHRuFTZslt0rF11gkWafQ1Anh30ke6E5CeHf61rQLgd+YHPoNqVm7RkmoygN4arimGkayWR
ehA9aGxIg26TkF+bWeV8QWYz4uNR3tpEwTWeGodC6x/CtNwPFYkT+PtLkHogitmU6PZ7Hwty10bG
0LD+kGgRS7wq9DuWCdEsLZmrqF+hId7WGB3+igSMXYefWAqIJsjj7VAKBt03FMr145xiwGUp5UXA
IpMxNynWKVN6PKR6BtrQbl4HM6r9Tt/SePj2doUtYpwu4DBa/j5M+9GxBM1agL6bi8iVDj2Jk6sf
G/kcOT5IHdYqTJtzaHvplZrbp7w4OacqwqqyDhvEYWCkE/8o7fXDTMZTgdXdbZzpBZK2BrjL4yN2
7vP4hRSC61ER15MNnShmKmxceIrWwm0dVuIdVACqbRVdDb0bs9yB8cyMRybCm2IrOqg5x97lCuEy
g543VwZUBAL0Yme3qES5MM8nIGcaK68s4cM45Q8G9aa70lKpcYRXuypSL4mOhVnrXoFfMRjoUpet
XQVLDyBMlQsvUgk5aGtr063BrXHRQFIHRFaNmc5Iu95rW0PMYwwFclt4NRHxc1vbTB7LfZYv+blT
b5Ptop62K1v9+fLmFpfbdR7lYeyl2xU/b5d9rkVsbCy9PZhUAs1WEsitOGACdLZCsV7nb9VWPChU
EepWTgzUFdUy68DKIFx0c/HQgtgGpJXoZX6pzOG234oTdStTnK1gUbbSBSCnPC3NwE6VsibbChwm
ff68lTzWVvwMWxm0Ug8VSdLsu6ZR96CQYAluZZNO/cTSEfmZ2Q4BhMDBZZvHh3QruORWesGH4tXd
yrFwK8yarUSDSFO/d1RtzVa+ZVsh128lnSOdBZt7Q+2uQ1HoHM6VNbKtozAHccdT/iCIT4JXB2s5
s4hyGMwBc5atydtINPlFabxQanuHE+qe2Ggb1nrKkg30YxDVZhqUU8dumNxECIuJvKOP9tpchxim
lPU5BYTxuD6XBcIKoGO3akZfVot9EccQORQr9komCCYySeZvCwbg9VVroeiv1a7I+E8YipSeMx8g
znR+BTQuCHus1KtO/gcBi5wGifA6bTis9lTvjGTu9mXSI7G04wHOGOljs9Jcsno7eS0wtargiJ2G
DmK844X6Cj+yzj61VbQPa6GyIVE3JCNYDW6zwjd0j/AOF6qOydugU1Uz4YGRYOkcYcU9wkoTc1uM
7jK1rxPd3pU1ubKDMgCrYH9+zuTkr1FiHKxyS57WmOFLfPB2qOEzz7EeDuUbk4wc8DHwQVOBEoZE
Jgs/i9wOCgHZPyln5TipF3tiWUYoUxaUOamqs94zLoEHxzjiDVa+eVU4ESGpSzUeDVoszS4ynsn+
jkuGZwCOIU59VKXLLSGOTcBJZfOmgqGxh5pLuaPB0XQ/k4BtsfVClLZ1OJmkUXtVzr2RtAT9JFL4
UtHsC8ZF5LXiOTbRb/L8rQEFStc6kpsVtprZO3yQwuojGpcv5sic79PwBqslOjO0i49JCevT1PNn
G8fl87YILJOaJFrIb1aDrx0qoQB9Ues7+LWvg7FRZlfxLVbi+ykc37r6JmOxvi9jhvhTWhxNraiu
tdJSWICSodsP5XndEjnzoj8vKqRMhW0dXCLEvQl3kNFzvIkoPUPjAgnLNoJe/W1Zy4Wt5XSShtR8
JLQXiknI/GHL06uarhlz2TKoenGSR6uEsshg4Eq0GDfRKTDpGc2nRCSgUIq6xVeo1l657lKpd4xj
eGWZojHr1xpaL+Klch3ebW0YL1BnLOhKgL2rlANjWO2YTwgdTpl/G9po8ERj3vcKu2RDlJVbFV1+
VkFayxhw4qgtnQfGAhB3Ypf+BBbCzJn6NXP8w2D1EGhTmSNmE/IBQOSH2BRlVvkDZNp8nvPq7Dj9
N112z+lldubPcmR5xkbgSyiXqjeYBXKWlasZB5HmXLOw+GR5+u8Yy1/anf+8E3Is5087oZ/tYn/T
B/3yNb/1QTbthSSQEs3lNk3+fR9kC1SVtDJAyhySK//gFMMKSudEN0SgFybEv0671Z901RFM0Bmj
4+4S/1AfJJ3/2Smmbb8wrZipYVhzGLn/XluJtXoxbFEDM4ucJ0nMnTs7e9EQcdz196y0w3PFQ7fH
hv0Vo2pX4XzsreVljKyIYyYYmlSQnVgdcXZHblGrZ6sZ4QzP3yA6MawR2TNSG+QMFXS3pL41lUlc
mFjfEpL3NWYxV6RogmSoz2IsJ/bNjFpDO9sl+HF7fYRXp9r3KuEyu2KkGgwdgqNX1nszuPNAy7Sb
aiCpK79IfdCuW9gL7H0aw+sJXW5X5n4Jz3lfVTcESTU7x4qQexQpU4/0pqlRK2XJEcjidxN9fTun
9yXB9gDC0d+oOOhvDDv7Xupm8VYsJ2AIPUb6KffLBo6bJqmfFI1rQI/KvQb6qCARWrFax6tMs7iB
25UyREGbUoV0TRojauSkIFarAWQbovUykEoMb0K0VFyoQpCKNWXT+Usnb5s+vpUqtIfJZBjeColZ
YH3j4n2SIzW/ULcTcTSO6ZAoN+2DXPqbqhVcB+vrgAXVjEhYIi6aWXDufGuGfF9n048hRIxD2sh2
fK+f0O2vks0RjVHO4vfZDbL6WhvxmZOXsvb9vo1SFBZpckUgShCPsiGaZb6YoH1JQXhoKe7Lrql8
o7aSndlmcP+YP8LSHqv7PKEitRDDHjjEoWp3AZNOn5EielDmkxSNT0u000tnCcgRZ/k9qTlxVzMW
//XYGhMDv3+eSFh3X3aI56KsnRd9locmF8SChfdRVdtuuMbFnpCD06SnDpWluDeQQaJ3Azhsgl1O
Cvmepc51RcdzqeqexiSeD/1IPxkpo4+JPD00WWtwCaKn62sLyAiT2KTVj6W9W52+vtOgjHANw9Ru
yq9uyNurpNxcGAmGrVp71D7mIo8ODTx+BmN9ASwOCpJtTm+FxXJ2xXkCmhvqLutsTPZWJ16jVPtU
LIDDGdHPOwI9fKuTp5xC4BKBVb3l+gRZoMAFJ0xNjjl/sdBEwpZ0IIDnYS/NzEusAnznvO15Z7wb
GfN8LWHnLtqsDMa++BoXHpEsoqLqu+26yzV/XUJ6gSXQ0Hi4WQpk29z2tyEQSDDVNRLqjGno1H0p
a/+YyxpunGL4SWk+L06twZVPwSwmwvBEVHxOI5GvMhwuS6ned/n6sBFCcaa2bIL8odB7F7FWHrQt
VLAqSYMqrg+wk8YMDQoat4i89eZHyNMD1ZcENSYd8LMgGS4Tw4yh5BFXaZk63xlmvC8vXR4HA8Na
E0DIOryX6WcNcZZktrZGZ+KcnOgo4u9W1HgKOYOIq1xUaZTdxwx46pizzmHHX8sXthdYYNDgTW8r
8hSS4AJTeeu2n8WwIv2qun2i0KdBfWLvtZxHh7FC9ZCgx45RUzKo5DOHCqd7GcTOMm+19rQiM2iU
N7N/Mdph++Uih/3aYTFvGob9hVj4+8Co4KvK7VA2vscZ2QfIQxwOGkdDwcXMoSbjTBi+k8deq25c
+i4QYQcAF8HE90pAnaDXyCy/T81d3Dt78DH+/I0zjR7H78S8TzLys4ZrMq4O+mrvieVjdIP4nRH6
OqLFZsphR/A/SSWQiuUVuUMtvxusS110iKUW2remnR9lnqVnxm30LYBXWKaldCr2iP1T6ydvkTXA
7Kl8Fnqe3lAPE9KhlLdIZ7JD066HLMpV0pR1ApSiz6UGog7VUO4sodf7SO/SB0tfXxemzqyBkjiw
kzueQufUrHyjeZZpkJvgXvuydDzLShJENPatUODTJFVISH2eMRhfzTMy9vKGdDBezaqF4kNen8vE
8VlLbIB+FbYaxa6h31qwRSLC1P3C0lN2bhR7ERAGG1llTPF4bGsTIX7l3CP32JHAZTEUtN9pMk7o
Qju0iv0z8Ji9lF3rSh0VRRnBVIDZG+RKpruJU1/TS5+ElX1f0gV0XZv6UQvYQh3J+BLJ3UquhlvG
DiJEZnqoNo91hT2umzbElLJ+09VGo1knp7lNSRQoJOxKVczPXcNIgsshIsewxK4El28fTuOLPjYy
6HtsaImERN7E8prcDUYvsfMoefpnqhTE/xNIdMAp3rQkCAL7lbS3jHNaRCrh6fZtS1JKShANVonx
UtR9xBxy9lXDpoOz8tabaZmUej6mdJruusGt/j2QL3uyUv7zMhT96p+qLrxvXf8jr/4b5Wj58Tfq
C2g82xf/5vVB1wBuBC0Fvh1QK/zRb3N5DWGG3JQZoHuw/PxhLi+Z4juIe+hIdKnj0PmL18f5yYDS
wjDdAsIt/kGvj+ls6em/h29AvxHAWlT+t6WYm1u9+jtyQaGB7l1C2MpbTz5Nj461Qu8motTvZ87x
ri8vpQjfwtHIuBDq+k4xHFT2KZ2vqnXS07VpvtM6juUoN9FiVKztWMvro1Yw8xQHSl3t3DAzaBY1
WNao8kyNjX0xe2tfeFLOzhEqK/vAonutmakUKueq1iG/stw4vEHAwr6WQfi2hzy0DBMITmAi3xjk
jW6mmXS0/NhiWEJakg2kngw4COe1lyqsTtdQeH9nnpC92LdoUe1/bZ4QD7uzq0aEFP0/lSekyCQ/
rOr49M/lCSX5aJ6NuP9jntDQbdkwUInccfh/LE8oLKll0vkPeUJrnzyqujb78KOfiJD15rmLvGVm
EBs5X8R+UFAxVZnU+Xd5Qg4hzxOu77/mCanUpjqX7f/+PKFmDamYw8CsFB21Krj/vzNPaFZF+JxN
OWHjdvQMZjfzVoMHBmLctJ9X2BQ1XONyUlzZIFsWPcu5NulB01b1ZWlYHlQ0g2gUqGN0Y3XB2fJJ
yVp54AzDAjLBXofT6LBEgBrM5VlnHVuxOeJSdRBfLCGphRrywCUmatMkMNYYV8jARf44CPPR0HjU
mbX7c/816QypEeabxE/NNAlxdEOeCOFDxWGYk+6Glge5f2rzSyhzHqxYfNcBSQxp9OtuDKugIe/d
XVsyu9tw/JYR/sQczH6B3Xer5xkhwrGiQHcbUG+VfOM4dQKr0ZybcRWngog8f21pZ4vQfIf8wlpA
rGeKkQjtKUeQouZB7fQnBVp/zuwJliHD3eRWiugmiW3p//zy2L1l7KNE/5Eoy9dYqfXBKDTjYKdm
EthsEkAdYsgmfwbhgDmeNGt+WDBd7Il9oIMkTRy4teyR8jgfxrqYJ626mN0W8YLPw6fijT0dSfJB
n+OIpgGF+AJtNWAZbO9ZPwL27PZZHdt+Wlump9Lr4B5KtGOVgWpd4/qoZo4nhha+FXsMdnLsP2Ln
LWO+SvGMamcU+lPVk8yn8udmWzLi3tLM4onvFHMgV2hnEi3/wKZ8k5pIvJpyZWK6OJE7yUzxZ5xP
10qY9bs6X6wg5H2CjFPdZuyiKcUJItPWIgsQ0RBisfRAA8o80MOXnkXkgCojUFQ6fwKNsuulJkAE
G8jZ2rZ+K+s/p8OrpeKT1CmZ021DqJjjDuVb6uEiRUXFGlH+D/bOY0l25EqivzI2e7RBBoDFbBKp
KyuztNrASkLrgPz6OfGa5PQ0R5B7bkjr112vskQi4l53P670xITiCnop2HQPSm3Exgp6QCmQA1Lk
jCSZKW2yR6TEQnsc065cM79yyqBjUr6OkJMY00Gbmn00BGka304tOERzJKuZKT3UUcpo591oCKU9
gmkExL1UCmrdFZJ/MWys3A9yaXKXRG7NqhRtN7/OkGHZ2yMzY5XJ0HuRaTWvumuS8pFLn9XkP2hX
j/3eVspuZutovP3PpDTfWKm/eiFfen7FO6ULDwjEHkKxweqjGqf3bDHB+zlhz0k+8BOhfLbsnWnr
KsW5wqlNn+j3rNb0i1KlQ+RpCtdlEHeQag18i9WL5ptECYyOKXtEYohSMlJ2dkgbUAgO86wXAexi
3bTLwQq7COSzUsphL1Pp5SPZD6PJu6BYz8jqKfJ6SG42msDtI7tHyO8OvIUh3k6OduUOHPnM8a5S
68PuUhq3kaTsoBywzschwYf8rkPkH5TYXyJfov0zbdxlS/kDf7JYD8zmhjmjbSvHgBV3BxsLARev
I2uGb1ATYUpWrVdeA2ye2yVMYTPjJjCs8MWvwmsLn9LW1/QDxUg0A5vMgPPghfulrivKN6zXqaUp
edKp3rLptCqIOwfSi+ny1Jp8XVRgLfvo2RIe/V6NoPTPrD9k4V8pEvUx0ifWN+yN027b2jhbyf8t
/BbD1Anfe0cMG5HH9wPph8YXR7nwtcVsyLziDhbBwRhfB5ppas3H0DMSfF7K7pYmmENqOfE6AkzI
/Iiuk8BhHbP+1UuWS1qYJAksnRdDqHAi5kQwj1SaRLwcHbKIdr7TWDcFki5q/PZcm9wcXXNuiSDm
iRF4cuYF2wuLqoraeLO7+M1MVy/WjpUwmqd2ODDcRPvFobWsrtybWZp0I9kzfN0wyPN+3tbeky+G
NeGnh1BLixO0XXkI+3lfZbV1TMVy0PQiYfGZ4sF10y88ufc+aHfwf+SlvcoYdlXHHU/A1tulFSTn
Gq3SM7HYJ3BC9QFduiMRhqs13RlGqbMZUPUlc8LX0Z3Rh5INSTlK/pxPYXWEELFfQvJdqJ9dFdqj
DTGJ3qoKQkd/l9v2NyJdth6X6pOt7XU/RUfR1E8OGN0t6aeCtamVnvzlaGSGfQprezvX7WPjiCNk
5nNokfmGf08Nkr8Z9YQ7BdLv3H2NYbugvFyz3kXz92KLSy3ohpYfFSbjjO3bmAZdljwUY/LWz1V2
kOpcyzCO5tOxGuf2dqCYeKyZT/OqMgBFTNHeqummCjnFF9UiyjeWxscq2VE5so4rj8SjS0+n5WP8
HOr+zhgaGhU6gWmrx7E3ac6dRa+T10znf82L/+C8iK8KxeB/d+lv3//s0YfTqj7kb6qFrZuIEh7p
SNcxbYWs/NuUCB/C00E70N9g4KviX/2VCOEyCtommobNf+CwnvmvKVH8ht/Ls9AtwBgKBI9/xr3l
qpf236ZEV/cF6yTGRAZOmxf436dEIlHLHHOvW1k5kWNH4F2YAKhgNaE6xoBxXnZpuI46FrbuGGKT
ztxbZAWq/oSyvmgJim2EIR9bPbWBb7nm2wft3qtuDIFLpO36s7+E4XUpog+zusHnpu2cauo2lui1
Hc3Ih3bu2gDCenpjDCmUXUSFxOiwNZbmXT6M0BFm9eCdKB+kVk9r9IeGAs+gL6j7NtrR3oHjPfHg
Q06O6+Wk6elLH5rpden1t5697c1Yv/LHEZSnG7LQt4A4YbQ5iH641z246dOkX2JZzZDCtW2hN+1B
mtorQaztnM/PJOSgns4YkKPOJpvwCWE0Rv4dTG5LhOS0ZSP07hPFdQfI+K3Kzgckli8vA2yh4aJZ
Mv8NREuBDWrVOfJ1tvyXjuqboP+WmveDO4S7Q1UF4OG7VZzNb5MVP5oWf5JXxE8LKoVXZTS/NyNf
s25VO1dgHZr4YQVwCXd+FZnYtHscETkXpWb0Lh6dh8ubjz10xYbubJASk0UJQHl4TVtnn7nZu9dY
OyKotCY4OA8qMB5BlbJctazC2A6jd269Qu6cUHsn8HibKIfLhCB6zW4TTwb+pZhiAoKM2b1BwKEf
/HbnZtRz4pWgBKlZO4peYdFOs9IAWlDfoLAbxiV3yWHyjFxZkY1Lm6x3zb7aGcUb1S400bds8JeU
K7tTjy4cJTZ2dFOdZ0XW8L1i2w2/oiTUDsLeiGLz0Fl6dhrNaTj0VX+svRDY7EJBO7HSZuVn92lF
exnSUYx58FuL7Ph5TMp3Q+hbH3sA8Xi5px9SW6U+WgDw1CGIYhz6JpeZbDEAliuaSIuRIa6wNE35
QJouWj68kkYYzY+7K7p3qCsyNJ0lBSMVuUvjOczSu0wH/q44Jm0TQhxm/bxpFeWEQYqESUJ6sKcf
wjVu+U2P9lT1JTgjLH7JE3slwaa0ip+CjLd1Aaq4gFWKZIiw8tU3mWKucL5G23mwvi3zvQbKIoro
y1RKArAWe+ALIrN/KiXnIkV9N91AmjrsGH5clsOijb5Cpz/PDGumCnXFVHPFFqWAdu53Gz97cVQA
TJIEq1QkDDcfXXnuSaqwWK5iY1Vf4O+yiJJFXfc0OvGbp0Jm/O2bidTZouJnBTm0kDxaqdWfLvm0
RgXV+sa7M8twZ6oIG7f8mNAxqba+Rs/r/BtW4DkhGaJvpQrBzaThdBWLq/oIfxTsLvJyv4I0kKgy
9ld0GlDo+To1+QPGJ1zmKm9X03IuVAQP7PSuVqG8ukTkRP3vw47WRrhObVJTZBt697zrA+rm2pVp
NLi9im+bzJ85/ozmqceYDluMSKCpwoGNRuavUIHBjuRgl6OmxmQJN407fRsqXmiSMxxU4HAmeZio
CGKpwoh5vA3Dhg6AfnjERu6C0S9vDb917sEhbJXV8HmhzWOqcGFL/ruE1GOm4o9w0Vbk+MWKe7bn
LONLJMSmPOcXORGdHMlQVipMWalYZXhDTvGChZGSvl+xSxhiJHFsYqoqlGkQqliallzy50Rmkxv+
KilRYPtfcU5ynZM5vi0JIccvjcwnXY6891QMNNPbaeXGxWfseSerDckbmbwrm4c5vrbJzKs4qa2C
pUyiW6eN4l2nQqfdiJOVFKqu4qjYjzeSztuoP+hGDXRfYu2SIalPHHVawb3OhNwzTM5VbDT8ev1a
BCw3BXV9udnTjWa6tzFnR5CP+RnZ7TS6H8qbh+xc8CMA4RFO3+jAOHYwiC4yvM48ruSh4V7cynuV
xkBBtoZ7Npe3KU7IwGvLh2lsNjjix1X3EXO5W9H1TdGSC6h5eojz5SH0h0eGHfdkT6PKK+lvcGqu
3fE9TNwbguhYaFPt07Al3pjmLh/jB0t1/1aFmHkbQwNxx4++4vU4UzgE7lxQ/UTpKUcRzUbMYk71
3QvElZkeduBIKAY0GX9A3S9xSi7fizSPefnshfG4psS5CAy6Kjh+Oobh/MfhlhE0lfbcCPcLqskv
nllQMt9tPCtE9xr0K7IHGJhjABJ26n5KM752armz2vlBWFRjFI4eDK28UGf6ybblzUzpX6U0ts1S
jkV+bwQu1JU+uZ/wmN4yJ/toQmaYdNvYWY+70zgT8X2pGooMhEHTZg1gYiEwFo1PiXuV1ftyLL8G
jwKcsbxvKizbg7sb2gYT9KS9JJV/27jpqTXvYbWzJHkpi/IjiZC5araRxoyRII5eo9bDcBu9khLZ
GtgAzGh8Jmp+ttuF/X15LsPsMFm4yjpxF4X5mdObhpBreZqofsM41146kV1PufEwle7nZPlPY/hM
ofWnXKyj4xTrXnsgFxWEzJQOSRQdS+XQabd16Rya7Lkb+ud+NG5KNyUQbSVXvBZE5fouvoFSYDnq
vcrWm/bcGX9FllHYU9ovDAVb0fDTsj77ZErWlv1U2/2ybkWK0xF03uiiCmF4RqasJ9SMzzQzt60s
uw0VrxTn0oHYeeu8Nr+6TFC3hvmy7i6V8tdJ+CS2l+JQLRKL4Ih/IcRD94tkR5QRQIGVSsALqtWK
frpy5U1zGmgz415cI/bO8cWJOrxNtv5t1hi4Zt58s9lFK3pjcOAKjA6VQaNeGD5TGLp30qTaSseh
FTyzP2Qr8Xk2FYSwoXjkIoTfY4lvF0+/s5p23FC58DPkJYF9481WS60UcXh0X+syOflOcTYFPldK
hk6mwTYGF5eT1SfRxU8KfY5XON4PfQSvvbqf53Kfx65P4Wm+bXp0xRoO6MbOXkxTlAGI+SgoJ++r
w1uM6nkWAo8jxeYyaJllCQoEbYjllGfPeaRwNpQYH4dFbIRIvrTSvaV58R5TGHyMFEUkNL/9iehl
TYZnyvg8QnOuknrimTaMSRDVyxOxng35jJwsD+U79Peuw2J4mCsNN35GGkjXHzBVHygXm9Fz+X5m
miP5Xh3os6NwF5A+oiB7BOdLuLwWUenf7sxDkLjbGo7QjecW93TWvVmzzXNA3wEbRGhlmecm/PU+
hlyP3E6ag/TAv4YFOPZfcrAWR5lb979es5uBneE6uy4gSF6H9bJjA5eeuUQpfm55Kmo3vk9ngcNh
mh4Gr39Lyr5+DrEn0p+UbjK/K3ZCRJTpWLa9TfP5mNE9U2v5TBqtf/TH1jnO3qRt0oyn5b9Gy39w
tCQy839Kkbv+vf16/5Ml7vcP+psESbsD57xwCAFZQrfQGf8yXLq/QT6Hd++TU7SFsHSy2X+NBhm/
oT0y8+mGq1OXoEa+v0iQKgBu6Y76M9/VGTv/KdwgMaQ/DZdEg3hvYLLzMOxhwftTADzJ4qQfTJ/n
S0SgoHuxI0nvW8dG2GU1TDQcUGjJRkWfbHpWtaa+Medi43e2u1mmVtJBvRQkahttXfdKV4hYc/BG
qT4qw7mQnv9snJGQKKxOjZpJL8FuMOcdTl+11y5ZcPcsuovGICBgso1l0H3N1TZcccgDPaPGMQoR
NJsDtv0kqOvWPEyEZVb0qAlgSpSo9Lbc5WFzdhICkiKv0s2QY7SiqTxap2Mh99j4Yxw+7O0dtcE3
ZwCILk2HPvwFVvzEZtS+P2Hxj28qxdmv36fddIz1ZSYQw9ztKr3AVcqBkYZEKGkp2ieO8WML5zsT
idg1qsc9mWJnbY/JBVohjgxUiVLpE+FzhVjRGgQzq9lbR0rHaBA0CGvRdNDZb1qtGFQlNUBuvBxL
2foXQ3M3HWn8ldcouwzQKezDcUabjXUzT+I5VYoKc8s75sIBuYJVdM86zVb6y6yUmBlJZrQtmEZK
pYnVXsusCDJ6otx3Y7EqZBddasSdXKk8g9J7RvmTKv2HLsETBxmgmvLBKLzh2JjWbvY5jzKlHokB
UUbpSRZ+OSqEqLOJKVkHPNRZe1UUBjCStQSSVK+0qUGpVL++Pd0w70qlYJHIZzKN5vpa0yQXQhbD
GLoFUhDal6FUsHHhZEIVm5U+Rs4iC/BgP2FH5ABSKtqAVdm2r9IpTa5i9T9R0exHQpKHmTgpQSNC
GTqyblgbgDwoAacfdpP1Zh6wTljFD069jKoZFtvP1DM+WlqKMR2YjIG/eFjgUOrc6gI/ZxedKPnV
4EM5wdLt7DkXtjG+iutcjbO8WSZq6gci1gRjxJaSHurDluYZgtqJm8w+TWh8Y/9IaNdioul8nuC+
xSK5WC6ZpkaLTdX1nOVDjJ3Q3jEeKhMhuJFIjw6EGoajiJ1o0+liBzbYCeJw4EekNW90JikLlCy5
6VBg3dg2vcrVYXYJDFDkTg1xSGZl1uPPuLbuwrQoiWaHXWDX1XuNZhZwoZ3W4HLTDTkrcdSzcrtA
INtSnyU2+dx+WXGVrQ1e3Sq7ohGMCC49lgsPrCClwmdtTo15Lahin2ieWonMoMY2N1l76s1NW69L
XuSG+wj40VDRMo2iCUbyGdxKJiyz5KqtpbtMXkQFlc7qXl3P25ldS+9gI5yX98JgSjEi9rcObwaG
MfwFjCmic3EnNNj142U5tnh1SAW6r/OMPjD4Jx/W3ECrYoA8ye9V3drrAuNo4KNknXqbaMXQPULO
3mhzAv8uakCUtgZB/gSGU6a/GdqYH7WWimYvad5Kij53k6lTmGX6rK59+xLOr24FGKeBB5hi81pn
NEw4qmrCp2Y44JmuXSH3bDSgvw3v4QO9VKmiAddggVPFB54VKXhSzGAWxkAFwAjzDfIUVXhJhw96
HMz70DqbJG8cyUCSVr7F2gLSlis/fSqn1iJnPODetJnBcLhgjDNwxrNuUdNoZTv2bFuS58nKAX0s
u+JTjuTqpJe/4ljeFHUBJbnsh30MOBmW+FroMqDx/EgNZeC0vjwBYgUr4wwvsECYGcJJZTTD+EjE
ndjLgnGMP1mM2d9HubdnYTnzjEBqBuxcKsKzHn7Hivhc8xAyOnhDjc06ZRrlY6P40DWg6GzkCc1m
zLijB/5VxsO7SF2idY0T3XGCPBBC0HgMCOZE092ZWKxBfLWwVtn329295dkv9iSvJzJ3K91nEO7d
bNvEN4lhdaQLZwomaUuGZof1zckopbJ1akmNKQsGp0fMsyHS5a1Bb1LXX7kLF0ljafARx3N7qvW4
X1HKjiVuzHiV87zL44XkxxKTiM1cur9LkGS1pZ/1sRA3bZNeRRoCk62TzIgK6jlH3uKDxeOMntdD
xicitEoOLU2Wo20OB7oqzzaHAa+o2gkHTbuv2mbfjP42kpuRZvp9XmIQ18Kl5R+9QzLPkrnYCw9J
1d2083Dg+8zbQJvDcxhTj5VP3if9ey90uYtHb8aRUzGkTY19yLRivAxJ9hkKxsYG+Pk44otouJdX
g74tCmE8eQN4d1k4OAS5rGwsIF17d9KOYL0piw76vj4miwQ9BI/XHY3XZazfNH3UN3mazYGbdzeE
D1lA5ow+I8gJVBvnqfO9N8HctGlt4CS1H99Avsc2JJEv3fC6lXxoPmbJ1ucIMeaIjUqU7vDSHJIv
HvU3U+7cmA32zzQb56AeoGclYBlMivn2mPZ+mshj7m5yZBudGrF6mjdjNOibBJxfohPpHa3BPS5w
yqDQYagaql1fYF2dI281Jyas4cLnTevl1wMoORYu7I9Yn/DM0JCoxRSMhrnrWbIHA7rmWOnHUSHP
fZNSLVk9W6n2vZQWzvvEZSronYdKN3e1acmrMn2u4/q20kugJCGF6gMj2SYbEDYNhjRzZDlX1uZd
V7ERpw0Jxp3k4A1Hti+gC89TxlHPDXYviI82Kkc6ESgdVLI0VRnTWqVNw5ZKco+TDo6evo9m9mB1
Kk+jxL9qhIjrMdOhw2pvRn2MOcQ0beWrfGtqbHWVd60IvjaFFe5KorAlkdg5odNWEJKNVFrWU7nZ
xpjoOSWFGbJVHkc6m2NCtoZK2+rEbiuVv3X89tJGNaverg6P1Y1XEG4ktQDN1H7DpKYfCKMSWvbr
CMEZKjuFb2AMIVhgmViIpC/etzk9Z8SCOfOuJpUTzlViuDafYZ6uSpUkXogU/2uq+QenGtMw/8+p
5gTVKvnzVPP7B/1lqvF+M3TLhoYOCV13QUhhkfzLVINDkhwPzAPGE6QzIRg4/jrV6L/pCG9KTXMN
wUzEwPNfxkrENSYdTwd9rpNw+6cks7+baQzFTxeMSQC2HEdBr/5gq9TrsCsj01QykriDJstvX599
tWN/R53zw9KP4e8jMuiy6Lu6+d2x+W9lX9xUSSm7//j3v2tRA6PlWgZ6IAYf9S1RRs8/fEYuDZ5G
p3q78ifsTTnd4Vwr6o0vKM0t9Y9Rg6oUl7uojzem575TnHXdFcurMQ/BH6TN/+GViF+f6o+eUlc3
PLDxjHKEevG8/slTmlkoRhxvzaqrqwUSu0DMwQWOJWcrusjcuTlbaUmtIMeL/6Q7rD793KFY2R9x
X/g+KxVa+CrWx31F/ohKr4Ajaljhz6Q+2r5LYqbBtqxyUEDzy9Ly3LVnD/O+GlDGcp/OE5b2wq42
eUX7h6NaGmOQtlspOU2t1MI5QQXuRnewT4xuDXyVZMauMbXxQtyvytjuITixp7VK2mp4cCW691IP
E82ASQJYk317nWqHbPG2wo2edRESWOqX5xar1W5olgNbmYXW6NkmRDm1pynTMbNe562m3ToFneNa
n5YbOXsSj4xM1/kyLWfLrNp96rkJGpfR33h6wBrYCUYXdk3vynHf5yGGovwoXFQ0vevlYxi7r362
yINRkiGYuExo+R3HdhzUzHZb3Cz2pumqLy60aXAdlen8xFrroTXLdu07stgD3n/yYoRG3+sdVoyJ
tWO64Shi23tqygi3r1zzKtbO0BpHWZj3yD/W06yHqs6DxpFkuo4znFxoLFSVdDS2SBaBFX8FMZpv
nXjUVT/294RyBOHXzF+HvSpDFQfaceHmMoUS+4W/76shRivTaUf74Fe7+PyAey1ZtQtg+zzfVzAH
Sv+297mt0DE8pIx/8UTABx8/GY6FNDkPdSpc7R/JBFVLIzvKpr8vOwXRcYuC12O9VSWMBxBkxE8G
WyUsomjlm/ibDMAiLHABd3UlkA+dELTUz7arc5/NHukx/rLd8nNIi2o7ou1lHYtKgWxY1Sao0gTx
dKy7LSoXrrlcTA+EXmRenYR3tHv7aShjbR9+2IWwNsIx7k0NM0xrwRr2IouVrFY/u1r86HW6dU1p
CZa5bEuOwKRcBJRByz1VoHOdHZbvWn+TmUxV5FfvoTIlm8FxGZ6TJwGkI5L2jP8rZw8iAjznCW85
6ylCFOly+6ZMFnoOShvsv+kTamWfCd5qsA72tDF1KY8unqPFjD4d1M2wKNxjG+0ATuFNwqTkeNGH
xtN41U8IFO5yB3eMQnOse85yHzcFdzMcTzbOJ5PM9cqdsCJaTvLcM9hOvIT15OYa+LIYN+esecHk
0C5jpDW6BWCioYOJPWTaPtLwyclZ64N4MA9L4nFiJ9E5LuJXhlDAF/wkJu281HAiKh2jqhqnvfpM
NPinncB6zYR2s2uyIE8hQd4ZSU+oZG9FxFeVRwx6/UnlrX0PqikPeHQBOqqz72Qgmjxa2rfM42oN
HnVajypH7KhEsckFjPhNfiVU2pgviNVPad8VIfoY3WLvaO0U3/JQqSoYTb3KLfcqwcw75blevGJl
GCg8aYhFinMpAJ8JE5ao3vXSbRMHrF7oZhTr9CyB40E8+io5vagMtUGYWqhUtZc8cLF9nn0lQSyT
IhK3gamS2NHYXjsO2ezWGo+LSmvX0SuiG1FzleOODCVKqGy3Tsi7dbybhT06v07cUJvY767AzwU1
zMVGa1Xpna5tGumVZ9vIDpVKkutx1ewy/WIzI/F0vZOF9U7ykuRKPbw4Ko3uq1y6pxLqQmXVB2yh
m5hAmEqxu8TZU5Vrt1TCXRQhuK2xf0UyBS1F8DGri8+kIhQnVUKetZPNY/2Qq+y8r1Bn0JOf5jq6
tkXnXc/OQiGok26icOaxbUtGYkxOu9BHIEttMvooPYzAxMbgRW5J6UTkYVHQW5XtHwj5xyrtH9cv
CFENM+1waykegAAMkM0QAkrFCmC2I8FevFL83O5yCifwfKbLRvdHKHmDM234hgur0g6l4hCUAAnC
zv2akSRdHK+KV2DyDyDmy9cJlAHiAWAVRTeIwRx4inegK/JBhjmOuVQ7huAqVpXiI6SAEug0PmcD
u0JfmTNzYAoQKawgjHQTTsKcrousIPMGKSNf8G5XxdpOCx483fCoK06D9YvYALqhMNr8wEnKTizl
go+MCTQX1q8iPgjFfnDlcmV02hl4WxU4km8av5fNsVFs4ZTEyLprnV2VM8HKaHaOiZa+OX1hXEv7
obC9Ycc+mebefHxJm4WP8r8tO3xpveorMsiTTXDmr8yOfZZs2Az5XEZoADN5LEBZ4f+dKFs2UqQl
FxX5mqd8QaQJXVYm+mVe1xrne05GutQoZa4R4dHuPrP56tc/N/b0Pc7jiCLLRile+KIETgEvfc9K
uCuj3RwM5XSrAIFv8DT1qxbCCvbnjIYVd18uKdNZDuQfHkPnXrSfSbTQLJ0QxuTib9uhAb/oEBuV
+viW4/dm0dA/LyJyVk463gubfeiQsP5gp8Cx7kWHuk7qgPV6s+LX/KueoweEcQiA3QOYOokiQ245
qhrctjUrKN8LnKiFmyQTlFu9xK8MlmnK6sdRrYQ5GFn1iI2eQgdvNEz3sh3uGw+t1DphheGTW+Zr
6GPWTEe+V472Q2XBgRQakUtRQ3Xp5FM9b6Q7rkXP06WSHCA6Oy9WcdJe+fUXYEraeML7pGdOGrBn
rlpnYW4uMf1TVRzwuIK+KbF8+jqGYE3nazFJ/FUSJ7NMJ9DCLkwfzb8vwIzAHrOASTSMhlXk4zCN
8iAstINwKyCqA1oYMEt1yoH0qg39kKd0bs+s+Be8o9jmxa0+7N2Yvy/MmO6K0A+W91gFJYEjvQPg
4RaQ1d+VOteTk+lGNArgvgX46L8xgU4E6Hu2RhoebiuIveo96zJQovV5bOU3MzkZoViHAZ21N5qI
6TOfFXrDeBKmfz9qCd+WCJNRMrFoNW7D3l6nVnivSe9rqu+GMrlnAYc82ntwNM0020xVgPUHLU2q
jescPrJTuPhGwYPQfSoXVDbb1j+jLr/vzEdKTJ9SEETUHdxMsnSui+yYJs7OwnezssrHeOxZzPJA
w/NR4znq0/OiWaDGY4CsYF/dOnW23RTbWO9vABpdyEVUfD2pudV0Uqb0ezX91Rw200ZLsp/Yb/VT
l1FvYqbyPBIkQOF1uV1DC9mmU/2UE+Qw3Mgn9F8d/zXN/qPTLObNP8xIf1dyfEooofi7afbXB/1t
mlVMPBzppu4CPyCS98dpllieSX6QWIQHou8PBlAfNgVkCs+iRYzUoeBVqGmIgmPL+w1ZjUmWPeTv
IIx/ZprlYvunedbVGecE2AoYGC6eU17fH6fLCg+mWZRodE5oviBUkPAb/UdfFGfYpAxbYXdbgJhY
pf3OE1j6o3hvFCVrLiK4q7G2uGWhZLPcXyda8oFIiWNGPAxpr9wsTBJap5IU/p2pGft2iX9qerqo
H7u1p0s++U9d4mVB7fEM8hekCr0EVtPIzwo1YyXynyRlNw3fA6hdhzrVvMQjCIy84g06scAtLesN
AeURLzXMhksZslPuYz4sLB2uau6Twd5v5ekUDtoRuebqJx3Dqz7GLzBRfdG7rOhjDLBqGiFm+LWw
OgfSlT24VHGtHAnqt6h3jjosxwVExUI4MgVBg0L4I6wBU6BAW9RgtmlzDCWiEm9tbt+JW8Mm+F8t
MQ4qCd6t78afJbVuSpGjZerLoRznsyxYJQ/sarHpJYTkPc7/Ao4U5is8ifjMEqc4GcBbmaHcR89q
cBBZL9kYcu45uIaGnJt97HzoAu2mToGsYnvZw8FQ0S2JVzYJ34b0bNUdbTLehgj0Y5hS+FWbuBlJ
qtCFi8oG+lbA/2OfjNMDQvVCdivSoldOncvCrbgoE/HcqBCi5UPvEqnHp8F7m6bVA3vw5jQ63VkU
+nuZ3EUsQWlwYVXhVPw8vWjvDSzmB/9SjoNxNWvy0pPZaE08+MOZfppNbWEBNsv61McRgAQ5XaEU
LNuxwCGamJAH4n47+tZuoKz+KFku2yOtNhIJjQ2/vFrckqFKO81NxgZWSsAiMzi6xNMedV7Gnr3J
q+bTIWKZ43OmbiUMsKxKZbafu5KwmU4mwWHrPlXGF7ajcD+Z7U52c7XuRP0SRiXpkkm7KaoyuthA
Iky3dta67dNRzy/GoH+gzukQpWNeYkiaxCm4OYbTRfeGF6PGXQH45Qop5tuLjB+Nd4OvgwOf7JKZ
GVFLzh0Qt3l4wTcWndsYf5U+YsNKyg9sG9pr1rkbKW8sBqJDiQVr5XsR4orEskM7C55I+ciAS08A
CbeNnQP40xPUU7fYGi0rhaTFyBV65rM9dD0QjSy7Drl3uQJXB00UB1OhPKIpN8+UAhontj/NqYOm
HOhL+QSEw94sdBiRwo1QoNWaRaiFS6FWL7FawmRqHTOVsNtw8VWRvQRa3c4bVxteNJumvMZRC4Tu
zpRaCZ9AH1a6S5F4UbDW4X6vVSyDaM3wUR7tMZhM66BXCTRK3X3i11K90VknCdTwnUdLNYIY/HY2
b14UL7tIq/hpcODVUXutifYJVys4B3UoTr+Ox7iXZ29OXxN1dBKK+VnUYdr2VzgfnetlWJe1Z2wn
dey6nL/+cCPVcVyOuMb9pH3JqdHjMEeWWbL0PDfluyYFGDx1sNvlo60O+gFPuOke/Nq3rzPNOhpa
DDXYay6pnqzrSj8nwn9UhSidz01wk2Gep9XCCdDquLdPOBQr84qoJGGPwviwO1bWjFJ8y2wcoT4e
1JBUT01aSlnIK/spJ5WHWFynAI5vDYeQ2cx3h99F/oapgW3ZliTqtOfIzsa15XiYt2Ffef6+KXtq
gbie6fr4UOMtI/XrrUjGgHPU3rEuMt85gwM8ebmV6YjJCjx9k4ob0fjfAus0F+PhvmrcbW+hrFI7
tkpCWmilfW9o9keV3S1e8tpn6fOoGqIma6MX9mXu79O8Oxsp2ouPmKMVhRJ976rUw7oOtoOqW3ID
Iv5suc6qv2ERYO6Hee7IuhhAQKePUEO5cFj0LwpkqRmXkLXRqsySbp0Lqme6nmCBtNmm2efJA7s3
EOmSxoWU50+hLw6UIX8hdLM2YviPv2jZaJ3DqoNSxvLqbPSgsjPJs0ifuf933j4qXGajsAjoOsGz
7anDpqmvSlPsFiv+VJ/IHspzrANpdKZdoQmg3iM8SwdhJwljPJnIwisMLLdJ0d0lrg8vrSlp+ejb
Nys3r1DW9wXhrhUdVzSt+bjcMp8Zg96VbzowKaXN2BFazT6GWATnaDqptFeEWSRE3mzA1OYtS67M
SCjQEvuqKa4qrYGy6vX4z2Iar4YfSy7ZuhAZ9FlzxAMLcUazznOYTphy+59a29tx5wcInQnad/7u
Dvmh86ynTred/2eBra5Mf8qYmDD6qSazIQ5TSqpaSf+wwIZ/N+uismoGaV66SXQwHuKVHQNQtZx9
n/wne2eWXDlybdmp1ASgAuAAHDB79j5u3/CyJ4PkD4xkMNB3jh4zqinU75tYLY9UpjKzJJn0L5m6
iCQjyEtcwM8+e69dsF4S1rsVZfd4Iw9mk1zaUa3rqbkNIr5bMY4/oohOBQ7EBe+JML6aW+8EP58B
VGarBWDjagjmRxWYh98d5/6O5P0PvnaObx7VGB69wX/82iFEQYgsQAJmXtes/bbejFr4+flSO3V8
n9nesVfymvn3qupH+l12QXZXMQHY5EKk3b4lEj95kJzwMj3NjfqY511ocl/m2qyJXesuM2A9EIZO
hGl/QW//w92B+DsvPUYvXnwHaV4Euuzj9y991VLtXeiXXmHrXw+yuR6t7GmkNULaoMCYB81VNMPu
ATGwbrv0KpwZDg3NlAegyiRTLXdmDmVGEEwcxdfYcTFzo74eRpCdZZWtYzztK0ex8yzY9ZdJMK3T
iOotIomIGw2EHxJxyxBARy662yb3WeVidogesEGaK9qtj/+ZVv61acXmKM9b6x+H1W4r1b3nX5H6
+qOr8K+f+JurEE6eXsC5wnUZQAKuqd8ia8wjNBVrpgjzx58mFs/Fey5ZwvFZWAh/P7HwDJeOyWf+
5KH8W/s30mn/3+2ExZ8lpW07IKxd/08buBBCmJUwVpAOwqvX1gnAN9tYaIlCETH6u3EyoGvBLeGY
tK9nGDvSQ1eM7PrdY9o5uD1RCSzpfeMq3A37QTKR9Bl/TCHDl8j0uiOE211Ro/bVsYndyETvSJru
qQ1T75DZsKgiag9MUX/V7cWLH5LZ+5GiYlMKVoptpPplBWgAM3tYXFS9LDsnnL91NUv1xR6tjZNo
61jYNFup0Ict4GbrIenA/o/hd4sgisJb9iJLA6tUhJCWLAXtm7duWz5hkrxXttfso+wae8ld0tE/
Ih7Lyk42YZ08yM7hQD7saqTN42Av7d7N8q+uVWD/ponEvzdFN6GcePa0zldIVRl1ySUwav+h98f5
4Nuhj98hT+5LNmi563b73p7OTYf0HaSkUlD1Wg4HGg4OGRsSRC+se0w7w7aaFCysGYSn5d80zqPl
NOT3sdMRis7v0tm0jgmJDn0IrVvy4NTylRRKHsqiktsecPveNmLyzt9tUF3HOAc/PC4JFPaGLuo+
9NbFVJlb1LEK3WRTN8NnUPF/8iGX+yqYPoqIA30XRqAIyv6R4Nwz9RyUoA5SXLwquBQ68lSb4d1g
y/HaKZNi26fZF2PfwHmvAElLJ4Z0XJwaCWqjOU9Pfma7u0JUn6LntNSq+imbnbtQPKThEuHlbp9d
0aTb0SfT7rbLpbeNLT/qcBsbZb/u2S6MDcEnegU5jJUkP5yeeTPgypUMMAbu8DMZkJdxnMDrtcGH
2fQHlZLxDTMgx2PVfrZte9W3LTdg5TN9TYPcwp0Y15jLi5/tRHXJD2VJU7EZoc9vKFNzD5zfIUwt
QzFfen/OqHR0xoPXRRl2Vjp03Mm6ZBqgY6iOvjxOEryoWD41ZicPCWKIwdvMOo3XFFz9ipFcDEx8
s20f2kav2MrRvMoZt9EOeaqUFil/LGuwf9qXyAX542r4j4m/h+bAtYQKxA6rpLSktfhbNiYi1zlw
50OKWwVLTd9D0yq3I8dP3l8N/sV8uqujylnbiqVA6rlgieygQsKzMxRD/7UZ0xIibwHSxOVwiNeI
waN/HNVmqYx5A1y5P8ViPuQpa1zOM+bg7xOHU4YxyZfY5CKtbNkeqIO8mWOBk6qFSJbW+bMoCLgp
M8RlPHz09uijQaTullpcTm/SeOoSizXjMqdnyQS7yaJu57TUjSwDxSdB3xwclxk1K94CNTYrIyd/
qeaTlPmV63dsL7zy7HTNxevaifd++zo65VuxGAYozk81sBykI/4rcJ1kHbJTP/hqcKFxtA+F3bNe
gJmLkWcorlK7ewYT0h0JsAfrnvqFVeNX7rovxRddEufMY4HVDuw5GNBfK9O5nwSVs2zu3HVTOjHj
EN08aUQG0ntRKVWSSUcewUBUsFz2no7bKfB3+bRyyOKtCGVAxkOYqe34giQOnbsR3yKUDrAtqBuY
sOZnxZE1CP2WjB0af5W7+8Wd6UdJChAYOe4wVCRGer6wRdr3Zd/CZGiyk2gWeY5GBf6uO3HDT67Z
YA3I+LSH5mX91TTewqJguWYFG+2s0ZOrrB0NLFesypeMCSjqU8DsjvtjnBQDX9jsOd/XJ5++aEA3
Aygfyb7IUKncWLg4D1b1JMqd6vPhGKkYmSFPoW3j7S1JW2yCICRxG3fjDoX2YtRDerLz+s12uLwt
ivBkMcWkZd1r6u05FAaoEnMcbyWxTTZneqsPoQNmtesfzXZ655796cLPq4VNeJEDMIjvrDaDK4TC
pyGzvwfhzLzXeM2BFBx8HDyFhWd6p6H095hkv7GFsE42vdBr2gXDVaFh8SBhOhQk+4ucR7JNjGVc
s9vDSUxieDKGbsvtmSqcz6J23iaDVKUqJaHhBlu12UATcJNLrUaC3qO7Sn1xkU7/rCgCEKNExVte
YHTitx3Z9SUSNz2rggJbLopX7KKL6FU4nbJ3ZVTjbByy4rqZfUifvXUs+FHcBNIH1Wk9Tk3VHGdl
P/W9Px27rn+RU46YJ/LlhGkN256Ni8zvYDJWtH3uAGfSVwaNcqV7iVekfsnAyY6piO12VNF7k0+D
A2sa11+Umzv+661mZ9cYBqhpSEYb6p7A6QvxOJlODe3EvgMUPe6zub/vhiJjnVwCeKQhGi64tZ9i
DMXWEjLaAmTjSq8LHOXKPwCroMqVR3TYlCHTf/CU+0TQi5lygpF12dVkw2iyKvmN/SPRZobIkLUn
XrVDHDUboHH4H1wTj6wyQqigAbgVF0PjOM/HoZqe7BhHhAlrZx2Rulln1zaSIjGfDFuN2eC+G717
VmPboaRiY9GNCIH74Vj9Hc8KOB4lMgrRR+2We5p+KpOpdM89M9DCSmeJiS7kQ6cDAggYc++9BSl7
ZZEN60K534v2e9TR0pYpttaWw0VRCx6gjLxfgU0fhuW+JVmWMpl9JxnPTdvoHyY/X+4KbDqehRjJ
t1JRSY6sGo3rtpE8RtEauK2wDfVPZeJ+dvgwVk7DF8so95jNdIaIXtHWu8CdWwA62ioPd56lbsaw
yG8DT942Vfqd/FlChMx/HrAe7agNoek2Ns5xlplr5ZlbeFj2BlfYOrXLT8uO4FK1T3binEyT3vEg
muaNA4lya9f9HXI3yzZI9TtEaHgpJRqwtUT7aPC6S+3hceRw+MPpakoC+gWZu7u3k5tCtW8IC+Ar
bVTGqLQz5rngY4qh7iYiU/tCNT9S9Ft953npJlAICXUHPjLKihefvLrJdY344ZrzXagZQDKyinVI
bIESifxdlPE5tbCPGkF4kBwT10CDEswDoYXxIFs7cdAdnaL2N9zX8U+jNruYBjbNbJ4coHhbXJjt
vo5CnS2pH4vwfRDzOVDLhWbAgAELI5QHHJic+cxDjQhG4McZzivje2D1D/8ZtP7FQQvYIkPHPx+0
/gSPBAiuP+evMxbxLIlJES1EOMJlKvr9jCUhe5Dn4j4sXZyGjD+/ehytvzi4Exi7hF4n6XjWr1sh
klsBGBGPTic+3fSxJf73f/1BJmj/9OvfWw6hjPxpxuIPMvU8x1mDf9ET9UfdoFU0XlLdQq9mJBBY
CLVT8nQVdMOHR2GfoLivCKALe/RIjjGqeePey56OP0nZ32D2l163/6kgZhDo7mNqAcvIvIPexWPe
hMfQz2SyqA6/xU0Tn2cMH01sAZvzx28t7cixLh6kgJAV7wWrzI9ENxPWdI2v3GL8SEwyMhUsK3Do
jC8jRK/h1R3VV4v/YUXg49Oq8DRMzCQL7o1ugK7t0wHSGeqJc46/I/3B3Z+aSVzcp4z4wtipHYFM
Ks+dHGNDHWwT29PHRWS8vvXpImcpXmih3aeTb8A+MroSD4sNfyzlcW9X3Bx9h6a8PE1O5GLiHfsK
KhEo36uGvLg4i7mxlzLZwQdgrOkEM5ZJU1yHebKsOKKT5joaolXbzDPErqn2hRXwaF8EnTm0Pzq4
JZ0owGnHAoJHSkaUvvrRsRe4Son4erbumhRMkKK+IfrlP/YWxTbLkmxjRMcNj1DonJRFMjxk0zbh
fgIpY+5WoyDhEmfxYawDqpXBHOzYz+/rtBaHKmJeApjXbEp4XHDhmHiUycQQ1+ckpLKTTbhctTFZ
7yC8xDJVjwPtlRBG93nA0d/rflQjvYmKCtuziVKGPYY6mv0YwCSVwnsyNdmWuEO7iprpOOOkoYYL
95Pm4HLMQp+HjBuPAco1nKaWkaYCnguJj5vlT54uYN1JE3bJ7sxrhjp27SZHWBcKAYmfx1GTeYVm
9KbAentN7cXa5mwNQL6GJvpGNmxfW1N+CSjB+53K6Tn0lhuh68h7V8VH2ZDEjbrpXY2MupVmB9tA
hPF/EVLJ5fWs+cId9bZTT0Ju4QheaQbxAozYktmHA5w4DerrmAsEDZnABd5hrF1h/ehqpnGsqv3s
Nc+caNuj4CyJ+/aNXJEkCqN2DK33bQ0hWRdtHCtNTV7AJ5NU2BQceqlUgnRWVHhAogDasq0bKXtl
9ofAEs+LZjITKEcuNaOKcIBd3NSGQwlGqK2p1KOZfgks3fZuh9DgEzXzmZh8DgRuTrdKE6FjAzZ0
kNxVhs9fzdCy9sFHw2pOqWmEKD220mG+Yvs5F+n3ONAtnSBGFGxMcIDZoQVN3WlGtaVp1T7Y6sWp
3etIQLJONNM61XTrTnOuHU28hi+dnt0GCjarHLmmjmVXts57ME3HMMuv/Kh8TIr4wdvlcBdUOO8s
M33W/2TwaVDkf63nxfC/TYaxd9r4gbDhOR+dA9VT16Z1qz8gt4D6O/3TUi7XReyddI96IctzFij6
0U9MxcfE5bdqfCNsaPFjX838xzLyKxYZp4HDYmT4p1kup8VEH6ncU1rWj0GRv6EO7IEDXkcpzVtp
zTsxOmVVc/bH/Fl65V23JEeOvvSo1Huj5BQol63Ms60b+ae4Qng3xDlpshfKIc/wcOt5lw3WQwUg
rcjFuYuTB68pLp1BDxkuYEd2mFj9RzytR8vvvwGhu+mDibvlM1jBK3Mors1K3ETSuMvt5dLxYi25
tU9AohMph0VyVsGwE+op9XCDlulzZrNMDs29lN8ko/Ho4ris0ZnwPn3RxfdA3t4p1CPE+rsukM89
VZ5ALu+Hvj3Eo3VKqYXJPoVhfwZjux6LnBSKDI7K8z+jRL549fIUtM2e5f+W4oXNku2zpLnTX0fv
QMzDTLWsUggRptPtSjkMVLW1B5pmLlUCb0Xc+2V5JY2R7oPxSfAcyK362oj614HJ0F30mlwDqlzO
fIN7oO8Dsk5z56n5Cj8nsb4Gy3Z/15f9gdlxV8fTE4+Ko4jFlc2wbwF9RZG688kgDl11y8x1PzoI
aeZmiLxL2IaP7UhxVwCWX07rqHQZ6GyQF2ksWG7lzG9htnJc9yH0yxvZNC+ekWBHGlZD7d9yinsz
eqzIUxRU51Zl71W4PAjdEuuLD+zij5Zuj6Vy+s4b5XIpND99Uv4LwAGeUdKw9qOgOCSliFbpRlqy
0wwTlESEuq3WcDaWtdR3KS0LyuV21FJs2+mGW+rmHS7X/GTr9lu8FyE9qvxUdTOu5wJbbxVb9lz3
5hoDrmsjUmsDnY5e1zTezW6HmkHfbqabdx3dwTvVWb3OzeTQ637e/5wm/8XTJCo2x69/fJp8eC+7
d/U//6f4k2r/y+f97URJxgUcOe03P4Hjv0VmTFR3iuA9iwOlyXnyt+OkCP7C8RNMuXB5Ivw8M/56
nMRkJIVlBZLueJR2IL//znESvPmfjpNsJoTgsRkwqnrg6/60hvJ4CMteVuy7Mn31tDiH2hBg6SC+
oQ+tuDdC8/eakbeuQUv3YFOa17nzHoXidfDGV5K+cPK7TZ3l061LkNfTaTqnD48M9xxCXDzjbdyv
O7qitxJkIq0xHUck17nyqYTmAISl14UtR2iSjGE6LMepp8HGtrJLGZcssEwX3S4lnBw4b33Qi9PA
fcz15i8121d1Oqpt6PoJcUVcLkLez1n5MFsjgdvY+VaPPE4XbLqrekqeh8FsT7j7vFURoQcV+D5R
EQeyzO1CqDF/KmDarNPKqTYL1IMQ540tw2JfaYvz2rZdUEDVclOPmKcy2JC8E/u1nO3i1hH9PTgq
4wGI/D6Q6XUcVceyistnVnVId7N7kDZDfxZln40F/TKMPBK73HMlZ/nNgFC4IWPqnt5CDnTspttT
nyxUcZriWJTwtILynm5r1AtGylVi8KzpwjC6hDGt9gOO/rQTxSmP4F/b1XDoooAeDcKuTRGOByMd
kt1AzqdAkd+5bh+dlsG75niW6M4aiXlXmPGNKuHYyKQSoHTNG+pTC8IVjL9QrwAGEYxns0OFEimI
q0oOJzNS2aXxsx8z1UedMA8Ehcb3huiHo6wLHRFgRElTeP2b64mQsla82G6XQmqxpoNnqnHv9Ky6
0xtSNrM/k0vC4HRyo7he+zWhEEBfQOf6l9rkUexkmItb1szEV6x3WmDXsGW818K377miOJhcsUy5
9wputCXk6wZi6rrT/tYigCJWNOaPsUowQC0N6bABLaplk7aBNEXmJ05uKixFa/YS58AIGWKsZ7ta
HhDk39sYn7kdn8fW58Y+lfkmbezoumqcE+/q+l5BAAGIs5xkjTMMXCqAXfVg8t0dG8yhG3Mi/gii
dO3VXObVgBNsDOLvYV3d2v5wUbKSIGVmulPxjdNn/o466xMOGfmtmTOrr8XLXsuYmeLC18Im1++1
r6VO7ObupsAYXNjqTTpFeirhf3GIGHdc7BDmsrLb2Fo+TdFRYy2o0tEzHJ0SKMSTrQVX4JESRurP
8j2NgA1yWB2DjURr52o/oNpy5/oxOnwTg0bzuNAhEJdsgzgxcm+UVREoIovDNiCM2lBfM8SozTwQ
LioirDmjfYogBuqCK3kOrDk7LX53BFFwj8mlJ+CB8IzGtTJVPx+5IfZbVKC9YUIODrVgzd1mTV/J
8swV4a2iFB5djL5daaF70JK3z5iXEJWKJNowvDpkcZuz/MSLTwaYa1fBeho6dvpu9Ro1KV1ysIca
M06uZi25z1p8d4R3n8n21V+ids8YQH1x656LCFzzwm2i0yJ+ruV8hfJ/LIFphYbDwUaL/rgyefOx
Bwj0QoC+5J5KEpYEFtuCVq8NuuWz1GsEjGVvTO2vNDVMW6K2l7arz55ePQACvrL1LsJIrxGwtNT4
Ni7OcsBifyg7gv9UrQabNu93oJGGTTDL9FwzsW/4654bvQBx9Sqk00sRm+1Iw8HJ1uuShL2JpRco
k16lKHYqpV6uQEdmzfJz4cLmZWED47KJiZtgl6cmZsK6P5Vc0xsoH9cO2NoZfK1V4rzhOoAsOvUU
8bTjvaNpt4vkIZFoAq4NCnfUTFwEsIOp93thCLnDAZwbaoJuoVm6U80xaASvW49wdovplIPd7TWn
ZNAk3hIkbweatwXRK62JNwJvV97dO1q1Sj5SaaZv319gFi5E3dvvCSadiJuFz/N3m8VYDsECp51/
PSv/5E3dkwE22P7JD15OVQ9PGMBzsfU0Yzjh7tzHxtE2zMtI1sFPArIeYIlTs7+34KpEVSepM3qW
7SrXFOPGxJLR2NS6Np+xOzTbZlRUyDnNtUdboTa8YFCFimyzRtubRopdBnwgk/mN1AxlR9OUE6YG
eFXl3ilZ4LVAePa2ySaEBjE4zG374GXxdxMA6Qp5MgE5uBwJQ4pTmEyHJmC5UExefkUK7zEO+k3j
Pxea/IwYXmsSNIC6ek2zt7w1XZQezYtugQaAj+bvNDkl2tyI5x5Az7J1HVjT0A/A8DkF1ayaRB1o
JnUFnLrXlOoozWnTAlw9YXXL/HZYM09na+pboWjheyLLbW4zwNcBAOwJEDaFnvlOLzNHgcrPLTve
BGCzcQ7flRUJrkYTtVF21vb4ygLzGMKpPzmM3joR5wFfRSLycvR+8nKFTs6xx7olAHBtCpPhiUxT
RciuJNhmtKTuXOJ3IzE8FJ/NqHN5hMwecps1zBB1t4F1auqgvFYOlP66C78XfkOghyX3LlU7v27E
BVjJI37Kb63Du25oldhjduyOaH8Prs4NGh+jThG6xAmlf7J0upCdlc4aTj9XLSP5wy4EP00u6pRA
4FlnQnPvxg/KQKudU+SfNTHGNk+eRn++xcBz7dNMWpg52z9CKlOLX4FFCaz3PPyxsNLlmOSTkfSI
yrOneKtJGmFE4pnak6tsdMAyxi42SOuHKUBtNjxR1jBbDxTC0rumA5oeqntvlTCN5J1jbVIRZIey
OTc62NnoiCewt++hDn36Ov7pQzVbtToSCqqFxUFNJJi0KGS3YFPrAGk39g/Lz0gp2dJWh0wr1/qY
RVnTNKcfAayPa98ZL6DYce8Gu5pR8xlzxkMHxJ+bsLMJybPW5FpjHXA1ddQV0wI5TB1/lTFB2Eon
Yl2isWJM6Ju2wIbiMH7e9jZMHs/Kv5tWRahWx2srHbSNivtiIng7MZ/WYdMdAzK5S0s4l9JwHlA+
qHQ8toPkaDHpKG8S4cOGcyIUId9Mx31VHCvYk4gNs6jSTa9jwdGgA8I5D8LYXoy7YLnk48JJuFRX
uBDZb804JRc54d6I2csk07c2seeTN4bPbSu50wfHdKJaudKBZRJZu6Uq/JfI+5EbxbrLAaVGTugc
Z5zdOvXs6vzzoJPQiyvxFAi+RyPWzl4svkp7fUtt4k7pALmKaDi47i2suL52B3vaJoxdWGjLhtAO
YmqNvjVW1pJj5jtXEYCIhJ/sWIltb4z2NvZGjtnYzLU3OWLDwquEX7nQzmVbe5jb7jbF0pxrb3Nc
fmSDjyhiknyySt+4RDnNB9oR3boz3oKa9dMS9CMOAL1H+ZEP7tdikj7Tvups6F4K7bSGTldwkbw2
2oNtCNzYvfnRY85etEvbkvi1hW730w7uDit3oD3dQH1fWu3yHrF7D9r3PWIAdzCCezP3yUl7wydM
4qV2i2c2JhzZ9N9S6n53ixm+oF3Qpz0HT3aL6SUpFUtt7UAH3HQ1Y0n3saa32qMO5IQiNywBMvMF
CApK5jAyz7QMVBkCiyRavhPucLYXj6Z4bPCV9sPPmFFdDPIsgk+FTTqoveGHjH9+kjdmqZ7izIoO
OhHbwU+qvLA8LPZdY07vkdFcIxY2V4bP1d2CksRNLHVwGWlUpIeQKMg3ge8cMtsNhFKO1OOMoFG9
wIY65RlVDWaXRWsTKP7KKbqK9lDuKNyTKGBAKk+KbAPP9Koh7Vm4e2IlN0Mbq53TcW5Si4UsM24p
UxG/OEj/999ZUHxW9aySKO5+2Vf89sv/fqwK/v1f+nP+9pt6xfG3X12ST8V96kf3Tz9q/1Vdvxdf
7Z8/6A9/Mn/7X786nfn5wy+2P8f6u57J7/6Ls2z362JFf+S/+g//17/Ym2uzz8FJ90/Ega/uf/7v
x3v+J23gl0/7LYNk2UzdxJKIhRABDMA2/CYPILJTf8uqxzV1Culv2yY0ABJGVOfSb8au3JUM9b9m
kORfcPTxj7AB+hqp8W/JA/7fcanqBBR+Pr4OnLZSu1h/ZxD2x6BKMYlz18+cfp8KgONtQrZiEhc0
Ziq6JcToIrNuxikerxvcpd6AtuUUQ3EyS/MhbHt75bvTM8F5ez0v8b4qp2BTjjrATFiUqSE+1YZ3
5/MY3CUaaW2XZX1iFVufAEQZKzk4wcYazee2qV7LcI7OKrkFxUmgMF3Sk6je8iBsML/QiFlNjB8i
ZG4YqX/xiSRqoJSZL4eRlRY9Q7xvSu5qBMO9D8ufgz3PaESKar6v6uVdpu7VAnR9xd/Sk+k01lkc
oDSGWOOPdEqZ+8rx9xHE3rEA7xybrXGaDLqPyiY9upEbbWQGPE1Rg8uPerxkY+Ie6Ye5zeBPQOPl
Ye45RcS50bTPWcx3b8eHIkvDLUSwmOmsf2Eshdg2m+eGJTVn8vw5amW/tfwULaIqQGNQAe8nZ9cf
yB6IfNa577nq820fEEQYOSVTU6u+sWF641gT4SGggIcnJr4oGFwCLAgx4WANlw3fSpffeXYKMEr7
9uf02qrxqYhF3jRlfCds4qvArXZB7GyGdF/EhbU31fJaz1C8mXsurRXctosLsp5WD5RiqnYLhTXT
dTgiLlZ4JA4TrqDSeQQhUSPikPRoTxGwssgwkKRm+GhvenHnpED2KpPEfle0H9FQUA4l5mtDiv4w
OcbFSOb8wDL0qVrEleEasJvY0MMHCDgmcRLFizEe3Sy4dqbqKV9GdcpJf64rpc4mMxMzrWmvCj+t
j5OhmE1nU5ELJw6BePNMa9X9mLKyANFVBH32bpEbWAUKg0ulg6+jAZoulsvnPE3pfp6ocp97sHMt
4kkQJ3epGr8W95TPBffhHF07zYdzb8TlTS+RMOb+o+5fgnqeD3WQ5ieiVjt3tvdWke0D8kcH9OJm
o2uyaHvuKiNbp87EOFYpa2s5gMTCNGHB5QFsidp559NaHdVA7rAfuDddYMWbxoo5Ulec2H1zUbdR
QJ+N1bQvitqGJxaVD+U8kdan26phDBkawbELMlU0dtWRxVO0LpwaA32Cf9z102fKZrWWTHxmumsV
gK++C60D4juvcnrsJn7Usb8kaNvTUU3LtMnqJYFlx8MnQFBLldgOIUc/Z/xKesc/NK2ldq2VnhVw
LZfm94Ix6Gj7kXc71+G+NguXQI7/RiQk3Ld5HpwzNnqdI1I+VNz4i2fufYErv3+tCsQvb4j2YeyZ
j20efBd9N4O0wEonx+4SFYO/ifluNrXPCaJrIFWbdDsbonO3dt5FZE/EOiu6+Rhl021W9zeeJZoH
5QIEaIP8La4fTbLbt0NkrmPMVlekfEg7OnBwRDGdU6QERv4fBEjWZWRde2WTnDPh5NtWBcfENtdd
EzwJMcmjryJ6sAZxQNsgVRm0Pzy+pjPcitU8hSHswP7e19LhgoZoWjHsSi0r5lpgFCiNYckmiaRR
Dj7IQIgkbpJpYTLsRxuwV/kUkJZPHEJQPWzGVVihFlmV5a1ST7WnoIwgOCfk2A17wn5mfVu0JNpE
+UOMRjqglRpaNG20fNqio+Id+KLfGLcWAivAw7ccxZU1H/vCgLu/pP76EnhUWkXzsYgT6zXwWOs0
sgauqeknzTw4V2btddriuY+Zqbf1L7Ivm2UtBLsowsnABOahETdaLGaJzFyAHICKTJjklSIhZGUx
WDscGrpeKQW/81N+nnH8pNa3QQvTnZaoHTc6cJpiV69PNfp443LOGfWBx+PkEwfT7dBwEMNsuzHT
6TNI3JMr+Eniq4/wOYzfAAOK3WLwZ/V2v1/kwBTnDq9+KV5cDDo1YVs/zYZt7lR3qbWwOrXjiJX4
jvoQfw1Vpt10GUJcaN3IpdWnabJgAiSBA+1l30HZ76xRHODown3GiCzcmnHNdH6gpb+GHhbKxXZP
ikU9yyeKiKNMOesUGgPbq5Yf8iA2JI24jmf7hh1lgDaAjctJyw++Ngh6srmKMvxkodfe6yayRVas
7vPqoyjpGCgBH6FS04wYBBsACil5JsfcTdrzK1lbD/i627YYcZKqYhcHjtJz/sq36FM3fdyOPrA5
AvHBxvTig+cTTOkn/2NZcAiTQKOeQRwXE6N1jxiaqTffL/dmPLUIYP0rVRlUTEcJ9FviuHG3KARI
0oiqmMVmpkN97WS4Alhy1Cvhx/UuqzRpBYh7/DabvdhWHZmArON4LEsPZTPRvFC43OwPm4lYJOcG
k9U+nkTyBi32rLnb+vgBTiHuX+rjGpBRZKGjUER7u4ufMgN6Ja/Pk1X5wzXkxyEesn0XgMitxwLm
Hs+adegn3tkKvAvFCPW6NtJ4VWJ3WI3DZGAtrdQxLNo1rj7u6EV8noiUbd2y3FXAl/ih47VF6FcH
jQV3B26D5lL1jBIpwVLRnFUn/BUlCHQutHL+KK9M0KzbNL53Qwg9Tsi3l9idoMcrulciJ09MZwkA
/H4jDcbTsWW07ZuMB0KJQRGgK6jdhGA4552VGtK3ZZTZdqYwEauE+miW9LXJrFvRG0ytSGPcrGgp
AU6MJdlvb5XTWqtZSYC3mFEWSr83UkYfbk+obqr7bFdS1RMVyxqQ9T6NaeYjG/HVwE/LO6/dN127
MJ6gHbo2T8RE0DWecXCwm2WzTKwfWo8QAQUY6zkz4I/MJBSIpRw8uKGbeITTPgyghzqDiyDPsZY7
3WdhZe9igsmQZaB5y9D70SYTtW/LBHIBuZQ8Z9pCX56pdsHQYeb8eOaCbq9EGusyNIbTWGaCAT96
cbvgxUkpG/RKEjd9wsM1TK6Ya9ciKOXOGWxrE1rHdrCSnc+bYRngGKetBTzUfU/nVrdmk8CWuoyh
ZsrdTDRQ74rqmNbDAYmr2GKzIDw7OQ9FHKKr6n1Clnv5GlAIDR0cOEcbU0G36w3KgLIU/QoP7DbR
ue5oNi/RYPmrUA4Jb81qOw+YMHv9ikEDpnAusQ8D+/RVOxHFRDhN18kisReztuEqT0lvA8BEqOvW
I7Um2wEKCMgd7A9W737YHAA2pChWk9ejgnDMnOvO5rKxuT0WNeXeSUXhiHYxW2j3jPVkkgEKJT1t
9iyqIsUDNJ2NYOsUwTtawpvgBxuRz14lov9oG/E9oywIvaqEu6GFe2mh2fP9VCxHoEHTk2243FF8
HDS0KTaoXFULC7rkUXlQmXfiXvZuxwZ2SDoeCBTcDUKREaBflK5Qg9rTNuTZj2UCSOhRhP6GIHmz
5a4YrSYYVsRkODr7uk185FJkp0bGg5HYCoDzk81oDukwbrC3pZsk8GjzsWYorIragq6eoPOxTSSE
jIerqE5jNkZbQiaXybavuIuDENaboQjxJJoclLnapb5z4VbiRsu5CGe18lw1njjufGRux3ncEHtA
esildTpvk57EbFD35dnqBu7643TwuXFtixZdnnCGeRxccn1dnV65Mr61zdE9egFW+DoenV1Dm4Ul
l+/JnKjTIt0IPNT4ERb9cKX+H3tnslw3kmXbX0l7c8jg6DF4Nbh9w54USWkCoyTS0ff917/lIkMp
URFhipLZK1pZMmfJEEngAu7Hz9l7bZYZeyg3cRP3V2Zgn3deHZyTO7XVFLCJPM3iUPeju9VJWcDG
Afwq8rqbMiiO8Gxxs4xFCDuvz2i05f46TcCNRfUnbxIQPiuNVQ0RLCeQM8+2CYjogHOaDrlIznzZ
mFZLnV2nG1eLtoxDCCBwPw5Tw1SL6n8R++5mNlrGG0K/lAgqD+Fkb9ie3SXiewwjUXWwZgPJMyMz
3rTisnIGmi9dgB46Qh81zo22B2d1mtKT2ndlYHD+c/dQImpgPRVqE938qBmMiWLqqX5izRDTVJ/7
TUhSELYSW++4wnSXirE/5KRiLdykWdNYJ1HQLcnqkY9ez67ODA1DgUrp0P0CfXczLP8jk/hFmYTu
KNnAX3dCbqOH/OFfX4p/vWS4v+qIPP/zbx0RyKKmpwt0aviRPRWO/s3jqPSzOi4FQq9slazwTTBh
Ge+YRCJHA0L6Wn8r3uHKcFyC1v1/TmURSl77PWfTcQjQcvl5rkW0PBHzPzZEGpJHUlz66oQ1LTko
njB58/1yPcDBp4G5yQGXUUnCX2Ksffzurv2J5dkSykD56rfbtukYKI25Q0CNfvztLoG3g1agrRWt
CHC0IxRV8HV8Qi30wmLtxdWjiEmV6RLepKr6PDQg8mE8rqvaudeQHK2NCR+/1vglrw7gNHtbp/P1
mIPkDrpT2eKWSsziix2xUEYWEnheevSGuXObazZxNmW+lnp7Mw7Nk1cDgvDbVgFqKnIwHQx1mBtP
RMCMQo2wTVvbFPDiV5g96NWSZNZNcuA8mT3NTKfXIqKLEykHzSjiDa0uwHBhhRRlAqVg0G+q2Q7W
duDcW03nH/I8dFfIF5dDEB0trx4vwpFgQo8ecumNlKaWtnHZ65eFY33hJt6X8DAXcX+atdSsrgQM
7o7Yw4YPlpiUtWkASlbDZ0gNst66J58xTarjZqABgai1q0+cuHoqOEcdBfLACfnxZeZthnY295FZ
XgZt6R6awdlPPq2clkHVTvrDqlQpbHIoR6ST3X4Yq+TUC4KzynQ+Zjabvk9RIMpWoNI1rga98Q9y
ysi/LjLUhyXcquAqUp3+mswJV2h3bgDAsGietDhgwETk9aLpY7mTVvMZVlywlw3LJOB/Ka5Nau3I
qcW+TuMNUa3semkK+3tMdsIAbl8Y5F7Lan5EYUpag+XvMD+W62Sw6n0slC4GWxX8nvEhCvt9VegQ
sFF2O6Y8T7EYdlOrnURWcpcS0931qbzWrZErpC0QWTZrrV59GBCO7Ntrs7aq03A1Rj4THEvrt95g
lFvAGWehEMzmDJViJh8Zj/pxv05YxKGdRN4+Ff1jxmTDSLKTzuDUjxiA3L/Ua7Y+gX5txnhLrx/E
HPGLCTvCsXaYMu+8TsND5MjrhPTq3oOMwiOJLa5NCSirhbZi8LP2cr/YzYRQ4dWCHtFHR6P2zH01
2h80vQY5N87uTrUkZtl9agMU665M0A0LbUnD/qQuOn9LX/+p1WbcxXrAcK17EALtVBbFkPnDi2H2
6Vr2BCXRNuX8IEmldVsGfZgHtnrkMVCy5w1F1z0oQJxT8ensE10dzvsko+wNylOgVLdZ4bs7v7CP
Bnkki6F2H+B4YuPyyQ4QaYGChvPGwZ9BOAJuBa+AbEEC+DM8uggy/loD8D4RW7YpAt09r9kmQVph
V9bWpR7N14HfXZTojOgxZlepuIxhhV640b52Zx1BUhYt3FrmZ7JkjtE8Jo2NLqMezl3OZgBqmKaN
R+7ptvcaiCQzr7bfGru73u85y01dAxyueF/m5YaRkxgJ8+VVtAZlCA/DTzZMIj0Oz30wPBVlRTWf
uqqy1fpVLbsNLa6zyTPPOz0+M6bwBJvAtqxaPIN7PGT48qLL2XHppYbnRvpxTM3bsptPrfGprMc9
7/hF1edbxy52XYEL2lIgf8GMHnRd16INJcCCO7wdu2odTPmd5opbWlj3tYVwJ63XUtAy7rSzTu/O
wti8IT/nwsDPsAB7yJRuOjWjERaPRUA3E3yvRVrEsSLyjB0twbMsHvaBoFIkbZUwtAsYyGedElVM
x6yM9iX9PZcRZl2N57kMrlw9ItWY48BqHpKLzIrBD0dnnpMdZ9u/KpHXki1yUusFyhhARnaFmqjl
/CTvTdDtRmVcVChMFp0wF7Umr0vHOci43gXxvAGoeSikftKO8UfdF0dPiPO8js8apziCO1tCCNar
U5FaOyNPjpOZnOhFviX0/KJ185XMWcO5cpfeQlGPGxYLbNwYxIr36u563V1imIfanpHjQhDM5pPG
GyH55ebHcNIvKpPeqvZB3QGt9Pfq4gw00EM6XSyx1x/VlWZVckIW7DGajY/pbO4Crrp2zlxmrxMa
BUrgEFG3WzUXnu3+p1D71ZGVbliUU39XqKUP/7p6/Glm9fzvvulZhWM5AoKmQcGldKPfVWgCAxTf
sqhOXlVo4h2ME9sHUG4LE3A6pc3LzMoi9kooqxVUPf4bF9reH4O7l6Lo7xxStqoQfyySEMgqm5ZJ
/cTL+HWm9d3MquC3u0FhYp3uxHnkgeIB3srZ2dKX9Cuv05ke0uQcoalOWxDm6Lqi9x6ujnxiYZsD
TZ5pIb3FFozqwm20YtXaLM5EDo+mJDhvypaaTYK6V37q8vBuQH/BbHo6R/JNmzaGo+vZyNNSasNQ
VSzlTP+S2F6sIZjq86YFMjBSvQ3GTTxEd5VnW+u+6rc4Tj/GNZ1l6aT3U9S6m9AwPofm4CC5ST4g
7NgZdnE75x86yojTqSfFt5SjvXFYUTZlmdxUyED2sUZuDxK+hKOhMUUbLSJcPRpFuzrNQGAEkEi2
RjKflio0MEGVuu8EKKOITXemr7xBCnqdo+zbWEnkbiZrZnkJV82YvDc7JUAde6SHRjMucy/Zur22
cmhlkKNixJvIXzklMPe6qetlQbMCUc1w4wRrmlwEXVhFs2cD3NMVup0muXUjaW8r5nqpv6mICcqt
EgyubW5YlpNFbBj3hXRxNPv+o2jC+TjqLoIViczAE+U6AFCDUS3fBV2AiNWBDyZraPBUVxbm0qGa
QL0Fm1niMA80HoawXVYuYEC9ZIzGFcCBctLPZtqtOtldmao7MzEeWvXDRTS5N1VUOHupiZGRvKT/
zNwFOBLasalq1iZiTgOds9bChrJpKhn2lVfbzSF3wpOxsZNtIOD/CpQmvcURP7SCbnlvN6FxBDqy
wh+CZcWrzqrCvOmpnb1eBKuu8bfF3N0bk/kJ3z29h0ycZQKkW1vqW6cLIKRPWKU609mGYRxtEtvG
BtyDs6iymyxG/ZgjCdzS00U+S4Ivrv8G/YRd9Be9WYF70Mq19Ft2LFp+C9fL0Qz01rr1+rURxZ/m
ML505gA4a2830BF5iitZE0wcyQuAQuuwcC4S5DIrrNBfsl7fGeBEmsDBi8/Z2pGYRsSWZ6zbTGVG
Pi+jR8zNwQUsBoArJIy0Vr/3h2DvM/VrU3fTTPNprfVfwtmL90HtYyRsHtOylgfCR07tei7OMivr
CMgNNrmwVjTRaSkkFk+7UM+KCM/yztlSJiqdW+guB0H9lQvjNq8lvWa3PRpZUqwLGd2WtSnXXRjf
SNdslqXwDBx3gDT0sG7XNG3NApCY2U4bpzceQW9phyGYtwNxt5MFuEBjfLDovZJuJN0RHHB2newK
b6KbAmtBEzHha8j/aTXxj4qHaEDfzd8FmmAUgKMzf+HH8K9t58FEss1UVg1/KU6zShqXksFLW0/V
jqoX1hMVeRYT7jUOxnvLqe+KEX6OIKtpm5XxlcxsGjSa8ZjrTCpGCwCgMRsufv+cnE5GBii23sPI
BcnWO+eI8LZ+TyQMqJqdlJvA5NhST8c6qXzyfzOVoutB4XA+bKOmuKcm/0SlSFNQSy9C2plIlchF
zQLjUg/bJ5hw8XKK5X3Q+msSwC9EWw0HMN1MuIY+2KGZVUyUL4l4qlxJuSVB85nGLUqFYEFSBOV8
P6Sb2F0MdO3Xlj7Rgq8i0H9tdgmCfTv6UbCzIJqSaDRO3t4mAlvvTcgSI02kfq4/piPFPSoy65Qe
XYFLLiOZVaBNHhugaaH1Ps8qm0akG+5Kil41EUYdJYCXmCQoLJJD1RJZXlxYc7kzNT4kG9F+NJKi
FqVqZvKxrUvcqVWwnnzoZZHnXAdtccIAv4CuIu8Sn9+lhcmtO8TKGFpeMLPo1hoEhYU7VufaxIJJ
ZAXyya/d91oAdC/GYyZI+9ITq1nGVUxgfEWemtc9xIOuH82q36fk3AfRsGraNt3XM5pFV9kDKmcd
TvK9hvzcn/GPWxWBZUGNTK3esnQxHq9cznVkM1wd7NJR47WYZqiOu75Ii5UGeF4v0uvIyW5do6f1
TF9zYCLaxtFJH9VIbhl/lbH1NFX6l9Yqnuwc+3/vAnMA54ps4EQLjS+zoylmk0CAmQyPSNm3UKlh
PjMuYvjMlBGvWTvf5zVUMXNqz6trrTeD81Fa+1kAUrBaoNdeObwP+hmVKF4uBxqjTAN7VfXa+dhY
F2VeMVLTMD2hD7B4vYjTig923ufrvOME5qconYgjR4ORsQo0se6zF2mqs0wGceCyehgk62I83LSm
zLd57ECF5QHGz0q/H00XIj+tXZKhmplO9sHykk96Ko3zktTexcw4EE9wiHuEAHuirBNnF8Uu/lzk
WFkW7zwylJkQx9UmbLLzaaiWJg/iskTEi4ca5beo4mUBhuUMkfGpRXWb6yCP6CZ4zZwt58Bn8N1z
RA7dcNOPztVYwzTiYM2p00g2CL5oPMcDH19+zGCBrLskXEeF/xi1+UUUZDqZuue6Sc9pxFtNQYDs
dS6apZn1D1rZXqalOFoBeU9jX+y72JmPg72OY0Mijcf+C3n8tMYPLMcQ3gt4kIXX5kdHG/DIzhrw
RqKwQEZhKFbW4kKZjPEjb2dlO+6VAbmhk73r8STTL+FQq2zKvASI4ZR1ubKQvkplZ9aVsTlDnQ+6
1r2JtTMNbu7GViZooMlYHbT5JLIfg5FPPlaG6aKwHEyJPOjE2K/ASKyzwIxoYm9jZbf+T4v2V1u0
uvhbsdpt1Dx2r/uyX//Nt6ofWiF1va6qZ7S8KjH2W19WdWMxs1GpWj6bPnK0f3MRDF2p2Ph0Xcem
cfnvql9/h47BIfvJNuAf6o75T6p+IDw/Vf0KycAvsQ0ADtZrLoIXBi7DY9hyU574GyT/C9kjWR9d
vVl0EXNOWTMxbaxBYCSyD5UPc3RCMWUvxHlm0uPsPYOJnX5WaCXZLeGdX4UnHgthktNJLec70NYe
T3B/yLz5c+uHj7rVkVnekVwwhB/HExuyleUfjCAm2Bk2jDbGaOvLBg8SE/dIiM8W8QBmU9LzhAmK
iTqN1j3iWhJXsDlIezjV5/MBSUIzJe6idWQJz/jerViG8MviZYJHXUWjc6l0soNNzRD2iFO8tLqR
4BxYcfC4V7xKbKR5uDadYlibmq8dutJkKr/ImwkGjgMQOPdjeG6lb6zBnSxILKXD67PLylL7aLSD
vh8TxECslH4hiJwrtoHTX7vIVEWicq7oDQWkpqxylV8naL5TUxOCMDfWldFz7CBAMlCF1SK2RbbO
EA0uc5WKhxfrch7uhCO7owU6Gg3jjYmfjHa0V61cL3xqijvP6Fk+el1fFY441BBiMwtslWTW1qp8
vqIOr/rSRI09Kx4cbSyPML9SpfpVKcawyQCTV/cNUpJyq6sMQJ0wQGu23IMTaT3ILD70mDy7oGJ/
tQuoBE2bwHWWKG6YWXYaXUBdZQ76o7HuhT4pKNG0SVP3ou/yC+dJ2tFeYvEwVHphMPIBqzxDfgjQ
fxVxqLIOSzRdrRtfNBYpiFE252sC9T7K0b21UHVuJpWZiIyO7AdiFDOVpygFNBydiEUPGyRteGMT
M26LjOLAgWaA2NYnIdZwFMte5vtw7FhP9Zwi36hz49bR2PjGLDzvKpxDZIgaBI7x3CefY5UEORAJ
mRMN6SGLWen5rbaXxEbaKj/SV0GSKlHSUdmS6Hj2IWGT7tfUSWA72EGQtXs2piqjZm7mtf1OzuvK
DDZ0cytg3T4zWr/cWpEJkMonkBkdna8yLyfCL2k/C4LIEpq1iJgsDXaHBYKikDEvwEiaUUWM5qzy
NAtTPyPItNsKjtwIA5AfhA6HQbRmW3BUGBRUNqcvCRUsJ7c+MeYKCek8RDRnu2OmUj0RVxIhbOP7
GlTmp5nwjgBSWmQqD9TxodilKiM0FKSFluGF7obpRhAjyuuG6HJsT3HwgsdurmsCR32OgmZsM1WW
HMvaQFHrEZMWgXsDKTG8qoykP7Hn8SH29Q9l2oirBHnsgo/qwXCSCw5Oh1lwXjC3neaztXUNhjfo
xMuAruS28keit2oSxLphN3P2WYkEJuY0XBKzdJTA9tZxkyDpsa1EvaSnuOvig8XZnPcq30jF+c8k
ij/REb1SUBwF9XhKVgZUyMRYr6dygBgvmYIaXbhprIhUgOKQ0BuoVZOgoluA8nPctFTLm2iYYuXW
ik5N+z7os9uKZj+y+Q/wDJ1lRBcCX59LSGl8n6gGhUunYqBjMRkzloVE3snqphdDsIxLgGpGVjE+
Yd0TEa12UsRx56hmCIEYC6HaI5ZqlCCNPKefYi0J6rqL6aVIhzOS7DJCaIJ7OwGvVqGdKZxi1alG
jIxoyeiqOVOoNo3XVBtT3DhhT7jTME/bCpp2PAw8OPE1UFB9afn5sHay8MQZ5vMYmTIYzHRfKKQL
7cl80eH8Xw2WwWpldYsgp2dQCFxls5ueutioZncul1Ppyk04y4M3JEg+HTxJEXdrnSnATKZQM0i1
6q2/RpSimOQM2jP6sBgOcdtkJrP9NMaWpSebXkFsOoWzSWMCUMHbTHBucng3gKM8Np76vQ8JhyZ3
wbpKrQvmEdOg/Dho2ifPoTIWVvEI7uYD2tXKQS1QYJiZDDpTBEFsjLJ+kE0ws4zIS1nWywRTzlY6
/d5rwkdwNMm6sPOnvkcEXT4xKX1fNPW4cgnrJAKm3Uu8fHE7nXpZZt/49pCfh71xYpj1aig7ErxD
HFJjw/CdrSJ18ruOM/1aN2k0sG/gLiine09jkGcN8KMTlylSK20W9lnL11qjn5RIDlddSoir1gSb
PiOYoCKTr0KZu0CSG25aTb2TtrGcs/VX2Yhfo9kdWrHUp8e2GeReszOSipPW386jhv6v3BmzmxzF
hB5udFi5lJ9k7E/L2cnWbQIhrLdhrDRudpNEqXHSQqpnYhLbl800fokGzVi23VxsRecUp0lBLwAn
Zn10iynepg00TjO4tfAAMN4I1o5RLRu75RUuUYwFhdcsInFhOATlNHQ9ydHxP5UVHblaBpzUyAp0
SWdzT4V5EAYhxFHsIFZKGlrmJ1Ho+rsilSFSnqndSCP9lNJx5c/l1OhqZbHR0wBRGSPPWWf7MOva
2+a1eYSCE+JEjTGitlt4hd6+B84ukvHKGg3/OM0z5i1OjKlOj85JDGqZtl+RBc1hhfNWbCmXc5d/
ToJw3CGCpc8ABciamOv29tMk5ZWes2yQT0uHQZrYKtkJjU8R/ACUSCrq16w8dQoWS9Sk3knSiSVs
0hPPJ1IhQtKdZmxr2NRo/tBvTCe0xchx1shZSgD4Vr2LrPYYpXjWk2TAadhucToal24MabAJm8eM
R7qXoUTClFxOGonkhDJfuGGwQeSz6AFxLNCWe4yR6xI325MRI8ZU/uUVUvwC+iKYPYKn5kUbIlEv
AusqTEqYr3r3wKhil7iev7g+qx12Ey1sMe5GONpTh2oilHuj5ginh3LidOWsXWKoud7HOTBQFw19
sRQO7FnM6ywIKCMRPNfxukWrd5JoXvC/bEbxnQPnJ1/Nt2a9ct18jU69Kf57/9EfU4A//0G/bNSx
fqZ4fP2zvhqF/u6npA9t1HZfHon28d8hT7DxmHK2UYa0l/9f895ZKEEw3AjOP+rreb7y3f35qzvw
9xf3s3/p55/zw5/+uehyGndXjzIq8u8PcsLHOPTDyOcvLv7VT/jh4h3PYJZic3HfX7z7zucbnpoB
PX/9T138w5cMoFbUtHX0uf3+4l3PEtTTv3YDXv2Uf98AEH6uYbqcXlEDfX8D+PQRFtk8GC834Pk3
/f//9F/96c/zwP2X//t/lFbKVSKlX3kCXv2U726AIN4ZdhHs+JcLfX0fTN13aADQI/j6xVvCL3xT
98HSAUj85n0woUPi0eOJQk2mvl49D7wQqMKgorrP39afX703dR9MWjS/uCL85fPAfWCSzP+clwvl
B/74XgjSRV0Hl9vzF82it/Y8mLbuPv9Zz17Xb5vMP9kWSHzTof+hA3z+wH96Hlh/fEIc/nht3tx7
wbbFAm4xjP/tBYL4dgtu4/MH/mqncN7BPSVpQndeHog3dyPIAuR1/t0FQu0UdDQRsL5c56v7oOiy
HK7gdr18/y2+GI6rsnR+73nQ3xkoL2gyvdRFr14M750Jv0ypcl/uw1vcOFngfrdyoG5kdbCg9b5s
GPzA7xdK9x3gN7pY4o/78Pwivq0Nw9TN370PvBcO1gq6VfrzB/7Te2Hgfodo9/Jthal7cxuGgbb8
N98LngeofbbOzXh58H98HoD78dQhiFfjFPX1FgsIA1zB798HVltSr0wAiOrr1fPgvxMsDhZisufb
oD8vSG/qvfizUKe/OFr9dSHFharSgaPFn94H951j6LYjAD4+f73B/eKFn/57+4V4B2PCZXL3UjG+
eh7YL5gSUqr8cR/e4PrwZ0CQf/w8qI3RwbD93XV+v19QbxIGbGNoeXkeuE9vbZ00WL5e24H+6X1A
EurhRDYs+8/3C499kxvBAvFyH54X5re1PvyJ2va/cR9sRYbhgXheCF8dtFgfSA90TWrX5y/qrF99
Hn7hZr2wdj6njw/1f/0/AAAA//8=</cx:binary>
              </cx:geoCache>
            </cx:geography>
          </cx:layoutPr>
        </cx:series>
      </cx:plotAreaRegion>
    </cx:plotArea>
    <cx:legend pos="r" align="ctr"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10.xml><?xml version="1.0" encoding="utf-8"?>
<cx:chartSpace xmlns:a="http://schemas.openxmlformats.org/drawingml/2006/main" xmlns:r="http://schemas.openxmlformats.org/officeDocument/2006/relationships" xmlns:cx="http://schemas.microsoft.com/office/drawing/2014/chartex">
  <cx:chartData>
    <cx:data id="0">
      <cx:strDim type="cat">
        <cx:f>_xlchart.v5.39</cx:f>
        <cx:nf>_xlchart.v5.38</cx:nf>
      </cx:strDim>
      <cx:numDim type="colorVal">
        <cx:f>_xlchart.v5.41</cx:f>
        <cx:nf>_xlchart.v5.37</cx:nf>
      </cx:numDim>
    </cx:data>
  </cx:chartData>
  <cx:chart>
    <cx:plotArea>
      <cx:plotAreaRegion>
        <cx:plotSurface>
          <cx:spPr>
            <a:solidFill>
              <a:srgbClr val="FFC000"/>
            </a:solidFill>
          </cx:spPr>
        </cx:plotSurface>
        <cx:series layoutId="regionMap" uniqueId="{7D85024E-A40A-4138-AA05-C850460FF396}">
          <cx:tx>
            <cx:txData>
              <cx:f>_xlchart.v5.40</cx:f>
              <cx:v>TCO</cx:v>
            </cx:txData>
          </cx:tx>
          <cx:dataId val="0"/>
          <cx:layoutPr>
            <cx:regionLabelLayout val="none"/>
            <cx:geography viewedRegionType="dataOnly" cultureLanguage="pt-PT" cultureRegion="PT" attribution="Com tecnologia Bing">
              <cx:geoCache provider="{E9337A44-BEBE-4D9F-B70C-5C5E7DAFC167}">
                <cx:binary>1Hvbct04suWvOPw8dAEkAAIdXR0xIPddWzdLsq0XhqwLCd5AgDeQf3C+ZGJ+YV77xyYlS1WWSra7
p30ixrJNxwY2SBALyFy5MvX3a/e36/L2yr5xVVm3f7t2v7/Nuq7522+/tdfZbXXVvqvUtdWtvuve
XevqN313p65vf7uxV6Oq0998hMlv19mV7W7d23/8He6W3uoDfX3VKV2f9Ld2Or1t+7Jrv9P3ateb
q5tK1bFqO6uuO/z7W2mv0qv6n//r6u2b27pT3XQ2Nbe/v332tbdvfnt5s788+E0Jc+v6GxhL8DuK
REAEx+LhJ3z7ptR1+tjtsXecCiJCxL50C/707MOrCsb/S1N6mNDVzY29bVt4qYf/nw199gbPeq51
X3f3K5jCYv7+9ljbrk+vyrdvVKujL32Rvn+R47OHN//t+fL/4+8vGmAtXrR8hdDLhftR118Bus1/
IjZB+I77sPTE5+jhBz/HJnwnSMAFC8Mv3Sh4gc0PZvMNWB5GvUTkofHXAuN/DrfK6qcl+QlHBb0L
/SBkPn2BA39HWMhpQMnjGfGfHvrljPx4Iq8j8TTuBRZPzb8WGv/8r0Hbn3k4+DuGAkEYE984HJxg
4cPped1w/Xg+r4PyNO4FKE/NvxYoD9b7abP+hBMCzoT6Agn+tOjPDRZ/FyDBEOLBo8F6zZl8bzqv
Q/L4Fi8QeWz9tQCJrtruttRvYPL19U+0XYEAX8FISMWjKwET9bWbD4EFYEYDzB9Pi3iC4YsJ+9fn
9TpEL8e/wOpl9y8GmlbV559p2wh65yMS+D7Hr9o2OEcBDRk4ndcdTvTjCX0DpqeBL/F5av+1gFn1
V/bmJ/ocwIURRENK0JeFf0GWw3e+L3wa4sful2T5x/N5HZancS9QeWr+tUBZXv1MUgYc2Sch/GGP
JBg48NeGjb/DAQXSJvzHo8KeG7YfzeZ1QL6MegHHl8ZfC4wDoMjqJ54Q8DMhDimCY/K43i/hCAEs
xDh5PWT58XxeB+Rp3AtInpp/MVBU+1n/XFAQwoHwA/qq2RLvMPgSgoOnOJI8PyMHP5zPN0B5HPcS
lMfmXwuUe+XhqrxN7e3T4vznfBlOC76PXiCkfBWY8B3zEWUYP2oz4oXx+tfm9Do4X499AdDXXb8e
SD+RNYM45oN38SHmfxUf4GHUpwho2qOxexHP3C/kd6fzbWhg2CuoQOuvBcj7q7q7sv/839VPPTS+
AK2FU1jt566egHMRAj2SZgTs7ItM+iWG+Zfm8joiXw19gcpXPb8YMrfdP//P53sl9WdJycF9WMJw
iL46Dc/xAa0GU/aHlPwSn39hRt+A54+RL9H5o+PXAudCXdVXb270m8fA+OeBBCaNh2DPCKj+Dz8v
QhgOQgCgBGTg0aS90DL/nZm9DtZf7/ACtL9+4VcDr7x6c3r7M4/WfZaGgqOBs/WFN7+IcoAoBJiG
gf/IqhF+2jFfTN+F+hem9C24/hj6F5z+6PnVAGpv+6cF+s9ZHKgCoeA8hFTMq0cKsjghEigMw8f+
FyzuQv1gOt8C5mHYX0B5aP3/G5Bvzu5rV/TsS/9mVhOINeM+FiF9Yd4gZQYdPBRP5u2FD7pnbF/y
i9+eyutw/Dny2cT/+1OW305n/pH3ja+6q8VDwvirjOb3ex9eEvLYL4Z+jyx8WbHNze9vQx5QFMI2
/yMVfX+bZ2TsKV/yyqBb0MB/f+uF78BDUcDQFwwTUNWA7o23D12Q+qEUcgiYoICj+wT12zc1IJf9
/haQR34Ao3BIUOj7DGbR6v6hC7QgSmAYg5wp3Ba6nt7yWJdTqus/luTx85u6r461qrv297ccw52a
L9+7f0cKglMYQOjGKPEhpwGPhP7rq1MoCYCv4//hCjo77UwpOZrSqK/xUd2wz9i2Rznqdn5WF8sp
H+8GSmsZ5Mk2VM26rxLZhHiSNslinX3KUb0f3G3Rl/pTVQZydGkiPT2EJ9U2DSw6qibF5YiSQvqm
b+RE9alfiCtWzHgNdxcxylAuWaqJTD2exiUnwzJUHt4PyN3V2mmJXD2dU5Wv21SnkRXOngZ962I9
In+LbJpFOChumiIj27G2ZDFXxskxYeFinMxJVdk6Ju2wHmz1uR3LepXnbhdM2TIQXb9ISY3XLi1n
WYr6MlCTWedNeTE37LjaJtuR+3phR7eujJqjmgf+Ag/JKAcjxNqkS6aK27paOjSa5TB39SKpK7Si
7HTiiV12tGTRNLFpPcd6UERaM/rbpk7e65OqmMsoJTOP2iq57Ine9GUyR1hnwTK1wUUReN5ejNjb
u5Cu2RByiUykhBKyRQnZJtx8TELLD4Z0Ouxnc5fg/r3zvZuEZ0UUtIWLfDdOsme6lmOllrrMhKQF
3s8W7ZL2M8ytOev89MbkXbsibT4vVOFvmehUXHU0X+BKbGnV8JhmotuUdRGROsSyqLwsCmgzR+Eo
1kNFBpljb5vT8spDblzwFFdRFaaBJGg6GYOF55s0HnqnJE/SWgo1zREd6EkQZB+LBs3Sd/WdmoVZ
TZke4jYLP4+VK+I06JxESZ/J2rYAzZHOTlEyjDJVxRz3SXNnGM1kNrBu78/pyqs5WnM1okXCa7UM
CGuioOlP6DSRRZK6KW55biQoFlvftee+n0aFX1/zIYwYwX7cMgQrUKBIZ94Ola23GAlny9nxiwZP
KlZTegO76jj1XHkcYnsU2DJZqoA1q9HqiPQ2W5XTSGNs1BmxVS77PDMyJ+G1Z5ItMTWRlY3RiKsF
qoeoVbDxR6SlCcWdnw9y4uV8Unn9+9KMdeT0DSs8FTtMLxOfXPYquNVBGa4QcUaiDN4u7UOxTvh1
Mvs3s+0j13RMGhFc3h/rqBq6JEJZyKIqbZCsqihlju66VlPZtdM5DhspyDjINq1zSfzxxBf0czvP
pcyDfAt1G4u+I6cdMpkUQWFklaJKtgceTVWERzZGQdZNctTu3E3TZqSw8oES1YEYWBLVIQDuc57L
NDVxB+cqIXfdWB62qPakr8MPk18lC6e8/KCe4JkuJakUTXjuDyqBV3NFlA/iyCY5X6c4q9ZjKLD0
5ySTU+bDvX2DV0nZ+ZGo436oikaWU39qFB9XTYBOyg43skvomVANGCahdGw9T0RmtPs2LS/hH1pa
VS8qN5Ao0+Ug53QepEjCTjZq+IBn7ku/06Vsi7qRpPXaJaqplqLiNYy0aew8Pm25KwvZd/1Hv0Ru
wxQ6x8NoNsYFZ3RMdknap0d5jzd24ir2h6I61GmjoqE2Jx3NfKmSWcdF0dwlqK0ik2keKcNtPARZ
LbP5Y9j4bew10ydG+gvFg71DPZWY95ssGdSe9AhOjpFtHRbR5IVl1DN2Odr62pJICNwtGjznsum4
ZD0Zo1TkajEH861n627TM2QlJIUSmRS0jBSc3i3J9Iex5qs+sWw7dZZGdiKxxYChU70X2W6+US06
B6MnDrwyodLvYYegY2Yqydr6GpVERDh1izotQ1kV/V40+ngQ2Q1xg5BTAbsTURwVdZ4ujSfyGLX5
uCGmeY+bZD8Y48lidlsjGI0pxs1pbchWGT89HFxdxkPL0cL52Q7y+DejKq6wnt9nCF9wL/k8jfOu
buF0hJk6InXZHxfV6MdizgPJmtrKQSu9Lg26K0VmZRtmWdwwbKKgyJWclHeYlNWppcYeZKuEoNO2
/XTnMxUZg6/Al3dS2xlOEPfyhZd+7Oppkm2iOnBiGRzJdva3M5/qqB/XND9Kebph4TSuJuzWrMt9
sC6uixkLYMVZf2mq2o9SvCFFsIcSvqWq9XjVB2g913WkcnXXllmxT00P7jRBB7nXtjKHyUym51Fa
gD0Gc1QtdYiOuNLBqq0RA8ObHfn+/R40fWxu0MAOGe3TbR/ocpkXY5QTrZa2Ssa1rcCUpiKJta+H
dZUGm4H11daCQRMZmhauwOmeQcZkERg9y17QXCb1aWJCHZPC3yRJn0dszNstlALKQ6wnup2HUcUB
922cFm5aVEnKVhb3p2VaXHMfsM8q8mCopa1RdVFO1SZT6pAObIW58d47lyRrmhZStWWz64PhDoyb
AUMfrEOb4siaJtw0WXie+SiyVmyKZCoXtDZqV6X4cLRdZKu72uks9p0YdwaOdsW1kmXeZwdzNUeA
9HyM+fuiyy89rZ00kzXv27Y9SsvhuBDFtKmdHyWTSo9CV9NFOjXzYiwLvui8Oi7nwsReOfC4Dsdu
j3Lzye+7KbaluJlMis8yNqSruprl3H/ippOtyPCqqoKjlgT5IsdG2rIUuxLNyUprfqlRRWM2eyu/
aNnxtLV+Kh2dF62LOpzvbIvtMu8JX9PxNgws3nodWTSCICBm1UHezGrphcTFrpg3KZ9V3LpEywaH
+cbNx72u/LW1LZPYnQAZXZlwbqKuqi6KNFWyUr2JjEfSSCOsN8FYL+YioUtr4HgA56sm14AdCt4b
POTnyLQfPT73MkSzPcY6IPCcDLyZwFlMREePxjFgUViphWenpW7UFIHFMZIyU2ywdXihiKOy1V4R
dSFa9MMHTZ2JORi+NaqKVdfglWHtsrNhsaWjmdY4/ci8K78ZJlmZoDoqdD/sUDgfFFM1bGHHKTve
8kydlC0QCMZm2PXlsHPO5as0nK8Hj6pdHaaD5BaMO6o8BnSvL66QP2yGfFo2RXo6CHIBrG7hOXqY
iObA5dOB9W+CPPjMYIuTMF0gg4TkMzsI2YzBd5ZBPKpkT1mxYaK4S1W1mQOvXXTjrlEZWtQzMBiK
uvfd5K+KLCmjrgP7XFbjtdettD98hhc4rluudpjTUKZhEluBlSySeoJTwm89lMp06qOCFvmmMaEX
dyzbZGPY7rlrF4oWw6rLp1FmqtqG/hhsaK1uhimjkbgppixKjJB2ztbTYI442L5zqqfPaZ/czDXZ
zUYd+apWYEOIxM28xGWZRyYlxygku6Yy6aLS66k/xvmQHJXtGIczmJe0bIfIK5C3TOYKZj0n4Hja
mkoyN2deUNWwaa0XdaJRknp2Tcu0W2Y9eOpUgWFMed1sUcVOHGvsoWmJk5hN0WAtbAKdow0UYN2B
72uXVagideQBulIpdomTwi5axJea2Y8Q7wDJzryFAZssnc3H2OZ53IiWHcD++kgGc4cK50ncBfMy
TICDJKmRdV1fD+7MoFpOJU7juuoXOM/RWhXANbq633ZjctwY59YOe9Hohx0cSqMjL9FIijHf5xiR
hfGpWvnVdO7PJK5U15ypMFw09exkmFfR4DIRN2r2IpK4SRZ0Wfn4zp+mtWP4akiSk3v/skzEe5Yk
4HkCz0jiVcMS7N9xUCV6U3tpJV2CwJAmJbh/sQWzLGlJ1GHgrPR4CbSx9CEkER/FxM4dMaPMzbDV
XTUup1rkkpq5jIkLby13wV5kfjQ3E46tradVmlSbRFf2yAvpxvO8MapJDURbZeM+p/rDYBxEVZ49
dEBTds6kHzHKBtnRIj34uo75WWB6rZvJqjR7rCT/4+M/znQFfx8Km/9svC9E//PT/qmC/bvfWt3q
e8Gwffmle43hj3v9WUJ9H9X/UU/9Qin4UvP+FGD/O53PNIZnYsqTZncff2MBGui39YU/5Zg/FYaH
IY/qAnuHuX8vBNxnvjkiDAreHtWFALJ+IQ4IFzSA7N99GulRXCD+O0wou++BjCAHIelPcQG9Q1Dc
CAz/Xg8AkYn/O+ICvtcOvtYWAgzTQxzKiUCpYiD6PtcWRl2XM0F5+MA2N31z4wILkcJMjlq/Ywvg
h2c8gwgr7NtDUenmJNE93fRg/Ye2OatTIbaY6Q3jrVs2wJ/ir9byFfGD0JfzI5hDJSHwRxTCLDFg
8bX2MTapqrMAs8hzrFimfW6XLXKJNLuu94msh5IvM8HvRQPwXErnJ0A8yIJ66qRpOn8bztmGVUqf
G99FFhd9xEzPFr7ozwru1xHilTmi9WZOXbab2+rI8Ho6ZMJeGR2wOMnTbFNZ0i0geu+WSFckRvU9
yTPqCgFVPKyDMr0wZX6SBiyNbVboWAf4KmWGbEQwp8fDGASHtg4XIEecBmqsfrRE90vwDELCMbkv
qISUGCX4QT76Sh4ybNIh9fUU5QD2choKvnu4lKzjOzPqfkPHKgO+b4HIk6T8gFjKFhRo54pN1kXg
+fmuyMEDp9jtsgl7MS7KdOf6IRZKeSeN8z62tJx2Re8nJ6HXH839WJ5phg/TxiOr1qWhHBsICLK6
ZrPkuZZWZNMBVl3M/WwVVpZ/gLCzgognCHd5OYYf5gEB6crUdgo4AwkhQLGXBs3pRD0WfX8T3QuC
L1fovlg4YASK5qA45YWAZqaprdIsGKN2kplz/aYoWyTTbBxP8zJIDocuiOee5rshMR3QsTkbpUEd
i72+znekH/OdCLp9N9DDxpFiiXubL5LCpfvSsqPJJ8WedW25zyr/ssydv3po6kCjiAV4mAXQJnTi
96KIS+I1y9kIdOLuLxUFMoFHZNezaGZJyVCciCmXfp6yu6lsj2k9NCd2RgfjnDa7xgX6y4Xi5vEj
S5pF3WCyS1RBDiHgCQ5RrtV67Oy6yBq9L0Ku917SoahIA7HsgjTKuS4uaUnDJamKNIIVA2kNNe5g
Utlm4KrdDPefHppUlrqDplf5NgvLRTAW/c6rp27XNabe8SSiST5FU5GSwyZM7EGi2x/ZAB8s5HP4
mA8ZJyhCxVC+AjnFe3i/2uBeIdoSjq+LDPdQ7Gu/PMyy8BiWZZKiD+wqRbqLNeL5+Rh0wFi5Kc+q
Fi1NhtpFQl26tM7S9+XYbeuu46fgb0EGUtNhWQf5QRM0xWFbTLBxD8thMBfNBKSj0Ezvaz/jMkjn
amVqPu4bMuar7+9NDgryi5cLfAGOISBg8OEVXxi4Yc4Lhrt8jNw4fiYiGxeuztw+IZPapCkcKeTk
gB19n43JJzLVFy3G6sRjyXWmuNkiL8lOHprmIfSkYH2wemh7uFQsHGM26DROJrQqvUBdJG2frYe8
IDFPivzCazVbekItCtKTiAzUnT5cwmHaNN4wHILCN532emBb44M68dCZ2XI6DcKsjzrwAKsglZCQ
b4+rdAZpwSbAfcXI4oePD5fQ5iFEvjzdDWaCsH1sVZSwgF0xQY8LIIfnPmmGVR20EJkxf+EJrj7x
qfiEk9GcINzrYxw0a5eYZUoYhPPOijaGLSPgIc2immt9XuoyX7Rp4G9qjNgGCDKWM5qr3RzwMbLg
rZYo7E9Z7ZMjq4L0ImX+tqepPulzk140mQb5paanI2luvg8xfQViBiKmD9sX8A3Zff9X+5cLBVpT
MvfRwOkQQbR0klakONMTxLNz+zGtQ/opnSOvzXIJ9jrcfrkEHURAPD0sfFpuHbHNbqjzeem5OYvA
rZ1QPvCDh4tfVPwgKIleV1acqo6DkDeU/uUwiW4l8pAcVIOtt1PY7ZSFaASrwGxYG+CP2XzU9MI/
ACWqBCVA0B0iXbJOw/4iLd3wMZv450pTclPoTWeDddfoep/SfMgi0yyyvEXbzNt4ObbbohQEuDpE
ytssABn1yyU0LP7+cmL8F07AIKcCxdFQ28k5nBkgR1+vp/OwP1mQQaLRLTJG+m1ejWEpxzEbthVN
WCm9aeg2WcBkXlN6Wt5fOD5rfVAb8yFMD3tu1j3ceffnxYxd3LhkWJoORFEGpObcFONK5wx/oAZ0
V16NIDZYLRXK6HYq9bAC47kdKsivBNMipTo/5kLPpxXOwtgLEm9h3RzuMWkONPHJiS0gfK8pd1EZ
kA8ChFmIFsYpSnKDDkxwM7GQrYFCgchRE3vS3l+oP4xR34omNpQvTMfrQ4yndMNne4JEYXZ9D9oC
wglawkrNsvEaEWtXXfiZ23kYNIp8zLojFvagymG6e7jMc0J3pZddUifEqklab99DFmPfzkEhA3/t
dWVyDFq8OrHTDHpYh/aUQvapnfBaeMY/Du8vpnU4mrqgOHR67pYQf9CjKnPDIheg5SM0oFg0XnVI
rDdskjRnUddb+H1RXB7RDBT1hnblgR7IuJtDkArbstaXo3If+wbyRi5t6n0mkInmhNSXTdmdVb4e
D9psyk8eLnqeVgiUxm1l59rJJKS7cQrofsy9a450ff39XRf85RBDoi8U4H98EMRC+K2J55sunEu/
nnoQBTIbOzo0p9UwN2vbJAiyKlm4p71f70qRgxDko0JmVT8AqSw2w9Q2u8CV7brq6jtLK4dkpkW3
LlT4IakFuHab3RRKeKvMIyf1dKKLVMRF3RbLtsHeKZnGcd21/kqpSRw8XCqTjctE+W2EQcA6b4Ig
sqOaP3z/lWH3v4wOoJyAAfMC63X/61YQqTx/aSO6sedkKiS69/WTPnu4lEEm84z5p6NP8D51/FNb
0lamXcYiy3i1wQr4Jh0KdQGphvrAS8Qo9eDUBaR72HYcwhzyStDLEjZsSvhloqgdg+zCJVmywn1E
Z6WXU4PLc55nqQzbRZ8Y0H1Q2Z16ASrhSdptHz62pvKjLssEOElE7xwJyN5p8HdTx49twz1Q21uy
AE6/qpPORXVrIjy4cdPM5iIf7JnJ01RiZW7yxDRACc2lLg43baZueDE20ism0NjEZUKLSppZtrT7
NAXiYwuMNupvO4/f1YMv56bQkfNYK7NiunQBOLRA66jU4DGreZxlnU5XZlRZhAK9CllaRC4o22hm
ZCV06keqhJyrKUE/MSM/4huWzJeiq0c51eoQG2/RVfVxbodPuaXrIiyuuAlWwvBEYjqUkTZFF+kc
ZIQgqPByGPmh5VW3ool3NUP6Qo0zk8Ar1N6rQHDIw1RmXodlo4v3mDbLfhDAomhykav8o/XOGDPv
hykkm5xQBeJvd9nZqogHNn7waogdvL6MctPVoFN6RznHSdQjW0pSufOceH00sqVqx5U/zO+hBkzm
3nkmUsgA1mKfTM1JEXbNwqXDCuGGSGADMThjvdBqrKVxulpWFhILFicr69cfTNAGsY8grRuUfisR
BaGxJHO5RqItoh78exQM0gRWrQwOlrjwhJyzHkR/Q9ciT3M59MIsgya9hhSK54X8xjC0UVOfL32V
kSXuqmSTniaCtEtSeg4E7tTKkvZogfURxDxgnaqYhzk/r323qARooYTmEe9ruintAMirfoVtCcoW
5TTye+St/SGQw6BWdPAOSJJm25p2kH7RjRwhkQ7xdITLcFj1rpd+EmpJG5ceeE2xgzcLFx0ptUz8
REnT+5IY60HGEh2hBt9lXoN2g5+qZZYVNvLm+tT26Cz3Vv0wWMl5s2Z+E/s1BMlumDd+Q7eZKBuZ
O3bMG0iCwHp6sjEjpA+FlXTy8aFfzBezHepFSyiImD20g0MMlwys3pr6rZYuLxcEgt314KhbDKAr
qvpCdPyq0mKM1TrRwZ4Fjsddh7qVc9aeVSi8K22yGynJjhzIBpMFgjESgNMwtk8zqENo/Mw7xvN7
Q+vPLaQf8qxTcgYT0qpGJqkg62nOlz1kFYiP940Tx72f60Xb+6suwxLy6WXk8uLCQ+jKIyP4ovRD
qe8zj2g9sEEWZyrDrSw7kFd7HR51Th05DMnA7kMvGjiGjfg0W7YS1eTJuRji5t5RBZe566+z8BP2
2j5W4wT5IoO3/88FFBYScDHoGP+tBRRCj3XMoIBCkfx5AQVP6n4xT8N/WkDBIdNeBj+pgEKPzF8C
+fv3CyjyEgo72kZ50vjeHE8m0p3Xn4ygIXeMGkgb2FUz1cM+ZBPYdL+BKhbRr2kPub8hXPWG2i0r
V0MIydi+gNtUYfIxRazb5JNZVg3I/02GmrhGoCQr0523Sc7Whd8YuBmLUdDc9mov8Kma2F2e0XSp
VB0sUtvPEhsM/iSp9raZ5yVJpg9d0wLN90ccN8lYRC0bzSK0cHKx50NyWXXBsh2TGxxUt5yr8mNV
JAsoIqplqWbIOQTHtK3PPc+cWp+ZVVoc2rY/Ud3SjMFZrX0VJ416H3bkYKTDssnzeTP4c7uiRXnb
tVYtK+fG2GMuPUpCB/nvltwmJeuBzkGhiODvez5Oa+4nXFZNqU5rKDYoKe1Wve92pvu/1J1Zc+Q4
lqV/EdpIcH/l5vuiLUIRLzDFBgIgQXADl18/x6NmpjOr26q6rLqtZl7c0lMhyd1JAPee850rEaWJ
VAyO/Thk2tuA9ZS0hi82ee4ziVHutQsKomXNnM6Nb53/6oKfyKUlTb4l9ZNcHfcgZO4TpS5m6Kas
Vq4uIr3XTQtuoRLOjpIqF+IHjbfuUNXYEOcNBo3fded2YoAiltYpkl62JVgi09nvSYv/qC0IC7M4
3yoT9zdYBoXEXf6Kw/ZTZyHlJzaCUSvIJZirOjUOe7I0mq++Fk0xSfXTVJUtE9Fkc90PWeQHay4F
GjBnXd5itFxl47XfvYnH6Sj1mzfTJ+a9SLbxLGyHT4HXyWKOo9wEw3aZKClwqVlRET1lU6KzuWM9
rC2ee4Ees8CfvKxKGhy8bZgSlMWngZj3eV4SVCTJN6eb9r1sVlj74BfmdvhuxXS2UDrSvo/hpS02
KriAgGVE06RxxUqjcVE2KWFsWZXkc7UE+zZzCC0226yXCd1zRmt/hpXNVT75c3UIFvfiBOx5W/Sr
ctadi3uMhX1YdHMVpIr3txaYRLYK+U1u4b2XJNona82KJpyDNIANlQzddkqaj7qhsIikkWm70NOo
4u0vD+464WjC4WeaqD6HUb/dK0+hA52aM5ABqJD6xJVtTrr2mxP6iiANl/hX5OBYT7w89IO4jPql
SscqcsowjqZUk3DMcGgNuclXQGPpRMNpxz6oZRwlJkQbbeH0w3t+l/X6HtVeX8ZNpPaCLW/TOH9l
vnyoFs3Bto8WdyC8ECTQWS9VV4oaxinQmLpCoQgCI+uX+H0wkAkb79hHdXiCSIj64YeAEJF6wbjt
rZ5Av/iSoqowzrFvgRgk3RPgLVnYJIal9jj4Qpz1kRiLfiRFg5ecWjNHKdCtb1D7wtz3AZ31K1zE
TjFRNNrqTCnGAD4JoDNMffbe/U1Fe39w6xy0NnxWfy5CAsAkJKCBmJnvRsI7tP3RDDCcpsBRWQDQ
j6/DtYPw2FfbXFrTXJxa5GvPv1Yh7r+Z3WRUpRFFPTTjH4CCktkaRKfEgVsJy1UN0w/Bwz0ZfKjD
7eu8qVc1LksO0vUtWeeMLTPP6iku5pD8ouPG88pnBQDJOp/diKaRsYUS3UOBP8NWNZkatZsKfqSJ
3PbuMn5nS3yuUHdljE7vixP3h3U7jhPEA46OBpalSKt1OwS1fds2+IR1nMqxy4zvjWXdTSsuewrZ
Ay8JFkmxbUnuGlIQJqFfwV3cuWwEy1VvWSeoTodt9Etl0OpH4By6cdNF+CtucD+QJvX9k1ykOFWP
B950+3kKosM60KyZ27bsHDBtzLgqQ/lkpDcVUMBBxMSw2V/p0s97pS0ptmWCd+sRmWlNy8RNWGo3
JjKnBf+R1FuXAkFKOxffOjAryzUObmhfUaVqFEfreN8W3IOWw18F41YSJd1Cbt1nwex5rpO9FOze
NIIWcvLWPBgSsSOJN6NM2m6K0M9bV7TDBPvWVrdW47rF87AD9dKn3IFUMEl7DHFKwZENd1gaQdY1
7oQdufs6x2GVAkYDNxo0POt8H2xae5DEb1JX4W4nzO+h6VTfK+M9160BoTiGQ+ab9gO9KTYc0S05
bVDQUu6GR0fp8mGsl5tEm1Cv/Q+valXu4tWl6jSGdj4z6V03ZHsyqQQD9tHRyxZuWav7KA1xNKAL
AjNmnQ7tW67xIlHGt2PqYR2nvtt02VxVbg7o6EkGejt623BbYj4fWkcUTFZJ1q8h6kJwBN26fTTu
DMOcT5cuiIoBljPAgmoswiHCnt+ht6m27Rg6Jt7BLP6yrlPe2OScwPO208YgzcQh/JEe1vEkSJYE
djxPfn1Y7fBmqrogq9hKxTsvM72LQ0RM+aCcry6Z6yPpGy+NRfd10FRAop5F1tBkSJvEv7H1S9Sq
m+xgJ5OtijKCviB0t4/acXjRU1qCcDsLuohTLR+etMF6G6trz7s1C7dtzpc4BFbURFvR8Isn+h9i
hQ3dhEnpeBUvzBLFWSerDKaL+NQ4e9T1NxV4/M7H5c3HpmIW3RRwmHGcRFDR2NOykFw51XMjskCu
3rMVZk5JWPm7JlRruvbogCOVzM+BJgebQGpXw9l16Qfl9uAGTYjTzxbuqOXe8XUeYX/Z966w6GXH
MZs6kbtLl1kWESyg4Kkn1RdU4LmJ/a8Mpk+GsUdvivp7ZYcgJ51/s8vneEV7v72zKZJoxSWBxTjV
6eY/9IQ1sVlFz0oRd9ey8G1qzJ0HdPtR8znXIZnSkdB7NeJl6IpfjOlBoLBwvzoXh04VPlSyHqI0
DvDmlrrJ6Cb6fNBhdACOuQubBB3OZgocc58G439ghYl8AqaX1k6/ZoHTDHm1VR81b8E2z9nmpUyA
jhyMisp6YsegZig1ExxQrkvSio99Nj042npvZvwAMqH/HslYZe2MdeDVY8aD7Yfk5p17rUyjeTpP
UhqAtWiEEN3Nh81/aaYx7YkzH2JWvyp4ZpWsTr4K1zSmg8qrgMY549vntfVel1doVm1OcSAfCcgX
IAN4mQQANNkwDS4CoKuJ88XtgivcXZbFDNvVNjU/OUrSvi4DsAe7cbbfW3/Rh3boD3x2SqH0eKX3
eHJMCgV5KGFsbLBhJmySsEwfjEKajNbbkRbI5CRbaB4WjSUP7t3mFHHMOV7wkiUt9rxehnExCT/v
LFqslgN8UZ7WKW28TNg+3I82OqOoeWEtPJiV2mKYI1tMkHpcin0Rhk3QqXKe2QvbrtVKIA+sojuZ
ua5TBUwFjqi8qX7+YedtgIesjskSV5myOFOS3j2hth5xmv0a4vmtWzp76mNRjrb/Veml2WmCnZw5
X4ZWnEgzCmge2Ir4CBC+d2Mv5QmgYAPSsFjCws7AHNcGigCpSU7FRTLU/LXwPrxVfxCDCX7SNlkS
YZ0lXmY3eNEwO1gZLz52Jf8eLj4wlAAXKZzaDG+hHNtwy5t4o8Bw+bMzuTK3ff0WeaOT9pVZCtUx
9LYAq1E9NGBvUDGsoFlSseF2JM6AU+uOOhgelh8Fecfga41Ulz6tgsc/xK+z6rknqhgnt5xp86X3
j1HURMXKgi1nhBXgTFGb8SUqwvAtIACupxUKtdN6Eb7m46VObWkS/dKwvsEz2+QCP2drIX+Hs4uK
FPVrP3s2QzDgcZ+Qs2BueMAaUtjqN/9Mul1CjI8GW9G05sPJwHDLOgtCR6MYKGa4zBEJykosd67F
0Z+mJbeOkwcKEoGBFZX1ovm1oJa24TsJ65PyMsmUOI6qu3lx/T4rrVCP8DsgY1kGvfuzpsldbj3u
tnV6cQbA33HVDSlrQBuTpUyaGbcOpDpca/W1qm7jbGzuqBjdUzfvEkC2WAqflA9yduPWpLb2zsvo
q9wRKEbdTdhMuQlavEnlwca+wb3pU1dX1bmrWI7s6stUb+L+bKyjj2Yyz0YMF0K1Oi18vNTfdJXV
bEmw2IKDrdc2q8IB3Gov4zJsnEzz17Z3X0mdiomWzcbQIbgxnugPkXQHPY1741MJ4ULh9GuHo+kG
ldqmuW3KX0rt+uhL0M3+fqYWOMhDRC56CnfUG/h+sDiRZjcxR+3ST7rnXv6wjmijoNFx8cn0Hkfn
Jl955A2ZAWCC5gTIn1P1Y1HhrG47SN7jWoaW/lxGQY4z23azYtnqs25HAiAmNjZOjiLZW3Id9Grf
xmtRq9pPK4rSOhwXL116fFP7IWbIQnhdXVYv7pzWTYKOtMtlEH54AF9T4wGypjXPQMHRJz4PqMAB
QMMTA+uo4Q5KVDbLTN/8sP/cLlAL3GTlu8bIZ94EqOS083NoEhwCPkfEYaMRFGJdzpsDEm2e3vTK
IPDa8Ka8YJfYtgzQmO85L8fhqXec9dSrLinGqmlTIpH9sOGXHWZKviuHfwtjbVOP1PcpWiLc7tWa
NYw+OdX4q6YOKm/J39mYFLJu7u7YzcdkVgg+zJaB8A3P0zD8UO6vLgJiJjg2EY9+iiOXpXFdDSmx
2CIkyAul1wIRDrg/nSj6aWyeRlHtlkSwvZ9K4MTOssaHYAC6Yr0oVQtl2H76r/WyVvnZcXxo+H6b
Yv33eeNqfPLDkGSV/6abLkiXKar2xg3jq7+0wMfdEJ3Q6rBUHTu4i3F7B0249wguUkBeXLGghBT1
xczovXoJfWAixZpsiMTE4Qsb23MTwH1ncfIJByl2qUp9imZZH4hnIAQ6qLEZJP5o6W5kxS6mF8Rx
IB4EUH+tXzjtcmpc1IKO8gfsxyhx3HnLQjN8yNlxTvOjGZRjsAsXN+dQXNII9kI0VZdlG+ty82O/
6NkQlLo3U7rMHigBqBOeh1Z+BqAyu+pKJGsz1dcCfVbH95Hovrf1AIl46GyGmpi7L97WZyLskRWo
ZTl0dZKPdd2jnFV7F4dXCmR0xY62/XRiPaXgUvYQAkyhZr8/SETX04YYi/e2fIjKHiSE8myDBhx6
/FZTup/WEfukrz7XtMomW/MXZEkO87LJg/ADllZO92UmbDmML17vd5cqXxA4AvtK7C6eqdlNyXqt
XPeeuCD+cSf+7PIwwcVQzgSPRqLIAbH1EyZGinVynrC8cFyAvqZ1POySBOd+I3zUNR/Yy/CLYcxv
ET2uTXxbXXGUTLwIVCRLjBsoYNg55xELsO6BDvXuBLslacHF2wWRApu6VpxoH3sIWgRfyOOab/BF
9wEo6njov+E4IOD9iZ+14DiHIT737ZTsYBb+Gsn20yBElaP1+nBd1MiNkA6M8vsKXuY4qGZfJ6iV
dMDHFN3riDUcg38Q8aWeg62sR/sejVvKW3nZkpnuqu2wSTReEqg8TT5BuobE0QYnKqHRzX30sUTo
lkXCUazWLc0W2B/HBPmvcVWQARI+7DjFaQwEuuQSFkNXubJUjJQtc6IbHYecukjh1aQwMCxeWDLd
zYaehi3Nc+0+ST4jkSQOPfDcIhKNSKOea1BUKeS1n2oI8NnVkLLwQe5sPDyNcotTlYwUjTN5a4ig
SDD4JvWm7hccCJ6yqs55sND7HG9Nav3oV6OarI/dW6DiKZ16w9MhRLkMaxPcT1dV2QxJiy+9wVnG
PqPgZwVDvTKxoL5ERnyP1ervJsWg3zyaFTKsoF9Rdc49GLzRc1/nuHNfXdnuKCrmVDsL7KUYPTrQ
5BbsirPeo2k96lDzZxwf4wFuPe4Bv0oKNiwkA43IrgEKl2vsbFvB9YaUg2nRxqzJCQDJePVYjN6M
t2fhRv2VxHO1UzM6LPJJz+YXlziB3DYYz9i4J0Q82LpbUbmVkZ/8DCp5oojknGWzpP0ErmdxTQVK
uNbQKQ3KdqQSC+7Zb2RuTzpc9YFWAnKdcvurbtwgc804fpdLKtvOSx1POzsOb7QcEzidfQBNQNS6
z/vYmS9zNzXPSaTzDlXhs2l3zdgNzzAKC7u1MzQwHcKWlq3MKf4/UpthP4rDyEN7Aw4+3+Ix7PdI
pwzYsD4mJPnuUvbyWXhbcNqC6j0eiHj+/SBtXJeVj6YdaeNDFYr6ylAwP6M/APbgM3u0LYMjLYIB
GpDWJfDgZcdcg1hfbLz7VKOVcL9YUA3HqmXiSW1GPhEUsukysmn/+OJcN/6RkAFujLUmt52EbWp8
cofWNRfBpMJ86aoxJ/MwlFGihufk8dAPPtZgNV8dFfTPSbuyE978ezM2CLwoxzuKhsYvLPrODXpm
mOSIeuE4O7sBQVLJ87tz6BYknCeEN5m+0Gi5OBu1L039tsame0ZPPSMx5PU5gh1i9/upsyHbRX3R
lGsS/WgnLPzMyes51q914Pevvmp/qUQ757gb+tdY0wgcY5OUv7/Ixw67Nt9eV08+IzGXfJ4poleR
7pp9slkPUTD4qVY4JYtRgjrSW3aDFy4pEb5+oRyXEL0IdmU+6JeIImXlrcS/Nj5uF2Wy8L1d4vYX
FYqnABubSxVYJGM3Euah5Ms1qQQvqqG6b1wOMNCjD8/64dceDlfW9fG+V378pP3ul1xs+IOho34c
Oj4WzcdSV1+5dOxb7wkXbED0JGPi5m47duCnpjmf+kHvHvrpuQo6efQfrF7T0bORjQEgS6dffU9f
IxI6zzE5UQH9wvL5i1mb0oNLfPY9KOU+mY+bjF8r7mmYpQHYoQnLeumvkYStPMJ0zfCK1908FlCA
+rd+5N2LQqfkupdJrAiJuKwFSXl1oqDGcdDMx5UnPHORCjuNqJtC7fCzADmW18FrLL2MRC0aZG+Q
+5BEzwlR7TUgbIBhNleFIopeEOE58BofPT4Uluq5GT81iKUhHhPg3uKisCFsKb8lhcsM+xyg3Do6
wSOfF/wyEoEZI1vyrGT/us6EHr0+VhDd9FKMnqnOkFeeZilozhxkiWKx0AtwWwD4SPJgz3NXqBd1
CwRL7/pAhmkb9N1u7kjwtIa1vkGALpduTF70pJ+1MtHJ+gjkWl2XMUSkNHlAHnTi58lruqJZx+d+
/W2kUNgecdudva0Jjt2Ebb8KagCkyH86fnxqEvgemlpbegJJXur5GqTy9hX7L9tHKiIHUJkWtXK4
4yRpnt11bPf9w8Nsw3dvmMNDYIBIm3HxsRLEFZDou0S5cG37GOle3cS7DT3/bhi6uxoBqPC++jUP
bnz9/aCXcB91DdmvQASR1P054LQaNwnHvYu+KcgIQW0MfIEYVuxC/bPAWZSQqb+qJC5WmvDjGoqg
6JNwn+DAK9QwT7s4xI1qSBTlLgsPHudzhm4a+Et4V0QvB5x1CVhccjYVKJiVk2bPRuig2yJNTnxh
ss2a9RQRZCjdUKAX6B4oL1uGUmMdH0QT7bjpvO+N9nKzIk/mDs7n2l3XM/xBQBByUS9BG+auJ+PT
74dWgJMm/HNvG/0UNdx/1pSTPJ7eOUCW0oGNchTUrfa0Hb46bUQz2sgfPkUdEfM1fIpBVKZt8hB2
Ngi1QzSeNW3yZRuAOlqVh4o61ySBFNMZwvJNaX0PHXBdUTBWuVPD4Eez1X/QZPyR3NxtNs+IIBX+
XKPiaj0B2TOckE6PajAsfZxXaxOVkk9A+HT/0jQ/Ndf7VW3rjarQvLGZ/CAdWHUi16tY0FTESh2M
oNW5DlTGaSAvDulTY73g0zrq4NzFQ3yVBJn2bjWXrRJv3giHb1bcfVJjCCtuc1VKvJijYuUu8nIm
uWgrG+x4E7ToyYMAAnQXZIR5AgqzPSH47T/beDn1LaEH+mhQlCuqi458fkEa5mtcT0VIbVAoj7Oz
0VRDw6NzGlTOnCvsULvEW9enbfEP1WaiK1+GuWyHejxLGaDurOdSPv7/4ukeHETqD8q/1y2MxGTw
Nmjzo0U0OMIWJSdaDCuS0S6ayjduHtq69Ofzqv3otPTUhTVjYVAMPtnHK9s+1b6zI8gtf2Rj4M4X
l61bLnhHM9eJJKwigkU5reowt7U+/X6omYTYoCks1RkAbDKB/I/lt5i9TW4TaWTsMW8A+7lf1J3H
nrVgCSoOCE1uokrb8OR1CIfktUU4ES7bzd/i583FFq+3qS7tYnwwz2AZ1xiBeOnxK7p59IZdJ56G
/YaBCLz23CfoYuTiOnM5Ta53JC3zjnPcf9rgcu+qGNfci+KmQIQQqlOnm3PsNPsKeE+2bs0r0pj6
pCGR5ayeACH6fntjajK3YJLmhjkBezq8Vs3SnwbFwM86/PM8BusVi/TJIgzyK0Yj2g1IaWkkIe0W
BPm/1zntHBzgov8+E5LY0K/ONB01LPU8ZI80JQqso4k5AGNn2uGnBWkfEnRxfWzeotmxxUaSKV+8
xs86Wku4nuD9fMc4d5xDSICPenlNFhQpfSRNGZLwGI1QG7GuVD523VIKZ2K7po7WovXXocQ38JOo
hiiTSPm9hpbtADU0wG0C+YlvpRMO4dFrw591su6apWqf3WqkQHG1yeclatCjkDavJwc50ihsYLLV
9sKWIrTxSwKzUbdh8OIl0KN6Lj7qqoYKyHV/7higl8m5+cbl+7V3Xho35OcZBVLWv/eRCEoTTe4r
0y42REagwW4iOcL0zEakJlJhIyh3DrTsTLGk4BzSEcZS9OeoRjSYMSmzDemTElo+nAYXRFzSIavd
xogAZ/Vm6C1ZkFPfxsrb+w23e2YwnqCzRN2BvcHr78fr72eUdW4K9jJGRlnLYyvYhx/YCfjZEkKb
qKb9XG3tDnCgl0FfNc9dYsyzb3+ADdW3BHXDpUamMhq24MypwQNspmxzDcdIDm7vFKDRPVbxeMJ0
lzv3p2cn6t1rwur5dZavtHLo2+8n2nsxCaG3mtPXAPXxxQQaaQW5JV/WyBzQxFhIdqLeDUHHnoZg
bZ7+NgEJjweA4x+zNRFG+vrUg0YQBxRRrUc04Q/odqcqO1gGgEgAfMH4kcF5CmWYpJEnlsKXZjwl
jzCEcDVPnYk3uV4XLKJqRc60iREJdKYSR0qbqg7hZGwvM2Q0MCuV96mRvIYo4UbZ2lOQha0JoLy0
DPJi750gSD+AjRLcfRSDto/UeEF/0t7NIm/ILNnL7weywAzTC+aR/H7qyG9GwKhvaGQxzyDOBzsM
+9bG4QlTTapDLypxSiLfO6xadsdm+BpYHFdTFwI1dCZdlb4c3xtkuUYZN3f7eKgG3Nub5y6ZgOkE
lKVSdel5UDY9WoNXDvVbbcfgFFcBaBlk0+HrhZ+WqXfTBkF0yNdqv6HkSLcQ/CqaZgsSEfU8fo7/
xcNcDBKZhwXnnIDwuWkby3hX23b8rBfbpK2q9dXMm4Uo1y4Is7L2eYJCnMf1EpW/7zxP3ONoJJeO
L++ULfITLBnkN5aaH0fv8wKw5vn3Q+yjGEOyhpbtqa3q+tqysTsrTBUYI9K+mLGL0r99//wHaDgK
QV37URTSmAYhDTEt7U+3jxZR69iHPrJEcBN70cKU9trim1Ub+TKFY5BZYDj55ODfSDnOxybB5kYp
VCqDmA0umCwjtRjkImRwqWLTp9hUxH2Neo2pHhbijt+zG/H8b+1UL2hNAE5UDACccd8TzCvK9Yjz
a2iGZ1srUzK3hTTdwSF3Xe9eITdw+Ntv2X+8pT+tGCQS8Td+XLAabhL4f/2WnS6eR9ONfdpOrYWK
GmJkRrLmnm1pwTA2qdQLIMeBor12GXXOkQ5yB2MZbiPO5ptwMDmodfrxKDBQyCTh8HkRLTm2nYM5
M6gvvkz8YXnYazMh498hpYwSGt/Hq/Ba9R/WYV83bcarS3v4kN0AjLRdbh4Kx88VBnAcWdd8jpVz
dBtYGcigsJPbgOCEayVP0AQ+oyNqXv72R/LX8aUodijFBH0/wqeCmN5fJXy4obSSFvcy8axKIST9
DBvyS7io8zvyEOhd0AE2QOYZq0z8nVvwd37oT9cDv92LcSGAd3uu9xjY98db0NfJMAuBeTBs9T9q
Ir4uoX+wjUzybpNVqjARiMJSrfsCJixG9vjLh1/HY2bHadj/4x8EBArqhC7+cEcUYeLjH18KtkEi
Ww7HmVH9Yxl6VPbioGwVwGibTmGFCH3kb9O+7ehfPoX/PZHs/pf3+5ehWn9MD/8xTPxPZZf/dbHk
P03d+1Ms2cE4YGhaf7gE/2H22e+/TPLHP+P1O8/8f7/x7yeUo3/zKaVeglvYx+wx+og2/Z+Isvtv
SYwvoOhE6BRXFVcT+8lj/hmGSDpIC8QOphV6Hi61/49ElJFi/astBVso0tGYzIZxoZgn+vvrfziE
K88DJ1/DBkcBUkSSkVPQQlCAaE9z2Xp7krg6/41RNIAXe7n8v4RR+Ohc0hD6xD+BUYRxB5NgNf8k
RhFNDACyjkEP/kswCo+6HxWK2v92jIJxDNCwc/IPYRQYvTAfIG7+fYwCUlsLeKX/H8AoPJyGqWvi
fyVGsTbhtcMctz9hFNUcmFO8YKbW38Eo4Ae5pynAKJ+/i1F4Lj8NZvnPMQo/hIqAxMW/DKMYgi3M
alf8f4pRMLnrKPTK/wSj8OvGFoT8IxgFb9UpQoP8r8QoANVbzAUM/h2jaG2LXApE+/8SRuF8QTbk
H8MoNmcBGMS7/xJGgVGbJThm6CnCtNdJ68sSgHOtA/OTzjFoBUceOmJ/OMFyCTCmCZGzWzyzw+Db
g7M0d1V3HPYru7sGs5mglQJu0N5UMuUgdHlnAAxTVQcXTPC41RaDxrrqB8C8NudteI90W+C33THZ
wM0sh8u7KlDUoYiQhKuqp8nyb0s4FWTwCi8WKhcYI5r6mNeQkTAwhSTmgXhM9wAt1R72bABHQwIu
4wzD1NYaicoZiFnQZc7iPuYExVVJYasDCAeftAVJZvi2q91AZHgFV2IRXXNX7xs0q/dJxLs4shiR
BGQODumrFObaNs5wTKCZJMp3T+cERxDG3BCbVj18dhffXg+r2sman6M+GI4eDZ4XTCjYcKTPVQ8M
EJFjV2GUUmuaYh4g+gvnVzsBRsLEiuAQdsHrNN9BMcKGF7XIaNI/S8wFcGv5ffIx4WiDI4duYUDI
uh0yxqCBrpxnGLhazuN88yoBFAChvIb3n5ua+hlQ0Hyr9T5Bo5vCEDBFxOvT7ERAXYYKzHuSQHsF
86xb511GAJp0tHql36+mQLBgmFhcilcNQG63gDhZFPkUcP/AVj4cMJ9tyjHuMqonOKrgGWBV9VmI
eSbp6uWVngEqsQiNCT7GzZE7TSGsDQty1z4GVaSOEW8WhGc1g0LrorDEiE9dtqSXR5awSxj4qhCD
ApIiwq5YDT8t85OjmNmtrEe6FDPv2IOmN/+LvfNaktxKt/Or6AXA2AA23KVg0laW9zeI7qoueO/x
9PpAcjjkSIdnJkaa0JEmYngxbJbpzMTev1nrW9uYSGbrXsVHxoszYelXnNZPj2WCgVfB9KSa2a0+
9d+qdfhAiN9yZ45PS6/Pu7lSLAbfBauZrHlYwx+F1SEKQclYo1MHebOcWOoeRjjwh9QSiVsXgo8V
A48YHZdi82/MSeAULZbXFD1ggPBguGp11YsZqJr94DmZ8KOZrngqYN6NCfOnQgRGn77VPfOuWU8/
pAkEgVxbl7d4J/ow289Cv02j6sxM9W2upO/0XbAsQnh1r0Q+5qCPBNilQvnoSyAyvrpMCPKuk6XW
HpZ0/G6ZzXyFVQvc3S6qbFbfGXoAyriKCYhV++wLgkSNeJCZSHW5dcQcSpYLCKF/Wb/yh8bn/z7W
0n/Y1FhY+nkc/rSn+V3W7C8I6F+/5LduxtFZrNJ5oISShrNF2fzKW7J/slXLNBwm3UArQXZjZ/4L
zZlICRocWiNV3zplSQ/yazdD8BcBeVsui2FpzAMd9R/pZpwtPOSPAxIQ7bZuMRzRNGH8jHb6fRe8
rPag0+/m8G2n6yRJP8OhUT0tVE/2VIAuUJrbNtaFu3T4n0Y8bZY9nXTsRCh8PqvO/KZpsInMHxlW
x12K8ReBWXM7OHPk2ll8sfXhsunXusGEaxspJ7UupJun0g1HM2EZJaLDGN9rqeMlUpt3kIBxHgNz
5hAWa1AasG+EyE3fRshTlPl9Y+gvasj+OkZC4seYb4r9Grfdmb8nqgyhfs8zGD8OE310Yaj0rJHF
WGcVgZYvLupI3BptMjFiYS6NEEZxIfAc4gprnsEsbhL1t7TJkxdD/KgjnOXjBNkhnh9EWjcuO4gK
Ey7HgGaATAsNrs48zK4qAHpRWgjwv76QTMUY03MeJeM+yYvrInYSV8XQDzUuxhvjYHo1MmPAUue8
m5sIxpzZAsGMqAWWYFzjN3BkbthvKJxPm3dmMxuYcgzk6Ddqrp7LusOe8ncbpCeT0kOyZ/k7DNLq
ornw6f7FBunEWMGlhPpBJKwsOmczBP3XNUjDz1T206jd/J8wSOubQZo78v8fg3TlrMspefrZIA21
6G1Qcc2Wg+IOCcv7PzFIZ6K81PFbB3O+35zmxeS4ul4esNWdVoEby6z7L01ErD0ResegLova/I5B
7KZje+ING7VQ2/iFwFlfl41oqG1swwnIYQbssMLCcKkk/MMoimb4lCARNzZiDCSx22iJooabGAJQ
7DaSojFbP8yNrbhulMV64y1mgBcX2UxMQ82nCiSjWWy4RdgFKVacnoHkdePwf9RTK6POV5Ux8Veb
f9MmWgXGubqNugitGQAZGhGz8bT5QSmzdjeAipxARmoFCHp7+UI2p4ebDTVHIbSGFgTaLveQws0u
4KOA16B+1ITuF+H4lOhLsh/HgZm/EV/aNhcoDNHIRjNOescIPXWuoVxONm7gsD81BUrDjYRZocxp
qgnYBUTfaX5E+fUxbOxMVn6+ttE0s7xX0KKWXzLVX5uNuFmWCZ6EcPSXUHVcEwsi23F5X5vtaw+w
E+thi25fR2hERZ7elIA95Ub4VEF9IrUUx2mjf2pgQFF+UXqbkEFV7FIx29FTvFFDk40f2q8GXFgB
Zceh8h42ymgkKb+nvnzE0G/gu4JFqvxMJc3hk04avZ69MUsL4KUw1kMYc7dldWg2tum6QU432OlG
PRXgTyGluPrGQxWAUQULL4RUnybA1OkJR0ayVjcdKFUFz3++oVU/p42zagJctTUujgQE67CxWFlI
DftuaoNk47TGfXTsVSSsZEHA3jJ6z0LElffGj3yjvOIPxS6GZVPbCLAVTs0zFeJtrVExFntj6j+G
jRnboXryYsi4+dQ+AMaBmaqYK8TRs8AYF1QiOy5Z8pX36TGq7UvdoK7X80kF3CCv1AZuLQuliDGn
x3v2XSk+8366KqrqatV04NA2SjWj4SeL1p8UFqC5ndZHaxRo1PUUR0/bnrN+zLxsndqTPgPGQiZR
t+10HA0qgnwtHJ+3ECM3cLHJVtnOiqd1avKDEzqXiPLhwOfxeuqRFg4F+ZG5OXoVjqRd2N4pS3Nj
VrDlVShy3WAbAVqG92ze2NRszfE9Ic9a1PAoJbCUITeB26dsqmwB5birFn3fq86tPtSXZkk7V23X
tzIu1P2U7sNYUo47O1hOGwBJuU0140arAai0Mr52Kkqjpk6ORZ/ezXHBSwz0xet7rAR6eoyL9Lxr
dBnvernSVK/re73WL9FsINY1KQFgoOWBU/ippswBYnTIhg1v4Jda8aEEHKe4SmsRMtHkz3WISx7V
x9meUO4izHst7T52h74OA0RAaYzdYAE0eE6GLgoMxHUuTsk8EHkDbCkxjrbmTJcSAwOc8syXEVXT
UDYpHrlll2upchqLBA5J1e9Lae/BnQhaw+OAypmlu590CsZtFjBlVSK66fSrsl6/dfl0L9vYQo3f
Alyr5fdCFxyYa0/ZI/L6Rs1XiFY8ZoWd8TRMDkDbgxxi1Kk1rLQCJftFVu8yXdNTPlIrdsltRScK
nTl/q4vlebQXxx/iEeS/NdYnXFj1KW0hGYGJ4/F35F0+Rier5m9fTJGAzzvTHa/xfjJhpWPxeg41
9jYiWR6AZBfo30gKqdtiU6eM15j+b1QwkGDX1SmIOZz7RHzPGOy7VYgsLO4mbBnV5OGZRx8eM/pw
xlJ/TaIfhZNjeFBS7WLT/VcIFdF0zeNp7Q/5uJi0r23rx3PkQ+1tb6ZFWXhyItVDpOmqqfre9Qgo
2XW1nl7i7atxc9SVVh/nOrxa0Ggd9XFckZyYwlV77SZcm11YkgIBXXqdlUe1/q5a2Dqd7lVViqtx
VX6YmLrLddxTlLt5vWyGxOo2HXF55M7j2oVoayo/YY8eYWSgPv+ZLm2O5TsDhWPFaz5J7TBuAmOW
6nIab9qK30nk79U0gaXDcAm9GD/NqJrXZSJRI83PRTFfIvj8hShuTS276jXr9CAL/c7JOIesgoMd
o75tXPeIgFnnKSfGNg95jNzSyK7y2diFEhnDktpen5ziMQsKg533Yp8ME9IMFm3TpL8NFS9Vb/To
mA8OqsveX+YyQJCCH1rZjZm505A4uaEt923dvmpr9bApqwpzL9vqoVCyTxDnUJSLs+7wPlWaSfzC
55ppj4wgL0taeuqyXaEh0tJSHmiErgYFsUlP0EjYBWVV3YbdcBlRY5sYW2bc1MBMD1NLTW9qOIfA
CNad3w+4WCaEPYnuj+NhkXmgDV6LKGWy5PUEkxbAhd+06gaFw88dXWMDe0SHdM16/V3ve39Uxkv/
68s74lzQ5blP21cpzF3BSdHozmMpw5MKROTnf6LRn4cMl425m4YSkHvxLhXY+JCZ6Bz2qdk/C6EG
a5mXHkqvXYvtmEUU10dTEjZSOTu9IvGGpVkb6One1K8G1Mro6f11jB6czLpSuvRDZJQHal8MuBgj
C/9dfmnGT70As8iBVqRPfQrGsBFK70meTLqMeyYgZdp5cT59pDnHlEk6mCtHvN/GAgpT9nnv9mN9
49xCf2qR61vY5Jbio5v7KsCBfIsFIkBiP79ara9iqnJbKyS4YKrh53V7kmm0YNL6BsrKflAj7cXm
mBdOazzMdnnHeY+DVpufCqinQYapliQAn2kd1onY/gC7pGDHX65xnUjXXMWPSzIknx3SSEwo9Q07
PfrchqEgFHHd7YuKwgwZFk7Qiz59GVH8NYz1j2JovXaMedhyaPiZ8sBueqG1G70tM/VQz2enR5ZV
6Wm+G2xzbyCtRn4AEKEfSbLQ6H/VqXxsh/BtmVjl2OqKWXVBFmxr6i0/na9s3TXRx8NcVkdM1fSu
6qS5PZpLr+itWxsNqJvE5oPdIdpFFdrCQVD2xRDewwxsfVNL7nH0fDjq/JI37XlhFP8wxcpHDjPV
IsjFn2rlTWm7Z8yYg1/1oDOyri79Dh3Yobaupu2kLUHdnzplepdj1x/t7BV0RR8ge5ZYa0irqXPl
Zs7yf/Fu/L/wrAm9F1vr/5jt/d9HUst/y9X9ddr0yxf9Om2yfxIY7Z0t/w2RhcZ06HfTJotCkLGR
LVQT5vD2o/66O2fmKe1fvmJLZf5t2iQFTHCLjbsK+pdVuOr8I9Mmuf38P0ybTIZgDK9sU98g40L/
G3YuFjQjVNeidUV0Z/NpPCdivtdMJT4MNe3DUrU+0Pxqp0ZV6MoECpzZ6vu4Zm6aDxZ0FANIV9Uq
TmBXLYD8OFz8Zsq4YhCJH3CU7Aa1CQMdoZmLQLDGnNWt7vtjjiDGTez40Bfzt74f0TPH1j2m0Y6G
MBaYUblHshUHL342CiRIYhzgX+OCMcmUje1B8yQtAA/TRrtR4+G2KeB2W1px1zpwdQpZHoQx/Cgb
BTbZXOl3k9jbi4AJkJOGYrbjuYij7oAJod5l44TunuddV3u/7dWJjKVUdzUwsJAH+9cWY24+MISb
avuK7DK4ljq/wjDDi0h1nbQT7budHsMOuWmZx7WbjXyjOYru09H4QgPuF6Lah5WsA6HRqqGk+8gk
yTZy5j8eCAuq+9G3Nh14IRjhM/EzgyVRj5GjOGctm++nCcJYYtrHLuv34DQ8p0FUbmnqmerG3hO0
EPnGAGs9D6U3jlO1a2eOtbkNTY6W6rsxGv2uAgaATzQND4l9RbF0mxihju8aV9CM9QIUqdWDJdh8
qlxbNTOudY0+cBhR+Ekm6E10VwjsSE1dZC6a7QEXduvlThgYmiVdGT7TnMVHu1rSfYbQ/2wb9Pic
7dWlG7h8Y7wV4DfmTwSxxh0wmt5Lk1y7chgGPrbC5K2xQGD3URm0zXxZktHwF9PTFm3x9NXKzml9
ELMSQR0Szt7qWgH6dIqO6oKLWEU+R5MDAgSIF8kdRCHh6h1OrAtiWFirYIMCqG8quuuoD3dFKqxD
M7KAWlPtCiF1FQwRAsWsL0a3Yn3jZiaN2myNrxhMCUvrWH4VbUlFP+QvBgWZs8wQPcYGPsqw7HUU
i8moXYXGhMa1KAyoOMslnrZIjozDWpXvddfOKO30p2mtv6jq5NJ8EeSTBSLLfsDpPOY1ddM0NcQI
hZusEqBh3X6r0mHnLP13qnIGDyVoZGT8X8uyXBxs4Ekuz3YxXJRpeEnyHhwejlCzW+LzZiMo7Fnb
JFsxOAD2KlUk7hKRXy1qe0+Szc1ICBOZfsPFVrS9Dcac+CkIx8I+wBA5FpmgbpLJq2Eu3+x+/G4O
XXI19h+lsuIWn5vmBNz70C9V7Rm5qmPODy3XMLTFX43+MPZ1vIuyReyimLp+qvBa8JZdZTVllxkh
r0admR7iLnfpc4iZKsfRVcL8NFp0Bl3FJwobDuNllTe0pEetSBeIQH/oWXk/hxhxYLoHXeqsGALW
r0nF3JTNUt2Di8nc3jFehw0VBexrvUjFvNMaTrAxLR8d/bus4HRUBkNkI/7WE9uFEaHteHPG0+z0
mVvBP5DqBCcIhIxhV1eRDojT5FaWU3QeZmSu5MQEucgo79JPVdcPQAtmNxblQyboe/ho5+XJHquv
MOHPRsXG3j9e8Grt5tR5YLvJsKhxvHS1npxqhF4URVhlm+444apsFd3wDBPuWJLK82imx368n5bc
wbcbQvnZ6A86yVWWtdPtDbpXD6QY6dSf5ZwFOuDGtdDxKCFWb5PmRQVKNxsq5VBlHFKdJReiWV4h
5QRmSvOaWQWbtW6zkKcop660UAAH5mBcQf/SgnKBhjWlwxlL1ohaMn2wRZl6Y31eYbk8CHWLSWNh
2jvMgqySPnyyPq02tPdaN7zLkMBBfrM8H1M/rLTvY4sRImkMB8U+0sIMllKpznDiswQvXHeZOh2f
lxF9OPbUPHSdpnqpyKarmgSwh1a1HqY1rd9rvRx8Z4KG1rdz5XH0c0RM5cheFdNpjHrZ1dWcpbcx
D2T0Mb+TSXOAmjddaVCqANnM6l7LawLXaKT6VG/OpuwnWgoiMYeFQcBAhhfNG9bxvrvh4CKoUfCR
tGPoTSKWQPmAAfIZmm7NZaYOB+Kqq/40OMUDxxuGE1PH8zFdCQviQRgZb9iPqnfjGb7Kem3L8qxX
DXBlI1ZPhs6qknHQYV71+ozDH3QGgWouNIvE0zFy+FCnoEU16RVg9jaIE3Ief65b/r1Q/F+mKv81
iYWAWNPS/nSh6FVJ8b399ntt5W9f9WuVZ/1k6dqmZDQcbloqF0S0v+0UCZYg1MUUkpmPaluUcn+p
8sRPhqrpkqWjgV/vDyEuzk+OZqusKIH/qwLD/z9S5Zna34quyXWz4DRDcYHhbLOl/KOy1iHvTE0E
YDjNKku/rIrnWVN2PUMNbs268kBVOF33I3Qs2v3wLp36Y9akqxfj/HdXe/aVDCKQ6AgnbYr7DhUK
I7jjUGYfrROedbu8n4YUCCSE26mzfSu6d7obE2wh46YdExVmAAS2VaSb5eIapOMJ0cMbzEmQq4mb
zPrTrNvfzLX02xFgoTAxOoRwZeY1QbJS5DtUDg8m/rYu07cwJUkuqplQpGE9c8AwyEolGUAb7lJq
hyv5blAoOAoBIpt7gcCnGYjFGHqrNQLay5wflVTfza4DXCPtGXuYNQKRRtdVpSBBQFgfZSK+Ma/D
z6h/Dlnz1GJo3mkck5kYX6PeoPws+3knAQP1FAeG3eD+p9G0n1K8xXMfNE39FDnVPY5wf+QuVSvX
qiquyFCFA4rBjvAvoJhHQ4VHmsYh4LcpcGTTYwYb6NwNJqExubWh+GjtWzlt6S1FDvg4pOLNI07t
Mk3vAFu0Tntg5Dcfi41jWJmh7lskl1bFDMFJy099go027MYdc12+rUFhzdk/tyLG0so81MJzDrg6
71xDVVSkSsOtBt3cLeI69SJr3GUVg35J9O4soYXNwAtQzX/YzqJ7VaZtqmzTY+OeXa+ppWJEW7RA
RKQQ6uvwYxokCNYXwOaav0DM85Bwn3MZnwrlResYlKnYvZtI6CSXNsJXbe4Vo5yi3ZBDxQhBxh2F
fF90xrmk/iVedW/XS3gamTMc87i5qSV8RnVl6oTF/JCoIqhyvEkhr2Cn0jq06ozjFD54XHQSZEhx
C8pSIyHRuFTZslt0rF11gkWafQ1Anh30ke6E5CeHf61rQLgd+YHPoNqVm7RkmoygN4arimGkayWR
ehA9aGxIg26TkF+bWeV8QWYz4uNR3tpEwTWeGodC6x/CtNwPFYkT+PtLkHogitmU6PZ7Hwty10bG
0LD+kGgRS7wq9DuWCdEsLZmrqF+hId7WGB3+igSMXYefWAqIJsjj7VAKBt03FMr145xiwGUp5UXA
IpMxNynWKVN6PKR6BtrQbl4HM6r9Tt/SePj2doUtYpwu4DBa/j5M+9GxBM1agL6bi8iVDj2Jk6sf
G/kcOT5IHdYqTJtzaHvplZrbp7w4OacqwqqyDhvEYWCkE/8o7fXDTMZTgdXdbZzpBZK2BrjL4yN2
7vP4hRSC61ER15MNnShmKmxceIrWwm0dVuIdVACqbRVdDb0bs9yB8cyMRybCm2IrOqg5x97lCuEy
g543VwZUBAL0Yme3qES5MM8nIGcaK68s4cM45Q8G9aa70lKpcYRXuypSL4mOhVnrXoFfMRjoUpet
XQVLDyBMlQsvUgk5aGtr063BrXHRQFIHRFaNmc5Iu95rW0PMYwwFclt4NRHxc1vbTB7LfZYv+blT
b5Ptop62K1v9+fLmFpfbdR7lYeyl2xU/b5d9rkVsbCy9PZhUAs1WEsitOGACdLZCsV7nb9VWPChU
EepWTgzUFdUy68DKIFx0c/HQgtgGpJXoZX6pzOG234oTdStTnK1gUbbSBSCnPC3NwE6VsibbChwm
ff68lTzWVvwMWxm0Ug8VSdLsu6ZR96CQYAluZZNO/cTSEfmZ2Q4BhMDBZZvHh3QruORWesGH4tXd
yrFwK8yarUSDSFO/d1RtzVa+ZVsh128lnSOdBZt7Q+2uQ1HoHM6VNbKtozAHccdT/iCIT4JXB2s5
s4hyGMwBc5atydtINPlFabxQanuHE+qe2Ggb1nrKkg30YxDVZhqUU8dumNxECIuJvKOP9tpchxim
lPU5BYTxuD6XBcIKoGO3akZfVot9EccQORQr9komCCYySeZvCwbg9VVroeiv1a7I+E8YipSeMx8g
znR+BTQuCHus1KtO/gcBi5wGifA6bTis9lTvjGTu9mXSI7G04wHOGOljs9Jcsno7eS0wtargiJ2G
DmK844X6Cj+yzj61VbQPa6GyIVE3JCNYDW6zwjd0j/AOF6qOydugU1Uz4YGRYOkcYcU9wkoTc1uM
7jK1rxPd3pU1ubKDMgCrYH9+zuTkr1FiHKxyS57WmOFLfPB2qOEzz7EeDuUbk4wc8DHwQVOBEoZE
Jgs/i9wOCgHZPyln5TipF3tiWUYoUxaUOamqs94zLoEHxzjiDVa+eVU4ESGpSzUeDVoszS4ynsn+
jkuGZwCOIU59VKXLLSGOTcBJZfOmgqGxh5pLuaPB0XQ/k4BtsfVClLZ1OJmkUXtVzr2RtAT9JFL4
UtHsC8ZF5LXiOTbRb/L8rQEFStc6kpsVtprZO3yQwuojGpcv5sic79PwBqslOjO0i49JCevT1PNn
G8fl87YILJOaJFrIb1aDrx0qoQB9Ues7+LWvg7FRZlfxLVbi+ykc37r6JmOxvi9jhvhTWhxNraiu
tdJSWICSodsP5XndEjnzoj8vKqRMhW0dXCLEvQl3kNFzvIkoPUPjAgnLNoJe/W1Zy4Wt5XSShtR8
JLQXiknI/GHL06uarhlz2TKoenGSR6uEsshg4Eq0GDfRKTDpGc2nRCSgUIq6xVeo1l657lKpd4xj
eGWZojHr1xpaL+Klch3ebW0YL1BnLOhKgL2rlANjWO2YTwgdTpl/G9po8ERj3vcKu2RDlJVbFV1+
VkFayxhw4qgtnQfGAhB3Ypf+BBbCzJn6NXP8w2D1EGhTmSNmE/IBQOSH2BRlVvkDZNp8nvPq7Dj9
N112z+lldubPcmR5xkbgSyiXqjeYBXKWlasZB5HmXLOw+GR5+u8Yy1/anf+8E3Is5087oZ/tYn/T
B/3yNb/1QTbthSSQEs3lNk3+fR9kC1SVtDJAyhySK//gFMMKSudEN0SgFybEv0671Z901RFM0Bmj
4+4S/1AfJJ3/2Smmbb8wrZipYVhzGLn/XluJtXoxbFEDM4ucJ0nMnTs7e9EQcdz196y0w3PFQ7fH
hv0Vo2pX4XzsreVljKyIYyYYmlSQnVgdcXZHblGrZ6sZ4QzP3yA6MawR2TNSG+QMFXS3pL41lUlc
mFjfEpL3NWYxV6RogmSoz2IsJ/bNjFpDO9sl+HF7fYRXp9r3KuEyu2KkGgwdgqNX1nszuPNAy7Sb
aiCpK79IfdCuW9gL7H0aw+sJXW5X5n4Jz3lfVTcESTU7x4qQexQpU4/0pqlRK2XJEcjidxN9fTun
9yXB9gDC0d+oOOhvDDv7Xupm8VYsJ2AIPUb6KffLBo6bJqmfFI1rQI/KvQb6qCARWrFax6tMs7iB
25UyREGbUoV0TRojauSkIFarAWQbovUykEoMb0K0VFyoQpCKNWXT+Usnb5s+vpUqtIfJZBjeColZ
YH3j4n2SIzW/ULcTcTSO6ZAoN+2DXPqbqhVcB+vrgAXVjEhYIi6aWXDufGuGfF9n048hRIxD2sh2
fK+f0O2vks0RjVHO4vfZDbL6WhvxmZOXsvb9vo1SFBZpckUgShCPsiGaZb6YoH1JQXhoKe7Lrql8
o7aSndlmcP+YP8LSHqv7PKEitRDDHjjEoWp3AZNOn5EielDmkxSNT0u000tnCcgRZ/k9qTlxVzMW
//XYGhMDv3+eSFh3X3aI56KsnRd9locmF8SChfdRVdtuuMbFnpCD06SnDpWluDeQQaJ3Azhsgl1O
Cvmepc51RcdzqeqexiSeD/1IPxkpo4+JPD00WWtwCaKn62sLyAiT2KTVj6W9W52+vtOgjHANw9Ru
yq9uyNurpNxcGAmGrVp71D7mIo8ODTx+BmN9ASwOCpJtTm+FxXJ2xXkCmhvqLutsTPZWJ16jVPtU
LIDDGdHPOwI9fKuTp5xC4BKBVb3l+gRZoMAFJ0xNjjl/sdBEwpZ0IIDnYS/NzEusAnznvO15Z7wb
GfN8LWHnLtqsDMa++BoXHpEsoqLqu+26yzV/XUJ6gSXQ0Hi4WQpk29z2tyEQSDDVNRLqjGno1H0p
a/+YyxpunGL4SWk+L06twZVPwSwmwvBEVHxOI5GvMhwuS6ned/n6sBFCcaa2bIL8odB7F7FWHrQt
VLAqSYMqrg+wk8YMDQoat4i89eZHyNMD1ZcENSYd8LMgGS4Tw4yh5BFXaZk63xlmvC8vXR4HA8Na
E0DIOryX6WcNcZZktrZGZ+KcnOgo4u9W1HgKOYOIq1xUaZTdxwx46pizzmHHX8sXthdYYNDgTW8r
8hSS4AJTeeu2n8WwIv2qun2i0KdBfWLvtZxHh7FC9ZCgx45RUzKo5DOHCqd7GcTOMm+19rQiM2iU
N7N/Mdph++Uih/3aYTFvGob9hVj4+8Co4KvK7VA2vscZ2QfIQxwOGkdDwcXMoSbjTBi+k8deq25c
+i4QYQcAF8HE90pAnaDXyCy/T81d3Dt78DH+/I0zjR7H78S8TzLys4ZrMq4O+mrvieVjdIP4nRH6
OqLFZsphR/A/SSWQiuUVuUMtvxusS110iKUW2remnR9lnqVnxm30LYBXWKaldCr2iP1T6ydvkTXA
7Kl8Fnqe3lAPE9KhlLdIZ7JD066HLMpV0pR1ApSiz6UGog7VUO4sodf7SO/SB0tfXxemzqyBkjiw
kzueQufUrHyjeZZpkJvgXvuydDzLShJENPatUODTJFVISH2eMRhfzTMy9vKGdDBezaqF4kNen8vE
8VlLbIB+FbYaxa6h31qwRSLC1P3C0lN2bhR7ERAGG1llTPF4bGsTIX7l3CP32JHAZTEUtN9pMk7o
Qju0iv0z8Ji9lF3rSh0VRRnBVIDZG+RKpruJU1/TS5+ElX1f0gV0XZv6UQvYQh3J+BLJ3UquhlvG
DiJEZnqoNo91hT2umzbElLJ+09VGo1knp7lNSRQoJOxKVczPXcNIgsshIsewxK4El28fTuOLPjYy
6HtsaImERN7E8prcDUYvsfMoefpnqhTE/xNIdMAp3rQkCAL7lbS3jHNaRCrh6fZtS1JKShANVonx
UtR9xBxy9lXDpoOz8tabaZmUej6mdJruusGt/j2QL3uyUv7zMhT96p+qLrxvXf8jr/4b5Wj58Tfq
C2g82xf/5vVB1wBuBC0Fvh1QK/zRb3N5DWGG3JQZoHuw/PxhLi+Z4juIe+hIdKnj0PmL18f5yYDS
wjDdAsIt/kGvj+ls6em/h29AvxHAWlT+t6WYm1u9+jtyQaGB7l1C2MpbTz5Nj461Qu8motTvZ87x
ri8vpQjfwtHIuBDq+k4xHFT2KZ2vqnXS07VpvtM6juUoN9FiVKztWMvro1Yw8xQHSl3t3DAzaBY1
WNao8kyNjX0xe2tfeFLOzhEqK/vAonutmakUKueq1iG/stw4vEHAwr6WQfi2hzy0DBMITmAi3xjk
jW6mmXS0/NhiWEJakg2kngw4COe1lyqsTtdQeH9nnpC92LdoUe1/bZ4QD7uzq0aEFP0/lSekyCQ/
rOr49M/lCSX5aJ6NuP9jntDQbdkwUInccfh/LE8oLKll0vkPeUJrnzyqujb78KOfiJD15rmLvGVm
EBs5X8R+UFAxVZnU+Xd5Qg4hzxOu77/mCanUpjqX7f/+PKFmDamYw8CsFB21Krj/vzNPaFZF+JxN
OWHjdvQMZjfzVoMHBmLctJ9X2BQ1XONyUlzZIFsWPcu5NulB01b1ZWlYHlQ0g2gUqGN0Y3XB2fJJ
yVp54AzDAjLBXofT6LBEgBrM5VlnHVuxOeJSdRBfLCGphRrywCUmatMkMNYYV8jARf44CPPR0HjU
mbX7c/816QypEeabxE/NNAlxdEOeCOFDxWGYk+6Glge5f2rzSyhzHqxYfNcBSQxp9OtuDKugIe/d
XVsyu9tw/JYR/sQczH6B3Xer5xkhwrGiQHcbUG+VfOM4dQKr0ZybcRWngog8f21pZ4vQfIf8wlpA
rGeKkQjtKUeQouZB7fQnBVp/zuwJliHD3eRWiugmiW3p//zy2L1l7KNE/5Eoy9dYqfXBKDTjYKdm
EthsEkAdYsgmfwbhgDmeNGt+WDBd7Il9oIMkTRy4teyR8jgfxrqYJ626mN0W8YLPw6fijT0dSfJB
n+OIpgGF+AJtNWAZbO9ZPwL27PZZHdt+Wlump9Lr4B5KtGOVgWpd4/qoZo4nhha+FXsMdnLsP2Ln
LWO+SvGMamcU+lPVk8yn8udmWzLi3tLM4onvFHMgV2hnEi3/wKZ8k5pIvJpyZWK6OJE7yUzxZ5xP
10qY9bs6X6wg5H2CjFPdZuyiKcUJItPWIgsQ0RBisfRAA8o80MOXnkXkgCojUFQ6fwKNsuulJkAE
G8jZ2rZ+K+s/p8OrpeKT1CmZ021DqJjjDuVb6uEiRUXFGlH+D/bOY0l25EqivzI2e7RBBoDFbBKp
KyuztNrASkLrgPz6OfGa5PQ0R5B7bkjr112vskQi4l53P670xITiCnop2HQPSm3Exgp6QCmQA1Lk
jCSZKW2yR6TEQnsc065cM79yyqBjUr6OkJMY00Gbmn00BGka304tOERzJKuZKT3UUcpo591oCKU9
gmkExL1UCmrdFZJ/MWys3A9yaXKXRG7NqhRtN7/OkGHZ2yMzY5XJ0HuRaTWvumuS8pFLn9XkP2hX
j/3eVspuZutovP3PpDTfWKm/eiFfen7FO6ULDwjEHkKxweqjGqf3bDHB+zlhz0k+8BOhfLbsnWnr
KsW5wqlNn+j3rNb0i1KlQ+RpCtdlEHeQag18i9WL5ptECYyOKXtEYohSMlJ2dkgbUAgO86wXAexi
3bTLwQq7COSzUsphL1Pp5SPZD6PJu6BYz8jqKfJ6SG42msDtI7tHyO8OvIUh3k6OduUOHPnM8a5S
68PuUhq3kaTsoBywzschwYf8rkPkH5TYXyJfov0zbdxlS/kDf7JYD8zmhjmjbSvHgBV3BxsLARev
I2uGb1ATYUpWrVdeA2ye2yVMYTPjJjCs8MWvwmsLn9LW1/QDxUg0A5vMgPPghfulrivKN6zXqaUp
edKp3rLptCqIOwfSi+ny1Jp8XVRgLfvo2RIe/V6NoPTPrD9k4V8pEvUx0ifWN+yN027b2jhbyf8t
/BbD1Anfe0cMG5HH9wPph8YXR7nwtcVsyLziDhbBwRhfB5ppas3H0DMSfF7K7pYmmENqOfE6AkzI
/Iiuk8BhHbP+1UuWS1qYJAksnRdDqHAi5kQwj1SaRLwcHbKIdr7TWDcFki5q/PZcm9wcXXNuiSDm
iRF4cuYF2wuLqoraeLO7+M1MVy/WjpUwmqd2ODDcRPvFobWsrtybWZp0I9kzfN0wyPN+3tbeky+G
NeGnh1BLixO0XXkI+3lfZbV1TMVy0PQiYfGZ4sF10y88ufc+aHfwf+SlvcoYdlXHHU/A1tulFSTn
Gq3SM7HYJ3BC9QFduiMRhqs13RlGqbMZUPUlc8LX0Z3Rh5INSTlK/pxPYXWEELFfQvJdqJ9dFdqj
DTGJ3qoKQkd/l9v2NyJdth6X6pOt7XU/RUfR1E8OGN0t6aeCtamVnvzlaGSGfQprezvX7WPjiCNk
5nNokfmGf08Nkr8Z9YQ7BdLv3H2NYbugvFyz3kXz92KLSy3ohpYfFSbjjO3bmAZdljwUY/LWz1V2
kOpcyzCO5tOxGuf2dqCYeKyZT/OqMgBFTNHeqummCjnFF9UiyjeWxscq2VE5so4rj8SjS0+n5WP8
HOr+zhgaGhU6gWmrx7E3ac6dRa+T10znf82L/+C8iK8KxeB/d+lv3//s0YfTqj7kb6qFrZuIEh7p
SNcxbYWs/NuUCB/C00E70N9g4KviX/2VCOEyCtommobNf+CwnvmvKVH8ht/Ls9AtwBgKBI9/xr3l
qpf236ZEV/cF6yTGRAZOmxf436dEIlHLHHOvW1k5kWNH4F2YAKhgNaE6xoBxXnZpuI46FrbuGGKT
ztxbZAWq/oSyvmgJim2EIR9bPbWBb7nm2wft3qtuDIFLpO36s7+E4XUpog+zusHnpu2cauo2lui1
Hc3Ih3bu2gDCenpjDCmUXUSFxOiwNZbmXT6M0BFm9eCdKB+kVk9r9IeGAs+gL6j7NtrR3oHjPfHg
Q06O6+Wk6elLH5rpden1t5697c1Yv/LHEZSnG7LQt4A4YbQ5iH641z246dOkX2JZzZDCtW2hN+1B
mtorQaztnM/PJOSgns4YkKPOJpvwCWE0Rv4dTG5LhOS0ZSP07hPFdQfI+K3Kzgckli8vA2yh4aJZ
Mv8NREuBDWrVOfJ1tvyXjuqboP+WmveDO4S7Q1UF4OG7VZzNb5MVP5oWf5JXxE8LKoVXZTS/NyNf
s25VO1dgHZr4YQVwCXd+FZnYtHscETkXpWb0Lh6dh8ubjz10xYbubJASk0UJQHl4TVtnn7nZu9dY
OyKotCY4OA8qMB5BlbJctazC2A6jd269Qu6cUHsn8HibKIfLhCB6zW4TTwb+pZhiAoKM2b1BwKEf
/HbnZtRz4pWgBKlZO4peYdFOs9IAWlDfoLAbxiV3yWHyjFxZkY1Lm6x3zb7aGcUb1S400bds8JeU
K7tTjy4cJTZ2dFOdZ0XW8L1i2w2/oiTUDsLeiGLz0Fl6dhrNaTj0VX+svRDY7EJBO7HSZuVn92lF
exnSUYx58FuL7Ph5TMp3Q+hbH3sA8Xi5px9SW6U+WgDw1CGIYhz6JpeZbDEAliuaSIuRIa6wNE35
QJouWj68kkYYzY+7K7p3qCsyNJ0lBSMVuUvjOczSu0wH/q44Jm0TQhxm/bxpFeWEQYqESUJ6sKcf
wjVu+U2P9lT1JTgjLH7JE3slwaa0ip+CjLd1Aaq4gFWKZIiw8tU3mWKucL5G23mwvi3zvQbKIoro
y1RKArAWe+ALIrN/KiXnIkV9N91AmjrsGH5clsOijb5Cpz/PDGumCnXFVHPFFqWAdu53Gz97cVQA
TJIEq1QkDDcfXXnuSaqwWK5iY1Vf4O+yiJJFXfc0OvGbp0Jm/O2bidTZouJnBTm0kDxaqdWfLvm0
RgXV+sa7M8twZ6oIG7f8mNAxqba+Rs/r/BtW4DkhGaJvpQrBzaThdBWLq/oIfxTsLvJyv4I0kKgy
9ld0GlDo+To1+QPGJ1zmKm9X03IuVAQP7PSuVqG8ukTkRP3vw47WRrhObVJTZBt697zrA+rm2pVp
NLi9im+bzJ85/ozmqceYDluMSKCpwoGNRuavUIHBjuRgl6OmxmQJN407fRsqXmiSMxxU4HAmeZio
CGKpwoh5vA3Dhg6AfnjERu6C0S9vDb917sEhbJXV8HmhzWOqcGFL/ruE1GOm4o9w0Vbk+MWKe7bn
LONLJMSmPOcXORGdHMlQVipMWalYZXhDTvGChZGSvl+xSxhiJHFsYqoqlGkQqliallzy50Rmkxv+
KilRYPtfcU5ynZM5vi0JIccvjcwnXY6891QMNNPbaeXGxWfseSerDckbmbwrm4c5vrbJzKs4qa2C
pUyiW6eN4l2nQqfdiJOVFKqu4qjYjzeSztuoP+hGDXRfYu2SIalPHHVawb3OhNwzTM5VbDT8ev1a
BCw3BXV9udnTjWa6tzFnR5CP+RnZ7TS6H8qbh+xc8CMA4RFO3+jAOHYwiC4yvM48ruSh4V7cynuV
xkBBtoZ7Npe3KU7IwGvLh2lsNjjix1X3EXO5W9H1TdGSC6h5eojz5SH0h0eGHfdkT6PKK+lvcGqu
3fE9TNwbguhYaFPt07Al3pjmLh/jB0t1/1aFmHkbQwNxx4++4vU4UzgE7lxQ/UTpKUcRzUbMYk71
3QvElZkeduBIKAY0GX9A3S9xSi7fizSPefnshfG4psS5CAy6Kjh+Oobh/MfhlhE0lfbcCPcLqskv
nllQMt9tPCtE9xr0K7IHGJhjABJ26n5KM752armz2vlBWFRjFI4eDK28UGf6ybblzUzpX6U0ts1S
jkV+bwQu1JU+uZ/wmN4yJ/toQmaYdNvYWY+70zgT8X2pGooMhEHTZg1gYiEwFo1PiXuV1ftyLL8G
jwKcsbxvKizbg7sb2gYT9KS9JJV/27jpqTXvYbWzJHkpi/IjiZC5araRxoyRII5eo9bDcBu9khLZ
GtgAzGh8Jmp+ttuF/X15LsPsMFm4yjpxF4X5mdObhpBreZqofsM41146kV1PufEwle7nZPlPY/hM
ofWnXKyj4xTrXnsgFxWEzJQOSRQdS+XQabd16Rya7Lkb+ud+NG5KNyUQbSVXvBZE5fouvoFSYDnq
vcrWm/bcGX9FllHYU9ovDAVb0fDTsj77ZErWlv1U2/2ybkWK0xF03uiiCmF4RqasJ9SMzzQzt60s
uw0VrxTn0oHYeeu8Nr+6TFC3hvmy7i6V8tdJ+CS2l+JQLRKL4Ih/IcRD94tkR5QRQIGVSsALqtWK
frpy5U1zGmgz415cI/bO8cWJOrxNtv5t1hi4Zt58s9lFK3pjcOAKjA6VQaNeGD5TGLp30qTaSseh
FTyzP2Qr8Xk2FYSwoXjkIoTfY4lvF0+/s5p23FC58DPkJYF9481WS60UcXh0X+syOflOcTYFPldK
hk6mwTYGF5eT1SfRxU8KfY5XON4PfQSvvbqf53Kfx65P4Wm+bXp0xRoO6MbOXkxTlAGI+SgoJ++r
w1uM6nkWAo8jxeYyaJllCQoEbYjllGfPeaRwNpQYH4dFbIRIvrTSvaV58R5TGHyMFEUkNL/9iehl
TYZnyvg8QnOuknrimTaMSRDVyxOxng35jJwsD+U79Peuw2J4mCsNN35GGkjXHzBVHygXm9Fz+X5m
miP5Xh3os6NwF5A+oiB7BOdLuLwWUenf7sxDkLjbGo7QjecW93TWvVmzzXNA3wEbRGhlmecm/PU+
hlyP3E6ag/TAv4YFOPZfcrAWR5lb979es5uBneE6uy4gSF6H9bJjA5eeuUQpfm55Kmo3vk9ngcNh
mh4Gr39Lyr5+DrEn0p+UbjK/K3ZCRJTpWLa9TfP5mNE9U2v5TBqtf/TH1jnO3qRt0oyn5b9Gy39w
tCQy839Kkbv+vf16/5Ml7vcP+psESbsD57xwCAFZQrfQGf8yXLq/QT6Hd++TU7SFsHSy2X+NBhm/
oT0y8+mGq1OXoEa+v0iQKgBu6Y76M9/VGTv/KdwgMaQ/DZdEg3hvYLLzMOxhwftTADzJ4qQfTJ/n
S0SgoHuxI0nvW8dG2GU1TDQcUGjJRkWfbHpWtaa+Medi43e2u1mmVtJBvRQkahttXfdKV4hYc/BG
qT4qw7mQnv9snJGQKKxOjZpJL8FuMOcdTl+11y5ZcPcsuovGICBgso1l0H3N1TZcccgDPaPGMQoR
NJsDtv0kqOvWPEyEZVb0qAlgSpSo9Lbc5WFzdhICkiKv0s2QY7SiqTxap2Mh99j4Yxw+7O0dtcE3
ZwCILk2HPvwFVvzEZtS+P2Hxj28qxdmv36fddIz1ZSYQw9ztKr3AVcqBkYZEKGkp2ieO8WML5zsT
idg1qsc9mWJnbY/JBVohjgxUiVLpE+FzhVjRGgQzq9lbR0rHaBA0CGvRdNDZb1qtGFQlNUBuvBxL
2foXQ3M3HWn8ldcouwzQKezDcUabjXUzT+I5VYoKc8s75sIBuYJVdM86zVb6y6yUmBlJZrQtmEZK
pYnVXsusCDJ6otx3Y7EqZBddasSdXKk8g9J7RvmTKv2HLsETBxmgmvLBKLzh2JjWbvY5jzKlHokB
UUbpSRZ+OSqEqLOJKVkHPNRZe1UUBjCStQSSVK+0qUGpVL++Pd0w70qlYJHIZzKN5vpa0yQXQhbD
GLoFUhDal6FUsHHhZEIVm5U+Rs4iC/BgP2FH5ABSKtqAVdm2r9IpTa5i9T9R0exHQpKHmTgpQSNC
GTqyblgbgDwoAacfdpP1Zh6wTljFD069jKoZFtvP1DM+WlqKMR2YjIG/eFjgUOrc6gI/ZxedKPnV
4EM5wdLt7DkXtjG+iutcjbO8WSZq6gci1gRjxJaSHurDluYZgtqJm8w+TWh8Y/9IaNdioul8nuC+
xSK5WC6ZpkaLTdX1nOVDjJ3Q3jEeKhMhuJFIjw6EGoajiJ1o0+liBzbYCeJw4EekNW90JikLlCy5
6VBg3dg2vcrVYXYJDFDkTg1xSGZl1uPPuLbuwrQoiWaHXWDX1XuNZhZwoZ3W4HLTDTkrcdSzcrtA
INtSnyU2+dx+WXGVrQ1e3Sq7ohGMCC49lgsPrCClwmdtTo15Lahin2ieWonMoMY2N1l76s1NW69L
XuSG+wj40VDRMo2iCUbyGdxKJiyz5KqtpbtMXkQFlc7qXl3P25ldS+9gI5yX98JgSjEi9rcObwaG
MfwFjCmic3EnNNj142U5tnh1SAW6r/OMPjD4Jx/W3ECrYoA8ye9V3drrAuNo4KNknXqbaMXQPULO
3mhzAv8uakCUtgZB/gSGU6a/GdqYH7WWimYvad5Kij53k6lTmGX6rK59+xLOr24FGKeBB5hi81pn
NEw4qmrCp2Y44JmuXSH3bDSgvw3v4QO9VKmiAddggVPFB54VKXhSzGAWxkAFwAjzDfIUVXhJhw96
HMz70DqbJG8cyUCSVr7F2gLSlis/fSqn1iJnPODetJnBcLhgjDNwxrNuUdNoZTv2bFuS58nKAX0s
u+JTjuTqpJe/4ljeFHUBJbnsh30MOBmW+FroMqDx/EgNZeC0vjwBYgUr4wwvsECYGcJJZTTD+EjE
ndjLgnGMP1mM2d9HubdnYTnzjEBqBuxcKsKzHn7Hivhc8xAyOnhDjc06ZRrlY6P40DWg6GzkCc1m
zLijB/5VxsO7SF2idY0T3XGCPBBC0HgMCOZE092ZWKxBfLWwVtn329295dkv9iSvJzJ3K91nEO7d
bNvEN4lhdaQLZwomaUuGZof1zckopbJ1akmNKQsGp0fMsyHS5a1Bb1LXX7kLF0ljafARx3N7qvW4
X1HKjiVuzHiV87zL44XkxxKTiM1cur9LkGS1pZ/1sRA3bZNeRRoCk62TzIgK6jlH3uKDxeOMntdD
xicitEoOLU2Wo20OB7oqzzaHAa+o2gkHTbuv2mbfjP42kpuRZvp9XmIQ18Kl5R+9QzLPkrnYCw9J
1d2083Dg+8zbQJvDcxhTj5VP3if9ey90uYtHb8aRUzGkTY19yLRivAxJ9hkKxsYG+Pk44otouJdX
g74tCmE8eQN4d1k4OAS5rGwsIF17d9KOYL0piw76vj4miwQ9BI/XHY3XZazfNH3UN3mazYGbdzeE
D1lA5ow+I8gJVBvnqfO9N8HctGlt4CS1H99Avsc2JJEv3fC6lXxoPmbJ1ucIMeaIjUqU7vDSHJIv
HvU3U+7cmA32zzQb56AeoGclYBlMivn2mPZ+mshj7m5yZBudGrF6mjdjNOibBJxfohPpHa3BPS5w
yqDQYagaql1fYF2dI281Jyas4cLnTevl1wMoORYu7I9Yn/DM0JCoxRSMhrnrWbIHA7rmWOnHUSHP
fZNSLVk9W6n2vZQWzvvEZSronYdKN3e1acmrMn2u4/q20kugJCGF6gMj2SYbEDYNhjRzZDlX1uZd
V7ERpw0Jxp3k4A1Hti+gC89TxlHPDXYviI82Kkc6ESgdVLI0VRnTWqVNw5ZKco+TDo6evo9m9mB1
Kk+jxL9qhIjrMdOhw2pvRn2MOcQ0beWrfGtqbHWVd60IvjaFFe5KorAlkdg5odNWEJKNVFrWU7nZ
xpjoOSWFGbJVHkc6m2NCtoZK2+rEbiuVv3X89tJGNaverg6P1Y1XEG4ktQDN1H7DpKYfCKMSWvbr
CMEZKjuFb2AMIVhgmViIpC/etzk9Z8SCOfOuJpUTzlViuDafYZ6uSpUkXogU/2uq+QenGtMw/8+p
5gTVKvnzVPP7B/1lqvF+M3TLhoYOCV13QUhhkfzLVINDkhwPzAPGE6QzIRg4/jrV6L/pCG9KTXMN
wUzEwPNfxkrENSYdTwd9rpNw+6cks7+baQzFTxeMSQC2HEdBr/5gq9TrsCsj01QykriDJstvX599
tWN/R53zw9KP4e8jMuiy6Lu6+d2x+W9lX9xUSSm7//j3v2tRA6PlWgZ6IAYf9S1RRs8/fEYuDZ5G
p3q78ifsTTnd4Vwr6o0vKM0t9Y9Rg6oUl7uojzem575TnHXdFcurMQ/BH6TN/+GViF+f6o+eUlc3
PLDxjHKEevG8/slTmlkoRhxvzaqrqwUSu0DMwQWOJWcrusjcuTlbaUmtIMeL/6Q7rD793KFY2R9x
X/g+KxVa+CrWx31F/ohKr4Ajaljhz6Q+2r5LYqbBtqxyUEDzy9Ly3LVnD/O+GlDGcp/OE5b2wq42
eUX7h6NaGmOQtlspOU2t1MI5QQXuRnewT4xuDXyVZMauMbXxQtyvytjuITixp7VK2mp4cCW691IP
E82ASQJYk317nWqHbPG2wo2edRESWOqX5xar1W5olgNbmYXW6NkmRDm1pynTMbNe562m3ToFneNa
n5YbOXsSj4xM1/kyLWfLrNp96rkJGpfR33h6wBrYCUYXdk3vynHf5yGGovwoXFQ0vevlYxi7r362
yINRkiGYuExo+R3HdhzUzHZb3Cz2pumqLy60aXAdlen8xFrroTXLdu07stgD3n/yYoRG3+sdVoyJ
tWO64Shi23tqygi3r1zzKtbO0BpHWZj3yD/W06yHqs6DxpFkuo4znFxoLFSVdDS2SBaBFX8FMZpv
nXjUVT/294RyBOHXzF+HvSpDFQfaceHmMoUS+4W/76shRivTaUf74Fe7+PyAey1ZtQtg+zzfVzAH
Sv+297mt0DE8pIx/8UTABx8/GY6FNDkPdSpc7R/JBFVLIzvKpr8vOwXRcYuC12O9VSWMBxBkxE8G
WyUsomjlm/ibDMAiLHABd3UlkA+dELTUz7arc5/NHukx/rLd8nNIi2o7ou1lHYtKgWxY1Sao0gTx
dKy7LSoXrrlcTA+EXmRenYR3tHv7aShjbR9+2IWwNsIx7k0NM0xrwRr2IouVrFY/u1r86HW6dU1p
CZa5bEuOwKRcBJRByz1VoHOdHZbvWn+TmUxV5FfvoTIlm8FxGZ6TJwGkI5L2jP8rZw8iAjznCW85
6ylCFOly+6ZMFnoOShvsv+kTamWfCd5qsA72tDF1KY8unqPFjD4d1M2wKNxjG+0ATuFNwqTkeNGH
xtN41U8IFO5yB3eMQnOse85yHzcFdzMcTzbOJ5PM9cqdsCJaTvLcM9hOvIT15OYa+LIYN+esecHk
0C5jpDW6BWCioYOJPWTaPtLwyclZ64N4MA9L4nFiJ9E5LuJXhlDAF/wkJu281HAiKh2jqhqnvfpM
NPinncB6zYR2s2uyIE8hQd4ZSU+oZG9FxFeVRwx6/UnlrX0PqikPeHQBOqqz72Qgmjxa2rfM42oN
HnVajypH7KhEsckFjPhNfiVU2pgviNVPad8VIfoY3WLvaO0U3/JQqSoYTb3KLfcqwcw75blevGJl
GCg8aYhFinMpAJ8JE5ao3vXSbRMHrF7oZhTr9CyB40E8+io5vagMtUGYWqhUtZc8cLF9nn0lQSyT
IhK3gamS2NHYXjsO2ezWGo+LSmvX0SuiG1FzleOODCVKqGy3Tsi7dbybhT06v07cUJvY767AzwU1
zMVGa1Xpna5tGumVZ9vIDpVKkutx1ewy/WIzI/F0vZOF9U7ykuRKPbw4Ko3uq1y6pxLqQmXVB2yh
m5hAmEqxu8TZU5Vrt1TCXRQhuK2xf0UyBS1F8DGri8+kIhQnVUKetZPNY/2Qq+y8r1Bn0JOf5jq6
tkXnXc/OQiGok26icOaxbUtGYkxOu9BHIEttMvooPYzAxMbgRW5J6UTkYVHQW5XtHwj5xyrtH9cv
CFENM+1waykegAAMkM0QAkrFCmC2I8FevFL83O5yCifwfKbLRvdHKHmDM234hgur0g6l4hCUAAnC
zv2akSRdHK+KV2DyDyDmy9cJlAHiAWAVRTeIwRx4inegK/JBhjmOuVQ7huAqVpXiI6SAEug0PmcD
u0JfmTNzYAoQKawgjHQTTsKcrousIPMGKSNf8G5XxdpOCx483fCoK06D9YvYALqhMNr8wEnKTizl
go+MCTQX1q8iPgjFfnDlcmV02hl4WxU4km8av5fNsVFs4ZTEyLprnV2VM8HKaHaOiZa+OX1hXEv7
obC9Ycc+mebefHxJm4WP8r8tO3xpveorMsiTTXDmr8yOfZZs2Az5XEZoADN5LEBZ4f+dKFs2UqQl
FxX5mqd8QaQJXVYm+mVe1xrne05GutQoZa4R4dHuPrP56tc/N/b0Pc7jiCLLRile+KIETgEvfc9K
uCuj3RwM5XSrAIFv8DT1qxbCCvbnjIYVd18uKdNZDuQfHkPnXrSfSbTQLJ0QxuTib9uhAb/oEBuV
+viW4/dm0dA/LyJyVk463gubfeiQsP5gp8Cx7kWHuk7qgPV6s+LX/KueoweEcQiA3QOYOokiQ245
qhrctjUrKN8LnKiFmyQTlFu9xK8MlmnK6sdRrYQ5GFn1iI2eQgdvNEz3sh3uGw+t1DphheGTW+Zr
6GPWTEe+V472Q2XBgRQakUtRQ3Xp5FM9b6Q7rkXP06WSHCA6Oy9WcdJe+fUXYEraeML7pGdOGrBn
rlpnYW4uMf1TVRzwuIK+KbF8+jqGYE3nazFJ/FUSJ7NMJ9DCLkwfzb8vwIzAHrOASTSMhlXk4zCN
8iAstINwKyCqA1oYMEt1yoH0qg39kKd0bs+s+Be8o9jmxa0+7N2Yvy/MmO6K0A+W91gFJYEjvQPg
4RaQ1d+VOteTk+lGNArgvgX46L8xgU4E6Hu2RhoebiuIveo96zJQovV5bOU3MzkZoViHAZ21N5qI
6TOfFXrDeBKmfz9qCd+WCJNRMrFoNW7D3l6nVnivSe9rqu+GMrlnAYc82ntwNM0020xVgPUHLU2q
jescPrJTuPhGwYPQfSoXVDbb1j+jLr/vzEdKTJ9SEETUHdxMsnSui+yYJs7OwnezssrHeOxZzPJA
w/NR4znq0/OiWaDGY4CsYF/dOnW23RTbWO9vABpdyEVUfD2pudV0Uqb0ezX91Rw200ZLsp/Yb/VT
l1FvYqbyPBIkQOF1uV1DC9mmU/2UE+Qw3Mgn9F8d/zXN/qPTLObNP8xIf1dyfEooofi7afbXB/1t
mlVMPBzppu4CPyCS98dpllieSX6QWIQHou8PBlAfNgVkCs+iRYzUoeBVqGmIgmPL+w1ZjUmWPeTv
IIx/ZprlYvunedbVGecE2AoYGC6eU17fH6fLCg+mWZRodE5oviBUkPAb/UdfFGfYpAxbYXdbgJhY
pf3OE1j6o3hvFCVrLiK4q7G2uGWhZLPcXyda8oFIiWNGPAxpr9wsTBJap5IU/p2pGft2iX9qerqo
H7u1p0s++U9d4mVB7fEM8hekCr0EVtPIzwo1YyXynyRlNw3fA6hdhzrVvMQjCIy84g06scAtLesN
AeURLzXMhksZslPuYz4sLB2uau6Twd5v5ekUDtoRuebqJx3Dqz7GLzBRfdG7rOhjDLBqGiFm+LWw
OgfSlT24VHGtHAnqt6h3jjosxwVExUI4MgVBg0L4I6wBU6BAW9RgtmlzDCWiEm9tbt+JW8Mm+F8t
MQ4qCd6t78afJbVuSpGjZerLoRznsyxYJQ/sarHpJYTkPc7/Ao4U5is8ifjMEqc4GcBbmaHcR89q
cBBZL9kYcu45uIaGnJt97HzoAu2mToGsYnvZw8FQ0S2JVzYJ34b0bNUdbTLehgj0Y5hS+FWbuBlJ
qtCFi8oG+lbA/2OfjNMDQvVCdivSoldOncvCrbgoE/HcqBCi5UPvEqnHp8F7m6bVA3vw5jQ63VkU
+nuZ3EUsQWlwYVXhVPw8vWjvDSzmB/9SjoNxNWvy0pPZaE08+MOZfppNbWEBNsv61McRgAQ5XaEU
LNuxwCGamJAH4n47+tZuoKz+KFku2yOtNhIJjQ2/vFrckqFKO81NxgZWSsAiMzi6xNMedV7Gnr3J
q+bTIWKZ43OmbiUMsKxKZbafu5KwmU4mwWHrPlXGF7ajcD+Z7U52c7XuRP0SRiXpkkm7KaoyuthA
Iky3dta67dNRzy/GoH+gzukQpWNeYkiaxCm4OYbTRfeGF6PGXQH45Qop5tuLjB+Nd4OvgwOf7JKZ
GVFLzh0Qt3l4wTcWndsYf5U+YsNKyg9sG9pr1rkbKW8sBqJDiQVr5XsR4orEskM7C55I+ciAS08A
CbeNnQP40xPUU7fYGi0rhaTFyBV65rM9dD0QjSy7Drl3uQJXB00UB1OhPKIpN8+UAhontj/NqYOm
HOhL+QSEw94sdBiRwo1QoNWaRaiFS6FWL7FawmRqHTOVsNtw8VWRvQRa3c4bVxteNJumvMZRC4Tu
zpRaCZ9AH1a6S5F4UbDW4X6vVSyDaM3wUR7tMZhM66BXCTRK3X3i11K90VknCdTwnUdLNYIY/HY2
b14UL7tIq/hpcODVUXutifYJVys4B3UoTr+Ox7iXZ29OXxN1dBKK+VnUYdr2VzgfnetlWJe1Z2wn
dey6nL/+cCPVcVyOuMb9pH3JqdHjMEeWWbL0PDfluyYFGDx1sNvlo60O+gFPuOke/Nq3rzPNOhpa
DDXYay6pnqzrSj8nwn9UhSidz01wk2Gep9XCCdDquLdPOBQr84qoJGGPwviwO1bWjFJ8y2wcoT4e
1JBUT01aSlnIK/spJ5WHWFynAI5vDYeQ2cx3h99F/oapgW3ZliTqtOfIzsa15XiYt2Ffef6+KXtq
gbie6fr4UOMtI/XrrUjGgHPU3rEuMt85gwM8ebmV6YjJCjx9k4ob0fjfAus0F+PhvmrcbW+hrFI7
tkpCWmilfW9o9keV3S1e8tpn6fOoGqIma6MX9mXu79O8Oxsp2ouPmKMVhRJ976rUw7oOtoOqW3ID
Iv5suc6qv2ERYO6Hee7IuhhAQKePUEO5cFj0LwpkqRmXkLXRqsySbp0Lqme6nmCBtNmm2efJA7s3
EOmSxoWU50+hLw6UIX8hdLM2YviPv2jZaJ3DqoNSxvLqbPSgsjPJs0ifuf933j4qXGajsAjoOsGz
7anDpqmvSlPsFiv+VJ/IHspzrANpdKZdoQmg3iM8SwdhJwljPJnIwisMLLdJ0d0lrg8vrSlp+ejb
Nys3r1DW9wXhrhUdVzSt+bjcMp8Zg96VbzowKaXN2BFazT6GWATnaDqptFeEWSRE3mzA1OYtS67M
SCjQEvuqKa4qrYGy6vX4z2Iar4YfSy7ZuhAZ9FlzxAMLcUazznOYTphy+59a29tx5wcInQnad/7u
Dvmh86ynTred/2eBra5Mf8qYmDD6qSazIQ5TSqpaSf+wwIZ/N+uismoGaV66SXQwHuKVHQNQtZx9
n/wne2eWXDlybdmp1ASgAuAAHDB79j5u3/CyJ4PkD4xkMNB3jh4zqinU75tYLY9UpjKzJJn0L5m6
iCQjyEtcwM8+e69dsF4S1rsVZfd4Iw9mk1zaUa3rqbkNIr5bMY4/oohOBQ7EBe+JML6aW+8EP58B
VGarBWDjagjmRxWYh98d5/6O5P0PvnaObx7VGB69wX/82iFEQYgsQAJmXtes/bbejFr4+flSO3V8
n9nesVfymvn3qupH+l12QXZXMQHY5EKk3b4lEj95kJzwMj3NjfqY511ocl/m2qyJXesuM2A9EIZO
hGl/QW//w92B+DsvPUYvXnwHaV4Euuzj9y991VLtXeiXXmHrXw+yuR6t7GmkNULaoMCYB81VNMPu
ATGwbrv0KpwZDg3NlAegyiRTLXdmDmVGEEwcxdfYcTFzo74eRpCdZZWtYzztK0ex8yzY9ZdJMK3T
iOotIomIGw2EHxJxyxBARy662yb3WeVidogesEGaK9qtj/+ZVv61acXmKM9b6x+H1W4r1b3nX5H6
+qOr8K+f+JurEE6eXsC5wnUZQAKuqd8ia8wjNBVrpgjzx58mFs/Fey5ZwvFZWAh/P7HwDJeOyWf+
5KH8W/s30mn/3+2ExZ8lpW07IKxd/08buBBCmJUwVpAOwqvX1gnAN9tYaIlCETH6u3EyoGvBLeGY
tK9nGDvSQ1eM7PrdY9o5uD1RCSzpfeMq3A37QTKR9Bl/TCHDl8j0uiOE211Ro/bVsYndyETvSJru
qQ1T75DZsKgiag9MUX/V7cWLH5LZ+5GiYlMKVoptpPplBWgAM3tYXFS9LDsnnL91NUv1xR6tjZNo
61jYNFup0Ict4GbrIenA/o/hd4sgisJb9iJLA6tUhJCWLAXtm7duWz5hkrxXttfso+wae8ld0tE/
Ih7Lyk42YZ08yM7hQD7saqTN42Av7d7N8q+uVWD/ponEvzdFN6GcePa0zldIVRl1ySUwav+h98f5
4Nuhj98hT+5LNmi563b73p7OTYf0HaSkUlD1Wg4HGg4OGRsSRC+se0w7w7aaFCysGYSn5d80zqPl
NOT3sdMRis7v0tm0jgmJDn0IrVvy4NTylRRKHsqiktsecPveNmLyzt9tUF3HOAc/PC4JFPaGLuo+
9NbFVJlb1LEK3WRTN8NnUPF/8iGX+yqYPoqIA30XRqAIyv6R4Nwz9RyUoA5SXLwquBQ68lSb4d1g
y/HaKZNi26fZF2PfwHmvAElLJ4Z0XJwaCWqjOU9Pfma7u0JUn6LntNSq+imbnbtQPKThEuHlbp9d
0aTb0SfT7rbLpbeNLT/qcBsbZb/u2S6MDcEnegU5jJUkP5yeeTPgypUMMAbu8DMZkJdxnMDrtcGH
2fQHlZLxDTMgx2PVfrZte9W3LTdg5TN9TYPcwp0Y15jLi5/tRHXJD2VJU7EZoc9vKFNzD5zfIUwt
QzFfen/OqHR0xoPXRRl2Vjp03Mm6ZBqgY6iOvjxOEryoWD41ZicPCWKIwdvMOo3XFFz9ipFcDEx8
s20f2kav2MrRvMoZt9EOeaqUFil/LGuwf9qXyAX542r4j4m/h+bAtYQKxA6rpLSktfhbNiYi1zlw
50OKWwVLTd9D0yq3I8dP3l8N/sV8uqujylnbiqVA6rlgieygQsKzMxRD/7UZ0xIibwHSxOVwiNeI
waN/HNVmqYx5A1y5P8ViPuQpa1zOM+bg7xOHU4YxyZfY5CKtbNkeqIO8mWOBk6qFSJbW+bMoCLgp
M8RlPHz09uijQaTullpcTm/SeOoSizXjMqdnyQS7yaJu57TUjSwDxSdB3xwclxk1K94CNTYrIyd/
qeaTlPmV63dsL7zy7HTNxevaifd++zo65VuxGAYozk81sBykI/4rcJ1kHbJTP/hqcKFxtA+F3bNe
gJmLkWcorlK7ewYT0h0JsAfrnvqFVeNX7rovxRddEufMY4HVDuw5GNBfK9O5nwSVs2zu3HVTOjHj
EN08aUQG0ntRKVWSSUcewUBUsFz2no7bKfB3+bRyyOKtCGVAxkOYqe34giQOnbsR3yKUDrAtqBuY
sOZnxZE1CP2WjB0af5W7+8Wd6UdJChAYOe4wVCRGer6wRdr3Zd/CZGiyk2gWeY5GBf6uO3HDT67Z
YA3I+LSH5mX91TTewqJguWYFG+2s0ZOrrB0NLFesypeMCSjqU8DsjvtjnBQDX9jsOd/XJ5++aEA3
Aygfyb7IUKncWLg4D1b1JMqd6vPhGKkYmSFPoW3j7S1JW2yCICRxG3fjDoX2YtRDerLz+s12uLwt
ivBkMcWkZd1r6u05FAaoEnMcbyWxTTZneqsPoQNmtesfzXZ655796cLPq4VNeJEDMIjvrDaDK4TC
pyGzvwfhzLzXeM2BFBx8HDyFhWd6p6H095hkv7GFsE42vdBr2gXDVaFh8SBhOhQk+4ucR7JNjGVc
s9vDSUxieDKGbsvtmSqcz6J23iaDVKUqJaHhBlu12UATcJNLrUaC3qO7Sn1xkU7/rCgCEKNExVte
YHTitx3Z9SUSNz2rggJbLopX7KKL6FU4nbJ3ZVTjbByy4rqZfUifvXUs+FHcBNIH1Wk9Tk3VHGdl
P/W9Px27rn+RU46YJ/LlhGkN256Ni8zvYDJWtH3uAGfSVwaNcqV7iVekfsnAyY6piO12VNF7k0+D
A2sa11+Umzv+661mZ9cYBqhpSEYb6p7A6QvxOJlODe3EvgMUPe6zub/vhiJjnVwCeKQhGi64tZ9i
DMXWEjLaAmTjSq8LHOXKPwCroMqVR3TYlCHTf/CU+0TQi5lygpF12dVkw2iyKvmN/SPRZobIkLUn
XrVDHDUboHH4H1wTj6wyQqigAbgVF0PjOM/HoZqe7BhHhAlrZx2Rulln1zaSIjGfDFuN2eC+G717
VmPboaRiY9GNCIH74Vj9Hc8KOB4lMgrRR+2We5p+KpOpdM89M9DCSmeJiS7kQ6cDAggYc++9BSl7
ZZEN60K534v2e9TR0pYpttaWw0VRCx6gjLxfgU0fhuW+JVmWMpl9JxnPTdvoHyY/X+4KbDqehRjJ
t1JRSY6sGo3rtpE8RtEauK2wDfVPZeJ+dvgwVk7DF8so95jNdIaIXtHWu8CdWwA62ioPd56lbsaw
yG8DT942Vfqd/FlChMx/HrAe7agNoek2Ns5xlplr5ZlbeFj2BlfYOrXLT8uO4FK1T3binEyT3vEg
muaNA4lya9f9HXI3yzZI9TtEaHgpJRqwtUT7aPC6S+3hceRw+MPpakoC+gWZu7u3k5tCtW8IC+Ar
bVTGqLQz5rngY4qh7iYiU/tCNT9S9Ft953npJlAICXUHPjLKihefvLrJdY344ZrzXagZQDKyinVI
bIESifxdlPE5tbCPGkF4kBwT10CDEswDoYXxIFs7cdAdnaL2N9zX8U+jNruYBjbNbJ4coHhbXJjt
vo5CnS2pH4vwfRDzOVDLhWbAgAELI5QHHJic+cxDjQhG4McZzivje2D1D/8ZtP7FQQvYIkPHPx+0
/gSPBAiuP+evMxbxLIlJES1EOMJlKvr9jCUhe5Dn4j4sXZyGjD+/ehytvzi4Exi7hF4n6XjWr1sh
klsBGBGPTic+3fSxJf73f/1BJmj/9OvfWw6hjPxpxuIPMvU8x1mDf9ET9UfdoFU0XlLdQq9mJBBY
CLVT8nQVdMOHR2GfoLivCKALe/RIjjGqeePey56OP0nZ32D2l163/6kgZhDo7mNqAcvIvIPexWPe
hMfQz2SyqA6/xU0Tn2cMH01sAZvzx28t7cixLh6kgJAV7wWrzI9ENxPWdI2v3GL8SEwyMhUsK3Do
jC8jRK/h1R3VV4v/YUXg49Oq8DRMzCQL7o1ugK7t0wHSGeqJc46/I/3B3Z+aSVzcp4z4wtipHYFM
Ks+dHGNDHWwT29PHRWS8vvXpImcpXmih3aeTb8A+MroSD4sNfyzlcW9X3Bx9h6a8PE1O5GLiHfsK
KhEo36uGvLg4i7mxlzLZwQdgrOkEM5ZJU1yHebKsOKKT5joaolXbzDPErqn2hRXwaF8EnTm0Pzq4
JZ0owGnHAoJHSkaUvvrRsRe4Son4erbumhRMkKK+IfrlP/YWxTbLkmxjRMcNj1DonJRFMjxk0zbh
fgIpY+5WoyDhEmfxYawDqpXBHOzYz+/rtBaHKmJeApjXbEp4XHDhmHiUycQQ1+ckpLKTTbhctTFZ
7yC8xDJVjwPtlRBG93nA0d/rflQjvYmKCtuziVKGPYY6mv0YwCSVwnsyNdmWuEO7iprpOOOkoYYL
95Pm4HLMQp+HjBuPAco1nKaWkaYCnguJj5vlT54uYN1JE3bJ7sxrhjp27SZHWBcKAYmfx1GTeYVm
9KbAentN7cXa5mwNQL6GJvpGNmxfW1N+CSjB+53K6Tn0lhuh68h7V8VH2ZDEjbrpXY2MupVmB9tA
hPF/EVLJ5fWs+cId9bZTT0Ju4QheaQbxAozYktmHA5w4DerrmAsEDZnABd5hrF1h/ehqpnGsqv3s
Nc+caNuj4CyJ+/aNXJEkCqN2DK33bQ0hWRdtHCtNTV7AJ5NU2BQceqlUgnRWVHhAogDasq0bKXtl
9ofAEs+LZjITKEcuNaOKcIBd3NSGQwlGqK2p1KOZfgks3fZuh9DgEzXzmZh8DgRuTrdKE6FjAzZ0
kNxVhs9fzdCy9sFHw2pOqWmEKD220mG+Yvs5F+n3ONAtnSBGFGxMcIDZoQVN3WlGtaVp1T7Y6sWp
3etIQLJONNM61XTrTnOuHU28hi+dnt0GCjarHLmmjmVXts57ME3HMMuv/Kh8TIr4wdvlcBdUOO8s
M33W/2TwaVDkf63nxfC/TYaxd9r4gbDhOR+dA9VT16Z1qz8gt4D6O/3TUi7XReyddI96IctzFij6
0U9MxcfE5bdqfCNsaPFjX838xzLyKxYZp4HDYmT4p1kup8VEH6ncU1rWj0GRv6EO7IEDXkcpzVtp
zTsxOmVVc/bH/Fl65V23JEeOvvSo1Huj5BQol63Ms60b+ae4Qng3xDlpshfKIc/wcOt5lw3WQwUg
rcjFuYuTB68pLp1BDxkuYEd2mFj9RzytR8vvvwGhu+mDibvlM1jBK3Mors1K3ETSuMvt5dLxYi25
tU9AohMph0VyVsGwE+op9XCDlulzZrNMDs29lN8ko/Ho4ris0ZnwPn3RxfdA3t4p1CPE+rsukM89
VZ5ALu+Hvj3Eo3VKqYXJPoVhfwZjux6LnBSKDI7K8z+jRL549fIUtM2e5f+W4oXNku2zpLnTX0fv
QMzDTLWsUggRptPtSjkMVLW1B5pmLlUCb0Xc+2V5JY2R7oPxSfAcyK362oj614HJ0F30mlwDqlzO
fIN7oO8Dsk5z56n5Cj8nsb4Gy3Z/15f9gdlxV8fTE4+Ko4jFlc2wbwF9RZG688kgDl11y8x1PzoI
aeZmiLxL2IaP7UhxVwCWX07rqHQZ6GyQF2ksWG7lzG9htnJc9yH0yxvZNC+ekWBHGlZD7d9yinsz
eqzIUxRU51Zl71W4PAjdEuuLD+zij5Zuj6Vy+s4b5XIpND99Uv4LwAGeUdKw9qOgOCSliFbpRlqy
0wwTlESEuq3WcDaWtdR3KS0LyuV21FJs2+mGW+rmHS7X/GTr9lu8FyE9qvxUdTOu5wJbbxVb9lz3
5hoDrmsjUmsDnY5e1zTezW6HmkHfbqabdx3dwTvVWb3OzeTQ637e/5wm/8XTJCo2x69/fJp8eC+7
d/U//6f4k2r/y+f97URJxgUcOe03P4Hjv0VmTFR3iuA9iwOlyXnyt+OkCP7C8RNMuXB5Ivw8M/56
nMRkJIVlBZLueJR2IL//znESvPmfjpNsJoTgsRkwqnrg6/60hvJ4CMteVuy7Mn31tDiH2hBg6SC+
oQ+tuDdC8/eakbeuQUv3YFOa17nzHoXidfDGV5K+cPK7TZ3l061LkNfTaTqnD48M9xxCXDzjbdyv
O7qitxJkIq0xHUck17nyqYTmAISl14UtR2iSjGE6LMepp8HGtrJLGZcssEwX3S4lnBw4b33Qi9PA
fcz15i8121d1Oqpt6PoJcUVcLkLez1n5MFsjgdvY+VaPPE4XbLqrekqeh8FsT7j7vFURoQcV+D5R
EQeyzO1CqDF/KmDarNPKqTYL1IMQ540tw2JfaYvz2rZdUEDVclOPmKcy2JC8E/u1nO3i1hH9PTgq
4wGI/D6Q6XUcVceyistnVnVId7N7kDZDfxZln40F/TKMPBK73HMlZ/nNgFC4IWPqnt5CDnTspttT
nyxUcZriWJTwtILynm5r1AtGylVi8KzpwjC6hDGt9gOO/rQTxSmP4F/b1XDoooAeDcKuTRGOByMd
kt1AzqdAkd+5bh+dlsG75niW6M4aiXlXmPGNKuHYyKQSoHTNG+pTC8IVjL9QrwAGEYxns0OFEimI
q0oOJzNS2aXxsx8z1UedMA8Ehcb3huiHo6wLHRFgRElTeP2b64mQsla82G6XQmqxpoNnqnHv9Ky6
0xtSNrM/k0vC4HRyo7he+zWhEEBfQOf6l9rkUexkmItb1szEV6x3WmDXsGW818K377miOJhcsUy5
9wputCXk6wZi6rrT/tYigCJWNOaPsUowQC0N6bABLaplk7aBNEXmJ05uKixFa/YS58AIGWKsZ7ta
HhDk39sYn7kdn8fW58Y+lfkmbezoumqcE+/q+l5BAAGIs5xkjTMMXCqAXfVg8t0dG8yhG3Mi/gii
dO3VXObVgBNsDOLvYV3d2v5wUbKSIGVmulPxjdNn/o466xMOGfmtmTOrr8XLXsuYmeLC18Im1++1
r6VO7ObupsAYXNjqTTpFeirhf3GIGHdc7BDmsrLb2Fo+TdFRYy2o0tEzHJ0SKMSTrQVX4JESRurP
8j2NgA1yWB2DjURr52o/oNpy5/oxOnwTg0bzuNAhEJdsgzgxcm+UVREoIovDNiCM2lBfM8SozTwQ
LioirDmjfYogBuqCK3kOrDk7LX53BFFwj8mlJ+CB8IzGtTJVPx+5IfZbVKC9YUIODrVgzd1mTV/J
8swV4a2iFB5djL5daaF70JK3z5iXEJWKJNowvDpkcZuz/MSLTwaYa1fBeho6dvpu9Ro1KV1ysIca
M06uZi25z1p8d4R3n8n21V+ids8YQH1x656LCFzzwm2i0yJ+ruV8hfJ/LIFphYbDwUaL/rgyefOx
Bwj0QoC+5J5KEpYEFtuCVq8NuuWz1GsEjGVvTO2vNDVMW6K2l7arz55ePQACvrL1LsJIrxGwtNT4
Ni7OcsBifyg7gv9UrQabNu93oJGGTTDL9FwzsW/4654bvQBx9Sqk00sRm+1Iw8HJ1uuShL2JpRco
k16lKHYqpV6uQEdmzfJz4cLmZWED47KJiZtgl6cmZsK6P5Vc0xsoH9cO2NoZfK1V4rzhOoAsOvUU
8bTjvaNpt4vkIZFoAq4NCnfUTFwEsIOp93thCLnDAZwbaoJuoVm6U80xaASvW49wdovplIPd7TWn
ZNAk3hIkbweatwXRK62JNwJvV97dO1q1Sj5SaaZv319gFi5E3dvvCSadiJuFz/N3m8VYDsECp51/
PSv/5E3dkwE22P7JD15OVQ9PGMBzsfU0Yzjh7tzHxtE2zMtI1sFPArIeYIlTs7+34KpEVSepM3qW
7SrXFOPGxJLR2NS6Np+xOzTbZlRUyDnNtUdboTa8YFCFimyzRtubRopdBnwgk/mN1AxlR9OUE6YG
eFXl3ilZ4LVAePa2ySaEBjE4zG374GXxdxMA6Qp5MgE5uBwJQ4pTmEyHJmC5UExefkUK7zEO+k3j
Pxea/IwYXmsSNIC6ek2zt7w1XZQezYtugQaAj+bvNDkl2tyI5x5Az7J1HVjT0A/A8DkF1ayaRB1o
JnUFnLrXlOoozWnTAlw9YXXL/HZYM09na+pboWjheyLLbW4zwNcBAOwJEDaFnvlOLzNHgcrPLTve
BGCzcQ7flRUJrkYTtVF21vb4ygLzGMKpPzmM3joR5wFfRSLycvR+8nKFTs6xx7olAHBtCpPhiUxT
RciuJNhmtKTuXOJ3IzE8FJ/NqHN5hMwecps1zBB1t4F1auqgvFYOlP66C78XfkOghyX3LlU7v27E
BVjJI37Kb63Du25oldhjduyOaH8Prs4NGh+jThG6xAmlf7J0upCdlc4aTj9XLSP5wy4EP00u6pRA
4FlnQnPvxg/KQKudU+SfNTHGNk+eRn++xcBz7dNMWpg52z9CKlOLX4FFCaz3PPyxsNLlmOSTkfSI
yrOneKtJGmFE4pnak6tsdMAyxi42SOuHKUBtNjxR1jBbDxTC0rumA5oeqntvlTCN5J1jbVIRZIey
OTc62NnoiCewt++hDn36Ov7pQzVbtToSCqqFxUFNJJi0KGS3YFPrAGk39g/Lz0gp2dJWh0wr1/qY
RVnTNKcfAayPa98ZL6DYce8Gu5pR8xlzxkMHxJ+bsLMJybPW5FpjHXA1ddQV0wI5TB1/lTFB2Eon
Yl2isWJM6Ju2wIbiMH7e9jZMHs/Kv5tWRahWx2srHbSNivtiIng7MZ/WYdMdAzK5S0s4l9JwHlA+
qHQ8toPkaDHpKG8S4cOGcyIUId9Mx31VHCvYk4gNs6jSTa9jwdGgA8I5D8LYXoy7YLnk48JJuFRX
uBDZb804JRc54d6I2csk07c2seeTN4bPbSu50wfHdKJaudKBZRJZu6Uq/JfI+5EbxbrLAaVGTugc
Z5zdOvXs6vzzoJPQiyvxFAi+RyPWzl4svkp7fUtt4k7pALmKaDi47i2suL52B3vaJoxdWGjLhtAO
YmqNvjVW1pJj5jtXEYCIhJ/sWIltb4z2NvZGjtnYzLU3OWLDwquEX7nQzmVbe5jb7jbF0pxrb3Nc
fmSDjyhiknyySt+4RDnNB9oR3boz3oKa9dMS9CMOAL1H+ZEP7tdikj7Tvups6F4K7bSGTldwkbw2
2oNtCNzYvfnRY85etEvbkvi1hW730w7uDit3oD3dQH1fWu3yHrF7D9r3PWIAdzCCezP3yUl7wydM
4qV2i2c2JhzZ9N9S6n53ixm+oF3Qpz0HT3aL6SUpFUtt7UAH3HQ1Y0n3saa32qMO5IQiNywBMvMF
CApK5jAyz7QMVBkCiyRavhPucLYXj6Z4bPCV9sPPmFFdDPIsgk+FTTqoveGHjH9+kjdmqZ7izIoO
OhHbwU+qvLA8LPZdY07vkdFcIxY2V4bP1d2CksRNLHVwGWlUpIeQKMg3ge8cMtsNhFKO1OOMoFG9
wIY65RlVDWaXRWsTKP7KKbqK9lDuKNyTKGBAKk+KbAPP9Koh7Vm4e2IlN0Mbq53TcW5Si4UsM24p
UxG/OEj/999ZUHxW9aySKO5+2Vf89sv/fqwK/v1f+nP+9pt6xfG3X12ST8V96kf3Tz9q/1Vdvxdf
7Z8/6A9/Mn/7X786nfn5wy+2P8f6u57J7/6Ls2z362JFf+S/+g//17/Ym2uzz8FJ90/Ega/uf/7v
x3v+J23gl0/7LYNk2UzdxJKIhRABDMA2/CYPILJTf8uqxzV1Culv2yY0ABJGVOfSb8au3JUM9b9m
kORfcPTxj7AB+hqp8W/JA/7fcanqBBR+Pr4OnLZSu1h/ZxD2x6BKMYlz18+cfp8KgONtQrZiEhc0
Ziq6JcToIrNuxikerxvcpd6AtuUUQ3EyS/MhbHt75bvTM8F5ez0v8b4qp2BTjjrATFiUqSE+1YZ3
5/MY3CUaaW2XZX1iFVufAEQZKzk4wcYazee2qV7LcI7OKrkFxUmgMF3Sk6je8iBsML/QiFlNjB8i
ZG4YqX/xiSRqoJSZL4eRlRY9Q7xvSu5qBMO9D8ufgz3PaESKar6v6uVdpu7VAnR9xd/Sk+k01lkc
oDSGWOOPdEqZ+8rx9xHE3rEA7xybrXGaDLqPyiY9upEbbWQGPE1Rg8uPerxkY+Ie6Ye5zeBPQOPl
Ye45RcS50bTPWcx3b8eHIkvDLUSwmOmsf2Eshdg2m+eGJTVn8vw5amW/tfwULaIqQGNQAe8nZ9cf
yB6IfNa577nq820fEEQYOSVTU6u+sWF641gT4SGggIcnJr4oGFwCLAgx4WANlw3fSpffeXYKMEr7
9uf02qrxqYhF3jRlfCds4qvArXZB7GyGdF/EhbU31fJaz1C8mXsurRXctosLsp5WD5RiqnYLhTXT
dTgiLlZ4JA4TrqDSeQQhUSPikPRoTxGwssgwkKRm+GhvenHnpED2KpPEfle0H9FQUA4l5mtDiv4w
OcbFSOb8wDL0qVrEleEasJvY0MMHCDgmcRLFizEe3Sy4dqbqKV9GdcpJf64rpc4mMxMzrWmvCj+t
j5OhmE1nU5ELJw6BePNMa9X9mLKyANFVBH32bpEbWAUKg0ulg6+jAZoulsvnPE3pfp6ocp97sHMt
4kkQJ3epGr8W95TPBffhHF07zYdzb8TlTS+RMOb+o+5fgnqeD3WQ5ieiVjt3tvdWke0D8kcH9OJm
o2uyaHvuKiNbp87EOFYpa2s5gMTCNGHB5QFsidp559NaHdVA7rAfuDddYMWbxoo5Ulec2H1zUbdR
QJ+N1bQvitqGJxaVD+U8kdan26phDBkawbELMlU0dtWRxVO0LpwaA32Cf9z102fKZrWWTHxmumsV
gK++C60D4juvcnrsJn7Usb8kaNvTUU3LtMnqJYFlx8MnQFBLldgOIUc/Z/xKesc/NK2ldq2VnhVw
LZfm94Ix6Gj7kXc71+G+NguXQI7/RiQk3Ld5HpwzNnqdI1I+VNz4i2fufYErv3+tCsQvb4j2YeyZ
j20efBd9N4O0wEonx+4SFYO/ifluNrXPCaJrIFWbdDsbonO3dt5FZE/EOiu6+Rhl021W9zeeJZoH
5QIEaIP8La4fTbLbt0NkrmPMVlekfEg7OnBwRDGdU6QERv4fBEjWZWRde2WTnDPh5NtWBcfENtdd
EzwJMcmjryJ6sAZxQNsgVRm0Pzy+pjPcitU8hSHswP7e19LhgoZoWjHsSi0r5lpgFCiNYckmiaRR
Dj7IQIgkbpJpYTLsRxuwV/kUkJZPHEJQPWzGVVihFlmV5a1ST7WnoIwgOCfk2A17wn5mfVu0JNpE
+UOMRjqglRpaNG20fNqio+Id+KLfGLcWAivAw7ccxZU1H/vCgLu/pP76EnhUWkXzsYgT6zXwWOs0
sgauqeknzTw4V2btddriuY+Zqbf1L7Ivm2UtBLsowsnABOahETdaLGaJzFyAHICKTJjklSIhZGUx
WDscGrpeKQW/81N+nnH8pNa3QQvTnZaoHTc6cJpiV69PNfp443LOGfWBx+PkEwfT7dBwEMNsuzHT
6TNI3JMr+Eniq4/wOYzfAAOK3WLwZ/V2v1/kwBTnDq9+KV5cDDo1YVs/zYZt7lR3qbWwOrXjiJX4
jvoQfw1Vpt10GUJcaN3IpdWnabJgAiSBA+1l30HZ76xRHODown3GiCzcmnHNdH6gpb+GHhbKxXZP
ikU9yyeKiKNMOesUGgPbq5Yf8iA2JI24jmf7hh1lgDaAjctJyw++Ngh6srmKMvxkodfe6yayRVas
7vPqoyjpGCgBH6FS04wYBBsACil5JsfcTdrzK1lbD/i627YYcZKqYhcHjtJz/sq36FM3fdyOPrA5
AvHBxvTig+cTTOkn/2NZcAiTQKOeQRwXE6N1jxiaqTffL/dmPLUIYP0rVRlUTEcJ9FviuHG3KARI
0oiqmMVmpkN97WS4Alhy1Cvhx/UuqzRpBYh7/DabvdhWHZmArON4LEsPZTPRvFC43OwPm4lYJOcG
k9U+nkTyBi32rLnb+vgBTiHuX+rjGpBRZKGjUER7u4ufMgN6Ja/Pk1X5wzXkxyEesn0XgMitxwLm
Hs+adegn3tkKvAvFCPW6NtJ4VWJ3WI3DZGAtrdQxLNo1rj7u6EV8noiUbd2y3FXAl/ih47VF6FcH
jQV3B26D5lL1jBIpwVLRnFUn/BUlCHQutHL+KK9M0KzbNL53Qwg9Tsi3l9idoMcrulciJ09MZwkA
/H4jDcbTsWW07ZuMB0KJQRGgK6jdhGA4552VGtK3ZZTZdqYwEauE+miW9LXJrFvRG0ytSGPcrGgp
AU6MJdlvb5XTWqtZSYC3mFEWSr83UkYfbk+obqr7bFdS1RMVyxqQ9T6NaeYjG/HVwE/LO6/dN127
MJ6gHbo2T8RE0DWecXCwm2WzTKwfWo8QAQUY6zkz4I/MJBSIpRw8uKGbeITTPgyghzqDiyDPsZY7
3WdhZe9igsmQZaB5y9D70SYTtW/LBHIBuZQ8Z9pCX56pdsHQYeb8eOaCbq9EGusyNIbTWGaCAT96
cbvgxUkpG/RKEjd9wsM1TK6Ya9ciKOXOGWxrE1rHdrCSnc+bYRngGKetBTzUfU/nVrdmk8CWuoyh
ZsrdTDRQ74rqmNbDAYmr2GKzIDw7OQ9FHKKr6n1Clnv5GlAIDR0cOEcbU0G36w3KgLIU/QoP7DbR
ue5oNi/RYPmrUA4Jb81qOw+YMHv9ikEDpnAusQ8D+/RVOxHFRDhN18kisReztuEqT0lvA8BEqOvW
I7Um2wEKCMgd7A9W737YHAA2pChWk9ejgnDMnOvO5rKxuT0WNeXeSUXhiHYxW2j3jPVkkgEKJT1t
9iyqIsUDNJ2NYOsUwTtawpvgBxuRz14lov9oG/E9oywIvaqEu6GFe2mh2fP9VCxHoEHTk2243FF8
HDS0KTaoXFULC7rkUXlQmXfiXvZuxwZ2SDoeCBTcDUKREaBflK5Qg9rTNuTZj2UCSOhRhP6GIHmz
5a4YrSYYVsRkODr7uk185FJkp0bGg5HYCoDzk81oDukwbrC3pZsk8GjzsWYorIragq6eoPOxTSSE
jIerqE5jNkZbQiaXybavuIuDENaboQjxJJoclLnapb5z4VbiRsu5CGe18lw1njjufGRux3ncEHtA
esildTpvk57EbFD35dnqBu7643TwuXFtixZdnnCGeRxccn1dnV65Mr61zdE9egFW+DoenV1Dm4Ul
l+/JnKjTIt0IPNT4ERb9cKX+H3tnslw3kmXbX0l7c8jg6DF4Nbh9w54USWkCoyTS0ff917/lIkMp
URFhipLZK1pZMmfJEEngAu7Hz9l7bZYZeyg3cRP3V2Zgn3deHZyTO7XVFLCJPM3iUPeju9VJWcDG
Afwq8rqbMiiO8Gxxs4xFCDuvz2i05f46TcCNRfUnbxIQPiuNVQ0RLCeQM8+2CYjogHOaDrlIznzZ
mFZLnV2nG1eLtoxDCCBwPw5Tw1SL6n8R++5mNlrGG0K/lAgqD+Fkb9ie3SXiewwjUXWwZgPJMyMz
3rTisnIGmi9dgB46Qh81zo22B2d1mtKT2ndlYHD+c/dQImpgPRVqE938qBmMiWLqqX5izRDTVJ/7
TUhSELYSW++4wnSXirE/5KRiLdykWdNYJ1HQLcnqkY9ez67ODA1DgUrp0P0CfXczLP8jk/hFmYTu
KNnAX3dCbqOH/OFfX4p/vWS4v+qIPP/zbx0RyKKmpwt0aviRPRWO/s3jqPSzOi4FQq9slazwTTBh
Ge+YRCJHA0L6Wn8r3uHKcFyC1v1/TmURSl77PWfTcQjQcvl5rkW0PBHzPzZEGpJHUlz66oQ1LTko
njB58/1yPcDBp4G5yQGXUUnCX2Ksffzurv2J5dkSykD56rfbtukYKI25Q0CNfvztLoG3g1agrRWt
CHC0IxRV8HV8Qi30wmLtxdWjiEmV6RLepKr6PDQg8mE8rqvaudeQHK2NCR+/1vglrw7gNHtbp/P1
mIPkDrpT2eKWSsziix2xUEYWEnheevSGuXObazZxNmW+lnp7Mw7Nk1cDgvDbVgFqKnIwHQx1mBtP
RMCMQo2wTVvbFPDiV5g96NWSZNZNcuA8mT3NTKfXIqKLEykHzSjiDa0uwHBhhRRlAqVg0G+q2Q7W
duDcW03nH/I8dFfIF5dDEB0trx4vwpFgQo8ecumNlKaWtnHZ65eFY33hJt6X8DAXcX+atdSsrgQM
7o7Yw4YPlpiUtWkASlbDZ0gNst66J58xTarjZqABgai1q0+cuHoqOEcdBfLACfnxZeZthnY295FZ
XgZt6R6awdlPPq2clkHVTvrDqlQpbHIoR6ST3X4Yq+TUC4KzynQ+Zjabvk9RIMpWoNI1rga98Q9y
ysi/LjLUhyXcquAqUp3+mswJV2h3bgDAsGietDhgwETk9aLpY7mTVvMZVlywlw3LJOB/Ka5Nau3I
qcW+TuMNUa3semkK+3tMdsIAbl8Y5F7Lan5EYUpag+XvMD+W62Sw6n0slC4GWxX8nvEhCvt9VegQ
sFF2O6Y8T7EYdlOrnURWcpcS0931qbzWrZErpC0QWTZrrV59GBCO7Ntrs7aq03A1Rj4THEvrt95g
lFvAGWehEMzmDJViJh8Zj/pxv05YxKGdRN4+Ff1jxmTDSLKTzuDUjxiA3L/Ua7Y+gX5txnhLrx/E
HPGLCTvCsXaYMu+8TsND5MjrhPTq3oOMwiOJLa5NCSirhbZi8LP2cr/YzYRQ4dWCHtFHR6P2zH01
2h80vQY5N87uTrUkZtl9agMU665M0A0LbUnD/qQuOn9LX/+p1WbcxXrAcK17EALtVBbFkPnDi2H2
6Vr2BCXRNuX8IEmldVsGfZgHtnrkMVCy5w1F1z0oQJxT8ensE10dzvsko+wNylOgVLdZ4bs7v7CP
Bnkki6F2H+B4YuPyyQ4QaYGChvPGwZ9BOAJuBa+AbEEC+DM8uggy/loD8D4RW7YpAt09r9kmQVph
V9bWpR7N14HfXZTojOgxZlepuIxhhV640b52Zx1BUhYt3FrmZ7JkjtE8Jo2NLqMezl3OZgBqmKaN
R+7ptvcaiCQzr7bfGru73u85y01dAxyueF/m5YaRkxgJ8+VVtAZlCA/DTzZMIj0Oz30wPBVlRTWf
uqqy1fpVLbsNLa6zyTPPOz0+M6bwBJvAtqxaPIN7PGT48qLL2XHppYbnRvpxTM3bsptPrfGprMc9
7/hF1edbxy52XYEL2lIgf8GMHnRd16INJcCCO7wdu2odTPmd5opbWlj3tYVwJ63XUtAy7rSzTu/O
wti8IT/nwsDPsAB7yJRuOjWjERaPRUA3E3yvRVrEsSLyjB0twbMsHvaBoFIkbZUwtAsYyGedElVM
x6yM9iX9PZcRZl2N57kMrlw9ItWY48BqHpKLzIrBD0dnnpMdZ9u/KpHXki1yUusFyhhARnaFmqjl
/CTvTdDtRmVcVChMFp0wF7Umr0vHOci43gXxvAGoeSikftKO8UfdF0dPiPO8js8apziCO1tCCNar
U5FaOyNPjpOZnOhFviX0/KJ185XMWcO5cpfeQlGPGxYLbNwYxIr36u563V1imIfanpHjQhDM5pPG
GyH55ebHcNIvKpPeqvZB3QGt9Pfq4gw00EM6XSyx1x/VlWZVckIW7DGajY/pbO4Crrp2zlxmrxMa
BUrgEFG3WzUXnu3+p1D71ZGVbliUU39XqKUP/7p6/Glm9fzvvulZhWM5AoKmQcGldKPfVWgCAxTf
sqhOXlVo4h2ME9sHUG4LE3A6pc3LzMoi9kooqxVUPf4bF9reH4O7l6Lo7xxStqoQfyySEMgqm5ZJ
/cTL+HWm9d3MquC3u0FhYp3uxHnkgeIB3srZ2dKX9Cuv05ke0uQcoalOWxDm6Lqi9x6ujnxiYZsD
TZ5pIb3FFozqwm20YtXaLM5EDo+mJDhvypaaTYK6V37q8vBuQH/BbHo6R/JNmzaGo+vZyNNSasNQ
VSzlTP+S2F6sIZjq86YFMjBSvQ3GTTxEd5VnW+u+6rc4Tj/GNZ1l6aT3U9S6m9AwPofm4CC5ST4g
7NgZdnE75x86yojTqSfFt5SjvXFYUTZlmdxUyED2sUZuDxK+hKOhMUUbLSJcPRpFuzrNQGAEkEi2
RjKflio0MEGVuu8EKKOITXemr7xBCnqdo+zbWEnkbiZrZnkJV82YvDc7JUAde6SHRjMucy/Zur22
cmhlkKNixJvIXzklMPe6qetlQbMCUc1w4wRrmlwEXVhFs2cD3NMVup0muXUjaW8r5nqpv6mICcqt
EgyubW5YlpNFbBj3hXRxNPv+o2jC+TjqLoIViczAE+U6AFCDUS3fBV2AiNWBDyZraPBUVxbm0qGa
QL0Fm1niMA80HoawXVYuYEC9ZIzGFcCBctLPZtqtOtldmao7MzEeWvXDRTS5N1VUOHupiZGRvKT/
zNwFOBLasalq1iZiTgOds9bChrJpKhn2lVfbzSF3wpOxsZNtIOD/CpQmvcURP7SCbnlvN6FxBDqy
wh+CZcWrzqrCvOmpnb1eBKuu8bfF3N0bk/kJ3z29h0ycZQKkW1vqW6cLIKRPWKU609mGYRxtEtvG
BtyDs6iymyxG/ZgjCdzS00U+S4Ivrv8G/YRd9Be9WYF70Mq19Ft2LFp+C9fL0Qz01rr1+rURxZ/m
ML505gA4a2830BF5iitZE0wcyQuAQuuwcC4S5DIrrNBfsl7fGeBEmsDBi8/Z2pGYRsSWZ6zbTGVG
Pi+jR8zNwQUsBoArJIy0Vr/3h2DvM/VrU3fTTPNprfVfwtmL90HtYyRsHtOylgfCR07tei7OMivr
CMgNNrmwVjTRaSkkFk+7UM+KCM/yztlSJiqdW+guB0H9lQvjNq8lvWa3PRpZUqwLGd2WtSnXXRjf
SNdslqXwDBx3gDT0sG7XNG3NApCY2U4bpzceQW9phyGYtwNxt5MFuEBjfLDovZJuJN0RHHB2newK
b6KbAmtBEzHha8j/aTXxj4qHaEDfzd8FmmAUgKMzf+HH8K9t58FEss1UVg1/KU6zShqXksFLW0/V
jqoX1hMVeRYT7jUOxnvLqe+KEX6OIKtpm5XxlcxsGjSa8ZjrTCpGCwCgMRsufv+cnE5GBii23sPI
BcnWO+eI8LZ+TyQMqJqdlJvA5NhST8c6qXzyfzOVoutB4XA+bKOmuKcm/0SlSFNQSy9C2plIlchF
zQLjUg/bJ5hw8XKK5X3Q+msSwC9EWw0HMN1MuIY+2KGZVUyUL4l4qlxJuSVB85nGLUqFYEFSBOV8
P6Sb2F0MdO3Xlj7Rgq8i0H9tdgmCfTv6UbCzIJqSaDRO3t4mAlvvTcgSI02kfq4/piPFPSoy65Qe
XYFLLiOZVaBNHhugaaH1Ps8qm0akG+5Kil41EUYdJYCXmCQoLJJD1RJZXlxYc7kzNT4kG9F+NJKi
FqVqZvKxrUvcqVWwnnzoZZHnXAdtccIAv4CuIu8Sn9+lhcmtO8TKGFpeMLPo1hoEhYU7VufaxIJJ
ZAXyya/d91oAdC/GYyZI+9ITq1nGVUxgfEWemtc9xIOuH82q36fk3AfRsGraNt3XM5pFV9kDKmcd
TvK9hvzcn/GPWxWBZUGNTK3esnQxHq9cznVkM1wd7NJR47WYZqiOu75Ii5UGeF4v0uvIyW5do6f1
TF9zYCLaxtFJH9VIbhl/lbH1NFX6l9Yqnuwc+3/vAnMA54ps4EQLjS+zoylmk0CAmQyPSNm3UKlh
PjMuYvjMlBGvWTvf5zVUMXNqz6trrTeD81Fa+1kAUrBaoNdeObwP+hmVKF4uBxqjTAN7VfXa+dhY
F2VeMVLTMD2hD7B4vYjTig923ufrvOME5qconYgjR4ORsQo0se6zF2mqs0wGceCyehgk62I83LSm
zLd57ECF5QHGz0q/H00XIj+tXZKhmplO9sHykk96Ko3zktTexcw4EE9wiHuEAHuirBNnF8Uu/lzk
WFkW7zwylJkQx9UmbLLzaaiWJg/iskTEi4ca5beo4mUBhuUMkfGpRXWb6yCP6CZ4zZwt58Bn8N1z
RA7dcNOPztVYwzTiYM2p00g2CL5oPMcDH19+zGCBrLskXEeF/xi1+UUUZDqZuue6Sc9pxFtNQYDs
dS6apZn1D1rZXqalOFoBeU9jX+y72JmPg72OY0Mijcf+C3n8tMYPLMcQ3gt4kIXX5kdHG/DIzhrw
RqKwQEZhKFbW4kKZjPEjb2dlO+6VAbmhk73r8STTL+FQq2zKvASI4ZR1ubKQvkplZ9aVsTlDnQ+6
1r2JtTMNbu7GViZooMlYHbT5JLIfg5FPPlaG6aKwHEyJPOjE2K/ASKyzwIxoYm9jZbf+T4v2V1u0
uvhbsdpt1Dx2r/uyX//Nt6ofWiF1va6qZ7S8KjH2W19WdWMxs1GpWj6bPnK0f3MRDF2p2Ph0Xcem
cfnvql9/h47BIfvJNuAf6o75T6p+IDw/Vf0KycAvsQ0ADtZrLoIXBi7DY9hyU574GyT/C9kjWR9d
vVl0EXNOWTMxbaxBYCSyD5UPc3RCMWUvxHlm0uPsPYOJnX5WaCXZLeGdX4UnHgthktNJLec70NYe
T3B/yLz5c+uHj7rVkVnekVwwhB/HExuyleUfjCAm2Bk2jDbGaOvLBg8SE/dIiM8W8QBmU9LzhAmK
iTqN1j3iWhJXsDlIezjV5/MBSUIzJe6idWQJz/jerViG8MviZYJHXUWjc6l0soNNzRD2iFO8tLqR
4BxYcfC4V7xKbKR5uDadYlibmq8dutJkKr/ImwkGjgMQOPdjeG6lb6zBnSxILKXD67PLylL7aLSD
vh8TxECslH4hiJwrtoHTX7vIVEWicq7oDQWkpqxylV8naL5TUxOCMDfWldFz7CBAMlCF1SK2RbbO
EA0uc5WKhxfrch7uhCO7owU6Gg3jjYmfjHa0V61cL3xqijvP6Fk+el1fFY441BBiMwtslWTW1qp8
vqIOr/rSRI09Kx4cbSyPML9SpfpVKcawyQCTV/cNUpJyq6sMQJ0wQGu23IMTaT3ILD70mDy7oGJ/
tQuoBE2bwHWWKG6YWXYaXUBdZQ76o7HuhT4pKNG0SVP3ou/yC+dJ2tFeYvEwVHphMPIBqzxDfgjQ
fxVxqLIOSzRdrRtfNBYpiFE252sC9T7K0b21UHVuJpWZiIyO7AdiFDOVpygFNBydiEUPGyRteGMT
M26LjOLAgWaA2NYnIdZwFMte5vtw7FhP9Zwi36hz49bR2PjGLDzvKpxDZIgaBI7x3CefY5UEORAJ
mRMN6SGLWen5rbaXxEbaKj/SV0GSKlHSUdmS6Hj2IWGT7tfUSWA72EGQtXs2piqjZm7mtf1OzuvK
DDZ0cytg3T4zWr/cWpEJkMonkBkdna8yLyfCL2k/C4LIEpq1iJgsDXaHBYKikDEvwEiaUUWM5qzy
NAtTPyPItNsKjtwIA5AfhA6HQbRmW3BUGBRUNqcvCRUsJ7c+MeYKCek8RDRnu2OmUj0RVxIhbOP7
GlTmp5nwjgBSWmQqD9TxodilKiM0FKSFluGF7obpRhAjyuuG6HJsT3HwgsdurmsCR32OgmZsM1WW
HMvaQFHrEZMWgXsDKTG8qoykP7Hn8SH29Q9l2oirBHnsgo/qwXCSCw5Oh1lwXjC3neaztXUNhjfo
xMuAruS28keit2oSxLphN3P2WYkEJuY0XBKzdJTA9tZxkyDpsa1EvaSnuOvig8XZnPcq30jF+c8k
ij/REb1SUBwF9XhKVgZUyMRYr6dygBgvmYIaXbhprIhUgOKQ0BuoVZOgoluA8nPctFTLm2iYYuXW
ik5N+z7os9uKZj+y+Q/wDJ1lRBcCX59LSGl8n6gGhUunYqBjMRkzloVE3snqphdDsIxLgGpGVjE+
Yd0TEa12UsRx56hmCIEYC6HaI5ZqlCCNPKefYi0J6rqL6aVIhzOS7DJCaIJ7OwGvVqGdKZxi1alG
jIxoyeiqOVOoNo3XVBtT3DhhT7jTME/bCpp2PAw8OPE1UFB9afn5sHay8MQZ5vMYmTIYzHRfKKQL
7cl80eH8Xw2WwWpldYsgp2dQCFxls5ueutioZncul1Ppyk04y4M3JEg+HTxJEXdrnSnATKZQM0i1
6q2/RpSimOQM2jP6sBgOcdtkJrP9NMaWpSebXkFsOoWzSWMCUMHbTHBucng3gKM8Np76vQ8JhyZ3
wbpKrQvmEdOg/Dho2ifPoTIWVvEI7uYD2tXKQS1QYJiZDDpTBEFsjLJ+kE0ws4zIS1nWywRTzlY6
/d5rwkdwNMm6sPOnvkcEXT4xKX1fNPW4cgnrJAKm3Uu8fHE7nXpZZt/49pCfh71xYpj1aig7ErxD
HFJjw/CdrSJ18ruOM/1aN2k0sG/gLiine09jkGcN8KMTlylSK20W9lnL11qjn5RIDlddSoir1gSb
PiOYoCKTr0KZu0CSG25aTb2TtrGcs/VX2Yhfo9kdWrHUp8e2GeReszOSipPW386jhv6v3BmzmxzF
hB5udFi5lJ9k7E/L2cnWbQIhrLdhrDRudpNEqXHSQqpnYhLbl800fokGzVi23VxsRecUp0lBLwAn
Zn10iynepg00TjO4tfAAMN4I1o5RLRu75RUuUYwFhdcsInFhOATlNHQ9ydHxP5UVHblaBpzUyAp0
SWdzT4V5EAYhxFHsIFZKGlrmJ1Ho+rsilSFSnqndSCP9lNJx5c/l1OhqZbHR0wBRGSPPWWf7MOva
2+a1eYSCE+JEjTGitlt4hd6+B84ukvHKGg3/OM0z5i1OjKlOj85JDGqZtl+RBc1hhfNWbCmXc5d/
ToJw3CGCpc8ABciamOv29tMk5ZWes2yQT0uHQZrYKtkJjU8R/ACUSCrq16w8dQoWS9Sk3knSiSVs
0hPPJ1IhQtKdZmxr2NRo/tBvTCe0xchx1shZSgD4Vr2LrPYYpXjWk2TAadhucToal24MabAJm8eM
R7qXoUTClFxOGonkhDJfuGGwQeSz6AFxLNCWe4yR6xI325MRI8ZU/uUVUvwC+iKYPYKn5kUbIlEv
AusqTEqYr3r3wKhil7iev7g+qx12Ey1sMe5GONpTh2oilHuj5ginh3LidOWsXWKoud7HOTBQFw19
sRQO7FnM6ywIKCMRPNfxukWrd5JoXvC/bEbxnQPnJ1/Nt2a9ct18jU69Kf57/9EfU4A//0G/bNSx
fqZ4fP2zvhqF/u6npA9t1HZfHon28d8hT7DxmHK2UYa0l/9f895ZKEEw3AjOP+rreb7y3f35qzvw
9xf3s3/p55/zw5/+uehyGndXjzIq8u8PcsLHOPTDyOcvLv7VT/jh4h3PYJZic3HfX7z7zucbnpoB
PX/9T138w5cMoFbUtHX0uf3+4l3PEtTTv3YDXv2Uf98AEH6uYbqcXlEDfX8D+PQRFtk8GC834Pk3
/f//9F/96c/zwP2X//t/lFbKVSKlX3kCXv2U726AIN4ZdhHs+JcLfX0fTN13aADQI/j6xVvCL3xT
98HSAUj85n0woUPi0eOJQk2mvl49D7wQqMKgorrP39afX703dR9MWjS/uCL85fPAfWCSzP+clwvl
B/74XgjSRV0Hl9vzF82it/Y8mLbuPv9Zz17Xb5vMP9kWSHzTof+hA3z+wH96Hlh/fEIc/nht3tx7
wbbFAm4xjP/tBYL4dgtu4/MH/mqncN7BPSVpQndeHog3dyPIAuR1/t0FQu0UdDQRsL5c56v7oOiy
HK7gdr18/y2+GI6rsnR+73nQ3xkoL2gyvdRFr14M750Jv0ypcl/uw1vcOFngfrdyoG5kdbCg9b5s
GPzA7xdK9x3gN7pY4o/78Pwivq0Nw9TN370PvBcO1gq6VfrzB/7Te2Hgfodo9/Jthal7cxuGgbb8
N98LngeofbbOzXh58H98HoD78dQhiFfjFPX1FgsIA1zB798HVltSr0wAiOrr1fPgvxMsDhZisufb
oD8vSG/qvfizUKe/OFr9dSHFharSgaPFn94H951j6LYjAD4+f73B/eKFn/57+4V4B2PCZXL3UjG+
eh7YL5gSUqr8cR/e4PrwZ0CQf/w8qI3RwbD93XV+v19QbxIGbGNoeXkeuE9vbZ00WL5e24H+6X1A
EurhRDYs+8/3C499kxvBAvFyH54X5re1PvyJ2va/cR9sRYbhgXheCF8dtFgfSA90TWrX5y/qrF99
Hn7hZr2wdj6njw/1f/0/AAAA//8=</cx:binary>
              </cx:geoCache>
            </cx:geography>
          </cx:layoutPr>
        </cx:series>
      </cx:plotAreaRegion>
    </cx:plotArea>
    <cx:legend pos="r" align="min"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11.xml><?xml version="1.0" encoding="utf-8"?>
<cx:chartSpace xmlns:a="http://schemas.openxmlformats.org/drawingml/2006/main" xmlns:r="http://schemas.openxmlformats.org/officeDocument/2006/relationships" xmlns:cx="http://schemas.microsoft.com/office/drawing/2014/chartex">
  <cx:chartData>
    <cx:data id="0">
      <cx:strDim type="cat">
        <cx:f>_xlchart.v5.43</cx:f>
        <cx:nf>_xlchart.v5.42</cx:nf>
      </cx:strDim>
      <cx:numDim type="colorVal">
        <cx:f>_xlchart.v5.45</cx:f>
        <cx:nf>_xlchart.v5.44</cx:nf>
      </cx:numDim>
    </cx:data>
  </cx:chartData>
  <cx:chart>
    <cx:plotArea>
      <cx:plotAreaRegion>
        <cx:series layoutId="regionMap" uniqueId="{DEA480E0-C680-4B89-8F46-E4C2CFCE3455}">
          <cx:tx>
            <cx:txData>
              <cx:f>_xlchart.v5.44</cx:f>
              <cx:v>Base</cx:v>
            </cx:txData>
          </cx:tx>
          <cx:dataId val="0"/>
          <cx:layoutPr>
            <cx:geography viewedRegionType="dataOnly" cultureLanguage="pt-PT" cultureRegion="PT" attribution="Com tecnologia Bing">
              <cx:geoCache provider="{E9337A44-BEBE-4D9F-B70C-5C5E7DAFC167}">
                <cx:binary>1Hvbct04suWvOPw8dAEkAAIdXR0xIPddWzdLsq0XhqwLCd5AgDeQfzBfMjG/MK/9Y5OSpSpLJdvV
c3weLNt0bGCDBLGAzJUrU/+8dv+4Lm+v7BtXlXX7j2v3+9us65p//PZbe53dVlftu0pdW93qu+7d
ta5+03d36vr2txt7Nao6/c1HmPx2nV3Z7ta9/dc/4W7prT7Q11ed0vVJf2un09u2L7v2O32vdr25
uqlUHau2s+q6w7+/lfYqvar//b+v3r65rTvVTWdTc/v722dfe/vmt5c3+8uD35Qwt66/gbEEv6NI
BERwLB5+wrdvSl2nj90ee8epICJE7Eu34E/PPryqYPzfmtLDhK5ubuxt28JLPfz/bOizN3jWc637
urtfwRQW8/e3x9p2fXpVvn2jWh196Yv0/Yscnz28+W/Pl/9f/3zRAGvxouUrhF4u3I+6/grQbf4T
sQnCd9yHpSc+Rw8/+Dk24TtBAi5YGH7pRsELbH4wm2/A8jDqJSIPjb8WGP9zuFVWPy3JTzgq6F3o
ByHz6Qsc+DvCQk4DSh7PiP/00C9n5McTeR2Jp3EvsHhq/rXQ+Pf/GrT9mYeDv2MoEIQx8Y3DwQkW
Ppye1w3Xj+fzOihP416A8tT8a4HyYL2fNutPOCHgTKgvkOBPi/7cYPF3ARIMIR48GqzXnMn3pvM6
JI9v8QKRx9ZfC5Doqu1uS/0GJl9f/0TbFQjwFYyEVDy6EjBRX7v5EFgAZjTA/PG0iCcYvpiwvz+v
1yF6Of4FVi+7fzHQtKo+/0zbRtA7H5HA9zl+1bbBOQpoyMDpvO5woh9P6BswPQ18ic9T+68FzKq/
sjc/0ecALowgGlKCviz8C7IcvvN94dMQP3a/JMs/ns/rsDyNe4HKU/OvBcry6meSMuDIPgnhD3sk
wcCBvzZs/B0OKJA24T8eFfbcsP1oNq8D8mXUCzi+NP5aYBwARVY/8YSAnwlxSBEck8f1fglHCGAh
xsnrIcuP5/M6IE/jXkDy1PyLgaLaz/rngoIQDoQf0FfNlniHwZcQHDzFkeT5GTn44Xy+AcrjuJeg
PDb/WqDcKw9X5W1qb58W57/Ol+G04PvoBULKV4EJ3zEfUYbxozYjXhivvzen18H5euwLgL7u+vVA
+omsGcQxH7yLDzH/q/gAD6M+RUDTHo3di3jmfiG/O51vQwPDXkEFWn8tQN5f1d2V/ff/qX7qofEF
aC2cwmo/d/UEnIsQ6JE0I2BnX2TSLzHM35rL64h8NfQFKl/1/GLI3Hb//r+f75XUnyUlB/dhCcMh
+uo0PMcHtBpM2R9S8kt8/saMvgHPHyNfovNHx68FzoW6qq/e3Og3j4HxzwMJTBoPwZ4RUP0ffl6E
MByEAEAJyMCjSXuhZf4nM3sdrL/e4QVof/3CrwZeefXm9PZnHq37LA0FRwNn6wtvfhHlAFEIMA0D
/5FVI/y0Y76Yvgv1N6b0Lbj+GPoXnP7o+dUAam/7pwX6r7M4UAVCwXkIqZhXjxRkcUIkUBiGj/0v
WNyF+sF0vgXMw7C/gPLQ+msBEmnIZtbgh37IrX9i7u6bS/S1P3z2pf8wtQrsnnEfi5C+sLGQt4MO
HoonG/vCEd7Txi9Jzm9P5fU98efIZxP/78+bfhuXP5LP8VV3tXjIWn+VVv1+78NLQjL9xdDvMZYv
K7a5+f1tyAOKQjhrf+TD72/zjBE+JW1eGXQLQvzvb73wHbhJChj6gmEC0h5wzvH2oQvyT5RCIgMT
FHB0nyV/+6YG5LLf3wLyyA9gFA4JCn2fwSxa3T90gSBFCQxjkLiF20LX01se63JKdf3Hkjx+flP3
1bFWddf+/pZjuFPz5Xv370hB9QoDiB8ZJT4kVuCR0H99dQp1CfB1/D9cQWennSklR1Ma9TU+qhv2
Gdv2KEfdzs/qYjnl491AaS2DPNmGqln3VSKbEE/SJlmss085qveDuy36Un+qykCOLk2kp4fwpNqm
gUVH1aS4HFFSSN/0jZyoPvULccWKGa/h7iJGGcolSzWRqcfTuORkWIbKw/sBubtaOy2Rq6dzqvJ1
m+o0ssLZ06BvXaxH5G+RTbMIB8VNU2RkO9aWLObKODkmLFyMkzmpKlvHpB3Wg60+t2NZr/Lc7YIp
Wwai6xcpqfHapeUsS1FfBmoy67wpL+aGHVfbZDtyXy/s6NaVUXNU88Bf4CEZ5WCEWJt0yVRxW1dL
h0azHOauXiR1hVaUnU48scuOliyaJjat51gPikhrRn/b1Ml7fVIVcxmlZOZRWyWXPdGbvkzmCOss
WKY2uCgCz9uLEXt7F9I1G0IukYmUUEK2KCHbhJuPSWj5wZBOh/1s7hLcv3e+d5PwrIiCtnCR78ZJ
9kzXcqzUUpeZkLTA+9miXdJ+hrk1Z52f3pi8a1ekzeeFKvwtE52Kq47mC1yJLa0aHtNMdJuyLiJS
h1gWlZdFAW3mKBzFeqjIIHPsbXNaXnnIjQue4iqqwjSQBE0nY7DwfJPGQ++U5ElaS6GmOaIDPQmC
7GPRoFn6rr5TszCrKdND3Gbh57FyRZwGnZMo6TNZ2xagOdLZKUqGUaaqmOM+ae4Mo5nMBtbt/Tld
eTVHa65GtEh4rZYBYU0UNP0JnSaySFI3xS3PjQTZZOu79tz306jw62s+hBEj2I9bhmAFChTpzNuh
svUWI+FsOTt+0eBJxWpKb2BXHaeeK49DbI8CWyZLFbBmNVodkd5mq3IaaYyNOiO2ymWfZ0bmJLz2
TLIlpiaysjEacbVA9RC1Cjb+iLQ0objz80FOvJxPKq9/X5qxjpy+YYWnYofpZeKTy14FtzoowxUi
zkiUwdulfSjWCb9OZv9mtn3kmo5JI4LL+2MdVUOXRCgLWVSlDZJVFaXM0V3Xaiq7djrHYSMFGQfZ
pnUuiT+e+IJ+bue5lHmQb6F4ZNF35LRDJpMiKIysUlTJ9sCjqYrwyMYoyLpJjtqdu2najBRWPlCi
OhADS6I6BMB9znOZpibu4Fwl5K4by8MW1Z70dfhh8qtk4ZSXH9QTPNOlJJWiCc/9QSXwaq6I8kEc
2STn6xRn1XoMBZb+nGRyyny4t2/wKik7PxJ13A9V0chy6k+N4uOqCdBJ2eFGdgk9E6oBwySUjq3n
iciMdt+m5SX8Q0ur6kXlBhJluhzknM6DFEnYyUYNH/DMfel3upRtUTeStF67RDXVUlS8hpE2jZ3H
py13ZSH7rv/ol8htmELneBjNxrjgjI7JLkn79Cjv8cZOXMX+UFSHOm1UNNTmpKOZL1Uy67gomrsE
tVVkMs0jZbiNhyCrZTZ/DBu/jb1m+sRIf6F4sHeopxLzfpMlg9qTHsHJMbKtwyKavLCMesYuR1tf
WxIJgbtFg+dcNh2XrCdjlIpcLeZgvvVs3W16hqyEzFQik4KWkYLTuyWZ/jDWfNUnlm2nztLITiS2
GDB0qvci2803qkXnYPTEgVcmVPo97BB0zEwlWVtfo5KICKduUadlKKui34tGHw8iuyFuEHIqYHci
iqOiztOl8UQeozYfN8Q073GT7AdjPFnMbmsEozHFuDmtDdkq46eHg6vLeGg5Wjg/20Exwc2oiius
5/cZwhfcSz5P47yrWzgdYaaOSF32x0U1+rGY80CyprZy0EqvS4PuSpFZ2YZZFjcMmygociUn5R0m
ZXVqqbEH2Soh6LRtP935TEXG4Cvw5Z3UdoYTxL184aUfu3qaZJuoDpxYBkeynf3tzKc66sc1zY9S
nm5YOI2rCbs163IfrIvrYsYCWHHWX5qq9qMUb0gR7KGOcKlqPV71AVrPdR2pXN21ZVbsU9ODO03Q
Qe61rcxhMpPpeZQWYI/BHFVLHaIjrnSwamvEwPBmR75/vwdNH5sbNLBDRvt02we6XObFGOVEq6Wt
knFtKzClqUhi7ethXaXBZmB9tbVg0ESGpoUrcLpnkLZZBEbPshc0l0l9mphQx6TwN0nS5xEb83YL
9YjyEOuJbudhVHHAfRunhZsWVZKylcX9aZkW19wH7LOKPBhqaWtUXZRTtcmUOqQDW2FuvPfOJcma
poVUbdns+mC4A+NmwNAH69CmOLKmCTdNFp5nPoqsFZsimcoFrY3aVSk+HG0X2equdjqLfSfGnYGj
XXGtZJn32cFczREgPR9j/r7o8ktPayfNZM37tm2P0nI4LkQxbWrnR8mk0qPQ1XSRTs28GMuCLzqv
jsu5MLFXDjyuw7Hbo9x88vtuim0pbiaT4rOMDemqrmY595+46WQrMryqquCoJUG+yLGRtizFrkRz
stKaX2pU0ZjN3sovWnY8ba2fSkfnReuiDuc722K7zHvC13S8DQOLt15HFo0gCIhZdZA3s1p6IXGx
K+ZNymcVty7RssFhvnHzca8rf21tyyR2J0BGVyacm6irqosiTZWsVG8i45E00gjrTTDWi7lI6NIa
OB7A+arJNWCHgvcGD/k5Mu1Hj8+9DNFsj7EOCDwnA28mcBYT0dGjcQxYFFZq4dlpqRs1RWBxjKTM
FBtsHV4o4qhstVdEXYgW/fBBU2diDoZvjapi1TV4ZVi77GxYbOlopjVOPzLvym+GSVYmqI4K3Q87
FM4HxVQNW9hxyo63PFMnZQsEgrEZdn057Jxz+SoN5+vBo2pXh+kguQXjjiqPAd3riyvkD5shn5ZN
kZ4OglwAq1t4jh4mojlw+XRg/ZsgDz4z2OIkTBfIICH5zA5CNmPwnWUQjyrZU1ZsmCjuUlVt5sBr
F924a1SGFvUMDIai7n03+asiS8qo68A+l9V47XUr7Q+f4QWO65arHeY0lGmYxFZgJYuknuCU8FsP
pTKd+qigRb5pTOjFHcs22Ri2e+7ahaLFsOryaZSZqrahPwYbWqubYcpoJG6KKYsSI6Sds/U0mCMO
tu+c6ulz2ic3c012s1FHvqoV2BAicTMvcVnmkUnJMQrJrqlMuqj0euqPcT4kR2U7xuEM5iUt2yHy
CuQtk7mCWc8JOJ62ppLMzZkXVDVsWutFnWiUpJ5d0zLtllkPnjpVYBhTXjdbVLETxxp7aFriJGZT
NFgLm0DnaANVYHfg+9plFapIHXmArlSKXeKksIsW8aVm9iPEO0CyM29hwCZLZ/MxtnkeN6JlB7C/
PpLB3KHCeRJ3wbwME+AgSWpkXdfXgzszqJZTidO4rvoFznO0VgVwja7ut92YHDfGubXDXjT6YQeH
0ujISzSSYsz3OUZkYXyqVn41nfsziSvVNWcqDBdNPTsZ5lU0uEzEjZq9iCRukgVdVj6+86dp7Ri+
GpLk5N6/LBPxniUJeJ7AM5J41bAE+3ccVIne1F5aSZcgMKRJCe5fbMEsS1oSdRg4Kz1eAm0sfQhJ
xEcxsXNHzChzM2x1V43LqRa5pGYuY+LCW8tdsBeZH83NhGNr62mVJtUm0ZU98kK68TxvjGpSA9FW
2bjPqf4wGAdRlWcPHdCUnTPpR4yyQXa0SA++LqZ+Fphe62ayKs0ey9n/+PivM13B34fq6j8b76vh
//y0fyqj/+63Vrf6XrVsX37pXmP4415/1nHfR/V/FHW/UAq+FN4/Bdj/SeczjeGZmPIkHN7H31iA
EPttfeFPOeZPheFhyKO6wN5h7t8LAffpd44Ig6q7R3UhgNRjiAPCBQ0gBXmfy3oUF4j/DhPK7nsg
LclBSPpTXEDvEFRYAsO/1wNAZOL/ibiA77WDr7WFAMP0EIeaJlCqGCjPz7WFUdflTFAePrDNTd/c
uMBCpDCTo9bv2AL44RnPIMIK+/ZQVLo5SXRPNz1Y/6FtzupUiC1mesN465YN8Kf4q7V8Rfwg9OX8
COZQzgj8EYUwSwxYfK19jE2q6izALPIcK5Zpn9tli1wiza7rfSLroeTLTPB70QA8l9L5CRAPsqCe
Ommazt+Gc7ZhldLnxneRxUUfMdOzhS/6s4L7dYR4ZY5ovZlTl+3mtjoyvJ4OmbBXRgcsTvI021SW
dAuI3rsl0hWJUX1P8oy6QkAVD+ugTC9MmZ+kAUtjmxU61gG+SpkhGxHM6fEwBsGhrcMFyBGngRqr
Hy3R/RI8g5BwTO6rOiEvRwl+kI++kocMm3RIfT1FOYC9nIaC7x4uJev4zoy639CxyoDvWyDyJCk/
IJayBQXauWKTdRF4fr4rcvDAKXa7bMJejIsy3bl+iIVS3knjvI8tLadd0fvJSej1R3M/lmea4cO0
8ciqdWkoxwYCgqyu2Sx5rqUV2XSAVRdzP1uFleUfIOysIOIJwl1ejuGHeUBAujK1nQLOQEIIUOyl
QXM6UY9F399E94LgyxW6r1gOGIHKPaiQeSGgmWlqqzQLxqidZOZcvynKFsk0G8fTvAySw6EL4rmn
+W5ITAd0bM5GaVDHYq+v8x3px3wngm7fDfSwcaRY4t7mi6Rw6b607GjySbFnXVvus8q/LHPnrx6a
OtAoYgEeZgG0CZ34vSjiknjNcjYCnbj7S0WBTOAR2fUsmllSMhQnYsqln6fsbirbY1oPzYmd0cE4
p82ucYH+cqG4efzIkmZRN5jsElWQQwh4gkOUa7UeO7suskbvi5DrvZd0KCrSQCy7II1yrotLWtJw
SaoijWDFQFpDjTuYVLYZuGo3w/2nhyaVpe6g6VW+zcJyEYxFv/Pqqdt1jal3PIlokk/RVKTksAkT
e5Do9kc2wAcL+Rw+5kPaCyphMdTQQGLzHt6vNrhXiLaE4+siwz0U+9ovD7MsPIZlmaToA7tKke5i
jXh+PgYdMFZuyrOqRUuToXaRUJcurbP0fTl227rr+Cn4W5CB1HRY1kF+0ARNcdgWE2zcw3IYzEUz
AekoNNP72s+4DNK5Wpmaj/uGjPnq+3uTg4L84uUCX4BjCAgYfHjFFwZumPOC4S4fIzeOn4nIxoWr
M7dPyKQ2aQpHCjk5YEffZ2PyiUz1RYuxOvFYcp0pbrbIS7KTh6Z5CD0pWB+sHtoeLhULx5gNOo2T
Ca1KL1AXSdtn6yEvSMyTIr/wWs2WnlCLgvQkIgN1pw+XcJg2jTcMh6DwTae9HtjW+KBOPHRmtpxO
gzDrow48wCpIJVQFtMdVOoO0YBPgvmJk8cPHh0to8xAiX57uBjNB2D62KkpYwK6YoMcFkMNznzTD
qg5aiMyYv/AEV5/4VHzCyWhOEO71MQ6atUvMMiUMwnlnRRvDlhHwkGZRzbU+L3WZL9o08Dc1RmwD
BBnLGc3Vbg74GFnwVksU9qes9smRVUF6kTJ/29NUn/S5SS+aTIP8UtPTkTQ334eYvgIxAxHTh+0L
+Ibsvv+r/cuFAq0pmfto4HSIIFo6SStSnOkJ4tm5/ZjWIf2UzpHXZrkEex1uv1yCDiIgnh4WPi23
jthmN9T5vPTcnEXg1k4oH/jBw8UvKn4QlESvKytOVcdByBtK/3KYRLcSeUgOqsHW2ynsdspCNIJV
YDasDfDHbD5qeuEfgBJVghIg6A6RLlmnYX+Rlm74mE38c6UpuSn0prPBumt0vU9pPmSRaRZZ3qJt
5m28HNttUQoCXB0i5W0WgIz65RIaFn9/OTH+CydgkFOBCm0oMOUczgyQo6/X03nYnyzIINHoFhkj
/TavxrCU45gN24omrJTeNHSbLGAyryk9Le8vHJ+1PqiN+RCmhz036x7uvPvzYsYublwyLE0HoigD
UnNuinGlc4Y/UAO6K69GEBuslgpldDuVeliB8dwOFeRXgmmRUp0fc6Hn0wpnYewFibewbg73mDQH
mvjkxBYQvteUu6gMyAcBwixEC+MUJblBBya4mVjI1kChQOSoiT1p7y/UH8aob0UTG8oXpuP1IcZT
uuGzPUGiMLu+B20B4QQtYaVm2XiNiLWrLvzM7TwMGkU+Zt0RC3tQ5TDdPVzmOaG70ssuqRNi1SSt
t+8hi7Fv56CQgb/2ujI5Bi1endhpBj2sQ3tKIfvUTngtPOMfh/cX0zocTV1QHDo9d0uIP+hRlblh
kQvQ8hEaUCwarzok1hs2SZqzqOst/NIqLo9oBop6Q7vyQA9k3M0hSIVtWevLUbmPfQN5I5c29T4T
yERzQurLpuzOKl+PB2025ScPFz1PKwRK47ayc+1kEtLdOAV0P+beNUe6vv7+rgv+cogh0RcK8D8+
CGIh/OrG800XzqVfTz2IApmNHR2a02qYm7VtEgRZlSzc096vd6XIQQjyUSGzqh+AVBabYWqbXeDK
dl119Z2llUMy06JbFyr8kNQCXLvNbgolvFXmkZN6OtFFKuKibotl22DvlEzjuO5af6XUJA4eLpXJ
xmWi/DbCIGCdN0EQ2VHNH77/yrD7X0YHUNPAgHmB9br/nS+IVJ6/tBHd2HMyFRLd+/pJnz1cyiCT
ecb809EneJ86/qktaSvTLmORZbzaYAV8kw6FuoBUQ33gJWKUenDqAtI9bDsOYQ55JehlCRs2JfxG
U9SOQXbhkixZ4T6is9LLqcHlOc+zVIbtok8M6D6o7E69AJXwJO22Dx9bU/lRl2UCnCSid44EZO80
+Lup48e24R6o7S1ZAKdf1Unnoro1ER7cuGlmc5EP9szkaSqxMjd5YhqghOZSF4ebNlM3vBgb6RUT
aGziMqFFJc0sW9p9mgLxsQVGG/W3ncfv6sGXc1PoyHmslVkxXboAHFqgdVRq8JjVPM6yTqcrM6os
QoFehSwtIheUbTQzshI69SNVQs7VlKCfmJEf8Q1L5kvR1aOcanWIjbfoqvo4t8On3NJ1ERZX3AQr
YXgiMR3KSJuii3QOMkIQVHg5jPzQ8qpb0cS7miF9ocaZSeAVau9VIDjkYSozr8Oy0cV7TJtlPwhg
UTS5yFX+0XpnjJn3wxSSTU6oAvG3u+xsVcQDGz94NcQOXl9Guelq0Cm9o5zjJOqRLSWp3HlOvD4a
2VK148of5vdQiCZz7zwTKWQAa7FPpuakCLtm4dJhhXBDJLCBGJyxXmg11tI4XS0rC4kFi5OV9esP
JmiD2EeQ1g1Kv5WIgtBYkrlcI9EWUQ/+PQoGaQKrVgYHS1x4Qs5ZD6K/oWuRp7kcemGWQZNeQwrF
80J+YxjaqKnPl77KyBJ3VbJJTxNB2iUpPQcCd2plSXu0wPoIYh6wTlXMw5yf175bVAK0UELziPc1
3ZR2AORVv8K2BGWLchr5PfLW/hDIYVArOngHJEmzbU07SL/oRo6QSId4OsJlOKx610s/CbWkjUsP
vKbYwZuFi46UWiZ+oqTpfUmM9SBjiY5Qg+8yr0G7wU/VMssKG3lzfWp7dJZ7q34YrOS8WTO/if0a
gmQ3zBu/odtMlI3MHTvmDSRBYD092ZgR0ofCSjr5+NAv5ovZDvWiJRREzB7awSGGSwZWb039VkuX
lwsCwe56cNQtBtAVVX0hOn5VaTHGap3oYM8Cx+OuQ93KOWvPKhTelTbZjZRkRw5kg8kCwRgJwGkY
26cZ1CE0fuYd4/m9ofXnFtIPedYpOYMJaVUjk1SQ9TTnyx6yCsTH+8aJ497P9aLt/VWXYQn59DJy
eXHhIXTlkRF8Ufqh1PeZR7Qe2CCLM5XhVpYdyKu9Do86p44chmRg96EXDRzDRnyaLVuJavLkXAxx
c++ogsvc9ddZ+Al7bR+rcYJ8kcHb/+8CCgsJuBh0jP/WAgqhxzpmUEChSP68gIIndb+Yp+G/WkDB
IdNeBj+pgEKPzF8C+fvPCyjyEgo72kZ50vjeHE8m0p3Xn4ygIXeMGkgb2FUz1cM+ZBPYdL+BKhbR
r2kPub8hXPWG2i0rV0MIydi+gNtUYfIxRazb5JNZVg3I/02GmrhGoCQr0523Sc7Whd8YuBmLUdDc
9mov8Kma2F2e0XSpVB0sUtvPEhsM/iSp9raZ5yVJpg9d0wLN90ccN8lYRC0bzSK0cHKx50NyWXXB
sh2TGxxUt5yr8mNVJAsoIqplqWbIOQTHtK3PPc+cWp+ZVVoc2rY/Ud3SjMFZrX0VJ416H3bkYKTD
ssnzeTP4c7uiRXnbtVYtK+fG2GMuPUpCB/nvltwmJeuBzkGhiODvez5Oa+4nXFZNqU5rKDYoKe3+
H3Vn1hw5jmXpX4Q2Etxfufm+aItQxAtMsYEASBDcwOXXz/GomenM6raqLqtuq5kXt/RUSHJ3EsC9
53znajfR5dSNIkoTqRgc+3HItLcB6ylpDV9s8txnEqPcaxcURMuaOZ0b3zr/1QU/kUtLmnxL6ie5
Ou5ByNwnSl3M0E1ZrVxdRHqvmxbcQiWcHSVVLsQPGm/doaqxIc4bDBq/687txABFLK1TJL1sS7BE
prPfkxb/UVsQFmZxvlUm7m+wDAqJu/wVh+2nzkLKT2wEo1aQSzBXdWoc9mRpNF99LZpikuqnqSpb
JqLJ5rofssgP1lwKNGDOurzFaLnKxmu/exOP01HqN2+mT8x7kWzjWdgOnwKvk8UcR7kJhu0yUVLg
UrOiInrKpkRnc8d6WFs89wI9ZoE/eVmVNDh42zAlKItPAzHv87wkqEiSb0437XvZrLD2wS/M7fDd
iulsoXSkfR/DS1tsVHABAcuIpknjipVG46JsUsLYsirJ52oJ9m3mEFpstlkvE7rnjNb+DCubq3zy
5+oQLO7FCdjztuhX5aw7F/cYC/uw6OYqSBXvby0wiWwV8pvcwnsvSbRP1poVTTgHaQAbKhm67ZQ0
H3VDYRFJI9N2oadRxdtfHtx1wtGEw880UX0Oo367V55CBzo1ZyADUCH1iSvbnHTtNyf0FUEaLvGv
yMGxnnh56AdxGfVLlY5V5JRhHE2pJuGY4dAacpOvgMbSiYbTjn1QyzhKTIg22sLph/f8Luv1Paq9
voybSO0FW96mcf7KfPlQLZqDbR8t7kB4IUigs16qrhQ1jFOgMXWFQhEERtYv8ftgIBM23rGP6vAE
kRD1ww8BISL1gnHbWz2BfvElRVVhnGPfAjFIuifAW7KwSQxL7XHwhTjrIzEW/UiKBi85tWaOUqBb
36D2hbnvAzrrV7iInWKiaLTVmVKMAXwSQGeY+uy9+5uK9v7g1jmQcfis/lyEBIBJSEADMTPfjYR3
aPujGWA4TYGjsgCgH1+Hawfhsa+2ubSmuTi1yNeef61C3H8zu8moSiOKemjGPwAFJbM1iE6JA7cS
lqsaph+Ch3sy+FCH29d5U69qXJYcpOtbss4ZW2ae1VNczCH5RceN55XPCgCSdT67EU0jYwsluocC
f4atajI1ajcV/EgTue3dZfzOlvhcoe7KGJ3eFyfuD+t2HCeIBxwdDSxLkVbrdghq+7Zt8AnrOJVj
lxnfG8u6m1Zc9hSyB14SLJJi25LcNaQgTEK/gru4c9kIlqvesk5QnQ7b6JfKoNWPwDl046aL8Ffc
4H4gTer7J7lIcaoeD7zp9vMURId1oFkzt23ZOWDamHFVhvLJSG8qoICDiIlhs7/SpZ/3SltSbMsE
79YjMtOalombsNRuTGROC/4jqbcuBYKUdi6+dWBWlmsc3NC+okrVKI7W8b4tuActh78Kxq0kSrqF
3LrPgtnzXCd7Kdi9aQQt5OSteTAkYkcSb0aZtN0UoZ+3rmiHCfatrW6txnWL52EH6qVPuQOpYJL2
GOKUgiMb7rA0gqxr3Ak7cvd1jsMqBYwGbjRoeNb5Pti09iCJ36Suwt1OmN9D06m+V8Z7rlsDQnEM
h8w37Qd6U2w4olty2qCgpdwNj47S5cNYLzeJNqFe+x9e1arcxatL1WkM7Xxm0rtuCBhlUgkG7KOj
ly3cQI/3URriaEAXBGbMOh3at1zjRaKMb8fUwzpOfbfpsrmq3BzQ0ZMM9Hb0tuG2xHw+tI4omKyS
rF9D1IXgCLp1+2jcGYY5ny5dEBUDLGeABdVYhEOEPb9Db1Nt2zF0TLyDWfxlXae8sck5gedtp41B
molD+CM9rONJkCwJ7Hie/Pqw2uHNVHVBVrGVindeZnoXh4iY8kE5X10y10fSN14ai+7roKmARD2L
rKHJkDaJf2Prl6hVN9nBTiZbFWUEfUHobh+14/Cip7QE4XYWdBGnWj48aYP1NlbXnndrFm7bnC9x
CKyoibai4RdP9D/EChu6CZPS8SpemCWKs05WGUwX8alx9qjrbyrw+J2Py5uPTcUsuingMOM4iaCi
sadlIblyqudGZIFcvWcrzJySsPJ3TajWdO3RAUcqmZ8DTQ42gdSuhrPr0g/K7cENmhCnny3cUcu9
4+s8wv6y711h0cuOYzZ1IneXLrMsIlhAwVNPqi+owHMT+18ZTJ8Ms5feFPX3yg5BTjr/ZpfP8Yr2
fntnUyTRiksCi3Gq081/6AlrYrOKnpUi7q5l4dvUmDsP6Paj5nOuQzKlI6H3asTL0BW/GNODQGHh
fnUuDp0qfKhkPURpHODNLXWT0U30+aDD6AAccxc2CTqczRQ45j4Nxv/AChP5BEwvrZ1+zQKnGfJq
qz5q3oJtnrPNS5kAHTkYFZX1xI5BzVBqJjigXJekFR/7bHpwtPXezPgBZEL/PZKxytoZ68Crx4wH
2w/JzTv3WplG83SepDQAa9EIIT+cD5v/0kxj2hNnPsSsflXwzCpZnXwVrmlMB5VXAY1zxrfPa+u9
Lq/QrNqc4kA+EpAvQAbwMgkAaLJhJF0EQFcT54vbBVe4uyyLGbarbWp+cpSkfV0GYA9242y/t/6i
D+3QH/jslELp8Urv8eSYFAryUMLY2GDDTNgkYZk+GIU0Ga23Iy2QyUm20DwsGkse3LvNKeKYc7zg
JUta7Hm9DONiEn7eWbRYLQf4ojytU9p4mbB9uB9tdEZR88JaeDArtcUwR7aYIPW4FPsiDJugU+U8
sxe2XauVQB5YRXcyc12nCpgKHFF5U/38w87bAA9ZHZMlrjJlcaYkvXtCbT3iNPs1xPNbt3T21Mei
HG3/q9JLs9MEOzlzvgytOJFmFNA8sBXxESB878ZeyhNAwQakYbGEhZ2BOa4NFAFSk5yKi2So+Wvh
fXir/iAGYwSlbbIkwjpLvMxu8KJhdrAyXnzsSv49XHxgKAEuUji1Gd5CObbhljfxRoHh8mdncmVu
+/ot8kYn7SuzFKpj6G0BVqN6aMDeoGJYQbOkYsPtSJwBp9YddTA8LD8K8o7B1xqpLn1aBY9/iF9n
1XNPVDFObjnT5kvvH6OoiYqVBVvOCCvAmaI240tUhOFbQABcTysUaqf1InzNx0ud2tIk+qVhfYNn
tskFfs7WQv4OZxcVKerXfvZshmDA4z4hZ8Hc8IA1pLDVb/6ZdLuEGB8NtqJpzYeTgeGWdRaEjkYx
UMxwmSMSlJVY7lyLoz9NS24dJw8UJAIDKyrrRfNrQS1tw3cS1iflZZIpcRxVd/Pi+n1WWqEe4XdA
xrIMevdnTZO73Hrcbev04gyAv+OqG1LWgDYmS5k0M24dSHW41uprVd3G2djcUTG6p27eJYBssRQ+
KR/k7MatSW3tnZfRV7kjUIy6m7CZchO0eJPKg419g3vTp66uqnNXsRwB2pep3sT92VhHH81kno0Y
LoRqdVr4eKm/6Sqr2ZJgsQUHW69tVoUDuNVexmXYOJnmr23vvpI6FRMtm42hQ3BjPNEfIukOehr3
xqcSwoXC6dcOR9MNKrVNc9uUv5Ta9dGXoJv9/UwtcJCHiFz0FO6oN/D9YHEizW5ijtqln3TPvfxh
HdFGQaPj4pPpPY7OTb7yyBsyA8AEzQmQP6fqx6LCWd12kLzHtQwt/bmMghxntu1mxbLVZ92OBEBM
bGycHEWyt+Q66NW+jdeiVrWfVhSldTguXrr0+Kb2Q8yQhfC6uqxe3DmtmwQdaZfLIPzwAL6mxgNk
TWuegYKjT3weUIEDgIYnBtZRwx2UqGyWmb75Yf+5XaAWuMnKd42Rz7wJUMlp5+fQJDgEfI6Iw0Yj
KMS6nDcHJNo8vemVQeC14U15wS6xbRmgMd9zXo7DU+8466lXXVKMVdOmRCL7YcMvOwy2fFcO/xbG
2qYeqe9TtES43as1axh9cqrxV00dVN6Sv7MxKWTd3N2xm4/JrBB8mC0D4Ruep2H4odxfXQTETHBs
Ih79FEcuS+O6GlJisUVIkBdKrwUiHHB/OlH009g8jaLaLYlgez+VwImdZY0PwQB0xXpRqhbKsP30
X+tlrfKz4/jQ8P02xfrv88bV+OSHIckq/003XZAuU1TtjRvGV39pgY+7ITqh1WGpOnZwF+P2Dppw
7xFcpIC8uGJBCSnqi5nRe/US+sBEijXZEImJwxc2tucmgPvO4uQTDlLsUpX6FM2yPhDPQAh0UGMz
SPzR0t3Iil1ML4jjQDwIoP5av3Da5dS4qAUd5Q/Yj1HiuPOWhWb4kLPjnOZHMyjHYBcubs6huKQR
7IVoqi7LNtbl5sd+0bMhKHVvpnSZPVACUCc8D638DEBldtWVSNZmqq8F+qyO7yPRfW/rARLx0NkM
NTF3X7ytz0TYIytQy3Lo6iQf67pHOav2Lg6vFMjoih1t++nEekrBpewhBJhCzX5/kMjPpw0xFu9t
+RCVPUgI5dkGDTj0+K2mdD+tI/ZJX32uaZVNtuYvyJIc5mWTB+EHLK2c7stM2HIYX7ze7y5VviBw
BPaV2F08U7ObkvVaue49cUH840782eVhgouhnAkejUSRA2LrJ0yMFOvkPGF54bgAfU3reNglCc79
Rvioaz6wl+EXw5jfInpcm/i2uuIomXgRqEiWGDdQwLBzziMWYN0DHerdCXZL0oKLtwsiBTZ1rTjR
PvYQtAi+kMc13+CL7gNQ1PHQf8NxQMD7Ez9rwXEOQ3zu2ynZwSz8NZLtp0GIKkfr9eG6qJEbIR0Y
5fcVvMxxUM2+TlAr6YCPKbrXEWs4Bv8g4ks9B1tZj/Y9GreUt/KyJTPdVdthk2i8JFB5mnyCdA2J
ow1OVEKjm/voY4nQLYuEo1itW5otsD+OCfJf46ogAyR82HGK0xgIdMklLIaucmWpGClb5kQ3Og45
dZHCq0lhYFi8sGS6mw09DVua59p9knxGIkkceuC5RSQakUY916CoUshrP9UQ4LOrIWXhg9zZeHga
5RanKhkpGmfy1hBBkWDwTepN3S84EDxlVZ3zYKH3Od6a1PrRr0Y1WR+7t0DFUzr1hqdDiHIZ1ia4
n66qshmSFl96g7OMfUbBzwqGemViQX2JjPgeq9XfTYpBv3k0K2RYQb+i6px7MHij577Ocee+urLd
UVTMqXYW2EsxenSgyS3YFWe9R9N61KHmzzg+xgPcetwDfpUUbFhIBhqRXQMULtfY2baC6w0pB9Oi
jVmTEwCS8eqxGL0Zb8/Cjforiedqp2Z0WOSTns0vLnECuW0wnrFxT4h4sHW3onIrIz/5GVTyRBHJ
OctmSfsJXM/imgqUcK2hUxqU7UglFtyz38jcnnS46gOtBOQ65fZX3bhB5ppx/C6XVLadlzqednYc
3mg5JnA6+wCagKh1n/exM1/mbmqek0jnHarCZ9PumrEbnmEUFnZrZ2hgOoQtLVuZU/x/pDbDfhSH
kYf2Bhx8vsVj2O+RThmwYX1MSPLdpezls/C24LQF1Xs8EPH8+0HauC4rH0070saHKhT1laFgfkZ/
AOzBZ/ZoWwZHWgQDNCCtS+DBy465BrG+2Hj3qUYr4X6xoBqOVcvEk9qMfCIoZNNlZNP+8cW5bvwj
IQPcGGtNbjsJ29T45A6tay6CSYX50lVjTuZhKKNEDc/J46EffKzBar46Kuifk3ZlJ7z592ZsEHhR
jncUDY1fWPSdG/TMMMkR9cJxdnYDgqSS53fn0C1IOE8IbzJ9odFycTZqX5r6bY1N94yeekZiyOtz
BDvE7vdTZ0O2i/qiKdck+tFOWPiZk9dzrF/rwO9ffdX+Uol2znE39K+xphE4xiYpf3+Rjx12bb69
rp58RmIu+TxTRK8i3TX7ZLMeomDwU61wShajBHWkt+wGL1xSInz9QjkuIXoR7Mp80C8RRcrKW4l/
bXzcLspk4Xu7xO0vKhRPATY2lyqwSMZuJMxDyZdrUgleVEN137gcYKBHH571w689HK6s6+N9r/z4
SfvdL7nY8AdDR/04dHwsmo+lrr5y6di33hMu2IDoScbEzd127MBPTXM+9YPePfTTcxV08ug/WL2m
o2cjGwNAlk6/+p6+RiR0nmNyogL6heXzF7M2pQeX+Ox7UMp9Mh83Gb9W3NMwSwOwQxOW9dJfIwlb
eYTpmuEVr7t5LKAA9W/9yLsXhU7JdS+TWBEScVkLkvLqREGN46CZjytPeOYiFXYaUTeF2uFnAXIs
r4PXWHoZiVo0yN4g9yGJnhOi2mtA2ADDbK4KRRS9IMJz4DU+enwoLNVzM35qEEtDPCbAvcVFYUPY
Un5LCpcZ9jlAuXV0gkc+L/hlJAIzRrbkWcn+dZ0JPXp9rCC66aUYPVOdIa88zVLQnDnIEsVioRfg
tgDwkeTBnueuUC/qFgiW3vWBDNM26Lvd3JHgaQ1rfYMAXS7dmLzoST9rZaKT9RHItbouY4hIafKA
POjEz5PXdEWzjs/9+ttIobA94rY7e1sTHLsJ234V1ABIkf90/PjUJPA9NLW29ASSvNTzNUjl7Sv2
X7aPVEQOoDItauVwx0nSPLvr2O77h4fZhu/eMIeHwACRNuPiYyWIKyDRd4ly4dr2MdK9uol3G3r+
3TB0dzUCUOF99Wse3Pj6+0Ev4T7qGrJfgQgiqftzwGk1bhKOexd9U5ARgtoY+AIxrNiF+meBsygh
U39VSVysNOHHNRRB0SfhPsGBV6hhnnZxiBvVkCjKXRYePM7nDN008JfwroheDjjrErC45GwqUDAr
J82ejdBBt0WanPjCZJs16ykiyFC6oUAv0D1QXrYMpcY6Pogm2nHTed8b7eVmRZ7MHZzPtbuuZ/iD
gCDkol6CNsxdT8an3w+tACdN+OfeNvoparj/rCkneTy9c4AspQMb5SioW+1pO3x12ohmtJE/fIo6
IuZr+BSDqEzb5CHsbBBqh2g8a9rkyzYAdbQqDxV1rkkCKaYzhOWb0voeOuC6omCscqeGwY9mq/+g
yfgjubnbbJ4RQSr8uUbF1XoCsmc4IZ0e1WBY+jiv1iYqJZ+A8On+pWl+aq73q9rWG1WheWMz+UE6
sOpErlexoKmIlToYQatzHaiM00BeHNKnxnrBp3XUwbmLh/gqCTLt3WouWyXevBEO36y4+6TGEFbc
5qqUeDFHxcpd5OVMctFWNtjxJmjRkwcBBOguyAjzBBRme0Lw23+28XLqW0IP9NGgKFdUFx35/II0
zNe4noqQ2qBQHmdno6mGhkfnNKicOVfYoXaJt65P2+Ifqs1EV74Mc9kO9XiWMkDdWc+lfPz/xdM9
OIjUH5R/r1sYicngbdDmR4tocIQtSk60GFYko100lW/cPLR16c/nVfvRaempC2vGwqAYfLKPV7Z9
qn1nR5Bb/sjGwJ0vLlu3XPCOZq4TSVhFBItyWtVhbmt9+v1QMwmxQVNYqjMA2GQC+R/LbzF7m9wm
0sjYY94A9nO/qDuPPWvBElQcEJrcRJW24cnrEA7Ja4twIly2m7/Fz5uLLV5vU13axfhgnsEyrjEC
8dLjV3Tz6A27TjwN+w0DEXjtuU/QxcjFdeZymlzvSFrmHee4/7TB5d5VMa65F8VNgQghVKdON+fY
afYV8J5s3ZpXpDH1SUMiy1k9AUL0/fbG1GRuwSTNDXMC9nR4rZqlPw2KgZ91+Od5DNYrFumTRRjk
V4xGtBuQ0tJIQtotCPJ/r3PaOTjARf99JiSxoV+daTpqWOp5yB5pShRYRxNzAMbOtMNPC9I+JOji
+ti8RbNji40kU754jZ91tJZwPcH7+Y5x7jiHkAAf9fKaLChS+kiaMiThMRqhNmJdqXzsuqUUzsR2
TR2tReuvQ4lv4CdRDVEmkfJ7DS3bAWpogNsE8hPfSiccwqPXhj/rZN01S9U+u9VIgeJqk89L1KBH
IW1eTw5ypFHYwGSr7YUtRWjjlwRmo27D4MVLoEf1XHzUVQ0VkOv+3DFAL5Nz843L92vvvDRuyM8z
CqSsf+8jEZQmmtxXpl1siIxAg91EcoTpmY1ITaTCRlDuHGjZmWJJwTmkI4yl6M9RjWgwY1JmG9In
JbR8OA0uiLikQ1a7jREBzurN0FuyIKe+jZW39xtu98xgPEFniboDe4PX34/X388o69wU7GWMjLKW
x1awDz+wE/CzJYQ2UU37udraHeBAL4O+ap67xJhn3/4AG6pvCeqGS41MZTRswZlTgwfYTNnmGo6R
HNzeKUCje6zi8YTpLnfuT89O1LvXhNXz6yxfaeXQt99PtPdiEkJvNaevAerjiwk00gpyS76skTmg
ibGQ7ES9G4KOPQ3B2jz9bQISHg8Axz9mayLMFfapB40gDiiiWo9owh/Q7U5VdrAMAJEA+ILxI4Pz
FMowSSNPLIUvzXhKHmEI4WqeOhNvcr0uWETVipxpEyMS6EwljpQ2VR3CydheZshoYFYq71MjeQ1R
wo2ytacgC1sTQHlpGeTF3jtBkH4AGyW4+ygGbR+p8YL+pL2bRd6QWbKX3w9kgRmmF8wj+f3Ukd+M
gFHf0MhinkGcD3YY9q2NwxOmmlSHXlTilES+d1i17I7N8DWwOK6mLgRq6Ey6Kn05vjfIco0ybu72
8VANuLc3z10yAdMJKEul6tLzoGx6tAavHOq32o7BKa4C0DLIpsPXCz8tU++mDYLokK/VfkPJkW4h
+FU0zRYkIup5/Bz/i4e5GCQyDwvOOQHhc9M2lvGutu34WS+2SVtV66uZNwtRrl0QZmXt8wSFOI/r
JSp/33meuMfRSC4dX94pW+QnWDLIbyw1P47e5wVgzfPvh9hHMYZkDS3bU1vV9bVlY3dWmCowRqR9
MWMXpX/7/vkP0HAUgrr2oyikMQ1CGmJk259uHy2i1rEPfWSJ4Cb2ooUp7bXFN6s28mUKxyCzwHDy
ycG/kXKcj02CzY1SqFQGMRtcMFlGajHIRcjgUsWmT7GpiPsa9RpTPSzEHb9nN+L539qpXtCaAJyo
GAA4474nmFeU6xHn19AMz7ZWpmRuC2m6g0Puut69Qm7g8Lffsv94S39aMUgk4g8NuWA13CTw//ot
O108j6Yb+7SdWgsVNcTIjGTNPdvSgmFsUqkXQI4DRXvtMuqcIx3kDsYy3EaczTfhYHJQ6/TjUWCg
kEnC4fMiWnJsOwdzZlBffJn4w/Kw12ZCxr9DShklNL6PV+G16j+sw75u2oxXl/bwIbsBGGm73DwU
jp8rDOA4sq75HCvn6DawMpBBYSe3AcEJ10qeoAl8RkfUvPztj+Sv40tR7FCKMf5+hE8FMb2/Svhw
Q2klLe5l4lmVQkj6GTbkl3BR53fkIdC7oANsgMwzVpn4O7fg7/zQn64HfrsX40IA7/Zc7zE18I+3
oK+TYRYC82DY6n/URHxdQv9gG5nk3SarVGEiEIWlWvcFTFiM7PGXD7+Ox8yO07D/xz8ICBTUCV38
9ZAowtjJP74UbINEthyOM6P6xzL0qOzFQdkqgNE2ncIKEfrI36Z929G/fAr/eyLZ/S/v9y9Dtf6Y
Hv5jmPifyi7/62LJfxr996dYsoOZxNC0/nAJ/sPss99/HuWPf0vsd575/37j308oR//mU0q9BLew
j9lj9BFt+j8RZfffkhhfQNGJ0CmuKq4m9pPH/DNMsnSQFogdjEz0PFxq/x+JKCPF+ldbCrZQpKMx
mQ0zSzHU9PfX/3AIV54HTr6GDY4CpIgkI6eghaAA0Z7msvX2JHF1/hujaAAv9nL5fwmj8NG5pCH0
iX8CowjjDibBav5JjCKaGABkHYMe/JdgFB51PyoUtf/tGAXjGKBh5+QfwigwemE+QNz8+xgFpLYW
8Er/P4BReDgNU9fE/0qMYm3Ca4c5bn/CKKo5MKd4wUytv4NRwA9yT1OAUT5/F6PwXH4azPKfYxR+
CBUBiYt/GUYxBFuY1a74/xSjYHLXUeiV/wlG4deNLQj5RzAK3qpThAb5X4lRAKq3mAsY/DtG0doW
uRSI9v8ljML5gmzIP4ZRbM4CMIh3/yWMAqM2S3DM0FOEaa+T1pclAOdaB+YnnWPQCo48dMT+cILl
EmBMEyJnt3hmh8G3B2dp7qruOOxXdncNZjNBKwXcoL2pZMpB6PLOABimqg4umOBxqy0GjXXVD4B5
bc7b8B7ptsBvu2OygZtZDpd3VaCoQxEhCVdVT5Pl35ZwKsjgFV4sVC4wRjT1Ma8hI2FgCknMA/GY
7gFaqj3s2QCOhgRcxhmGqa01EpUzELOgy5zFfcwJiquSwlYHEA4+aQuSzPBtV7uByPAKrsQiuuau
3jdoVu+TiHdxZDEiCcgcHNJXKcy1bZzhmEAzSZTvns4JjiCMuSE2rXr47C6+vR5WtZM1P0d9MBw9
GjwvmFCw4Uifqx4YICLHrsIopdY0xTxA9BfOr3YCjISJFcEh7ILXab6DYoQNL2qR0aR/lpgL4Nby
++RjwtEGRw7dwoCQdTtkjEEDXTnPMHC1nMf55lUCKABCeQ3vPzc19TOgoPlW632CRjeFIWCKiNen
2YmAugwVmPckgfYK5lm3zruMADTpaPVKv19NgWDBMLG4FK8agNxuAXGyKPIp4P6BrXw4YD7blGPc
ZVRPcFTBM8Cq6rMQ80zS1csrPQNUYhEaE3yMmyN3mkJYGxbkrn0MqkgdI94sCM9qBoXWRWGJEZ+6
bEkvjyxhlzDwVSEGBSRFhF2xGn5a5idHMbNbWf+/2DuvJcmtdDu/il4AjA1gw10KJm1leX+D6K7q
gvceT68PJIdDjnR4ZmKkCR1pIoYXw2aZzkzs/Zu1voW7FOZduKnp621MJLN1r+Ij48WZsPQrTuun
xzLBwKtgelLN7Faf+m/VOnwgxG+5M8enpdfn3VwpFoPvgtVM1jys4Y/C6hCFoGSs0amDvFlOLHUP
IzD6Q2qJxK0LwceKgUeMjkux+TfmJHCKFstrih4wQHgwXLW66sUMVM1+8JxM+NFMVzwVMO/GhPlT
IQKjT9/qnnnXrKcf0gSCQLiuy1u8E32Y7Weh36ZRdWam+jZX0nf6LlgWIby6VyIfc9BHAuxSoXz0
JRAZX10mBHnXyVJrD0s6frfMZr7CqgXubhdVNqvvDD0AZVzFBMSqffYFQaJGPMhMpLrcOmIOBXoN
Quhf1q/8ofH5v4+19B82NRaWfh6HP+1pfhd4+wsC+tcv+a2bcXQWq3QeKKGk4Wx5Or/yluyfbNUy
DYdJN9BKkN3Ymf9CcybXggaH1kjVt05Z0oP82s2QPkZK3xYOY1ga80BH/Ue6GWdLMPnjgAROvK1b
DEc0TRg/o51+3wUvqz3o9Ls5fNvpOknSz3BoVE8L1ZM9FaALlOa2jXXhLh3+pxFPm2VPJx07EQqf
z6ozv2kabCLzR4bVcZdi/EVg1twOzhy5dhZfbH24bPq1bjDh2kbKSa0L6eapdMPRTFhGiegwxvda
6niJ1OYdJGCcx8CcOYTFGpQG7BshctO3EfIUZX7fGPqLGrK/jpGQ+DHmm2K/xm135u+JKkOo3/MM
xo/DRB9dGCo9a2Qx1llFoOWLizoSt0abTIxYmEsjhFFcCDyHuMKaZzCLm0T9LW3y5MUQP+oIZ/k4
QXaI5weR1o3LDqLChMsxoBkg00KDqzMPs6sKgF6UFgL8ry8kUzHG9JxHybhP8uK6iJ3EVTH0Q42L
8cY4mF6NzBiw1Dnv5iaCMWe2QDAjaoElGNf4DRyZG/YbCufT5p3ZzAamHAM5+o2aq+ey7rCn/N0G
6cmk9JDsWf4Og7S6aC58un+xQToxVnApoX4QCSuLztkMQf91DdLwM5X9NGo3/ycM0vpmkOaO/P/H
IF0563JKnn42SEMtehtUXLPloLhDwvL+TwzSmSgvdfzWwZzvN6d5MTmurpcHbHWnVeDGMuv+SxMR
a0+E3jGoy6I2v2MQu+nYnnjDRi3UNn4hcNbXZSMaahvbcAJymAE7rLAwXCoJ/zCKohk+JUjEjY0Y
A0nsNlqiqOEmhgAUu42kaMzWD3NjK64bZbHeeIsZ4MVFNhPTUPOpAsloFhtuEXZBihWnZyB53Tj8
H/XUyqjzVWVM/NXm37SJVoFxrm6jLkJrBkCGRsRsPG1+UMqs3Q2gIieQkVoBgt5evpDN6eFmQ81R
CK2hBYG2yz2kcLML+CjgNagfNaH7RTg+JfqS7MdxYOZvxJe2zQUKQzSy0YyT3jFCT51rKJeTjRs4
7E9NgdJwI2FWKHOaagJ2AdF3mh9Rfn0MGzuTlZ+vbTTNLO8VtKjll0z112YjbpZlgichHP0lVB3X
xILIdlze12b72gPsxHrYotvXERpRkac3JWBPuRE+VVCfSC3FcdronxoYUJRflN4mZFAVu1TMdvQU
b9TQZOOH9qsBF1ZA2XGovIeNMhpJyu+pLx8x9Bv4rmCRKj9TSXP4pJNGr2dvzNICeCmM9RDG3G1Z
HZqNbbpukNMNdrpRTwX4U0gprr7xUAVgVMHCCyHVpwkwdXrCkZGs1U0HSlXB859vaNXPaeOsmgBX
bY2LIwHBOmwsVhZSw76b2iDZOK1xHx17FQkrWRCwt4zesxBx5b3xI98or/hDsYth2dQ2AmyFU/NM
hXhba1SMxd6Y+o9hY8Z2qJ68GDJuPrUPgHFgpirmCnH0LDDGBZXIjkuWfOV9eoxq+1I3qOv1fFIB
N8grtYFby0IpYszp8Z59V4rPvJ+uiqq6WjUdOLSNUs1o+Mmi9SeFBWhup/XRGgUadT3F0dO256wf
My9bp/akz4CxkEnUbTsdR4OKIF8Lx+ctxMgNXGyyVbaz4mmdmvzghM4lonw48Hm8nnqkhUNBiGVu
jl6FI2kXtnfK0tyYFWx5FYpcN9hGgJbhPZs3NjVbc3xPyLMWNTxKCSxlyE3g9imbKltAOe6qRd/3
qnOrD/WlWdLOVdv1rYwLdT+l+zCWlOPODpbTBkBSblPNuNFqACqtjK+ditKoqZNj0ad3c1zwEgN9
8foeK4GeHuMiPe8aXca7Xq401ev6Xq/1SzQbiHVNSgAYaHngFH6qKXOAGB2yYcMb+KVWfCgBxymu
0lqETDT5cx3ikkf1cbYnlLsI815Lu4/doa/DABFQGmM3WAANnpOhiwIDcZ2LUzIPRN4AW0qMo605
06XEwACnPPNlRNU0lE2KR27Z5VqqnMYigUNS9ftS2ntwJ4LW8Digcmbp7iedgnGbBUxZlYhuOv2q
rNdvXT7dyza2UOO3ANdq+b3QBQfm2lP2iLy+UfMVohWPWWFnPA2TA9D2IIcYdWoNK61AyX6R1btM
1/SUj9SKXXJb0YlCZ87f6mJ5Hu3F8Yd4BPlvjfUJF1Z9SltIRmDiePwdeZeP0cmq+dsXUyTg8850
x2u8n0xY6Vi8nkONvY1Ilgcg2QX6N5JC6rbY1CnjNab/GxUMJNh1dQpiDuc+Ed8zBvtuFSILi7sJ
W0Y1eXjm0YfHjD6csdRfk+hH4eQYHpRUu9h0/xVCRTRd83ha+0M+Libta9v68Rz5UHvbm2lRFp6c
SPUQabpqqr53PQJKdl2tp5d4+2rcHHWl1ce5Dq8WNFpHfRxXJCemcNVeuwnXZheWpEBAl15n5VGt
v6sWtk6ne1WV4mpclR8mpu5yHfcU5W5eL5shsbpNR1weufO4diHamspP2KNHGBmoz3+mS5tj+c5A
4Vjxmk9SO4ybwJilupzGm7bidxL5ezVNYOkwXEIvxk8zquZ1mUjUSPNzUcyXCD5/IYpbU8uues06
PchCv3MyziGr4GDHqG8b1z0iYNZ5yomxzUMeI7c0sqt8NnahRMawpLbXJ6d4zILCYOe92CfDhDSD
Rds06W9DxUvVGz065oOD6rL3l7kMEKTgh1Z2Y2buNCRObmjLfVu3r9paPWzKqsLcy7Z6KJTsE8Q5
FOXirDu8T5VmEr/wuWbaIyPIy5KWnrpsV2iItLSUBxqhq0FBbNITNBJ2QVlVt2E3XEbU2CbGlhk3
NTDTw9RS05saziEwgnXn9wMulglhT6L743hYZB5og9ciSpkseT3BpAVw4TetukHh8HNH19jAHtEh
XbNef9f73h+V8dL/+vKOOBd0ee7T9lUKc1dwUjS681jK8KQCEfn5n2j05yHDZWPupqEE5F68SwU2
PmQmOod9avbPQqjBWualh9Jr12I7ZhHF9dGUhI1Uzk6vSLxhadYGero39asBtTJ6en8dowcns66U
Lv0QGeWB2hcDLsbIwn+XX5rxUy/ALHKgFelTn4IxbITSe5Inky7jnglImXZenE8fac4xZRJR5soR
77exgMKUfd67/VjfOLfQn1rk+hY2uaX46Oa+CnAg32KBCJDYz69W66uYqtzWCgkumGr4ed2eZBot
mLS+gbKyH9RIe7E55oXTGg+zXd5x3uOg1eanAuppkGGqJQnAZ1qHdSK2P8AuKdjxl2tcJ9I1V/Hj
kgzJZ4c0EhNKfcNOjz63YSgIRVx3+6KiMEOGhRP0ok9fRhR/DWP9oxharx1jHrYcGn6mPLCbXmjt
Rm8Lbj3U89npkWVVeprvBtvcG0irkR8AROhHkiw0+l91Kh/bIXxbJlY5trpiVl2QBduaestP5ytb
d0308TCX1RFTNb2rOmluj+bSK3rr1kYD6iax+WB3iHZRhbZwEJR9MYT3MANb39SSexw9H446v+RN
e14YxT9MsfKRw0y1CHLxp1p5U9ruGTPm4Fc96Iysq0u/Qwd2qK2raTtpS1D3p06Z3uXY9Uc7ewVd
0QfIniXWGtJq6ly5mbP8X7wb/y88a0Lvxdb6P2Z7//eR6PTfwn1/nTb98kW/TpvsnwRGe2fLf0Nk
oTEd+t20yaIQZGxkC9WEObz9qL/uzpl5SvuXr9iioX+bNkkBE9xi466C/mUVrjr/yLRJbj//D9Mm
kyEYwyvb1DfIuND/hp2LBc0I1bVoXRHd2Xwaz4mY7zVTiQ9DTfuwVK0PNL/aqVEVujKBAme2+j6u
mZvmgwUdxQDSVbWKE9hVCyA/Dhe/mTKuGETiBxwlu0FtwkBHaOYiEKwxZ3Wr+/6YI4hxEzs+9MX8
re9H9MyxdY9ptKMhjAVmVO6RbMXBi5+NAgmSGAf417hgTDJlY3vQPEkLwMO00W7UeLhtCrjdllbc
tQ5cnUKWB2EMP8pGgU02V/rdJPb2ImAC5KShmO14LuKoO2BCqHfZOKG753nX1d5ve3UiYynVXQ0M
LOTB/rXFmJsPDOGm2r4iuwyupc6vMMzwIlJdJ+1E+26nx7BDblrmce1mI99ojqL7dDS+0ID7haj2
YSXrQGi0aijpPjJJso2c+Y8HwoLqfvStTQdeCEb4TPzMYEnUY+QozlnL5vtpgjCWmPaxy/o9OA3P
aRCVW5p6prqx9wQtRL4xwFrPQ+mN41Tt2pljbW5Dk6Ol+m6MRr+rgAHgE03DQ2JfUSzdJkao47vG
FTRjvQBFavVgCTafKtdWzYxrXaMPHEYUfpIJehPdFQI7UlMXmYtme8CF3Xq5EwaGZklXhs80Z/HR
rpZ0nyH0P9sGPT5ne3XpBi7fGG8F+I35E0GscQeMpvfSJNeuHIaBj60weWssENh9VAZtM1+WZDT8
xfS0RVs8fbWyc1ofxKxEUIeEs7e6VoA+naKjuuAiVpHP0eSAAAHiRXIHUUi4eocT64IYFtYq2KAA
6puK7jrqw12RCuvQjCyg1lS7QkhdBUOEQDHri9GtWN+4mUmjNlvjKwZTwtI6ll9FW1LRD/mLQUHm
LDNEj7GBjzIsex3FYjJqV6ExoXEtCgMqznKJpy2SI+OwVuV73bUzSjv9aVrrL6o6uTRfBPlkgciy
H3A6j3lN3TRNDTFC4SarBGhYt9+qdNg5S/+dqpzBQwkaGRn/17IsFwcbeJLLs10MF2UaXpK8B4eH
I9Tslvi82QgKe9Y2yVYMDoC9ShWJu0TkV4va3pNkczMSwkSm33CxFW1vgzEnfgrCsbAPMESORSao
m2TyapjLN7sfv5tDl1yN/UeprLjF56Y5Afc+9EtVe0au6pjzQ8s1DG3xV6M/jH0d76JsEbsopq6f
KrwWvGVXWU3ZZUbIq1Fnpoe4y136HGKmynF0lTA/jRadQVfxicKGw3hZ5Q0t6VEr0gUi0B96Vt7P
IUYcmO5BlzorhoD1a1IxN2WzVPfgYjK3d4zXYUNFAftaL1Ix77SGE2xMy0dH/y4rOB2VwRDZiL/1
xHZhRGg73pzxNDt95lbwD6Q6wQkCIWPY1VWkA+I0uZXlFJ2HGZkrOTFBLjLKu/RT1fUD0ILZjUX5
kAn6Hj7aeXmyx+orTPizUbGx948XvFq7OXUe2G4yLGocL12tJ6caoRdFEVbZpjtOuCpbRTc8w4Q7
lqTyPJrpsR/vpyV38O2GUH42+oNOcpVl7XR7g+7VAylGOvVnOWeBDrhxLXQ8SojV26R5UYHSzYZK
OVQZh1RnyYVolldIOYGZ0rxmVsFmrdss5CnKqSstFMCBORhX0L+0oFygYU3pcMaSNaKWTB9sUabe
WJ9XWC4PQt1i0liY9g6zIKukD5+sT6sN7b3WDe8yJHCQ3yzPx9QPK+372GKESBrDQbGPtDCDpVSq
M5z4LMEL112mTsfnZUQfjj01D12nqV4qsumqJgHsoVWth2lN6/daLwffmaCh9e1ceRz9HBFTObJX
xXQao152dTVn6W3MAxl9zO9k0hyg5k1XGpQqQDazutfymsA1Gqk+1ZuzKfuJloJIzGFhEDCQ4UXz
hnW87244uAhqFHwk7Rh6k4glUD5ggHyGpltzmanDgbjqqj8NTvHA8YbhxNTxfExXwoJ4EEbGG/aj
6t14hq+yXtuyPOtVA1zZiNWTobOqZBx0mFe9PuPwB51BoJoLzSLxdIwcPtQpaFFNegWYvQ3ihJzH
n+uWfy8U/5fRzn9NYiEg1rS0P10oelVSfG+//V5b+dtX/VrlWT9ZurYpGQ2Hm5bKBRHtbztFgiUI
dTGFZOaj2hal3F+qPPGToWq6ZOlo4Nf7Q4iL85Oj2SorSuD/qsDw/49Ueab2t6Jrct0sOM1QXGA4
22wp/6isdcg7UxMBGE6zytIvq+J51pRdz1CDW7OuPFAVTtf9CB2Ldj+8S6f+mDXp6sU4/93Vnn0l
gwgkOsJJm+K+Q4XCCO44lNlH64Rn3S7vpyEFAgnhdups34rune7GBFvIuGnHRIUZAIFtFelmubgG
6XhC9PAGcxLkauIms/406/Y3cy39dgRYKEyMDiFcmXlNkKwU+Q6Vw4OJv63L9C1MSZKLaiYUaVjP
HDAMslJJBtCGu5Ta4Uq+GxQKjkKAyOZeIPBpBmIxht5qjYD2MudHJdV3s+sA10h7xh5mjUCk0XVV
KUgQENZHmYhvzOvwM+qfQ9Y8tRiadxrHZCbG16g3KD/Lft5JwEA9xYFhN7j/aTTtpxRv8dwHTVM/
RU51jyPcH7lL1cq1qoorMlThgGKwI/wLKObRUOGRpnEI+G0KHNn0mMEGOneDSWhMbm0oPlr7Vk5b
ekuRAz4OqXjziFO7TNM7wBat0x4Y+c3HYuMYVmao+xbJpVUxQ3DS8lOfYKMNu3HHXJdva1BYc/bP
rYixtDIPtfCcA67OO9dQFRWp0nCrQTd3i7hOvcgad1nFoF8SvTtLaGEz8AJU8x+2s+helWmbKtv0
2Lhn12tqqRjRFi0QESmE+jr8mAYJgvUFsLnmLxDzPCTc51zGp0J50ToGZSp27yYSOsmljfBVm3vF
KKdoN+RQMUKQcUch3xedcS6pf4lX3dv1Ep5G5gzHPG5uagmfUV2ZOmExPySqCKocb1LIK9iptA6t
OuM4hQ8eF50EGVLcgrLUSEg0LlW27BYda1edYJFmXwOQZwd9pDsh+cnhX+saEG5HfuAzqHblJi2Z
JiPojeGqYhjpWkmkHkQPGhvSoNsk5NdmVjlfkNmM+HiUtzZRcI2nxqHQ+ocwLfdDReIE/v4SpB6I
YjYluv3ex4LctZExNKw/JFrEEq8K/Y5lQjRLS+Yq6ldoiLc1Roe/IgFj1+EnlgKiCfJ4O5SCQfcN
hXL9OKcYcFlKeRGwyGTMTYp1ypQeD6megTa0m9fBjGq/07c0Hr69XWGLGKcLOIyWvw/TfnQsQbMW
oO/mInKlQ0/i5OrHRj5Hjg9Sh7UK0+Yc2l56peb2KS9OzqmKsKqswwZxGBjpxD9Ke/0wk/FUYHV3
G2d6gaStAe7y+Iid+zx+IYXgelTE9WRDJ4qZChsXnqK1cFuHlXgHFYBqW0VXQ+/GLHdgPDPjkYnw
ptiKDmrOsXe5QrjMoOfNlQEVgQC92NktKlEuzPMJyJnGyitL+DBO+YNBvemutFRqHOHVrorUS6Jj
Yda6V+BXDAa61GVrV8HSAwhT5cKLVEIO2tradGtwa1w0kNQBkVVjpjPSrvfa1hDzGEOB3BZeTUT8
3NY2k8dyn+VLfu7U22S7qKftylZ/vry5xeV2nUd5GHvpdsXP22WfaxEbG0tvDyaVQLOVBHIrDpgA
na1QrNf5W7UVDwpVhLqVEwN1RbXMOrAyCBfdXDy0ILYBaSV6mV8qc7jtt+JE3coUZytYlK10Acgp
T0szsFOlrMm2AodJnz9vJY+1FT/DVgat1ENFkjT7rmnUPSgkWIJb2aRTP7F0RH5mtkMAIXBw2ebx
Id0KLrmVXvCheHW3cizcCrNmK9Eg0tTvHVVbs5Vv2VbI9VtJ50hnwebeULvrUBQ6h3NljWzrKMxB
3PGUPwjik+DVwVrOLKIcBnPAnGVr8jYSTX5RGi+U2t7hhLonNtqGtZ6yZAP9GES1mQbl1LEbJjcR
wmIi7+ijvTbXIYYpZX1OAWE8rs9lgbAC6NitmtGX1WJfxDFEDsWKvZIJgolMkvnbggF4fdVaKPpr
tSsy/hOGIqXnzAeIM51fAY0Lwh4r9aqT/0HAIqdBIrxOGw6rPdU7I5m7fZn0SCzteIAzRvrYrDSX
rN5OXgtMrSo4YqehgxjveKG+wo+ss09tFe3DWqhsSNQNyQhWg9us8A3dI7zDhapj8jboVNVMeGAk
WDpHWHGPsNLE3Baju0zt60S3d2VNruygDMAq2J+fMzn5a5QYB6vckqc1ZvgSH7wdavjMc6yHQ/nG
JCMHfAx80FSghCGRycLPIreDQkD2T8pZOU7qxZ5YlhHKlAVlTqrqrPeMS+DBMY54g5VvXhVOREjq
Uo1HgxZLs4uMZ7K/45LhGYBjiFMfVelyS4hjE3BS2bypYGjsoeZS7mhwNN3PJGBbbL0QpW0dTiZp
1F6Vc28kLUE/iRS+VDT7gnERea14jk30mzx/a0CB0rWO5GaFrWb2Dh+ksPqIxuWLOTLn+zS8wWqJ
zgzt4mNSwvo09fzZxnH5vC0Cy6QmiRbym9Xga4dKKEBf1PoOfu3rYGyU2VV8i5X4fgrHt66+yVis
78uYIf6UFkdTK6prrbQUFqBk6PZDeV63RM686M+LCilTYVsHlwhxb8IdZPQcbyJKz9C4QMKyjaBX
f1vWcmFrOZ2kITUfCe2FYhIyf9jy9Kqma8ZctgyqXpzk0SqhLDIYuBItxk10Ckx6RvMpEQkolKJu
8RWqtVeuu1TqHeMYXlmmaMz6tYbWi3ipXId3WxvGC9QZC7oSYO8q5cAYVjvmE0KHU+bfhjYaPNGY
973CLtkQZeVWRZefVZDWMgacOGpL54GxAMSd2KU/gYUwc6Z+zRz/MFg9BNpU5ojZhHwAEPkhNkWZ
Vf4AmTaf57w6O07/TZfdc3qZnfmzHFmesRH4Esql6g1mgZxl5WrGQaQ51ywsPlme/jvG8pd25z/v
hBzL+dNO6Ge72N/0Qb98zW99kE17IQmkRHO5TZN/3wfZAlUlrQyQMofkyj84xbCC0jnRDRHohQnx
r9Nu9SdddQQTdMbouLvEP9QHSed/dopp2y9MK2ZqGNYcRu6/11ZirV4MW9TAzCLnSRJz587OXjRE
HHf9PSvt8Fzx0O2xYX/FqNpVOB97a3kZIyvimAmGJhVkJ1ZHnN2RW9Tq2WpGOMPzN4hODGtE9ozU
BjlDBd0tqW9NZRIXJta3hOR9jVnMFSmaIBnqsxjLiX0zo9bQznYJftxeH+HVqfa9SrjMrhipBkOH
4OiV9d4M7jzQMu2mGkjqyi9SH7TrFvYCe5/G8HpCl9uVuV/Cc95X1Q1BUs3OsSLkHkXK1CO9aWrU
SllyBLL43URf387pfUmwPYBw9DcqDvobw86+l7pZvBXLCRhCj5F+yv2ygeOmSeonReMa0KNyr4E+
KkiEVqzW8SrTLG7gdqUMUdCmVCFdk8aIGjkpiNVqANmGaL0MpBLDmxAtFReqEKRiTdl0/tLJ26aP
b6UK7WEyGYa3QmIWWN+4eJ/kSM0v1O1EHI1jOiTKTfsgl/6magXXwfo6YEE1IxKWiItmFpw735oh
39fZ9GMIEeOQNrId3+sndPurZHNEY5Sz+H12g6y+1kZ85uSlrH2/b6MUhUWaXBGIEsSjbIhmmS8m
aF9SEB5aivuyayrfqK1kZ7YZ3D/mj7C0x+o+T6hILcSwBw5xqNpdwKTTZ6SIHpT5JEXj0xLt9NJZ
AnLEWX5Pak7c1YzFfz22xsTA758nEtbdlx3iuShr50Wf5aHJBbFg4X1U1bYbrnGxJ+TgNOmpQ2Up
7g1kkOjdAA6bYJeTQr5nqXNd0fFcqrqnMYnnQz/ST0bK6GMiTw9N1hpcgujp+toCMsIkNmn1Y2nv
Vqev7zQoI1zDMLWb8qsb8vYqKTcXRoJhq9YetY+5yKNDA4+fwVhfAIuDgmSb01thsZxdcZ6A5oa6
yzobk73Vidco1T4VC+BwRvTzjkAP3+rkKacQuERgVW+5PkEWKHDBCVOTY85fLDSRsCUdCOB52Esz
8xKrAN85b3veGe9GxjxfS9i5izYrg7EvvsaFRySLqKj6brvucs1fl5BeYAk0NB5ulgLZNrf9bQgE
Ekx1jYQ6Yxo6dV/K2j/msoYbpxh+UprPi1NrcOVTMIuJMDwRFZ/TSOSrDIfLUqr3Xb4+bIRQnKkt
myB/KPTeRayVB20LFaxK0qCK6wPspDFDg4LGLSJvvfkR8vRA9SVBjUkH/CxIhsvEMGMoecRVWqbO
d4YZ78tLl8fBwLDWBBCyDu9l+llDnCWZra3RmTgnJzqK+LsVNZ5CziDiKhdVGmX3MQOeOuasc9jx
1/KF7QUWGDR409uKPIUkuMBU3rrtZzGsSL+qbp8o9GlQn9h7LefRYaxQPSTosWPUlAwq+cyhwule
BrGzzFutPa3IDBrlzexfjHbYfrnIYb92WMybhmF/IRb+PjAq+KpyO5SN73FG9gHyEIeDxtFQcDFz
qMk4E4bv5LHXqhuXvgtE2AHARTDxvRJQJ+g1MsvvU3MX984efIw/f+NMo8fxOzHvk4z8rOGajKuD
vtp7YvkY3SB+Z4S+jmixmXLYEfxPUgmkYnlF7lDL7wbrUhcdYqmF9q1p50eZZ+mZcRt9C+AVlmkp
nYo9Yv/U+slbZA0weyqfhZ6nN9TDhHQo5S3SmezQtOshi3KVNGWdAKXoc6mBqEM1lDtL6PU+0rv0
wdLX14WpM2ugJA7s5I6n0Dk1K99onmUa5Ca4174sHc+ykgQRjX0rFPg0SRUSUp9nDMZX84yMvbwh
HYxXs2qh+JDX5zJxfNYSG6Bfha1GsWvotxZskYgwdb+w9JSdG8VeBITBRlYZUzwe29pEiF8598g9
diRwWQwF7XeajBO60A6tYv8MPGYvZde6UkdFUUYwFWD2BrmS6W7i1Nf00idhZd+XdAFd16Z+1AK2
UEcyvkRyt5Kr4ZaxgwiRmR6qzWNdYY/rpg0xpazfdLXRaNbJaW5TEgUKCbtSFfNz1zCS4HKIyDEs
sSvB5duH0/iij40M+h4bWiIhkTexvCZ3g9FL7DxKnv6ZKgXx/wQSHXCKNy0JgsB+Je0t45wWkUp4
un3bkpSSEkSDVWK8FHUfMYecfdWw6eCsvPVmWialno8pnaa7bnCrfw/ky56slP+8DEW/+qeqC+9b
1//Iq/9GOVp+/I36AhrP9sW/eX3QNYAbQUuBbwfUCn/021xeQ5ghN2UG6B4sP3+Yy0um+A7iHjoS
Xeo4dP7i9XF+MqC0MEy3gHCLf9DrYzpbevrv4RvQbwSwFpX/bSnm5lav/o5cUGige5cQtvLWk0/T
o2Ot0LuJKPX7mXO868tLKcK3cDQyLoS6vlMMB5V9Suerap30dG2a77SOYznKTbQYFWs71vL6qBXM
PMWBUlc7N8wMmkUNljWqPFNjY1/M3toXnpSzc4TKyj6w6F5rZiqFyrmqdcivLDcObxCwsK9lEL7t
IQ8twwSCE5jINwZ5o5tpJh0tP7YYlpCWZAOpJwMOwnntpQqr0zUU3t+ZJ2Qv9i1aVPtfmyfEw+7s
qhEhRf9P5QkpMskPqzo+/XN5Qkk+mmcj7v+YJzR0WzYMVCJ3HP4fyxMKS2qZdP5DntDaJ4+qrs0+
/OgnImS9ee4ib5kZxEbOF7EfFFRMVSZ1/l2ekEPI84Tr+695Qiq1qc5l+78/T6hZQyrmMDArRUet
Cu7/78wTmlURPmdTTti4HT2D2c281eCBgRg37ecVNkUN17icFFc2yJZFz3KuTXrQtFV9WRqWBxXN
IBoF6hjdWF1wtnxSslYeOMOwgEyw1+E0OiwRoAZzedZZx1ZsjrhUHcQXS0hqoYY8cImJ2jQJjDXG
FTJwkT8Ownw0NB51Zu3+3H9NOkNqhPkm8VMzTUIc3ZAnQvhQcRjmpLuh5UHun9r8EsqcBysW33VA
EkMa/bobwypoyHt315bM7jYcv2WEPzEHs19g993qeUaIcKwo0N0G1Fsl3zhOncBqNOdmXMWpICLP
X1va2SI03yG/sBYQ65liJEJ7yhGkqHlQO/1JgdafM3uCZchwN7mVIrpJYlv6P788dm8Z+yjRfyTK
8jVWan0wCs042KmZBDabBFCHGLLJn0E4YI4nzZofFkwXe2If6CBJEwduLXukPM6HsS7mSasuZrdF
vODz8Kl4Y09HknzQ5ziiaUAhvkBbDVgG23vWj4A9u31Wx7af1pbpqfQ6uIcS7VhloFrXuD6qmeOJ
oYVvxR6DnRz7j9h5y5ivUjyj2hmF/lT1JPOp/LnZloy4tzSzeOI7xRzIFdqZRMs/sCnfpCYSr6Zc
mZguTuROMlP8GefTtRJm/a7OFysIeZ8g41S3GbtoSnGCyLS1yAJENIRYLD3QgDIP9PClZxE5oMoI
FJXOn0Cj7HqpCRDBBnK2tq3fyvrP6fBqqfgkdUrmdNsQKua4Q/mW/g/2zmNJduRKor8yNnu0QQaA
xWwSqSsrs7TawEpC64D8+jnxmuT0NEeQe25I69ddr7JEIuJedz8ekCLFRYWMaCs9MaG4gl4KNt2D
UhuxsYIeUArkgBQ5I0lmSpvsESmx0B7HtCvXzK+cMuiYlK8j5CTGdNCmZh8NQZrGt1MLDtEcyWpm
Sg91lDLaeTcaQmmPYBoBcS+Vglp3heRfDBsr94NcmtwlkVuzKkXbza8zZFj29sjMWGUy9F5kWs2r
7pqkfOTSZzX5D9rVY7+3lbKb2Toab/8zKc03VuqvXsiXnl/xTunCAwKxh1BssPqoxuk9W0zwfk7Y
c5IP/EQony17Z9q6SnGucGrTJ/o9qzX9olTpEHmawnUZxB2kWgPfYvWi+SZRAqNjyh6RGKKUjJSd
HdIGFILDPOtFALtYN+1ysMIuAvmslHLYy1R6+Uj2w2jyLijWM7J6irwekpuNJnD7yO4R8rsDb2GI
t5OjXbkDRz5zvKvU+rC7lMZtJCk7KAes83FI8CG/6xD5ByX2l8iXaP9MG3fZUv7AnyzWA7O5Yc5o
28oxYMXdwcZCwMXryJrhG9REmJJV65XXAJvndglT2My4CQwrfPGr8NrCp7T1Nf1AMRLNwCYz4Dx4
4X6p64ryDet1amlKnnSqt2w6rQrizoH0Yro8tSZfFxVYyz56toRHv1cjKP0z6w9Z+FeKRH2M9In1
DXvjtNu2Ns5W8n8Lv8UwdcL33hHDRuTx/UD6ofHFUS58bTEbMq+4g0VwMMbXgWaaWvMx9IwEn5ey
u6UJ5pBaTryOABMyP6LrJHBYx6x/9ZLlkhYmSQJL58UQKpyIORHMI5UmES9Hhyyine801k2BpIsa
vz3XJjdH15xbIoh5YgSenHnB9sKiqqI23uwufjPT1Yu1YyWM5qkdDgw30X5xaC2rK/dmlibdSPYM
XzcM8ryft7X35IthTfjpIdTS4gRtVx7Cft5XWW0dU7EcNL1IWHymeHDd9AtP7r0P2h38H3lprzKG
XdVxxxOw9XZpBcm5Rqv0TCz2CZxQfUCX7kiE4WpNd4ZR6mwGVH3JnPB1dGf0oWRDUo6SP+dTWB0h
ROyXkHwX6mdXhfZoQ0yit6qC0NHf5bb9jUiXrcel+mRre91P0VE09ZMDRndL+qlgbWqlJ385Gplh
n8La3s51+9g44giZ+RxaZL7h31OD5G9GPeFOgfQ7d19j2C4oL9esd9H8vdjiUgu6oeVHhck4Y/s2
pkGXJQ/FmLz1c5UdpDrXMoyj+XSsxrm9HSgmHmvm07yqDEARU7S3arqpQk7xRbWI8o2l8bFKdlSO
rOPKI/Ho0tNp+Rg/h7q/M4aGRoVOYNrqcexNmnNn0evkNdP5X/PiPzgv4qtCMfjfXfrb9z979OG0
qg/5m2ph6yaihEc60nVMWyEr/zYlwofwdNAO9DcY+Kr4V38lQriMgraJpmHzHzisZ/5rShS/4ffy
LHQLMIYCweOfcW+56qX9tynR1X3BOokxkYHT5gX+9ymRSNQyx9zrVlZO5NgReBcmACpYTaiOMWCc
l10arqOOha07htikM/cWWYGqP6GsL1qCYhthyMdWT23gW6759kG796obQ+ASabv+7C9heF2K6MOs
bvC5aTunmrqNJXptRzPyoZ27NoCwnt4YQwplF1EhMTpsjaV5lw8jdIRZPXgnygep1dMa/aGhwDPo
C+q+jXa0d+B4Tzz4kJPjejlpevrSh2Z6XXr9rWdvezPWr/xxBOXphiz0LSBOGG0Ooh/udQ9u+jTp
l1hWM6RwbVvoTXuQpvZKEGs75/MzCTmopzMG5KizySZ8QhiNkX8Hk9sSITlt2Qi9+0Rx3QEyfquy
8wGJ5cvLAFtouGiWzH8D0VJgg1p1jnydLf+lo/om6L+l5v3gDuHuUFUBePhuFWfz22TFj6bFn+QV
8dOCSuFVGc3vzcjXrFvVzhVYhyZ+WAFcwp1fRSY27R5HRM5FqRm9i0fn4fLmYw9dsaE7G6TEZFEC
UB5e09bZZ2727jXWjggqrQkOzoMKjEdQpSxXLaswtsPonVuvkDsn1N4JPN4myuEyIYhes9vEk4F/
KaaYgCBjdm8QcOgHv925GfWceCUoQWrWjqJXWLTTrDSAFtQ3KOyGccldcpg8I1dWZOPSJutds692
RvFGtQtN9C0b/CXlyu7UowtHiY0d3VTnWZE1fK/YdsOvKAm1g7A3otg8dJaenUZzGg591R9rLwQ2
u1DQTqy0WfnZfVrRXoZ0FGMe/NYiO34ek/LdEPrWxx5APF7u6YfUVqmPFgA8dQiiGIe+yWUmWwyA
5Yom0mJkiCssTVM+kKaLlg+vpBFG8+Puiu4d6ooMTWdJwUhF7tJ4DrP0LtOBvyuOSduEEIdZP29a
RTlhkCJhkpAe7OmHcI1bftOjPVV9Cc4Ii1/yxF5JsCmt4qcg421dgCouYJUiGSKsfPVNppgrnK/R
dh6sb8t8r4GyiCL6MpWSAKzFHviCyOyfSsm5SFHfTTeQpg47hh+X5bBoo6/Q6c8zw5qpQl0x1Vyx
RSmgnfvdxs9eHBUAkyTBKhUJw81HV557kioslqvYWNUX+LssomRR1z2NTvzmqZAZf/tmInW2qPhZ
QQ4tJI9WavWnSz6tUUG1vvHuzDLcmSrCxi0/JnRMqq2v0fM6/4YVeE5IhuhbqUJwM2k4XcXiqj7C
HwW7i7zcryANJKqM/RWdBhR6vk5N/oDxCZe5ytvVtJwLFcEDO72rVSivLhE5Uf/7sKO1Ea5Tm9QU
2YbePe/6gLq5dmUaDW6v4tsm82eOP6N56jGmwxYjEmiqcGCjkfkrVGCwIznY5aipMVnCTeNO34aK
F5rkDAcVOJxJHiYqgliqMGIeb8OwoQOgHx6xkbtg9Mtbw2+de3AIW2U1fF5o85gqXNiS/y4h9Zip
+CNctBU5frHinu05y/gSCbEpz/lFTkQnRzKUlQpTVipWGd6QU7xgYaSk71fsEoYYSRybmKoKZRqE
KpamJZf8OZHZ5Ia/SkoU2P5XnJNc52SOb0tCyPFLI/NJlyPvPRUDzfR2Wrlx8Rl73slqQ/JGJu/K
5mGOr20y8ypOaqtgKZPo1mmjeNep0Gk34mQlhaqrOCr2442k8zbqD7pRA92XWLtkSOoTR51WcK8z
IfcMk3MVGw2/Xr8WActNQV1fbvZ0o5nubczZEeRjfkZ2O43uh/LmITsX/AhAeITTNzowjh0MoosM
rzOPK3louBe38l6lMVCQreGezeVtihMy8NryYRqbDY74cdV9xFzuVnR9U7TkAmqeHuJ8eQj94ZFh
xz3Z06jySvobnJprd3wPE/eGIDoW2lT7NGyJN6a5y8f4wVLdv1UhZt7G0EDc8aOveD3OFA6BOxdU
P1F6ylFEsxGzmFN99wJxZaaHHTgSigFNxh9Q90ucksv3Is1jXj57YTyuKXEuAoOuCo6fjmE4/3G4
ZQRNpT03wv2CavKLZxaUzHcbzwrRvQb9iuwBBuYYgISdup/SjK+dWu6sdn4QFtUYhaMHQysv1Jl+
sm15M1P6VymNbbOUY5HfG4ELdaVP7ic8prfMyT6akBkm3TZ21uPuNM5EfF+qhiIDYdC0WQOYWAiM
ReNT4l5l9b4cy6/BowBnLO+bCsv24O6GtsEEPWkvSeXfNm56as17WO0sSV7KovxIImSumm2kMWMk
iKPXqPUw3EavpES2BjYAMxqfiZqf7XZhf1+eyzA7TBausk7cRWF+5vSmIeRaniaq3zDOtZdOZNdT
bjxMpfs5Wf7TGD5TaP0pF+voOMW61x7IRQUhM6VDEkXHUjl02m1dOocme+6G/rkfjZvSTQlEW8kV
rwVRub6Lb6AUWI56r7L1pj13xl+RZRT2lPYLQ8FWNPy0rM8+mZK1ZT/Vdr+sW5HidASdN7qoQhie
kSnrCTXjM83MbSvLbkPFK8W5dCB23jqvza8uE9StYb6su0ul/HUSPontpThUi8QiOOJfCPHQ/SLZ
EWUEUGClEvCCarWin65cedOcBtrMuBfXiL1zfHGiDm+TrX+bNQaumTffbHbRit4YHLgCo0Nl0KgX
hs8Uhu6dNKm20nFoBc/sD9lKfJ5NBSFsKB65COH3WOLbxdPvrKYdN1Qu/Ax5SWDfeLPVUitFHB7d
17pMTr5TnE2Bz5WSoZNpsI3BxeVk9Ul08ZNCn+MVjvdDH8Frr+7nudznsetTeJpvmx5dsYYDurGz
F9MUZQBiPgrKyfvq8Bajep6FwONIsbkMWmZZggJBG2I55dlzHimcDSXGx2ERGyGSL610b2levMcU
Bh8jRREJzW9/InpZk+GZMj6P0JyrpJ54pg1jEkT18kSsZ0M+IyfLQ/kO/b3rsBge5krDjZ+RBtL1
B0zVB8rFZvRcvp+Z5ki+Vwf67CjcBaSPKMgewfkSLq9FVPq3O/MQJO62hiN047nFPZ11b9Zs8xzQ
d8AGEVpZ5rkJf72PIdcjt5PmID3wr2EBjv2XHKzFUebW/a/X7GZgZ7jOrgsIktdhvezYwKVnLlGK
n1ueitqN79NZ4HCYpofB69+Ssq+fQ+yJ9Celm8zvip0QEWU6lm1v03w+ZnTP1Fo+k0brH/2xdY6z
N2mbNONp+a/R8h8cLYnM/J9S5K5/b7/e/2SJ+/2D/iZB0u7AOS8cQkCW0C10xr8Ml+5vkM/h3fvk
FG0hLJ1s9l+jQcZvaI/MfLrh6tQlqJHvLxKkCoBbuqP+zHd1xs5/CjdIDOlPwyXRIN4bmOw8DHtY
8P4UAE+yOOkH0+f5EhEo6F7sSNL71rERdlkNEw0HFFqyUdEnm55VralvzLnY+J3tbpaplXRQLwWJ
2kZb173SFSLWHLxRqo/KcC6k5z8bZyQkCqtTo2bSS7AbzHmH01fttUsW3D2L7qIxCAiYbGMZdF9z
tQ1XHPJAz6hxjEIEzeaAbT8J6ro1DxNhmRU9agKYEiUqvS13edicnYSApMirdDPkGK1oKo/W6VjI
PTb+GIcPe3tHbfDNGQCiS9OhD3+BFT+xGbXvT1j845tKcfbr92k3HWN9mQnEMHe7Si9wlXJgpCER
SlqK9olj/NjC+c5EInaN6nFPpthZ22NygVaIIwNVolT6RPhcIVa0BsHMavbWkdIxGgQNwlo0HXT2
m1YrBlVJDZAbL8dStv7F0NxNRxp/5TXKLgN0CvtwnNFmY93Mk3hOlaLC3PKOuXBArmAV3bNOs5X+
MislZkaSGW0LppFSaWK11zIrgoyeKPfdWKwK2UWXGnEnVyrPoPSeUf6kSv+hS/DEQQaopnwwCm84
Nqa1m33Oo0ypR2JAlFF6koVfjgoh6mxiStYBD3XWXhWFAYxkLYEk1SttalAq1a9vTzfMu1IpWCTy
mUyjub7WNMmFkMUwhm6BFIT2ZSgVbFw4mVDFZqWPkbPIAjzYT9gROYCUijZgVbbtq3RKk6tY/U9U
NPuRkORhJk5K0IhQho6sG9YGIA9KwOmH3WS9mQesE1bxg1Mvo2qGxfYz9YyPlpZiTAcmY+AvHhY4
lDq3usDP2UUnSn41+FBOsHQ7e86FbYyv4jpX4yxvloma+oGINcEYsaWkh/qwpXmGoHbiJrNPExrf
2D8S2rWYaDqfJ7hvsUgulkumqdFiU3U9Z/kQYye0d4yHykQIbiTSowOhhuEoYifadLrYgQ12gjgc
+BFpzRudScoCJUtuOhRYN7ZNr3J1mF0CAxS5U0McklmZ9fgzrq27MC1KotlhF9h19V6jmQVcaKc1
uNx0Q85KHPWs3C4QyLbUZ4lNPrdfVlxla4NXt8quaAQjgkuP5cIDK0ip8FmbU2NeC6rYJ5qnViIz
qLHNTdaeenPT1uuSF7nhPgJ+NFS0TKNogpF8BreSCcssuWpr6S6TF1FBpbO6V9fzdmbX0jvYCOfl
vTCYUoyI/a3Dm4FhDH8BY4roXNwJDXb9eFmOLV4dUoHu6zyjDwz+yYc1N9CqGCBP8ntVt/a6wDga
+ChZp94mWjF0j5CzN9qcwL+LGhClrUGQP4HhlOlvhjbmR62lotlLmreSos/dZOoUZpk+q2vfvoTz
q1sBxmngAabYvNYZDROOqprwqRkOeKZrV8g9Gw3ob8N7+EAvVapowDVY4FTxgWdFCp4UM5iFMVAB
MMJ8gzxFFV7S4YMeB/M+tM4myRtHMpCklW+xtoC05cpPn8qptcgZD7g3bWYwHC4Y4wyc8axb1DRa
2Y4925bkebJyQB/LrviUI7k66eWvOJY3RV1ASS77YR8DToYlvha6DGg8P1JDGTitL0+AWMHKOMML
LBBmhnBSGc0wPhJxJ/ayYBzjTxZj9vdR7u1ZWM48I5CaATuXivCsh9+xIj7XPISMDt5QY7NOmUb5
2Cg+dA0oOht5QrMZM+7ogX+V8fAuUpdoXeNEd5wgD4QQNB4DgjnRdHcmFmsQXy2sVfb9dndvefaL
PcnriczdSvcZhHs32zbxTWJYHenCmYJJ2pKh2WF9czJKqWydWlJjyoLB6RHzbIh0eWvQm9T1V+7C
RdJYGnzE8dyeaj3uV5SyY4kbM17lPO/yeCH5scQkYjOX7u8SJFlt6Wd9LMRN26RXkYbAZOskM6KC
es6Rt/hg8Tij5/WQ8YkIrZJDS5PlaJvDga7Ks81hwCuqdsJB0+6rttk3o7+N5GakmX6flxjEtXBp
+UfvkMyzZC72wkNSdTftPBz4PvM20ObwHMbUY+WT90n/3gtd7uLRm3HkVAxpU2MfMq0YL0OSfYaC
sbEBfj6O+CIa7uXVoG+LQhhP3gDeXRYODkEuKxsLSNfenbQjWG/KooO+r4/JIkEPweN1R+N1Ges3
TR/1TZ5mc+Dm3Q3hQxaQOaPPCHIC1cZ56nzvTTA3bVobOEntxzeQ77ENSeRLN7xuJR+aj1my9TlC
jDlioxKlO7w0h+SLR/3NlDs3ZoP9M83GOagH6FkJWAaTYr49pr2fJvKYu5sc2UanRqye5s0YDfom
AeeX6ER6R2twjwucMih0GKqGatcXWFfnyFvNiQlruPB503r59QBKjoUL+yPWJzwzNCRqMQWjYe56
luzBgK45VvpxVMhz36RUS1bPVqp9L6WF8z5xmQp656HSzV1tWvKqTJ/ruL6t9BIoSUih+sBItskG
hE2DIc0cWc6VtXnXVWzEaUOCcSc5eMOR7QvowvOUcdRzg90L4qONypFOBEoHlSxNVca0VmnTsKWS
3OOkg6On76OZPVidytMo8a8aIeJ6zHTosNqbUR9jDjFNW/kq35oaW13lXSuCr01hhbuSKGxJJHZO
6LQVhGQjlZb1VG62MSZ6TklhhmyVx5HO5piQraHStjqx20rlbx2/vbRRzaq3q8NjdeMVhBtJLUAz
td8wqekHwqiElv06QnCGyk7hGxhDCBZYJhYi6Yv3bU7PGbFgzryrSeWEc5UYrs1nmKerUiWJFyLF
/5pq/sGpxjTM/3OqOUG1Sv481fz+QX+ZarzfDN2yoaFDQtddEFJYJP8y1eCQJMcD84DxBOlMCAaO
v041+m86wptS01xDMBMx8PyXsRJxjUnH00Gf6yTc/inJ7O9mGkPx0wVjEoAtx1HQqz/YKvU67MrI
NJWMJO6gyfLb12df7djfUef8sPRj+PuIDLos+q5ufnds/lvZFzdVUsruP/7971rUwGi5loEeiMFH
fUuU0fMPn5FLg6fRqd6u/Al7U053ONeKeuMLSnNL/WPUoCrF5S7q443pue8UZ113xfJqzEPwB2nz
f3gl4ten+qOn1NUND2w8oxyhXjyvf/KUZhaKEcdbs+rqaoHELhBzcIFjydmKLjJ3bs5WWlIryPHi
P+kOq08/dyhW9kfcF77PSoUWvor1cV+RP6LSK+CIGlb4M6mPtu+SmGmwLascFND8srQ8d+3Zw7yv
BpSx3KfzhKW9sKtNXtH+4aiWxhik7VZKTlMrtXBOUIG70R3sE6NbA18lmbFrTG28EPerMrZ7CE7s
aa2SthoeXInuvdTDRDNgkgDWZN9ep9ohW7ytcKNnXYQElvrlucVqtRua5cBWZqE1erYJUU7tacp0
zKzXeatpt05B57jWp+VGzp7EIyPTdb5My9kyq3afem6CxmX0N54esAZ2gtGFXdO7ctz3eYihKD8K
FxVN73r5GMbuq58t8mCUZAgmLhNafsexHQc1s90WN4u9abrqiwttGlxHZTo/sdZ6aM2yXfuOLPaA
95+8GKHR93qHFWNi7ZhuOIrY9p6aMsLtK9e8irUztMZRFuY98o/1NOuhqvOgcSSZruMMJxcaC1Ul
HY0tkkVgxV9BjOZbJx511Y/9PaEcQfg189dhr8pQxYF2XLi5TKHEfuHv+2qI0cp02tE++NUuPj/g
XktW7QLYPs/3FcyB0r/tfW4rdAwPKeNfPBHwwcdPhmMhTc5DnQpX+0cyQdXSyI6y6e/LTkF03KLg
9VhvVQnjAQQZ8ZPBVgmLKFr5Jv4mA7AIC1zAXV0J5EMnBC31s+3q3GezR3qMv2y3/BzSotqOaHtZ
x6JSIBtWtQmqNEE8Hetui8qFay4X0wOhF5lXJ+Ed7d5+GspY24cfdiGsjXCMe1PDDNNasIa9yGIl
q9XPrhY/ep1uXVNagmUu25IjMCkXAWXQck8V6Fxnh+W71t9kJlMV+dV7qEzJZnBchufkSQDpiKQ9
4//K2YOIAM95wlvOeooQRbrcvimThZ6D0gb7b/qEWtlngrcarIM9bUxdyqOL52gxo08HdTMsCvfY
RjuAU3iTMCk5XvSh8TRe9RMChbvcwR2j0BzrnrPcx03B3QzHk43zySRzvXInrIiWkzz3DLYTL2E9
ubkGvizGzTlrXjA5tMsYaY1uAZho6GBiD5m2jzR8cnLW+iAezMOSeJzYSXSOi/iVIRTwBT+JSTsv
NZyISseoqsZprz4TDf5pJ7BeM6Hd7JosyFNIkHdG0hMq2VsR8VXlEYNef1J5a9+DasoDHl2Ajurs
OxmIJo+W9i3zuFqDR53Wo8oROypRbHIBI36TXwmVNuYLYvVT2ndFiD5Gt9g7WjvFtzxUqgpGU69y
y71KMPNOea4Xr1gZBgpPGmKR4lwKwGfChCWqd71028QBqxe6GcU6PUvgeBCPvkpOLypDbRCmFipV
7SUPXGyfZ19JEMukiMRtYKokdjS2145DNru1xuOi0tp19IroRtRc5bgjQ4kSKtutE/JuHe9mYY/O
rxM31Cb2uyvwc0ENc7HRWlV6p2ubRnrl2TayQ6WS5HpcNbtMv9jMSDxd72RhvZO8JLlSDy+OSqP7
KpfuqYS6UFn1AVvoJiYQplLsLnH2VOXaLZVwF0UIbmvsX5FMQUsRfMzq4jOpCMVJlZBn7WTzWD/k
KjvvK9QZ9OSnuY6ubdF517OzUAjqpJsonHls25KRGJPTLvQRyFKbjD5KDyMwsTF4kVtSOhF5WBT0
VmX7B0L+sUr7x/ULQlTDTDvcWooHIAADZDOEgFKxApjtSLAXrxQ/t7ucwgk8n+my0f0RSt7gTBu+
4cKqtEOpOAQlQIKwc79mJEkXx6viFZj8A4j58nUCZYB4AFhF0Q1iMAee4h3oinyQYY5jLtWOIbiK
VaX4CCmgBDqNz9nArtBX5swcmAJECisII92EkzCn6yIryLxBysgXvNtVsbbTggdPNzzqitNg/SI2
gG4ojDY/cJKyE0u54CNjAs2F9auID0KxH1y5XBmddgbeVgWO5JvG72VzbBRbOCUxsu5aZ1flTLAy
mp1joqVvTl8Y19J+KGxv2LFPprk3H1/SZuGj/G/LDl9ar/qKDPJkE5z5K7NjnyUbNkM+lxEawEwe
C1BW+H8nypaNFGnJRUW+5ilfEGlCl5WJfpnXtcb5npORLjVKmWtEeLS7z2y++vXPjT19j/M4osiy
UYoXviiBU8BL37MS7spoNwdDOd0qQOAbPE39qoWwgv05o2HF3ZdLynSWA/mHx9C5F+1nEi00SyeE
Mbn423ZowC86xEalPr7l+L1ZNPTPi4iclZOO98JmHzokrD/YKXCse9GhrpM6YL3erPg1/6rn6AFh
HAJg9wCmTqLIkFuOqga3bc0KyvcCJ2rhJskE5VYv8SuDZZqy+nFUK2EORlY9YqOn0MEbDdO9bIf7
xkMrtU5YYfjklvka+pg105HvlaP9UFlwIIVG5FLUUF06+VTPG+mOa9HzdKkkB4jOzotVnLRXfv0F
mJI2nvA+6ZmTBuyZq9ZZmJtLTP9UFQc8rqBvSiyfvo4hWNP5WkwSf5XEySzTCbSwC9NH8+8LMCOw
xyxgEg2jYRX5OEyjPAgL7SDcCojqgBYGzFKdciC9akM/5Cmd2zMr/gXvKLZ5casPezfm7wszprsi
9IPlPVZBSeBI7wB4uAVk9XelzvXkZLoRjQK4bwE++m9MoBMB+p6tkYaH2wpir3rPugyUaH0eW/nN
TE5GKNZhQGftjSZi+sxnhd4wnoTp349awrclwmSUTCxajduwt9epFd5r0vua6ruhTO5ZwCGP9h4c
TTPNNlMVYP1BS5Nq4zqHj+wULr5R8CB0n8oFlc229c+oy+8785ES06cUBBF1BzeTLJ3rIjumibOz
8N2srPIxHnsWszzQ8HzUeI769LxoFqjxGCAr2Fe3Tp1tN8U21vsbgEYXchEVX09qbjWdlCn9Xk1/
NYfNtNGS7Cf2W/3UZdSbmKk8jwQJUHhdbtfQQrbpVD/lBDkMN/IJ/VfHf02z/+g0i3nzDzPS35Uc
nxJKKP5umv31QX+bZhUTD0e6qbvAD4jk/XGaJZZnkh8kFuGB6PuDAdSHTQGZwrNoESN1KHgVahqi
4NjyfkNWY5JlD/k7COOfmWa52P5pnnV1xjkBtgIGhovnlNf3x+mywoNpFiUanROaLwgVJPxG/9EX
xRk2KcNW2N0WICZWab/zBJb+KN4bRcmaiwjuaqwtblko2Sz314mWfCBS4pgRD0PaKzcLk4TWqSSF
f2dqxr5d4p+ani7qx27t6ZJP/lOXeFlQezyD/AWpQi+B1TTys0LNWIn8J0nZTcP3AGrXoU41L/EI
AiOveINOLHBLy3pDQHnESw2z4VKG7JT7mA8LS4ermvtksPdbeTqFg3ZErrn6Scfwqo/xC0xUX/Qu
K/oYA6yaRogZfi2szoF0ZQ8uVVwrR4L6Leqdow7LcQFRsRCOTEHQoBD+CGvAFCjQFjWYbdocQ4mo
xFub23fi1rAJ/ldLjINKgnfru/FnSa2bUuRomfpyKMf5LAtWyQO7Wmx6CSF5j/O/gCOF+QpPIj6z
xClOBvBWZij30bMaHETWSzaGnHsOrqEh52YfOx+6QLupUyCr2F72cDBUdEvilU3CtyE9W3VHm4y3
IQL9GKYUftUmbkaSKnThorKBvhXw/9gn4/SAUL2Q3Yq06JVT57JwKy7KRDw3KoRo+dC7ROrxafDe
pmn1wB68OY1OdxaF/l4mdxFLUBpcWFU4FT9PL9p7A4v5wb+U42BczZq89GQ2WhMP/nCmn2ZTW1iA
zbI+9XEEIEFOVygFy3YscIgmJuSBuN+OvrUbKKs/SpbL9kirjURCY8Mvrxa3ZKjSTnOTsYGVErDI
DI4u8bRHnZexZ2/yqvl0iFjm+JypWwkDLKtSme3nriRsppNJcNi6T5Xxhe0o3E9mu5PdXK07Ub+E
UUm6ZNJuiqqMLjaQCNOtnbVu+3TU84sx6B+oczpE6ZiXGJImcQpujuF00b3hxahxVwB+uUKK+fYi
40fj3eDr4MAnu2RmRtSScwfEbR5e8I1F5zbGX6WP2LCS8gPbhvaade5GyhuLgehQYsFa+V6EuCKx
7NDOgidSPjLg0hNAwm1j5wD+9AT11C22RstKIWkxcoWe+WwPXQ9EI8uuQ+5drsDVQRPFwVQoj2jK
zTOlgMaJ7U9z6qApB/pSPgHhsDcLHUakcCMUaLVmEWrhUqjVS6yWMJlax0wl7DZcfFVkL4FWt/PG
1YYXzaYpr3HUAqG7M6VWwifQh5XuUiReFKx1uN9rFcsgWjN8lEd7DCbTOuhVAo1Sd5/4tVRvdNZJ
AjV859FSjSAGv53NmxfFyy7SKn4aHHh11F5ron3C1QrOQR2K06/jMe7l2ZvT10QdnYRifhZ1mLb9
Fc5H53oZ1mXtGdtJHbsu568/3Eh1HJcjrnE/aV9yavQ4zJFlliw9z035rkkBBk8d7Hb5aKuDfsAT
broHv/bt60yzjoYWQw32mkuqJ+u60s+J8B9VIUrncxPcZJjnabVwArQ67u0TDsXKvCIqSdijMD7s
jpU1oxTfMhtHqI8HNSTVU5OWUhbyyn7KSeUhFtcpgONbwyFkNvPd4XeRv2FqYFu2JYk67Tmys3Ft
OR7mbdhXnr9vyp5aIK5nuj4+1HjLSP16K5Ix4By1d6yLzHfO4ABPXm5lOmKyAk/fpOJGNP63wDrN
xXi4rxp321soq9SOrZKQFlpp3xua/VFld4uXvPZZ+jyqhqjJ2uiFfZn7+zTvzkaK9uIj5mhFoUTf
uyr1sK6D7aDqltyAiD9brrPqb1gEmPthnjuyLgYQ0Okj1FAuHBb9iwJZasYlZG20KrOkW+eC6pmu
J1ggbbZp9nnywO4NRLqkcSHl+VPoiwNlyF8I3ayNGP7jL1o2Wuew6qCUsbw6Gz2o7EzyLNJn7v+d
t48Kl9koLAK6TvBse+qwaeqr0hS7xYo/1Seyh/Ic60AanWlXaAKo9wjP0kHYScIYTyay8AoDy21S
dHeJ68NLa0paPvr2zcrNK5T1fUG4a0XHFU1rPi63zGfGoHflmw5MSmkzdoRWs48hFsE5mk4q7RVh
FgmRNxswtXnLkiszEgq0xL5qiqtKa6Csej3+s5jGq+HHkku2LkQGfdYc8cBCnNGs8xymE6bc/qfW
9nbc+QFCZ4L2nb+7Q37oPOup023n/1lgqyvTnzImJox+qslsiMOUkqpW0j8ssOHfzbqorJpBmpdu
Eh2Mh3hlxwBU/5O9M0uuHLm27FRqAlABcAAOmD17H7dveNmTQfIHRjIY6DtHjxnVFOr3TayWRypT
mVmSTPqXTF1EkhHkJS7gZ5+91xbuoU8K1kvCerei7B5v5MFskks7qnU9NbdBxHcrxvFHFNGpwIG4
4D0Rxldz653g5zOAymy1AGxcDcH8qALz8Lvj3N+RvP/B187xzaMaw6M3+I9fO4QoCJEFSMDM65q1
39abUQs/P19qp47vM9s79kpeM/9eVf1Iv8suyO4qJgCbXIi027dE4icPkhNepqe5UR/zvAtN7stc
mzWxa91lBqwHwtCJMO0v6O1/uDsQf+elx+jFi+8gzYtAl338/qWvWqq9C/3SK2z960E216OVPY20
RkgbFBjzoLmKZtg9IAbWbZdehTPDoaGZ8gBUmWSq5c7MocwIgomj+Bo7LmZu1NfDCLKzrLJ1jKd9
5Sh2ngW7/jIJpnUaUb1FJBFxo4HwQyJuGQLoyEV32+Q+q1zMDtEDNkhzRbv18T/Tyr82rdgc5Xlr
/eOw2m2luvf8K1Jff3QV/vUTf3MVwsnTCzhXuC4DSMA19VtkjXmEpmLNFGH++NPE4rl4zyVLOD4L
C+HvJxae4dIx+cyfPJR/a/9GOu3/u52w+LOktG0HhLXr/2kDF0IIsxLGCtJBePXaOgH4ZhsLLVEo
IkZ/N04GdC24JRyT9vUMY0d66IqRXb97TDsHtycqgSW9b1yFu2E/SCaSPuOPKWT4Epled4Rwuytq
1L46NrEbmegdSdM9tWHqHTIbFlVE7YEp6q+6vXjxQzJ7P1JUbErBSrGNVL+sAA1gZg+Li6qXZeeE
87euZqm+2KO1cRJtHQubZisV+rAF3Gw9JB3Y/zH8bhFEUXjLXmRpYJWKENKSpaB989ZtyydMkvfK
9pp9lF1jL7lLOvpHxGNZ2ckmrJMH2TkcyIddjbR5HOyl3btZ/tW1CuzfNJH496boJpQTz57W+Qqp
KqMuuQRG7T/0/jgffDv08TvkyX3JBi133W7f29O56ZC+g5RUCqpey+FAw8EhY0OC6IV1j2ln2FaT
goU1g/C0/JvGebSchvw+djpC0fldOpvWMSHRoQ+hdUsenFq+kkLJQ1lUctsDbt/bRkze+bsNqusY
5+CHxyWBwt7QRd2H3rqYKnOLOlahm2zqZvgMKv5PPuRyXwXTRxFxoO/CCBRB2T8SnHumnoMS1EGK
i1cFl0JHnmozvBtsOV47ZVJs+zT7YuwbOO8VIGnpxJCOi1MjQW005+nJz2x3V4jqU/ScllpVP2Wz
cxeKhzRcIrzc7bMrmnQ7+mTa3Xa59Lax5UcdbmOj7Nc924WxIfhEryCHsZLkh9MzbwZcuZIBxsAd
fiYD8jKOE3i9Nvgwm/6gUjK+YQbkeKzaz7Ztr/q25QasfKavaZBbuBPjGnN58bOdqC75oSxpKjYj
9PkNZWrugfM7hKllKOZL788ZlY7OePC6KMPOSoeOO1mXTAN0DNXRl8dJghcVy6fG7OQhQQwxeJtZ
p/GagqtfMZKLgYlvtu1D2+gVWzmaVznjNtohT5XSIuWPZQ32T/sSuSB/XA3/MfH30By4llCB2GGV
lJa0Fn/LxkTkOgfufEhxq2Cp6XtoWuV25PjJ+6vBv5hPd3VUOWtbsRRIPRcskR1USHh2hmLovzZj
WkLkLUCauBwO8RoxePSPo9oslTFvgCv3p1jMhzxljct5xhz8feJwyjAm+RKbXKSVLdsDdZA3cyxw
UrUQydI6fxYFATdlhriMh4/eHn00iNTdUovL6U0aT11isWZc5vQsmWA3WdTtnJa6kWWg+CTom4Pj
MqNmxVugxmZl5OQv1XySMr9y/Y7thVeena65eF078d5vX0enfCsWwwDF+akGloN0xH8FrpOsQ3bq
B18NLjSO9qGwe9YLMHMx8gzFVWp3z2BCuiMB9mDdU7+wavzKXfel+KJL4px5LLDagT0HA/prZTr3
k6Byls2du25KJ2YcopsnjchAei8qpUoy6cgjGIgKlsve03E7Bf4un1YOWbwVoQzIeAgztR1fkMSh
czfiW4TSAbYFdQMT1vysOLIGod+SsUPjr3J3v7gz/ShJAQIjxx2GisRIzxe2SPu+7FuYDE12Es0i
z9GowN91J274yTUbrAEZn/bQvKy/msZbWBQs16xgo501enKVtaOB5YpV+ZIxAUV9CpjdcX+Mk2Lg
C5s95/v65NMXDehmAOUj2RcZKpUbCxfnwaqeRLlTfT4cIxUjM+QptG28vSVpi00QhCRu427codBe
jHpIT3Zev9kOl7dFEZ4sppi0rHtNvT2HwgBVYo7jrSS2yeZMb/UhdMCsdv2j2U7v3LM/Xfh5tbAJ
L3IABvGd1WZwhVD4NGT29yCcmfcarzmQgoOPg6ew8EzvNJT+HpPsN7YQ1smmF3pNu2C4KjQsHiRM
h4Jkf5HzSLaJsYxrdns4iUkMT8bQbbk9U4XzWdTO22SQqlSlJDTcYKs2G2gCbnKp1UjQe3RXqS8u
0umfFUUAYpSoeMsLjE78tiO7vkTipmdVUGDLRfGKXXQRvQqnU/aujGqcjUNWXDezD+mzt44FP4qb
QPqgOq3Hqama46zsp773p2PX9S9yyhHzRL6cMK1h27NxkfkdTMaKts8d4Ez6yqBRrnQv8YrULxk4
2TEVsd2OKnpv8mlwYE3j+otyc8d/vdXs7BrDADUNyWhD3RM4fSEeJ9OpoZ3Yd4Cix3029/fdUGSs
k0sAjzREwwW39lOModhaQkZbgGxc6XWBo1z5B2AVVLnyiA6bMmT6D55ynwh6MVNOMLIuu5psGE1W
Jb+xfyTazBAZsvbEq3aIo2YDNA7/g2vikVVGCBU0ALfiYmgc5/k4VNOTHeOIMGHtrCNSN+vs2kZS
JOaTYasxG9x3o3fPamw7lFRsLLoRIXA/HKu/41kBx6NERiH6qN1yT9NPZTKV7rlnBlpY6Swx0YV8
6HRAAAFj7r23IGWvLLJhXSj3e9F+jzpa2jLF1tpyuChqwQOUkfcrsOnDsNy3JMtSJrPvJOO5aRv9
w+Tny12BTcezECP5VioqyZFVo3HdNpLHKFoDtxW2of6pTNzPDh/Gymn4YhnlHrOZzhDRK9p6F7hz
C0BHW+XhzrPUzRgW+W3gydumSr+TP0uIkPnPA9ajHbUhNN3GxjnOMnOtPHMLD8ve4Apbp3b5adkR
XKr2yU6ck2nSOx5E07xxIFFu7bq/Q+5m2QapfocIDS+lRAO2lmgfDV53qT08jhwOfzhdTUlAvyBz
d/d2clOo9g1hAXyljcoYlXbGPBd8TDHU3URkal+o5keKfqvvPC/dBAohoe7AR0ZZ8eKTVze5rhE/
XHO+CzUDSEZWsQ6JLVAikb+LMj6nFvZRIwgPkmPiGmhQgnkgtDAeZGsnDrqjU9T+hvs6/mnUZhfT
wKaZzZMDFG+LC7Pd11GosyX1YxG+D2I+B2q50AwYMGBhhPKAA5Mzn3moEcEI/DjDeWV8D6z+4T+D
1r84aAFbZOj454PWn+CRAMH15/x1xiKeJTEpooUIR7hMRb+fsSRkD/Jc3Ieli9OQ8edXj6P1Fwd3
AmOX0OskHc/6dStEcisAI+LR6cSnmz62xP/+rz/IBO2ffv17yyGUkT/NWPxBpp7nOGvwL3qi/qgb
tIrGS6pb6NWMBAILoXZKnq6CbvjwKOwTFPcVAXRhjx7JMUY1b9x72dPxJyn7G8z+0uv2PxXEDALd
fUwtYBmZd9C7eMyb8Bj6mUwW1eG3uGni84zho4ktYHP++K2lHTnWxYMUELLivWCV+ZHoZsKarvGV
W4wfiUlGpoJlBQ6d8WWE6DW8uqP6avE/rAh8fFoVnoaJmWTBvdEN0LV9OkA6Qz1xzvF3pD+4+1Mz
iYv7lBFfGDu1I5BJ5bmTY2yog21ie/q4iIzXtz5d5CzFCy20+3TyDdhHRlfiYbHhj6U87u2Km6Pv
0JSXp8mJXEy8Y19BJQLle9WQFxdnMTf2UiY7+ACMNZ1gxjJpiuswT5YVR3TSXEdDtGqbeYbYNdW+
sAIe7YugM4f2Rwe3pBMFOO1YQPBIyYjSVz869gJXKRFfz9Zdk4IJUtQ3RL/8x96i2GZZkm2M6Ljh
EQqdk7JIhods2ibcTyBlzN1qFCRc4iw+jHVAtTKYgx37+X2d1uJQRcxLAPOaTQmPCy4cE48ymRji
+pyEVHayCZerNibrHYSXWKbqcaC9EsLoPg84+nvdj2qkN1FRYXs2Ucqwx1BHsx8DmKRSeE+mJtsS
d2hXUTMdZ5w01HDhftIcXI5Z6POQceMxQLmG09Qy0lTAcyHxcbP8ydMFrDtpwi7ZnXnNUMeu3eQI
60IhIPHzOGoyr9CM3hRYb6+pvVjbnK0ByNfQRN/Ihu1ra8ovASV4v1M5PYfeciN0HXnvqvgoG5K4
UTe9q5FRt9LsYBuIMP4vQiq5vJ41X7ij3nbqScgtHMErzSBegBFbMvtwgBOnQX0dc4GgIRO4wDuM
tSusH13NNI5VtZ+95pkTbXsUnCVx376RK5JEYdSOofW+rSEk66KNY6WpyQv4ZJIKm4JDL5VKkM6K
Cg9IFEBbtnUjZa/M/hBY4nnRTGYC5cilZlQRDrCLm9pwKMEItTWVejTTL4Gl297tEBp8omY+E5PP
gcDN6VZpInRswIYOkrvK8PmrGVrWPvhoWM0pNY0QpcdWOsxXbD/nIv0eB7qlE8SIgo0JDjA7tKCp
O82otjSt2gdbvTi1ex0JSNaJZlqnmm7dac61o4nX8KXTs9tAwWaVI9fUsezK1nkPpukYZvmVH5WP
SRE/eLsc7oIK551lps/6nww+DYr8r/W8GP63yTD2Ths/EDY856NzoHrq2rRu9QfkFlB/p39ayuW6
iL2T7lEvZHnOAkU/+omp+Ji4/FaNb4QNLX7sq5n/WEZ+xSLjNHBYjAz/NMvltJjoI5V7Ssv6MSjy
N9SBPXDA6yileSuteSdGp6xqzv6YP0uvvOuW5MjRlx6Vem+UnALlspV5tnUj/xRXCO+GOCdN9kI5
5Bkebj3vssF6qACkFbk4d3Hy4DXFpTPoIcMF7MgOE6v/iKf1aPn9NyB0N30wcbd8Bit4ZQ7FtVmJ
m0gad7m9XDperCW39glIdCLlsEjOKhh2Qj2lHm7QMn3ObJbJobmX8ptkNB5dHJc1OhPepy+6+B7I
2zuFeoRYf9cF8rmnyhPI5f3Qt4d4tE4ptTDZpzDsz2Bs12ORk0KRwVF5/meUyBevXp6Cttmz/N9S
vLBZsn2WNHf66+gdiHmYqZZVCiHCdLpdKYeBqrb2QNPMpUrgrYh7vyyvpDHSfTA+CZ4DuVVfG1H/
OjAZuotek2tAlcuZb3AP9H1A1mnuPDVf4eck1tdg2e7v+rI/MDvu6nh64lFxFLG4shn2LaCvKFJ3
PhnEoatumbnuRwchzdwMkXcJ2/CxHSnuCsDyy2kdlS4DnQ3yIo0Fy62c+S3MVo7rPoR+eSOb5sUz
EuxIw2qo/VtOcW9GjxV5ioLq3KrsvQqXB6FbYn3xgV380dLtsVRO33mjXC6F5qdPyn8BOMAzShrW
fhQUh6QU0SrdSEt2mmGCkohQt9UazsaylvoupWVBudyOWoptO91wS928w+Wan2zdfov3IqRHlZ+q
bsb1XGDrrWLLnuveXGPAdW1Eam2g09Hrmsa72e1QM+jbzXTzrqM7eKc6q9e5mRx63c/7n9Pkv3ia
RMXm+PWPT5MP72X3rv7n/xR/Uu1/+by/nSjJuIAjp/3mJ3D8t8iMiepOEbxncaA0OU/+dpwUwV84
foIpFy5PhJ9nxl+Pk5iMpLCsQNIdj9IO5PffOU6CN//TcZLNhBA8NgNGVQ983Z/WUB4PYdnLin1X
pq+eFudQGwIsHcQ39KEV90Zo/l4z8tY1aOkebErzOnfeo1C8Dt74StIXTn63qbN8unUJ8no6Tef0
4ZHhnkOIi2e8jft1R1f0VoJMpDWm44jkOlc+ldAcgLD0urDlCE2SMUyH5Tj1NNjYVnYp45IFlumi
26WEkwPnrQ96cRq4j7ne/KVm+6pOR7UNXT8hrojLRcj7OSsfZmskcBs73+qRx+mCTXdVT8nzMJjt
CXeftyoi9KAC3ycq4kCWuV0INeZPBUybdVo51WaBehDivLFlWOwrbXFe27YLCqhabuoR81QGG5J3
Yr+Ws13cOqK/B0dlPACR3wcyvY6j6lhWcfnMqg7pbnYP0mboz6Lss7GgX4aRR2KXe67kLL8ZEAo3
ZEzd01vIgY7ddHvqk4UqTlMcixKeVlDe022NesFIuUoMnjVdGEaXMKbVfsDRn3aiOOUR/Gu7Gg5d
FNCjQdi1KcLxYKRDshvI+RQo8jvX7aPTMnjXHM8S3VkjMe8KM75RJRwbmVQClK55Q31qQbiC8Rfq
FcAggvFsdqhQIgVxVcnhZEYquzR+9mOm+qgT5oGg0PjeEP1wlHWhIwKMKGkKr39zPRFS1ooX2+1S
SC3WdPBMNe6dnlV3ekPKZvZnckkYnE5uFNdrvyYUAugL6Fz/Ups8ip0Mc3HLmpn4ivVOC+watoz3
Wvj2PVcUB5Mrlin3XsGNtoR83UBMXXfa31oEUMSKxvwxVgkGqKUhHTagRbVs0jaQpsj8xMlNhaVo
zV7iHBghQ4z1bFfLA4L8exvjM7fj89j63NinMt+kjR1dV41z4l1d3ysIIABxlpOscYaBSwWwqx5M
vrtjgzl0Y07EH0GUrr2ay7wacIKNQfw9rKtb2x8uSlYSpMxMdyq+cfrM31FnfcIhI781c2b1tXjZ
axkzU1z4Wtjk+r32tdSJ3dzdFBiDC1u9SadITyX8Lw4R446LHcJcVnYbW8unKTpqrAVVOnqGo1MC
hXiyteAKPFLCSP1ZvqcRsEEOq2OwkWjtXO0HVFvuXD9Gh29i0GgeFzoE4pJtECdG7o2yKgJFZHHY
BoRRG+prhhi1mQfCRUWENWe0TxHEQF1wJc+BNWenxe+OIAruMbn0BDwQntG4Vqbq5yM3xH6LCrQ3
TMjBoRasudus6StZnrkivFWUwqOL0bcrLXQPWvL2GfMSolKRRBuGV4csbnOWn3jxyQBz7SpYT0PH
Tt+tXqMmpUsO9lBjxsnVrCX3WYvvjvDuM9m++kvU7hkDqC9u3XMRgWteuE10WsTPtZyvUP6PJTCt
0HA42GjRH1cmbz72AIFeCNCX3FNJwpLAYlvQ6rVBt3yWeo2AseyNqf2VpoZpS9T20nb12dOrB0DA
V7beRRjpNQKWlhrfxsVZDljsD2VH8J+q1WDT5v0ONNKwCWaZnmsm9g1/3XOjFyCuXoV0eilisx1p
ODjZel2SsDex9AJl0qsUxU6l1MsV6MisWX4uXNi8LGxgXDYxcRPs8tTETFj3p5JregPl49oBWzuD
r7VKnDdcB5BFp54inna8dzTtdpE8JBJNwLVB4Y6aiYsAdjD1fi8MIXc4gHNDTdAtNEt3qjkGjeB1
6xHObjGdcrC7veaUDJrEW4Lk7UDztiB6pTXxRuDtyrt7R6tWyUcqzfTt+wvMwoWoe/s9waQTcbPw
ef5usxjLIVjgtPOvZ+WfvKl7MsAG2z/5wcup6uEJA3gutp5mDCfcnfvYONqGeRnJOvhJQNYDLHFq
9vcWXJWo6iR1Rs+yXeWaYtyYWDIam1rX5jN2h2bbjIoKOae59mgr1IYXDKpQkW3WaHvTSLHLgA9k
Mr+RmqHsaJpywtQAr6rcOyULvBYIz9422YTQIAaHuW0fvCz+bgIgXSFPJiAHlyNhSHEKk+nQBCwX
isnLr0jhPcZBv2n850KTnxHDa02CBlBXr2n2lremi9KjedEt0ADw0fydJqdEmxvx3APoWbauA2sa
+gEYPqegmlWTqAPNpK6AU/eaUh2lOW1agKsnrG6Z3w5r5ulsTX0rFC18T2S5zW0G+DoAgD0BwqbQ
M9/pZeYoUPm5ZcebAGw2zuG7siLB1WiiNsrO2h5fWWAeQzj1J4fRWyfiPOCrSERejt5PXq7QyTn2
WLcEAK5NYTI8kWmqCNmVBNuMltSdS/xuJIaH4rMZdS6PkNlDbrOGGaLuNrBOTR2U18qB0l934ffC
bwj0sOTepWrn1424ACt5xE/5rXV41w2tEnvMjt0R7e/B1blB42PUKUKXOKH0T5ZOF7Kz0lnD6eeq
ZSR/2IXgp8lFnRIIPOtMaO7d+EEZaLVzivyzJsbY5snT6M+3GHiufZpJCzNn+0dIZWrxK7AogfWe
hz8WVrock3wykh5RefYUbzVJI4xIPFN7cpWNDljG2MUGaf0wBajNhifKGmbrgUJYetd0QNNDde+t
EqaRvHOsTSqC7FA250YHOxsd8QT29j3UoU9fxz99qGarVkdCQbWwOKiJBJMWhewWbGodIO3G/mH5
GSklW9rqkGnlWh+zKGua5vQjgPVx7TvjBRQ77t1gVzNqPmPOeOiA+HMTdjYhedaaXGusA66mjrpi
WiCHqeOvMiYIW+lErEs0VowJfdMW2FAcxs/b3obJ41n5d9OqCNXqeG2lg7ZRcV9MBG8n5tM6bLpj
QCZ3aQnnUhrOA8oHlY7HdpAcLSYd5U0ifNhwToQi5JvpuK+KYwV7ErFhFlW66XUsOBp0QDjnQRjb
i3EXLJd8XDgJl+oKFyL7rRmn5CIn3Bsxe5lk+tYm9nzyxvC5bSV3+uCYTlQrVzqwTCJrt1SF/xJ5
P3KjWHc5oNTICZ3jjLNbp55dnX8edBJ6cSWeAsH3aMTa2YvFV2mvb6lN3CkdIFcRDQfXvYUV19fu
YE/bhLELC23ZENpBTK3Rt8bKWnLMfOcqAhCR8JMdK7HtjdHext7IMRubufYmR2xYeJXwKxfauWxr
D3Pb3aZYmnPtbY7Lj2zwEUVMkk9W6RuXKKf5QDuiW3fGW1CzflqCfsQBoPcoP/LB/VpM0mfaV50N
3UuhndbQ6QouktdGe7ANgRu7Nz96zNmLdmlbEr+20O1+2sHdYeUOtKcbqO9Lq13eI3bvQfu+Rwzg
DkZwb+Y+OWlv+IRJvNRu8czGhCOb/ltK3e9uMcMXtAv6tOfgyW4xvSSlYqmtHeiAm65mLOk+1vRW
e9SBnFDkhiVAZr4AQUHJHEbmmZaBKkNgkUTLd8Idzvbi0RSPDb7SfvgZM6qLQZ5F8KmwSQe1N/yQ
8c9P8sYs1VOcWdFBJ2I7+EmVF5aHxb5rzOk9MpprxMLmyvC5ultQkriJpQ4uI42K9BASBfkm8J1D
ZruBUMqRepwRNKoX2FCnPKOqweyyaG0CxV85RVfRHsodhXsSBQxI5UmRbeCZXjWkPQt3T6zkZmhj
tXM6zk1qsZBlxi1lKuIXB+n//jsLis+qnlUSxd0v+4rffvnfj1XBv/9Lf87fflOvOP72q0vyqbhP
/ej+6Uftv6rr9+Kr/fMH/eFP5m//61enMz9/+MX251h/1zP53X9xlu1+Xazoj/xX/+H/+hd7c232
OTjp/ok48NX9z//9eM//pA388mm/ZZAsm6mbWBKxECKAAdiG3+QBRHbqb1n1uKZOIf1t24QGQMKI
6lz6zdiVu5Kh/tcMkvwLjj7+ETZAXyM1/i15wP87LlWdgMLPx9eB01ZqF+vvDML+GFQpJnHu+pnT
71MBcLxNyFZM4oLGTEW3hBhdZNbNOMXjdYO71BvQtpxiKE5maT6EbW+vfHd6Jjhvr+cl3lflFGzK
UQeYCYsyNcSn2vDufB6Du0Qjre2yrE+sYusTgChjJQcn2Fij+dw21WsZztFZJbegOAkUpkt6EtVb
HoQN5hcaMauJ8UOEzA0j9S8+kUQNlDLz5TCy0qJniPdNyV2NYLj3YflzsOcZjUhRzfdVvbzL1L1a
gK6v+Ft6Mp3GOosDlMYQa/yRTilzXzn+PoLYOxbgnWOzNU6TQfdR2aRHN3KjjcyApylqcPlRj5ds
TNwj/TC3GfwJaLw8zD2niDg3mvY5i/nu7fhQZGm4hQgWM531L4ylENtm89ywpOZMnj9Hrey3lp+i
RVQFaAwq4P3k7PoD2QORzzr3PVd9vu0Dgggjp2RqatU3NkxvHGsiPAQU8PDExBcFg0uABSEmHKzh
suFb6fI7z04BRmnf/pxeWzU+FbHIm6aM74RNfBW41S6Inc2Q7ou4sPamWl7rGYo3c8+ltYLbdnFB
1tPqgVJM1W6hsGa6DkfExQqPxGHCFVQ6jyAkakQckh7tKQJWFhkGktQMH+1NL+6cFMheZZLY74r2
IxoKyqHEfG1I0R8mx7gYyZwfWIY+VYu4MlwDdhMbevgAAcckTqJ4McajmwXXzlQ95cuoTjnpz3Wl
1NlkZmKmNe1V4af1cTIUs+lsKnLhxCEQb55prbofU1YWILqKoM/eLXIDq0BhcKl08HU0QNPFcvmc
pyndzxNV7nMPdq5FPAni5C5V49finvK54D6co2un+XDujbi86SUSxtx/1P1LUM/zoQ7S/ETUaufO
9t4qsn1A/uiAXtxsdE0Wbc9dZWTr1JkYxyplbS0HkFiYJiy4PIAtUTvvfFqroxrIHfYD96YLrHjT
WDFH6ooTu28u6jYK6LOxmvZFUdvwxKLyoZwn0vp0WzWMIUMjOHZBporGrjqyeIrWhVNjoE/wj7t+
+kzZrNaSic9Md60C8NV3oXVAfOdVTo/dxI869pcEbXs6qmmZNlm9JLDsePgECGqpEtsh5OjnjF9J
7/iHprXUrrXSswKu5dL8XjAGHW0/8m7nOtzXZuESyPHfiISE+zbPg3PGRq9zRMqHiht/8cy9L3Dl
969VgfjlDdE+jD3zsc2D76LvZpAWWOnk2F2iYvA3Md/NpvY5QXQNpGqTbmdDdO7WzruI7IlYZ0U3
H6Nsus3q/sazRPOgXIAAbZC/xfWjSXb7dojMdYzZ6oqUD2lHBw6OKKZzipTAyP+DAMm6jKxrr2yS
cyacfNuq4JjY5rprgichJnn0VUQP1iAOaBukKoP2h8fXdIZbsZqnMIQd2N/7Wjpc0BBNK4ZdqWXF
XAuMAqUxLNkkkTTKwQcZCJHETTItTIb9aAP2Kp8C0vKJQwiqh824CivUIquyvFXqqfYUlBEE54Qc
u2FP2M+sb4uWRJsof4jRSAe0UkOLpo2WT1t0VLwDX/Qb49ZCYAV4+JajuLLmY18YcPeX1F9fAo9K
q2g+FnFivQYea51G1sA1Nf2kmQfnyqy9Tls89zEz9bb+RfZls6yFYBdFOBmYwDw04kaLxSyRmQuQ
A1CRCZO8UiSErCwGa4dDQ9crpeB3fsrPM46f1Po2aGG60xK140YHTlPs6vWpRh9vXM45oz7weJx8
4mC6HRoOYphtN2Y6fQaJe3IFP0l89RE+h/EbYECxWwz+rN7u94scmOLc4dUvxYuLQacmbOun2bDN
neoutRZWp3YcsRLfUR/ir6HKtJsuQ4gLrRu5tPo0TRZMgCRwoL3sOyj7nTWKAxxduM8YkYVbM66Z
zg+09NfQw0K52O5Jsahn+UQRcZQpZ51CY2B71fJDHsSGpBHX8WzfsKMM0AawcTlp+cHXBkFPNldR
hp8s9Np73US2yIrVfV59FCUdAyXgI1RqmhGDYANAISXP5Ji7SXt+JWvrAV932xYjTlJV7OLAUXrO
X/kWfeqmj9vRBzZHID7YmF588HyCKf3kfywLDmESaNQziONiYrTuEUMz9eb75d6MpxYBrH+lKoOK
6SiBfkscN+4WhQBJGlEVs9jMdKivnQxXAEuOeiX8uN5llSatAHGP32azF9uqIxOQdRyPZemhbCaa
FwqXm/1hMxGL5NxgstrHk0jeoMWeNXdbHz/AKcT9S31cAzKKLHQUimhvd/FTZkCv5PV5sip/uIb8
OMRDtu8CELn1WMDc41mzDv3EO1uBd6EYoV7XRhqvSuwOq3GYDKyllTqGRbvG1ccdvYjPE5GyrVuW
uwr4Ej90vLYI/eqgseDuwG3QXKqeUSIlWCqas+qEv6IEgc6FVs4f5ZUJmnWbxvduCKHHCfn2ErsT
9HhF90rk5InpLAGA32+kwXg6toy2fZPxQCgxKAJ0BbWbEAznvLNSQ/q2jDLbzhQmYpVQH82SvjaZ
dSt6g6kVaYybFS0lwImxJPvtrXJaazUrCfAWM8pC6fdGyujD7QnVTXWf7UqqeqJiWQOy3qcxzXxk
I74a+Gl557X7pmsXxhO0Q9fmiZgIusYzDg52s2yWifVD6xEioABjPWcG/JGZhAKxlIMHN3QTj3Da
hwH0UGdwEeQ51nKn+yys7F1MMBmyDDRvGXo/2mSi9m2ZQC4gl5LnTFvoyzPVLhg6zJwfz1zQ7ZVI
Y12GxnAay0ww4Ecvbhe8OCllg15J4qZPeLiGyRVz7VoEpdw5g21tQuvYDlay83kzLAMc47S1gIe6
7+nc6tZsEthSlzHUTLmbiQbqXVEd03o4IHEVW2wWhGcn56GIQ3RVvU/Ici9fAwqhoYMD52hjKuh2
vUEZUJaiX+GB3SY61x3N5iUaLH8VyiHhrVlt5wETZq9fMWjAFM4l9mFgn75qJ6KYCKfpOlkk9mLW
NlzlKeltAJgIdd16pNZkO0ABAbmD/cHq3Q+bA8CGFMVq8npUEI6Zc93ZXDY2t8eiptw7qSgc0S5m
C+2esZ5MMkChpKfNnkVVpHiAprMRbJ0ieEdLeBP8YCPy2atE9B9tI75nlAWhV5VwN7RwLy00e76f
iuUINGh6sg2XO4qPg4Y2xQaVq2phQZc8Kg8q807cy97t2MAOSccDgYK7QSgyAvSL0hVqUHvahjz7
sUwACT2K0N8QJG+23BWj1QTDipgMR2dft4mPXIrs1Mh4MBJbAXB+shnNIR3GDfa2dJMEHm0+1gyF
VVFb0NUTdD62iYSQ8XAV1WnMxmhLyOQy2fYVd3EQwnozFCGeRJODMle71Hcu3ErcaDkX4axWnqvG
E8edj8ztOI8bYg9ID7m0Tudt0pOYDeq+PFvdwF1/nA4+N65t0aLLE84wj4NLrq+r0ytXxre2ObpH
L8AKX8ejs2tos7Dk8j2ZE3VapBuBhxo/wv/H3pksx41k2/ZXyt4cMjh6DN4dRASiJxlsRFKawCiJ
RN/3+Pq3XGSqJCozTXll9i7tWrFmxRRJIAD34+fsvXbW9ceaZcYcynXcxP2V7psXnVP7F+RObRQJ
bCJPs9jX/WhvVFIWsHEAv4qc7qb0iwM8W9wsYxHCzuszGm2566UJuLGo/uRMAsJnpbCqIYLlBHLu
mCYBER1wTt0iF8maLxvdaKmz63RtK9GGcQgBBPbHYWqYalH9L2LXXs9ay3hDqJcBgsp9OJlrtmd7
ifgew0hU7Y1ZQ/LMyIw3rbisrIHmS+ejh47QR41zo+zAWZ2l9KR2XelrnP/sHZSIGlhPhdpE1T8q
GmOimHqqn1gzxDTVF24TkhSErcRUO64w3aZi7Pc5qVgLO2k8GuskCtolWT3Bo9OzqzNDw1AgUzpU
t0Df3QzL/8gkflEmoVpSNvDXnZDb6CF/+NeX4l8vGe6vOiLP//xbRwSyqO6oAp0afmRHhqN/8zhK
/ayKS4HQK1MmK3wTTBjaOyaRyNGAkL7W34p3uDIsm6B1959TWYSU137P2bQsArRsfp5tEC1PxPyP
DZGG5JEUl748YU1LDopHJm+uW3oDHHwamOsccBmVJPwlxtqH7+7an1ieDSENlK9+u2nqlobSmDsE
1OjH324TeDsoBdpa0QofRztCUQlfxyfUQi8sPCeuHkVMqkyX8CZV1eehAZEP49GrauteQXLkaRM+
fqVxS14dwGnmpk7n6zEHye13Z0GLWyrRiy9mxEIZGUjgeenRG+bWba6YxNmUuReo7c04NE9ODQjC
bVsJqKnIwbQw1GFuPAqfGYUcYeumsi7gxa8we9CrJcmsm4KB82T2NDOd9kREFyeSDppRxGtaXYDh
wgopygRKQaPfVLMdeKZv3RtN5+7zPLRXyBeXgx8dDKceT+FIMKFDD7l0RkpTQ1nb7PXLwjK+cBPv
S3iYi7g/y1pqVjsADG6P2MOGD4aYpLVpAEpWw2dINbLeuieXMU2q4magAYGotauPVlw9FZyjDgJ5
4IT8+DJz1kM767tILy/9trT3zWDtJpdWTsugahu4w6qUKWzBUI5IJ7vdMFbJmeP755VufcxMNn2X
okCUrUClq10NauPugykj/7rIUB+WcKv8q0h2+msyJ2yh3Nk+AMOieVJinwETkdeLpo+DbWA0n2HF
+bugYZkE/B+Ia51aO7JqsavTeE1UK7temsL+HpOt0IDbFxq510E1P6IwJa3BcLeYH0svGYx6Fwup
i8FWBb9nfIjCflcVKgRslN2WHlykWAy7qVWOkZHcpcR0d30aXKvGyBXSFogMk7VWrT4MCEd27bVe
G9VZuBojlwmOofQbZ9DKDeCM81AIZnOaTDELHhmPunHvJSzi0E4iZ5eK/jFjsqEl2bHTOPUjBiD3
L3WajUugX5sx3lLrBzFH/GLCjnCs7afMuajTcB9ZwXVCenXvQEbhkcQW16YElNVCWTH48ZzcLbYz
IVR4taBH9NFBqx19V43mB0WtQc6Ns72VLYk56D61Pop1O0jQDQtlScP+WBedu6Gv/9QqM+5i1We4
1j0IgXYqi2LI/OFpmF26lj1BSbRNOT8EpNLaLYM+zAMbNXIYKJnzmqLrHhQgzqn4bHaJrg7nXZJR
9vrlGVCq26xw7a1bmAeNPJLFUNsPcDyxcblkB4i0QEHDeWPvziAcAbeCV0C2EAD40xy6CEH8tQbg
fSK2bF34qn1Rs02CtMKurHilGs3XvtudSnRG9Bizq1RcxrBCT3a0q+1ZRZCURQu7DvLzoGSO0Twm
jYkuox4ubM5mAGqYpo0H7ummdxqIJDOvtttq27ve7TnLTV0DHK54X+blmpGTGAnz5VU0BmkID8NP
JkwiNQ4vXDA8FWVFNZ/ZsrJV+lUddGtaXOeTo190anyuTeERm8CmrFo8gzs8ZPjyosvZsumlhhda
+nFM9duym8+M8amsxx3v+Knq841lFtuuwAVtSJC/YEYPuq5r0YYSYMEd3oxd5flTfqfY4pYW1n1t
INxJay8QtIw75bxTu/Mw1m/Izzlp+BkWYA+Z0k1nejTC4jEI6GaC77RIizhWRI62pSV4nsXDzhdU
iqStEoZ2goF83klRxXTIymhX0t+zGWHW1XiRB/6VrUakGnMcWM1DcsqMGPxwdO5Y2WE23asSeS3Z
IsdaLVDGADIyK9RELeen4F4H3a5V2qlCYbLohL6oleC6tKx9ENdbP57XADX3RaAe2zH+qLri4Ahx
kdfxeWMVB3BnSwjBanUmUmOr5clh0pOjWuQbQs9PrZ2vgpw1nCu36S0U9bhmscDGjUGseC/vrtPd
JZq+r80ZOS4EwWw+Ns4IyS/XP4aTeqp0eqvKB3kHlNLdyYvT0EAP6XRaYq8/yCvNquRIFuwhmrWP
6axvfa66ts5tZq8TGgVK4BBRt101J8e0/1Oo/erIStUMyqm/K9TSh39dPf40s3r+d9/0rMIyLAFB
U6PgkrrR7yo0gQGKbxlUJ68qNPEOxonpAig3hQ44ndLmZWZlEHslpNUKqh7/jQ1t74/B3UtR9HcO
KVNWiD8WSQhkpU1Lp37iZfw60/puZlXw222/0LFOd+IickDxAG/l7GyoS/qV1+lMD2myDtBUpw0I
c3Rd0XsHV0c+sbDNvhKcKyG9xRaM6sJulGLVmizORA6PekBw3pQtFZMEdaf81OXh3YD+gtn0dIHk
mzZtDEfXMZGnpdSGoaxYypn+JbG9WEMw1edNC2RgpHobtJt4iO4qxzS8vuo3OE4/xjWd5cBK76eo
tdehpn0O9cFCcpN8QNix1czids4/dJQRZ1NPim8ZjObaYkVZl2VyUyED2cUKuT1I+BKOhtoUrZWI
cPVoFO3qLAOB4UMi2WjJfFbK0MAEVequE6CMIjbdmb7yGinodY6yb20kkb2ejJnlJVw1Y/Je76QA
deyRHmrNuMydZGP3ysqilUGOihavI3dllcDc66aulwXNCkQ1w43lezS5CLowimbHBrijK3Q7TcHG
jgJzUzHXS911RUxQbpRgcE19zbKcLGJNuy8CG0ez6z6KJpwPo2ojWAmQGTii9HwANRjV8q3f+YhY
LfhgQQ0NnurKwFw6VBOoN389BzjMfYWHIWyXlQ0YUC0Zo3EFcKCs9LOedqsu6K502Z2ZGA+t+uEU
TfZNFRXWLlDEyEg+oP/M3AU4EtqxqWo8HTGnhs5ZaWFDmTSVNPPKqc1mn1vhcWzMZOML+L8CpUlv
cMQPDb9b3ptNqB2Ajqzwh2BZcarzqtBvempnpxf+qmvcTTF399qkf8J3T+8hE+eZAOnWlurG6nwI
6RNWqU63NmEYR+vENLEB9+Asquwmi1E/5kgCN/R0kc+S4Ivrv0E/YRb9qdcrcA9K6QVuy45Fy29h
Ozmagd7wWqf3tCj+NIfxpTX7wFl7s4GOyFNcBTXBxFFwAijkhYV1SpDLrLBCf8l6dauBE2l8Cy8+
Z2srwDQiNjxj3XoqM/J5GT1ibvZPsBgArpAw0hr9zh38ncvUr03tdTPNZ7XSfwlnJ975tYuRsHlM
yzrYEz5yZtZzcZ4ZWUdArr/OhbGiiU5LITF42oV8VkR4nnfWhjJR6txCezkI6q9caLd5HdBrttuD
liWFVwTRbVnrgdeF8U1g682yFI6G4w6QhhrWrUfTVi8AienttLZ67RH0lrIf/HkzEHc7GYALFMYH
i94p6UbSHcEBZ9bJtnAmuimwFhQRE76G/J9WE/+oeIgG9N38XaAJRgE4OnMXbgz/2rQedCTbTGXl
8JfiNKsC7TJg8NLWU7Wl6oX1REWexYR7jYP23rDqu2KEnyPIatpkZXwVZCYNGkV7zFUmFaMBAFCb
NRu/f05OJyMDFFvvYeSCZOutC0R4G7cnEgZUzTYI1r7OsaWeDnVSueT/ZjJF14HCYX3YRE1xT03+
iUqRpqCSnkLamUiVyEXNfO1SDdsnmHDxcoqDe791PRLAT6Kthj2YbiZcQ+9v0cxKJsqXRDxVdkC5
FYDm07VblAr+gqQIyvl+SNexvRjo2nuGOtGCryLQf212CYJ9M7qRvzUgmpJoNE7OziQCW+11yBIj
TaR+rj+mI8U9KjLjjB5dgUsuI5lVoE0eG6BpofE+zyqTRqQdbkuKXjkRRh0lgJfoJCgskn3VElle
nIy53OoKH5KJaD8aSVGLUjkz+djWJe7UyvcmF3pZ5FjXflscGeAX0FWCu8TldylhcmsPsTSGlidm
Fp2nQFBY2GN1oUwsmERWIJ/82n2vBUD3YjxkgrQvNTGaZVzFBMZX5Kk53UM8qOpBr/pdSs69Hw2r
pm3TXT2jWbSlPaCyvHAK3ivIz90Z/7hREVjm18jU6g1LF+PxyuZcRzbD1d4sLTlei2mGqrjri7RY
KYDn1SK9jqzs1tZ6Ws/0NQcmom0cHfuoRnLL+KuMjaepUr+0RvFk5tj/exuYAzhXZANHJdS+zJYi
mU0CAWYyPCJl30ClhvnMuIjhM1NGvGbtfJ/XUMX0qb2orpVe9y/GwNjNApCC0QK9dsrhvd/PqETx
clnQGIPUN1dVr1yMjXEq84qRmoLpCX2AwetFnFa8N/M+9/KOE5ibonQijhwNRsYq0MSqy16kyM4y
GcS+zeqhkayL8XDd6kG+yWMLKiwPMH5W+v1ouhD5Ke2SDNVMt7IPhpN8UtNAuyhJ7V3MjAPxBIe4
RwiwJ8o6sbZRbOPPRY6VZfHWIUOZCXFcrcMmu5iGaqnzIC5LRLx4qFF+iypeFmBYzhEZnxlUt7kK
8ohugtPM2XL2XQbfPUfk0A7X/WhdjTVMIw7WnDq1ZI3gi8ZzPPDx5YcMFojXJaEXFe5j1OanyM9U
MnUvVJ2e04i3moIA2etcNEs96x+Usr1MS3EwfPKexr7YdbE1HwbTi2MtQBqP/Rfy+FmNHzgYQ3gv
4EEWTpsfLGXAIzsrwBuJwgIZhaFYWosLaTLGj7yZpe24lwbkhk72tseTTL+EQ620KfMSIIaT1uXK
QPoaSDuzKo3NGep80LX2TaycK3Bz16Y0QQNNxuqgzMfIfPRHPvlYGqaLwrAwJfKgE2O/AiPhZb4e
0cTexNJu/Z8W7a+2aFXxt2K126h57F73Zb/+m29VP7RC6npVVs9oeWVi7Le+rOzGYmajUjVcNn3k
aP/mImiqVLHx6dqWSePy31W/+g4dg0X2k6nBP1Qt/Z9U/UB4fqr6JZKBX2JqAByM11wEJ/Rthsew
5aY8cddI/hdBj2R9tNVm0UXMOYOaiWljDAIjkbmvXJijE4opcyEuMp0eZ+9oTOzU80IpyW4J79wq
PDoshElOJ7Wc70BbOzzB/T5z5s+tGz6qRkdmeUdywRB+HI8mZCvD3Wt+TLAzbBhljNHWlw0eJCbu
kRCfDeIB9Kak5wkTFBN1Gnk94loSV7A5BOZwps4XA5KEZkrsRWsFJTzje7tiGcIvi5cJHnUVjdal
1MkOJjVD2CNOcdLqJgDnwIqDx73iVWIjzUNPt4rB0xVX2XelzlR+kTcTDBwLIHDuxvDcSlfzwJ0s
SCylw+uyywal8lFrB3U3JoiBWCndQhA5V2x8q7+2kamKROZc0RvySU1Z5TK/TtB8p6YmBGFujCut
59hBgKQvC6tFbIrMyxANLnOZiocX63Ie7oQVdAcDdDQaxhsdPxntaKda2U741BR3jtazfPSquios
sa8hxGYG2KqAWVsr8/mKOrzqSx019ix5cLSxHML8SpnqV6UYwyYNTF7dN0hJyo0qMwBVwgCN2bD3
VqT0ILP40GPy7PyK/dUsoBI0bQLXOUBxw8yyU+gCqjJz0B01rxfqJKFE0zpN7VPf5SfrKTCjXYDF
Q5Pphf7IByzzDPkhQP9lxKHMOizRdLV2fGoMUhCjbM49AvU+BqN9a6DqXE8yMxEZHdkPxChmMk8x
ENBwVCIWHWyQtOG1dcy4LdKKPQeaAWJbn4RYw1EsO5nrwrFjPVVzinytzrVbS2HjG7PwoqtwDpEh
qhE4xnOffI5lEuRAJGRONKSDLGal5rfKLiA20pT5ka4MkpSJkpbMlkTHswsJm7S/pk4C28EOgqzd
MTFVaTVzM6ftt8HsVbq/pptbAet2mdG65caIdIBULoHM6OhcmXk5EX5J+1kQRJbQrEXEZCiwOwwQ
FEUQ8wKMpBlVxGjOMk+z0NVzgky7jeDIjTAA+UFocRhEa7YBR4VBQWZzugGhguVk10dtrpCQzkNE
c7Y7ZDLVE3ElEcImvq9BZn7qCe8IIKVFJvNALReKXSozQkNBWmgZnlQ7TNeCGFFeN0SXY3uGgxc8
dnNdEzjqchTUY5OpcsCxrPUltR4xaeHbN5ASw6tKS/qjOY8Psat+KNNGXCXIYxd8VA+alZw4OO1n
wXlB33SKy9bWNRjeoBMvfbqSm8odid6qSRDrhu3M2WclEpiY03BJzNIhALbnxU2CpMc0EvmSnuGu
i/cGZ3Peq3wdSM5/FqD4Ex3RKwXFkV+PZ2RlQIVMNM+bygFifMAUVOvCdWNEpAIU+4TeQC2bBBXd
ApSf47qlWl5HwxRLt1Z0ppv3fp/dVjT7kc1/gGdoLSO6EPj6bEJK4/tENihsOhUDHYtJm7EsJMFd
UN30YvCXcQlQTcsqxieseyKi1U6KOO4c2QwhEGMhZHvEkI0SpJEX9FOMJUFddzG9lMDijBR0GSE0
/r2ZgFer0M4UVrHqZCMmiGjJqLI5U8g2jdNUa13cWGFPuNMwT5sKmnY8DDw48TVQUHVpuPngWVl4
tIb5IkamDAYz3RUS6UJ7Ml90OP9Xg6GxWhndws/pGRQCV9lsp2c2NqrZnsvlVNrBOpyDvTMkSD4t
PEkRd8vLJGAmk6gZpFr1xvUQpUgmOYP2jD4shkPcNpnObD+NsWWpybqXEJtO4mzSmABU8DYTnJsc
3g3gKIeNp37vQsKhyV2wrlLrgnnENBh8HBTlk2NRGQujeAR38wHtamWhFigwzEwanSmCINZaWT8E
jT+zjASXQVkvE0w5m8Dqd04TPoKjSbzCzJ/6HhF0+cSk9H3R1OPKJqyTCJh2F+Dli9vpzMky88Y1
h/wi7LWjpteroexI8A5xSI0Nw3e2itTK7zrO9J6q02hg38BdUE73jsIgzxjgRyc2U6Q2MFnYZyX3
lEY9lkgOV11KiKvS+Os+I5igIpOvQpm7QJIbrltFvpOmtpwz76tsxK3R7A6tWKrTY9sMwU4xM5KK
k9bdzKOC/q/carOdHMSEHm60WLmkn2Tsz8rZyrw2gRDWmzBWGju7SaJUO7aQ6pmYxOZlM41fokHR
lm03FxvRWcVZUtALwIlZH+xiijdpA41T928NPACMN3zP0qplY7a8wiWKMb9wmkUkTppFUE5D15Mc
HfdTWdGRqwOfkxpZgTbpbPaZ0PdCI4Q4ii3ESklDy/wYhba7LdIgRMoztetASz+ldFz5czk12kpZ
rNXUR1TGyHNW2T70unY2ea0foOCEOFFjjKjtBl6hs+uBs4tkvDJGzT1M84x5ixNjqtKjsxKNWqbt
V2RBc1jhvBUb0uXc5Z8TPxy3iGDpM0ABMibmur35NAXBlZqzbJBPS4ch0LFVshNqnyL4ASiRZNSv
XjnyFCyWqEmdY9KJJWzSo+MSqRAh6U4ztjVsajR/6DemE9pi5DgecpYSAL5RbyOjPUQpnvUkGXAa
thucjtqlHUMabMLmMeOR7oMwQMKUXE4KieSEMp/s0F8j8ln0gDgWaMsdxsh1iZvtSYsRY0r/8gop
fgF9EcwewVPzog2RqBe+cRUmJcxXtXtgVLFNbMddXJ/XFruJErYYdyMc7alFNREGO63mCKeGwcTp
yvJsYqi53sfZ11AXDX2xFBbsWczrLAgoIxE817HXotU7Jorj/y+bUXznwPnJV/OtWS9dN1+jU2+K
/95/9McU4M9/0C8bdYyfKR5f/6yvRqG/+ynpQxu13ZdHon3cd8gTTDymnG2kIe3l/1ecdwZKEAw3
gvOP/Hqer3x3f/7qDvz9xf3sX/r55/zwp38uupzG3dVjEBX59wc54WIc+mHk8xcX/+on/HDxlqMx
SzG5uO8v3n7n8g1HzoCev/6nLv7hSwZQK2raOvrcfn/xtmMI6ulfuwGvfsq/bwAIP1vTbU6vqIG+
vwF8+giLTB6Mlxvw/Jv+/3/6r/7053ng7sv//T9SK2VLkdKvPAGvfsp3N0AQ7wy7CHb8y4W+vg+6
6lo0AOgRfP3iLeEXvqn7YKgAJH7zPujQIfHo8UShJpNfr54HXghUYVBR7edvq8+v3pu6Dzotml9c
Ef7yeeA+MEnmf9bLhfIDf3wvBOmitoXL7fmLZtFbex50U7Wf/6xnr+u3TeafbAskvqnQ/9ABPn/g
Pz0PrD8uIQ5/vDZv7r1g22IBNxjG//YCQXy7Abfx+QN/tVNY7+CekjShWi8PxJu7EWQB8jr/7gIh
dwo6mghYX67z1X2QdFkOV3C7Xr7/Fl8My5ZZOr/3PKjvNJQXNJle6qJXL4bzTodfJlW5L/fhLW6c
LHC/WzlQN7I6GNB6XzYMfuD3C6X9DvAbXSzxx314fhHf1oahq/rv3gfeCwtrBd0q9fkD/+m90HC/
Q7R7+bbE1L25DUNDW/6b7wXPA9Q+U+VmvDz4Pz4PwP146hDEy3GK/HqLBYQGruD37wOrLalXOgBE
+fXqeXDfCRYHAzHZ821QnxekN/Ve/Fmo018crf66kOJCZenA0eJP74P9ztJU0xIAH5+/3uB+8cJP
/739QryDMWEzuXupGF89D+wXTAkpVf64D29wffgzIMg/fh7kxmhh2P7uOr/fL6g3CQM2MbS8PA/c
p7e2TmosX6/tQP/0PiAJdXAia4b55/uFw77JjWCBeLkPzwvz21of/kRt+9+4D6Ykw/BAPC+Erw5a
rA+kB9o6tevzF3XWrz4Pv3CzXlg7n9PHh/q//h8AAAD//w==</cx:binary>
              </cx:geoCache>
            </cx:geography>
          </cx:layoutPr>
        </cx:series>
      </cx:plotAreaRegion>
    </cx:plotArea>
    <cx:legend pos="r" align="min" overlay="1">
      <cx:spPr>
        <a:noFill/>
        <a:ln>
          <a:noFill/>
        </a:ln>
      </cx:spPr>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12.xml><?xml version="1.0" encoding="utf-8"?>
<cx:chartSpace xmlns:a="http://schemas.openxmlformats.org/drawingml/2006/main" xmlns:r="http://schemas.openxmlformats.org/officeDocument/2006/relationships" xmlns:cx="http://schemas.microsoft.com/office/drawing/2014/chartex">
  <cx:chartData>
    <cx:data id="0">
      <cx:strDim type="cat">
        <cx:f>_xlchart.v5.26</cx:f>
        <cx:nf>_xlchart.v5.25</cx:nf>
      </cx:strDim>
      <cx:numDim type="colorVal">
        <cx:f>_xlchart.v5.28</cx:f>
        <cx:nf>_xlchart.v5.27</cx:nf>
      </cx:numDim>
    </cx:data>
  </cx:chartData>
  <cx:chart>
    <cx:plotArea>
      <cx:plotAreaRegion>
        <cx:plotSurface>
          <cx:spPr>
            <a:noFill/>
            <a:ln>
              <a:noFill/>
            </a:ln>
          </cx:spPr>
        </cx:plotSurface>
        <cx:series layoutId="regionMap" uniqueId="{DE6F7765-0D02-4B18-8AC7-8CD5AE7599D9}">
          <cx:tx>
            <cx:txData>
              <cx:f>_xlchart.v5.27</cx:f>
              <cx:v>Ganho</cx:v>
            </cx:txData>
          </cx:tx>
          <cx:dataId val="0"/>
          <cx:layoutPr>
            <cx:geography viewedRegionType="dataOnly" cultureLanguage="pt-PT" cultureRegion="PT" attribution="Com tecnologia Bing">
              <cx:geoCache provider="{E9337A44-BEBE-4D9F-B70C-5C5E7DAFC167}">
                <cx:binary>1Hvbct04suWvOPw8dAEkAAIdXR0xIPddWzdLsq0XhqwLCd5AgDeQf3C+ZGJ+YV77xyYlS1WWSra7
p30ixrJNxwY2SBALyFy5MvX3a/e36/L2yr5xVVm3f7t2v7/Nuq7522+/tdfZbXXVvqvUtdWtvuve
XevqN313p65vf7uxV6Oq0998hMlv19mV7W7d23/8He6W3uoDfX3VKV2f9Ld2Or1t+7Jrv9P3ateb
q5tK1bFqO6uuO/z7W2mv0qv6n//r6u2b27pT3XQ2Nbe/v332tbdvfnt5s788+E0Jc+v6GxhL8DuK
REAEx+LhJ3z7ptR1+tjtsXecCiJCxL50C/707MOrCsb/S1N6mNDVzY29bVt4qYf/nw199gbPeq51
X3f3K5jCYv7+9ljbrk+vyrdvVKujL32Rvn+R47OHN//t+fL/4+8vGmAtXrR8hdDLhftR118Bus1/
IjZB+I77sPTE5+jhBz/HJnwnSMAFC8Mv3Sh4gc0PZvMNWB5GvUTkofHXAuN/DrfK6qcl+QlHBb0L
/SBkPn2BA39HWMhpQMnjGfGfHvrljPx4Iq8j8TTuBRZPzb8WGv/8r0Hbn3k4+DuGAkEYE984HJxg
4cPped1w/Xg+r4PyNO4FKE/NvxYoD9b7abP+hBMCzoT6Agn+tOjPDRZ/FyDBEOLBo8F6zZl8bzqv
Q/L4Fi8QeWz9tQCJrtruttRvYPL19U+0XYEAX8FISMWjKwET9bWbD4EFYEYDzB9Pi3iC4YsJ+9fn
9TpEL8e/wOpl9y8GmlbV559p2wh65yMS+D7Hr9o2OEcBDRk4ndcdTvTjCX0DpqeBL/F5av+1gFn1
V/bmJ/ocwIURRENK0JeFf0GWw3e+L3wa4sful2T5x/N5HZancS9QeWr+tUBZXv1MUgYc2Sch/GGP
JBg48NeGjb/DAQXSJvzHo8KeG7YfzeZ1QL6MegHHl8ZfC4wDoMjqJ54Q8DMhDimCY/K43i/hCAEs
xDh5PWT58XxeB+Rp3AtInpp/MVBU+1n/XFAQwoHwA/qq2RLvMPgSgoOnOJI8PyMHP5zPN0B5HPcS
lMfmXwuUe+XhqrxN7e3T4vznfBlOC76PXiCkfBWY8B3zEWUYP2oz4oXx+tfm9Do4X499AdDXXb8e
SD+RNYM45oN38SHmfxUf4GHUpwho2qOxexHP3C/kd6fzbWhg2CuoQOuvBcj7q7q7sv/839VPPTS+
AK2FU1jt566egHMRAj2SZgTs7ItM+iWG+Zfm8joiXw19gcpXPb8YMrfdP//P53sl9WdJycF9WMJw
iL46Dc/xAa0GU/aHlPwSn39hRt+A54+RL9H5o+PXAudCXdVXb270m8fA+OeBBCaNh2DPCKj+Dz8v
QhgOQgCgBGTg0aS90DL/nZm9DtZf7/ACtL9+4VcDr7x6c3r7M4/WfZaGgqOBs/WFN7+IcoAoBJiG
gf/IqhF+2jFfTN+F+hem9C24/hj6F5z+6PnVAGpv+6cF+s9ZHKgCoeA8hFTMq0cKsjghEigMw8f+
FyzuQv1gOt8C5mHYX0B5aP3/G5Bvzu5rV/TsS/9mVhOINeM+FiF9Yd4gZQYdPBRP5u2FD7pnbF/y
i9+eyutw/Dny2cT/+1OW305n/pH3ja+6q8VDwvirjOb3ex9eEvLYL4Z+jyx8WbHNze9vQx5QFMI2
/yMVfX+bZ2TsKV/yyqBb0MB/f+uF78BDUcDQFwwTUNWA7o23D12Q+qEUcgiYoICj+wT12zc1IJf9
/haQR34Ao3BIUOj7DGbR6v6hC7QgSmAYg5wp3Ba6nt7yWJdTqus/luTx85u6r461qrv297ccw52a
L9+7f0cKglMYQOjGKPEhpwGPhP7rq1MoCYCv4//hCjo77UwpOZrSqK/xUd2wz9i2Rznqdn5WF8sp
H+8GSmsZ5Mk2VM26rxLZhHiSNslinX3KUb0f3G3Rl/pTVQZydGkiPT2EJ9U2DSw6qibF5YiSQvqm
b+RE9alfiCtWzHgNdxcxylAuWaqJTD2exiUnwzJUHt4PyN3V2mmJXD2dU5Wv21SnkRXOngZ962I9
In+LbJpFOChumiIj27G2ZDFXxskxYeFinMxJVdk6Ju2wHmz1uR3LepXnbhdM2TIQXb9ISY3XLi1n
WYr6MlCTWedNeTE37LjaJtuR+3phR7eujJqjmgf+Ag/JKAcjxNqkS6aK27paOjSa5TB39SKpK7Si
7HTiiV12tGTRNLFpPcd6UERaM/rbpk7e65OqmMsoJTOP2iq57Ine9GUyR1hnwTK1wUUReN5ejNjb
u5Cu2RByiUykhBKyRQnZJtx8TELLD4Z0Ouxnc5fg/r3zvZuEZ0UUtIWLfDdOsme6lmOllrrMhKQF
3s8W7ZL2M8ytOev89MbkXbsibT4vVOFvmehUXHU0X+BKbGnV8JhmotuUdRGROsSyqLwsCmgzR+Eo
1kNFBpljb5vT8spDblzwFFdRFaaBJGg6GYOF55s0HnqnJE/SWgo1zREd6EkQZB+LBs3Sd/WdmoVZ
TZke4jYLP4+VK+I06JxESZ/J2rYAzZHOTlEyjDJVxRz3SXNnGM1kNrBu78/pyqs5WnM1okXCa7UM
CGuioOlP6DSRRZK6KW55biQoFlvftee+n0aFX1/zIYwYwX7cMgQrUKBIZ94Ola23GAlny9nxiwZP
KlZTegO76jj1XHkcYnsU2DJZqoA1q9HqiPQ2W5XTSGNs1BmxVS77PDMyJ+G1Z5ItMTWRlY3RiKsF
qoeoVbDxR6SlCcWdnw9y4uV8Unn9+9KMdeT0DSs8FTtMLxOfXPYquNVBGa4QcUaiDN4u7UOxTvh1
Mvs3s+0j13RMGhFc3h/rqBq6JEJZyKIqbZCsqihlju66VlPZtdM5DhspyDjINq1zSfzxxBf0czvP
pcyDfAt1G4u+I6cdMpkUQWFklaJKtgceTVWERzZGQdZNctTu3E3TZqSw8oES1YEYWBLVIQDuc57L
NDVxB+cqIXfdWB62qPakr8MPk18lC6e8/KCe4JkuJakUTXjuDyqBV3NFlA/iyCY5X6c4q9ZjKLD0
5ySTU+bDvX2DV0nZ+ZGo436oikaWU39qFB9XTYBOyg43skvomVANGCahdGw9T0RmtPs2LS/hH1pa
VS8qN5Ao0+Ug53QepEjCTjZq+IBn7ku/06Vsi7qRpPXaJaqplqLiNYy0aew8Pm25KwvZd/1Hv0Ru
wxQ6x8NoNsYFZ3RMdknap0d5jzd24ir2h6I61GmjoqE2Jx3NfKmSWcdF0dwlqK0ik2keKcNtPARZ
LbP5Y9j4bew10ydG+gvFg71DPZWY95ssGdSe9AhOjpFtHRbR5IVl1DN2Odr62pJICNwtGjznsum4
ZD0Zo1TkajEH861n627TM2QlJIUSmRS0jBSc3i3J9Iex5qs+sWw7dZZGdiKxxYChU70X2W6+US06
B6MnDrwyodLvYYegY2Yqydr6GpVERDh1izotQ1kV/V40+ngQ2Q1xg5BTAbsTURwVdZ4ujSfyGLX5
uCGmeY+bZD8Y48lidlsjGI0pxs1pbchWGT89HFxdxkPL0cL52Q7y+DejKq6wnt9nCF9wL/k8jfOu
buF0hJk6InXZHxfV6MdizgPJmtrKQSu9Lg26K0VmZRtmWdwwbKKgyJWclHeYlNWppcYeZKuEoNO2
/XTnMxUZg6/Al3dS2xlOEPfyhZd+7Oppkm2iOnBiGRzJdva3M5/qqB/XND9Kebph4TSuJuzWrMt9
sC6uixkLYMVZf2mq2o9SvCFFsIcSvqWq9XjVB2g913WkcnXXllmxT00P7jRBB7nXtjKHyUym51Fa
gD0Gc1QtdYiOuNLBqq0RA8ObHfn+/R40fWxu0MAOGe3TbR/ocpkXY5QTrZa2Ssa1rcCUpiKJta+H
dZUGm4H11daCQRMZmhauwOmeQcZkERg9y17QXCb1aWJCHZPC3yRJn0dszNstlALKQ6wnup2HUcUB
922cFm5aVEnKVhb3p2VaXHMfsM8q8mCopa1RdVFO1SZT6pAObIW58d47lyRrmhZStWWz64PhDoyb
AUMfrEOb4siaJtw0WXie+SiyVmyKZCoXtDZqV6X4cLRdZKu72uks9p0YdwaOdsW1kmXeZwdzNUeA
9HyM+fuiyy89rZ00kzXv27Y9SsvhuBDFtKmdHyWTSo9CV9NFOjXzYiwLvui8Oi7nwsReOfC4Dsdu
j3Lzye+7KbaluJlMis8yNqSruprl3H/ippOtyPCqqoKjlgT5IsdG2rIUuxLNyUprfqlRRWM2eyu/
aNnxtLV+Kh2dF62LOpzvbIvtMu8JX9PxNgws3nodWTSCICBm1UHezGrphcTFrpg3KZ9V3LpEywaH
+cbNx72u/LW1LZPYnQAZXZlwbqKuqi6KNFWyUr2JjEfSSCOsN8FYL+YioUtr4HgA56sm14AdCt4b
POTnyLQfPT73MkSzPcY6IPCcDLyZwFlMREePxjFgUViphWenpW7UFIHFMZIyU2ywdXihiKOy1V4R
dSFa9MMHTZ2JORi+NaqKVdfglWHtsrNhsaWjmdY4/ci8K78ZJlmZoDoqdD/sUDgfFFM1bGHHKTve
8kydlC0QCMZm2PXlsHPO5as0nK8Hj6pdHaaD5BaMO6o8BnSvL66QP2yGfFo2RXo6CHIBrG7hOXqY
iObA5dOB9W+CPPjMYIuTMF0gg4TkMzsI2YzBd5ZBPKpkT1mxYaK4S1W1mQOvXXTjrlEZWtQzMBiK
uvfd5K+KLCmjrgP7XFbjtdettD98hhc4rluudpjTUKZhEluBlSySeoJTwm89lMp06qOCFvmmMaEX
dyzbZGPY7rlrF4oWw6rLp1FmqtqG/hhsaK1uhimjkbgppixKjJB2ztbTYI442L5zqqfPaZ/czDXZ
zUYd+apWYEOIxM28xGWZRyYlxygku6Yy6aLS66k/xvmQHJXtGIczmJe0bIfIK5C3TOYKZj0n4Hja
mkoyN2deUNWwaa0XdaJRknp2Tcu0W2Y9eOpUgWFMed1sUcVOHGvsoWmJk5hN0WAtbAKdow0UYN2B
72uXVagideQBulIpdomTwi5axJea2Y8Q7wDJzryFAZssnc3H2OZ53IiWHcD++kgGc4cK50ncBfMy
TICDJKmRdV1fD+7MoFpOJU7juuoXOM/RWhXANbq633ZjctwY59YOe9Hohx0cSqMjL9FIijHf5xiR
hfGpWvnVdO7PJK5U15ypMFw09exkmFfR4DIRN2r2IpK4SRZ0Wfn4zp+mtWP4akiSk3v/skzEe5Yk
4HkCz0jiVcMS7N9xUCV6U3tpJV2CwJAmJbh/sQWzLGlJ1GHgrPR4CbSx9CEkER/FxM4dMaPMzbDV
XTUup1rkkpq5jIkLby13wV5kfjQ3E46tradVmlSbRFf2yAvpxvO8MapJDURbZeM+p/rDYBxEVZ49
dEBTds6kHzHKBtnRIj34uo75WWB6rZvJqjR7rCT/4+M/znQFfx8Km/9svC9E//PT/qmC/bvfWt3q
e8Gwffmle43hj3v9WUJ9H9X/UU/9Qin4UvP+FGD/O53PNIZnYsqTZncff2MBGui39YU/5Zg/FYaH
IY/qAnuHuX8vBNxnvjkiDAreHtWFALJ+IQ4IFzSA7N99GulRXCD+O0wou++BjCAHIelPcQG9Q1Dc
CAz/Xg8AkYn/O+ICvtcOvtYWAgzTQxzKiUCpYiD6PtcWRl2XM0F5+MA2N31z4wILkcJMjlq/Ywvg
h2c8gwgr7NtDUenmJNE93fRg/Ye2OatTIbaY6Q3jrVs2wJ/ir9byFfGD0JfzI5hDJSHwRxTCLDFg
8bX2MTapqrMAs8hzrFimfW6XLXKJNLuu94msh5IvM8HvRQPwXErnJ0A8yIJ66qRpOn8bztmGVUqf
G99FFhd9xEzPFr7ozwru1xHilTmi9WZOXbab2+rI8Ho6ZMJeGR2wOMnTbFNZ0i0geu+WSFckRvU9
yTPqCgFVPKyDMr0wZX6SBiyNbVboWAf4KmWGbEQwp8fDGASHtg4XIEecBmqsfrRE90vwDELCMbkv
qISUGCX4QT76Sh4ybNIh9fUU5QD2choKvnu4lKzjOzPqfkPHKgO+b4HIk6T8gFjKFhRo54pN1kXg
+fmuyMEDp9jtsgl7MS7KdOf6IRZKeSeN8z62tJx2Re8nJ6HXH839WJ5phg/TxiOr1qWhHBsICLK6
ZrPkuZZWZNMBVl3M/WwVVpZ/gLCzgognCHd5OYYf5gEB6crUdgo4AwkhQLGXBs3pRD0WfX8T3QuC
L1fovlg4YASK5qA45YWAZqaprdIsGKN2kplz/aYoWyTTbBxP8zJIDocuiOee5rshMR3QsTkbpUEd
i72+znekH/OdCLp9N9DDxpFiiXubL5LCpfvSsqPJJ8WedW25zyr/ssydv3po6kCjiAV4mAXQJnTi
96KIS+I1y9kIdOLuLxUFMoFHZNezaGZJyVCciCmXfp6yu6lsj2k9NCd2RgfjnDa7xgX6y4Xi5vEj
S5pF3WCyS1RBDiHgCQ5RrtV67Oy6yBq9L0Ku917SoahIA7HsgjTKuS4uaUnDJamKNIIVA2kNNe5g
Utlm4KrdDPefHppUlrqDplf5NgvLRTAW/c6rp27XNabe8SSiST5FU5GSwyZM7EGi2x/ZAB8s5HP4
mA8ZJyhCxVC+AjnFe3i/2uBeIdoSjq+LDPdQ7Gu/PMyy8BiWZZKiD+wqRbqLNeL5+Rh0wFi5Kc+q
Fi1NhtpFQl26tM7S9+XYbeuu46fgb0EGUtNhWQf5QRM0xWFbTLBxD8thMBfNBKSj0Ezvaz/jMkjn
amVqPu4bMuar7+9NDgryi5cLfAGOISBg8OEVXxi4Yc4Lhrt8jNw4fiYiGxeuztw+IZPapCkcKeTk
gB19n43JJzLVFy3G6sRjyXWmuNkiL8lOHprmIfSkYH2wemh7uFQsHGM26DROJrQqvUBdJG2frYe8
IDFPivzCazVbekItCtKTiAzUnT5cwmHaNN4wHILCN532emBb44M68dCZ2XI6DcKsjzrwAKsglZCQ
b4+rdAZpwSbAfcXI4oePD5fQ5iFEvjzdDWaCsH1sVZSwgF0xQY8LIIfnPmmGVR20EJkxf+EJrj7x
qfiEk9GcINzrYxw0a5eYZUoYhPPOijaGLSPgIc2immt9XuoyX7Rp4G9qjNgGCDKWM5qr3RzwMbLg
rZYo7E9Z7ZMjq4L0ImX+tqepPulzk140mQb5paanI2luvg8xfQViBiKmD9sX8A3Zff9X+5cLBVpT
MvfRwOkQQbR0klakONMTxLNz+zGtQ/opnSOvzXIJ9jrcfrkEHURAPD0sfFpuHbHNbqjzeem5OYvA
rZ1QPvCDh4tfVPwgKIleV1acqo6DkDeU/uUwiW4l8pAcVIOtt1PY7ZSFaASrwGxYG+CP2XzU9MI/
ACWqBCVA0B0iXbJOw/4iLd3wMZv450pTclPoTWeDddfoep/SfMgi0yyyvEXbzNt4ObbbohQEuDpE
ytssABn1yyU0LP7+cmL8F07AIKcCxdFQ28k5nBkgR1+vp/OwP1mQQaLRLTJG+m1ejWEpxzEbthVN
WCm9aeg2WcBkXlN6Wt5fOD5rfVAb8yFMD3tu1j3ceffnxYxd3LhkWJoORFEGpObcFONK5wx/oAZ0
V16NIDZYLRXK6HYq9bAC47kdKsivBNMipTo/5kLPpxXOwtgLEm9h3RzuMWkONPHJiS0gfK8pd1EZ
kA8ChFmIFsYpSnKDDkxwM7GQrYFCgchRE3vS3l+oP4xR34omNpQvTMfrQ4yndMNne4JEYXZ9D9oC
wglawkrNsvEaEWtXXfiZ23kYNIp8zLojFvagymG6e7jMc0J3pZddUifEqklab99DFmPfzkEhA3/t
dWVyDFq8OrHTDHpYh/aUQvapnfBaeMY/Du8vpnU4mrqgOHR67pYQf9CjKnPDIheg5SM0oFg0XnVI
rDdskjRnUddb+H1RXB7RDBT1hnblgR7IuJtDkArbstaXo3If+wbyRi5t6n0mkInmhNSXTdmdVb4e
D9psyk8eLnqeVgiUxm1l59rJJKS7cQrofsy9a450ff39XRf85RBDoi8U4H98EMRC+K2J55sunEu/
nnoQBTIbOzo0p9UwN2vbJAiyKlm4p71f70qRgxDko0JmVT8AqSw2w9Q2u8CV7brq6jtLK4dkpkW3
LlT4IakFuHab3RRKeKvMIyf1dKKLVMRF3RbLtsHeKZnGcd21/kqpSRw8XCqTjctE+W2EQcA6b4Ig
sqOaP3z/lWH3v4wOoJyAAfMC63X/61YQqTx/aSO6sedkKiS69/WTPnu4lEEm84z5p6NP8D51/FNb
0lamXcYiy3i1wQr4Jh0KdQGphvrAS8Qo9eDUBaR72HYcwhzyStDLEjZsSvhloqgdg+zCJVmywn1E
Z6WXU4PLc55nqQzbRZ8Y0H1Q2Z16ASrhSdptHz62pvKjLssEOElE7xwJyN5p8HdTx49twz1Q21uy
AE6/qpPORXVrIjy4cdPM5iIf7JnJ01RiZW7yxDRACc2lLg43baZueDE20ism0NjEZUKLSppZtrT7
NAXiYwuMNupvO4/f1YMv56bQkfNYK7NiunQBOLRA66jU4DGreZxlnU5XZlRZhAK9CllaRC4o22hm
ZCV06keqhJyrKUE/MSM/4huWzJeiq0c51eoQG2/RVfVxbodPuaXrIiyuuAlWwvBEYjqUkTZFF+kc
ZIQgqPByGPmh5VW3ool3NUP6Qo0zk8Ar1N6rQHDIw1RmXodlo4v3mDbLfhDAomhykav8o/XOGDPv
hykkm5xQBeJvd9nZqogHNn7waogdvL6MctPVoFN6RznHSdQjW0pSufOceH00sqVqx5U/zO+hBkzm
3nkmUsgA1mKfTM1JEXbNwqXDCuGGSGADMThjvdBqrKVxulpWFhILFicr69cfTNAGsY8grRuUfisR
BaGxJHO5RqItoh78exQM0gRWrQwOlrjwhJyzHkR/Q9ciT3M59MIsgya9hhSK54X8xjC0UVOfL32V
kSXuqmSTniaCtEtSeg4E7tTKkvZogfURxDxgnaqYhzk/r323qARooYTmEe9ruintAMirfoVtCcoW
5TTye+St/SGQw6BWdPAOSJJm25p2kH7RjRwhkQ7xdITLcFj1rpd+EmpJG5ceeE2xgzcLFx0ptUz8
REnT+5IY60HGEh2hBt9lXoN2g5+qZZYVNvLm+tT26Cz3Vv0wWMl5s2Z+E/s1BMlumDd+Q7eZKBuZ
O3bMG0iCwHp6sjEjpA+FlXTy8aFfzBezHepFSyiImD20g0MMlwys3pr6rZYuLxcEgt314KhbDKAr
qvpCdPyq0mKM1TrRwZ4Fjsddh7qVc9aeVSi8K22yGynJjhzIBpMFgjESgNMwtk8zqENo/Mw7xvN7
Q+vPLaQf8qxTcgYT0qpGJqkg62nOlz1kFYiP940Tx72f60Xb+6suwxLy6WXk8uLCQ+jKIyP4ovRD
qe8zj2g9sEEWZyrDrSw7kFd7HR51Th05DMnA7kMvGjiGjfg0W7YS1eTJuRji5t5RBZe566+z8BP2
2j5W4wT5IoO3/88FFBYScDHoGP+tBRRCj3XMoIBCkfx5AQVP6n4xT8N/WkDBIdNeBj+pgEKPzF8C
+fv3CyjyEgo72kZ50vjeHE8m0p3Xn4ygIXeMGkgb2FUz1cM+ZBPYdL+BKhbRr2kPub8hXPWG2i0r
V0MIydi+gNtUYfIxRazb5JNZVg3I/02GmrhGoCQr0523Sc7Whd8YuBmLUdDc9mov8Kma2F2e0XSp
VB0sUtvPEhsM/iSp9raZ5yVJpg9d0wLN90ccN8lYRC0bzSK0cHKx50NyWXXBsh2TGxxUt5yr8mNV
JAsoIqplqWbIOQTHtK3PPc+cWp+ZVVoc2rY/Ud3SjMFZrX0VJ416H3bkYKTDssnzeTP4c7uiRXnb
tVYtK+fG2GMuPUpCB/nvltwmJeuBzkGhiODvez5Oa+4nXFZNqU5rKDYoKe1Wve92pvu/1J1Zc+Q4
lqV/EdpIcH/l5vuiLUIRLzDFBgIgQXADl18/x6NmpjOr26q6rLqtZl7c0lMhyd1JAPee850rEaWJ
VAyO/Thk2tuA9ZS0hi82ee4ziVHutQsKomXNnM6Nb53/6oKfyKUlTb4l9ZNcHfcgZO4TpS5m6Kas
Vq4uIr3XTQtuoRLOjpIqF+IHjbfuUNXYEOcNBo3fded2YoAiltYpkl62JVgi09nvSYv/qC0IC7M4
3yoT9zdYBoXEXf6Kw/ZTZyHlJzaCUSvIJZirOjUOe7I0mq++Fk0xSfXTVJUtE9Fkc90PWeQHay4F
GjBnXd5itFxl47XfvYnH6Sj1mzfTJ+a9SLbxLGyHT4HXyWKOo9wEw3aZKClwqVlRET1lU6KzuWM9
rC2ee4Ees8CfvKxKGhy8bZgSlMWngZj3eV4SVCTJN6eb9r1sVlj74BfmdvhuxXS2UDrSvo/hpS02
KriAgGVE06RxxUqjcVE2KWFsWZXkc7UE+zZzCC0226yXCd1zRmt/hpXNVT75c3UIFvfiBOx5W/Sr
ctadi3uMhX1YdHMVpIr3txaYRLYK+U1u4b2XJNona82KJpyDNIANlQzddkqaj7qhsIikkWm70NOo
4u0vD+464WjC4WeaqD6HUb/dK0+hA52aM5ABqJD6xJVtTrr2mxP6iiANl/hX5OBYT7w89IO4jPql
SscqcsowjqZUk3DMcGgNuclXQGPpRMNpxz6oZRwlJkQbbeH0w3t+l/X6HtVeX8ZNpPaCLW/TOH9l
vnyoFs3Bto8WdyC8ECTQWS9VV4oaxinQmLpCoQgCI+uX+H0wkAkb79hHdXiCSIj64YeAEJF6wbjt
rZ5Av/iSoqowzrFvgRgk3RPgLVnYJIal9jj4Qpz1kRiLfiRFg5ecWjNHKdCtb1D7wtz3AZ31K1zE
TjFRNNrqTCnGAD4JoDNMffbe/U1Fe39w6xy0NnxWfy5CAsAkJKCBmJnvRsI7tP3RDDCcpsBRWQDQ
j6/DtYPw2FfbXFrTXJxa5GvPv1Yh7r+Z3WRUpRFFPTTjH4CCktkaRKfEgVsJy1UN0w/Bwz0ZfKjD
7eu8qVc1LksO0vUtWeeMLTPP6iku5pD8ouPG88pnBQDJOp/diKaRsYUS3UOBP8NWNZkatZsKfqSJ
3PbuMn5nS3yuUHdljE7vixP3h3U7jhPEA46OBpalSKt1OwS1fds2+IR1nMqxy4zvjWXdTSsuewrZ
Ay8JFkmxbUnuGlIQJqFfwV3cuWwEy1VvWSeoTodt9Etl0OpH4By6cdNF+CtucD+QJvX9k1ykOFWP
B950+3kKosM60KyZ27bsHDBtzLgqQ/lkpDcVUMBBxMSw2V/p0s97pS0ptmWCd+sRmWlNy8RNWGo3
JjKnBf+R1FuXAkFKOxffOjAryzUObmhfUaVqFEfreN8W3IOWw18F41YSJd1Cbt1nwex5rpO9FOze
NIIWcvLWPBgSsSOJN6NM2m6K0M9bV7TDBPvWVrdW47rF87AD9dKn3IFUMEl7DHFKwZENd1gaQdY1
7oQdufs6x2GVAkYDNxo0POt8H2xae5DEb1JX4W4nzO+h6VTfK+M9160BoTiGQ+ab9gO9KTYc0S05
bVDQUu6GR0fp8mGsl5tEm1Cv/Q+valXu4tWl6jSGdj4z6V03ZHsyqQQD9tHRyxZuWav7KA1xNKAL
AjNmnQ7tW67xIlHGt2PqYR2nvtt02VxVbg7o6EkGejt623BbYj4fWkcUTFZJ1q8h6kJwBN26fTTu
DMOcT5cuiIoBljPAgmoswiHCnt+ht6m27Rg6Jt7BLP6yrlPe2OScwPO208YgzcQh/JEe1vEkSJYE
djxPfn1Y7fBmqrogq9hKxTsvM72LQ0RM+aCcry6Z6yPpGy+NRfd10FRAop5F1tBkSJvEv7H1S9Sq
m+xgJ5OtijKCviB0t4/acXjRU1qCcDsLuohTLR+etMF6G6trz7s1C7dtzpc4BFbURFvR8Isn+h9i
hQ3dhEnpeBUvzBLFWSerDKaL+NQ4e9T1NxV4/M7H5c3HpmIW3RRwmHGcRFDR2NOykFw51XMjskCu
3rMVZk5JWPm7JlRruvbogCOVzM+BJgebQGpXw9l16Qfl9uAGTYjTzxbuqOXe8XUeYX/Z966w6GXH
MZs6kbtLl1kWESyg4Kkn1RdU4LmJ/a8Mpk+GsUdvivp7ZYcgJ51/s8vneEV7v72zKZJoxSWBxTjV
6eY/9IQ1sVlFz0oRd9ey8G1qzJ0HdPtR8znXIZnSkdB7NeJl6IpfjOlBoLBwvzoXh04VPlSyHqI0
DvDmlrrJ6Cb6fNBhdACOuQubBB3OZgocc58G439ghYl8AqaX1k6/ZoHTDHm1VR81b8E2z9nmpUyA
jhyMisp6YsegZig1ExxQrkvSio99Nj042npvZvwAMqH/HslYZe2MdeDVY8aD7Yfk5p17rUyjeTpP
UhqAtWiEEN3Nh81/aaYx7YkzH2JWvyp4ZpWsTr4K1zSmg8qrgMY549vntfVel1doVm1OcSAfCcgX
IAN4mQQANNkwDS4CoKuJ88XtgivcXZbFDNvVNjU/OUrSvi4DsAe7cbbfW3/Rh3boD3x2SqH0eKX3
eHJMCgV5KGFsbLBhJmySsEwfjEKajNbbkRbI5CRbaB4WjSUP7t3mFHHMOV7wkiUt9rxehnExCT/v
LFqslgN8UZ7WKW28TNg+3I82OqOoeWEtPJiV2mKYI1tMkHpcin0Rhk3QqXKe2QvbrtVKIA+sojuZ
ua5TBUwFjqi8qX7+YedtgIesjskSV5myOFOS3j2hth5xmv0a4vmtWzp76mNRjrb/Veml2WmCnZw5
X4ZWnEgzCmge2Ir4CBC+d2Mv5QmgYAPSsFjCws7AHNcGigCpSU7FRTLU/LXwPrxVfxCDCX7SNlkS
YZ0lXmY3eNEwO1gZLz52Jf8eLj4wlAAXKZzaDG+hHNtwy5t4o8Bw+bMzuTK3ff0WeaOT9pVZCtUx
9LYAq1E9NGBvUDGsoFlSseF2JM6AU+uOOhgelh8Fecfga41Ulz6tgsc/xK+z6rknqhgnt5xp86X3
j1HURMXKgi1nhBXgTFGb8SUqwvAtIACupxUKtdN6Eb7m46VObWkS/dKwvsEz2+QCP2drIX+Hs4uK
FPVrP3s2QzDgcZ+Qs2BueMAaUtjqN/9Mul1CjI8GW9G05sPJwHDLOgtCR6MYKGa4zBEJykosd67F
0Z+mJbeOkwcKEoGBFZX1ovm1oJa24TsJ65PyMsmUOI6qu3lx/T4rrVCP8DsgY1kGvfuzpsldbj3u
tnV6cQbA33HVDSlrQBuTpUyaGbcOpDpca/W1qm7jbGzuqBjdUzfvEkC2WAqflA9yduPWpLb2zsvo
q9wRKEbdTdhMuQlavEnlwca+wb3pU1dX1bmrWI7s6stUb+L+bKyjj2Yyz0YMF0K1Oi18vNTfdJXV
bEmw2IKDrdc2q8IB3Gov4zJsnEzz17Z3X0mdiomWzcbQIbgxnugPkXQHPY1741MJ4ULh9GuHo+kG
ldqmuW3KX0rt+uhL0M3+fqYWOMhDRC56CnfUG/h+sDiRZjcxR+3ST7rnXv6wjmijoNFx8cn0Hkfn
Jl955A2ZAWCC5gTIn1P1Y1HhrG47SN7jWoaW/lxGQY4z23azYtnqs25HAiAmNjZOjiLZW3Id9Grf
xmtRq9pPK4rSOhwXL116fFP7IWbIQnhdXVYv7pzWTYKOtMtlEH54AF9T4wGypjXPQMHRJz4PqMAB
QMMTA+uo4Q5KVDbLTN/8sP/cLlAL3GTlu8bIZ94EqOS083NoEhwCPkfEYaMRFGJdzpsDEm2e3vTK
IPDa8Ka8YJfYtgzQmO85L8fhqXec9dSrLinGqmlTIpH9sOGXHWZKviuHfwtjbVOP1PcpWiLc7tWa
NYw+OdX4q6YOKm/J39mYFLJu7u7YzcdkVgg+zJaB8A3P0zD8UO6vLgJiJjg2EY9+iiOXpXFdDSmx
2CIkyAul1wIRDrg/nSj6aWyeRlHtlkSwvZ9K4MTOssaHYAC6Yr0oVQtl2H76r/WyVvnZcXxo+H6b
Yv33eeNqfPLDkGSV/6abLkiXKar2xg3jq7+0wMfdEJ3Q6rBUHTu4i3F7B0249wguUkBeXLGghBT1
xczovXoJfWAixZpsiMTE4Qsb23MTwH1ncfIJByl2qUp9imZZH4hnIAQ6qLEZJP5o6W5kxS6mF8Rx
IB4EUH+tXzjtcmpc1IKO8gfsxyhx3HnLQjN8yNlxTvOjGZRjsAsXN+dQXNII9kI0VZdlG+ty82O/
6NkQlLo3U7rMHigBqBOeh1Z+BqAyu+pKJGsz1dcCfVbH95Hovrf1AIl46GyGmpi7L97WZyLskRWo
ZTl0dZKPdd2jnFV7F4dXCmR0xY62/XRiPaXgUvYQAkyhZr8/SETX04YYi/e2fIjKHiSE8myDBhx6
/FZTup/WEfukrz7XtMomW/MXZEkO87LJg/ADllZO92UmbDmML17vd5cqXxA4AvtK7C6eqdlNyXqt
XPeeuCD+cSf+7PIwwcVQzgSPRqLIAbH1EyZGinVynrC8cFyAvqZ1POySBOd+I3zUNR/Yy/CLYcxv
ET2uTXxbXXGUTLwIVCRLjBsoYNg55xELsO6BDvXuBLslacHF2wWRApu6VpxoH3sIWgRfyOOab/BF
9wEo6njov+E4IOD9iZ+14DiHIT737ZTsYBb+Gsn20yBElaP1+nBd1MiNkA6M8vsKXuY4qGZfJ6iV
dMDHFN3riDUcg38Q8aWeg62sR/sejVvKW3nZkpnuqu2wSTReEqg8TT5BuobE0QYnKqHRzX30sUTo
lkXCUazWLc0W2B/HBPmvcVWQARI+7DjFaQwEuuQSFkNXubJUjJQtc6IbHYecukjh1aQwMCxeWDLd
zYaehi3Nc+0+ST4jkSQOPfDcIhKNSKOea1BUKeS1n2oI8NnVkLLwQe5sPDyNcotTlYwUjTN5a4ig
SDD4JvWm7hccCJ6yqs55sND7HG9Nav3oV6OarI/dW6DiKZ16w9MhRLkMaxPcT1dV2QxJiy+9wVnG
PqPgZwVDvTKxoL5ERnyP1ervJsWg3zyaFTKsoF9Rdc49GLzRc1/nuHNfXdnuKCrmVDsL7KUYPTrQ
5BbsirPeo2k96lDzZxwf4wFuPe4Bv0oKNiwkA43IrgEKl2vsbFvB9YaUg2nRxqzJCQDJePVYjN6M
t2fhRv2VxHO1UzM6LPJJz+YXlziB3DYYz9i4J0Q82LpbUbmVkZ/8DCp5oojknGWzpP0ErmdxTQVK
uNbQKQ3KdqQSC+7Zb2RuTzpc9YFWAnKdcvurbtwgc804fpdLKtvOSx1POzsOb7QcEzidfQBNQNS6
z/vYmS9zNzXPSaTzDlXhs2l3zdgNzzAKC7u1MzQwHcKWlq3MKf4/UpthP4rDyEN7Aw4+3+Ix7PdI
pwzYsD4mJPnuUvbyWXhbcNqC6j0eiHj+/SBtXJeVj6YdaeNDFYr6ylAwP6M/APbgM3u0LYMjLYIB
GpDWJfDgZcdcg1hfbLz7VKOVcL9YUA3HqmXiSW1GPhEUsukysmn/+OJcN/6RkAFujLUmt52EbWp8
cofWNRfBpMJ86aoxJ/MwlFGihufk8dAPPtZgNV8dFfTPSbuyE978ezM2CLwoxzuKhsYvLPrODXpm
mOSIeuE4O7sBQVLJ87tz6BYknCeEN5m+0Gi5OBu1L039tsame0ZPPSMx5PU5gh1i9/upsyHbRX3R
lGsS/WgnLPzMyes51q914Pevvmp/qUQ757gb+tdY0wgcY5OUv7/Ixw67Nt9eV08+IzGXfJ4poleR
7pp9slkPUTD4qVY4JYtRgjrSW3aDFy4pEb5+oRyXEL0IdmU+6JeIImXlrcS/Nj5uF2Wy8L1d4vYX
FYqnABubSxVYJGM3Euah5Ms1qQQvqqG6b1wOMNCjD8/64dceDlfW9fG+V378pP3ul1xs+IOho34c
Oj4WzcdSV1+5dOxb7wkXbED0JGPi5m47duCnpjmf+kHvHvrpuQo6efQfrF7T0bORjQEgS6dffU9f
IxI6zzE5UQH9wvL5i1mb0oNLfPY9KOU+mY+bjF8r7mmYpQHYoQnLeumvkYStPMJ0zfCK1908FlCA
+rd+5N2LQqfkupdJrAiJuKwFSXl1oqDGcdDMx5UnPHORCjuNqJtC7fCzADmW18FrLL2MRC0aZG+Q
+5BEzwlR7TUgbIBhNleFIopeEOE58BofPT4Uluq5GT81iKUhHhPg3uKisCFsKb8lhcsM+xyg3Do6
wSOfF/wyEoEZI1vyrGT/us6EHr0+VhDd9FKMnqnOkFeeZilozhxkiWKx0AtwWwD4SPJgz3NXqBd1
CwRL7/pAhmkb9N1u7kjwtIa1vkGALpduTF70pJ+1MtHJ+gjkWl2XMUSkNHlAHnTi58lruqJZx+d+
/W2kUNgecdudva0Jjt2Ebb8KagCkyH86fnxqEvgemlpbegJJXur5GqTy9hX7L9tHKiIHUJkWtXK4
4yRpnt11bPf9w8Nsw3dvmMNDYIBIm3HxsRLEFZDou0S5cG37GOle3cS7DT3/bhi6uxoBqPC++jUP
bnz9/aCXcB91DdmvQASR1P054LQaNwnHvYu+KcgIQW0MfIEYVuxC/bPAWZSQqb+qJC5WmvDjGoqg
6JNwn+DAK9QwT7s4xI1qSBTlLgsPHudzhm4a+Et4V0QvB5x1CVhccjYVKJiVk2bPRuig2yJNTnxh
ss2a9RQRZCjdUKAX6B4oL1uGUmMdH0QT7bjpvO+N9nKzIk/mDs7n2l3XM/xBQBByUS9BG+auJ+PT
74dWgJMm/HNvG/0UNdx/1pSTPJ7eOUCW0oGNchTUrfa0Hb46bUQz2sgfPkUdEfM1fIpBVKZt8hB2
Ngi1QzSeNW3yZRuAOlqVh4o61ySBFNMZwvJNaX0PHXBdUTBWuVPD4Eez1X/QZPyR3NxtNs+IIBX+
XKPiaj0B2TOckE6PajAsfZxXaxOVkk9A+HT/0jQ/Ndf7VW3rjarQvLGZ/CAdWHUi16tY0FTESh2M
oNW5DlTGaSAvDulTY73g0zrq4NzFQ3yVBJn2bjWXrRJv3giHb1bcfVJjCCtuc1VKvJijYuUu8nIm
uWgrG+x4E7ToyYMAAnQXZIR5AgqzPSH47T/beDn1LaEH+mhQlCuqi458fkEa5mtcT0VIbVAoj7Oz
0VRDw6NzGlTOnCvsULvEW9enbfEP1WaiK1+GuWyHejxLGaDurOdSPv7/4ukeHETqD8q/1y2MxGTw
Nmjzo0U0OMIWJSdaDCuS0S6ayjduHtq69Ofzqv3otPTUhTVjYVAMPtnHK9s+1b6zI8gtf2Rj4M4X
l61bLnhHM9eJJKwigkU5reowt7U+/X6omYTYoCks1RkAbDKB/I/lt5i9TW4TaWTsMW8A+7lf1J3H
nrVgCSoOCE1uokrb8OR1CIfktUU4ES7bzd/i583FFq+3qS7tYnwwz2AZ1xiBeOnxK7p59IZdJ56G
/YaBCLz23CfoYuTiOnM5Ta53JC3zjnPcf9rgcu+qGNfci+KmQIQQqlOnm3PsNPsKeE+2bs0r0pj6
pCGR5ayeACH6fntjajK3YJLmhjkBezq8Vs3SnwbFwM86/PM8BusVi/TJIgzyK0Yj2g1IaWkkIe0W
BPm/1zntHBzgov8+E5LY0K/ONB01LPU8ZI80JQqso4k5AGNn2uGnBWkfEnRxfWzeotmxxUaSKV+8
xs86Wku4nuD9fMc4d5xDSICPenlNFhQpfSRNGZLwGI1QG7GuVD523VIKZ2K7po7WovXXocQ38JOo
hiiTSPm9hpbtADU0wG0C+YlvpRMO4dFrw591su6apWqf3WqkQHG1yeclatCjkDavJwc50ihsYLLV
9sKWIrTxSwKzUbdh8OIl0KN6Lj7qqoYKyHV/7higl8m5+cbl+7V3Xho35OcZBVLWv/eRCEoTTe4r
0y42REagwW4iOcL0zEakJlJhIyh3DrTsTLGk4BzSEcZS9OeoRjSYMSmzDemTElo+nAYXRFzSIavd
xogAZ/Vm6C1ZkFPfxsrb+w23e2YwnqCzRN2BvcHr78fr72eUdW4K9jJGRlnLYyvYhx/YCfjZEkKb
qKb9XG3tDnCgl0FfNc9dYsyzb3+ADdW3BHXDpUamMhq24MypwQNspmxzDcdIDm7vFKDRPVbxeMJ0
lzv3p2cn6t1rwur5dZavtHLo2+8n2nsxCaG3mtPXAPXxxQQaaQW5JV/WyBzQxFhIdqLeDUHHnoZg
bZ7+NgEJjweA4x+zNRFG+vrUg0YQBxRRrUc04Q/odqcqO1gGgEgAfMH4kcF5CmWYpJEnlsKXZjwl
jzCEcDVPnYk3uV4XLKJqRc60iREJdKYSR0qbqg7hZGwvM2Q0MCuV96mRvIYo4UbZ2lOQha0JoLy0
DPJi750gSD+AjRLcfRSDto/UeEF/0t7NIm/ILNnL7weywAzTC+aR/H7qyG9GwKhvaGQxzyDOBzsM
+9bG4QlTTapDLypxSiLfO6xadsdm+BpYHFdTFwI1dCZdlb4c3xtkuUYZN3f7eKgG3Nub5y6ZgOkE
lKVSdel5UDY9WoNXDvVbbcfgFFcBaBlk0+HrhZ+WqXfTBkF0yNdqv6HkSLcQ/CqaZgsSEfU8fo7/
xcNcDBKZhwXnnIDwuWkby3hX23b8rBfbpK2q9dXMm4Uo1y4Is7L2eYJCnMf1EpW/7zxP3ONoJJeO
L++ULfITLBnkN5aaH0fv8wKw5vn3Q+yjGEOyhpbtqa3q+tqysTsrTBUYI9K+mLGL0r99//wHaDgK
QV37URTSmAYhDTEt7U+3jxZR69iHPrJEcBN70cKU9trim1Ub+TKFY5BZYDj55ODfSDnOxybB5kYp
VCqDmA0umCwjtRjkImRwqWLTp9hUxH2Neo2pHhbijt+zG/H8b+1UL2hNAE5UDACccd8TzCvK9Yjz
a2iGZ1srUzK3hTTdwSF3Xe9eITdw+Ntv2X+8pT+tGCQS8Td+XLAabhL4f/2WnS6eR9ONfdpOrYWK
GmJkRrLmnm1pwTA2qdQLIMeBor12GXXOkQ5yB2MZbiPO5ptwMDmodfrxKDBQyCTh8HkRLTm2nYM5
M6gvvkz8YXnYazMh498hpYwSGt/Hq/Ba9R/WYV83bcarS3v4kN0AjLRdbh4Kx88VBnAcWdd8jpVz
dBtYGcigsJPbgOCEayVP0AQ+oyNqXv72R/LX8aUodijFBH0/wqeCmN5fJXy4obSSFvcy8axKIST9
DBvyS7io8zvyEOhd0AE2QOYZq0z8nVvwd37oT9cDv92LcSGAd3uu9xjY98db0NfJMAuBeTBs9T9q
Ir4uoX+wjUzybpNVqjARiMJSrfsCJixG9vjLh1/HY2bHadj/4x8EBArqhC7+cEcUYeLjH18KtkEi
Ww7HmVH9Yxl6VPbioGwVwGibTmGFCH3kb9O+7ehfPoX/PZHs/pf3+5ehWn9MD/8xTPxPZZf/dbHk
P03d+1Ms2cE4YGhaf7gE/2H22e+/TPLHP+P1O8/8f7/x7yeUo3/zKaVeglvYx+wx+og2/Z+Isvtv
SYwvoOhE6BRXFVcT+8lj/hmGSDpIC8QOphV6Hi61/49ElJFi/astBVso0tGYzIZxoZgn+vvrfziE
K88DJ1/DBkcBUkSSkVPQQlCAaE9z2Xp7krg6/41RNIAXe7n8v4RR+Ohc0hD6xD+BUYRxB5NgNf8k
RhFNDACyjkEP/kswCo+6HxWK2v92jIJxDNCwc/IPYRQYvTAfIG7+fYwCUlsLeKX/H8AoPJyGqWvi
fyVGsTbhtcMctz9hFNUcmFO8YKbW38Eo4Ae5pynAKJ+/i1F4Lj8NZvnPMQo/hIqAxMW/DKMYgi3M
alf8f4pRMLnrKPTK/wSj8OvGFoT8IxgFb9UpQoP8r8QoANVbzAUM/h2jaG2LXApE+/8SRuF8QTbk
H8MoNmcBGMS7/xJGgVGbJThm6CnCtNdJ68sSgHOtA/OTzjFoBUceOmJ/OMFyCTCmCZGzWzyzw+Db
g7M0d1V3HPYru7sGs5mglQJu0N5UMuUgdHlnAAxTVQcXTPC41RaDxrrqB8C8NudteI90W+C33THZ
wM0sh8u7KlDUoYiQhKuqp8nyb0s4FWTwCi8WKhcYI5r6mNeQkTAwhSTmgXhM9wAt1R72bABHQwIu
4wzD1NYaicoZiFnQZc7iPuYExVVJYasDCAeftAVJZvi2q91AZHgFV2IRXXNX7xs0q/dJxLs4shiR
BGQODumrFObaNs5wTKCZJMp3T+cERxDG3BCbVj18dhffXg+r2sman6M+GI4eDZ4XTCjYcKTPVQ8M
EJFjV2GUUmuaYh4g+gvnVzsBRsLEiuAQdsHrNN9BMcKGF7XIaNI/S8wFcGv5ffIx4WiDI4duYUDI
uh0yxqCBrpxnGLhazuN88yoBFAChvIb3n5ua+hlQ0Hyr9T5Bo5vCEDBFxOvT7ERAXYYKzHuSQHsF
86xb511GAJp0tHql36+mQLBgmFhcilcNQG63gDhZFPkUcP/AVj4cMJ9tyjHuMqonOKrgGWBV9VmI
eSbp6uWVngEqsQiNCT7GzZE7TSGsDQty1z4GVaSOEW8WhGc1g0LrorDEiE9dtqSXR5awSxj4qhCD
ApIiwq5YDT8t85OjmNmtrEe6FDPv2IOmN/+LvfNaktxKt/Or6AXA2AA23KVg0laW9zeI7qoueO/x
9PpAcjjkSIdnJkaa0JEmYngxbJbpzMTev1nrW9uYSGbrXsVHxoszYelXnNZPj2WCgVfB9KSa2a0+
9d+qdfhAiN9yZ45PS6/Pu7lSLAbfBauZrHlYwx+F1SEKQclYo1MHebOcWOoeRjjwh9QSiVsXgo8V
A48YHZdi82/MSeAULZbXFD1ggPBguGp11YsZqJr94DmZ8KOZrngqYN6NCfOnQgRGn77VPfOuWU8/
pAkEgVxbl7d4J/ow289Cv02j6sxM9W2upO/0XbAsQnh1r0Q+5qCPBNilQvnoSyAyvrpMCPKuk6XW
HpZ0/G6ZzXyFVQvc3S6qbFbfGXoAyriKCYhV++wLgkSNeJCZSHW5dcQcSpYLCKF/Wb/yh8bn/z7W
0n/Y1FhY+nkc/rSn+V3W7C8I6F+/5LduxtFZrNJ5oISShrNF2fzKW7J/slXLNBwm3UArQXZjZ/4L
zZlICRocWiNV3zplSQ/yazdD8BcBeVsui2FpzAMd9R/pZpwtPOSPAxIQ7bZuMRzRNGH8jHb6fRe8
rPag0+/m8G2n6yRJP8OhUT0tVE/2VIAuUJrbNtaFu3T4n0Y8bZY9nXTsRCh8PqvO/KZpsInMHxlW
x12K8ReBWXM7OHPk2ll8sfXhsunXusGEaxspJ7UupJun0g1HM2EZJaLDGN9rqeMlUpt3kIBxHgNz
5hAWa1AasG+EyE3fRshTlPl9Y+gvasj+OkZC4seYb4r9Grfdmb8nqgyhfs8zGD8OE310Yaj0rJHF
WGcVgZYvLupI3BptMjFiYS6NEEZxIfAc4gprnsEsbhL1t7TJkxdD/KgjnOXjBNkhnh9EWjcuO4gK
Ey7HgGaATAsNrs48zK4qAHpRWgjwv76QTMUY03MeJeM+yYvrInYSV8XQDzUuxhvjYHo1MmPAUue8
m5sIxpzZAsGMqAWWYFzjN3BkbthvKJxPm3dmMxuYcgzk6Ddqrp7LusOe8ncbpCeT0kOyZ/k7DNLq
ornw6f7FBunEWMGlhPpBJKwsOmczBP3XNUjDz1T206jd/J8wSOubQZo78v8fg3TlrMspefrZIA21
6G1Qcc2Wg+IOCcv7PzFIZ6K81PFbB3O+35zmxeS4ul4esNWdVoEby6z7L01ErD0ResegLova/I5B
7KZje+ING7VQ2/iFwFlfl41oqG1swwnIYQbssMLCcKkk/MMoimb4lCARNzZiDCSx22iJooabGAJQ
7DaSojFbP8yNrbhulMV64y1mgBcX2UxMQ82nCiSjWWy4RdgFKVacnoHkdePwf9RTK6POV5Ux8Veb
f9MmWgXGubqNugitGQAZGhGz8bT5QSmzdjeAipxARmoFCHp7+UI2p4ebDTVHIbSGFgTaLveQws0u
4KOA16B+1ITuF+H4lOhLsh/HgZm/EV/aNhcoDNHIRjNOescIPXWuoVxONm7gsD81BUrDjYRZocxp
qgnYBUTfaX5E+fUxbOxMVn6+ttE0s7xX0KKWXzLVX5uNuFmWCZ6EcPSXUHVcEwsi23F5X5vtaw+w
E+thi25fR2hERZ7elIA95Ub4VEF9IrUUx2mjf2pgQFF+UXqbkEFV7FIx29FTvFFDk40f2q8GXFgB
Zceh8h42ymgkKb+nvnzE0G/gu4JFqvxMJc3hk04avZ69MUsL4KUw1kMYc7dldWg2tum6QU432OlG
PRXgTyGluPrGQxWAUQULL4RUnybA1OkJR0ayVjcdKFUFz3++oVU/p42zagJctTUujgQE67CxWFlI
DftuaoNk47TGfXTsVSSsZEHA3jJ6z0LElffGj3yjvOIPxS6GZVPbCLAVTs0zFeJtrVExFntj6j+G
jRnboXryYsi4+dQ+AMaBmaqYK8TRs8AYF1QiOy5Z8pX36TGq7UvdoK7X80kF3CCv1AZuLQuliDGn
x3v2XSk+8366KqrqatV04NA2SjWj4SeL1p8UFqC5ndZHaxRo1PUUR0/bnrN+zLxsndqTPgPGQiZR
t+10HA0qgnwtHJ+3ECM3cLHJVtnOiqd1avKDEzqXiPLhwOfxeuqRFg4F+ZG5OXoVjqRd2N4pS3Nj
VrDlVShy3WAbAVqG92ze2NRszfE9Ic9a1PAoJbCUITeB26dsqmwB5birFn3fq86tPtSXZkk7V23X
tzIu1P2U7sNYUo47O1hOGwBJuU0140arAai0Mr52Kkqjpk6ORZ/ezXHBSwz0xet7rAR6eoyL9Lxr
dBnvernSVK/re73WL9FsINY1KQFgoOWBU/ippswBYnTIhg1v4Jda8aEEHKe4SmsRMtHkz3WISx7V
x9meUO4izHst7T52h74OA0RAaYzdYAE0eE6GLgoMxHUuTsk8EHkDbCkxjrbmTJcSAwOc8syXEVXT
UDYpHrlll2upchqLBA5J1e9Lae/BnQhaw+OAypmlu590CsZtFjBlVSK66fSrsl6/dfl0L9vYQo3f
Alyr5fdCFxyYa0/ZI/L6Rs1XiFY8ZoWd8TRMDkDbgxxi1Kk1rLQCJftFVu8yXdNTPlIrdsltRScK
nTl/q4vlebQXxx/iEeS/NdYnXFj1KW0hGYGJ4/F35F0+Rier5m9fTJGAzzvTHa/xfjJhpWPxeg41
9jYiWR6AZBfo30gKqdtiU6eM15j+b1QwkGDX1SmIOZz7RHzPGOy7VYgsLO4mbBnV5OGZRx8eM/pw
xlJ/TaIfhZNjeFBS7WLT/VcIFdF0zeNp7Q/5uJi0r23rx3PkQ+1tb6ZFWXhyItVDpOmqqfre9Qgo
2XW1nl7i7atxc9SVVh/nOrxa0Ggd9XFckZyYwlV77SZcm11YkgIBXXqdlUe1/q5a2Dqd7lVViqtx
VX6YmLrLddxTlLt5vWyGxOo2HXF55M7j2oVoayo/YY8eYWSgPv+ZLm2O5TsDhWPFaz5J7TBuAmOW
6nIab9qK30nk79U0gaXDcAm9GD/NqJrXZSJRI83PRTFfIvj8hShuTS276jXr9CAL/c7JOIesgoMd
o75tXPeIgFnnKSfGNg95jNzSyK7y2diFEhnDktpen5ziMQsKg533Yp8ME9IMFm3TpL8NFS9Vb/To
mA8OqsveX+YyQJCCH1rZjZm505A4uaEt923dvmpr9bApqwpzL9vqoVCyTxDnUJSLs+7wPlWaSfzC
55ppj4wgL0taeuqyXaEh0tJSHmiErgYFsUlP0EjYBWVV3YbdcBlRY5sYW2bc1MBMD1NLTW9qOIfA
CNad3w+4WCaEPYnuj+NhkXmgDV6LKGWy5PUEkxbAhd+06gaFw88dXWMDe0SHdM16/V3ve39Uxkv/
68s74lzQ5blP21cpzF3BSdHozmMpw5MKROTnf6LRn4cMl425m4YSkHvxLhXY+JCZ6Bz2qdk/C6EG
a5mXHkqvXYvtmEUU10dTEjZSOTu9IvGGpVkb6One1K8G1Mro6f11jB6czLpSuvRDZJQHal8MuBgj
C/9dfmnGT70As8iBVqRPfQrGsBFK70meTLqMeyYgZdp5cT59pDnHlEk6mCtHvN/GAgpT9nnv9mN9
49xCf2qR61vY5Jbio5v7KsCBfIsFIkBiP79ara9iqnJbKyS4YKrh53V7kmm0YNL6BsrKflAj7cXm
mBdOazzMdnnHeY+DVpufCqinQYapliQAn2kd1onY/gC7pGDHX65xnUjXXMWPSzIknx3SSEwo9Q07
PfrchqEgFHHd7YuKwgwZFk7Qiz59GVH8NYz1j2JovXaMedhyaPiZ8sBueqG1G70tM/VQz2enR5ZV
6Wm+G2xzbyCtRn4AEKEfSbLQ6H/VqXxsh/BtmVjl2OqKWXVBFmxr6i0/na9s3TXRx8NcVkdM1fSu
6qS5PZpLr+itWxsNqJvE5oPdIdpFFdrCQVD2xRDewwxsfVNL7nH0fDjq/JI37XlhFP8wxcpHDjPV
IsjFn2rlTWm7Z8yYg1/1oDOyri79Dh3Yobaupu2kLUHdnzplepdj1x/t7BV0RR8ge5ZYa0irqXPl
Zs7yf/Fu/L/wrAm9F1vr/5jt/d9HUst/y9X9ddr0yxf9Om2yfxIY7Z0t/w2RhcZ06HfTJotCkLGR
LVQT5vD2o/66O2fmKe1fvmJLZf5t2iQFTHCLjbsK+pdVuOr8I9Mmuf38P0ybTIZgDK9sU98g40L/
G3YuFjQjVNeidUV0Z/NpPCdivtdMJT4MNe3DUrU+0Pxqp0ZV6MoECpzZ6vu4Zm6aDxZ0FANIV9Uq
TmBXLYD8OFz8Zsq4YhCJH3CU7Aa1CQMdoZmLQLDGnNWt7vtjjiDGTez40Bfzt74f0TPH1j2m0Y6G
MBaYUblHshUHL342CiRIYhzgX+OCMcmUje1B8yQtAA/TRrtR4+G2KeB2W1px1zpwdQpZHoQx/Cgb
BTbZXOl3k9jbi4AJkJOGYrbjuYij7oAJod5l44TunuddV3u/7dWJjKVUdzUwsJAH+9cWY24+MISb
avuK7DK4ljq/wjDDi0h1nbQT7budHsMOuWmZx7WbjXyjOYru09H4QgPuF6Lah5WsA6HRqqGk+8gk
yTZy5j8eCAuq+9G3Nh14IRjhM/EzgyVRj5GjOGctm++nCcJYYtrHLuv34DQ8p0FUbmnqmerG3hO0
EPnGAGs9D6U3jlO1a2eOtbkNTY6W6rsxGv2uAgaATzQND4l9RbF0mxihju8aV9CM9QIUqdWDJdh8
qlxbNTOudY0+cBhR+Ekm6E10VwjsSE1dZC6a7QEXduvlThgYmiVdGT7TnMVHu1rSfYbQ/2wb9Pic
7dWlG7h8Y7wV4DfmTwSxxh0wmt5Lk1y7chgGPrbC5K2xQGD3URm0zXxZktHwF9PTFm3x9NXKzml9
ELMSQR0Szt7qWgH6dIqO6oKLWEU+R5MDAgSIF8kdRCHh6h1OrAtiWFirYIMCqG8quuuoD3dFKqxD
M7KAWlPtCiF1FQwRAsWsL0a3Yn3jZiaN2myNrxhMCUvrWH4VbUlFP+QvBgWZs8wQPcYGPsqw7HUU
i8moXYXGhMa1KAyoOMslnrZIjozDWpXvddfOKO30p2mtv6jq5NJ8EeSTBSLLfsDpPOY1ddM0NcQI
hZusEqBh3X6r0mHnLP13qnIGDyVoZGT8X8uyXBxs4Ekuz3YxXJRpeEnyHhwejlCzW+LzZiMo7Fnb
JFsxOAD2KlUk7hKRXy1qe0+Szc1ICBOZfsPFVrS9Dcac+CkIx8I+wBA5FpmgbpLJq2Eu3+x+/G4O
XXI19h+lsuIWn5vmBNz70C9V7Rm5qmPODy3XMLTFX43+MPZ1vIuyReyimLp+qvBa8JZdZTVllxkh
r0admR7iLnfpc4iZKsfRVcL8NFp0Bl3FJwobDuNllTe0pEetSBeIQH/oWXk/hxhxYLoHXeqsGALW
r0nF3JTNUt2Di8nc3jFehw0VBexrvUjFvNMaTrAxLR8d/bus4HRUBkNkI/7WE9uFEaHteHPG0+z0
mVvBP5DqBCcIhIxhV1eRDojT5FaWU3QeZmSu5MQEucgo79JPVdcPQAtmNxblQyboe/ho5+XJHquv
MOHPRsXG3j9e8Grt5tR5YLvJsKhxvHS1npxqhF4URVhlm+444apsFd3wDBPuWJLK82imx368n5bc
wbcbQvnZ6A86yVWWtdPtDbpXD6QY6dSf5ZwFOuDGtdDxKCFWb5PmRQVKNxsq5VBlHFKdJReiWV4h
5QRmSvOaWQWbtW6zkKcop660UAAH5mBcQf/SgnKBhjWlwxlL1ohaMn2wRZl6Y31eYbk8CHWLSWNh
2jvMgqySPnyyPq02tPdaN7zLkMBBfrM8H1M/rLTvY4sRImkMB8U+0sIMllKpznDiswQvXHeZOh2f
lxF9OPbUPHSdpnqpyKarmgSwh1a1HqY1rd9rvRx8Z4KG1rdz5XH0c0RM5cheFdNpjHrZ1dWcpbcx
D2T0Mb+TSXOAmjddaVCqANnM6l7LawLXaKT6VG/OpuwnWgoiMYeFQcBAhhfNG9bxvrvh4CKoUfCR
tGPoTSKWQPmAAfIZmm7NZaYOB+Kqq/40OMUDxxuGE1PH8zFdCQviQRgZb9iPqnfjGb7Kem3L8qxX
DXBlI1ZPhs6qknHQYV71+ozDH3QGgWouNIvE0zFy+FCnoEU16RVg9jaIE3Ief65b/r1Q/F+mKv81
iYWAWNPS/nSh6FVJ8b399ntt5W9f9WuVZ/1k6dqmZDQcbloqF0S0v+0UCZYg1MUUkpmPaluUcn+p
8sRPhqrpkqWjgV/vDyEuzk+OZqusKIH/qwLD/z9S5Zna34quyXWz4DRDcYHhbLOl/KOy1iHvTE0E
YDjNKku/rIrnWVN2PUMNbs268kBVOF33I3Qs2v3wLp36Y9akqxfj/HdXe/aVDCKQ6AgnbYr7DhUK
I7jjUGYfrROedbu8n4YUCCSE26mzfSu6d7obE2wh46YdExVmAAS2VaSb5eIapOMJ0cMbzEmQq4mb
zPrTrNvfzLX02xFgoTAxOoRwZeY1QbJS5DtUDg8m/rYu07cwJUkuqplQpGE9c8AwyEolGUAb7lJq
hyv5blAoOAoBIpt7gcCnGYjFGHqrNQLay5wflVTfza4DXCPtGXuYNQKRRtdVpSBBQFgfZSK+Ma/D
z6h/Dlnz1GJo3mkck5kYX6PeoPws+3knAQP1FAeG3eD+p9G0n1K8xXMfNE39FDnVPY5wf+QuVSvX
qiquyFCFA4rBjvAvoJhHQ4VHmsYh4LcpcGTTYwYb6NwNJqExubWh+GjtWzlt6S1FDvg4pOLNI07t
Mk3vAFu0Tntg5Dcfi41jWJmh7lskl1bFDMFJy099go027MYdc12+rUFhzdk/tyLG0so81MJzDrg6
71xDVVSkSsOtBt3cLeI69SJr3GUVg35J9O4soYXNwAtQzX/YzqJ7VaZtqmzTY+OeXa+ppWJEW7RA
RKQQ6uvwYxokCNYXwOaav0DM85Bwn3MZnwrlResYlKnYvZtI6CSXNsJXbe4Vo5yi3ZBDxQhBxh2F
fF90xrmk/iVedW/XS3gamTMc87i5qSV8RnVl6oTF/JCoIqhyvEkhr2Cn0jq06ozjFD54XHQSZEhx
C8pSIyHRuFTZslt0rF11gkWafQ1Anh30ke6E5CeHf61rQLgd+YHPoNqVm7RkmoygN4arimGkayWR
ehA9aGxIg26TkF+bWeV8QWYz4uNR3tpEwTWeGodC6x/CtNwPFYkT+PtLkHogitmU6PZ7Hwty10bG
0LD+kGgRS7wq9DuWCdEsLZmrqF+hId7WGB3+igSMXYefWAqIJsjj7VAKBt03FMr145xiwGUp5UXA
IpMxNynWKVN6PKR6BtrQbl4HM6r9Tt/SePj2doUtYpwu4DBa/j5M+9GxBM1agL6bi8iVDj2Jk6sf
G/kcOT5IHdYqTJtzaHvplZrbp7w4OacqwqqyDhvEYWCkE/8o7fXDTMZTgdXdbZzpBZK2BrjL4yN2
7vP4hRSC61ER15MNnShmKmxceIrWwm0dVuIdVACqbRVdDb0bs9yB8cyMRybCm2IrOqg5x97lCuEy
g543VwZUBAL0Yme3qES5MM8nIGcaK68s4cM45Q8G9aa70lKpcYRXuypSL4mOhVnrXoFfMRjoUpet
XQVLDyBMlQsvUgk5aGtr063BrXHRQFIHRFaNmc5Iu95rW0PMYwwFclt4NRHxc1vbTB7LfZYv+blT
b5Ptop62K1v9+fLmFpfbdR7lYeyl2xU/b5d9rkVsbCy9PZhUAs1WEsitOGACdLZCsV7nb9VWPChU
EepWTgzUFdUy68DKIFx0c/HQgtgGpJXoZX6pzOG234oTdStTnK1gUbbSBSCnPC3NwE6VsibbChwm
ff68lTzWVvwMWxm0Ug8VSdLsu6ZR96CQYAluZZNO/cTSEfmZ2Q4BhMDBZZvHh3QruORWesGH4tXd
yrFwK8yarUSDSFO/d1RtzVa+ZVsh128lnSOdBZt7Q+2uQ1HoHM6VNbKtozAHccdT/iCIT4JXB2s5
s4hyGMwBc5atydtINPlFabxQanuHE+qe2Ggb1nrKkg30YxDVZhqUU8dumNxECIuJvKOP9tpchxim
lPU5BYTxuD6XBcIKoGO3akZfVot9EccQORQr9komCCYySeZvCwbg9VVroeiv1a7I+E8YipSeMx8g
znR+BTQuCHus1KtO/gcBi5wGifA6bTis9lTvjGTu9mXSI7G04wHOGOljs9Jcsno7eS0wtargiJ2G
DmK844X6Cj+yzj61VbQPa6GyIVE3JCNYDW6zwjd0j/AOF6qOydugU1Uz4YGRYOkcYcU9wkoTc1uM
7jK1rxPd3pU1ubKDMgCrYH9+zuTkr1FiHKxyS57WmOFLfPB2qOEzz7EeDuUbk4wc8DHwQVOBEoZE
Jgs/i9wOCgHZPyln5TipF3tiWUYoUxaUOamqs94zLoEHxzjiDVa+eVU4ESGpSzUeDVoszS4ynsn+
jkuGZwCOIU59VKXLLSGOTcBJZfOmgqGxh5pLuaPB0XQ/k4BtsfVClLZ1OJmkUXtVzr2RtAT9JFL4
UtHsC8ZF5LXiOTbRb/L8rQEFStc6kpsVtprZO3yQwuojGpcv5sic79PwBqslOjO0i49JCevT1PNn
G8fl87YILJOaJFrIb1aDrx0qoQB9Ues7+LWvg7FRZlfxLVbi+ykc37r6JmOxvi9jhvhTWhxNraiu
tdJSWICSodsP5XndEjnzoj8vKqRMhW0dXCLEvQl3kNFzvIkoPUPjAgnLNoJe/W1Zy4Wt5XSShtR8
JLQXiknI/GHL06uarhlz2TKoenGSR6uEsshg4Eq0GDfRKTDpGc2nRCSgUIq6xVeo1l657lKpd4xj
eGWZojHr1xpaL+Klch3ebW0YL1BnLOhKgL2rlANjWO2YTwgdTpl/G9po8ERj3vcKu2RDlJVbFV1+
VkFayxhw4qgtnQfGAhB3Ypf+BBbCzJn6NXP8w2D1EGhTmSNmE/IBQOSH2BRlVvkDZNp8nvPq7Dj9
N112z+lldubPcmR5xkbgSyiXqjeYBXKWlasZB5HmXLOw+GR5+u8Yy1/anf+8E3Is5087oZ/tYn/T
B/3yNb/1QTbthSSQEs3lNk3+fR9kC1SVtDJAyhySK//gFMMKSudEN0SgFybEv0671Z901RFM0Bmj
4+4S/1AfJJ3/2Smmbb8wrZipYVhzGLn/XluJtXoxbFEDM4ucJ0nMnTs7e9EQcdz196y0w3PFQ7fH
hv0Vo2pX4XzsreVljKyIYyYYmlSQnVgdcXZHblGrZ6sZ4QzP3yA6MawR2TNSG+QMFXS3pL41lUlc
mFjfEpL3NWYxV6RogmSoz2IsJ/bNjFpDO9sl+HF7fYRXp9r3KuEyu2KkGgwdgqNX1nszuPNAy7Sb
aiCpK79IfdCuW9gL7H0aw+sJXW5X5n4Jz3lfVTcESTU7x4qQexQpU4/0pqlRK2XJEcjidxN9fTun
9yXB9gDC0d+oOOhvDDv7Xupm8VYsJ2AIPUb6KffLBo6bJqmfFI1rQI/KvQb6qCARWrFax6tMs7iB
25UyREGbUoV0TRojauSkIFarAWQbovUykEoMb0K0VFyoQpCKNWXT+Usnb5s+vpUqtIfJZBjeColZ
YH3j4n2SIzW/ULcTcTSO6ZAoN+2DXPqbqhVcB+vrgAXVjEhYIi6aWXDufGuGfF9n048hRIxD2sh2
fK+f0O2vks0RjVHO4vfZDbL6WhvxmZOXsvb9vo1SFBZpckUgShCPsiGaZb6YoH1JQXhoKe7Lrql8
o7aSndlmcP+YP8LSHqv7PKEitRDDHjjEoWp3AZNOn5EielDmkxSNT0u000tnCcgRZ/k9qTlxVzMW
//XYGhMDv3+eSFh3X3aI56KsnRd9locmF8SChfdRVdtuuMbFnpCD06SnDpWluDeQQaJ3Azhsgl1O
Cvmepc51RcdzqeqexiSeD/1IPxkpo4+JPD00WWtwCaKn62sLyAiT2KTVj6W9W52+vtOgjHANw9Ru
yq9uyNurpNxcGAmGrVp71D7mIo8ODTx+BmN9ASwOCpJtTm+FxXJ2xXkCmhvqLutsTPZWJ16jVPtU
LIDDGdHPOwI9fKuTp5xC4BKBVb3l+gRZoMAFJ0xNjjl/sdBEwpZ0IIDnYS/NzEusAnznvO15Z7wb
GfN8LWHnLtqsDMa++BoXHpEsoqLqu+26yzV/XUJ6gSXQ0Hi4WQpk29z2tyEQSDDVNRLqjGno1H0p
a/+YyxpunGL4SWk+L06twZVPwSwmwvBEVHxOI5GvMhwuS6ned/n6sBFCcaa2bIL8odB7F7FWHrQt
VLAqSYMqrg+wk8YMDQoat4i89eZHyNMD1ZcENSYd8LMgGS4Tw4yh5BFXaZk63xlmvC8vXR4HA8Na
E0DIOryX6WcNcZZktrZGZ+KcnOgo4u9W1HgKOYOIq1xUaZTdxwx46pizzmHHX8sXthdYYNDgTW8r
8hSS4AJTeeu2n8WwIv2qun2i0KdBfWLvtZxHh7FC9ZCgx45RUzKo5DOHCqd7GcTOMm+19rQiM2iU
N7N/Mdph++Uih/3aYTFvGob9hVj4+8Co4KvK7VA2vscZ2QfIQxwOGkdDwcXMoSbjTBi+k8deq25c
+i4QYQcAF8HE90pAnaDXyCy/T81d3Dt78DH+/I0zjR7H78S8TzLys4ZrMq4O+mrvieVjdIP4nRH6
OqLFZsphR/A/SSWQiuUVuUMtvxusS110iKUW2remnR9lnqVnxm30LYBXWKaldCr2iP1T6ydvkTXA
7Kl8Fnqe3lAPE9KhlLdIZ7JD066HLMpV0pR1ApSiz6UGog7VUO4sodf7SO/SB0tfXxemzqyBkjiw
kzueQufUrHyjeZZpkJvgXvuydDzLShJENPatUODTJFVISH2eMRhfzTMy9vKGdDBezaqF4kNen8vE
8VlLbIB+FbYaxa6h31qwRSLC1P3C0lN2bhR7ERAGG1llTPF4bGsTIX7l3CP32JHAZTEUtN9pMk7o
Qju0iv0z8Ji9lF3rSh0VRRnBVIDZG+RKpruJU1/TS5+ElX1f0gV0XZv6UQvYQh3J+BLJ3UquhlvG
DiJEZnqoNo91hT2umzbElLJ+09VGo1knp7lNSRQoJOxKVczPXcNIgsshIsewxK4El28fTuOLPjYy
6HtsaImERN7E8prcDUYvsfMoefpnqhTE/xNIdMAp3rQkCAL7lbS3jHNaRCrh6fZtS1JKShANVonx
UtR9xBxy9lXDpoOz8tabaZmUej6mdJruusGt/j2QL3uyUv7zMhT96p+qLrxvXf8jr/4b5Wj58Tfq
C2g82xf/5vVB1wBuBC0Fvh1QK/zRb3N5DWGG3JQZoHuw/PxhLi+Z4juIe+hIdKnj0PmL18f5yYDS
wjDdAsIt/kGvj+ls6em/h29AvxHAWlT+t6WYm1u9+jtyQaGB7l1C2MpbTz5Nj461Qu8motTvZ87x
ri8vpQjfwtHIuBDq+k4xHFT2KZ2vqnXS07VpvtM6juUoN9FiVKztWMvro1Yw8xQHSl3t3DAzaBY1
WNao8kyNjX0xe2tfeFLOzhEqK/vAonutmakUKueq1iG/stw4vEHAwr6WQfi2hzy0DBMITmAi3xjk
jW6mmXS0/NhiWEJakg2kngw4COe1lyqsTtdQeH9nnpC92LdoUe1/bZ4QD7uzq0aEFP0/lSekyCQ/
rOr49M/lCSX5aJ6NuP9jntDQbdkwUInccfh/LE8oLKll0vkPeUJrnzyqujb78KOfiJD15rmLvGVm
EBs5X8R+UFAxVZnU+Xd5Qg4hzxOu77/mCanUpjqX7f/+PKFmDamYw8CsFB21Krj/vzNPaFZF+JxN
OWHjdvQMZjfzVoMHBmLctJ9X2BQ1XONyUlzZIFsWPcu5NulB01b1ZWlYHlQ0g2gUqGN0Y3XB2fJJ
yVp54AzDAjLBXofT6LBEgBrM5VlnHVuxOeJSdRBfLCGphRrywCUmatMkMNYYV8jARf44CPPR0HjU
mbX7c/816QypEeabxE/NNAlxdEOeCOFDxWGYk+6Glge5f2rzSyhzHqxYfNcBSQxp9OtuDKugIe/d
XVsyu9tw/JYR/sQczH6B3Xer5xkhwrGiQHcbUG+VfOM4dQKr0ZybcRWngog8f21pZ4vQfIf8wlpA
rGeKkQjtKUeQouZB7fQnBVp/zuwJliHD3eRWiugmiW3p//zy2L1l7KNE/5Eoy9dYqfXBKDTjYKdm
EthsEkAdYsgmfwbhgDmeNGt+WDBd7Il9oIMkTRy4teyR8jgfxrqYJ626mN0W8YLPw6fijT0dSfJB
n+OIpgGF+AJtNWAZbO9ZPwL27PZZHdt+Wlump9Lr4B5KtGOVgWpd4/qoZo4nhha+FXsMdnLsP2Ln
LWO+SvGMamcU+lPVk8yn8udmWzLi3tLM4onvFHMgV2hnEi3/wKZ8k5pIvJpyZWK6OJE7yUzxZ5xP
10qY9bs6X6wg5H2CjFPdZuyiKcUJItPWIgsQ0RBisfRAA8o80MOXnkXkgCojUFQ6fwKNsuulJkAE
G8jZ2rZ+K+s/p8OrpeKT1CmZ021DqJjjDuVb6uEiRUXFGlH+D/bOY0l25EqivzI2e7RBBoDFbBKp
KyuztNrASkLrgPz6OfGa5PQ0R5B7bkjr112vskQi4l53P670xITiCnop2HQPSm3Exgp6QCmQA1Lk
jCSZKW2yR6TEQnsc065cM79yyqBjUr6OkJMY00Gbmn00BGka304tOERzJKuZKT3UUcpo591oCKU9
gmkExL1UCmrdFZJ/MWys3A9yaXKXRG7NqhRtN7/OkGHZ2yMzY5XJ0HuRaTWvumuS8pFLn9XkP2hX
j/3eVspuZutovP3PpDTfWKm/eiFfen7FO6ULDwjEHkKxweqjGqf3bDHB+zlhz0k+8BOhfLbsnWnr
KsW5wqlNn+j3rNb0i1KlQ+RpCtdlEHeQag18i9WL5ptECYyOKXtEYohSMlJ2dkgbUAgO86wXAexi
3bTLwQq7COSzUsphL1Pp5SPZD6PJu6BYz8jqKfJ6SG42msDtI7tHyO8OvIUh3k6OduUOHPnM8a5S
68PuUhq3kaTsoBywzschwYf8rkPkH5TYXyJfov0zbdxlS/kDf7JYD8zmhjmjbSvHgBV3BxsLARev
I2uGb1ATYUpWrVdeA2ye2yVMYTPjJjCs8MWvwmsLn9LW1/QDxUg0A5vMgPPghfulrivKN6zXqaUp
edKp3rLptCqIOwfSi+ny1Jp8XVRgLfvo2RIe/V6NoPTPrD9k4V8pEvUx0ifWN+yN027b2jhbyf8t
/BbD1Anfe0cMG5HH9wPph8YXR7nwtcVsyLziDhbBwRhfB5ppas3H0DMSfF7K7pYmmENqOfE6AkzI
/Iiuk8BhHbP+1UuWS1qYJAksnRdDqHAi5kQwj1SaRLwcHbKIdr7TWDcFki5q/PZcm9wcXXNuiSDm
iRF4cuYF2wuLqoraeLO7+M1MVy/WjpUwmqd2ODDcRPvFobWsrtybWZp0I9kzfN0wyPN+3tbeky+G
NeGnh1BLixO0XXkI+3lfZbV1TMVy0PQiYfGZ4sF10y88ufc+aHfwf+SlvcoYdlXHHU/A1tulFSTn
Gq3SM7HYJ3BC9QFduiMRhqs13RlGqbMZUPUlc8LX0Z3Rh5INSTlK/pxPYXWEELFfQvJdqJ9dFdqj
DTGJ3qoKQkd/l9v2NyJdth6X6pOt7XU/RUfR1E8OGN0t6aeCtamVnvzlaGSGfQprezvX7WPjiCNk
5nNokfmGf08Nkr8Z9YQ7BdLv3H2NYbugvFyz3kXz92KLSy3ohpYfFSbjjO3bmAZdljwUY/LWz1V2
kOpcyzCO5tOxGuf2dqCYeKyZT/OqMgBFTNHeqummCjnFF9UiyjeWxscq2VE5so4rj8SjS0+n5WP8
HOr+zhgaGhU6gWmrx7E3ac6dRa+T10znf82L/+C8iK8KxeB/d+lv3//s0YfTqj7kb6qFrZuIEh7p
SNcxbYWs/NuUCB/C00E70N9g4KviX/2VCOEyCtommobNf+CwnvmvKVH8ht/Ls9AtwBgKBI9/xr3l
qpf236ZEV/cF6yTGRAZOmxf436dEIlHLHHOvW1k5kWNH4F2YAKhgNaE6xoBxXnZpuI46FrbuGGKT
ztxbZAWq/oSyvmgJim2EIR9bPbWBb7nm2wft3qtuDIFLpO36s7+E4XUpog+zusHnpu2cauo2lui1
Hc3Ih3bu2gDCenpjDCmUXUSFxOiwNZbmXT6M0BFm9eCdKB+kVk9r9IeGAs+gL6j7NtrR3oHjPfHg
Q06O6+Wk6elLH5rpden1t5697c1Yv/LHEZSnG7LQt4A4YbQ5iH641z246dOkX2JZzZDCtW2hN+1B
mtorQaztnM/PJOSgns4YkKPOJpvwCWE0Rv4dTG5LhOS0ZSP07hPFdQfI+K3Kzgckli8vA2yh4aJZ
Mv8NREuBDWrVOfJ1tvyXjuqboP+WmveDO4S7Q1UF4OG7VZzNb5MVP5oWf5JXxE8LKoVXZTS/NyNf
s25VO1dgHZr4YQVwCXd+FZnYtHscETkXpWb0Lh6dh8ubjz10xYbubJASk0UJQHl4TVtnn7nZu9dY
OyKotCY4OA8qMB5BlbJctazC2A6jd269Qu6cUHsn8HibKIfLhCB6zW4TTwb+pZhiAoKM2b1BwKEf
/HbnZtRz4pWgBKlZO4peYdFOs9IAWlDfoLAbxiV3yWHyjFxZkY1Lm6x3zb7aGcUb1S400bds8JeU
K7tTjy4cJTZ2dFOdZ0XW8L1i2w2/oiTUDsLeiGLz0Fl6dhrNaTj0VX+svRDY7EJBO7HSZuVn92lF
exnSUYx58FuL7Ph5TMp3Q+hbH3sA8Xi5px9SW6U+WgDw1CGIYhz6JpeZbDEAliuaSIuRIa6wNE35
QJouWj68kkYYzY+7K7p3qCsyNJ0lBSMVuUvjOczSu0wH/q44Jm0TQhxm/bxpFeWEQYqESUJ6sKcf
wjVu+U2P9lT1JTgjLH7JE3slwaa0ip+CjLd1Aaq4gFWKZIiw8tU3mWKucL5G23mwvi3zvQbKIoro
y1RKArAWe+ALIrN/KiXnIkV9N91AmjrsGH5clsOijb5Cpz/PDGumCnXFVHPFFqWAdu53Gz97cVQA
TJIEq1QkDDcfXXnuSaqwWK5iY1Vf4O+yiJJFXfc0OvGbp0Jm/O2bidTZouJnBTm0kDxaqdWfLvm0
RgXV+sa7M8twZ6oIG7f8mNAxqba+Rs/r/BtW4DkhGaJvpQrBzaThdBWLq/oIfxTsLvJyv4I0kKgy
9ld0GlDo+To1+QPGJ1zmKm9X03IuVAQP7PSuVqG8ukTkRP3vw47WRrhObVJTZBt697zrA+rm2pVp
NLi9im+bzJ85/ozmqceYDluMSKCpwoGNRuavUIHBjuRgl6OmxmQJN407fRsqXmiSMxxU4HAmeZio
CGKpwoh5vA3Dhg6AfnjERu6C0S9vDb917sEhbJXV8HmhzWOqcGFL/ruE1GOm4o9w0Vbk+MWKe7bn
LONLJMSmPOcXORGdHMlQVipMWalYZXhDTvGChZGSvl+xSxhiJHFsYqoqlGkQqliallzy50Rmkxv+
KilRYPtfcU5ynZM5vi0JIccvjcwnXY6891QMNNPbaeXGxWfseSerDckbmbwrm4c5vrbJzKs4qa2C
pUyiW6eN4l2nQqfdiJOVFKqu4qjYjzeSztuoP+hGDXRfYu2SIalPHHVawb3OhNwzTM5VbDT8ev1a
BCw3BXV9udnTjWa6tzFnR5CP+RnZ7TS6H8qbh+xc8CMA4RFO3+jAOHYwiC4yvM48ruSh4V7cynuV
xkBBtoZ7Npe3KU7IwGvLh2lsNjjix1X3EXO5W9H1TdGSC6h5eojz5SH0h0eGHfdkT6PKK+lvcGqu
3fE9TNwbguhYaFPt07Al3pjmLh/jB0t1/1aFmHkbQwNxx4++4vU4UzgE7lxQ/UTpKUcRzUbMYk71
3QvElZkeduBIKAY0GX9A3S9xSi7fizSPefnshfG4psS5CAy6Kjh+Oobh/MfhlhE0lfbcCPcLqskv
nllQMt9tPCtE9xr0K7IHGJhjABJ26n5KM752armz2vlBWFRjFI4eDK28UGf6ybblzUzpX6U0ts1S
jkV+bwQu1JU+uZ/wmN4yJ/toQmaYdNvYWY+70zgT8X2pGooMhEHTZg1gYiEwFo1PiXuV1ftyLL8G
jwKcsbxvKizbg7sb2gYT9KS9JJV/27jpqTXvYbWzJHkpi/IjiZC5araRxoyRII5eo9bDcBu9khLZ
GtgAzGh8Jmp+ttuF/X15LsPsMFm4yjpxF4X5mdObhpBreZqofsM41146kV1PufEwle7nZPlPY/hM
ofWnXKyj4xTrXnsgFxWEzJQOSRQdS+XQabd16Rya7Lkb+ud+NG5KNyUQbSVXvBZE5fouvoFSYDnq
vcrWm/bcGX9FllHYU9ovDAVb0fDTsj77ZErWlv1U2/2ybkWK0xF03uiiCmF4RqasJ9SMzzQzt60s
uw0VrxTn0oHYeeu8Nr+6TFC3hvmy7i6V8tdJ+CS2l+JQLRKL4Ih/IcRD94tkR5QRQIGVSsALqtWK
frpy5U1zGmgz415cI/bO8cWJOrxNtv5t1hi4Zt58s9lFK3pjcOAKjA6VQaNeGD5TGLp30qTaSseh
FTyzP2Qr8Xk2FYSwoXjkIoTfY4lvF0+/s5p23FC58DPkJYF9481WS60UcXh0X+syOflOcTYFPldK
hk6mwTYGF5eT1SfRxU8KfY5XON4PfQSvvbqf53Kfx65P4Wm+bXp0xRoO6MbOXkxTlAGI+SgoJ++r
w1uM6nkWAo8jxeYyaJllCQoEbYjllGfPeaRwNpQYH4dFbIRIvrTSvaV58R5TGHyMFEUkNL/9iehl
TYZnyvg8QnOuknrimTaMSRDVyxOxng35jJwsD+U79Peuw2J4mCsNN35GGkjXHzBVHygXm9Fz+X5m
miP5Xh3os6NwF5A+oiB7BOdLuLwWUenf7sxDkLjbGo7QjecW93TWvVmzzXNA3wEbRGhlmecm/PU+
hlyP3E6ag/TAv4YFOPZfcrAWR5lb979es5uBneE6uy4gSF6H9bJjA5eeuUQpfm55Kmo3vk9ngcNh
mh4Gr39Lyr5+DrEn0p+UbjK/K3ZCRJTpWLa9TfP5mNE9U2v5TBqtf/TH1jnO3qRt0oyn5b9Gy39w
tCQy839Kkbv+vf16/5Ml7vcP+psESbsD57xwCAFZQrfQGf8yXLq/QT6Hd++TU7SFsHSy2X+NBhm/
oT0y8+mGq1OXoEa+v0iQKgBu6Y76M9/VGTv/KdwgMaQ/DZdEg3hvYLLzMOxhwftTADzJ4qQfTJ/n
S0SgoHuxI0nvW8dG2GU1TDQcUGjJRkWfbHpWtaa+Medi43e2u1mmVtJBvRQkahttXfdKV4hYc/BG
qT4qw7mQnv9snJGQKKxOjZpJL8FuMOcdTl+11y5ZcPcsuovGICBgso1l0H3N1TZcccgDPaPGMQoR
NJsDtv0kqOvWPEyEZVb0qAlgSpSo9Lbc5WFzdhICkiKv0s2QY7SiqTxap2Mh99j4Yxw+7O0dtcE3
ZwCILk2HPvwFVvzEZtS+P2Hxj28qxdmv36fddIz1ZSYQw9ztKr3AVcqBkYZEKGkp2ieO8WML5zsT
idg1qsc9mWJnbY/JBVohjgxUiVLpE+FzhVjRGgQzq9lbR0rHaBA0CGvRdNDZb1qtGFQlNUBuvBxL
2foXQ3M3HWn8ldcouwzQKezDcUabjXUzT+I5VYoKc8s75sIBuYJVdM86zVb6y6yUmBlJZrQtmEZK
pYnVXsusCDJ6otx3Y7EqZBddasSdXKk8g9J7RvmTKv2HLsETBxmgmvLBKLzh2JjWbvY5jzKlHokB
UUbpSRZ+OSqEqLOJKVkHPNRZe1UUBjCStQSSVK+0qUGpVL++Pd0w70qlYJHIZzKN5vpa0yQXQhbD
GLoFUhDal6FUsHHhZEIVm5U+Rs4iC/BgP2FH5ABSKtqAVdm2r9IpTa5i9T9R0exHQpKHmTgpQSNC
GTqyblgbgDwoAacfdpP1Zh6wTljFD069jKoZFtvP1DM+WlqKMR2YjIG/eFjgUOrc6gI/ZxedKPnV
4EM5wdLt7DkXtjG+iutcjbO8WSZq6gci1gRjxJaSHurDluYZgtqJm8w+TWh8Y/9IaNdioul8nuC+
xSK5WC6ZpkaLTdX1nOVDjJ3Q3jEeKhMhuJFIjw6EGoajiJ1o0+liBzbYCeJw4EekNW90JikLlCy5
6VBg3dg2vcrVYXYJDFDkTg1xSGZl1uPPuLbuwrQoiWaHXWDX1XuNZhZwoZ3W4HLTDTkrcdSzcrtA
INtSnyU2+dx+WXGVrQ1e3Sq7ohGMCC49lgsPrCClwmdtTo15Lahin2ieWonMoMY2N1l76s1NW69L
XuSG+wj40VDRMo2iCUbyGdxKJiyz5KqtpbtMXkQFlc7qXl3P25ldS+9gI5yX98JgSjEi9rcObwaG
MfwFjCmic3EnNNj142U5tnh1SAW6r/OMPjD4Jx/W3ECrYoA8ye9V3drrAuNo4KNknXqbaMXQPULO
3mhzAv8uakCUtgZB/gSGU6a/GdqYH7WWimYvad5Kij53k6lTmGX6rK59+xLOr24FGKeBB5hi81pn
NEw4qmrCp2Y44JmuXSH3bDSgvw3v4QO9VKmiAddggVPFB54VKXhSzGAWxkAFwAjzDfIUVXhJhw96
HMz70DqbJG8cyUCSVr7F2gLSlis/fSqn1iJnPODetJnBcLhgjDNwxrNuUdNoZTv2bFuS58nKAX0s
u+JTjuTqpJe/4ljeFHUBJbnsh30MOBmW+FroMqDx/EgNZeC0vjwBYgUr4wwvsECYGcJJZTTD+EjE
ndjLgnGMP1mM2d9HubdnYTnzjEBqBuxcKsKzHn7Hivhc8xAyOnhDjc06ZRrlY6P40DWg6GzkCc1m
zLijB/5VxsO7SF2idY0T3XGCPBBC0HgMCOZE092ZWKxBfLWwVtn329295dkv9iSvJzJ3K91nEO7d
bNvEN4lhdaQLZwomaUuGZof1zckopbJ1akmNKQsGp0fMsyHS5a1Bb1LXX7kLF0ljafARx3N7qvW4
X1HKjiVuzHiV87zL44XkxxKTiM1cur9LkGS1pZ/1sRA3bZNeRRoCk62TzIgK6jlH3uKDxeOMntdD
xicitEoOLU2Wo20OB7oqzzaHAa+o2gkHTbuv2mbfjP42kpuRZvp9XmIQ18Kl5R+9QzLPkrnYCw9J
1d2083Dg+8zbQJvDcxhTj5VP3if9ey90uYtHb8aRUzGkTY19yLRivAxJ9hkKxsYG+Pk44otouJdX
g74tCmE8eQN4d1k4OAS5rGwsIF17d9KOYL0piw76vj4miwQ9BI/XHY3XZazfNH3UN3mazYGbdzeE
D1lA5ow+I8gJVBvnqfO9N8HctGlt4CS1H99Avsc2JJEv3fC6lXxoPmbJ1ucIMeaIjUqU7vDSHJIv
HvU3U+7cmA32zzQb56AeoGclYBlMivn2mPZ+mshj7m5yZBudGrF6mjdjNOibBJxfohPpHa3BPS5w
yqDQYagaql1fYF2dI281Jyas4cLnTevl1wMoORYu7I9Yn/DM0JCoxRSMhrnrWbIHA7rmWOnHUSHP
fZNSLVk9W6n2vZQWzvvEZSronYdKN3e1acmrMn2u4/q20kugJCGF6gMj2SYbEDYNhjRzZDlX1uZd
V7ERpw0Jxp3k4A1Hti+gC89TxlHPDXYviI82Kkc6ESgdVLI0VRnTWqVNw5ZKco+TDo6evo9m9mB1
Kk+jxL9qhIjrMdOhw2pvRn2MOcQ0beWrfGtqbHWVd60IvjaFFe5KorAlkdg5odNWEJKNVFrWU7nZ
xpjoOSWFGbJVHkc6m2NCtoZK2+rEbiuVv3X89tJGNaverg6P1Y1XEG4ktQDN1H7DpKYfCKMSWvbr
CMEZKjuFb2AMIVhgmViIpC/etzk9Z8SCOfOuJpUTzlViuDafYZ6uSpUkXogU/2uq+QenGtMw/8+p
5gTVKvnzVPP7B/1lqvF+M3TLhoYOCV13QUhhkfzLVINDkhwPzAPGE6QzIRg4/jrV6L/pCG9KTXMN
wUzEwPNfxkrENSYdTwd9rpNw+6cks7+baQzFTxeMSQC2HEdBr/5gq9TrsCsj01QykriDJstvX599
tWN/R53zw9KP4e8jMuiy6Lu6+d2x+W9lX9xUSSm7//j3v2tRA6PlWgZ6IAYf9S1RRs8/fEYuDZ5G
p3q78ifsTTnd4Vwr6o0vKM0t9Y9Rg6oUl7uojzem575TnHXdFcurMQ/BH6TN/+GViF+f6o+eUlc3
PLDxjHKEevG8/slTmlkoRhxvzaqrqwUSu0DMwQWOJWcrusjcuTlbaUmtIMeL/6Q7rD793KFY2R9x
X/g+KxVa+CrWx31F/ohKr4Ajaljhz6Q+2r5LYqbBtqxyUEDzy9Ly3LVnD/O+GlDGcp/OE5b2wq42
eUX7h6NaGmOQtlspOU2t1MI5QQXuRnewT4xuDXyVZMauMbXxQtyvytjuITixp7VK2mp4cCW691IP
E82ASQJYk317nWqHbPG2wo2edRESWOqX5xar1W5olgNbmYXW6NkmRDm1pynTMbNe562m3ToFneNa
n5YbOXsSj4xM1/kyLWfLrNp96rkJGpfR33h6wBrYCUYXdk3vynHf5yGGovwoXFQ0vevlYxi7r362
yINRkiGYuExo+R3HdhzUzHZb3Cz2pumqLy60aXAdlen8xFrroTXLdu07stgD3n/yYoRG3+sdVoyJ
tWO64Shi23tqygi3r1zzKtbO0BpHWZj3yD/W06yHqs6DxpFkuo4znFxoLFSVdDS2SBaBFX8FMZpv
nXjUVT/294RyBOHXzF+HvSpDFQfaceHmMoUS+4W/76shRivTaUf74Fe7+PyAey1ZtQtg+zzfVzAH
Sv+297mt0DE8pIx/8UTABx8/GY6FNDkPdSpc7R/JBFVLIzvKpr8vOwXRcYuC12O9VSWMBxBkxE8G
WyUsomjlm/ibDMAiLHABd3UlkA+dELTUz7arc5/NHukx/rLd8nNIi2o7ou1lHYtKgWxY1Sao0gTx
dKy7LSoXrrlcTA+EXmRenYR3tHv7aShjbR9+2IWwNsIx7k0NM0xrwRr2IouVrFY/u1r86HW6dU1p
CZa5bEuOwKRcBJRByz1VoHOdHZbvWn+TmUxV5FfvoTIlm8FxGZ6TJwGkI5L2jP8rZw8iAjznCW85
6ylCFOly+6ZMFnoOShvsv+kTamWfCd5qsA72tDF1KY8unqPFjD4d1M2wKNxjG+0ATuFNwqTkeNGH
xtN41U8IFO5yB3eMQnOse85yHzcFdzMcTzbOJ5PM9cqdsCJaTvLcM9hOvIT15OYa+LIYN+esecHk
0C5jpDW6BWCioYOJPWTaPtLwyclZ64N4MA9L4nFiJ9E5LuJXhlDAF/wkJu281HAiKh2jqhqnvfpM
NPinncB6zYR2s2uyIE8hQd4ZSU+oZG9FxFeVRwx6/UnlrX0PqikPeHQBOqqz72Qgmjxa2rfM42oN
HnVajypH7KhEsckFjPhNfiVU2pgviNVPad8VIfoY3WLvaO0U3/JQqSoYTb3KLfcqwcw75blevGJl
GCg8aYhFinMpAJ8JE5ao3vXSbRMHrF7oZhTr9CyB40E8+io5vagMtUGYWqhUtZc8cLF9nn0lQSyT
IhK3gamS2NHYXjsO2ezWGo+LSmvX0SuiG1FzleOODCVKqGy3Tsi7dbybhT06v07cUJvY767AzwU1
zMVGa1Xpna5tGumVZ9vIDpVKkutx1ewy/WIzI/F0vZOF9U7ykuRKPbw4Ko3uq1y6pxLqQmXVB2yh
m5hAmEqxu8TZU5Vrt1TCXRQhuK2xf0UyBS1F8DGri8+kIhQnVUKetZPNY/2Qq+y8r1Bn0JOf5jq6
tkXnXc/OQiGok26icOaxbUtGYkxOu9BHIEttMvooPYzAxMbgRW5J6UTkYVHQW5XtHwj5xyrtH9cv
CFENM+1waykegAAMkM0QAkrFCmC2I8FevFL83O5yCifwfKbLRvdHKHmDM234hgur0g6l4hCUAAnC
zv2akSRdHK+KV2DyDyDmy9cJlAHiAWAVRTeIwRx4inegK/JBhjmOuVQ7huAqVpXiI6SAEug0PmcD
u0JfmTNzYAoQKawgjHQTTsKcrousIPMGKSNf8G5XxdpOCx483fCoK06D9YvYALqhMNr8wEnKTizl
go+MCTQX1q8iPgjFfnDlcmV02hl4WxU4km8av5fNsVFs4ZTEyLprnV2VM8HKaHaOiZa+OX1hXEv7
obC9Ycc+mebefHxJm4WP8r8tO3xpveorMsiTTXDmr8yOfZZs2Az5XEZoADN5LEBZ4f+dKFs2UqQl
FxX5mqd8QaQJXVYm+mVe1xrne05GutQoZa4R4dHuPrP56tc/N/b0Pc7jiCLLRile+KIETgEvfc9K
uCuj3RwM5XSrAIFv8DT1qxbCCvbnjIYVd18uKdNZDuQfHkPnXrSfSbTQLJ0QxuTib9uhAb/oEBuV
+viW4/dm0dA/LyJyVk463gubfeiQsP5gp8Cx7kWHuk7qgPV6s+LX/KueoweEcQiA3QOYOokiQ245
qhrctjUrKN8LnKiFmyQTlFu9xK8MlmnK6sdRrYQ5GFn1iI2eQgdvNEz3sh3uGw+t1DphheGTW+Zr
6GPWTEe+V472Q2XBgRQakUtRQ3Xp5FM9b6Q7rkXP06WSHCA6Oy9WcdJe+fUXYEraeML7pGdOGrBn
rlpnYW4uMf1TVRzwuIK+KbF8+jqGYE3nazFJ/FUSJ7NMJ9DCLkwfzb8vwIzAHrOASTSMhlXk4zCN
8iAstINwKyCqA1oYMEt1yoH0qg39kKd0bs+s+Be8o9jmxa0+7N2Yvy/MmO6K0A+W91gFJYEjvQPg
4RaQ1d+VOteTk+lGNArgvgX46L8xgU4E6Hu2RhoebiuIveo96zJQovV5bOU3MzkZoViHAZ21N5qI
6TOfFXrDeBKmfz9qCd+WCJNRMrFoNW7D3l6nVnivSe9rqu+GMrlnAYc82ntwNM0020xVgPUHLU2q
jescPrJTuPhGwYPQfSoXVDbb1j+jLr/vzEdKTJ9SEETUHdxMsnSui+yYJs7OwnezssrHeOxZzPJA
w/NR4znq0/OiWaDGY4CsYF/dOnW23RTbWO9vABpdyEVUfD2pudV0Uqb0ezX91Rw200ZLsp/Yb/VT
l1FvYqbyPBIkQOF1uV1DC9mmU/2UE+Qw3Mgn9F8d/zXN/qPTLObNP8xIf1dyfEooofi7afbXB/1t
mlVMPBzppu4CPyCS98dpllieSX6QWIQHou8PBlAfNgVkCs+iRYzUoeBVqGmIgmPL+w1ZjUmWPeTv
IIx/ZprlYvunedbVGecE2AoYGC6eU17fH6fLCg+mWZRodE5oviBUkPAb/UdfFGfYpAxbYXdbgJhY
pf3OE1j6o3hvFCVrLiK4q7G2uGWhZLPcXyda8oFIiWNGPAxpr9wsTBJap5IU/p2pGft2iX9qerqo
H7u1p0s++U9d4mVB7fEM8hekCr0EVtPIzwo1YyXynyRlNw3fA6hdhzrVvMQjCIy84g06scAtLesN
AeURLzXMhksZslPuYz4sLB2uau6Twd5v5ekUDtoRuebqJx3Dqz7GLzBRfdG7rOhjDLBqGiFm+LWw
OgfSlT24VHGtHAnqt6h3jjosxwVExUI4MgVBg0L4I6wBU6BAW9RgtmlzDCWiEm9tbt+JW8Mm+F8t
MQ4qCd6t78afJbVuSpGjZerLoRznsyxYJQ/sarHpJYTkPc7/Ao4U5is8ifjMEqc4GcBbmaHcR89q
cBBZL9kYcu45uIaGnJt97HzoAu2mToGsYnvZw8FQ0S2JVzYJ34b0bNUdbTLehgj0Y5hS+FWbuBlJ
qtCFi8oG+lbA/2OfjNMDQvVCdivSoldOncvCrbgoE/HcqBCi5UPvEqnHp8F7m6bVA3vw5jQ63VkU
+nuZ3EUsQWlwYVXhVPw8vWjvDSzmB/9SjoNxNWvy0pPZaE08+MOZfppNbWEBNsv61McRgAQ5XaEU
LNuxwCGamJAH4n47+tZuoKz+KFku2yOtNhIJjQ2/vFrckqFKO81NxgZWSsAiMzi6xNMedV7Gnr3J
q+bTIWKZ43OmbiUMsKxKZbafu5KwmU4mwWHrPlXGF7ajcD+Z7U52c7XuRP0SRiXpkkm7KaoyuthA
Iky3dta67dNRzy/GoH+gzukQpWNeYkiaxCm4OYbTRfeGF6PGXQH45Qop5tuLjB+Nd4OvgwOf7JKZ
GVFLzh0Qt3l4wTcWndsYf5U+YsNKyg9sG9pr1rkbKW8sBqJDiQVr5XsR4orEskM7C55I+ciAS08A
CbeNnQP40xPUU7fYGi0rhaTFyBV65rM9dD0QjSy7Drl3uQJXB00UB1OhPKIpN8+UAhontj/NqYOm
HOhL+QSEw94sdBiRwo1QoNWaRaiFS6FWL7FawmRqHTOVsNtw8VWRvQRa3c4bVxteNJumvMZRC4Tu
zpRaCZ9AH1a6S5F4UbDW4X6vVSyDaM3wUR7tMZhM66BXCTRK3X3i11K90VknCdTwnUdLNYIY/HY2
b14UL7tIq/hpcODVUXutifYJVys4B3UoTr+Ox7iXZ29OXxN1dBKK+VnUYdr2VzgfnetlWJe1Z2wn
dey6nL/+cCPVcVyOuMb9pH3JqdHjMEeWWbL0PDfluyYFGDx1sNvlo60O+gFPuOke/Nq3rzPNOhpa
DDXYay6pnqzrSj8nwn9UhSidz01wk2Gep9XCCdDquLdPOBQr84qoJGGPwviwO1bWjFJ8y2wcoT4e
1JBUT01aSlnIK/spJ5WHWFynAI5vDYeQ2cx3h99F/oapgW3ZliTqtOfIzsa15XiYt2Ffef6+KXtq
gbie6fr4UOMtI/XrrUjGgHPU3rEuMt85gwM8ebmV6YjJCjx9k4ob0fjfAus0F+PhvmrcbW+hrFI7
tkpCWmilfW9o9keV3S1e8tpn6fOoGqIma6MX9mXu79O8Oxsp2ouPmKMVhRJ976rUw7oOtoOqW3ID
Iv5suc6qv2ERYO6Hee7IuhhAQKePUEO5cFj0LwpkqRmXkLXRqsySbp0Lqme6nmCBtNmm2efJA7s3
EOmSxoWU50+hLw6UIX8hdLM2YviPv2jZaJ3DqoNSxvLqbPSgsjPJs0ifuf933j4qXGajsAjoOsGz
7anDpqmvSlPsFiv+VJ/IHspzrANpdKZdoQmg3iM8SwdhJwljPJnIwisMLLdJ0d0lrg8vrSlp+ejb
Nys3r1DW9wXhrhUdVzSt+bjcMp8Zg96VbzowKaXN2BFazT6GWATnaDqptFeEWSRE3mzA1OYtS67M
SCjQEvuqKa4qrYGy6vX4z2Iar4YfSy7ZuhAZ9FlzxAMLcUazznOYTphy+59a29tx5wcInQnad/7u
Dvmh86ynTred/2eBra5Mf8qYmDD6qSazIQ5TSqpaSf+wwIZ/N+uismoGaV66SXQwHuKVHQNQtZx9
n/wne2eWXDlybdmp1ASgAuAAHDB79j5u3/CyJ4PkD4xkMNB3jh4zqinU75tYLY9UpjKzJJn0L5m6
iCQjyEtcwM8+e69dsF4S1rsVZfd4Iw9mk1zaUa3rqbkNIr5bMY4/oohOBQ7EBe+JML6aW+8EP58B
VGarBWDjagjmRxWYh98d5/6O5P0PvnaObx7VGB69wX/82iFEQYgsQAJmXtes/bbejFr4+flSO3V8
n9nesVfymvn3qupH+l12QXZXMQHY5EKk3b4lEj95kJzwMj3NjfqY511ocl/m2qyJXesuM2A9EIZO
hGl/QW//w92B+DsvPUYvXnwHaV4Euuzj9y991VLtXeiXXmHrXw+yuR6t7GmkNULaoMCYB81VNMPu
ATGwbrv0KpwZDg3NlAegyiRTLXdmDmVGEEwcxdfYcTFzo74eRpCdZZWtYzztK0ex8yzY9ZdJMK3T
iOotIomIGw2EHxJxyxBARy662yb3WeVidogesEGaK9qtj/+ZVv61acXmKM9b6x+H1W4r1b3nX5H6
+qOr8K+f+JurEE6eXsC5wnUZQAKuqd8ia8wjNBVrpgjzx58mFs/Fey5ZwvFZWAh/P7HwDJeOyWf+
5KH8W/s30mn/3+2ExZ8lpW07IKxd/08buBBCmJUwVpAOwqvX1gnAN9tYaIlCETH6u3EyoGvBLeGY
tK9nGDvSQ1eM7PrdY9o5uD1RCSzpfeMq3A37QTKR9Bl/TCHDl8j0uiOE211Ro/bVsYndyETvSJru
qQ1T75DZsKgiag9MUX/V7cWLH5LZ+5GiYlMKVoptpPplBWgAM3tYXFS9LDsnnL91NUv1xR6tjZNo
61jYNFup0Ict4GbrIenA/o/hd4sgisJb9iJLA6tUhJCWLAXtm7duWz5hkrxXttfso+wae8ld0tE/
Ih7Lyk42YZ08yM7hQD7saqTN42Av7d7N8q+uVWD/ponEvzdFN6GcePa0zldIVRl1ySUwav+h98f5
4Nuhj98hT+5LNmi563b73p7OTYf0HaSkUlD1Wg4HGg4OGRsSRC+se0w7w7aaFCysGYSn5d80zqPl
NOT3sdMRis7v0tm0jgmJDn0IrVvy4NTylRRKHsqiktsecPveNmLyzt9tUF3HOAc/PC4JFPaGLuo+
9NbFVJlb1LEK3WRTN8NnUPF/8iGX+yqYPoqIA30XRqAIyv6R4Nwz9RyUoA5SXLwquBQ68lSb4d1g
y/HaKZNi26fZF2PfwHmvAElLJ4Z0XJwaCWqjOU9Pfma7u0JUn6LntNSq+imbnbtQPKThEuHlbp9d
0aTb0SfT7rbLpbeNLT/qcBsbZb/u2S6MDcEnegU5jJUkP5yeeTPgypUMMAbu8DMZkJdxnMDrtcGH
2fQHlZLxDTMgx2PVfrZte9W3LTdg5TN9TYPcwp0Y15jLi5/tRHXJD2VJU7EZoc9vKFNzD5zfIUwt
QzFfen/OqHR0xoPXRRl2Vjp03Mm6ZBqgY6iOvjxOEryoWD41ZicPCWKIwdvMOo3XFFz9ipFcDEx8
s20f2kav2MrRvMoZt9EOeaqUFil/LGuwf9qXyAX542r4j4m/h+bAtYQKxA6rpLSktfhbNiYi1zlw
50OKWwVLTd9D0yq3I8dP3l8N/sV8uqujylnbiqVA6rlgieygQsKzMxRD/7UZ0xIibwHSxOVwiNeI
waN/HNVmqYx5A1y5P8ViPuQpa1zOM+bg7xOHU4YxyZfY5CKtbNkeqIO8mWOBk6qFSJbW+bMoCLgp
M8RlPHz09uijQaTullpcTm/SeOoSizXjMqdnyQS7yaJu57TUjSwDxSdB3xwclxk1K94CNTYrIyd/
qeaTlPmV63dsL7zy7HTNxevaifd++zo65VuxGAYozk81sBykI/4rcJ1kHbJTP/hqcKFxtA+F3bNe
gJmLkWcorlK7ewYT0h0JsAfrnvqFVeNX7rovxRddEufMY4HVDuw5GNBfK9O5nwSVs2zu3HVTOjHj
EN08aUQG0ntRKVWSSUcewUBUsFz2no7bKfB3+bRyyOKtCGVAxkOYqe34giQOnbsR3yKUDrAtqBuY
sOZnxZE1CP2WjB0af5W7+8Wd6UdJChAYOe4wVCRGer6wRdr3Zd/CZGiyk2gWeY5GBf6uO3HDT67Z
YA3I+LSH5mX91TTewqJguWYFG+2s0ZOrrB0NLFesypeMCSjqU8DsjvtjnBQDX9jsOd/XJ5++aEA3
Aygfyb7IUKncWLg4D1b1JMqd6vPhGKkYmSFPoW3j7S1JW2yCICRxG3fjDoX2YtRDerLz+s12uLwt
ivBkMcWkZd1r6u05FAaoEnMcbyWxTTZneqsPoQNmtesfzXZ655796cLPq4VNeJEDMIjvrDaDK4TC
pyGzvwfhzLzXeM2BFBx8HDyFhWd6p6H095hkv7GFsE42vdBr2gXDVaFh8SBhOhQk+4ucR7JNjGVc
s9vDSUxieDKGbsvtmSqcz6J23iaDVKUqJaHhBlu12UATcJNLrUaC3qO7Sn1xkU7/rCgCEKNExVte
YHTitx3Z9SUSNz2rggJbLopX7KKL6FU4nbJ3ZVTjbByy4rqZfUifvXUs+FHcBNIH1Wk9Tk3VHGdl
P/W9Px27rn+RU46YJ/LlhGkN256Ni8zvYDJWtH3uAGfSVwaNcqV7iVekfsnAyY6piO12VNF7k0+D
A2sa11+Umzv+661mZ9cYBqhpSEYb6p7A6QvxOJlODe3EvgMUPe6zub/vhiJjnVwCeKQhGi64tZ9i
DMXWEjLaAmTjSq8LHOXKPwCroMqVR3TYlCHTf/CU+0TQi5lygpF12dVkw2iyKvmN/SPRZobIkLUn
XrVDHDUboHH4H1wTj6wyQqigAbgVF0PjOM/HoZqe7BhHhAlrZx2Rulln1zaSIjGfDFuN2eC+G717
VmPboaRiY9GNCIH74Vj9Hc8KOB4lMgrRR+2We5p+KpOpdM89M9DCSmeJiS7kQ6cDAggYc++9BSl7
ZZEN60K534v2e9TR0pYpttaWw0VRCx6gjLxfgU0fhuW+JVmWMpl9JxnPTdvoHyY/X+4KbDqehRjJ
t1JRSY6sGo3rtpE8RtEauK2wDfVPZeJ+dvgwVk7DF8so95jNdIaIXtHWu8CdWwA62ioPd56lbsaw
yG8DT942Vfqd/FlChMx/HrAe7agNoek2Ns5xlplr5ZlbeFj2BlfYOrXLT8uO4FK1T3binEyT3vEg
muaNA4lya9f9HXI3yzZI9TtEaHgpJRqwtUT7aPC6S+3hceRw+MPpakoC+gWZu7u3k5tCtW8IC+Ar
bVTGqLQz5rngY4qh7iYiU/tCNT9S9Ft953npJlAICXUHPjLKihefvLrJdY344ZrzXagZQDKyinVI
bIESifxdlPE5tbCPGkF4kBwT10CDEswDoYXxIFs7cdAdnaL2N9zX8U+jNruYBjbNbJ4coHhbXJjt
vo5CnS2pH4vwfRDzOVDLhWbAgAELI5QHHJic+cxDjQhG4McZzivje2D1D/8ZtP7FQQvYIkPHPx+0
/gSPBAiuP+evMxbxLIlJES1EOMJlKvr9jCUhe5Dn4j4sXZyGjD+/ehytvzi4Exi7hF4n6XjWr1sh
klsBGBGPTic+3fSxJf73f/1BJmj/9OvfWw6hjPxpxuIPMvU8x1mDf9ET9UfdoFU0XlLdQq9mJBBY
CLVT8nQVdMOHR2GfoLivCKALe/RIjjGqeePey56OP0nZ32D2l163/6kgZhDo7mNqAcvIvIPexWPe
hMfQz2SyqA6/xU0Tn2cMH01sAZvzx28t7cixLh6kgJAV7wWrzI9ENxPWdI2v3GL8SEwyMhUsK3Do
jC8jRK/h1R3VV4v/YUXg49Oq8DRMzCQL7o1ugK7t0wHSGeqJc46/I/3B3Z+aSVzcp4z4wtipHYFM
Ks+dHGNDHWwT29PHRWS8vvXpImcpXmih3aeTb8A+MroSD4sNfyzlcW9X3Bx9h6a8PE1O5GLiHfsK
KhEo36uGvLg4i7mxlzLZwQdgrOkEM5ZJU1yHebKsOKKT5joaolXbzDPErqn2hRXwaF8EnTm0Pzq4
JZ0owGnHAoJHSkaUvvrRsRe4Son4erbumhRMkKK+IfrlP/YWxTbLkmxjRMcNj1DonJRFMjxk0zbh
fgIpY+5WoyDhEmfxYawDqpXBHOzYz+/rtBaHKmJeApjXbEp4XHDhmHiUycQQ1+ckpLKTTbhctTFZ
7yC8xDJVjwPtlRBG93nA0d/rflQjvYmKCtuziVKGPYY6mv0YwCSVwnsyNdmWuEO7iprpOOOkoYYL
95Pm4HLMQp+HjBuPAco1nKaWkaYCnguJj5vlT54uYN1JE3bJ7sxrhjp27SZHWBcKAYmfx1GTeYVm
9KbAentN7cXa5mwNQL6GJvpGNmxfW1N+CSjB+53K6Tn0lhuh68h7V8VH2ZDEjbrpXY2MupVmB9tA
hPF/EVLJ5fWs+cId9bZTT0Ju4QheaQbxAozYktmHA5w4DerrmAsEDZnABd5hrF1h/ehqpnGsqv3s
Nc+caNuj4CyJ+/aNXJEkCqN2DK33bQ0hWRdtHCtNTV7AJ5NU2BQceqlUgnRWVHhAogDasq0bKXtl
9ofAEs+LZjITKEcuNaOKcIBd3NSGQwlGqK2p1KOZfgks3fZuh9DgEzXzmZh8DgRuTrdKE6FjAzZ0
kNxVhs9fzdCy9sFHw2pOqWmEKD220mG+Yvs5F+n3ONAtnSBGFGxMcIDZoQVN3WlGtaVp1T7Y6sWp
3etIQLJONNM61XTrTnOuHU28hi+dnt0GCjarHLmmjmVXts57ME3HMMuv/Kh8TIr4wdvlcBdUOO8s
M33W/2TwaVDkf63nxfC/TYaxd9r4gbDhOR+dA9VT16Z1qz8gt4D6O/3TUi7XReyddI96IctzFij6
0U9MxcfE5bdqfCNsaPFjX838xzLyKxYZp4HDYmT4p1kup8VEH6ncU1rWj0GRv6EO7IEDXkcpzVtp
zTsxOmVVc/bH/Fl65V23JEeOvvSo1Huj5BQol63Ms60b+ae4Qng3xDlpshfKIc/wcOt5lw3WQwUg
rcjFuYuTB68pLp1BDxkuYEd2mFj9RzytR8vvvwGhu+mDibvlM1jBK3Mors1K3ETSuMvt5dLxYi25
tU9AohMph0VyVsGwE+op9XCDlulzZrNMDs29lN8ko/Ho4ris0ZnwPn3RxfdA3t4p1CPE+rsukM89
VZ5ALu+Hvj3Eo3VKqYXJPoVhfwZjux6LnBSKDI7K8z+jRL549fIUtM2e5f+W4oXNku2zpLnTX0fv
QMzDTLWsUggRptPtSjkMVLW1B5pmLlUCb0Xc+2V5JY2R7oPxSfAcyK362oj614HJ0F30mlwDqlzO
fIN7oO8Dsk5z56n5Cj8nsb4Gy3Z/15f9gdlxV8fTE4+Ko4jFlc2wbwF9RZG688kgDl11y8x1PzoI
aeZmiLxL2IaP7UhxVwCWX07rqHQZ6GyQF2ksWG7lzG9htnJc9yH0yxvZNC+ekWBHGlZD7d9yinsz
eqzIUxRU51Zl71W4PAjdEuuLD+zij5Zuj6Vy+s4b5XIpND99Uv4LwAGeUdKw9qOgOCSliFbpRlqy
0wwTlESEuq3WcDaWtdR3KS0LyuV21FJs2+mGW+rmHS7X/GTr9lu8FyE9qvxUdTOu5wJbbxVb9lz3
5hoDrmsjUmsDnY5e1zTezW6HmkHfbqabdx3dwTvVWb3OzeTQ637e/5wm/8XTJCo2x69/fJp8eC+7
d/U//6f4k2r/y+f97URJxgUcOe03P4Hjv0VmTFR3iuA9iwOlyXnyt+OkCP7C8RNMuXB5Ivw8M/56
nMRkJIVlBZLueJR2IL//znESvPmfjpNsJoTgsRkwqnrg6/60hvJ4CMteVuy7Mn31tDiH2hBg6SC+
oQ+tuDdC8/eakbeuQUv3YFOa17nzHoXidfDGV5K+cPK7TZ3l061LkNfTaTqnD48M9xxCXDzjbdyv
O7qitxJkIq0xHUck17nyqYTmAISl14UtR2iSjGE6LMepp8HGtrJLGZcssEwX3S4lnBw4b33Qi9PA
fcz15i8121d1Oqpt6PoJcUVcLkLez1n5MFsjgdvY+VaPPE4XbLqrekqeh8FsT7j7vFURoQcV+D5R
EQeyzO1CqDF/KmDarNPKqTYL1IMQ540tw2JfaYvz2rZdUEDVclOPmKcy2JC8E/u1nO3i1hH9PTgq
4wGI/D6Q6XUcVceyistnVnVId7N7kDZDfxZln40F/TKMPBK73HMlZ/nNgFC4IWPqnt5CDnTspttT
nyxUcZriWJTwtILynm5r1AtGylVi8KzpwjC6hDGt9gOO/rQTxSmP4F/b1XDoooAeDcKuTRGOByMd
kt1AzqdAkd+5bh+dlsG75niW6M4aiXlXmPGNKuHYyKQSoHTNG+pTC8IVjL9QrwAGEYxns0OFEimI
q0oOJzNS2aXxsx8z1UedMA8Ehcb3huiHo6wLHRFgRElTeP2b64mQsla82G6XQmqxpoNnqnHv9Ky6
0xtSNrM/k0vC4HRyo7he+zWhEEBfQOf6l9rkUexkmItb1szEV6x3WmDXsGW818K377miOJhcsUy5
9wputCXk6wZi6rrT/tYigCJWNOaPsUowQC0N6bABLaplk7aBNEXmJ05uKixFa/YS58AIGWKsZ7ta
HhDk39sYn7kdn8fW58Y+lfkmbezoumqcE+/q+l5BAAGIs5xkjTMMXCqAXfVg8t0dG8yhG3Mi/gii
dO3VXObVgBNsDOLvYV3d2v5wUbKSIGVmulPxjdNn/o466xMOGfmtmTOrr8XLXsuYmeLC18Im1++1
r6VO7ObupsAYXNjqTTpFeirhf3GIGHdc7BDmsrLb2Fo+TdFRYy2o0tEzHJ0SKMSTrQVX4JESRurP
8j2NgA1yWB2DjURr52o/oNpy5/oxOnwTg0bzuNAhEJdsgzgxcm+UVREoIovDNiCM2lBfM8SozTwQ
LioirDmjfYogBuqCK3kOrDk7LX53BFFwj8mlJ+CB8IzGtTJVPx+5IfZbVKC9YUIODrVgzd1mTV/J
8swV4a2iFB5djL5daaF70JK3z5iXEJWKJNowvDpkcZuz/MSLTwaYa1fBeho6dvpu9Ro1KV1ysIca
M06uZi25z1p8d4R3n8n21V+ids8YQH1x656LCFzzwm2i0yJ+ruV8hfJ/LIFphYbDwUaL/rgyefOx
Bwj0QoC+5J5KEpYEFtuCVq8NuuWz1GsEjGVvTO2vNDVMW6K2l7arz55ePQACvrL1LsJIrxGwtNT4
Ni7OcsBifyg7gv9UrQabNu93oJGGTTDL9FwzsW/4654bvQBx9Sqk00sRm+1Iw8HJ1uuShL2JpRco
k16lKHYqpV6uQEdmzfJz4cLmZWED47KJiZtgl6cmZsK6P5Vc0xsoH9cO2NoZfK1V4rzhOoAsOvUU
8bTjvaNpt4vkIZFoAq4NCnfUTFwEsIOp93thCLnDAZwbaoJuoVm6U80xaASvW49wdovplIPd7TWn
ZNAk3hIkbweatwXRK62JNwJvV97dO1q1Sj5SaaZv319gFi5E3dvvCSadiJuFz/N3m8VYDsECp51/
PSv/5E3dkwE22P7JD15OVQ9PGMBzsfU0Yzjh7tzHxtE2zMtI1sFPArIeYIlTs7+34KpEVSepM3qW
7SrXFOPGxJLR2NS6Np+xOzTbZlRUyDnNtUdboTa8YFCFimyzRtubRopdBnwgk/mN1AxlR9OUE6YG
eFXl3ilZ4LVAePa2ySaEBjE4zG374GXxdxMA6Qp5MgE5uBwJQ4pTmEyHJmC5UExefkUK7zEO+k3j
Pxea/IwYXmsSNIC6ek2zt7w1XZQezYtugQaAj+bvNDkl2tyI5x5Az7J1HVjT0A/A8DkF1ayaRB1o
JnUFnLrXlOoozWnTAlw9YXXL/HZYM09na+pboWjheyLLbW4zwNcBAOwJEDaFnvlOLzNHgcrPLTve
BGCzcQ7flRUJrkYTtVF21vb4ygLzGMKpPzmM3joR5wFfRSLycvR+8nKFTs6xx7olAHBtCpPhiUxT
RciuJNhmtKTuXOJ3IzE8FJ/NqHN5hMwecps1zBB1t4F1auqgvFYOlP66C78XfkOghyX3LlU7v27E
BVjJI37Kb63Du25oldhjduyOaH8Prs4NGh+jThG6xAmlf7J0upCdlc4aTj9XLSP5wy4EP00u6pRA
4FlnQnPvxg/KQKudU+SfNTHGNk+eRn++xcBz7dNMWpg52z9CKlOLX4FFCaz3PPyxsNLlmOSTkfSI
yrOneKtJGmFE4pnak6tsdMAyxi42SOuHKUBtNjxR1jBbDxTC0rumA5oeqntvlTCN5J1jbVIRZIey
OTc62NnoiCewt++hDn36Ov7pQzVbtToSCqqFxUFNJJi0KGS3YFPrAGk39g/Lz0gp2dJWh0wr1/qY
RVnTNKcfAayPa98ZL6DYce8Gu5pR8xlzxkMHxJ+bsLMJybPW5FpjHXA1ddQV0wI5TB1/lTFB2Eon
Yl2isWJM6Ju2wIbiMH7e9jZMHs/Kv5tWRahWx2srHbSNivtiIng7MZ/WYdMdAzK5S0s4l9JwHlA+
qHQ8toPkaDHpKG8S4cOGcyIUId9Mx31VHCvYk4gNs6jSTa9jwdGgA8I5D8LYXoy7YLnk48JJuFRX
uBDZb804JRc54d6I2csk07c2seeTN4bPbSu50wfHdKJaudKBZRJZu6Uq/JfI+5EbxbrLAaVGTugc
Z5zdOvXs6vzzoJPQiyvxFAi+RyPWzl4svkp7fUtt4k7pALmKaDi47i2suL52B3vaJoxdWGjLhtAO
YmqNvjVW1pJj5jtXEYCIhJ/sWIltb4z2NvZGjtnYzLU3OWLDwquEX7nQzmVbe5jb7jbF0pxrb3Nc
fmSDjyhiknyySt+4RDnNB9oR3boz3oKa9dMS9CMOAL1H+ZEP7tdikj7Tvups6F4K7bSGTldwkbw2
2oNtCNzYvfnRY85etEvbkvi1hW730w7uDit3oD3dQH1fWu3yHrF7D9r3PWIAdzCCezP3yUl7wydM
4qV2i2c2JhzZ9N9S6n53ixm+oF3Qpz0HT3aL6SUpFUtt7UAH3HQ1Y0n3saa32qMO5IQiNywBMvMF
CApK5jAyz7QMVBkCiyRavhPucLYXj6Z4bPCV9sPPmFFdDPIsgk+FTTqoveGHjH9+kjdmqZ7izIoO
OhHbwU+qvLA8LPZdY07vkdFcIxY2V4bP1d2CksRNLHVwGWlUpIeQKMg3ge8cMtsNhFKO1OOMoFG9
wIY65RlVDWaXRWsTKP7KKbqK9lDuKNyTKGBAKk+KbAPP9Koh7Vm4e2IlN0Mbq53TcW5Si4UsM24p
UxG/OEj/999ZUHxW9aySKO5+2Vf89sv/fqwK/v1f+nP+9pt6xfG3X12ST8V96kf3Tz9q/1Vdvxdf
7Z8/6A9/Mn/7X786nfn5wy+2P8f6u57J7/6Ls2z362JFf+S/+g//17/Ym2uzz8FJ90/Ega/uf/7v
x3v+J23gl0/7LYNk2UzdxJKIhRABDMA2/CYPILJTf8uqxzV1Culv2yY0ABJGVOfSb8au3JUM9b9m
kORfcPTxj7AB+hqp8W/JA/7fcanqBBR+Pr4OnLZSu1h/ZxD2x6BKMYlz18+cfp8KgONtQrZiEhc0
Ziq6JcToIrNuxikerxvcpd6AtuUUQ3EyS/MhbHt75bvTM8F5ez0v8b4qp2BTjjrATFiUqSE+1YZ3
5/MY3CUaaW2XZX1iFVufAEQZKzk4wcYazee2qV7LcI7OKrkFxUmgMF3Sk6je8iBsML/QiFlNjB8i
ZG4YqX/xiSRqoJSZL4eRlRY9Q7xvSu5qBMO9D8ufgz3PaESKar6v6uVdpu7VAnR9xd/Sk+k01lkc
oDSGWOOPdEqZ+8rx9xHE3rEA7xybrXGaDLqPyiY9upEbbWQGPE1Rg8uPerxkY+Ie6Ye5zeBPQOPl
Ye45RcS50bTPWcx3b8eHIkvDLUSwmOmsf2Eshdg2m+eGJTVn8vw5amW/tfwULaIqQGNQAe8nZ9cf
yB6IfNa577nq820fEEQYOSVTU6u+sWF641gT4SGggIcnJr4oGFwCLAgx4WANlw3fSpffeXYKMEr7
9uf02qrxqYhF3jRlfCds4qvArXZB7GyGdF/EhbU31fJaz1C8mXsurRXctosLsp5WD5RiqnYLhTXT
dTgiLlZ4JA4TrqDSeQQhUSPikPRoTxGwssgwkKRm+GhvenHnpED2KpPEfle0H9FQUA4l5mtDiv4w
OcbFSOb8wDL0qVrEleEasJvY0MMHCDgmcRLFizEe3Sy4dqbqKV9GdcpJf64rpc4mMxMzrWmvCj+t
j5OhmE1nU5ELJw6BePNMa9X9mLKyANFVBH32bpEbWAUKg0ulg6+jAZoulsvnPE3pfp6ocp97sHMt
4kkQJ3epGr8W95TPBffhHF07zYdzb8TlTS+RMOb+o+5fgnqeD3WQ5ieiVjt3tvdWke0D8kcH9OJm
o2uyaHvuKiNbp87EOFYpa2s5gMTCNGHB5QFsidp559NaHdVA7rAfuDddYMWbxoo5Ulec2H1zUbdR
QJ+N1bQvitqGJxaVD+U8kdan26phDBkawbELMlU0dtWRxVO0LpwaA32Cf9z102fKZrWWTHxmumsV
gK++C60D4juvcnrsJn7Usb8kaNvTUU3LtMnqJYFlx8MnQFBLldgOIUc/Z/xKesc/NK2ldq2VnhVw
LZfm94Ix6Gj7kXc71+G+NguXQI7/RiQk3Ld5HpwzNnqdI1I+VNz4i2fufYErv3+tCsQvb4j2YeyZ
j20efBd9N4O0wEonx+4SFYO/ifluNrXPCaJrIFWbdDsbonO3dt5FZE/EOiu6+Rhl021W9zeeJZoH
5QIEaIP8La4fTbLbt0NkrmPMVlekfEg7OnBwRDGdU6QERv4fBEjWZWRde2WTnDPh5NtWBcfENtdd
EzwJMcmjryJ6sAZxQNsgVRm0Pzy+pjPcitU8hSHswP7e19LhgoZoWjHsSi0r5lpgFCiNYckmiaRR
Dj7IQIgkbpJpYTLsRxuwV/kUkJZPHEJQPWzGVVihFlmV5a1ST7WnoIwgOCfk2A17wn5mfVu0JNpE
+UOMRjqglRpaNG20fNqio+Id+KLfGLcWAivAw7ccxZU1H/vCgLu/pP76EnhUWkXzsYgT6zXwWOs0
sgauqeknzTw4V2btddriuY+Zqbf1L7Ivm2UtBLsowsnABOahETdaLGaJzFyAHICKTJjklSIhZGUx
WDscGrpeKQW/81N+nnH8pNa3QQvTnZaoHTc6cJpiV69PNfp443LOGfWBx+PkEwfT7dBwEMNsuzHT
6TNI3JMr+Eniq4/wOYzfAAOK3WLwZ/V2v1/kwBTnDq9+KV5cDDo1YVs/zYZt7lR3qbWwOrXjiJX4
jvoQfw1Vpt10GUJcaN3IpdWnabJgAiSBA+1l30HZ76xRHODown3GiCzcmnHNdH6gpb+GHhbKxXZP
ikU9yyeKiKNMOesUGgPbq5Yf8iA2JI24jmf7hh1lgDaAjctJyw++Ngh6srmKMvxkodfe6yayRVas
7vPqoyjpGCgBH6FS04wYBBsACil5JsfcTdrzK1lbD/i627YYcZKqYhcHjtJz/sq36FM3fdyOPrA5
AvHBxvTig+cTTOkn/2NZcAiTQKOeQRwXE6N1jxiaqTffL/dmPLUIYP0rVRlUTEcJ9FviuHG3KARI
0oiqmMVmpkN97WS4Alhy1Cvhx/UuqzRpBYh7/DabvdhWHZmArON4LEsPZTPRvFC43OwPm4lYJOcG
k9U+nkTyBi32rLnb+vgBTiHuX+rjGpBRZKGjUER7u4ufMgN6Ja/Pk1X5wzXkxyEesn0XgMitxwLm
Hs+adegn3tkKvAvFCPW6NtJ4VWJ3WI3DZGAtrdQxLNo1rj7u6EV8noiUbd2y3FXAl/ih47VF6FcH
jQV3B26D5lL1jBIpwVLRnFUn/BUlCHQutHL+KK9M0KzbNL53Qwg9Tsi3l9idoMcrulciJ09MZwkA
/H4jDcbTsWW07ZuMB0KJQRGgK6jdhGA4552VGtK3ZZTZdqYwEauE+miW9LXJrFvRG0ytSGPcrGgp
AU6MJdlvb5XTWqtZSYC3mFEWSr83UkYfbk+obqr7bFdS1RMVyxqQ9T6NaeYjG/HVwE/LO6/dN127
MJ6gHbo2T8RE0DWecXCwm2WzTKwfWo8QAQUY6zkz4I/MJBSIpRw8uKGbeITTPgyghzqDiyDPsZY7
3WdhZe9igsmQZaB5y9D70SYTtW/LBHIBuZQ8Z9pCX56pdsHQYeb8eOaCbq9EGusyNIbTWGaCAT96
cbvgxUkpG/RKEjd9wsM1TK6Ya9ciKOXOGWxrE1rHdrCSnc+bYRngGKetBTzUfU/nVrdmk8CWuoyh
ZsrdTDRQ74rqmNbDAYmr2GKzIDw7OQ9FHKKr6n1Clnv5GlAIDR0cOEcbU0G36w3KgLIU/QoP7DbR
ue5oNi/RYPmrUA4Jb81qOw+YMHv9ikEDpnAusQ8D+/RVOxHFRDhN18kisReztuEqT0lvA8BEqOvW
I7Um2wEKCMgd7A9W737YHAA2pChWk9ejgnDMnOvO5rKxuT0WNeXeSUXhiHYxW2j3jPVkkgEKJT1t
9iyqIsUDNJ2NYOsUwTtawpvgBxuRz14lov9oG/E9oywIvaqEu6GFe2mh2fP9VCxHoEHTk2243FF8
HDS0KTaoXFULC7rkUXlQmXfiXvZuxwZ2SDoeCBTcDUKREaBflK5Qg9rTNuTZj2UCSOhRhP6GIHmz
5a4YrSYYVsRkODr7uk185FJkp0bGg5HYCoDzk81oDukwbrC3pZsk8GjzsWYorIragq6eoPOxTSSE
jIerqE5jNkZbQiaXybavuIuDENaboQjxJJoclLnapb5z4VbiRsu5CGe18lw1njjufGRux3ncEHtA
esildTpvk57EbFD35dnqBu7643TwuXFtixZdnnCGeRxccn1dnV65Mr61zdE9egFW+DoenV1Dm4Ul
l+/JnKjTIt0IPNT4ERb9cKX+H3tnslw3kmXbX0l7c8jg6DF4Nbh9w54USWkCoyTS0ff917/lIkMp
URFhipLZK1pZMmfJEEngAu7Hz9l7bZYZeyg3cRP3V2Zgn3deHZyTO7XVFLCJPM3iUPeju9VJWcDG
Afwq8rqbMiiO8Gxxs4xFCDuvz2i05f46TcCNRfUnbxIQPiuNVQ0RLCeQM8+2CYjogHOaDrlIznzZ
mFZLnV2nG1eLtoxDCCBwPw5Tw1SL6n8R++5mNlrGG0K/lAgqD+Fkb9ie3SXiewwjUXWwZgPJMyMz
3rTisnIGmi9dgB46Qh81zo22B2d1mtKT2ndlYHD+c/dQImpgPRVqE938qBmMiWLqqX5izRDTVJ/7
TUhSELYSW++4wnSXirE/5KRiLdykWdNYJ1HQLcnqkY9ez67ODA1DgUrp0P0CfXczLP8jk/hFmYTu
KNnAX3dCbqOH/OFfX4p/vWS4v+qIPP/zbx0RyKKmpwt0aviRPRWO/s3jqPSzOi4FQq9slazwTTBh
Ge+YRCJHA0L6Wn8r3uHKcFyC1v1/TmURSl77PWfTcQjQcvl5rkW0PBHzPzZEGpJHUlz66oQ1LTko
njB58/1yPcDBp4G5yQGXUUnCX2Ksffzurv2J5dkSykD56rfbtukYKI25Q0CNfvztLoG3g1agrRWt
CHC0IxRV8HV8Qi30wmLtxdWjiEmV6RLepKr6PDQg8mE8rqvaudeQHK2NCR+/1vglrw7gNHtbp/P1
mIPkDrpT2eKWSsziix2xUEYWEnheevSGuXObazZxNmW+lnp7Mw7Nk1cDgvDbVgFqKnIwHQx1mBtP
RMCMQo2wTVvbFPDiV5g96NWSZNZNcuA8mT3NTKfXIqKLEykHzSjiDa0uwHBhhRRlAqVg0G+q2Q7W
duDcW03nH/I8dFfIF5dDEB0trx4vwpFgQo8ecumNlKaWtnHZ65eFY33hJt6X8DAXcX+atdSsrgQM
7o7Yw4YPlpiUtWkASlbDZ0gNst66J58xTarjZqABgai1q0+cuHoqOEcdBfLACfnxZeZthnY295FZ
XgZt6R6awdlPPq2clkHVTvrDqlQpbHIoR6ST3X4Yq+TUC4KzynQ+Zjabvk9RIMpWoNI1rga98Q9y
ysi/LjLUhyXcquAqUp3+mswJV2h3bgDAsGietDhgwETk9aLpY7mTVvMZVlywlw3LJOB/Ka5Nau3I
qcW+TuMNUa3semkK+3tMdsIAbl8Y5F7Lan5EYUpag+XvMD+W62Sw6n0slC4GWxX8nvEhCvt9VegQ
sFF2O6Y8T7EYdlOrnURWcpcS0931qbzWrZErpC0QWTZrrV59GBCO7Ntrs7aq03A1Rj4THEvrt95g
lFvAGWehEMzmDJViJh8Zj/pxv05YxKGdRN4+Ff1jxmTDSLKTzuDUjxiA3L/Ua7Y+gX5txnhLrx/E
HPGLCTvCsXaYMu+8TsND5MjrhPTq3oOMwiOJLa5NCSirhbZi8LP2cr/YzYRQ4dWCHtFHR6P2zH01
2h80vQY5N87uTrUkZtl9agMU665M0A0LbUnD/qQuOn9LX/+p1WbcxXrAcK17EALtVBbFkPnDi2H2
6Vr2BCXRNuX8IEmldVsGfZgHtnrkMVCy5w1F1z0oQJxT8ensE10dzvsko+wNylOgVLdZ4bs7v7CP
Bnkki6F2H+B4YuPyyQ4QaYGChvPGwZ9BOAJuBa+AbEEC+DM8uggy/loD8D4RW7YpAt09r9kmQVph
V9bWpR7N14HfXZTojOgxZlepuIxhhV640b52Zx1BUhYt3FrmZ7JkjtE8Jo2NLqMezl3OZgBqmKaN
R+7ptvcaiCQzr7bfGru73u85y01dAxyueF/m5YaRkxgJ8+VVtAZlCA/DTzZMIj0Oz30wPBVlRTWf
uqqy1fpVLbsNLa6zyTPPOz0+M6bwBJvAtqxaPIN7PGT48qLL2XHppYbnRvpxTM3bsptPrfGprMc9
7/hF1edbxy52XYEL2lIgf8GMHnRd16INJcCCO7wdu2odTPmd5opbWlj3tYVwJ63XUtAy7rSzTu/O
wti8IT/nwsDPsAB7yJRuOjWjERaPRUA3E3yvRVrEsSLyjB0twbMsHvaBoFIkbZUwtAsYyGedElVM
x6yM9iX9PZcRZl2N57kMrlw9ItWY48BqHpKLzIrBD0dnnpMdZ9u/KpHXki1yUusFyhhARnaFmqjl
/CTvTdDtRmVcVChMFp0wF7Umr0vHOci43gXxvAGoeSikftKO8UfdF0dPiPO8js8apziCO1tCCNar
U5FaOyNPjpOZnOhFviX0/KJ185XMWcO5cpfeQlGPGxYLbNwYxIr36u563V1imIfanpHjQhDM5pPG
GyH55ebHcNIvKpPeqvZB3QGt9Pfq4gw00EM6XSyx1x/VlWZVckIW7DGajY/pbO4Crrp2zlxmrxMa
BUrgEFG3WzUXnu3+p1D71ZGVbliUU39XqKUP/7p6/Glm9fzvvulZhWM5AoKmQcGldKPfVWgCAxTf
sqhOXlVo4h2ME9sHUG4LE3A6pc3LzMoi9kooqxVUPf4bF9reH4O7l6Lo7xxStqoQfyySEMgqm5ZJ
/cTL+HWm9d3MquC3u0FhYp3uxHnkgeIB3srZ2dKX9Cuv05ke0uQcoalOWxDm6Lqi9x6ujnxiYZsD
TZ5pIb3FFozqwm20YtXaLM5EDo+mJDhvypaaTYK6V37q8vBuQH/BbHo6R/JNmzaGo+vZyNNSasNQ
VSzlTP+S2F6sIZjq86YFMjBSvQ3GTTxEd5VnW+u+6rc4Tj/GNZ1l6aT3U9S6m9AwPofm4CC5ST4g
7NgZdnE75x86yojTqSfFt5SjvXFYUTZlmdxUyED2sUZuDxK+hKOhMUUbLSJcPRpFuzrNQGAEkEi2
RjKflio0MEGVuu8EKKOITXemr7xBCnqdo+zbWEnkbiZrZnkJV82YvDc7JUAde6SHRjMucy/Zur22
cmhlkKNixJvIXzklMPe6qetlQbMCUc1w4wRrmlwEXVhFs2cD3NMVup0muXUjaW8r5nqpv6mICcqt
EgyubW5YlpNFbBj3hXRxNPv+o2jC+TjqLoIViczAE+U6AFCDUS3fBV2AiNWBDyZraPBUVxbm0qGa
QL0Fm1niMA80HoawXVYuYEC9ZIzGFcCBctLPZtqtOtldmao7MzEeWvXDRTS5N1VUOHupiZGRvKT/
zNwFOBLasalq1iZiTgOds9bChrJpKhn2lVfbzSF3wpOxsZNtIOD/CpQmvcURP7SCbnlvN6FxBDqy
wh+CZcWrzqrCvOmpnb1eBKuu8bfF3N0bk/kJ3z29h0ycZQKkW1vqW6cLIKRPWKU609mGYRxtEtvG
BtyDs6iymyxG/ZgjCdzS00U+S4Ivrv8G/YRd9Be9WYF70Mq19Ft2LFp+C9fL0Qz01rr1+rURxZ/m
ML505gA4a2830BF5iitZE0wcyQuAQuuwcC4S5DIrrNBfsl7fGeBEmsDBi8/Z2pGYRsSWZ6zbTGVG
Pi+jR8zNwQUsBoArJIy0Vr/3h2DvM/VrU3fTTPNprfVfwtmL90HtYyRsHtOylgfCR07tei7OMivr
CMgNNrmwVjTRaSkkFk+7UM+KCM/yztlSJiqdW+guB0H9lQvjNq8lvWa3PRpZUqwLGd2WtSnXXRjf
SNdslqXwDBx3gDT0sG7XNG3NApCY2U4bpzceQW9phyGYtwNxt5MFuEBjfLDovZJuJN0RHHB2newK
b6KbAmtBEzHha8j/aTXxj4qHaEDfzd8FmmAUgKMzf+HH8K9t58FEss1UVg1/KU6zShqXksFLW0/V
jqoX1hMVeRYT7jUOxnvLqe+KEX6OIKtpm5XxlcxsGjSa8ZjrTCpGCwCgMRsufv+cnE5GBii23sPI
BcnWO+eI8LZ+TyQMqJqdlJvA5NhST8c6qXzyfzOVoutB4XA+bKOmuKcm/0SlSFNQSy9C2plIlchF
zQLjUg/bJ5hw8XKK5X3Q+msSwC9EWw0HMN1MuIY+2KGZVUyUL4l4qlxJuSVB85nGLUqFYEFSBOV8
P6Sb2F0MdO3Xlj7Rgq8i0H9tdgmCfTv6UbCzIJqSaDRO3t4mAlvvTcgSI02kfq4/piPFPSoy65Qe
XYFLLiOZVaBNHhugaaH1Ps8qm0akG+5Kil41EUYdJYCXmCQoLJJD1RJZXlxYc7kzNT4kG9F+NJKi
FqVqZvKxrUvcqVWwnnzoZZHnXAdtccIAv4CuIu8Sn9+lhcmtO8TKGFpeMLPo1hoEhYU7VufaxIJJ
ZAXyya/d91oAdC/GYyZI+9ITq1nGVUxgfEWemtc9xIOuH82q36fk3AfRsGraNt3XM5pFV9kDKmcd
TvK9hvzcn/GPWxWBZUGNTK3esnQxHq9cznVkM1wd7NJR47WYZqiOu75Ii5UGeF4v0uvIyW5do6f1
TF9zYCLaxtFJH9VIbhl/lbH1NFX6l9Yqnuwc+3/vAnMA54ps4EQLjS+zoylmk0CAmQyPSNm3UKlh
PjMuYvjMlBGvWTvf5zVUMXNqz6trrTeD81Fa+1kAUrBaoNdeObwP+hmVKF4uBxqjTAN7VfXa+dhY
F2VeMVLTMD2hD7B4vYjTig923ufrvOME5qconYgjR4ORsQo0se6zF2mqs0wGceCyehgk62I83LSm
zLd57ECF5QHGz0q/H00XIj+tXZKhmplO9sHykk96Ko3zktTexcw4EE9wiHuEAHuirBNnF8Uu/lzk
WFkW7zwylJkQx9UmbLLzaaiWJg/iskTEi4ca5beo4mUBhuUMkfGpRXWb6yCP6CZ4zZwt58Bn8N1z
RA7dcNOPztVYwzTiYM2p00g2CL5oPMcDH19+zGCBrLskXEeF/xi1+UUUZDqZuue6Sc9pxFtNQYDs
dS6apZn1D1rZXqalOFoBeU9jX+y72JmPg72OY0Mijcf+C3n8tMYPLMcQ3gt4kIXX5kdHG/DIzhrw
RqKwQEZhKFbW4kKZjPEjb2dlO+6VAbmhk73r8STTL+FQq2zKvASI4ZR1ubKQvkplZ9aVsTlDnQ+6
1r2JtTMNbu7GViZooMlYHbT5JLIfg5FPPlaG6aKwHEyJPOjE2K/ASKyzwIxoYm9jZbf+T4v2V1u0
uvhbsdpt1Dx2r/uyX//Nt6ofWiF1va6qZ7S8KjH2W19WdWMxs1GpWj6bPnK0f3MRDF2p2Ph0Xcem
cfnvql9/h47BIfvJNuAf6o75T6p+IDw/Vf0KycAvsQ0ADtZrLoIXBi7DY9hyU574GyT/C9kjWR9d
vVl0EXNOWTMxbaxBYCSyD5UPc3RCMWUvxHlm0uPsPYOJnX5WaCXZLeGdX4UnHgthktNJLec70NYe
T3B/yLz5c+uHj7rVkVnekVwwhB/HExuyleUfjCAm2Bk2jDbGaOvLBg8SE/dIiM8W8QBmU9LzhAmK
iTqN1j3iWhJXsDlIezjV5/MBSUIzJe6idWQJz/jerViG8MviZYJHXUWjc6l0soNNzRD2iFO8tLqR
4BxYcfC4V7xKbKR5uDadYlibmq8dutJkKr/ImwkGjgMQOPdjeG6lb6zBnSxILKXD67PLylL7aLSD
vh8TxECslH4hiJwrtoHTX7vIVEWicq7oDQWkpqxylV8naL5TUxOCMDfWldFz7CBAMlCF1SK2RbbO
EA0uc5WKhxfrch7uhCO7owU6Gg3jjYmfjHa0V61cL3xqijvP6Fk+el1fFY441BBiMwtslWTW1qp8
vqIOr/rSRI09Kx4cbSyPML9SpfpVKcawyQCTV/cNUpJyq6sMQJ0wQGu23IMTaT3ILD70mDy7oGJ/
tQuoBE2bwHWWKG6YWXYaXUBdZQ76o7HuhT4pKNG0SVP3ou/yC+dJ2tFeYvEwVHphMPIBqzxDfgjQ
fxVxqLIOSzRdrRtfNBYpiFE252sC9T7K0b21UHVuJpWZiIyO7AdiFDOVpygFNBydiEUPGyRteGMT
M26LjOLAgWaA2NYnIdZwFMte5vtw7FhP9Zwi36hz49bR2PjGLDzvKpxDZIgaBI7x3CefY5UEORAJ
mRMN6SGLWen5rbaXxEbaKj/SV0GSKlHSUdmS6Hj2IWGT7tfUSWA72EGQtXs2piqjZm7mtf1OzuvK
DDZ0cytg3T4zWr/cWpEJkMonkBkdna8yLyfCL2k/C4LIEpq1iJgsDXaHBYKikDEvwEiaUUWM5qzy
NAtTPyPItNsKjtwIA5AfhA6HQbRmW3BUGBRUNqcvCRUsJ7c+MeYKCek8RDRnu2OmUj0RVxIhbOP7
GlTmp5nwjgBSWmQqD9TxodilKiM0FKSFluGF7obpRhAjyuuG6HJsT3HwgsdurmsCR32OgmZsM1WW
HMvaQFHrEZMWgXsDKTG8qoykP7Hn8SH29Q9l2oirBHnsgo/qwXCSCw5Oh1lwXjC3neaztXUNhjfo
xMuAruS28keit2oSxLphN3P2WYkEJuY0XBKzdJTA9tZxkyDpsa1EvaSnuOvig8XZnPcq30jF+c8k
ij/REb1SUBwF9XhKVgZUyMRYr6dygBgvmYIaXbhprIhUgOKQ0BuoVZOgoluA8nPctFTLm2iYYuXW
ik5N+z7os9uKZj+y+Q/wDJ1lRBcCX59LSGl8n6gGhUunYqBjMRkzloVE3snqphdDsIxLgGpGVjE+
Yd0TEa12UsRx56hmCIEYC6HaI5ZqlCCNPKefYi0J6rqL6aVIhzOS7DJCaIJ7OwGvVqGdKZxi1alG
jIxoyeiqOVOoNo3XVBtT3DhhT7jTME/bCpp2PAw8OPE1UFB9afn5sHay8MQZ5vMYmTIYzHRfKKQL
7cl80eH8Xw2WwWpldYsgp2dQCFxls5ueutioZncul1Ppyk04y4M3JEg+HTxJEXdrnSnATKZQM0i1
6q2/RpSimOQM2jP6sBgOcdtkJrP9NMaWpSebXkFsOoWzSWMCUMHbTHBucng3gKM8Np76vQ8JhyZ3
wbpKrQvmEdOg/Dho2ifPoTIWVvEI7uYD2tXKQS1QYJiZDDpTBEFsjLJ+kE0ws4zIS1nWywRTzlY6
/d5rwkdwNMm6sPOnvkcEXT4xKX1fNPW4cgnrJAKm3Uu8fHE7nXpZZt/49pCfh71xYpj1aig7ErxD
HFJjw/CdrSJ18ruOM/1aN2k0sG/gLiine09jkGcN8KMTlylSK20W9lnL11qjn5RIDlddSoir1gSb
PiOYoCKTr0KZu0CSG25aTb2TtrGcs/VX2Yhfo9kdWrHUp8e2GeReszOSipPW386jhv6v3BmzmxzF
hB5udFi5lJ9k7E/L2cnWbQIhrLdhrDRudpNEqXHSQqpnYhLbl800fokGzVi23VxsRecUp0lBLwAn
Zn10iynepg00TjO4tfAAMN4I1o5RLRu75RUuUYwFhdcsInFhOATlNHQ9ydHxP5UVHblaBpzUyAp0
SWdzT4V5EAYhxFHsIFZKGlrmJ1Ho+rsilSFSnqndSCP9lNJx5c/l1OhqZbHR0wBRGSPPWWf7MOva
2+a1eYSCE+JEjTGitlt4hd6+B84ukvHKGg3/OM0z5i1OjKlOj85JDGqZtl+RBc1hhfNWbCmXc5d/
ToJw3CGCpc8ABciamOv29tMk5ZWes2yQT0uHQZrYKtkJjU8R/ACUSCrq16w8dQoWS9Sk3knSiSVs
0hPPJ1IhQtKdZmxr2NRo/tBvTCe0xchx1shZSgD4Vr2LrPYYpXjWk2TAadhucToal24MabAJm8eM
R7qXoUTClFxOGonkhDJfuGGwQeSz6AFxLNCWe4yR6xI325MRI8ZU/uUVUvwC+iKYPYKn5kUbIlEv
AusqTEqYr3r3wKhil7iev7g+qx12Ey1sMe5GONpTh2oilHuj5ginh3LidOWsXWKoud7HOTBQFw19
sRQO7FnM6ywIKCMRPNfxukWrd5JoXvC/bEbxnQPnJ1/Nt2a9ct18jU69Kf57/9EfU4A//0G/bNSx
fqZ4fP2zvhqF/u6npA9t1HZfHon28d8hT7DxmHK2UYa0l/9f895ZKEEw3AjOP+rreb7y3f35qzvw
9xf3s3/p55/zw5/+uehyGndXjzIq8u8PcsLHOPTDyOcvLv7VT/jh4h3PYJZic3HfX7z7zucbnpoB
PX/9T138w5cMoFbUtHX0uf3+4l3PEtTTv3YDXv2Uf98AEH6uYbqcXlEDfX8D+PQRFtk8GC834Pk3
/f//9F/96c/zwP2X//t/lFbKVSKlX3kCXv2U726AIN4ZdhHs+JcLfX0fTN13aADQI/j6xVvCL3xT
98HSAUj85n0woUPi0eOJQk2mvl49D7wQqMKgorrP39afX703dR9MWjS/uCL85fPAfWCSzP+clwvl
B/74XgjSRV0Hl9vzF82it/Y8mLbuPv9Zz17Xb5vMP9kWSHzTof+hA3z+wH96Hlh/fEIc/nht3tx7
wbbFAm4xjP/tBYL4dgtu4/MH/mqncN7BPSVpQndeHog3dyPIAuR1/t0FQu0UdDQRsL5c56v7oOiy
HK7gdr18/y2+GI6rsnR+73nQ3xkoL2gyvdRFr14M750Jv0ypcl/uw1vcOFngfrdyoG5kdbCg9b5s
GPzA7xdK9x3gN7pY4o/78Pwivq0Nw9TN370PvBcO1gq6VfrzB/7Te2Hgfodo9/Jthal7cxuGgbb8
N98LngeofbbOzXh58H98HoD78dQhiFfjFPX1FgsIA1zB798HVltSr0wAiOrr1fPgvxMsDhZisufb
oD8vSG/qvfizUKe/OFr9dSHFharSgaPFn94H951j6LYjAD4+f73B/eKFn/57+4V4B2PCZXL3UjG+
eh7YL5gSUqr8cR/e4PrwZ0CQf/w8qI3RwbD93XV+v19QbxIGbGNoeXkeuE9vbZ00WL5e24H+6X1A
EurhRDYs+8/3C499kxvBAvFyH54X5re1PvyJ2va/cR9sRYbhgXheCF8dtFgfSA90TWrX5y/qrF99
Hn7hZr2wdj6njw/1f/0/AAAA//8=</cx:binary>
              </cx:geoCache>
            </cx:geography>
          </cx:layoutPr>
        </cx:series>
      </cx:plotAreaRegion>
    </cx:plotArea>
    <cx:legend pos="r" align="min"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_xlchart.v5.10</cx:f>
        <cx:nf>_xlchart.v5.9</cx:nf>
      </cx:strDim>
      <cx:numDim type="colorVal">
        <cx:f>_xlchart.v5.12</cx:f>
        <cx:nf>_xlchart.v5.11</cx:nf>
      </cx:numDim>
    </cx:data>
  </cx:chartData>
  <cx:chart>
    <cx:plotArea>
      <cx:plotAreaRegion>
        <cx:plotSurface>
          <cx:spPr>
            <a:solidFill>
              <a:srgbClr val="FFC000"/>
            </a:solidFill>
          </cx:spPr>
        </cx:plotSurface>
        <cx:series layoutId="regionMap" uniqueId="{7D85024E-A40A-4138-AA05-C850460FF396}">
          <cx:tx>
            <cx:txData>
              <cx:f>_xlchart.v5.11</cx:f>
              <cx:v>Estabele-
cimentos</cx:v>
            </cx:txData>
          </cx:tx>
          <cx:dataId val="0"/>
          <cx:layoutPr>
            <cx:geography viewedRegionType="dataOnly" cultureLanguage="pt-PT" cultureRegion="PT" attribution="Com tecnologia Bing">
              <cx:geoCache provider="{E9337A44-BEBE-4D9F-B70C-5C5E7DAFC167}">
                <cx:binary>1Hvbct04suWvOPw8dAEkAAIdXR0xIPddWzdLsq0XhqwLCd5AgDeQf3C+ZGJ+YV77xyYlS1WWSra7
p30ixrJNxwY2SBALyFy5MvX3a/e36/L2yr5xVVm3f7t2v7/Nuq7522+/tdfZbXXVvqvUtdWtvuve
XevqN313p65vf7uxV6Oq0998hMlv19mV7W7d23/8He6W3uoDfX3VKV2f9Ld2Or1t+7Jrv9P3ateb
q5tK1bFqO6uuO/z7W2mv0qv6n//r6u2b27pT3XQ2Nbe/v332tbdvfnt5s788+E0Jc+v6GxhL8DuK
REAEx+LhJ3z7ptR1+tjtsXecCiJCxL50C/707MOrCsb/S1N6mNDVzY29bVt4qYf/nw199gbPeq51
X3f3K5jCYv7+9ljbrk+vyrdvVKujL32Rvn+R47OHN//t+fL/4+8vGmAtXrR8hdDLhftR118Bus1/
IjZB+I77sPTE5+jhBz/HJnwnSMAFC8Mv3Sh4gc0PZvMNWB5GvUTkofHXAuN/DrfK6qcl+QlHBb0L
/SBkPn2BA39HWMhpQMnjGfGfHvrljPx4Iq8j8TTuBRZPzb8WGv/8r0Hbn3k4+DuGAkEYE984HJxg
4cPped1w/Xg+r4PyNO4FKE/NvxYoD9b7abP+hBMCzoT6Agn+tOjPDRZ/FyDBEOLBo8F6zZl8bzqv
Q/L4Fi8QeWz9tQCJrtruttRvYPL19U+0XYEAX8FISMWjKwET9bWbD4EFYEYDzB9Pi3iC4YsJ+9fn
9TpEL8e/wOpl9y8GmlbV559p2wh65yMS+D7Hr9o2OEcBDRk4ndcdTvTjCX0DpqeBL/F5av+1gFn1
V/bmJ/ocwIURRENK0JeFf0GWw3e+L3wa4sful2T5x/N5HZancS9QeWr+tUBZXv1MUgYc2Sch/GGP
JBg48NeGjb/DAQXSJvzHo8KeG7YfzeZ1QL6MegHHl8ZfC4wDoMjqJ54Q8DMhDimCY/K43i/hCAEs
xDh5PWT58XxeB+Rp3AtInpp/MVBU+1n/XFAQwoHwA/qq2RLvMPgSgoOnOJI8PyMHP5zPN0B5HPcS
lMfmXwuUe+XhqrxN7e3T4vznfBlOC76PXiCkfBWY8B3zEWUYP2oz4oXx+tfm9Do4X499AdDXXb8e
SD+RNYM45oN38SHmfxUf4GHUpwho2qOxexHP3C/kd6fzbWhg2CuoQOuvBcj7q7q7sv/839VPPTS+
AK2FU1jt566egHMRAj2SZgTs7ItM+iWG+Zfm8joiXw19gcpXPb8YMrfdP//P53sl9WdJycF9WMJw
iL46Dc/xAa0GU/aHlPwSn39hRt+A54+RL9H5o+PXAudCXdVXb270m8fA+OeBBCaNh2DPCKj+Dz8v
QhgOQgCgBGTg0aS90DL/nZm9DtZf7/ACtL9+4VcDr7x6c3r7M4/WfZaGgqOBs/WFN7+IcoAoBJiG
gf/IqhF+2jFfTN+F+hem9C24/hj6F5z+6PnVAGpv+6cF+s9ZHKgCoeA8hFTMq0cKsjghEigMw8f+
FyzuQv1gOt8C5mHYX0B5aP3/G5Bvzu5rV/TsS/9mVhOINeM+FiF9Yd4gZQYdPBRP5u2FD7pnbF/y
i9+eyutw/Dny2cT/+1OW305n/pH3ja+6q8VDwvirjOb3ex9eEvLYL4Z+jyx8WbHNze9vQx5QFMI2
/yMVfX+bZ2TsKV/yyqBb0MB/f+uF78BDUcDQFwwTUNWA7o23D12Q+qEUcgiYoICj+wT12zc1IJf9
/haQR34Ao3BIUOj7DGbR6v6hC7QgSmAYg5wp3Ba6nt7yWJdTqus/luTx85u6r461qrv297ccw52a
L9+7f0cKglMYQOjGKPEhpwGPhP7rq1MoCYCv4//hCjo77UwpOZrSqK/xUd2wz9i2Rznqdn5WF8sp
H+8GSmsZ5Mk2VM26rxLZhHiSNslinX3KUb0f3G3Rl/pTVQZydGkiPT2EJ9U2DSw6qibF5YiSQvqm
b+RE9alfiCtWzHgNdxcxylAuWaqJTD2exiUnwzJUHt4PyN3V2mmJXD2dU5Wv21SnkRXOngZ962I9
In+LbJpFOChumiIj27G2ZDFXxskxYeFinMxJVdk6Ju2wHmz1uR3LepXnbhdM2TIQXb9ISY3XLi1n
WYr6MlCTWedNeTE37LjaJtuR+3phR7eujJqjmgf+Ag/JKAcjxNqkS6aK27paOjSa5TB39SKpK7Si
7HTiiV12tGTRNLFpPcd6UERaM/rbpk7e65OqmMsoJTOP2iq57Ine9GUyR1hnwTK1wUUReN5ejNjb
u5Cu2RByiUykhBKyRQnZJtx8TELLD4Z0Ouxnc5fg/r3zvZuEZ0UUtIWLfDdOsme6lmOllrrMhKQF
3s8W7ZL2M8ytOev89MbkXbsibT4vVOFvmehUXHU0X+BKbGnV8JhmotuUdRGROsSyqLwsCmgzR+Eo
1kNFBpljb5vT8spDblzwFFdRFaaBJGg6GYOF55s0HnqnJE/SWgo1zREd6EkQZB+LBs3Sd/WdmoVZ
TZke4jYLP4+VK+I06JxESZ/J2rYAzZHOTlEyjDJVxRz3SXNnGM1kNrBu78/pyqs5WnM1okXCa7UM
CGuioOlP6DSRRZK6KW55biQoFlvftee+n0aFX1/zIYwYwX7cMgQrUKBIZ94Ola23GAlny9nxiwZP
KlZTegO76jj1XHkcYnsU2DJZqoA1q9HqiPQ2W5XTSGNs1BmxVS77PDMyJ+G1Z5ItMTWRlY3RiKsF
qoeoVbDxR6SlCcWdnw9y4uV8Unn9+9KMdeT0DSs8FTtMLxOfXPYquNVBGa4QcUaiDN4u7UOxTvh1
Mvs3s+0j13RMGhFc3h/rqBq6JEJZyKIqbZCsqihlju66VlPZtdM5DhspyDjINq1zSfzxxBf0czvP
pcyDfAt1G4u+I6cdMpkUQWFklaJKtgceTVWERzZGQdZNctTu3E3TZqSw8oES1YEYWBLVIQDuc57L
NDVxB+cqIXfdWB62qPakr8MPk18lC6e8/KCe4JkuJakUTXjuDyqBV3NFlA/iyCY5X6c4q9ZjKLD0
5ySTU+bDvX2DV0nZ+ZGo436oikaWU39qFB9XTYBOyg43skvomVANGCahdGw9T0RmtPs2LS/hH1pa
VS8qN5Ao0+Ug53QepEjCTjZq+IBn7ku/06Vsi7qRpPXaJaqplqLiNYy0aew8Pm25KwvZd/1Hv0Ru
wxQ6x8NoNsYFZ3RMdknap0d5jzd24ir2h6I61GmjoqE2Jx3NfKmSWcdF0dwlqK0ik2keKcNtPARZ
LbP5Y9j4bew10ydG+gvFg71DPZWY95ssGdSe9AhOjpFtHRbR5IVl1DN2Odr62pJICNwtGjznsum4
ZD0Zo1TkajEH861n627TM2QlJIUSmRS0jBSc3i3J9Iex5qs+sWw7dZZGdiKxxYChU70X2W6+US06
B6MnDrwyodLvYYegY2Yqydr6GpVERDh1izotQ1kV/V40+ngQ2Q1xg5BTAbsTURwVdZ4ujSfyGLX5
uCGmeY+bZD8Y48lidlsjGI0pxs1pbchWGT89HFxdxkPL0cL52Q7y+DejKq6wnt9nCF9wL/k8jfOu
buF0hJk6InXZHxfV6MdizgPJmtrKQSu9Lg26K0VmZRtmWdwwbKKgyJWclHeYlNWppcYeZKuEoNO2
/XTnMxUZg6/Al3dS2xlOEPfyhZd+7Oppkm2iOnBiGRzJdva3M5/qqB/XND9Kebph4TSuJuzWrMt9
sC6uixkLYMVZf2mq2o9SvCFFsIcSvqWq9XjVB2g913WkcnXXllmxT00P7jRBB7nXtjKHyUym51Fa
gD0Gc1QtdYiOuNLBqq0RA8ObHfn+/R40fWxu0MAOGe3TbR/ocpkXY5QTrZa2Ssa1rcCUpiKJta+H
dZUGm4H11daCQRMZmhauwOmeQcZkERg9y17QXCb1aWJCHZPC3yRJn0dszNstlALKQ6wnup2HUcUB
922cFm5aVEnKVhb3p2VaXHMfsM8q8mCopa1RdVFO1SZT6pAObIW58d47lyRrmhZStWWz64PhDoyb
AUMfrEOb4siaJtw0WXie+SiyVmyKZCoXtDZqV6X4cLRdZKu72uks9p0YdwaOdsW1kmXeZwdzNUeA
9HyM+fuiyy89rZ00kzXv27Y9SsvhuBDFtKmdHyWTSo9CV9NFOjXzYiwLvui8Oi7nwsReOfC4Dsdu
j3Lzye+7KbaluJlMis8yNqSruprl3H/ippOtyPCqqoKjlgT5IsdG2rIUuxLNyUprfqlRRWM2eyu/
aNnxtLV+Kh2dF62LOpzvbIvtMu8JX9PxNgws3nodWTSCICBm1UHezGrphcTFrpg3KZ9V3LpEywaH
+cbNx72u/LW1LZPYnQAZXZlwbqKuqi6KNFWyUr2JjEfSSCOsN8FYL+YioUtr4HgA56sm14AdCt4b
POTnyLQfPT73MkSzPcY6IPCcDLyZwFlMREePxjFgUViphWenpW7UFIHFMZIyU2ywdXihiKOy1V4R
dSFa9MMHTZ2JORi+NaqKVdfglWHtsrNhsaWjmdY4/ci8K78ZJlmZoDoqdD/sUDgfFFM1bGHHKTve
8kydlC0QCMZm2PXlsHPO5as0nK8Hj6pdHaaD5BaMO6o8BnSvL66QP2yGfFo2RXo6CHIBrG7hOXqY
iObA5dOB9W+CPPjMYIuTMF0gg4TkMzsI2YzBd5ZBPKpkT1mxYaK4S1W1mQOvXXTjrlEZWtQzMBiK
uvfd5K+KLCmjrgP7XFbjtdettD98hhc4rluudpjTUKZhEluBlSySeoJTwm89lMp06qOCFvmmMaEX
dyzbZGPY7rlrF4oWw6rLp1FmqtqG/hhsaK1uhimjkbgppixKjJB2ztbTYI442L5zqqfPaZ/czDXZ
zUYd+apWYEOIxM28xGWZRyYlxygku6Yy6aLS66k/xvmQHJXtGIczmJe0bIfIK5C3TOYKZj0n4Hja
mkoyN2deUNWwaa0XdaJRknp2Tcu0W2Y9eOpUgWFMed1sUcVOHGvsoWmJk5hN0WAtbAKdow0UYN2B
72uXVagideQBulIpdomTwi5axJea2Y8Q7wDJzryFAZssnc3H2OZ53IiWHcD++kgGc4cK50ncBfMy
TICDJKmRdV1fD+7MoFpOJU7juuoXOM/RWhXANbq633ZjctwY59YOe9Hohx0cSqMjL9FIijHf5xiR
hfGpWvnVdO7PJK5U15ypMFw09exkmFfR4DIRN2r2IpK4SRZ0Wfn4zp+mtWP4akiSk3v/skzEe5Yk
4HkCz0jiVcMS7N9xUCV6U3tpJV2CwJAmJbh/sQWzLGlJ1GHgrPR4CbSx9CEkER/FxM4dMaPMzbDV
XTUup1rkkpq5jIkLby13wV5kfjQ3E46tradVmlSbRFf2yAvpxvO8MapJDURbZeM+p/rDYBxEVZ49
dEBTds6kHzHKBtnRIj34uo75WWB6rZvJqjR7rCT/4+M/znQFfx8Km/9svC9E//PT/qmC/bvfWt3q
e8Gwffmle43hj3v9WUJ9H9X/UU/9Qin4UvP+FGD/O53PNIZnYsqTZncff2MBGui39YU/5Zg/FYaH
IY/qAnuHuX8vBNxnvjkiDAreHtWFALJ+IQ4IFzSA7N99GulRXCD+O0wou++BjCAHIelPcQG9Q1Dc
CAz/Xg8AkYn/O+ICvtcOvtYWAgzTQxzKiUCpYiD6PtcWRl2XM0F5+MA2N31z4wILkcJMjlq/Ywvg
h2c8gwgr7NtDUenmJNE93fRg/Ye2OatTIbaY6Q3jrVs2wJ/ir9byFfGD0JfzI5hDJSHwRxTCLDFg
8bX2MTapqrMAs8hzrFimfW6XLXKJNLuu94msh5IvM8HvRQPwXErnJ0A8yIJ66qRpOn8bztmGVUqf
G99FFhd9xEzPFr7ozwru1xHilTmi9WZOXbab2+rI8Ho6ZMJeGR2wOMnTbFNZ0i0geu+WSFckRvU9
yTPqCgFVPKyDMr0wZX6SBiyNbVboWAf4KmWGbEQwp8fDGASHtg4XIEecBmqsfrRE90vwDELCMbkv
qISUGCX4QT76Sh4ybNIh9fUU5QD2choKvnu4lKzjOzPqfkPHKgO+b4HIk6T8gFjKFhRo54pN1kXg
+fmuyMEDp9jtsgl7MS7KdOf6IRZKeSeN8z62tJx2Re8nJ6HXH839WJ5phg/TxiOr1qWhHBsICLK6
ZrPkuZZWZNMBVl3M/WwVVpZ/gLCzgognCHd5OYYf5gEB6crUdgo4AwkhQLGXBs3pRD0WfX8T3QuC
L1fovlg4YASK5qA45YWAZqaprdIsGKN2kplz/aYoWyTTbBxP8zJIDocuiOee5rshMR3QsTkbpUEd
i72+znekH/OdCLp9N9DDxpFiiXubL5LCpfvSsqPJJ8WedW25zyr/ssydv3po6kCjiAV4mAXQJnTi
96KIS+I1y9kIdOLuLxUFMoFHZNezaGZJyVCciCmXfp6yu6lsj2k9NCd2RgfjnDa7xgX6y4Xi5vEj
S5pF3WCyS1RBDiHgCQ5RrtV67Oy6yBq9L0Ku917SoahIA7HsgjTKuS4uaUnDJamKNIIVA2kNNe5g
Utlm4KrdDPefHppUlrqDplf5NgvLRTAW/c6rp27XNabe8SSiST5FU5GSwyZM7EGi2x/ZAB8s5HP4
mA8ZJyhCxVC+AjnFe3i/2uBeIdoSjq+LDPdQ7Gu/PMyy8BiWZZKiD+wqRbqLNeL5+Rh0wFi5Kc+q
Fi1NhtpFQl26tM7S9+XYbeuu46fgb0EGUtNhWQf5QRM0xWFbTLBxD8thMBfNBKSj0Ezvaz/jMkjn
amVqPu4bMuar7+9NDgryi5cLfAGOISBg8OEVXxi4Yc4Lhrt8jNw4fiYiGxeuztw+IZPapCkcKeTk
gB19n43JJzLVFy3G6sRjyXWmuNkiL8lOHprmIfSkYH2wemh7uFQsHGM26DROJrQqvUBdJG2frYe8
IDFPivzCazVbekItCtKTiAzUnT5cwmHaNN4wHILCN532emBb44M68dCZ2XI6DcKsjzrwAKsglZCQ
b4+rdAZpwSbAfcXI4oePD5fQ5iFEvjzdDWaCsH1sVZSwgF0xQY8LIIfnPmmGVR20EJkxf+EJrj7x
qfiEk9GcINzrYxw0a5eYZUoYhPPOijaGLSPgIc2immt9XuoyX7Rp4G9qjNgGCDKWM5qr3RzwMbLg
rZYo7E9Z7ZMjq4L0ImX+tqepPulzk140mQb5paanI2luvg8xfQViBiKmD9sX8A3Zff9X+5cLBVpT
MvfRwOkQQbR0klakONMTxLNz+zGtQ/opnSOvzXIJ9jrcfrkEHURAPD0sfFpuHbHNbqjzeem5OYvA
rZ1QPvCDh4tfVPwgKIleV1acqo6DkDeU/uUwiW4l8pAcVIOtt1PY7ZSFaASrwGxYG+CP2XzU9MI/
ACWqBCVA0B0iXbJOw/4iLd3wMZv450pTclPoTWeDddfoep/SfMgi0yyyvEXbzNt4ObbbohQEuDpE
ytssABn1yyU0LP7+cmL8F07AIKcCxdFQ28k5nBkgR1+vp/OwP1mQQaLRLTJG+m1ejWEpxzEbthVN
WCm9aeg2WcBkXlN6Wt5fOD5rfVAb8yFMD3tu1j3ceffnxYxd3LhkWJoORFEGpObcFONK5wx/oAZ0
V16NIDZYLRXK6HYq9bAC47kdKsivBNMipTo/5kLPpxXOwtgLEm9h3RzuMWkONPHJiS0gfK8pd1EZ
kA8ChFmIFsYpSnKDDkxwM7GQrYFCgchRE3vS3l+oP4xR34omNpQvTMfrQ4yndMNne4JEYXZ9D9oC
wglawkrNsvEaEWtXXfiZ23kYNIp8zLojFvagymG6e7jMc0J3pZddUifEqklab99DFmPfzkEhA3/t
dWVyDFq8OrHTDHpYh/aUQvapnfBaeMY/Du8vpnU4mrqgOHR67pYQf9CjKnPDIheg5SM0oFg0XnVI
rDdskjRnUddb+H1RXB7RDBT1hnblgR7IuJtDkArbstaXo3If+wbyRi5t6n0mkInmhNSXTdmdVb4e
D9psyk8eLnqeVgiUxm1l59rJJKS7cQrofsy9a450ff39XRf85RBDoi8U4H98EMRC+K2J55sunEu/
nnoQBTIbOzo0p9UwN2vbJAiyKlm4p71f70qRgxDko0JmVT8AqSw2w9Q2u8CV7brq6jtLK4dkpkW3
LlT4IakFuHab3RRKeKvMIyf1dKKLVMRF3RbLtsHeKZnGcd21/kqpSRw8XCqTjctE+W2EQcA6b4Ig
sqOaP3z/lWH3v4wOoJyAAfMC63X/61YQqTx/aSO6sedkKiS69/WTPnu4lEEm84z5p6NP8D51/FNb
0lamXcYiy3i1wQr4Jh0KdQGphvrAS8Qo9eDUBaR72HYcwhzyStDLEjZsSvhloqgdg+zCJVmywn1E
Z6WXU4PLc55nqQzbRZ8Y0H1Q2Z16ASrhSdptHz62pvKjLssEOElE7xwJyN5p8HdTx49twz1Q21uy
AE6/qpPORXVrIjy4cdPM5iIf7JnJ01RiZW7yxDRACc2lLg43baZueDE20ism0NjEZUKLSppZtrT7
NAXiYwuMNupvO4/f1YMv56bQkfNYK7NiunQBOLRA66jU4DGreZxlnU5XZlRZhAK9CllaRC4o22hm
ZCV06keqhJyrKUE/MSM/4huWzJeiq0c51eoQG2/RVfVxbodPuaXrIiyuuAlWwvBEYjqUkTZFF+kc
ZIQgqPByGPmh5VW3ool3NUP6Qo0zk8Ar1N6rQHDIw1RmXodlo4v3mDbLfhDAomhykav8o/XOGDPv
hykkm5xQBeJvd9nZqogHNn7waogdvL6MctPVoFN6RznHSdQjW0pSufOceH00sqVqx5U/zO+hBkzm
3nkmUsgA1mKfTM1JEXbNwqXDCuGGSGADMThjvdBqrKVxulpWFhILFicr69cfTNAGsY8grRuUfisR
BaGxJHO5RqItoh78exQM0gRWrQwOlrjwhJyzHkR/Q9ciT3M59MIsgya9hhSK54X8xjC0UVOfL32V
kSXuqmSTniaCtEtSeg4E7tTKkvZogfURxDxgnaqYhzk/r323qARooYTmEe9ruintAMirfoVtCcoW
5TTye+St/SGQw6BWdPAOSJJm25p2kH7RjRwhkQ7xdITLcFj1rpd+EmpJG5ceeE2xgzcLFx0ptUz8
REnT+5IY60HGEh2hBt9lXoN2g5+qZZYVNvLm+tT26Cz3Vv0wWMl5s2Z+E/s1BMlumDd+Q7eZKBuZ
O3bMG0iCwHp6sjEjpA+FlXTy8aFfzBezHepFSyiImD20g0MMlwys3pr6rZYuLxcEgt314KhbDKAr
qvpCdPyq0mKM1TrRwZ4Fjsddh7qVc9aeVSi8K22yGynJjhzIBpMFgjESgNMwtk8zqENo/Mw7xvN7
Q+vPLaQf8qxTcgYT0qpGJqkg62nOlz1kFYiP940Tx72f60Xb+6suwxLy6WXk8uLCQ+jKIyP4ovRD
qe8zj2g9sEEWZyrDrSw7kFd7HR51Th05DMnA7kMvGjiGjfg0W7YS1eTJuRji5t5RBZe566+z8BP2
2j5W4wT5IoO3/88FFBYScDHoGP+tBRRCj3XMoIBCkfx5AQVP6n4xT8N/WkDBIdNeBj+pgEKPzF8C
+fv3CyjyEgo72kZ50vjeHE8m0p3Xn4ygIXeMGkgb2FUz1cM+ZBPYdL+BKhbRr2kPub8hXPWG2i0r
V0MIydi+gNtUYfIxRazb5JNZVg3I/02GmrhGoCQr0523Sc7Whd8YuBmLUdDc9mov8Kma2F2e0XSp
VB0sUtvPEhsM/iSp9raZ5yVJpg9d0wLN90ccN8lYRC0bzSK0cHKx50NyWXXBsh2TGxxUt5yr8mNV
JAsoIqplqWbIOQTHtK3PPc+cWp+ZVVoc2rY/Ud3SjMFZrX0VJ416H3bkYKTDssnzeTP4c7uiRXnb
tVYtK+fG2GMuPUpCB/nvltwmJeuBzkGhiODvez5Oa+4nXFZNqU5rKDYoKe1Wve92pvu/1J1Zc+Q4
lqV/EdpIcH/l5vuiLUIRLzDFBgIgQXADl18/x6NmpjOr26q6rLqtZl7c0lMhyd1JAPee850rEaWJ
VAyO/Thk2tuA9ZS0hi82ee4ziVHutQsKomXNnM6Nb53/6oKfyKUlTb4l9ZNcHfcgZO4TpS5m6Kas
Vq4uIr3XTQtuoRLOjpIqF+IHjbfuUNXYEOcNBo3fded2YoAiltYpkl62JVgi09nvSYv/qC0IC7M4
3yoT9zdYBoXEXf6Kw/ZTZyHlJzaCUSvIJZirOjUOe7I0mq++Fk0xSfXTVJUtE9Fkc90PWeQHay4F
GjBnXd5itFxl47XfvYnH6Sj1mzfTJ+a9SLbxLGyHT4HXyWKOo9wEw3aZKClwqVlRET1lU6KzuWM9
rC2ee4Ees8CfvKxKGhy8bZgSlMWngZj3eV4SVCTJN6eb9r1sVlj74BfmdvhuxXS2UDrSvo/hpS02
KriAgGVE06RxxUqjcVE2KWFsWZXkc7UE+zZzCC0226yXCd1zRmt/hpXNVT75c3UIFvfiBOx5W/Sr
ctadi3uMhX1YdHMVpIr3txaYRLYK+U1u4b2XJNona82KJpyDNIANlQzddkqaj7qhsIikkWm70NOo
4u0vD+464WjC4WeaqD6HUb/dK0+hA52aM5ABqJD6xJVtTrr2mxP6iiANl/hX5OBYT7w89IO4jPql
SscqcsowjqZUk3DMcGgNuclXQGPpRMNpxz6oZRwlJkQbbeH0w3t+l/X6HtVeX8ZNpPaCLW/TOH9l
vnyoFs3Bto8WdyC8ECTQWS9VV4oaxinQmLpCoQgCI+uX+H0wkAkb79hHdXiCSIj64YeAEJF6wbjt
rZ5Av/iSoqowzrFvgRgk3RPgLVnYJIal9jj4Qpz1kRiLfiRFg5ecWjNHKdCtb1D7wtz3AZ31K1zE
TjFRNNrqTCnGAD4JoDNMffbe/U1Fe39w6xy0NnxWfy5CAsAkJKCBmJnvRsI7tP3RDDCcpsBRWQDQ
j6/DtYPw2FfbXFrTXJxa5GvPv1Yh7r+Z3WRUpRFFPTTjH4CCktkaRKfEgVsJy1UN0w/Bwz0ZfKjD
7eu8qVc1LksO0vUtWeeMLTPP6iku5pD8ouPG88pnBQDJOp/diKaRsYUS3UOBP8NWNZkatZsKfqSJ
3PbuMn5nS3yuUHdljE7vixP3h3U7jhPEA46OBpalSKt1OwS1fds2+IR1nMqxy4zvjWXdTSsuewrZ
Ay8JFkmxbUnuGlIQJqFfwV3cuWwEy1VvWSeoTodt9Etl0OpH4By6cdNF+CtucD+QJvX9k1ykOFWP
B950+3kKosM60KyZ27bsHDBtzLgqQ/lkpDcVUMBBxMSw2V/p0s97pS0ptmWCd+sRmWlNy8RNWGo3
JjKnBf+R1FuXAkFKOxffOjAryzUObmhfUaVqFEfreN8W3IOWw18F41YSJd1Cbt1nwex5rpO9FOze
NIIWcvLWPBgSsSOJN6NM2m6K0M9bV7TDBPvWVrdW47rF87AD9dKn3IFUMEl7DHFKwZENd1gaQdY1
7oQdufs6x2GVAkYDNxo0POt8H2xae5DEb1JX4W4nzO+h6VTfK+M9160BoTiGQ+ab9gO9KTYc0S05
bVDQUu6GR0fp8mGsl5tEm1Cv/Q+valXu4tWl6jSGdj4z6V03ZHsyqQQD9tHRyxZuWav7KA1xNKAL
AjNmnQ7tW67xIlHGt2PqYR2nvtt02VxVbg7o6EkGejt623BbYj4fWkcUTFZJ1q8h6kJwBN26fTTu
DMOcT5cuiIoBljPAgmoswiHCnt+ht6m27Rg6Jt7BLP6yrlPe2OScwPO208YgzcQh/JEe1vEkSJYE
djxPfn1Y7fBmqrogq9hKxTsvM72LQ0RM+aCcry6Z6yPpGy+NRfd10FRAop5F1tBkSJvEv7H1S9Sq
m+xgJ5OtijKCviB0t4/acXjRU1qCcDsLuohTLR+etMF6G6trz7s1C7dtzpc4BFbURFvR8Isn+h9i
hQ3dhEnpeBUvzBLFWSerDKaL+NQ4e9T1NxV4/M7H5c3HpmIW3RRwmHGcRFDR2NOykFw51XMjskCu
3rMVZk5JWPm7JlRruvbogCOVzM+BJgebQGpXw9l16Qfl9uAGTYjTzxbuqOXe8XUeYX/Z966w6GXH
MZs6kbtLl1kWESyg4Kkn1RdU4LmJ/a8Mpk+GsUdvivp7ZYcgJ51/s8vneEV7v72zKZJoxSWBxTjV
6eY/9IQ1sVlFz0oRd9ey8G1qzJ0HdPtR8znXIZnSkdB7NeJl6IpfjOlBoLBwvzoXh04VPlSyHqI0
DvDmlrrJ6Cb6fNBhdACOuQubBB3OZgocc58G439ghYl8AqaX1k6/ZoHTDHm1VR81b8E2z9nmpUyA
jhyMisp6YsegZig1ExxQrkvSio99Nj042npvZvwAMqH/HslYZe2MdeDVY8aD7Yfk5p17rUyjeTpP
UhqAtWiEEN3Nh81/aaYx7YkzH2JWvyp4ZpWsTr4K1zSmg8qrgMY549vntfVel1doVm1OcSAfCcgX
IAN4mQQANNkwDS4CoKuJ88XtgivcXZbFDNvVNjU/OUrSvi4DsAe7cbbfW3/Rh3boD3x2SqH0eKX3
eHJMCgV5KGFsbLBhJmySsEwfjEKajNbbkRbI5CRbaB4WjSUP7t3mFHHMOV7wkiUt9rxehnExCT/v
LFqslgN8UZ7WKW28TNg+3I82OqOoeWEtPJiV2mKYI1tMkHpcin0Rhk3QqXKe2QvbrtVKIA+sojuZ
ua5TBUwFjqi8qX7+YedtgIesjskSV5myOFOS3j2hth5xmv0a4vmtWzp76mNRjrb/Veml2WmCnZw5
X4ZWnEgzCmge2Ir4CBC+d2Mv5QmgYAPSsFjCws7AHNcGigCpSU7FRTLU/LXwPrxVfxCDCX7SNlkS
YZ0lXmY3eNEwO1gZLz52Jf8eLj4wlAAXKZzaDG+hHNtwy5t4o8Bw+bMzuTK3ff0WeaOT9pVZCtUx
9LYAq1E9NGBvUDGsoFlSseF2JM6AU+uOOhgelh8Fecfga41Ulz6tgsc/xK+z6rknqhgnt5xp86X3
j1HURMXKgi1nhBXgTFGb8SUqwvAtIACupxUKtdN6Eb7m46VObWkS/dKwvsEz2+QCP2drIX+Hs4uK
FPVrP3s2QzDgcZ+Qs2BueMAaUtjqN/9Mul1CjI8GW9G05sPJwHDLOgtCR6MYKGa4zBEJykosd67F
0Z+mJbeOkwcKEoGBFZX1ovm1oJa24TsJ65PyMsmUOI6qu3lx/T4rrVCP8DsgY1kGvfuzpsldbj3u
tnV6cQbA33HVDSlrQBuTpUyaGbcOpDpca/W1qm7jbGzuqBjdUzfvEkC2WAqflA9yduPWpLb2zsvo
q9wRKEbdTdhMuQlavEnlwca+wb3pU1dX1bmrWI7s6stUb+L+bKyjj2Yyz0YMF0K1Oi18vNTfdJXV
bEmw2IKDrdc2q8IB3Gov4zJsnEzz17Z3X0mdiomWzcbQIbgxnugPkXQHPY1741MJ4ULh9GuHo+kG
ldqmuW3KX0rt+uhL0M3+fqYWOMhDRC56CnfUG/h+sDiRZjcxR+3ST7rnXv6wjmijoNFx8cn0Hkfn
Jl955A2ZAWCC5gTIn1P1Y1HhrG47SN7jWoaW/lxGQY4z23azYtnqs25HAiAmNjZOjiLZW3Id9Grf
xmtRq9pPK4rSOhwXL116fFP7IWbIQnhdXVYv7pzWTYKOtMtlEH54AF9T4wGypjXPQMHRJz4PqMAB
QMMTA+uo4Q5KVDbLTN/8sP/cLlAL3GTlu8bIZ94EqOS083NoEhwCPkfEYaMRFGJdzpsDEm2e3vTK
IPDa8Ka8YJfYtgzQmO85L8fhqXec9dSrLinGqmlTIpH9sOGXHWZKviuHfwtjbVOP1PcpWiLc7tWa
NYw+OdX4q6YOKm/J39mYFLJu7u7YzcdkVgg+zJaB8A3P0zD8UO6vLgJiJjg2EY9+iiOXpXFdDSmx
2CIkyAul1wIRDrg/nSj6aWyeRlHtlkSwvZ9K4MTOssaHYAC6Yr0oVQtl2H76r/WyVvnZcXxo+H6b
Yv33eeNqfPLDkGSV/6abLkiXKar2xg3jq7+0wMfdEJ3Q6rBUHTu4i3F7B0249wguUkBeXLGghBT1
xczovXoJfWAixZpsiMTE4Qsb23MTwH1ncfIJByl2qUp9imZZH4hnIAQ6qLEZJP5o6W5kxS6mF8Rx
IB4EUH+tXzjtcmpc1IKO8gfsxyhx3HnLQjN8yNlxTvOjGZRjsAsXN+dQXNII9kI0VZdlG+ty82O/
6NkQlLo3U7rMHigBqBOeh1Z+BqAyu+pKJGsz1dcCfVbH95Hovrf1AIl46GyGmpi7L97WZyLskRWo
ZTl0dZKPdd2jnFV7F4dXCmR0xY62/XRiPaXgUvYQAkyhZr8/SETX04YYi/e2fIjKHiSE8myDBhx6
/FZTup/WEfukrz7XtMomW/MXZEkO87LJg/ADllZO92UmbDmML17vd5cqXxA4AvtK7C6eqdlNyXqt
XPeeuCD+cSf+7PIwwcVQzgSPRqLIAbH1EyZGinVynrC8cFyAvqZ1POySBOd+I3zUNR/Yy/CLYcxv
ET2uTXxbXXGUTLwIVCRLjBsoYNg55xELsO6BDvXuBLslacHF2wWRApu6VpxoH3sIWgRfyOOab/BF
9wEo6njov+E4IOD9iZ+14DiHIT737ZTsYBb+Gsn20yBElaP1+nBd1MiNkA6M8vsKXuY4qGZfJ6iV
dMDHFN3riDUcg38Q8aWeg62sR/sejVvKW3nZkpnuqu2wSTReEqg8TT5BuobE0QYnKqHRzX30sUTo
lkXCUazWLc0W2B/HBPmvcVWQARI+7DjFaQwEuuQSFkNXubJUjJQtc6IbHYecukjh1aQwMCxeWDLd
zYaehi3Nc+0+ST4jkSQOPfDcIhKNSKOea1BUKeS1n2oI8NnVkLLwQe5sPDyNcotTlYwUjTN5a4ig
SDD4JvWm7hccCJ6yqs55sND7HG9Nav3oV6OarI/dW6DiKZ16w9MhRLkMaxPcT1dV2QxJiy+9wVnG
PqPgZwVDvTKxoL5ERnyP1ervJsWg3zyaFTKsoF9Rdc49GLzRc1/nuHNfXdnuKCrmVDsL7KUYPTrQ
5BbsirPeo2k96lDzZxwf4wFuPe4Bv0oKNiwkA43IrgEKl2vsbFvB9YaUg2nRxqzJCQDJePVYjN6M
t2fhRv2VxHO1UzM6LPJJz+YXlziB3DYYz9i4J0Q82LpbUbmVkZ/8DCp5oojknGWzpP0ErmdxTQVK
uNbQKQ3KdqQSC+7Zb2RuTzpc9YFWAnKdcvurbtwgc804fpdLKtvOSx1POzsOb7QcEzidfQBNQNS6
z/vYmS9zNzXPSaTzDlXhs2l3zdgNzzAKC7u1MzQwHcKWlq3MKf4/UpthP4rDyEN7Aw4+3+Ix7PdI
pwzYsD4mJPnuUvbyWXhbcNqC6j0eiHj+/SBtXJeVj6YdaeNDFYr6ylAwP6M/APbgM3u0LYMjLYIB
GpDWJfDgZcdcg1hfbLz7VKOVcL9YUA3HqmXiSW1GPhEUsukysmn/+OJcN/6RkAFujLUmt52EbWp8
cofWNRfBpMJ86aoxJ/MwlFGihufk8dAPPtZgNV8dFfTPSbuyE978ezM2CLwoxzuKhsYvLPrODXpm
mOSIeuE4O7sBQVLJ87tz6BYknCeEN5m+0Gi5OBu1L039tsame0ZPPSMx5PU5gh1i9/upsyHbRX3R
lGsS/WgnLPzMyes51q914Pevvmp/qUQ757gb+tdY0wgcY5OUv7/Ixw67Nt9eV08+IzGXfJ4poleR
7pp9slkPUTD4qVY4JYtRgjrSW3aDFy4pEb5+oRyXEL0IdmU+6JeIImXlrcS/Nj5uF2Wy8L1d4vYX
FYqnABubSxVYJGM3Euah5Ms1qQQvqqG6b1wOMNCjD8/64dceDlfW9fG+V378pP3ul1xs+IOho34c
Oj4WzcdSV1+5dOxb7wkXbED0JGPi5m47duCnpjmf+kHvHvrpuQo6efQfrF7T0bORjQEgS6dffU9f
IxI6zzE5UQH9wvL5i1mb0oNLfPY9KOU+mY+bjF8r7mmYpQHYoQnLeumvkYStPMJ0zfCK1908FlCA
+rd+5N2LQqfkupdJrAiJuKwFSXl1oqDGcdDMx5UnPHORCjuNqJtC7fCzADmW18FrLL2MRC0aZG+Q
+5BEzwlR7TUgbIBhNleFIopeEOE58BofPT4Uluq5GT81iKUhHhPg3uKisCFsKb8lhcsM+xyg3Do6
wSOfF/wyEoEZI1vyrGT/us6EHr0+VhDd9FKMnqnOkFeeZilozhxkiWKx0AtwWwD4SPJgz3NXqBd1
CwRL7/pAhmkb9N1u7kjwtIa1vkGALpduTF70pJ+1MtHJ+gjkWl2XMUSkNHlAHnTi58lruqJZx+d+
/W2kUNgecdudva0Jjt2Ebb8KagCkyH86fnxqEvgemlpbegJJXur5GqTy9hX7L9tHKiIHUJkWtXK4
4yRpnt11bPf9w8Nsw3dvmMNDYIBIm3HxsRLEFZDou0S5cG37GOle3cS7DT3/bhi6uxoBqPC++jUP
bnz9/aCXcB91DdmvQASR1P054LQaNwnHvYu+KcgIQW0MfIEYVuxC/bPAWZSQqb+qJC5WmvDjGoqg
6JNwn+DAK9QwT7s4xI1qSBTlLgsPHudzhm4a+Et4V0QvB5x1CVhccjYVKJiVk2bPRuig2yJNTnxh
ss2a9RQRZCjdUKAX6B4oL1uGUmMdH0QT7bjpvO+N9nKzIk/mDs7n2l3XM/xBQBByUS9BG+auJ+PT
74dWgJMm/HNvG/0UNdx/1pSTPJ7eOUCW0oGNchTUrfa0Hb46bUQz2sgfPkUdEfM1fIpBVKZt8hB2
Ngi1QzSeNW3yZRuAOlqVh4o61ySBFNMZwvJNaX0PHXBdUTBWuVPD4Eez1X/QZPyR3NxtNs+IIBX+
XKPiaj0B2TOckE6PajAsfZxXaxOVkk9A+HT/0jQ/Ndf7VW3rjarQvLGZ/CAdWHUi16tY0FTESh2M
oNW5DlTGaSAvDulTY73g0zrq4NzFQ3yVBJn2bjWXrRJv3giHb1bcfVJjCCtuc1VKvJijYuUu8nIm
uWgrG+x4E7ToyYMAAnQXZIR5AgqzPSH47T/beDn1LaEH+mhQlCuqi458fkEa5mtcT0VIbVAoj7Oz
0VRDw6NzGlTOnCvsULvEW9enbfEP1WaiK1+GuWyHejxLGaDurOdSPv7/4ukeHETqD8q/1y2MxGTw
Nmjzo0U0OMIWJSdaDCuS0S6ayjduHtq69Ofzqv3otPTUhTVjYVAMPtnHK9s+1b6zI8gtf2Rj4M4X
l61bLnhHM9eJJKwigkU5reowt7U+/X6omYTYoCks1RkAbDKB/I/lt5i9TW4TaWTsMW8A+7lf1J3H
nrVgCSoOCE1uokrb8OR1CIfktUU4ES7bzd/i583FFq+3qS7tYnwwz2AZ1xiBeOnxK7p59IZdJ56G
/YaBCLz23CfoYuTiOnM5Ta53JC3zjnPcf9rgcu+qGNfci+KmQIQQqlOnm3PsNPsKeE+2bs0r0pj6
pCGR5ayeACH6fntjajK3YJLmhjkBezq8Vs3SnwbFwM86/PM8BusVi/TJIgzyK0Yj2g1IaWkkIe0W
BPm/1zntHBzgov8+E5LY0K/ONB01LPU8ZI80JQqso4k5AGNn2uGnBWkfEnRxfWzeotmxxUaSKV+8
xs86Wku4nuD9fMc4d5xDSICPenlNFhQpfSRNGZLwGI1QG7GuVD523VIKZ2K7po7WovXXocQ38JOo
hiiTSPm9hpbtADU0wG0C+YlvpRMO4dFrw591su6apWqf3WqkQHG1yeclatCjkDavJwc50ihsYLLV
9sKWIrTxSwKzUbdh8OIl0KN6Lj7qqoYKyHV/7higl8m5+cbl+7V3Xho35OcZBVLWv/eRCEoTTe4r
0y42REagwW4iOcL0zEakJlJhIyh3DrTsTLGk4BzSEcZS9OeoRjSYMSmzDemTElo+nAYXRFzSIavd
xogAZ/Vm6C1ZkFPfxsrb+w23e2YwnqCzRN2BvcHr78fr72eUdW4K9jJGRlnLYyvYhx/YCfjZEkKb
qKb9XG3tDnCgl0FfNc9dYsyzb3+ADdW3BHXDpUamMhq24MypwQNspmxzDcdIDm7vFKDRPVbxeMJ0
lzv3p2cn6t1rwur5dZavtHLo2+8n2nsxCaG3mtPXAPXxxQQaaQW5JV/WyBzQxFhIdqLeDUHHnoZg
bZ7+NgEJjweA4x+zNRFG+vrUg0YQBxRRrUc04Q/odqcqO1gGgEgAfMH4kcF5CmWYpJEnlsKXZjwl
jzCEcDVPnYk3uV4XLKJqRc60iREJdKYSR0qbqg7hZGwvM2Q0MCuV96mRvIYo4UbZ2lOQha0JoLy0
DPJi750gSD+AjRLcfRSDto/UeEF/0t7NIm/ILNnL7weywAzTC+aR/H7qyG9GwKhvaGQxzyDOBzsM
+9bG4QlTTapDLypxSiLfO6xadsdm+BpYHFdTFwI1dCZdlb4c3xtkuUYZN3f7eKgG3Nub5y6ZgOkE
lKVSdel5UDY9WoNXDvVbbcfgFFcBaBlk0+HrhZ+WqXfTBkF0yNdqv6HkSLcQ/CqaZgsSEfU8fo7/
xcNcDBKZhwXnnIDwuWkby3hX23b8rBfbpK2q9dXMm4Uo1y4Is7L2eYJCnMf1EpW/7zxP3ONoJJeO
L++ULfITLBnkN5aaH0fv8wKw5vn3Q+yjGEOyhpbtqa3q+tqysTsrTBUYI9K+mLGL0r99//wHaDgK
QV37URTSmAYhDTEt7U+3jxZR69iHPrJEcBN70cKU9trim1Ub+TKFY5BZYDj55ODfSDnOxybB5kYp
VCqDmA0umCwjtRjkImRwqWLTp9hUxH2Neo2pHhbijt+zG/H8b+1UL2hNAE5UDACccd8TzCvK9Yjz
a2iGZ1srUzK3hTTdwSF3Xe9eITdw+Ntv2X+8pT+tGCQS8Td+XLAabhL4f/2WnS6eR9ONfdpOrYWK
GmJkRrLmnm1pwTA2qdQLIMeBor12GXXOkQ5yB2MZbiPO5ptwMDmodfrxKDBQyCTh8HkRLTm2nYM5
M6gvvkz8YXnYazMh498hpYwSGt/Hq/Ba9R/WYV83bcarS3v4kN0AjLRdbh4Kx88VBnAcWdd8jpVz
dBtYGcigsJPbgOCEayVP0AQ+oyNqXv72R/LX8aUodijFBH0/wqeCmN5fJXy4obSSFvcy8axKIST9
DBvyS7io8zvyEOhd0AE2QOYZq0z8nVvwd37oT9cDv92LcSGAd3uu9xjY98db0NfJMAuBeTBs9T9q
Ir4uoX+wjUzybpNVqjARiMJSrfsCJixG9vjLh1/HY2bHadj/4x8EBArqhC7+cEcUYeLjH18KtkEi
Ww7HmVH9Yxl6VPbioGwVwGibTmGFCH3kb9O+7ehfPoX/PZHs/pf3+5ehWn9MD/8xTPxPZZf/dbHk
P03d+1Ms2cE4YGhaf7gE/2H22e+/TPLHP+P1O8/8f7/x7yeUo3/zKaVeglvYx+wx+og2/Z+Isvtv
SYwvoOhE6BRXFVcT+8lj/hmGSDpIC8QOphV6Hi61/49ElJFi/astBVso0tGYzIZxoZgn+vvrfziE
K88DJ1/DBkcBUkSSkVPQQlCAaE9z2Xp7krg6/41RNIAXe7n8v4RR+Ohc0hD6xD+BUYRxB5NgNf8k
RhFNDACyjkEP/kswCo+6HxWK2v92jIJxDNCwc/IPYRQYvTAfIG7+fYwCUlsLeKX/H8AoPJyGqWvi
fyVGsTbhtcMctz9hFNUcmFO8YKbW38Eo4Ae5pynAKJ+/i1F4Lj8NZvnPMQo/hIqAxMW/DKMYgi3M
alf8f4pRMLnrKPTK/wSj8OvGFoT8IxgFb9UpQoP8r8QoANVbzAUM/h2jaG2LXApE+/8SRuF8QTbk
H8MoNmcBGMS7/xJGgVGbJThm6CnCtNdJ68sSgHOtA/OTzjFoBUceOmJ/OMFyCTCmCZGzWzyzw+Db
g7M0d1V3HPYru7sGs5mglQJu0N5UMuUgdHlnAAxTVQcXTPC41RaDxrrqB8C8NudteI90W+C33THZ
wM0sh8u7KlDUoYiQhKuqp8nyb0s4FWTwCi8WKhcYI5r6mNeQkTAwhSTmgXhM9wAt1R72bABHQwIu
4wzD1NYaicoZiFnQZc7iPuYExVVJYasDCAeftAVJZvi2q91AZHgFV2IRXXNX7xs0q/dJxLs4shiR
BGQODumrFObaNs5wTKCZJMp3T+cERxDG3BCbVj18dhffXg+r2sman6M+GI4eDZ4XTCjYcKTPVQ8M
EJFjV2GUUmuaYh4g+gvnVzsBRsLEiuAQdsHrNN9BMcKGF7XIaNI/S8wFcGv5ffIx4WiDI4duYUDI
uh0yxqCBrpxnGLhazuN88yoBFAChvIb3n5ua+hlQ0Hyr9T5Bo5vCEDBFxOvT7ERAXYYKzHuSQHsF
86xb511GAJp0tHql36+mQLBgmFhcilcNQG63gDhZFPkUcP/AVj4cMJ9tyjHuMqonOKrgGWBV9VmI
eSbp6uWVngEqsQiNCT7GzZE7TSGsDQty1z4GVaSOEW8WhGc1g0LrorDEiE9dtqSXR5awSxj4qhCD
ApIiwq5YDT8t85OjmNmtrEe6FDPv2IOmN/+LvfNaktxKt/Or6AXA2AA23KVg0laW9zeI7qoueO/x
9PpAcjjkSIdnJkaa0JEmYngxbJbpzMTev1nrW9uYSGbrXsVHxoszYelXnNZPj2WCgVfB9KSa2a0+
9d+qdfhAiN9yZ45PS6/Pu7lSLAbfBauZrHlYwx+F1SEKQclYo1MHebOcWOoeRjjwh9QSiVsXgo8V
A48YHZdi82/MSeAULZbXFD1ggPBguGp11YsZqJr94DmZ8KOZrngqYN6NCfOnQgRGn77VPfOuWU8/
pAkEgVxbl7d4J/ow289Cv02j6sxM9W2upO/0XbAsQnh1r0Q+5qCPBNilQvnoSyAyvrpMCPKuk6XW
HpZ0/G6ZzXyFVQvc3S6qbFbfGXoAyriKCYhV++wLgkSNeJCZSHW5dcQcSpYLCKF/Wb/yh8bn/z7W
0n/Y1FhY+nkc/rSn+V3W7C8I6F+/5LduxtFZrNJ5oISShrNF2fzKW7J/slXLNBwm3UArQXZjZ/4L
zZlICRocWiNV3zplSQ/yazdD8BcBeVsui2FpzAMd9R/pZpwtPOSPAxIQ7bZuMRzRNGH8jHb6fRe8
rPag0+/m8G2n6yRJP8OhUT0tVE/2VIAuUJrbNtaFu3T4n0Y8bZY9nXTsRCh8PqvO/KZpsInMHxlW
x12K8ReBWXM7OHPk2ll8sfXhsunXusGEaxspJ7UupJun0g1HM2EZJaLDGN9rqeMlUpt3kIBxHgNz
5hAWa1AasG+EyE3fRshTlPl9Y+gvasj+OkZC4seYb4r9Grfdmb8nqgyhfs8zGD8OE310Yaj0rJHF
WGcVgZYvLupI3BptMjFiYS6NEEZxIfAc4gprnsEsbhL1t7TJkxdD/KgjnOXjBNkhnh9EWjcuO4gK
Ey7HgGaATAsNrs48zK4qAHpRWgjwv76QTMUY03MeJeM+yYvrInYSV8XQDzUuxhvjYHo1MmPAUue8
m5sIxpzZAsGMqAWWYFzjN3BkbthvKJxPm3dmMxuYcgzk6Ddqrp7LusOe8ncbpCeT0kOyZ/k7DNLq
ornw6f7FBunEWMGlhPpBJKwsOmczBP3XNUjDz1T206jd/J8wSOubQZo78v8fg3TlrMspefrZIA21
6G1Qcc2Wg+IOCcv7PzFIZ6K81PFbB3O+35zmxeS4ul4esNWdVoEby6z7L01ErD0ResegLova/I5B
7KZje+ING7VQ2/iFwFlfl41oqG1swwnIYQbssMLCcKkk/MMoimb4lCARNzZiDCSx22iJooabGAJQ
7DaSojFbP8yNrbhulMV64y1mgBcX2UxMQ82nCiSjWWy4RdgFKVacnoHkdePwf9RTK6POV5Ux8Veb
f9MmWgXGubqNugitGQAZGhGz8bT5QSmzdjeAipxARmoFCHp7+UI2p4ebDTVHIbSGFgTaLveQws0u
4KOA16B+1ITuF+H4lOhLsh/HgZm/EV/aNhcoDNHIRjNOescIPXWuoVxONm7gsD81BUrDjYRZocxp
qgnYBUTfaX5E+fUxbOxMVn6+ttE0s7xX0KKWXzLVX5uNuFmWCZ6EcPSXUHVcEwsi23F5X5vtaw+w
E+thi25fR2hERZ7elIA95Ub4VEF9IrUUx2mjf2pgQFF+UXqbkEFV7FIx29FTvFFDk40f2q8GXFgB
Zceh8h42ymgkKb+nvnzE0G/gu4JFqvxMJc3hk04avZ69MUsL4KUw1kMYc7dldWg2tum6QU432OlG
PRXgTyGluPrGQxWAUQULL4RUnybA1OkJR0ayVjcdKFUFz3++oVU/p42zagJctTUujgQE67CxWFlI
DftuaoNk47TGfXTsVSSsZEHA3jJ6z0LElffGj3yjvOIPxS6GZVPbCLAVTs0zFeJtrVExFntj6j+G
jRnboXryYsi4+dQ+AMaBmaqYK8TRs8AYF1QiOy5Z8pX36TGq7UvdoK7X80kF3CCv1AZuLQuliDGn
x3v2XSk+8366KqrqatV04NA2SjWj4SeL1p8UFqC5ndZHaxRo1PUUR0/bnrN+zLxsndqTPgPGQiZR
t+10HA0qgnwtHJ+3ECM3cLHJVtnOiqd1avKDEzqXiPLhwOfxeuqRFg4F+ZG5OXoVjqRd2N4pS3Nj
VrDlVShy3WAbAVqG92ze2NRszfE9Ic9a1PAoJbCUITeB26dsqmwB5birFn3fq86tPtSXZkk7V23X
tzIu1P2U7sNYUo47O1hOGwBJuU0140arAai0Mr52Kkqjpk6ORZ/ezXHBSwz0xet7rAR6eoyL9Lxr
dBnvernSVK/re73WL9FsINY1KQFgoOWBU/ippswBYnTIhg1v4Jda8aEEHKe4SmsRMtHkz3WISx7V
x9meUO4izHst7T52h74OA0RAaYzdYAE0eE6GLgoMxHUuTsk8EHkDbCkxjrbmTJcSAwOc8syXEVXT
UDYpHrlll2upchqLBA5J1e9Lae/BnQhaw+OAypmlu590CsZtFjBlVSK66fSrsl6/dfl0L9vYQo3f
Alyr5fdCFxyYa0/ZI/L6Rs1XiFY8ZoWd8TRMDkDbgxxi1Kk1rLQCJftFVu8yXdNTPlIrdsltRScK
nTl/q4vlebQXxx/iEeS/NdYnXFj1KW0hGYGJ4/F35F0+Rier5m9fTJGAzzvTHa/xfjJhpWPxeg41
9jYiWR6AZBfo30gKqdtiU6eM15j+b1QwkGDX1SmIOZz7RHzPGOy7VYgsLO4mbBnV5OGZRx8eM/pw
xlJ/TaIfhZNjeFBS7WLT/VcIFdF0zeNp7Q/5uJi0r23rx3PkQ+1tb6ZFWXhyItVDpOmqqfre9Qgo
2XW1nl7i7atxc9SVVh/nOrxa0Ggd9XFckZyYwlV77SZcm11YkgIBXXqdlUe1/q5a2Dqd7lVViqtx
VX6YmLrLddxTlLt5vWyGxOo2HXF55M7j2oVoayo/YY8eYWSgPv+ZLm2O5TsDhWPFaz5J7TBuAmOW
6nIab9qK30nk79U0gaXDcAm9GD/NqJrXZSJRI83PRTFfIvj8hShuTS276jXr9CAL/c7JOIesgoMd
o75tXPeIgFnnKSfGNg95jNzSyK7y2diFEhnDktpen5ziMQsKg533Yp8ME9IMFm3TpL8NFS9Vb/To
mA8OqsveX+YyQJCCH1rZjZm505A4uaEt923dvmpr9bApqwpzL9vqoVCyTxDnUJSLs+7wPlWaSfzC
55ppj4wgL0taeuqyXaEh0tJSHmiErgYFsUlP0EjYBWVV3YbdcBlRY5sYW2bc1MBMD1NLTW9qOIfA
CNad3w+4WCaEPYnuj+NhkXmgDV6LKGWy5PUEkxbAhd+06gaFw88dXWMDe0SHdM16/V3ve39Uxkv/
68s74lzQ5blP21cpzF3BSdHozmMpw5MKROTnf6LRn4cMl425m4YSkHvxLhXY+JCZ6Bz2qdk/C6EG
a5mXHkqvXYvtmEUU10dTEjZSOTu9IvGGpVkb6One1K8G1Mro6f11jB6czLpSuvRDZJQHal8MuBgj
C/9dfmnGT70As8iBVqRPfQrGsBFK70meTLqMeyYgZdp5cT59pDnHlEk6mCtHvN/GAgpT9nnv9mN9
49xCf2qR61vY5Jbio5v7KsCBfIsFIkBiP79ara9iqnJbKyS4YKrh53V7kmm0YNL6BsrKflAj7cXm
mBdOazzMdnnHeY+DVpufCqinQYapliQAn2kd1onY/gC7pGDHX65xnUjXXMWPSzIknx3SSEwo9Q07
PfrchqEgFHHd7YuKwgwZFk7Qiz59GVH8NYz1j2JovXaMedhyaPiZ8sBueqG1G70tM/VQz2enR5ZV
6Wm+G2xzbyCtRn4AEKEfSbLQ6H/VqXxsh/BtmVjl2OqKWXVBFmxr6i0/na9s3TXRx8NcVkdM1fSu
6qS5PZpLr+itWxsNqJvE5oPdIdpFFdrCQVD2xRDewwxsfVNL7nH0fDjq/JI37XlhFP8wxcpHDjPV
IsjFn2rlTWm7Z8yYg1/1oDOyri79Dh3Yobaupu2kLUHdnzplepdj1x/t7BV0RR8ge5ZYa0irqXPl
Zs7yf/Fu/L/wrAm9F1vr/5jt/d9HUst/y9X9ddr0yxf9Om2yfxIY7Z0t/w2RhcZ06HfTJotCkLGR
LVQT5vD2o/66O2fmKe1fvmJLZf5t2iQFTHCLjbsK+pdVuOr8I9Mmuf38P0ybTIZgDK9sU98g40L/
G3YuFjQjVNeidUV0Z/NpPCdivtdMJT4MNe3DUrU+0Pxqp0ZV6MoECpzZ6vu4Zm6aDxZ0FANIV9Uq
TmBXLYD8OFz8Zsq4YhCJH3CU7Aa1CQMdoZmLQLDGnNWt7vtjjiDGTez40Bfzt74f0TPH1j2m0Y6G
MBaYUblHshUHL342CiRIYhzgX+OCMcmUje1B8yQtAA/TRrtR4+G2KeB2W1px1zpwdQpZHoQx/Cgb
BTbZXOl3k9jbi4AJkJOGYrbjuYij7oAJod5l44TunuddV3u/7dWJjKVUdzUwsJAH+9cWY24+MISb
avuK7DK4ljq/wjDDi0h1nbQT7budHsMOuWmZx7WbjXyjOYru09H4QgPuF6Lah5WsA6HRqqGk+8gk
yTZy5j8eCAuq+9G3Nh14IRjhM/EzgyVRj5GjOGctm++nCcJYYtrHLuv34DQ8p0FUbmnqmerG3hO0
EPnGAGs9D6U3jlO1a2eOtbkNTY6W6rsxGv2uAgaATzQND4l9RbF0mxihju8aV9CM9QIUqdWDJdh8
qlxbNTOudY0+cBhR+Ekm6E10VwjsSE1dZC6a7QEXduvlThgYmiVdGT7TnMVHu1rSfYbQ/2wb9Pic
7dWlG7h8Y7wV4DfmTwSxxh0wmt5Lk1y7chgGPrbC5K2xQGD3URm0zXxZktHwF9PTFm3x9NXKzml9
ELMSQR0Szt7qWgH6dIqO6oKLWEU+R5MDAgSIF8kdRCHh6h1OrAtiWFirYIMCqG8quuuoD3dFKqxD
M7KAWlPtCiF1FQwRAsWsL0a3Yn3jZiaN2myNrxhMCUvrWH4VbUlFP+QvBgWZs8wQPcYGPsqw7HUU
i8moXYXGhMa1KAyoOMslnrZIjozDWpXvddfOKO30p2mtv6jq5NJ8EeSTBSLLfsDpPOY1ddM0NcQI
hZusEqBh3X6r0mHnLP13qnIGDyVoZGT8X8uyXBxs4Ekuz3YxXJRpeEnyHhwejlCzW+LzZiMo7Fnb
JFsxOAD2KlUk7hKRXy1qe0+Szc1ICBOZfsPFVrS9Dcac+CkIx8I+wBA5FpmgbpLJq2Eu3+x+/G4O
XXI19h+lsuIWn5vmBNz70C9V7Rm5qmPODy3XMLTFX43+MPZ1vIuyReyimLp+qvBa8JZdZTVllxkh
r0admR7iLnfpc4iZKsfRVcL8NFp0Bl3FJwobDuNllTe0pEetSBeIQH/oWXk/hxhxYLoHXeqsGALW
r0nF3JTNUt2Di8nc3jFehw0VBexrvUjFvNMaTrAxLR8d/bus4HRUBkNkI/7WE9uFEaHteHPG0+z0
mVvBP5DqBCcIhIxhV1eRDojT5FaWU3QeZmSu5MQEucgo79JPVdcPQAtmNxblQyboe/ho5+XJHquv
MOHPRsXG3j9e8Grt5tR5YLvJsKhxvHS1npxqhF4URVhlm+444apsFd3wDBPuWJLK82imx368n5bc
wbcbQvnZ6A86yVWWtdPtDbpXD6QY6dSf5ZwFOuDGtdDxKCFWb5PmRQVKNxsq5VBlHFKdJReiWV4h
5QRmSvOaWQWbtW6zkKcop660UAAH5mBcQf/SgnKBhjWlwxlL1ohaMn2wRZl6Y31eYbk8CHWLSWNh
2jvMgqySPnyyPq02tPdaN7zLkMBBfrM8H1M/rLTvY4sRImkMB8U+0sIMllKpznDiswQvXHeZOh2f
lxF9OPbUPHSdpnqpyKarmgSwh1a1HqY1rd9rvRx8Z4KG1rdz5XH0c0RM5cheFdNpjHrZ1dWcpbcx
D2T0Mb+TSXOAmjddaVCqANnM6l7LawLXaKT6VG/OpuwnWgoiMYeFQcBAhhfNG9bxvrvh4CKoUfCR
tGPoTSKWQPmAAfIZmm7NZaYOB+Kqq/40OMUDxxuGE1PH8zFdCQviQRgZb9iPqnfjGb7Kem3L8qxX
DXBlI1ZPhs6qknHQYV71+ozDH3QGgWouNIvE0zFy+FCnoEU16RVg9jaIE3Ief65b/r1Q/F+mKv81
iYWAWNPS/nSh6FVJ8b399ntt5W9f9WuVZ/1k6dqmZDQcbloqF0S0v+0UCZYg1MUUkpmPaluUcn+p
8sRPhqrpkqWjgV/vDyEuzk+OZqusKIH/qwLD/z9S5Zna34quyXWz4DRDcYHhbLOl/KOy1iHvTE0E
YDjNKku/rIrnWVN2PUMNbs268kBVOF33I3Qs2v3wLp36Y9akqxfj/HdXe/aVDCKQ6AgnbYr7DhUK
I7jjUGYfrROedbu8n4YUCCSE26mzfSu6d7obE2wh46YdExVmAAS2VaSb5eIapOMJ0cMbzEmQq4mb
zPrTrNvfzLX02xFgoTAxOoRwZeY1QbJS5DtUDg8m/rYu07cwJUkuqplQpGE9c8AwyEolGUAb7lJq
hyv5blAoOAoBIpt7gcCnGYjFGHqrNQLay5wflVTfza4DXCPtGXuYNQKRRtdVpSBBQFgfZSK+Ma/D
z6h/Dlnz1GJo3mkck5kYX6PeoPws+3knAQP1FAeG3eD+p9G0n1K8xXMfNE39FDnVPY5wf+QuVSvX
qiquyFCFA4rBjvAvoJhHQ4VHmsYh4LcpcGTTYwYb6NwNJqExubWh+GjtWzlt6S1FDvg4pOLNI07t
Mk3vAFu0Tntg5Dcfi41jWJmh7lskl1bFDMFJy099go027MYdc12+rUFhzdk/tyLG0so81MJzDrg6
71xDVVSkSsOtBt3cLeI69SJr3GUVg35J9O4soYXNwAtQzX/YzqJ7VaZtqmzTY+OeXa+ppWJEW7RA
RKQQ6uvwYxokCNYXwOaav0DM85Bwn3MZnwrlResYlKnYvZtI6CSXNsJXbe4Vo5yi3ZBDxQhBxh2F
fF90xrmk/iVedW/XS3gamTMc87i5qSV8RnVl6oTF/JCoIqhyvEkhr2Cn0jq06ozjFD54XHQSZEhx
C8pSIyHRuFTZslt0rF11gkWafQ1Anh30ke6E5CeHf61rQLgd+YHPoNqVm7RkmoygN4arimGkayWR
ehA9aGxIg26TkF+bWeV8QWYz4uNR3tpEwTWeGodC6x/CtNwPFYkT+PtLkHogitmU6PZ7Hwty10bG
0LD+kGgRS7wq9DuWCdEsLZmrqF+hId7WGB3+igSMXYefWAqIJsjj7VAKBt03FMr145xiwGUp5UXA
IpMxNynWKVN6PKR6BtrQbl4HM6r9Tt/SePj2doUtYpwu4DBa/j5M+9GxBM1agL6bi8iVDj2Jk6sf
G/kcOT5IHdYqTJtzaHvplZrbp7w4OacqwqqyDhvEYWCkE/8o7fXDTMZTgdXdbZzpBZK2BrjL4yN2
7vP4hRSC61ER15MNnShmKmxceIrWwm0dVuIdVACqbRVdDb0bs9yB8cyMRybCm2IrOqg5x97lCuEy
g543VwZUBAL0Yme3qES5MM8nIGcaK68s4cM45Q8G9aa70lKpcYRXuypSL4mOhVnrXoFfMRjoUpet
XQVLDyBMlQsvUgk5aGtr063BrXHRQFIHRFaNmc5Iu95rW0PMYwwFclt4NRHxc1vbTB7LfZYv+blT
b5Ptop62K1v9+fLmFpfbdR7lYeyl2xU/b5d9rkVsbCy9PZhUAs1WEsitOGACdLZCsV7nb9VWPChU
EepWTgzUFdUy68DKIFx0c/HQgtgGpJXoZX6pzOG234oTdStTnK1gUbbSBSCnPC3NwE6VsibbChwm
ff68lTzWVvwMWxm0Ug8VSdLsu6ZR96CQYAluZZNO/cTSEfmZ2Q4BhMDBZZvHh3QruORWesGH4tXd
yrFwK8yarUSDSFO/d1RtzVa+ZVsh128lnSOdBZt7Q+2uQ1HoHM6VNbKtozAHccdT/iCIT4JXB2s5
s4hyGMwBc5atydtINPlFabxQanuHE+qe2Ggb1nrKkg30YxDVZhqUU8dumNxECIuJvKOP9tpchxim
lPU5BYTxuD6XBcIKoGO3akZfVot9EccQORQr9komCCYySeZvCwbg9VVroeiv1a7I+E8YipSeMx8g
znR+BTQuCHus1KtO/gcBi5wGifA6bTis9lTvjGTu9mXSI7G04wHOGOljs9Jcsno7eS0wtargiJ2G
DmK844X6Cj+yzj61VbQPa6GyIVE3JCNYDW6zwjd0j/AOF6qOydugU1Uz4YGRYOkcYcU9wkoTc1uM
7jK1rxPd3pU1ubKDMgCrYH9+zuTkr1FiHKxyS57WmOFLfPB2qOEzz7EeDuUbk4wc8DHwQVOBEoZE
Jgs/i9wOCgHZPyln5TipF3tiWUYoUxaUOamqs94zLoEHxzjiDVa+eVU4ESGpSzUeDVoszS4ynsn+
jkuGZwCOIU59VKXLLSGOTcBJZfOmgqGxh5pLuaPB0XQ/k4BtsfVClLZ1OJmkUXtVzr2RtAT9JFL4
UtHsC8ZF5LXiOTbRb/L8rQEFStc6kpsVtprZO3yQwuojGpcv5sic79PwBqslOjO0i49JCevT1PNn
G8fl87YILJOaJFrIb1aDrx0qoQB9Ues7+LWvg7FRZlfxLVbi+ykc37r6JmOxvi9jhvhTWhxNraiu
tdJSWICSodsP5XndEjnzoj8vKqRMhW0dXCLEvQl3kNFzvIkoPUPjAgnLNoJe/W1Zy4Wt5XSShtR8
JLQXiknI/GHL06uarhlz2TKoenGSR6uEsshg4Eq0GDfRKTDpGc2nRCSgUIq6xVeo1l657lKpd4xj
eGWZojHr1xpaL+Klch3ebW0YL1BnLOhKgL2rlANjWO2YTwgdTpl/G9po8ERj3vcKu2RDlJVbFV1+
VkFayxhw4qgtnQfGAhB3Ypf+BBbCzJn6NXP8w2D1EGhTmSNmE/IBQOSH2BRlVvkDZNp8nvPq7Dj9
N112z+lldubPcmR5xkbgSyiXqjeYBXKWlasZB5HmXLOw+GR5+u8Yy1/anf+8E3Is5087oZ/tYn/T
B/3yNb/1QTbthSSQEs3lNk3+fR9kC1SVtDJAyhySK//gFMMKSudEN0SgFybEv0671Z901RFM0Bmj
4+4S/1AfJJ3/2Smmbb8wrZipYVhzGLn/XluJtXoxbFEDM4ucJ0nMnTs7e9EQcdz196y0w3PFQ7fH
hv0Vo2pX4XzsreVljKyIYyYYmlSQnVgdcXZHblGrZ6sZ4QzP3yA6MawR2TNSG+QMFXS3pL41lUlc
mFjfEpL3NWYxV6RogmSoz2IsJ/bNjFpDO9sl+HF7fYRXp9r3KuEyu2KkGgwdgqNX1nszuPNAy7Sb
aiCpK79IfdCuW9gL7H0aw+sJXW5X5n4Jz3lfVTcESTU7x4qQexQpU4/0pqlRK2XJEcjidxN9fTun
9yXB9gDC0d+oOOhvDDv7Xupm8VYsJ2AIPUb6KffLBo6bJqmfFI1rQI/KvQb6qCARWrFax6tMs7iB
25UyREGbUoV0TRojauSkIFarAWQbovUykEoMb0K0VFyoQpCKNWXT+Usnb5s+vpUqtIfJZBjeColZ
YH3j4n2SIzW/ULcTcTSO6ZAoN+2DXPqbqhVcB+vrgAXVjEhYIi6aWXDufGuGfF9n048hRIxD2sh2
fK+f0O2vks0RjVHO4vfZDbL6WhvxmZOXsvb9vo1SFBZpckUgShCPsiGaZb6YoH1JQXhoKe7Lrql8
o7aSndlmcP+YP8LSHqv7PKEitRDDHjjEoWp3AZNOn5EielDmkxSNT0u000tnCcgRZ/k9qTlxVzMW
//XYGhMDv3+eSFh3X3aI56KsnRd9locmF8SChfdRVdtuuMbFnpCD06SnDpWluDeQQaJ3Azhsgl1O
Cvmepc51RcdzqeqexiSeD/1IPxkpo4+JPD00WWtwCaKn62sLyAiT2KTVj6W9W52+vtOgjHANw9Ru
yq9uyNurpNxcGAmGrVp71D7mIo8ODTx+BmN9ASwOCpJtTm+FxXJ2xXkCmhvqLutsTPZWJ16jVPtU
LIDDGdHPOwI9fKuTp5xC4BKBVb3l+gRZoMAFJ0xNjjl/sdBEwpZ0IIDnYS/NzEusAnznvO15Z7wb
GfN8LWHnLtqsDMa++BoXHpEsoqLqu+26yzV/XUJ6gSXQ0Hi4WQpk29z2tyEQSDDVNRLqjGno1H0p
a/+YyxpunGL4SWk+L06twZVPwSwmwvBEVHxOI5GvMhwuS6ned/n6sBFCcaa2bIL8odB7F7FWHrQt
VLAqSYMqrg+wk8YMDQoat4i89eZHyNMD1ZcENSYd8LMgGS4Tw4yh5BFXaZk63xlmvC8vXR4HA8Na
E0DIOryX6WcNcZZktrZGZ+KcnOgo4u9W1HgKOYOIq1xUaZTdxwx46pizzmHHX8sXthdYYNDgTW8r
8hSS4AJTeeu2n8WwIv2qun2i0KdBfWLvtZxHh7FC9ZCgx45RUzKo5DOHCqd7GcTOMm+19rQiM2iU
N7N/Mdph++Uih/3aYTFvGob9hVj4+8Co4KvK7VA2vscZ2QfIQxwOGkdDwcXMoSbjTBi+k8deq25c
+i4QYQcAF8HE90pAnaDXyCy/T81d3Dt78DH+/I0zjR7H78S8TzLys4ZrMq4O+mrvieVjdIP4nRH6
OqLFZsphR/A/SSWQiuUVuUMtvxusS110iKUW2remnR9lnqVnxm30LYBXWKaldCr2iP1T6ydvkTXA
7Kl8Fnqe3lAPE9KhlLdIZ7JD066HLMpV0pR1ApSiz6UGog7VUO4sodf7SO/SB0tfXxemzqyBkjiw
kzueQufUrHyjeZZpkJvgXvuydDzLShJENPatUODTJFVISH2eMRhfzTMy9vKGdDBezaqF4kNen8vE
8VlLbIB+FbYaxa6h31qwRSLC1P3C0lN2bhR7ERAGG1llTPF4bGsTIX7l3CP32JHAZTEUtN9pMk7o
Qju0iv0z8Ji9lF3rSh0VRRnBVIDZG+RKpruJU1/TS5+ElX1f0gV0XZv6UQvYQh3J+BLJ3UquhlvG
DiJEZnqoNo91hT2umzbElLJ+09VGo1knp7lNSRQoJOxKVczPXcNIgsshIsewxK4El28fTuOLPjYy
6HtsaImERN7E8prcDUYvsfMoefpnqhTE/xNIdMAp3rQkCAL7lbS3jHNaRCrh6fZtS1JKShANVonx
UtR9xBxy9lXDpoOz8tabaZmUej6mdJruusGt/j2QL3uyUv7zMhT96p+qLrxvXf8jr/4b5Wj58Tfq
C2g82xf/5vVB1wBuBC0Fvh1QK/zRb3N5DWGG3JQZoHuw/PxhLi+Z4juIe+hIdKnj0PmL18f5yYDS
wjDdAsIt/kGvj+ls6em/h29AvxHAWlT+t6WYm1u9+jtyQaGB7l1C2MpbTz5Nj461Qu8motTvZ87x
ri8vpQjfwtHIuBDq+k4xHFT2KZ2vqnXS07VpvtM6juUoN9FiVKztWMvro1Yw8xQHSl3t3DAzaBY1
WNao8kyNjX0xe2tfeFLOzhEqK/vAonutmakUKueq1iG/stw4vEHAwr6WQfi2hzy0DBMITmAi3xjk
jW6mmXS0/NhiWEJakg2kngw4COe1lyqsTtdQeH9nnpC92LdoUe1/bZ4QD7uzq0aEFP0/lSekyCQ/
rOr49M/lCSX5aJ6NuP9jntDQbdkwUInccfh/LE8oLKll0vkPeUJrnzyqujb78KOfiJD15rmLvGVm
EBs5X8R+UFAxVZnU+Xd5Qg4hzxOu77/mCanUpjqX7f/+PKFmDamYw8CsFB21Krj/vzNPaFZF+JxN
OWHjdvQMZjfzVoMHBmLctJ9X2BQ1XONyUlzZIFsWPcu5NulB01b1ZWlYHlQ0g2gUqGN0Y3XB2fJJ
yVp54AzDAjLBXofT6LBEgBrM5VlnHVuxOeJSdRBfLCGphRrywCUmatMkMNYYV8jARf44CPPR0HjU
mbX7c/816QypEeabxE/NNAlxdEOeCOFDxWGYk+6Glge5f2rzSyhzHqxYfNcBSQxp9OtuDKugIe/d
XVsyu9tw/JYR/sQczH6B3Xer5xkhwrGiQHcbUG+VfOM4dQKr0ZybcRWngog8f21pZ4vQfIf8wlpA
rGeKkQjtKUeQouZB7fQnBVp/zuwJliHD3eRWiugmiW3p//zy2L1l7KNE/5Eoy9dYqfXBKDTjYKdm
EthsEkAdYsgmfwbhgDmeNGt+WDBd7Il9oIMkTRy4teyR8jgfxrqYJ626mN0W8YLPw6fijT0dSfJB
n+OIpgGF+AJtNWAZbO9ZPwL27PZZHdt+Wlump9Lr4B5KtGOVgWpd4/qoZo4nhha+FXsMdnLsP2Ln
LWO+SvGMamcU+lPVk8yn8udmWzLi3tLM4onvFHMgV2hnEi3/wKZ8k5pIvJpyZWK6OJE7yUzxZ5xP
10qY9bs6X6wg5H2CjFPdZuyiKcUJItPWIgsQ0RBisfRAA8o80MOXnkXkgCojUFQ6fwKNsuulJkAE
G8jZ2rZ+K+s/p8OrpeKT1CmZ021DqJjjDuVb6uEiRUXFGlH+D/bOY0l25EqivzI2e7RBBoDFbBKp
KyuztNrASkLrgPz6OfGa5PQ0R5B7bkjr112vskQi4l53P670xITiCnop2HQPSm3Exgp6QCmQA1Lk
jCSZKW2yR6TEQnsc065cM79yyqBjUr6OkJMY00Gbmn00BGka304tOERzJKuZKT3UUcpo591oCKU9
gmkExL1UCmrdFZJ/MWys3A9yaXKXRG7NqhRtN7/OkGHZ2yMzY5XJ0HuRaTWvumuS8pFLn9XkP2hX
j/3eVspuZutovP3PpDTfWKm/eiFfen7FO6ULDwjEHkKxweqjGqf3bDHB+zlhz0k+8BOhfLbsnWnr
KsW5wqlNn+j3rNb0i1KlQ+RpCtdlEHeQag18i9WL5ptECYyOKXtEYohSMlJ2dkgbUAgO86wXAexi
3bTLwQq7COSzUsphL1Pp5SPZD6PJu6BYz8jqKfJ6SG42msDtI7tHyO8OvIUh3k6OduUOHPnM8a5S
68PuUhq3kaTsoBywzschwYf8rkPkH5TYXyJfov0zbdxlS/kDf7JYD8zmhjmjbSvHgBV3BxsLARev
I2uGb1ATYUpWrVdeA2ye2yVMYTPjJjCs8MWvwmsLn9LW1/QDxUg0A5vMgPPghfulrivKN6zXqaUp
edKp3rLptCqIOwfSi+ny1Jp8XVRgLfvo2RIe/V6NoPTPrD9k4V8pEvUx0ifWN+yN027b2jhbyf8t
/BbD1Anfe0cMG5HH9wPph8YXR7nwtcVsyLziDhbBwRhfB5ppas3H0DMSfF7K7pYmmENqOfE6AkzI
/Iiuk8BhHbP+1UuWS1qYJAksnRdDqHAi5kQwj1SaRLwcHbKIdr7TWDcFki5q/PZcm9wcXXNuiSDm
iRF4cuYF2wuLqoraeLO7+M1MVy/WjpUwmqd2ODDcRPvFobWsrtybWZp0I9kzfN0wyPN+3tbeky+G
NeGnh1BLixO0XXkI+3lfZbV1TMVy0PQiYfGZ4sF10y88ufc+aHfwf+SlvcoYdlXHHU/A1tulFSTn
Gq3SM7HYJ3BC9QFduiMRhqs13RlGqbMZUPUlc8LX0Z3Rh5INSTlK/pxPYXWEELFfQvJdqJ9dFdqj
DTGJ3qoKQkd/l9v2NyJdth6X6pOt7XU/RUfR1E8OGN0t6aeCtamVnvzlaGSGfQprezvX7WPjiCNk
5nNokfmGf08Nkr8Z9YQ7BdLv3H2NYbugvFyz3kXz92KLSy3ohpYfFSbjjO3bmAZdljwUY/LWz1V2
kOpcyzCO5tOxGuf2dqCYeKyZT/OqMgBFTNHeqummCjnFF9UiyjeWxscq2VE5so4rj8SjS0+n5WP8
HOr+zhgaGhU6gWmrx7E3ac6dRa+T10znf82L/+C8iK8KxeB/d+lv3//s0YfTqj7kb6qFrZuIEh7p
SNcxbYWs/NuUCB/C00E70N9g4KviX/2VCOEyCtommobNf+CwnvmvKVH8ht/Ls9AtwBgKBI9/xr3l
qpf236ZEV/cF6yTGRAZOmxf436dEIlHLHHOvW1k5kWNH4F2YAKhgNaE6xoBxXnZpuI46FrbuGGKT
ztxbZAWq/oSyvmgJim2EIR9bPbWBb7nm2wft3qtuDIFLpO36s7+E4XUpog+zusHnpu2cauo2lui1
Hc3Ih3bu2gDCenpjDCmUXUSFxOiwNZbmXT6M0BFm9eCdKB+kVk9r9IeGAs+gL6j7NtrR3oHjPfHg
Q06O6+Wk6elLH5rpden1t5697c1Yv/LHEZSnG7LQt4A4YbQ5iH641z246dOkX2JZzZDCtW2hN+1B
mtorQaztnM/PJOSgns4YkKPOJpvwCWE0Rv4dTG5LhOS0ZSP07hPFdQfI+K3Kzgckli8vA2yh4aJZ
Mv8NREuBDWrVOfJ1tvyXjuqboP+WmveDO4S7Q1UF4OG7VZzNb5MVP5oWf5JXxE8LKoVXZTS/NyNf
s25VO1dgHZr4YQVwCXd+FZnYtHscETkXpWb0Lh6dh8ubjz10xYbubJASk0UJQHl4TVtnn7nZu9dY
OyKotCY4OA8qMB5BlbJctazC2A6jd269Qu6cUHsn8HibKIfLhCB6zW4TTwb+pZhiAoKM2b1BwKEf
/HbnZtRz4pWgBKlZO4peYdFOs9IAWlDfoLAbxiV3yWHyjFxZkY1Lm6x3zb7aGcUb1S400bds8JeU
K7tTjy4cJTZ2dFOdZ0XW8L1i2w2/oiTUDsLeiGLz0Fl6dhrNaTj0VX+svRDY7EJBO7HSZuVn92lF
exnSUYx58FuL7Ph5TMp3Q+hbH3sA8Xi5px9SW6U+WgDw1CGIYhz6JpeZbDEAliuaSIuRIa6wNE35
QJouWj68kkYYzY+7K7p3qCsyNJ0lBSMVuUvjOczSu0wH/q44Jm0TQhxm/bxpFeWEQYqESUJ6sKcf
wjVu+U2P9lT1JTgjLH7JE3slwaa0ip+CjLd1Aaq4gFWKZIiw8tU3mWKucL5G23mwvi3zvQbKIoro
y1RKArAWe+ALIrN/KiXnIkV9N91AmjrsGH5clsOijb5Cpz/PDGumCnXFVHPFFqWAdu53Gz97cVQA
TJIEq1QkDDcfXXnuSaqwWK5iY1Vf4O+yiJJFXfc0OvGbp0Jm/O2bidTZouJnBTm0kDxaqdWfLvm0
RgXV+sa7M8twZ6oIG7f8mNAxqba+Rs/r/BtW4DkhGaJvpQrBzaThdBWLq/oIfxTsLvJyv4I0kKgy
9ld0GlDo+To1+QPGJ1zmKm9X03IuVAQP7PSuVqG8ukTkRP3vw47WRrhObVJTZBt697zrA+rm2pVp
NLi9im+bzJ85/ozmqceYDluMSKCpwoGNRuavUIHBjuRgl6OmxmQJN407fRsqXmiSMxxU4HAmeZio
CGKpwoh5vA3Dhg6AfnjERu6C0S9vDb917sEhbJXV8HmhzWOqcGFL/ruE1GOm4o9w0Vbk+MWKe7bn
LONLJMSmPOcXORGdHMlQVipMWalYZXhDTvGChZGSvl+xSxhiJHFsYqoqlGkQqliallzy50Rmkxv+
KilRYPtfcU5ynZM5vi0JIccvjcwnXY6891QMNNPbaeXGxWfseSerDckbmbwrm4c5vrbJzKs4qa2C
pUyiW6eN4l2nQqfdiJOVFKqu4qjYjzeSztuoP+hGDXRfYu2SIalPHHVawb3OhNwzTM5VbDT8ev1a
BCw3BXV9udnTjWa6tzFnR5CP+RnZ7TS6H8qbh+xc8CMA4RFO3+jAOHYwiC4yvM48ruSh4V7cynuV
xkBBtoZ7Npe3KU7IwGvLh2lsNjjix1X3EXO5W9H1TdGSC6h5eojz5SH0h0eGHfdkT6PKK+lvcGqu
3fE9TNwbguhYaFPt07Al3pjmLh/jB0t1/1aFmHkbQwNxx4++4vU4UzgE7lxQ/UTpKUcRzUbMYk71
3QvElZkeduBIKAY0GX9A3S9xSi7fizSPefnshfG4psS5CAy6Kjh+Oobh/MfhlhE0lfbcCPcLqskv
nllQMt9tPCtE9xr0K7IHGJhjABJ26n5KM752armz2vlBWFRjFI4eDK28UGf6ybblzUzpX6U0ts1S
jkV+bwQu1JU+uZ/wmN4yJ/toQmaYdNvYWY+70zgT8X2pGooMhEHTZg1gYiEwFo1PiXuV1ftyLL8G
jwKcsbxvKizbg7sb2gYT9KS9JJV/27jpqTXvYbWzJHkpi/IjiZC5araRxoyRII5eo9bDcBu9khLZ
GtgAzGh8Jmp+ttuF/X15LsPsMFm4yjpxF4X5mdObhpBreZqofsM41146kV1PufEwle7nZPlPY/hM
ofWnXKyj4xTrXnsgFxWEzJQOSRQdS+XQabd16Rya7Lkb+ud+NG5KNyUQbSVXvBZE5fouvoFSYDnq
vcrWm/bcGX9FllHYU9ovDAVb0fDTsj77ZErWlv1U2/2ybkWK0xF03uiiCmF4RqasJ9SMzzQzt60s
uw0VrxTn0oHYeeu8Nr+6TFC3hvmy7i6V8tdJ+CS2l+JQLRKL4Ih/IcRD94tkR5QRQIGVSsALqtWK
frpy5U1zGmgz415cI/bO8cWJOrxNtv5t1hi4Zt58s9lFK3pjcOAKjA6VQaNeGD5TGLp30qTaSseh
FTyzP2Qr8Xk2FYSwoXjkIoTfY4lvF0+/s5p23FC58DPkJYF9481WS60UcXh0X+syOflOcTYFPldK
hk6mwTYGF5eT1SfRxU8KfY5XON4PfQSvvbqf53Kfx65P4Wm+bXp0xRoO6MbOXkxTlAGI+SgoJ++r
w1uM6nkWAo8jxeYyaJllCQoEbYjllGfPeaRwNpQYH4dFbIRIvrTSvaV58R5TGHyMFEUkNL/9iehl
TYZnyvg8QnOuknrimTaMSRDVyxOxng35jJwsD+U79Peuw2J4mCsNN35GGkjXHzBVHygXm9Fz+X5m
miP5Xh3os6NwF5A+oiB7BOdLuLwWUenf7sxDkLjbGo7QjecW93TWvVmzzXNA3wEbRGhlmecm/PU+
hlyP3E6ag/TAv4YFOPZfcrAWR5lb979es5uBneE6uy4gSF6H9bJjA5eeuUQpfm55Kmo3vk9ngcNh
mh4Gr39Lyr5+DrEn0p+UbjK/K3ZCRJTpWLa9TfP5mNE9U2v5TBqtf/TH1jnO3qRt0oyn5b9Gy39w
tCQy839Kkbv+vf16/5Ml7vcP+psESbsD57xwCAFZQrfQGf8yXLq/QT6Hd++TU7SFsHSy2X+NBhm/
oT0y8+mGq1OXoEa+v0iQKgBu6Y76M9/VGTv/KdwgMaQ/DZdEg3hvYLLzMOxhwftTADzJ4qQfTJ/n
S0SgoHuxI0nvW8dG2GU1TDQcUGjJRkWfbHpWtaa+Medi43e2u1mmVtJBvRQkahttXfdKV4hYc/BG
qT4qw7mQnv9snJGQKKxOjZpJL8FuMOcdTl+11y5ZcPcsuovGICBgso1l0H3N1TZcccgDPaPGMQoR
NJsDtv0kqOvWPEyEZVb0qAlgSpSo9Lbc5WFzdhICkiKv0s2QY7SiqTxap2Mh99j4Yxw+7O0dtcE3
ZwCILk2HPvwFVvzEZtS+P2Hxj28qxdmv36fddIz1ZSYQw9ztKr3AVcqBkYZEKGkp2ieO8WML5zsT
idg1qsc9mWJnbY/JBVohjgxUiVLpE+FzhVjRGgQzq9lbR0rHaBA0CGvRdNDZb1qtGFQlNUBuvBxL
2foXQ3M3HWn8ldcouwzQKezDcUabjXUzT+I5VYoKc8s75sIBuYJVdM86zVb6y6yUmBlJZrQtmEZK
pYnVXsusCDJ6otx3Y7EqZBddasSdXKk8g9J7RvmTKv2HLsETBxmgmvLBKLzh2JjWbvY5jzKlHokB
UUbpSRZ+OSqEqLOJKVkHPNRZe1UUBjCStQSSVK+0qUGpVL++Pd0w70qlYJHIZzKN5vpa0yQXQhbD
GLoFUhDal6FUsHHhZEIVm5U+Rs4iC/BgP2FH5ABSKtqAVdm2r9IpTa5i9T9R0exHQpKHmTgpQSNC
GTqyblgbgDwoAacfdpP1Zh6wTljFD069jKoZFtvP1DM+WlqKMR2YjIG/eFjgUOrc6gI/ZxedKPnV
4EM5wdLt7DkXtjG+iutcjbO8WSZq6gci1gRjxJaSHurDluYZgtqJm8w+TWh8Y/9IaNdioul8nuC+
xSK5WC6ZpkaLTdX1nOVDjJ3Q3jEeKhMhuJFIjw6EGoajiJ1o0+liBzbYCeJw4EekNW90JikLlCy5
6VBg3dg2vcrVYXYJDFDkTg1xSGZl1uPPuLbuwrQoiWaHXWDX1XuNZhZwoZ3W4HLTDTkrcdSzcrtA
INtSnyU2+dx+WXGVrQ1e3Sq7ohGMCC49lgsPrCClwmdtTo15Lahin2ieWonMoMY2N1l76s1NW69L
XuSG+wj40VDRMo2iCUbyGdxKJiyz5KqtpbtMXkQFlc7qXl3P25ldS+9gI5yX98JgSjEi9rcObwaG
MfwFjCmic3EnNNj142U5tnh1SAW6r/OMPjD4Jx/W3ECrYoA8ye9V3drrAuNo4KNknXqbaMXQPULO
3mhzAv8uakCUtgZB/gSGU6a/GdqYH7WWimYvad5Kij53k6lTmGX6rK59+xLOr24FGKeBB5hi81pn
NEw4qmrCp2Y44JmuXSH3bDSgvw3v4QO9VKmiAddggVPFB54VKXhSzGAWxkAFwAjzDfIUVXhJhw96
HMz70DqbJG8cyUCSVr7F2gLSlis/fSqn1iJnPODetJnBcLhgjDNwxrNuUdNoZTv2bFuS58nKAX0s
u+JTjuTqpJe/4ljeFHUBJbnsh30MOBmW+FroMqDx/EgNZeC0vjwBYgUr4wwvsECYGcJJZTTD+EjE
ndjLgnGMP1mM2d9HubdnYTnzjEBqBuxcKsKzHn7Hivhc8xAyOnhDjc06ZRrlY6P40DWg6GzkCc1m
zLijB/5VxsO7SF2idY0T3XGCPBBC0HgMCOZE092ZWKxBfLWwVtn329295dkv9iSvJzJ3K91nEO7d
bNvEN4lhdaQLZwomaUuGZof1zckopbJ1akmNKQsGp0fMsyHS5a1Bb1LXX7kLF0ljafARx3N7qvW4
X1HKjiVuzHiV87zL44XkxxKTiM1cur9LkGS1pZ/1sRA3bZNeRRoCk62TzIgK6jlH3uKDxeOMntdD
xicitEoOLU2Wo20OB7oqzzaHAa+o2gkHTbuv2mbfjP42kpuRZvp9XmIQ18Kl5R+9QzLPkrnYCw9J
1d2083Dg+8zbQJvDcxhTj5VP3if9ey90uYtHb8aRUzGkTY19yLRivAxJ9hkKxsYG+Pk44otouJdX
g74tCmE8eQN4d1k4OAS5rGwsIF17d9KOYL0piw76vj4miwQ9BI/XHY3XZazfNH3UN3mazYGbdzeE
D1lA5ow+I8gJVBvnqfO9N8HctGlt4CS1H99Avsc2JJEv3fC6lXxoPmbJ1ucIMeaIjUqU7vDSHJIv
HvU3U+7cmA32zzQb56AeoGclYBlMivn2mPZ+mshj7m5yZBudGrF6mjdjNOibBJxfohPpHa3BPS5w
yqDQYagaql1fYF2dI281Jyas4cLnTevl1wMoORYu7I9Yn/DM0JCoxRSMhrnrWbIHA7rmWOnHUSHP
fZNSLVk9W6n2vZQWzvvEZSronYdKN3e1acmrMn2u4/q20kugJCGF6gMj2SYbEDYNhjRzZDlX1uZd
V7ERpw0Jxp3k4A1Hti+gC89TxlHPDXYviI82Kkc6ESgdVLI0VRnTWqVNw5ZKco+TDo6evo9m9mB1
Kk+jxL9qhIjrMdOhw2pvRn2MOcQ0beWrfGtqbHWVd60IvjaFFe5KorAlkdg5odNWEJKNVFrWU7nZ
xpjoOSWFGbJVHkc6m2NCtoZK2+rEbiuVv3X89tJGNaverg6P1Y1XEG4ktQDN1H7DpKYfCKMSWvbr
CMEZKjuFb2AMIVhgmViIpC/etzk9Z8SCOfOuJpUTzlViuDafYZ6uSpUkXogU/2uq+QenGtMw/8+p
5gTVKvnzVPP7B/1lqvF+M3TLhoYOCV13QUhhkfzLVINDkhwPzAPGE6QzIRg4/jrV6L/pCG9KTXMN
wUzEwPNfxkrENSYdTwd9rpNw+6cks7+baQzFTxeMSQC2HEdBr/5gq9TrsCsj01QykriDJstvX599
tWN/R53zw9KP4e8jMuiy6Lu6+d2x+W9lX9xUSSm7//j3v2tRA6PlWgZ6IAYf9S1RRs8/fEYuDZ5G
p3q78ifsTTnd4Vwr6o0vKM0t9Y9Rg6oUl7uojzem575TnHXdFcurMQ/BH6TN/+GViF+f6o+eUlc3
PLDxjHKEevG8/slTmlkoRhxvzaqrqwUSu0DMwQWOJWcrusjcuTlbaUmtIMeL/6Q7rD793KFY2R9x
X/g+KxVa+CrWx31F/ohKr4Ajaljhz6Q+2r5LYqbBtqxyUEDzy9Ly3LVnD/O+GlDGcp/OE5b2wq42
eUX7h6NaGmOQtlspOU2t1MI5QQXuRnewT4xuDXyVZMauMbXxQtyvytjuITixp7VK2mp4cCW691IP
E82ASQJYk317nWqHbPG2wo2edRESWOqX5xar1W5olgNbmYXW6NkmRDm1pynTMbNe562m3ToFneNa
n5YbOXsSj4xM1/kyLWfLrNp96rkJGpfR33h6wBrYCUYXdk3vynHf5yGGovwoXFQ0vevlYxi7r362
yINRkiGYuExo+R3HdhzUzHZb3Cz2pumqLy60aXAdlen8xFrroTXLdu07stgD3n/yYoRG3+sdVoyJ
tWO64Shi23tqygi3r1zzKtbO0BpHWZj3yD/W06yHqs6DxpFkuo4znFxoLFSVdDS2SBaBFX8FMZpv
nXjUVT/294RyBOHXzF+HvSpDFQfaceHmMoUS+4W/76shRivTaUf74Fe7+PyAey1ZtQtg+zzfVzAH
Sv+297mt0DE8pIx/8UTABx8/GY6FNDkPdSpc7R/JBFVLIzvKpr8vOwXRcYuC12O9VSWMBxBkxE8G
WyUsomjlm/ibDMAiLHABd3UlkA+dELTUz7arc5/NHukx/rLd8nNIi2o7ou1lHYtKgWxY1Sao0gTx
dKy7LSoXrrlcTA+EXmRenYR3tHv7aShjbR9+2IWwNsIx7k0NM0xrwRr2IouVrFY/u1r86HW6dU1p
CZa5bEuOwKRcBJRByz1VoHOdHZbvWn+TmUxV5FfvoTIlm8FxGZ6TJwGkI5L2jP8rZw8iAjznCW85
6ylCFOly+6ZMFnoOShvsv+kTamWfCd5qsA72tDF1KY8unqPFjD4d1M2wKNxjG+0ATuFNwqTkeNGH
xtN41U8IFO5yB3eMQnOse85yHzcFdzMcTzbOJ5PM9cqdsCJaTvLcM9hOvIT15OYa+LIYN+esecHk
0C5jpDW6BWCioYOJPWTaPtLwyclZ64N4MA9L4nFiJ9E5LuJXhlDAF/wkJu281HAiKh2jqhqnvfpM
NPinncB6zYR2s2uyIE8hQd4ZSU+oZG9FxFeVRwx6/UnlrX0PqikPeHQBOqqz72Qgmjxa2rfM42oN
HnVajypH7KhEsckFjPhNfiVU2pgviNVPad8VIfoY3WLvaO0U3/JQqSoYTb3KLfcqwcw75blevGJl
GCg8aYhFinMpAJ8JE5ao3vXSbRMHrF7oZhTr9CyB40E8+io5vagMtUGYWqhUtZc8cLF9nn0lQSyT
IhK3gamS2NHYXjsO2ezWGo+LSmvX0SuiG1FzleOODCVKqGy3Tsi7dbybhT06v07cUJvY767AzwU1
zMVGa1Xpna5tGumVZ9vIDpVKkutx1ewy/WIzI/F0vZOF9U7ykuRKPbw4Ko3uq1y6pxLqQmXVB2yh
m5hAmEqxu8TZU5Vrt1TCXRQhuK2xf0UyBS1F8DGri8+kIhQnVUKetZPNY/2Qq+y8r1Bn0JOf5jq6
tkXnXc/OQiGok26icOaxbUtGYkxOu9BHIEttMvooPYzAxMbgRW5J6UTkYVHQW5XtHwj5xyrtH9cv
CFENM+1waykegAAMkM0QAkrFCmC2I8FevFL83O5yCifwfKbLRvdHKHmDM234hgur0g6l4hCUAAnC
zv2akSRdHK+KV2DyDyDmy9cJlAHiAWAVRTeIwRx4inegK/JBhjmOuVQ7huAqVpXiI6SAEug0PmcD
u0JfmTNzYAoQKawgjHQTTsKcrousIPMGKSNf8G5XxdpOCx483fCoK06D9YvYALqhMNr8wEnKTizl
go+MCTQX1q8iPgjFfnDlcmV02hl4WxU4km8av5fNsVFs4ZTEyLprnV2VM8HKaHaOiZa+OX1hXEv7
obC9Ycc+mebefHxJm4WP8r8tO3xpveorMsiTTXDmr8yOfZZs2Az5XEZoADN5LEBZ4f+dKFs2UqQl
FxX5mqd8QaQJXVYm+mVe1xrne05GutQoZa4R4dHuPrP56tc/N/b0Pc7jiCLLRile+KIETgEvfc9K
uCuj3RwM5XSrAIFv8DT1qxbCCvbnjIYVd18uKdNZDuQfHkPnXrSfSbTQLJ0QxuTib9uhAb/oEBuV
+viW4/dm0dA/LyJyVk463gubfeiQsP5gp8Cx7kWHuk7qgPV6s+LX/KueoweEcQiA3QOYOokiQ245
qhrctjUrKN8LnKiFmyQTlFu9xK8MlmnK6sdRrYQ5GFn1iI2eQgdvNEz3sh3uGw+t1DphheGTW+Zr
6GPWTEe+V472Q2XBgRQakUtRQ3Xp5FM9b6Q7rkXP06WSHCA6Oy9WcdJe+fUXYEraeML7pGdOGrBn
rlpnYW4uMf1TVRzwuIK+KbF8+jqGYE3nazFJ/FUSJ7NMJ9DCLkwfzb8vwIzAHrOASTSMhlXk4zCN
8iAstINwKyCqA1oYMEt1yoH0qg39kKd0bs+s+Be8o9jmxa0+7N2Yvy/MmO6K0A+W91gFJYEjvQPg
4RaQ1d+VOteTk+lGNArgvgX46L8xgU4E6Hu2RhoebiuIveo96zJQovV5bOU3MzkZoViHAZ21N5qI
6TOfFXrDeBKmfz9qCd+WCJNRMrFoNW7D3l6nVnivSe9rqu+GMrlnAYc82ntwNM0020xVgPUHLU2q
jescPrJTuPhGwYPQfSoXVDbb1j+jLr/vzEdKTJ9SEETUHdxMsnSui+yYJs7OwnezssrHeOxZzPJA
w/NR4znq0/OiWaDGY4CsYF/dOnW23RTbWO9vABpdyEVUfD2pudV0Uqb0ezX91Rw200ZLsp/Yb/VT
l1FvYqbyPBIkQOF1uV1DC9mmU/2UE+Qw3Mgn9F8d/zXN/qPTLObNP8xIf1dyfEooofi7afbXB/1t
mlVMPBzppu4CPyCS98dpllieSX6QWIQHou8PBlAfNgVkCs+iRYzUoeBVqGmIgmPL+w1ZjUmWPeTv
IIx/ZprlYvunedbVGecE2AoYGC6eU17fH6fLCg+mWZRodE5oviBUkPAb/UdfFGfYpAxbYXdbgJhY
pf3OE1j6o3hvFCVrLiK4q7G2uGWhZLPcXyda8oFIiWNGPAxpr9wsTBJap5IU/p2pGft2iX9qerqo
H7u1p0s++U9d4mVB7fEM8hekCr0EVtPIzwo1YyXynyRlNw3fA6hdhzrVvMQjCIy84g06scAtLesN
AeURLzXMhksZslPuYz4sLB2uau6Twd5v5ekUDtoRuebqJx3Dqz7GLzBRfdG7rOhjDLBqGiFm+LWw
OgfSlT24VHGtHAnqt6h3jjosxwVExUI4MgVBg0L4I6wBU6BAW9RgtmlzDCWiEm9tbt+JW8Mm+F8t
MQ4qCd6t78afJbVuSpGjZerLoRznsyxYJQ/sarHpJYTkPc7/Ao4U5is8ifjMEqc4GcBbmaHcR89q
cBBZL9kYcu45uIaGnJt97HzoAu2mToGsYnvZw8FQ0S2JVzYJ34b0bNUdbTLehgj0Y5hS+FWbuBlJ
qtCFi8oG+lbA/2OfjNMDQvVCdivSoldOncvCrbgoE/HcqBCi5UPvEqnHp8F7m6bVA3vw5jQ63VkU
+nuZ3EUsQWlwYVXhVPw8vWjvDSzmB/9SjoNxNWvy0pPZaE08+MOZfppNbWEBNsv61McRgAQ5XaEU
LNuxwCGamJAH4n47+tZuoKz+KFku2yOtNhIJjQ2/vFrckqFKO81NxgZWSsAiMzi6xNMedV7Gnr3J
q+bTIWKZ43OmbiUMsKxKZbafu5KwmU4mwWHrPlXGF7ajcD+Z7U52c7XuRP0SRiXpkkm7KaoyuthA
Iky3dta67dNRzy/GoH+gzukQpWNeYkiaxCm4OYbTRfeGF6PGXQH45Qop5tuLjB+Nd4OvgwOf7JKZ
GVFLzh0Qt3l4wTcWndsYf5U+YsNKyg9sG9pr1rkbKW8sBqJDiQVr5XsR4orEskM7C55I+ciAS08A
CbeNnQP40xPUU7fYGi0rhaTFyBV65rM9dD0QjSy7Drl3uQJXB00UB1OhPKIpN8+UAhontj/NqYOm
HOhL+QSEw94sdBiRwo1QoNWaRaiFS6FWL7FawmRqHTOVsNtw8VWRvQRa3c4bVxteNJumvMZRC4Tu
zpRaCZ9AH1a6S5F4UbDW4X6vVSyDaM3wUR7tMZhM66BXCTRK3X3i11K90VknCdTwnUdLNYIY/HY2
b14UL7tIq/hpcODVUXutifYJVys4B3UoTr+Ox7iXZ29OXxN1dBKK+VnUYdr2VzgfnetlWJe1Z2wn
dey6nL/+cCPVcVyOuMb9pH3JqdHjMEeWWbL0PDfluyYFGDx1sNvlo60O+gFPuOke/Nq3rzPNOhpa
DDXYay6pnqzrSj8nwn9UhSidz01wk2Gep9XCCdDquLdPOBQr84qoJGGPwviwO1bWjFJ8y2wcoT4e
1JBUT01aSlnIK/spJ5WHWFynAI5vDYeQ2cx3h99F/oapgW3ZliTqtOfIzsa15XiYt2Ffef6+KXtq
gbie6fr4UOMtI/XrrUjGgHPU3rEuMt85gwM8ebmV6YjJCjx9k4ob0fjfAus0F+PhvmrcbW+hrFI7
tkpCWmilfW9o9keV3S1e8tpn6fOoGqIma6MX9mXu79O8Oxsp2ouPmKMVhRJ976rUw7oOtoOqW3ID
Iv5suc6qv2ERYO6Hee7IuhhAQKePUEO5cFj0LwpkqRmXkLXRqsySbp0Lqme6nmCBtNmm2efJA7s3
EOmSxoWU50+hLw6UIX8hdLM2YviPv2jZaJ3DqoNSxvLqbPSgsjPJs0ifuf933j4qXGajsAjoOsGz
7anDpqmvSlPsFiv+VJ/IHspzrANpdKZdoQmg3iM8SwdhJwljPJnIwisMLLdJ0d0lrg8vrSlp+ejb
Nys3r1DW9wXhrhUdVzSt+bjcMp8Zg96VbzowKaXN2BFazT6GWATnaDqptFeEWSRE3mzA1OYtS67M
SCjQEvuqKa4qrYGy6vX4z2Iar4YfSy7ZuhAZ9FlzxAMLcUazznOYTphy+59a29tx5wcInQnad/7u
Dvmh86ynTred/2eBra5Mf8qYmDD6qSazIQ5TSqpaSf+wwIZ/N+uismoGaV66SXQwHuKVHQNQtZx9
n/wne2eWXDlybdmp1ASgAuAAHDB79j5u3/CyJ4PkD4xkMNB3jh4zqinU75tYLY9UpjKzJJn0L5m6
iCQjyEtcwM8+e69dsF4S1rsVZfd4Iw9mk1zaUa3rqbkNIr5bMY4/oohOBQ7EBe+JML6aW+8EP58B
VGarBWDjagjmRxWYh98d5/6O5P0PvnaObx7VGB69wX/82iFEQYgsQAJmXtes/bbejFr4+flSO3V8
n9nesVfymvn3qupH+l12QXZXMQHY5EKk3b4lEj95kJzwMj3NjfqY511ocl/m2qyJXesuM2A9EIZO
hGl/QW//w92B+DsvPUYvXnwHaV4Euuzj9y991VLtXeiXXmHrXw+yuR6t7GmkNULaoMCYB81VNMPu
ATGwbrv0KpwZDg3NlAegyiRTLXdmDmVGEEwcxdfYcTFzo74eRpCdZZWtYzztK0ex8yzY9ZdJMK3T
iOotIomIGw2EHxJxyxBARy662yb3WeVidogesEGaK9qtj/+ZVv61acXmKM9b6x+H1W4r1b3nX5H6
+qOr8K+f+JurEE6eXsC5wnUZQAKuqd8ia8wjNBVrpgjzx58mFs/Fey5ZwvFZWAh/P7HwDJeOyWf+
5KH8W/s30mn/3+2ExZ8lpW07IKxd/08buBBCmJUwVpAOwqvX1gnAN9tYaIlCETH6u3EyoGvBLeGY
tK9nGDvSQ1eM7PrdY9o5uD1RCSzpfeMq3A37QTKR9Bl/TCHDl8j0uiOE211Ro/bVsYndyETvSJru
qQ1T75DZsKgiag9MUX/V7cWLH5LZ+5GiYlMKVoptpPplBWgAM3tYXFS9LDsnnL91NUv1xR6tjZNo
61jYNFup0Ict4GbrIenA/o/hd4sgisJb9iJLA6tUhJCWLAXtm7duWz5hkrxXttfso+wae8ld0tE/
Ih7Lyk42YZ08yM7hQD7saqTN42Av7d7N8q+uVWD/ponEvzdFN6GcePa0zldIVRl1ySUwav+h98f5
4Nuhj98hT+5LNmi563b73p7OTYf0HaSkUlD1Wg4HGg4OGRsSRC+se0w7w7aaFCysGYSn5d80zqPl
NOT3sdMRis7v0tm0jgmJDn0IrVvy4NTylRRKHsqiktsecPveNmLyzt9tUF3HOAc/PC4JFPaGLuo+
9NbFVJlb1LEK3WRTN8NnUPF/8iGX+yqYPoqIA30XRqAIyv6R4Nwz9RyUoA5SXLwquBQ68lSb4d1g
y/HaKZNi26fZF2PfwHmvAElLJ4Z0XJwaCWqjOU9Pfma7u0JUn6LntNSq+imbnbtQPKThEuHlbp9d
0aTb0SfT7rbLpbeNLT/qcBsbZb/u2S6MDcEnegU5jJUkP5yeeTPgypUMMAbu8DMZkJdxnMDrtcGH
2fQHlZLxDTMgx2PVfrZte9W3LTdg5TN9TYPcwp0Y15jLi5/tRHXJD2VJU7EZoc9vKFNzD5zfIUwt
QzFfen/OqHR0xoPXRRl2Vjp03Mm6ZBqgY6iOvjxOEryoWD41ZicPCWKIwdvMOo3XFFz9ipFcDEx8
s20f2kav2MrRvMoZt9EOeaqUFil/LGuwf9qXyAX542r4j4m/h+bAtYQKxA6rpLSktfhbNiYi1zlw
50OKWwVLTd9D0yq3I8dP3l8N/sV8uqujylnbiqVA6rlgieygQsKzMxRD/7UZ0xIibwHSxOVwiNeI
waN/HNVmqYx5A1y5P8ViPuQpa1zOM+bg7xOHU4YxyZfY5CKtbNkeqIO8mWOBk6qFSJbW+bMoCLgp
M8RlPHz09uijQaTullpcTm/SeOoSizXjMqdnyQS7yaJu57TUjSwDxSdB3xwclxk1K94CNTYrIyd/
qeaTlPmV63dsL7zy7HTNxevaifd++zo65VuxGAYozk81sBykI/4rcJ1kHbJTP/hqcKFxtA+F3bNe
gJmLkWcorlK7ewYT0h0JsAfrnvqFVeNX7rovxRddEufMY4HVDuw5GNBfK9O5nwSVs2zu3HVTOjHj
EN08aUQG0ntRKVWSSUcewUBUsFz2no7bKfB3+bRyyOKtCGVAxkOYqe34giQOnbsR3yKUDrAtqBuY
sOZnxZE1CP2WjB0af5W7+8Wd6UdJChAYOe4wVCRGer6wRdr3Zd/CZGiyk2gWeY5GBf6uO3HDT67Z
YA3I+LSH5mX91TTewqJguWYFG+2s0ZOrrB0NLFesypeMCSjqU8DsjvtjnBQDX9jsOd/XJ5++aEA3
Aygfyb7IUKncWLg4D1b1JMqd6vPhGKkYmSFPoW3j7S1JW2yCICRxG3fjDoX2YtRDerLz+s12uLwt
ivBkMcWkZd1r6u05FAaoEnMcbyWxTTZneqsPoQNmtesfzXZ655796cLPq4VNeJEDMIjvrDaDK4TC
pyGzvwfhzLzXeM2BFBx8HDyFhWd6p6H095hkv7GFsE42vdBr2gXDVaFh8SBhOhQk+4ucR7JNjGVc
s9vDSUxieDKGbsvtmSqcz6J23iaDVKUqJaHhBlu12UATcJNLrUaC3qO7Sn1xkU7/rCgCEKNExVte
YHTitx3Z9SUSNz2rggJbLopX7KKL6FU4nbJ3ZVTjbByy4rqZfUifvXUs+FHcBNIH1Wk9Tk3VHGdl
P/W9Px27rn+RU46YJ/LlhGkN256Ni8zvYDJWtH3uAGfSVwaNcqV7iVekfsnAyY6piO12VNF7k0+D
A2sa11+Umzv+661mZ9cYBqhpSEYb6p7A6QvxOJlODe3EvgMUPe6zub/vhiJjnVwCeKQhGi64tZ9i
DMXWEjLaAmTjSq8LHOXKPwCroMqVR3TYlCHTf/CU+0TQi5lygpF12dVkw2iyKvmN/SPRZobIkLUn
XrVDHDUboHH4H1wTj6wyQqigAbgVF0PjOM/HoZqe7BhHhAlrZx2Rulln1zaSIjGfDFuN2eC+G717
VmPboaRiY9GNCIH74Vj9Hc8KOB4lMgrRR+2We5p+KpOpdM89M9DCSmeJiS7kQ6cDAggYc++9BSl7
ZZEN60K534v2e9TR0pYpttaWw0VRCx6gjLxfgU0fhuW+JVmWMpl9JxnPTdvoHyY/X+4KbDqehRjJ
t1JRSY6sGo3rtpE8RtEauK2wDfVPZeJ+dvgwVk7DF8so95jNdIaIXtHWu8CdWwA62ioPd56lbsaw
yG8DT942Vfqd/FlChMx/HrAe7agNoek2Ns5xlplr5ZlbeFj2BlfYOrXLT8uO4FK1T3binEyT3vEg
muaNA4lya9f9HXI3yzZI9TtEaHgpJRqwtUT7aPC6S+3hceRw+MPpakoC+gWZu7u3k5tCtW8IC+Ar
bVTGqLQz5rngY4qh7iYiU/tCNT9S9Ft953npJlAICXUHPjLKihefvLrJdY344ZrzXagZQDKyinVI
bIESifxdlPE5tbCPGkF4kBwT10CDEswDoYXxIFs7cdAdnaL2N9zX8U+jNruYBjbNbJ4coHhbXJjt
vo5CnS2pH4vwfRDzOVDLhWbAgAELI5QHHJic+cxDjQhG4McZzivje2D1D/8ZtP7FQQvYIkPHPx+0
/gSPBAiuP+evMxbxLIlJES1EOMJlKvr9jCUhe5Dn4j4sXZyGjD+/ehytvzi4Exi7hF4n6XjWr1sh
klsBGBGPTic+3fSxJf73f/1BJmj/9OvfWw6hjPxpxuIPMvU8x1mDf9ET9UfdoFU0XlLdQq9mJBBY
CLVT8nQVdMOHR2GfoLivCKALe/RIjjGqeePey56OP0nZ32D2l163/6kgZhDo7mNqAcvIvIPexWPe
hMfQz2SyqA6/xU0Tn2cMH01sAZvzx28t7cixLh6kgJAV7wWrzI9ENxPWdI2v3GL8SEwyMhUsK3Do
jC8jRK/h1R3VV4v/YUXg49Oq8DRMzCQL7o1ugK7t0wHSGeqJc46/I/3B3Z+aSVzcp4z4wtipHYFM
Ks+dHGNDHWwT29PHRWS8vvXpImcpXmih3aeTb8A+MroSD4sNfyzlcW9X3Bx9h6a8PE1O5GLiHfsK
KhEo36uGvLg4i7mxlzLZwQdgrOkEM5ZJU1yHebKsOKKT5joaolXbzDPErqn2hRXwaF8EnTm0Pzq4
JZ0owGnHAoJHSkaUvvrRsRe4Son4erbumhRMkKK+IfrlP/YWxTbLkmxjRMcNj1DonJRFMjxk0zbh
fgIpY+5WoyDhEmfxYawDqpXBHOzYz+/rtBaHKmJeApjXbEp4XHDhmHiUycQQ1+ckpLKTTbhctTFZ
7yC8xDJVjwPtlRBG93nA0d/rflQjvYmKCtuziVKGPYY6mv0YwCSVwnsyNdmWuEO7iprpOOOkoYYL
95Pm4HLMQp+HjBuPAco1nKaWkaYCnguJj5vlT54uYN1JE3bJ7sxrhjp27SZHWBcKAYmfx1GTeYVm
9KbAentN7cXa5mwNQL6GJvpGNmxfW1N+CSjB+53K6Tn0lhuh68h7V8VH2ZDEjbrpXY2MupVmB9tA
hPF/EVLJ5fWs+cId9bZTT0Ju4QheaQbxAozYktmHA5w4DerrmAsEDZnABd5hrF1h/ehqpnGsqv3s
Nc+caNuj4CyJ+/aNXJEkCqN2DK33bQ0hWRdtHCtNTV7AJ5NU2BQceqlUgnRWVHhAogDasq0bKXtl
9ofAEs+LZjITKEcuNaOKcIBd3NSGQwlGqK2p1KOZfgks3fZuh9DgEzXzmZh8DgRuTrdKE6FjAzZ0
kNxVhs9fzdCy9sFHw2pOqWmEKD220mG+Yvs5F+n3ONAtnSBGFGxMcIDZoQVN3WlGtaVp1T7Y6sWp
3etIQLJONNM61XTrTnOuHU28hi+dnt0GCjarHLmmjmVXts57ME3HMMuv/Kh8TIr4wdvlcBdUOO8s
M33W/2TwaVDkf63nxfC/TYaxd9r4gbDhOR+dA9VT16Z1qz8gt4D6O/3TUi7XReyddI96IctzFij6
0U9MxcfE5bdqfCNsaPFjX838xzLyKxYZp4HDYmT4p1kup8VEH6ncU1rWj0GRv6EO7IEDXkcpzVtp
zTsxOmVVc/bH/Fl65V23JEeOvvSo1Huj5BQol63Ms60b+ae4Qng3xDlpshfKIc/wcOt5lw3WQwUg
rcjFuYuTB68pLp1BDxkuYEd2mFj9RzytR8vvvwGhu+mDibvlM1jBK3Mors1K3ETSuMvt5dLxYi25
tU9AohMph0VyVsGwE+op9XCDlulzZrNMDs29lN8ko/Ho4ris0ZnwPn3RxfdA3t4p1CPE+rsukM89
VZ5ALu+Hvj3Eo3VKqYXJPoVhfwZjux6LnBSKDI7K8z+jRL549fIUtM2e5f+W4oXNku2zpLnTX0fv
QMzDTLWsUggRptPtSjkMVLW1B5pmLlUCb0Xc+2V5JY2R7oPxSfAcyK362oj614HJ0F30mlwDqlzO
fIN7oO8Dsk5z56n5Cj8nsb4Gy3Z/15f9gdlxV8fTE4+Ko4jFlc2wbwF9RZG688kgDl11y8x1PzoI
aeZmiLxL2IaP7UhxVwCWX07rqHQZ6GyQF2ksWG7lzG9htnJc9yH0yxvZNC+ekWBHGlZD7d9yinsz
eqzIUxRU51Zl71W4PAjdEuuLD+zij5Zuj6Vy+s4b5XIpND99Uv4LwAGeUdKw9qOgOCSliFbpRlqy
0wwTlESEuq3WcDaWtdR3KS0LyuV21FJs2+mGW+rmHS7X/GTr9lu8FyE9qvxUdTOu5wJbbxVb9lz3
5hoDrmsjUmsDnY5e1zTezW6HmkHfbqabdx3dwTvVWb3OzeTQ637e/5wm/8XTJCo2x69/fJp8eC+7
d/U//6f4k2r/y+f97URJxgUcOe03P4Hjv0VmTFR3iuA9iwOlyXnyt+OkCP7C8RNMuXB5Ivw8M/56
nMRkJIVlBZLueJR2IL//znESvPmfjpNsJoTgsRkwqnrg6/60hvJ4CMteVuy7Mn31tDiH2hBg6SC+
oQ+tuDdC8/eakbeuQUv3YFOa17nzHoXidfDGV5K+cPK7TZ3l061LkNfTaTqnD48M9xxCXDzjbdyv
O7qitxJkIq0xHUck17nyqYTmAISl14UtR2iSjGE6LMepp8HGtrJLGZcssEwX3S4lnBw4b33Qi9PA
fcz15i8121d1Oqpt6PoJcUVcLkLez1n5MFsjgdvY+VaPPE4XbLqrekqeh8FsT7j7vFURoQcV+D5R
EQeyzO1CqDF/KmDarNPKqTYL1IMQ540tw2JfaYvz2rZdUEDVclOPmKcy2JC8E/u1nO3i1hH9PTgq
4wGI/D6Q6XUcVceyistnVnVId7N7kDZDfxZln40F/TKMPBK73HMlZ/nNgFC4IWPqnt5CDnTspttT
nyxUcZriWJTwtILynm5r1AtGylVi8KzpwjC6hDGt9gOO/rQTxSmP4F/b1XDoooAeDcKuTRGOByMd
kt1AzqdAkd+5bh+dlsG75niW6M4aiXlXmPGNKuHYyKQSoHTNG+pTC8IVjL9QrwAGEYxns0OFEimI
q0oOJzNS2aXxsx8z1UedMA8Ehcb3huiHo6wLHRFgRElTeP2b64mQsla82G6XQmqxpoNnqnHv9Ky6
0xtSNrM/k0vC4HRyo7he+zWhEEBfQOf6l9rkUexkmItb1szEV6x3WmDXsGW818K377miOJhcsUy5
9wputCXk6wZi6rrT/tYigCJWNOaPsUowQC0N6bABLaplk7aBNEXmJ05uKixFa/YS58AIGWKsZ7ta
HhDk39sYn7kdn8fW58Y+lfkmbezoumqcE+/q+l5BAAGIs5xkjTMMXCqAXfVg8t0dG8yhG3Mi/gii
dO3VXObVgBNsDOLvYV3d2v5wUbKSIGVmulPxjdNn/o466xMOGfmtmTOrr8XLXsuYmeLC18Im1++1
r6VO7ObupsAYXNjqTTpFeirhf3GIGHdc7BDmsrLb2Fo+TdFRYy2o0tEzHJ0SKMSTrQVX4JESRurP
8j2NgA1yWB2DjURr52o/oNpy5/oxOnwTg0bzuNAhEJdsgzgxcm+UVREoIovDNiCM2lBfM8SozTwQ
LioirDmjfYogBuqCK3kOrDk7LX53BFFwj8mlJ+CB8IzGtTJVPx+5IfZbVKC9YUIODrVgzd1mTV/J
8swV4a2iFB5djL5daaF70JK3z5iXEJWKJNowvDpkcZuz/MSLTwaYa1fBeho6dvpu9Ro1KV1ysIca
M06uZi25z1p8d4R3n8n21V+ids8YQH1x656LCFzzwm2i0yJ+ruV8hfJ/LIFphYbDwUaL/rgyefOx
Bwj0QoC+5J5KEpYEFtuCVq8NuuWz1GsEjGVvTO2vNDVMW6K2l7arz55ePQACvrL1LsJIrxGwtNT4
Ni7OcsBifyg7gv9UrQabNu93oJGGTTDL9FwzsW/4654bvQBx9Sqk00sRm+1Iw8HJ1uuShL2JpRco
k16lKHYqpV6uQEdmzfJz4cLmZWED47KJiZtgl6cmZsK6P5Vc0xsoH9cO2NoZfK1V4rzhOoAsOvUU
8bTjvaNpt4vkIZFoAq4NCnfUTFwEsIOp93thCLnDAZwbaoJuoVm6U80xaASvW49wdovplIPd7TWn
ZNAk3hIkbweatwXRK62JNwJvV97dO1q1Sj5SaaZv319gFi5E3dvvCSadiJuFz/N3m8VYDsECp51/
PSv/5E3dkwE22P7JD15OVQ9PGMBzsfU0Yzjh7tzHxtE2zMtI1sFPArIeYIlTs7+34KpEVSepM3qW
7SrXFOPGxJLR2NS6Np+xOzTbZlRUyDnNtUdboTa8YFCFimyzRtubRopdBnwgk/mN1AxlR9OUE6YG
eFXl3ilZ4LVAePa2ySaEBjE4zG374GXxdxMA6Qp5MgE5uBwJQ4pTmEyHJmC5UExefkUK7zEO+k3j
Pxea/IwYXmsSNIC6ek2zt7w1XZQezYtugQaAj+bvNDkl2tyI5x5Az7J1HVjT0A/A8DkF1ayaRB1o
JnUFnLrXlOoozWnTAlw9YXXL/HZYM09na+pboWjheyLLbW4zwNcBAOwJEDaFnvlOLzNHgcrPLTve
BGCzcQ7flRUJrkYTtVF21vb4ygLzGMKpPzmM3joR5wFfRSLycvR+8nKFTs6xx7olAHBtCpPhiUxT
RciuJNhmtKTuXOJ3IzE8FJ/NqHN5hMwecps1zBB1t4F1auqgvFYOlP66C78XfkOghyX3LlU7v27E
BVjJI37Kb63Du25oldhjduyOaH8Prs4NGh+jThG6xAmlf7J0upCdlc4aTj9XLSP5wy4EP00u6pRA
4FlnQnPvxg/KQKudU+SfNTHGNk+eRn++xcBz7dNMWpg52z9CKlOLX4FFCaz3PPyxsNLlmOSTkfSI
yrOneKtJGmFE4pnak6tsdMAyxi42SOuHKUBtNjxR1jBbDxTC0rumA5oeqntvlTCN5J1jbVIRZIey
OTc62NnoiCewt++hDn36Ov7pQzVbtToSCqqFxUFNJJi0KGS3YFPrAGk39g/Lz0gp2dJWh0wr1/qY
RVnTNKcfAayPa98ZL6DYce8Gu5pR8xlzxkMHxJ+bsLMJybPW5FpjHXA1ddQV0wI5TB1/lTFB2Eon
Yl2isWJM6Ju2wIbiMH7e9jZMHs/Kv5tWRahWx2srHbSNivtiIng7MZ/WYdMdAzK5S0s4l9JwHlA+
qHQ8toPkaDHpKG8S4cOGcyIUId9Mx31VHCvYk4gNs6jSTa9jwdGgA8I5D8LYXoy7YLnk48JJuFRX
uBDZb804JRc54d6I2csk07c2seeTN4bPbSu50wfHdKJaudKBZRJZu6Uq/JfI+5EbxbrLAaVGTugc
Z5zdOvXs6vzzoJPQiyvxFAi+RyPWzl4svkp7fUtt4k7pALmKaDi47i2suL52B3vaJoxdWGjLhtAO
YmqNvjVW1pJj5jtXEYCIhJ/sWIltb4z2NvZGjtnYzLU3OWLDwquEX7nQzmVbe5jb7jbF0pxrb3Nc
fmSDjyhiknyySt+4RDnNB9oR3boz3oKa9dMS9CMOAL1H+ZEP7tdikj7Tvups6F4K7bSGTldwkbw2
2oNtCNzYvfnRY85etEvbkvi1hW730w7uDit3oD3dQH1fWu3yHrF7D9r3PWIAdzCCezP3yUl7wydM
4qV2i2c2JhzZ9N9S6n53ixm+oF3Qpz0HT3aL6SUpFUtt7UAH3HQ1Y0n3saa32qMO5IQiNywBMvMF
CApK5jAyz7QMVBkCiyRavhPucLYXj6Z4bPCV9sPPmFFdDPIsgk+FTTqoveGHjH9+kjdmqZ7izIoO
OhHbwU+qvLA8LPZdY07vkdFcIxY2V4bP1d2CksRNLHVwGWlUpIeQKMg3ge8cMtsNhFKO1OOMoFG9
wIY65RlVDWaXRWsTKP7KKbqK9lDuKNyTKGBAKk+KbAPP9Koh7Vm4e2IlN0Mbq53TcW5Si4UsM24p
UxG/OEj/999ZUHxW9aySKO5+2Vf89sv/fqwK/v1f+nP+9pt6xfG3X12ST8V96kf3Tz9q/1Vdvxdf
7Z8/6A9/Mn/7X786nfn5wy+2P8f6u57J7/6Ls2z362JFf+S/+g//17/Ym2uzz8FJ90/Ega/uf/7v
x3v+J23gl0/7LYNk2UzdxJKIhRABDMA2/CYPILJTf8uqxzV1Culv2yY0ABJGVOfSb8au3JUM9b9m
kORfcPTxj7AB+hqp8W/JA/7fcanqBBR+Pr4OnLZSu1h/ZxD2x6BKMYlz18+cfp8KgONtQrZiEhc0
Ziq6JcToIrNuxikerxvcpd6AtuUUQ3EyS/MhbHt75bvTM8F5ez0v8b4qp2BTjjrATFiUqSE+1YZ3
5/MY3CUaaW2XZX1iFVufAEQZKzk4wcYazee2qV7LcI7OKrkFxUmgMF3Sk6je8iBsML/QiFlNjB8i
ZG4YqX/xiSRqoJSZL4eRlRY9Q7xvSu5qBMO9D8ufgz3PaESKar6v6uVdpu7VAnR9xd/Sk+k01lkc
oDSGWOOPdEqZ+8rx9xHE3rEA7xybrXGaDLqPyiY9upEbbWQGPE1Rg8uPerxkY+Ie6Ye5zeBPQOPl
Ye45RcS50bTPWcx3b8eHIkvDLUSwmOmsf2Eshdg2m+eGJTVn8vw5amW/tfwULaIqQGNQAe8nZ9cf
yB6IfNa577nq820fEEQYOSVTU6u+sWF641gT4SGggIcnJr4oGFwCLAgx4WANlw3fSpffeXYKMEr7
9uf02qrxqYhF3jRlfCds4qvArXZB7GyGdF/EhbU31fJaz1C8mXsurRXctosLsp5WD5RiqnYLhTXT
dTgiLlZ4JA4TrqDSeQQhUSPikPRoTxGwssgwkKRm+GhvenHnpED2KpPEfle0H9FQUA4l5mtDiv4w
OcbFSOb8wDL0qVrEleEasJvY0MMHCDgmcRLFizEe3Sy4dqbqKV9GdcpJf64rpc4mMxMzrWmvCj+t
j5OhmE1nU5ELJw6BePNMa9X9mLKyANFVBH32bpEbWAUKg0ulg6+jAZoulsvnPE3pfp6ocp97sHMt
4kkQJ3epGr8W95TPBffhHF07zYdzb8TlTS+RMOb+o+5fgnqeD3WQ5ieiVjt3tvdWke0D8kcH9OJm
o2uyaHvuKiNbp87EOFYpa2s5gMTCNGHB5QFsidp559NaHdVA7rAfuDddYMWbxoo5Ulec2H1zUbdR
QJ+N1bQvitqGJxaVD+U8kdan26phDBkawbELMlU0dtWRxVO0LpwaA32Cf9z102fKZrWWTHxmumsV
gK++C60D4juvcnrsJn7Usb8kaNvTUU3LtMnqJYFlx8MnQFBLldgOIUc/Z/xKesc/NK2ldq2VnhVw
LZfm94Ix6Gj7kXc71+G+NguXQI7/RiQk3Ld5HpwzNnqdI1I+VNz4i2fufYErv3+tCsQvb4j2YeyZ
j20efBd9N4O0wEonx+4SFYO/ifluNrXPCaJrIFWbdDsbonO3dt5FZE/EOiu6+Rhl021W9zeeJZoH
5QIEaIP8La4fTbLbt0NkrmPMVlekfEg7OnBwRDGdU6QERv4fBEjWZWRde2WTnDPh5NtWBcfENtdd
EzwJMcmjryJ6sAZxQNsgVRm0Pzy+pjPcitU8hSHswP7e19LhgoZoWjHsSi0r5lpgFCiNYckmiaRR
Dj7IQIgkbpJpYTLsRxuwV/kUkJZPHEJQPWzGVVihFlmV5a1ST7WnoIwgOCfk2A17wn5mfVu0JNpE
+UOMRjqglRpaNG20fNqio+Id+KLfGLcWAivAw7ccxZU1H/vCgLu/pP76EnhUWkXzsYgT6zXwWOs0
sgauqeknzTw4V2btddriuY+Zqbf1L7Ivm2UtBLsowsnABOahETdaLGaJzFyAHICKTJjklSIhZGUx
WDscGrpeKQW/81N+nnH8pNa3QQvTnZaoHTc6cJpiV69PNfp443LOGfWBx+PkEwfT7dBwEMNsuzHT
6TNI3JMr+Eniq4/wOYzfAAOK3WLwZ/V2v1/kwBTnDq9+KV5cDDo1YVs/zYZt7lR3qbWwOrXjiJX4
jvoQfw1Vpt10GUJcaN3IpdWnabJgAiSBA+1l30HZ76xRHODown3GiCzcmnHNdH6gpb+GHhbKxXZP
ikU9yyeKiKNMOesUGgPbq5Yf8iA2JI24jmf7hh1lgDaAjctJyw++Ngh6srmKMvxkodfe6yayRVas
7vPqoyjpGCgBH6FS04wYBBsACil5JsfcTdrzK1lbD/i627YYcZKqYhcHjtJz/sq36FM3fdyOPrA5
AvHBxvTig+cTTOkn/2NZcAiTQKOeQRwXE6N1jxiaqTffL/dmPLUIYP0rVRlUTEcJ9FviuHG3KARI
0oiqmMVmpkN97WS4Alhy1Cvhx/UuqzRpBYh7/DabvdhWHZmArON4LEsPZTPRvFC43OwPm4lYJOcG
k9U+nkTyBi32rLnb+vgBTiHuX+rjGpBRZKGjUER7u4ufMgN6Ja/Pk1X5wzXkxyEesn0XgMitxwLm
Hs+adegn3tkKvAvFCPW6NtJ4VWJ3WI3DZGAtrdQxLNo1rj7u6EV8noiUbd2y3FXAl/ih47VF6FcH
jQV3B26D5lL1jBIpwVLRnFUn/BUlCHQutHL+KK9M0KzbNL53Qwg9Tsi3l9idoMcrulciJ09MZwkA
/H4jDcbTsWW07ZuMB0KJQRGgK6jdhGA4552VGtK3ZZTZdqYwEauE+miW9LXJrFvRG0ytSGPcrGgp
AU6MJdlvb5XTWqtZSYC3mFEWSr83UkYfbk+obqr7bFdS1RMVyxqQ9T6NaeYjG/HVwE/LO6/dN127
MJ6gHbo2T8RE0DWecXCwm2WzTKwfWo8QAQUY6zkz4I/MJBSIpRw8uKGbeITTPgyghzqDiyDPsZY7
3WdhZe9igsmQZaB5y9D70SYTtW/LBHIBuZQ8Z9pCX56pdsHQYeb8eOaCbq9EGusyNIbTWGaCAT96
cbvgxUkpG/RKEjd9wsM1TK6Ya9ciKOXOGWxrE1rHdrCSnc+bYRngGKetBTzUfU/nVrdmk8CWuoyh
ZsrdTDRQ74rqmNbDAYmr2GKzIDw7OQ9FHKKr6n1Clnv5GlAIDR0cOEcbU0G36w3KgLIU/QoP7DbR
ue5oNi/RYPmrUA4Jb81qOw+YMHv9ikEDpnAusQ8D+/RVOxHFRDhN18kisReztuEqT0lvA8BEqOvW
I7Um2wEKCMgd7A9W737YHAA2pChWk9ejgnDMnOvO5rKxuT0WNeXeSUXhiHYxW2j3jPVkkgEKJT1t
9iyqIsUDNJ2NYOsUwTtawpvgBxuRz14lov9oG/E9oywIvaqEu6GFe2mh2fP9VCxHoEHTk2243FF8
HDS0KTaoXFULC7rkUXlQmXfiXvZuxwZ2SDoeCBTcDUKREaBflK5Qg9rTNuTZj2UCSOhRhP6GIHmz
5a4YrSYYVsRkODr7uk185FJkp0bGg5HYCoDzk81oDukwbrC3pZsk8GjzsWYorIragq6eoPOxTSSE
jIerqE5jNkZbQiaXybavuIuDENaboQjxJJoclLnapb5z4VbiRsu5CGe18lw1njjufGRux3ncEHtA
esildTpvk57EbFD35dnqBu7643TwuXFtixZdnnCGeRxccn1dnV65Mr61zdE9egFW+DoenV1Dm4Ul
l+/JnKjTIt0IPNT4ERb9cKX+H3tnslw3kmXbX0l7c8jg6DF4Nbh9w54USWkCoyTS0ff917/lIkMp
URFhipLZK1pZMmfJEEngAu7Hz9l7bZYZeyg3cRP3V2Zgn3deHZyTO7XVFLCJPM3iUPeju9VJWcDG
Afwq8rqbMiiO8Gxxs4xFCDuvz2i05f46TcCNRfUnbxIQPiuNVQ0RLCeQM8+2CYjogHOaDrlIznzZ
mFZLnV2nG1eLtoxDCCBwPw5Tw1SL6n8R++5mNlrGG0K/lAgqD+Fkb9ie3SXiewwjUXWwZgPJMyMz
3rTisnIGmi9dgB46Qh81zo22B2d1mtKT2ndlYHD+c/dQImpgPRVqE938qBmMiWLqqX5izRDTVJ/7
TUhSELYSW++4wnSXirE/5KRiLdykWdNYJ1HQLcnqkY9ez67ODA1DgUrp0P0CfXczLP8jk/hFmYTu
KNnAX3dCbqOH/OFfX4p/vWS4v+qIPP/zbx0RyKKmpwt0aviRPRWO/s3jqPSzOi4FQq9slazwTTBh
Ge+YRCJHA0L6Wn8r3uHKcFyC1v1/TmURSl77PWfTcQjQcvl5rkW0PBHzPzZEGpJHUlz66oQ1LTko
njB58/1yPcDBp4G5yQGXUUnCX2Ksffzurv2J5dkSykD56rfbtukYKI25Q0CNfvztLoG3g1agrRWt
CHC0IxRV8HV8Qi30wmLtxdWjiEmV6RLepKr6PDQg8mE8rqvaudeQHK2NCR+/1vglrw7gNHtbp/P1
mIPkDrpT2eKWSsziix2xUEYWEnheevSGuXObazZxNmW+lnp7Mw7Nk1cDgvDbVgFqKnIwHQx1mBtP
RMCMQo2wTVvbFPDiV5g96NWSZNZNcuA8mT3NTKfXIqKLEykHzSjiDa0uwHBhhRRlAqVg0G+q2Q7W
duDcW03nH/I8dFfIF5dDEB0trx4vwpFgQo8ecumNlKaWtnHZ65eFY33hJt6X8DAXcX+atdSsrgQM
7o7Yw4YPlpiUtWkASlbDZ0gNst66J58xTarjZqABgai1q0+cuHoqOEcdBfLACfnxZeZthnY295FZ
XgZt6R6awdlPPq2clkHVTvrDqlQpbHIoR6ST3X4Yq+TUC4KzynQ+Zjabvk9RIMpWoNI1rga98Q9y
ysi/LjLUhyXcquAqUp3+mswJV2h3bgDAsGietDhgwETk9aLpY7mTVvMZVlywlw3LJOB/Ka5Nau3I
qcW+TuMNUa3semkK+3tMdsIAbl8Y5F7Lan5EYUpag+XvMD+W62Sw6n0slC4GWxX8nvEhCvt9VegQ
sFF2O6Y8T7EYdlOrnURWcpcS0931qbzWrZErpC0QWTZrrV59GBCO7Ntrs7aq03A1Rj4THEvrt95g
lFvAGWehEMzmDJViJh8Zj/pxv05YxKGdRN4+Ff1jxmTDSLKTzuDUjxiA3L/Ua7Y+gX5txnhLrx/E
HPGLCTvCsXaYMu+8TsND5MjrhPTq3oOMwiOJLa5NCSirhbZi8LP2cr/YzYRQ4dWCHtFHR6P2zH01
2h80vQY5N87uTrUkZtl9agMU665M0A0LbUnD/qQuOn9LX/+p1WbcxXrAcK17EALtVBbFkPnDi2H2
6Vr2BCXRNuX8IEmldVsGfZgHtnrkMVCy5w1F1z0oQJxT8ensE10dzvsko+wNylOgVLdZ4bs7v7CP
Bnkki6F2H+B4YuPyyQ4QaYGChvPGwZ9BOAJuBa+AbEEC+DM8uggy/loD8D4RW7YpAt09r9kmQVph
V9bWpR7N14HfXZTojOgxZlepuIxhhV640b52Zx1BUhYt3FrmZ7JkjtE8Jo2NLqMezl3OZgBqmKaN
R+7ptvcaiCQzr7bfGru73u85y01dAxyueF/m5YaRkxgJ8+VVtAZlCA/DTzZMIj0Oz30wPBVlRTWf
uqqy1fpVLbsNLa6zyTPPOz0+M6bwBJvAtqxaPIN7PGT48qLL2XHppYbnRvpxTM3bsptPrfGprMc9
7/hF1edbxy52XYEL2lIgf8GMHnRd16INJcCCO7wdu2odTPmd5opbWlj3tYVwJ63XUtAy7rSzTu/O
wti8IT/nwsDPsAB7yJRuOjWjERaPRUA3E3yvRVrEsSLyjB0twbMsHvaBoFIkbZUwtAsYyGedElVM
x6yM9iX9PZcRZl2N57kMrlw9ItWY48BqHpKLzIrBD0dnnpMdZ9u/KpHXki1yUusFyhhARnaFmqjl
/CTvTdDtRmVcVChMFp0wF7Umr0vHOci43gXxvAGoeSikftKO8UfdF0dPiPO8js8apziCO1tCCNar
U5FaOyNPjpOZnOhFviX0/KJ185XMWcO5cpfeQlGPGxYLbNwYxIr36u563V1imIfanpHjQhDM5pPG
GyH55ebHcNIvKpPeqvZB3QGt9Pfq4gw00EM6XSyx1x/VlWZVckIW7DGajY/pbO4Crrp2zlxmrxMa
BUrgEFG3WzUXnu3+p1D71ZGVbliUU39XqKUP/7p6/Glm9fzvvulZhWM5AoKmQcGldKPfVWgCAxTf
sqhOXlVo4h2ME9sHUG4LE3A6pc3LzMoi9kooqxVUPf4bF9reH4O7l6Lo7xxStqoQfyySEMgqm5ZJ
/cTL+HWm9d3MquC3u0FhYp3uxHnkgeIB3srZ2dKX9Cuv05ke0uQcoalOWxDm6Lqi9x6ujnxiYZsD
TZ5pIb3FFozqwm20YtXaLM5EDo+mJDhvypaaTYK6V37q8vBuQH/BbHo6R/JNmzaGo+vZyNNSasNQ
VSzlTP+S2F6sIZjq86YFMjBSvQ3GTTxEd5VnW+u+6rc4Tj/GNZ1l6aT3U9S6m9AwPofm4CC5ST4g
7NgZdnE75x86yojTqSfFt5SjvXFYUTZlmdxUyED2sUZuDxK+hKOhMUUbLSJcPRpFuzrNQGAEkEi2
RjKflio0MEGVuu8EKKOITXemr7xBCnqdo+zbWEnkbiZrZnkJV82YvDc7JUAde6SHRjMucy/Zur22
cmhlkKNixJvIXzklMPe6qetlQbMCUc1w4wRrmlwEXVhFs2cD3NMVup0muXUjaW8r5nqpv6mICcqt
EgyubW5YlpNFbBj3hXRxNPv+o2jC+TjqLoIViczAE+U6AFCDUS3fBV2AiNWBDyZraPBUVxbm0qGa
QL0Fm1niMA80HoawXVYuYEC9ZIzGFcCBctLPZtqtOtldmao7MzEeWvXDRTS5N1VUOHupiZGRvKT/
zNwFOBLasalq1iZiTgOds9bChrJpKhn2lVfbzSF3wpOxsZNtIOD/CpQmvcURP7SCbnlvN6FxBDqy
wh+CZcWrzqrCvOmpnb1eBKuu8bfF3N0bk/kJ3z29h0ycZQKkW1vqW6cLIKRPWKU609mGYRxtEtvG
BtyDs6iymyxG/ZgjCdzS00U+S4Ivrv8G/YRd9Be9WYF70Mq19Ft2LFp+C9fL0Qz01rr1+rURxZ/m
ML505gA4a2830BF5iitZE0wcyQuAQuuwcC4S5DIrrNBfsl7fGeBEmsDBi8/Z2pGYRsSWZ6zbTGVG
Pi+jR8zNwQUsBoArJIy0Vr/3h2DvM/VrU3fTTPNprfVfwtmL90HtYyRsHtOylgfCR07tei7OMivr
CMgNNrmwVjTRaSkkFk+7UM+KCM/yztlSJiqdW+guB0H9lQvjNq8lvWa3PRpZUqwLGd2WtSnXXRjf
SNdslqXwDBx3gDT0sG7XNG3NApCY2U4bpzceQW9phyGYtwNxt5MFuEBjfLDovZJuJN0RHHB2newK
b6KbAmtBEzHha8j/aTXxj4qHaEDfzd8FmmAUgKMzf+HH8K9t58FEss1UVg1/KU6zShqXksFLW0/V
jqoX1hMVeRYT7jUOxnvLqe+KEX6OIKtpm5XxlcxsGjSa8ZjrTCpGCwCgMRsufv+cnE5GBii23sPI
BcnWO+eI8LZ+TyQMqJqdlJvA5NhST8c6qXzyfzOVoutB4XA+bKOmuKcm/0SlSFNQSy9C2plIlchF
zQLjUg/bJ5hw8XKK5X3Q+msSwC9EWw0HMN1MuIY+2KGZVUyUL4l4qlxJuSVB85nGLUqFYEFSBOV8
P6Sb2F0MdO3Xlj7Rgq8i0H9tdgmCfTv6UbCzIJqSaDRO3t4mAlvvTcgSI02kfq4/piPFPSoy65Qe
XYFLLiOZVaBNHhugaaH1Ps8qm0akG+5Kil41EUYdJYCXmCQoLJJD1RJZXlxYc7kzNT4kG9F+NJKi
FqVqZvKxrUvcqVWwnnzoZZHnXAdtccIAv4CuIu8Sn9+lhcmtO8TKGFpeMLPo1hoEhYU7VufaxIJJ
ZAXyya/d91oAdC/GYyZI+9ITq1nGVUxgfEWemtc9xIOuH82q36fk3AfRsGraNt3XM5pFV9kDKmcd
TvK9hvzcn/GPWxWBZUGNTK3esnQxHq9cznVkM1wd7NJR47WYZqiOu75Ii5UGeF4v0uvIyW5do6f1
TF9zYCLaxtFJH9VIbhl/lbH1NFX6l9Yqnuwc+3/vAnMA54ps4EQLjS+zoylmk0CAmQyPSNm3UKlh
PjMuYvjMlBGvWTvf5zVUMXNqz6trrTeD81Fa+1kAUrBaoNdeObwP+hmVKF4uBxqjTAN7VfXa+dhY
F2VeMVLTMD2hD7B4vYjTig923ufrvOME5qconYgjR4ORsQo0se6zF2mqs0wGceCyehgk62I83LSm
zLd57ECF5QHGz0q/H00XIj+tXZKhmplO9sHykk96Ko3zktTexcw4EE9wiHuEAHuirBNnF8Uu/lzk
WFkW7zwylJkQx9UmbLLzaaiWJg/iskTEi4ca5beo4mUBhuUMkfGpRXWb6yCP6CZ4zZwt58Bn8N1z
RA7dcNOPztVYwzTiYM2p00g2CL5oPMcDH19+zGCBrLskXEeF/xi1+UUUZDqZuue6Sc9pxFtNQYDs
dS6apZn1D1rZXqalOFoBeU9jX+y72JmPg72OY0Mijcf+C3n8tMYPLMcQ3gt4kIXX5kdHG/DIzhrw
RqKwQEZhKFbW4kKZjPEjb2dlO+6VAbmhk73r8STTL+FQq2zKvASI4ZR1ubKQvkplZ9aVsTlDnQ+6
1r2JtTMNbu7GViZooMlYHbT5JLIfg5FPPlaG6aKwHEyJPOjE2K/ASKyzwIxoYm9jZbf+T4v2V1u0
uvhbsdpt1Dx2r/uyX//Nt6ofWiF1va6qZ7S8KjH2W19WdWMxs1GpWj6bPnK0f3MRDF2p2Ph0Xcem
cfnvql9/h47BIfvJNuAf6o75T6p+IDw/Vf0KycAvsQ0ADtZrLoIXBi7DY9hyU574GyT/C9kjWR9d
vVl0EXNOWTMxbaxBYCSyD5UPc3RCMWUvxHlm0uPsPYOJnX5WaCXZLeGdX4UnHgthktNJLec70NYe
T3B/yLz5c+uHj7rVkVnekVwwhB/HExuyleUfjCAm2Bk2jDbGaOvLBg8SE/dIiM8W8QBmU9LzhAmK
iTqN1j3iWhJXsDlIezjV5/MBSUIzJe6idWQJz/jerViG8MviZYJHXUWjc6l0soNNzRD2iFO8tLqR
4BxYcfC4V7xKbKR5uDadYlibmq8dutJkKr/ImwkGjgMQOPdjeG6lb6zBnSxILKXD67PLylL7aLSD
vh8TxECslH4hiJwrtoHTX7vIVEWicq7oDQWkpqxylV8naL5TUxOCMDfWldFz7CBAMlCF1SK2RbbO
EA0uc5WKhxfrch7uhCO7owU6Gg3jjYmfjHa0V61cL3xqijvP6Fk+el1fFY441BBiMwtslWTW1qp8
vqIOr/rSRI09Kx4cbSyPML9SpfpVKcawyQCTV/cNUpJyq6sMQJ0wQGu23IMTaT3ILD70mDy7oGJ/
tQuoBE2bwHWWKG6YWXYaXUBdZQ76o7HuhT4pKNG0SVP3ou/yC+dJ2tFeYvEwVHphMPIBqzxDfgjQ
fxVxqLIOSzRdrRtfNBYpiFE252sC9T7K0b21UHVuJpWZiIyO7AdiFDOVpygFNBydiEUPGyRteGMT
M26LjOLAgWaA2NYnIdZwFMte5vtw7FhP9Zwi36hz49bR2PjGLDzvKpxDZIgaBI7x3CefY5UEORAJ
mRMN6SGLWen5rbaXxEbaKj/SV0GSKlHSUdmS6Hj2IWGT7tfUSWA72EGQtXs2piqjZm7mtf1OzuvK
DDZ0cytg3T4zWr/cWpEJkMonkBkdna8yLyfCL2k/C4LIEpq1iJgsDXaHBYKikDEvwEiaUUWM5qzy
NAtTPyPItNsKjtwIA5AfhA6HQbRmW3BUGBRUNqcvCRUsJ7c+MeYKCek8RDRnu2OmUj0RVxIhbOP7
GlTmp5nwjgBSWmQqD9TxodilKiM0FKSFluGF7obpRhAjyuuG6HJsT3HwgsdurmsCR32OgmZsM1WW
HMvaQFHrEZMWgXsDKTG8qoykP7Hn8SH29Q9l2oirBHnsgo/qwXCSCw5Oh1lwXjC3neaztXUNhjfo
xMuAruS28keit2oSxLphN3P2WYkEJuY0XBKzdJTA9tZxkyDpsa1EvaSnuOvig8XZnPcq30jF+c8k
ij/REb1SUBwF9XhKVgZUyMRYr6dygBgvmYIaXbhprIhUgOKQ0BuoVZOgoluA8nPctFTLm2iYYuXW
ik5N+z7os9uKZj+y+Q/wDJ1lRBcCX59LSGl8n6gGhUunYqBjMRkzloVE3snqphdDsIxLgGpGVjE+
Yd0TEa12UsRx56hmCIEYC6HaI5ZqlCCNPKefYi0J6rqL6aVIhzOS7DJCaIJ7OwGvVqGdKZxi1alG
jIxoyeiqOVOoNo3XVBtT3DhhT7jTME/bCpp2PAw8OPE1UFB9afn5sHay8MQZ5vMYmTIYzHRfKKQL
7cl80eH8Xw2WwWpldYsgp2dQCFxls5ueutioZncul1Ppyk04y4M3JEg+HTxJEXdrnSnATKZQM0i1
6q2/RpSimOQM2jP6sBgOcdtkJrP9NMaWpSebXkFsOoWzSWMCUMHbTHBucng3gKM8Np76vQ8JhyZ3
wbpKrQvmEdOg/Dho2ifPoTIWVvEI7uYD2tXKQS1QYJiZDDpTBEFsjLJ+kE0ws4zIS1nWywRTzlY6
/d5rwkdwNMm6sPOnvkcEXT4xKX1fNPW4cgnrJAKm3Uu8fHE7nXpZZt/49pCfh71xYpj1aig7ErxD
HFJjw/CdrSJ18ruOM/1aN2k0sG/gLiine09jkGcN8KMTlylSK20W9lnL11qjn5RIDlddSoir1gSb
PiOYoCKTr0KZu0CSG25aTb2TtrGcs/VX2Yhfo9kdWrHUp8e2GeReszOSipPW386jhv6v3BmzmxzF
hB5udFi5lJ9k7E/L2cnWbQIhrLdhrDRudpNEqXHSQqpnYhLbl800fokGzVi23VxsRecUp0lBLwAn
Zn10iynepg00TjO4tfAAMN4I1o5RLRu75RUuUYwFhdcsInFhOATlNHQ9ydHxP5UVHblaBpzUyAp0
SWdzT4V5EAYhxFHsIFZKGlrmJ1Ho+rsilSFSnqndSCP9lNJx5c/l1OhqZbHR0wBRGSPPWWf7MOva
2+a1eYSCE+JEjTGitlt4hd6+B84ukvHKGg3/OM0z5i1OjKlOj85JDGqZtl+RBc1hhfNWbCmXc5d/
ToJw3CGCpc8ABciamOv29tMk5ZWes2yQT0uHQZrYKtkJjU8R/ACUSCrq16w8dQoWS9Sk3knSiSVs
0hPPJ1IhQtKdZmxr2NRo/tBvTCe0xchx1shZSgD4Vr2LrPYYpXjWk2TAadhucToal24MabAJm8eM
R7qXoUTClFxOGonkhDJfuGGwQeSz6AFxLNCWe4yR6xI325MRI8ZU/uUVUvwC+iKYPYKn5kUbIlEv
AusqTEqYr3r3wKhil7iev7g+qx12Ey1sMe5GONpTh2oilHuj5ginh3LidOWsXWKoud7HOTBQFw19
sRQO7FnM6ywIKCMRPNfxukWrd5JoXvC/bEbxnQPnJ1/Nt2a9ct18jU69Kf57/9EfU4A//0G/bNSx
fqZ4fP2zvhqF/u6npA9t1HZfHon28d8hT7DxmHK2UYa0l/9f895ZKEEw3AjOP+rreb7y3f35qzvw
9xf3s3/p55/zw5/+uehyGndXjzIq8u8PcsLHOPTDyOcvLv7VT/jh4h3PYJZic3HfX7z7zucbnpoB
PX/9T138w5cMoFbUtHX0uf3+4l3PEtTTv3YDXv2Uf98AEH6uYbqcXlEDfX8D+PQRFtk8GC834Pk3
/f//9F/96c/zwP2X//t/lFbKVSKlX3kCXv2U726AIN4ZdhHs+JcLfX0fTN13aADQI/j6xVvCL3xT
98HSAUj85n0woUPi0eOJQk2mvl49D7wQqMKgorrP39afX703dR9MWjS/uCL85fPAfWCSzP+clwvl
B/74XgjSRV0Hl9vzF82it/Y8mLbuPv9Zz17Xb5vMP9kWSHzTof+hA3z+wH96Hlh/fEIc/nht3tx7
wbbFAm4xjP/tBYL4dgtu4/MH/mqncN7BPSVpQndeHog3dyPIAuR1/t0FQu0UdDQRsL5c56v7oOiy
HK7gdr18/y2+GI6rsnR+73nQ3xkoL2gyvdRFr14M750Jv0ypcl/uw1vcOFngfrdyoG5kdbCg9b5s
GPzA7xdK9x3gN7pY4o/78Pwivq0Nw9TN370PvBcO1gq6VfrzB/7Te2Hgfodo9/Jthal7cxuGgbb8
N98LngeofbbOzXh58H98HoD78dQhiFfjFPX1FgsIA1zB798HVltSr0wAiOrr1fPgvxMsDhZisufb
oD8vSG/qvfizUKe/OFr9dSHFharSgaPFn94H951j6LYjAD4+f73B/eKFn/57+4V4B2PCZXL3UjG+
eh7YL5gSUqr8cR/e4PrwZ0CQf/w8qI3RwbD93XV+v19QbxIGbGNoeXkeuE9vbZ00WL5e24H+6X1A
EurhRDYs+8/3C499kxvBAvFyH54X5re1PvyJ2va/cR9sRYbhgXheCF8dtFgfSA90TWrX5y/qrF99
Hn7hZr2wdj6njw/1f/0/AAAA//8=</cx:binary>
              </cx:geoCache>
            </cx:geography>
          </cx:layoutPr>
        </cx:series>
      </cx:plotAreaRegion>
    </cx:plotArea>
    <cx:legend pos="r" align="min"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_xlchart.v5.18</cx:f>
        <cx:nf>_xlchart.v5.17</cx:nf>
      </cx:strDim>
      <cx:numDim type="colorVal">
        <cx:f>_xlchart.v5.20</cx:f>
        <cx:nf>_xlchart.v5.19</cx:nf>
      </cx:numDim>
    </cx:data>
  </cx:chartData>
  <cx:chart>
    <cx:plotArea>
      <cx:plotAreaRegion>
        <cx:series layoutId="regionMap" uniqueId="{3A8DE203-C1A2-40A5-8DDC-F8AD0564F2E1}">
          <cx:tx>
            <cx:txData>
              <cx:f>_xlchart.v5.19</cx:f>
              <cx:v>Pessoas ao serviço</cx:v>
            </cx:txData>
          </cx:tx>
          <cx:dataId val="0"/>
          <cx:layoutPr>
            <cx:regionLabelLayout val="none"/>
            <cx:geography viewedRegionType="dataOnly" cultureLanguage="pt-PT" cultureRegion="PT" attribution="Com tecnologia Bing">
              <cx:geoCache provider="{E9337A44-BEBE-4D9F-B70C-5C5E7DAFC167}">
                <cx:binary>1Hvbct04suWvOPw8dAEkAAIdXR0xIPddWzdLsq0XhqwLCd5AgDeQf3C+ZGJ+YV77xyYlS1WWSra7
p30ixrJNxwY2SBALyFy5MvX3a/e36/L2yr5xVVm3f7t2v7/Nuq7522+/tdfZbXXVvqvUtdWtvuve
XevqN313p65vf7uxV6Oq0998hMlv19mV7W7d23/8He6W3uoDfX3VKV2f9Ld2Or1t+7Jrv9P3ateb
q5tK1bFqO6uuO/z7W2mv0qv6n//r6u2b27pT3XQ2Nbe/v332tbdvfnt5s788+E0Jc+v6GxhL8DuK
REAEx+LhJ3z7ptR1+tjtsXecCiJCxL50C/707MOrCsb/S1N6mNDVzY29bVt4qYf/nw199gbPeq51
X3f3K5jCYv7+9ljbrk+vyrdvVKujL32Rvn+R47OHN//t+fL/4+8vGmAtXrR8hdDLhftR118Bus1/
IjZB+I77sPTE5+jhBz/HJnwnSMAFC8Mv3Sh4gc0PZvMNWB5GvUTkofHXAuN/DrfK6qcl+QlHBb0L
/SBkPn2BA39HWMhpQMnjGfGfHvrljPx4Iq8j8TTuBRZPzb8WGv/8r0Hbn3k4+DuGAkEYE984HJxg
4cPped1w/Xg+r4PyNO4FKE/NvxYoD9b7abP+hBMCzoT6Agn+tOjPDRZ/FyDBEOLBo8F6zZl8bzqv
Q/L4Fi8QeWz9tQCJrtruttRvYPL19U+0XYEAX8FISMWjKwET9bWbD4EFYEYDzB9Pi3iC4YsJ+9fn
9TpEL8e/wOpl9y8GmlbV559p2wh65yMS+D7Hr9o2OEcBDRk4ndcdTvTjCX0DpqeBL/F5av+1gFn1
V/bmJ/ocwIURRENK0JeFf0GWw3e+L3wa4sful2T5x/N5HZancS9QeWr+tUBZXv1MUgYc2Sch/GGP
JBg48NeGjb/DAQXSJvzHo8KeG7YfzeZ1QL6MegHHl8ZfC4wDoMjqJ54Q8DMhDimCY/K43i/hCAEs
xDh5PWT58XxeB+Rp3AtInpp/MVBU+1n/XFAQwoHwA/qq2RLvMPgSgoOnOJI8PyMHP5zPN0B5HPcS
lMfmXwuUe+XhqrxN7e3T4vznfBlOC76PXiCkfBWY8B3zEWUYP2oz4oXx+tfm9Do4X499AdDXXb8e
SD+RNYM45oN38SHmfxUf4GHUpwho2qOxexHP3C/kd6fzbWhg2CuoQOuvBcj7q7q7sv/839VPPTS+
AK2FU1jt566egHMRAj2SZgTs7ItM+iWG+Zfm8joiXw19gcpXPb8YMrfdP//P53sl9WdJycF9WMJw
iL46Dc/xAa0GU/aHlPwSn39hRt+A54+RL9H5o+PXAudCXdVXb270m8fA+OeBBCaNh2DPCKj+Dz8v
QhgOQgCgBGTg0aS90DL/nZm9DtZf7/ACtL9+4VcDr7x6c3r7M4/WfZaGgqOBs/WFN7+IcoAoBJiG
gf/IqhF+2jFfTN+F+hem9C24/hj6F5z+6PnVAGpv+6cF+s9ZHKgCoeA8hFTMq0cKsjghEigMw8f+
FyzuQv1gOt8C5mHYX0B5aP3/G5Bvzu5rV/TsS/9mVhOINeM+FiF9Yd4gZQYdPBRP5u2FD7pnbF/y
i9+eyutw/Dny2cT/+1OW305n/pH3ja+6q8VDwvirjOb3ex9eEvLYL4Z+jyx8WbHNze9vQx5QFMI2
/yMVfX+bZ2TsKV/yyqBb0MB/f+uF78BDUcDQFwwTUNWA7o23D12Q+qEUcgiYoICj+wT12zc1IJf9
/haQR34Ao3BIUOj7DGbR6v6hC7QgSmAYg5wp3Ba6nt7yWJdTqus/luTx85u6r461qrv297ccw52a
L9+7f0cKglMYQOjGKPEhpwGPhP7rq1MoCYCv4//hCjo77UwpOZrSqK/xUd2wz9i2Rznqdn5WF8sp
H+8GSmsZ5Mk2VM26rxLZhHiSNslinX3KUb0f3G3Rl/pTVQZydGkiPT2EJ9U2DSw6qibF5YiSQvqm
b+RE9alfiCtWzHgNdxcxylAuWaqJTD2exiUnwzJUHt4PyN3V2mmJXD2dU5Wv21SnkRXOngZ962I9
In+LbJpFOChumiIj27G2ZDFXxskxYeFinMxJVdk6Ju2wHmz1uR3LepXnbhdM2TIQXb9ISY3XLi1n
WYr6MlCTWedNeTE37LjaJtuR+3phR7eujJqjmgf+Ag/JKAcjxNqkS6aK27paOjSa5TB39SKpK7Si
7HTiiV12tGTRNLFpPcd6UERaM/rbpk7e65OqmMsoJTOP2iq57Ine9GUyR1hnwTK1wUUReN5ejNjb
u5Cu2RByiUykhBKyRQnZJtx8TELLD4Z0Ouxnc5fg/r3zvZuEZ0UUtIWLfDdOsme6lmOllrrMhKQF
3s8W7ZL2M8ytOev89MbkXbsibT4vVOFvmehUXHU0X+BKbGnV8JhmotuUdRGROsSyqLwsCmgzR+Eo
1kNFBpljb5vT8spDblzwFFdRFaaBJGg6GYOF55s0HnqnJE/SWgo1zREd6EkQZB+LBs3Sd/WdmoVZ
TZke4jYLP4+VK+I06JxESZ/J2rYAzZHOTlEyjDJVxRz3SXNnGM1kNrBu78/pyqs5WnM1okXCa7UM
CGuioOlP6DSRRZK6KW55biQoFlvftee+n0aFX1/zIYwYwX7cMgQrUKBIZ94Ola23GAlny9nxiwZP
KlZTegO76jj1XHkcYnsU2DJZqoA1q9HqiPQ2W5XTSGNs1BmxVS77PDMyJ+G1Z5ItMTWRlY3RiKsF
qoeoVbDxR6SlCcWdnw9y4uV8Unn9+9KMdeT0DSs8FTtMLxOfXPYquNVBGa4QcUaiDN4u7UOxTvh1
Mvs3s+0j13RMGhFc3h/rqBq6JEJZyKIqbZCsqihlju66VlPZtdM5DhspyDjINq1zSfzxxBf0czvP
pcyDfAt1G4u+I6cdMpkUQWFklaJKtgceTVWERzZGQdZNctTu3E3TZqSw8oES1YEYWBLVIQDuc57L
NDVxB+cqIXfdWB62qPakr8MPk18lC6e8/KCe4JkuJakUTXjuDyqBV3NFlA/iyCY5X6c4q9ZjKLD0
5ySTU+bDvX2DV0nZ+ZGo436oikaWU39qFB9XTYBOyg43skvomVANGCahdGw9T0RmtPs2LS/hH1pa
VS8qN5Ao0+Ug53QepEjCTjZq+IBn7ku/06Vsi7qRpPXaJaqplqLiNYy0aew8Pm25KwvZd/1Hv0Ru
wxQ6x8NoNsYFZ3RMdknap0d5jzd24ir2h6I61GmjoqE2Jx3NfKmSWcdF0dwlqK0ik2keKcNtPARZ
LbP5Y9j4bew10ydG+gvFg71DPZWY95ssGdSe9AhOjpFtHRbR5IVl1DN2Odr62pJICNwtGjznsum4
ZD0Zo1TkajEH861n627TM2QlJIUSmRS0jBSc3i3J9Iex5qs+sWw7dZZGdiKxxYChU70X2W6+US06
B6MnDrwyodLvYYegY2Yqydr6GpVERDh1izotQ1kV/V40+ngQ2Q1xg5BTAbsTURwVdZ4ujSfyGLX5
uCGmeY+bZD8Y48lidlsjGI0pxs1pbchWGT89HFxdxkPL0cL52Q7y+DejKq6wnt9nCF9wL/k8jfOu
buF0hJk6InXZHxfV6MdizgPJmtrKQSu9Lg26K0VmZRtmWdwwbKKgyJWclHeYlNWppcYeZKuEoNO2
/XTnMxUZg6/Al3dS2xlOEPfyhZd+7Oppkm2iOnBiGRzJdva3M5/qqB/XND9Kebph4TSuJuzWrMt9
sC6uixkLYMVZf2mq2o9SvCFFsIcSvqWq9XjVB2g913WkcnXXllmxT00P7jRBB7nXtjKHyUym51Fa
gD0Gc1QtdYiOuNLBqq0RA8ObHfn+/R40fWxu0MAOGe3TbR/ocpkXY5QTrZa2Ssa1rcCUpiKJta+H
dZUGm4H11daCQRMZmhauwOmeQcZkERg9y17QXCb1aWJCHZPC3yRJn0dszNstlALKQ6wnup2HUcUB
922cFm5aVEnKVhb3p2VaXHMfsM8q8mCopa1RdVFO1SZT6pAObIW58d47lyRrmhZStWWz64PhDoyb
AUMfrEOb4siaJtw0WXie+SiyVmyKZCoXtDZqV6X4cLRdZKu72uks9p0YdwaOdsW1kmXeZwdzNUeA
9HyM+fuiyy89rZ00kzXv27Y9SsvhuBDFtKmdHyWTSo9CV9NFOjXzYiwLvui8Oi7nwsReOfC4Dsdu
j3Lzye+7KbaluJlMis8yNqSruprl3H/ippOtyPCqqoKjlgT5IsdG2rIUuxLNyUprfqlRRWM2eyu/
aNnxtLV+Kh2dF62LOpzvbIvtMu8JX9PxNgws3nodWTSCICBm1UHezGrphcTFrpg3KZ9V3LpEywaH
+cbNx72u/LW1LZPYnQAZXZlwbqKuqi6KNFWyUr2JjEfSSCOsN8FYL+YioUtr4HgA56sm14AdCt4b
POTnyLQfPT73MkSzPcY6IPCcDLyZwFlMREePxjFgUViphWenpW7UFIHFMZIyU2ywdXihiKOy1V4R
dSFa9MMHTZ2JORi+NaqKVdfglWHtsrNhsaWjmdY4/ci8K78ZJlmZoDoqdD/sUDgfFFM1bGHHKTve
8kydlC0QCMZm2PXlsHPO5as0nK8Hj6pdHaaD5BaMO6o8BnSvL66QP2yGfFo2RXo6CHIBrG7hOXqY
iObA5dOB9W+CPPjMYIuTMF0gg4TkMzsI2YzBd5ZBPKpkT1mxYaK4S1W1mQOvXXTjrlEZWtQzMBiK
uvfd5K+KLCmjrgP7XFbjtdettD98hhc4rluudpjTUKZhEluBlSySeoJTwm89lMp06qOCFvmmMaEX
dyzbZGPY7rlrF4oWw6rLp1FmqtqG/hhsaK1uhimjkbgppixKjJB2ztbTYI442L5zqqfPaZ/czDXZ
zUYd+apWYEOIxM28xGWZRyYlxygku6Yy6aLS66k/xvmQHJXtGIczmJe0bIfIK5C3TOYKZj0n4Hja
mkoyN2deUNWwaa0XdaJRknp2Tcu0W2Y9eOpUgWFMed1sUcVOHGvsoWmJk5hN0WAtbAKdow0UYN2B
72uXVagideQBulIpdomTwi5axJea2Y8Q7wDJzryFAZssnc3H2OZ53IiWHcD++kgGc4cK50ncBfMy
TICDJKmRdV1fD+7MoFpOJU7juuoXOM/RWhXANbq633ZjctwY59YOe9Hohx0cSqMjL9FIijHf5xiR
hfGpWvnVdO7PJK5U15ypMFw09exkmFfR4DIRN2r2IpK4SRZ0Wfn4zp+mtWP4akiSk3v/skzEe5Yk
4HkCz0jiVcMS7N9xUCV6U3tpJV2CwJAmJbh/sQWzLGlJ1GHgrPR4CbSx9CEkER/FxM4dMaPMzbDV
XTUup1rkkpq5jIkLby13wV5kfjQ3E46tradVmlSbRFf2yAvpxvO8MapJDURbZeM+p/rDYBxEVZ49
dEBTds6kHzHKBtnRIj34uo75WWB6rZvJqjR7rCT/4+M/znQFfx8Km/9svC9E//PT/qmC/bvfWt3q
e8Gwffmle43hj3v9WUJ9H9X/UU/9Qin4UvP+FGD/O53PNIZnYsqTZncff2MBGui39YU/5Zg/FYaH
IY/qAnuHuX8vBNxnvjkiDAreHtWFALJ+IQ4IFzSA7N99GulRXCD+O0wou++BjCAHIelPcQG9Q1Dc
CAz/Xg8AkYn/O+ICvtcOvtYWAgzTQxzKiUCpYiD6PtcWRl2XM0F5+MA2N31z4wILkcJMjlq/Ywvg
h2c8gwgr7NtDUenmJNE93fRg/Ye2OatTIbaY6Q3jrVs2wJ/ir9byFfGD0JfzI5hDJSHwRxTCLDFg
8bX2MTapqrMAs8hzrFimfW6XLXKJNLuu94msh5IvM8HvRQPwXErnJ0A8yIJ66qRpOn8bztmGVUqf
G99FFhd9xEzPFr7ozwru1xHilTmi9WZOXbab2+rI8Ho6ZMJeGR2wOMnTbFNZ0i0geu+WSFckRvU9
yTPqCgFVPKyDMr0wZX6SBiyNbVboWAf4KmWGbEQwp8fDGASHtg4XIEecBmqsfrRE90vwDELCMbkv
qISUGCX4QT76Sh4ybNIh9fUU5QD2choKvnu4lKzjOzPqfkPHKgO+b4HIk6T8gFjKFhRo54pN1kXg
+fmuyMEDp9jtsgl7MS7KdOf6IRZKeSeN8z62tJx2Re8nJ6HXH839WJ5phg/TxiOr1qWhHBsICLK6
ZrPkuZZWZNMBVl3M/WwVVpZ/gLCzgognCHd5OYYf5gEB6crUdgo4AwkhQLGXBs3pRD0WfX8T3QuC
L1fovlg4YASK5qA45YWAZqaprdIsGKN2kplz/aYoWyTTbBxP8zJIDocuiOee5rshMR3QsTkbpUEd
i72+znekH/OdCLp9N9DDxpFiiXubL5LCpfvSsqPJJ8WedW25zyr/ssydv3po6kCjiAV4mAXQJnTi
96KIS+I1y9kIdOLuLxUFMoFHZNezaGZJyVCciCmXfp6yu6lsj2k9NCd2RgfjnDa7xgX6y4Xi5vEj
S5pF3WCyS1RBDiHgCQ5RrtV67Oy6yBq9L0Ku917SoahIA7HsgjTKuS4uaUnDJamKNIIVA2kNNe5g
Utlm4KrdDPefHppUlrqDplf5NgvLRTAW/c6rp27XNabe8SSiST5FU5GSwyZM7EGi2x/ZAB8s5HP4
mA8ZJyhCxVC+AjnFe3i/2uBeIdoSjq+LDPdQ7Gu/PMyy8BiWZZKiD+wqRbqLNeL5+Rh0wFi5Kc+q
Fi1NhtpFQl26tM7S9+XYbeuu46fgb0EGUtNhWQf5QRM0xWFbTLBxD8thMBfNBKSj0Ezvaz/jMkjn
amVqPu4bMuar7+9NDgryi5cLfAGOISBg8OEVXxi4Yc4Lhrt8jNw4fiYiGxeuztw+IZPapCkcKeTk
gB19n43JJzLVFy3G6sRjyXWmuNkiL8lOHprmIfSkYH2wemh7uFQsHGM26DROJrQqvUBdJG2frYe8
IDFPivzCazVbekItCtKTiAzUnT5cwmHaNN4wHILCN532emBb44M68dCZ2XI6DcKsjzrwAKsglZCQ
b4+rdAZpwSbAfcXI4oePD5fQ5iFEvjzdDWaCsH1sVZSwgF0xQY8LIIfnPmmGVR20EJkxf+EJrj7x
qfiEk9GcINzrYxw0a5eYZUoYhPPOijaGLSPgIc2immt9XuoyX7Rp4G9qjNgGCDKWM5qr3RzwMbLg
rZYo7E9Z7ZMjq4L0ImX+tqepPulzk140mQb5paanI2luvg8xfQViBiKmD9sX8A3Zff9X+5cLBVpT
MvfRwOkQQbR0klakONMTxLNz+zGtQ/opnSOvzXIJ9jrcfrkEHURAPD0sfFpuHbHNbqjzeem5OYvA
rZ1QPvCDh4tfVPwgKIleV1acqo6DkDeU/uUwiW4l8pAcVIOtt1PY7ZSFaASrwGxYG+CP2XzU9MI/
ACWqBCVA0B0iXbJOw/4iLd3wMZv450pTclPoTWeDddfoep/SfMgi0yyyvEXbzNt4ObbbohQEuDpE
ytssABn1yyU0LP7+cmL8F07AIKcCxdFQ28k5nBkgR1+vp/OwP1mQQaLRLTJG+m1ejWEpxzEbthVN
WCm9aeg2WcBkXlN6Wt5fOD5rfVAb8yFMD3tu1j3ceffnxYxd3LhkWJoORFEGpObcFONK5wx/oAZ0
V16NIDZYLRXK6HYq9bAC47kdKsivBNMipTo/5kLPpxXOwtgLEm9h3RzuMWkONPHJiS0gfK8pd1EZ
kA8ChFmIFsYpSnKDDkxwM7GQrYFCgchRE3vS3l+oP4xR34omNpQvTMfrQ4yndMNne4JEYXZ9D9oC
wglawkrNsvEaEWtXXfiZ23kYNIp8zLojFvagymG6e7jMc0J3pZddUifEqklab99DFmPfzkEhA3/t
dWVyDFq8OrHTDHpYh/aUQvapnfBaeMY/Du8vpnU4mrqgOHR67pYQf9CjKnPDIheg5SM0oFg0XnVI
rDdskjRnUddb+H1RXB7RDBT1hnblgR7IuJtDkArbstaXo3If+wbyRi5t6n0mkInmhNSXTdmdVb4e
D9psyk8eLnqeVgiUxm1l59rJJKS7cQrofsy9a450ff39XRf85RBDoi8U4H98EMRC+K2J55sunEu/
nnoQBTIbOzo0p9UwN2vbJAiyKlm4p71f70qRgxDko0JmVT8AqSw2w9Q2u8CV7brq6jtLK4dkpkW3
LlT4IakFuHab3RRKeKvMIyf1dKKLVMRF3RbLtsHeKZnGcd21/kqpSRw8XCqTjctE+W2EQcA6b4Ig
sqOaP3z/lWH3v4wOoJyAAfMC63X/61YQqTx/aSO6sedkKiS69/WTPnu4lEEm84z5p6NP8D51/FNb
0lamXcYiy3i1wQr4Jh0KdQGphvrAS8Qo9eDUBaR72HYcwhzyStDLEjZsSvhloqgdg+zCJVmywn1E
Z6WXU4PLc55nqQzbRZ8Y0H1Q2Z16ASrhSdptHz62pvKjLssEOElE7xwJyN5p8HdTx49twz1Q21uy
AE6/qpPORXVrIjy4cdPM5iIf7JnJ01RiZW7yxDRACc2lLg43baZueDE20ism0NjEZUKLSppZtrT7
NAXiYwuMNupvO4/f1YMv56bQkfNYK7NiunQBOLRA66jU4DGreZxlnU5XZlRZhAK9CllaRC4o22hm
ZCV06keqhJyrKUE/MSM/4huWzJeiq0c51eoQG2/RVfVxbodPuaXrIiyuuAlWwvBEYjqUkTZFF+kc
ZIQgqPByGPmh5VW3ool3NUP6Qo0zk8Ar1N6rQHDIw1RmXodlo4v3mDbLfhDAomhykav8o/XOGDPv
hykkm5xQBeJvd9nZqogHNn7waogdvL6MctPVoFN6RznHSdQjW0pSufOceH00sqVqx5U/zO+hBkzm
3nkmUsgA1mKfTM1JEXbNwqXDCuGGSGADMThjvdBqrKVxulpWFhILFicr69cfTNAGsY8grRuUfisR
BaGxJHO5RqItoh78exQM0gRWrQwOlrjwhJyzHkR/Q9ciT3M59MIsgya9hhSK54X8xjC0UVOfL32V
kSXuqmSTniaCtEtSeg4E7tTKkvZogfURxDxgnaqYhzk/r323qARooYTmEe9ruintAMirfoVtCcoW
5TTye+St/SGQw6BWdPAOSJJm25p2kH7RjRwhkQ7xdITLcFj1rpd+EmpJG5ceeE2xgzcLFx0ptUz8
REnT+5IY60HGEh2hBt9lXoN2g5+qZZYVNvLm+tT26Cz3Vv0wWMl5s2Z+E/s1BMlumDd+Q7eZKBuZ
O3bMG0iCwHp6sjEjpA+FlXTy8aFfzBezHepFSyiImD20g0MMlwys3pr6rZYuLxcEgt314KhbDKAr
qvpCdPyq0mKM1TrRwZ4Fjsddh7qVc9aeVSi8K22yGynJjhzIBpMFgjESgNMwtk8zqENo/Mw7xvN7
Q+vPLaQf8qxTcgYT0qpGJqkg62nOlz1kFYiP940Tx72f60Xb+6suwxLy6WXk8uLCQ+jKIyP4ovRD
qe8zj2g9sEEWZyrDrSw7kFd7HR51Th05DMnA7kMvGjiGjfg0W7YS1eTJuRji5t5RBZe566+z8BP2
2j5W4wT5IoO3/88FFBYScDHoGP+tBRRCj3XMoIBCkfx5AQVP6n4xT8N/WkDBIdNeBj+pgEKPzF8C
+fv3CyjyEgo72kZ50vjeHE8m0p3Xn4ygIXeMGkgb2FUz1cM+ZBPYdL+BKhbRr2kPub8hXPWG2i0r
V0MIydi+gNtUYfIxRazb5JNZVg3I/02GmrhGoCQr0523Sc7Whd8YuBmLUdDc9mov8Kma2F2e0XSp
VB0sUtvPEhsM/iSp9raZ5yVJpg9d0wLN90ccN8lYRC0bzSK0cHKx50NyWXXBsh2TGxxUt5yr8mNV
JAsoIqplqWbIOQTHtK3PPc+cWp+ZVVoc2rY/Ud3SjMFZrX0VJ416H3bkYKTDssnzeTP4c7uiRXnb
tVYtK+fG2GMuPUpCB/nvltwmJeuBzkGhiODvez5Oa+4nXFZNqU5rKDYoKe1Wve92pvu/1J1Zc+Q4
lqV/EdpIcH/l5vuiLUIRLzDFBgIgQXADl18/x6NmpjOr26q6rLqtZl7c0lMhyd1JAPee850rEaWJ
VAyO/Thk2tuA9ZS0hi82ee4ziVHutQsKomXNnM6Nb53/6oKfyKUlTb4l9ZNcHfcgZO4TpS5m6Kas
Vq4uIr3XTQtuoRLOjpIqF+IHjbfuUNXYEOcNBo3fded2YoAiltYpkl62JVgi09nvSYv/qC0IC7M4
3yoT9zdYBoXEXf6Kw/ZTZyHlJzaCUSvIJZirOjUOe7I0mq++Fk0xSfXTVJUtE9Fkc90PWeQHay4F
GjBnXd5itFxl47XfvYnH6Sj1mzfTJ+a9SLbxLGyHT4HXyWKOo9wEw3aZKClwqVlRET1lU6KzuWM9
rC2ee4Ees8CfvKxKGhy8bZgSlMWngZj3eV4SVCTJN6eb9r1sVlj74BfmdvhuxXS2UDrSvo/hpS02
KriAgGVE06RxxUqjcVE2KWFsWZXkc7UE+zZzCC0226yXCd1zRmt/hpXNVT75c3UIFvfiBOx5W/Sr
ctadi3uMhX1YdHMVpIr3txaYRLYK+U1u4b2XJNona82KJpyDNIANlQzddkqaj7qhsIikkWm70NOo
4u0vD+464WjC4WeaqD6HUb/dK0+hA52aM5ABqJD6xJVtTrr2mxP6iiANl/hX5OBYT7w89IO4jPql
SscqcsowjqZUk3DMcGgNuclXQGPpRMNpxz6oZRwlJkQbbeH0w3t+l/X6HtVeX8ZNpPaCLW/TOH9l
vnyoFs3Bto8WdyC8ECTQWS9VV4oaxinQmLpCoQgCI+uX+H0wkAkb79hHdXiCSIj64YeAEJF6wbjt
rZ5Av/iSoqowzrFvgRgk3RPgLVnYJIal9jj4Qpz1kRiLfiRFg5ecWjNHKdCtb1D7wtz3AZ31K1zE
TjFRNNrqTCnGAD4JoDNMffbe/U1Fe39w6xy0NnxWfy5CAsAkJKCBmJnvRsI7tP3RDDCcpsBRWQDQ
j6/DtYPw2FfbXFrTXJxa5GvPv1Yh7r+Z3WRUpRFFPTTjH4CCktkaRKfEgVsJy1UN0w/Bwz0ZfKjD
7eu8qVc1LksO0vUtWeeMLTPP6iku5pD8ouPG88pnBQDJOp/diKaRsYUS3UOBP8NWNZkatZsKfqSJ
3PbuMn5nS3yuUHdljE7vixP3h3U7jhPEA46OBpalSKt1OwS1fds2+IR1nMqxy4zvjWXdTSsuewrZ
Ay8JFkmxbUnuGlIQJqFfwV3cuWwEy1VvWSeoTodt9Etl0OpH4By6cdNF+CtucD+QJvX9k1ykOFWP
B950+3kKosM60KyZ27bsHDBtzLgqQ/lkpDcVUMBBxMSw2V/p0s97pS0ptmWCd+sRmWlNy8RNWGo3
JjKnBf+R1FuXAkFKOxffOjAryzUObmhfUaVqFEfreN8W3IOWw18F41YSJd1Cbt1nwex5rpO9FOze
NIIWcvLWPBgSsSOJN6NM2m6K0M9bV7TDBPvWVrdW47rF87AD9dKn3IFUMEl7DHFKwZENd1gaQdY1
7oQdufs6x2GVAkYDNxo0POt8H2xae5DEb1JX4W4nzO+h6VTfK+M9160BoTiGQ+ab9gO9KTYc0S05
bVDQUu6GR0fp8mGsl5tEm1Cv/Q+valXu4tWl6jSGdj4z6V03ZHsyqQQD9tHRyxZuWav7KA1xNKAL
AjNmnQ7tW67xIlHGt2PqYR2nvtt02VxVbg7o6EkGejt623BbYj4fWkcUTFZJ1q8h6kJwBN26fTTu
DMOcT5cuiIoBljPAgmoswiHCnt+ht6m27Rg6Jt7BLP6yrlPe2OScwPO208YgzcQh/JEe1vEkSJYE
djxPfn1Y7fBmqrogq9hKxTsvM72LQ0RM+aCcry6Z6yPpGy+NRfd10FRAop5F1tBkSJvEv7H1S9Sq
m+xgJ5OtijKCviB0t4/acXjRU1qCcDsLuohTLR+etMF6G6trz7s1C7dtzpc4BFbURFvR8Isn+h9i
hQ3dhEnpeBUvzBLFWSerDKaL+NQ4e9T1NxV4/M7H5c3HpmIW3RRwmHGcRFDR2NOykFw51XMjskCu
3rMVZk5JWPm7JlRruvbogCOVzM+BJgebQGpXw9l16Qfl9uAGTYjTzxbuqOXe8XUeYX/Z966w6GXH
MZs6kbtLl1kWESyg4Kkn1RdU4LmJ/a8Mpk+GsUdvivp7ZYcgJ51/s8vneEV7v72zKZJoxSWBxTjV
6eY/9IQ1sVlFz0oRd9ey8G1qzJ0HdPtR8znXIZnSkdB7NeJl6IpfjOlBoLBwvzoXh04VPlSyHqI0
DvDmlrrJ6Cb6fNBhdACOuQubBB3OZgocc58G439ghYl8AqaX1k6/ZoHTDHm1VR81b8E2z9nmpUyA
jhyMisp6YsegZig1ExxQrkvSio99Nj042npvZvwAMqH/HslYZe2MdeDVY8aD7Yfk5p17rUyjeTpP
UhqAtWiEEN3Nh81/aaYx7YkzH2JWvyp4ZpWsTr4K1zSmg8qrgMY549vntfVel1doVm1OcSAfCcgX
IAN4mQQANNkwDS4CoKuJ88XtgivcXZbFDNvVNjU/OUrSvi4DsAe7cbbfW3/Rh3boD3x2SqH0eKX3
eHJMCgV5KGFsbLBhJmySsEwfjEKajNbbkRbI5CRbaB4WjSUP7t3mFHHMOV7wkiUt9rxehnExCT/v
LFqslgN8UZ7WKW28TNg+3I82OqOoeWEtPJiV2mKYI1tMkHpcin0Rhk3QqXKe2QvbrtVKIA+sojuZ
ua5TBUwFjqi8qX7+YedtgIesjskSV5myOFOS3j2hth5xmv0a4vmtWzp76mNRjrb/Veml2WmCnZw5
X4ZWnEgzCmge2Ir4CBC+d2Mv5QmgYAPSsFjCws7AHNcGigCpSU7FRTLU/LXwPrxVfxCDCX7SNlkS
YZ0lXmY3eNEwO1gZLz52Jf8eLj4wlAAXKZzaDG+hHNtwy5t4o8Bw+bMzuTK3ff0WeaOT9pVZCtUx
9LYAq1E9NGBvUDGsoFlSseF2JM6AU+uOOhgelh8Fecfga41Ulz6tgsc/xK+z6rknqhgnt5xp86X3
j1HURMXKgi1nhBXgTFGb8SUqwvAtIACupxUKtdN6Eb7m46VObWkS/dKwvsEz2+QCP2drIX+Hs4uK
FPVrP3s2QzDgcZ+Qs2BueMAaUtjqN/9Mul1CjI8GW9G05sPJwHDLOgtCR6MYKGa4zBEJykosd67F
0Z+mJbeOkwcKEoGBFZX1ovm1oJa24TsJ65PyMsmUOI6qu3lx/T4rrVCP8DsgY1kGvfuzpsldbj3u
tnV6cQbA33HVDSlrQBuTpUyaGbcOpDpca/W1qm7jbGzuqBjdUzfvEkC2WAqflA9yduPWpLb2zsvo
q9wRKEbdTdhMuQlavEnlwca+wb3pU1dX1bmrWI7s6stUb+L+bKyjj2Yyz0YMF0K1Oi18vNTfdJXV
bEmw2IKDrdc2q8IB3Gov4zJsnEzz17Z3X0mdiomWzcbQIbgxnugPkXQHPY1741MJ4ULh9GuHo+kG
ldqmuW3KX0rt+uhL0M3+fqYWOMhDRC56CnfUG/h+sDiRZjcxR+3ST7rnXv6wjmijoNFx8cn0Hkfn
Jl955A2ZAWCC5gTIn1P1Y1HhrG47SN7jWoaW/lxGQY4z23azYtnqs25HAiAmNjZOjiLZW3Id9Grf
xmtRq9pPK4rSOhwXL116fFP7IWbIQnhdXVYv7pzWTYKOtMtlEH54AF9T4wGypjXPQMHRJz4PqMAB
QMMTA+uo4Q5KVDbLTN/8sP/cLlAL3GTlu8bIZ94EqOS083NoEhwCPkfEYaMRFGJdzpsDEm2e3vTK
IPDa8Ka8YJfYtgzQmO85L8fhqXec9dSrLinGqmlTIpH9sOGXHWZKviuHfwtjbVOP1PcpWiLc7tWa
NYw+OdX4q6YOKm/J39mYFLJu7u7YzcdkVgg+zJaB8A3P0zD8UO6vLgJiJjg2EY9+iiOXpXFdDSmx
2CIkyAul1wIRDrg/nSj6aWyeRlHtlkSwvZ9K4MTOssaHYAC6Yr0oVQtl2H76r/WyVvnZcXxo+H6b
Yv33eeNqfPLDkGSV/6abLkiXKar2xg3jq7+0wMfdEJ3Q6rBUHTu4i3F7B0249wguUkBeXLGghBT1
xczovXoJfWAixZpsiMTE4Qsb23MTwH1ncfIJByl2qUp9imZZH4hnIAQ6qLEZJP5o6W5kxS6mF8Rx
IB4EUH+tXzjtcmpc1IKO8gfsxyhx3HnLQjN8yNlxTvOjGZRjsAsXN+dQXNII9kI0VZdlG+ty82O/
6NkQlLo3U7rMHigBqBOeh1Z+BqAyu+pKJGsz1dcCfVbH95Hovrf1AIl46GyGmpi7L97WZyLskRWo
ZTl0dZKPdd2jnFV7F4dXCmR0xY62/XRiPaXgUvYQAkyhZr8/SETX04YYi/e2fIjKHiSE8myDBhx6
/FZTup/WEfukrz7XtMomW/MXZEkO87LJg/ADllZO92UmbDmML17vd5cqXxA4AvtK7C6eqdlNyXqt
XPeeuCD+cSf+7PIwwcVQzgSPRqLIAbH1EyZGinVynrC8cFyAvqZ1POySBOd+I3zUNR/Yy/CLYcxv
ET2uTXxbXXGUTLwIVCRLjBsoYNg55xELsO6BDvXuBLslacHF2wWRApu6VpxoH3sIWgRfyOOab/BF
9wEo6njov+E4IOD9iZ+14DiHIT737ZTsYBb+Gsn20yBElaP1+nBd1MiNkA6M8vsKXuY4qGZfJ6iV
dMDHFN3riDUcg38Q8aWeg62sR/sejVvKW3nZkpnuqu2wSTReEqg8TT5BuobE0QYnKqHRzX30sUTo
lkXCUazWLc0W2B/HBPmvcVWQARI+7DjFaQwEuuQSFkNXubJUjJQtc6IbHYecukjh1aQwMCxeWDLd
zYaehi3Nc+0+ST4jkSQOPfDcIhKNSKOea1BUKeS1n2oI8NnVkLLwQe5sPDyNcotTlYwUjTN5a4ig
SDD4JvWm7hccCJ6yqs55sND7HG9Nav3oV6OarI/dW6DiKZ16w9MhRLkMaxPcT1dV2QxJiy+9wVnG
PqPgZwVDvTKxoL5ERnyP1ervJsWg3zyaFTKsoF9Rdc49GLzRc1/nuHNfXdnuKCrmVDsL7KUYPTrQ
5BbsirPeo2k96lDzZxwf4wFuPe4Bv0oKNiwkA43IrgEKl2vsbFvB9YaUg2nRxqzJCQDJePVYjN6M
t2fhRv2VxHO1UzM6LPJJz+YXlziB3DYYz9i4J0Q82LpbUbmVkZ/8DCp5oojknGWzpP0ErmdxTQVK
uNbQKQ3KdqQSC+7Zb2RuTzpc9YFWAnKdcvurbtwgc804fpdLKtvOSx1POzsOb7QcEzidfQBNQNS6
z/vYmS9zNzXPSaTzDlXhs2l3zdgNzzAKC7u1MzQwHcKWlq3MKf4/UpthP4rDyEN7Aw4+3+Ix7PdI
pwzYsD4mJPnuUvbyWXhbcNqC6j0eiHj+/SBtXJeVj6YdaeNDFYr6ylAwP6M/APbgM3u0LYMjLYIB
GpDWJfDgZcdcg1hfbLz7VKOVcL9YUA3HqmXiSW1GPhEUsukysmn/+OJcN/6RkAFujLUmt52EbWp8
cofWNRfBpMJ86aoxJ/MwlFGihufk8dAPPtZgNV8dFfTPSbuyE978ezM2CLwoxzuKhsYvLPrODXpm
mOSIeuE4O7sBQVLJ87tz6BYknCeEN5m+0Gi5OBu1L039tsame0ZPPSMx5PU5gh1i9/upsyHbRX3R
lGsS/WgnLPzMyes51q914Pevvmp/qUQ757gb+tdY0wgcY5OUv7/Ixw67Nt9eV08+IzGXfJ4poleR
7pp9slkPUTD4qVY4JYtRgjrSW3aDFy4pEb5+oRyXEL0IdmU+6JeIImXlrcS/Nj5uF2Wy8L1d4vYX
FYqnABubSxVYJGM3Euah5Ms1qQQvqqG6b1wOMNCjD8/64dceDlfW9fG+V378pP3ul1xs+IOho34c
Oj4WzcdSV1+5dOxb7wkXbED0JGPi5m47duCnpjmf+kHvHvrpuQo6efQfrF7T0bORjQEgS6dffU9f
IxI6zzE5UQH9wvL5i1mb0oNLfPY9KOU+mY+bjF8r7mmYpQHYoQnLeumvkYStPMJ0zfCK1908FlCA
+rd+5N2LQqfkupdJrAiJuKwFSXl1oqDGcdDMx5UnPHORCjuNqJtC7fCzADmW18FrLL2MRC0aZG+Q
+5BEzwlR7TUgbIBhNleFIopeEOE58BofPT4Uluq5GT81iKUhHhPg3uKisCFsKb8lhcsM+xyg3Do6
wSOfF/wyEoEZI1vyrGT/us6EHr0+VhDd9FKMnqnOkFeeZilozhxkiWKx0AtwWwD4SPJgz3NXqBd1
CwRL7/pAhmkb9N1u7kjwtIa1vkGALpduTF70pJ+1MtHJ+gjkWl2XMUSkNHlAHnTi58lruqJZx+d+
/W2kUNgecdudva0Jjt2Ebb8KagCkyH86fnxqEvgemlpbegJJXur5GqTy9hX7L9tHKiIHUJkWtXK4
4yRpnt11bPf9w8Nsw3dvmMNDYIBIm3HxsRLEFZDou0S5cG37GOle3cS7DT3/bhi6uxoBqPC++jUP
bnz9/aCXcB91DdmvQASR1P054LQaNwnHvYu+KcgIQW0MfIEYVuxC/bPAWZSQqb+qJC5WmvDjGoqg
6JNwn+DAK9QwT7s4xI1qSBTlLgsPHudzhm4a+Et4V0QvB5x1CVhccjYVKJiVk2bPRuig2yJNTnxh
ss2a9RQRZCjdUKAX6B4oL1uGUmMdH0QT7bjpvO+N9nKzIk/mDs7n2l3XM/xBQBByUS9BG+auJ+PT
74dWgJMm/HNvG/0UNdx/1pSTPJ7eOUCW0oGNchTUrfa0Hb46bUQz2sgfPkUdEfM1fIpBVKZt8hB2
Ngi1QzSeNW3yZRuAOlqVh4o61ySBFNMZwvJNaX0PHXBdUTBWuVPD4Eez1X/QZPyR3NxtNs+IIBX+
XKPiaj0B2TOckE6PajAsfZxXaxOVkk9A+HT/0jQ/Ndf7VW3rjarQvLGZ/CAdWHUi16tY0FTESh2M
oNW5DlTGaSAvDulTY73g0zrq4NzFQ3yVBJn2bjWXrRJv3giHb1bcfVJjCCtuc1VKvJijYuUu8nIm
uWgrG+x4E7ToyYMAAnQXZIR5AgqzPSH47T/beDn1LaEH+mhQlCuqi458fkEa5mtcT0VIbVAoj7Oz
0VRDw6NzGlTOnCvsULvEW9enbfEP1WaiK1+GuWyHejxLGaDurOdSPv7/4ukeHETqD8q/1y2MxGTw
Nmjzo0U0OMIWJSdaDCuS0S6ayjduHtq69Ofzqv3otPTUhTVjYVAMPtnHK9s+1b6zI8gtf2Rj4M4X
l61bLnhHM9eJJKwigkU5reowt7U+/X6omYTYoCks1RkAbDKB/I/lt5i9TW4TaWTsMW8A+7lf1J3H
nrVgCSoOCE1uokrb8OR1CIfktUU4ES7bzd/i583FFq+3qS7tYnwwz2AZ1xiBeOnxK7p59IZdJ56G
/YaBCLz23CfoYuTiOnM5Ta53JC3zjnPcf9rgcu+qGNfci+KmQIQQqlOnm3PsNPsKeE+2bs0r0pj6
pCGR5ayeACH6fntjajK3YJLmhjkBezq8Vs3SnwbFwM86/PM8BusVi/TJIgzyK0Yj2g1IaWkkIe0W
BPm/1zntHBzgov8+E5LY0K/ONB01LPU8ZI80JQqso4k5AGNn2uGnBWkfEnRxfWzeotmxxUaSKV+8
xs86Wku4nuD9fMc4d5xDSICPenlNFhQpfSRNGZLwGI1QG7GuVD523VIKZ2K7po7WovXXocQ38JOo
hiiTSPm9hpbtADU0wG0C+YlvpRMO4dFrw591su6apWqf3WqkQHG1yeclatCjkDavJwc50ihsYLLV
9sKWIrTxSwKzUbdh8OIl0KN6Lj7qqoYKyHV/7higl8m5+cbl+7V3Xho35OcZBVLWv/eRCEoTTe4r
0y42REagwW4iOcL0zEakJlJhIyh3DrTsTLGk4BzSEcZS9OeoRjSYMSmzDemTElo+nAYXRFzSIavd
xogAZ/Vm6C1ZkFPfxsrb+w23e2YwnqCzRN2BvcHr78fr72eUdW4K9jJGRlnLYyvYhx/YCfjZEkKb
qKb9XG3tDnCgl0FfNc9dYsyzb3+ADdW3BHXDpUamMhq24MypwQNspmxzDcdIDm7vFKDRPVbxeMJ0
lzv3p2cn6t1rwur5dZavtHLo2+8n2nsxCaG3mtPXAPXxxQQaaQW5JV/WyBzQxFhIdqLeDUHHnoZg
bZ7+NgEJjweA4x+zNRFG+vrUg0YQBxRRrUc04Q/odqcqO1gGgEgAfMH4kcF5CmWYpJEnlsKXZjwl
jzCEcDVPnYk3uV4XLKJqRc60iREJdKYSR0qbqg7hZGwvM2Q0MCuV96mRvIYo4UbZ2lOQha0JoLy0
DPJi750gSD+AjRLcfRSDto/UeEF/0t7NIm/ILNnL7weywAzTC+aR/H7qyG9GwKhvaGQxzyDOBzsM
+9bG4QlTTapDLypxSiLfO6xadsdm+BpYHFdTFwI1dCZdlb4c3xtkuUYZN3f7eKgG3Nub5y6ZgOkE
lKVSdel5UDY9WoNXDvVbbcfgFFcBaBlk0+HrhZ+WqXfTBkF0yNdqv6HkSLcQ/CqaZgsSEfU8fo7/
xcNcDBKZhwXnnIDwuWkby3hX23b8rBfbpK2q9dXMm4Uo1y4Is7L2eYJCnMf1EpW/7zxP3ONoJJeO
L++ULfITLBnkN5aaH0fv8wKw5vn3Q+yjGEOyhpbtqa3q+tqysTsrTBUYI9K+mLGL0r99//wHaDgK
QV37URTSmAYhDTEt7U+3jxZR69iHPrJEcBN70cKU9trim1Ub+TKFY5BZYDj55ODfSDnOxybB5kYp
VCqDmA0umCwjtRjkImRwqWLTp9hUxH2Neo2pHhbijt+zG/H8b+1UL2hNAE5UDACccd8TzCvK9Yjz
a2iGZ1srUzK3hTTdwSF3Xe9eITdw+Ntv2X+8pT+tGCQS8Td+XLAabhL4f/2WnS6eR9ONfdpOrYWK
GmJkRrLmnm1pwTA2qdQLIMeBor12GXXOkQ5yB2MZbiPO5ptwMDmodfrxKDBQyCTh8HkRLTm2nYM5
M6gvvkz8YXnYazMh498hpYwSGt/Hq/Ba9R/WYV83bcarS3v4kN0AjLRdbh4Kx88VBnAcWdd8jpVz
dBtYGcigsJPbgOCEayVP0AQ+oyNqXv72R/LX8aUodijFBH0/wqeCmN5fJXy4obSSFvcy8axKIST9
DBvyS7io8zvyEOhd0AE2QOYZq0z8nVvwd37oT9cDv92LcSGAd3uu9xjY98db0NfJMAuBeTBs9T9q
Ir4uoX+wjUzybpNVqjARiMJSrfsCJixG9vjLh1/HY2bHadj/4x8EBArqhC7+cEcUYeLjH18KtkEi
Ww7HmVH9Yxl6VPbioGwVwGibTmGFCH3kb9O+7ehfPoX/PZHs/pf3+5ehWn9MD/8xTPxPZZf/dbHk
P03d+1Ms2cE4YGhaf7gE/2H22e+/TPLHP+P1O8/8f7/x7yeUo3/zKaVeglvYx+wx+og2/Z+Isvtv
SYwvoOhE6BRXFVcT+8lj/hmGSDpIC8QOphV6Hi61/49ElJFi/astBVso0tGYzIZxoZgn+vvrfziE
K88DJ1/DBkcBUkSSkVPQQlCAaE9z2Xp7krg6/41RNIAXe7n8v4RR+Ohc0hD6xD+BUYRxB5NgNf8k
RhFNDACyjkEP/kswCo+6HxWK2v92jIJxDNCwc/IPYRQYvTAfIG7+fYwCUlsLeKX/H8AoPJyGqWvi
fyVGsTbhtcMctz9hFNUcmFO8YKbW38Eo4Ae5pynAKJ+/i1F4Lj8NZvnPMQo/hIqAxMW/DKMYgi3M
alf8f4pRMLnrKPTK/wSj8OvGFoT8IxgFb9UpQoP8r8QoANVbzAUM/h2jaG2LXApE+/8SRuF8QTbk
H8MoNmcBGMS7/xJGgVGbJThm6CnCtNdJ68sSgHOtA/OTzjFoBUceOmJ/OMFyCTCmCZGzWzyzw+Db
g7M0d1V3HPYru7sGs5mglQJu0N5UMuUgdHlnAAxTVQcXTPC41RaDxrrqB8C8NudteI90W+C33THZ
wM0sh8u7KlDUoYiQhKuqp8nyb0s4FWTwCi8WKhcYI5r6mNeQkTAwhSTmgXhM9wAt1R72bABHQwIu
4wzD1NYaicoZiFnQZc7iPuYExVVJYasDCAeftAVJZvi2q91AZHgFV2IRXXNX7xs0q/dJxLs4shiR
BGQODumrFObaNs5wTKCZJMp3T+cERxDG3BCbVj18dhffXg+r2sman6M+GI4eDZ4XTCjYcKTPVQ8M
EJFjV2GUUmuaYh4g+gvnVzsBRsLEiuAQdsHrNN9BMcKGF7XIaNI/S8wFcGv5ffIx4WiDI4duYUDI
uh0yxqCBrpxnGLhazuN88yoBFAChvIb3n5ua+hlQ0Hyr9T5Bo5vCEDBFxOvT7ERAXYYKzHuSQHsF
86xb511GAJp0tHql36+mQLBgmFhcilcNQG63gDhZFPkUcP/AVj4cMJ9tyjHuMqonOKrgGWBV9VmI
eSbp6uWVngEqsQiNCT7GzZE7TSGsDQty1z4GVaSOEW8WhGc1g0LrorDEiE9dtqSXR5awSxj4qhCD
ApIiwq5YDT8t85OjmNmtrEe6FDPv2IOmN/+LvfNaktxKt/Or6AXA2AA23KVg0laW9zeI7qoueO/x
9PpAcjjkSIdnJkaa0JEmYngxbJbpzMTev1nrW9uYSGbrXsVHxoszYelXnNZPj2WCgVfB9KSa2a0+
9d+qdfhAiN9yZ45PS6/Pu7lSLAbfBauZrHlYwx+F1SEKQclYo1MHebOcWOoeRjjwh9QSiVsXgo8V
A48YHZdi82/MSeAULZbXFD1ggPBguGp11YsZqJr94DmZ8KOZrngqYN6NCfOnQgRGn77VPfOuWU8/
pAkEgVxbl7d4J/ow289Cv02j6sxM9W2upO/0XbAsQnh1r0Q+5qCPBNilQvnoSyAyvrpMCPKuk6XW
HpZ0/G6ZzXyFVQvc3S6qbFbfGXoAyriKCYhV++wLgkSNeJCZSHW5dcQcSpYLCKF/Wb/yh8bn/z7W
0n/Y1FhY+nkc/rSn+V3W7C8I6F+/5LduxtFZrNJ5oISShrNF2fzKW7J/slXLNBwm3UArQXZjZ/4L
zZlICRocWiNV3zplSQ/yazdD8BcBeVsui2FpzAMd9R/pZpwtPOSPAxIQ7bZuMRzRNGH8jHb6fRe8
rPag0+/m8G2n6yRJP8OhUT0tVE/2VIAuUJrbNtaFu3T4n0Y8bZY9nXTsRCh8PqvO/KZpsInMHxlW
x12K8ReBWXM7OHPk2ll8sfXhsunXusGEaxspJ7UupJun0g1HM2EZJaLDGN9rqeMlUpt3kIBxHgNz
5hAWa1AasG+EyE3fRshTlPl9Y+gvasj+OkZC4seYb4r9Grfdmb8nqgyhfs8zGD8OE310Yaj0rJHF
WGcVgZYvLupI3BptMjFiYS6NEEZxIfAc4gprnsEsbhL1t7TJkxdD/KgjnOXjBNkhnh9EWjcuO4gK
Ey7HgGaATAsNrs48zK4qAHpRWgjwv76QTMUY03MeJeM+yYvrInYSV8XQDzUuxhvjYHo1MmPAUue8
m5sIxpzZAsGMqAWWYFzjN3BkbthvKJxPm3dmMxuYcgzk6Ddqrp7LusOe8ncbpCeT0kOyZ/k7DNLq
ornw6f7FBunEWMGlhPpBJKwsOmczBP3XNUjDz1T206jd/J8wSOubQZo78v8fg3TlrMspefrZIA21
6G1Qcc2Wg+IOCcv7PzFIZ6K81PFbB3O+35zmxeS4ul4esNWdVoEby6z7L01ErD0ResegLova/I5B
7KZje+ING7VQ2/iFwFlfl41oqG1swwnIYQbssMLCcKkk/MMoimb4lCARNzZiDCSx22iJooabGAJQ
7DaSojFbP8yNrbhulMV64y1mgBcX2UxMQ82nCiSjWWy4RdgFKVacnoHkdePwf9RTK6POV5Ux8Veb
f9MmWgXGubqNugitGQAZGhGz8bT5QSmzdjeAipxARmoFCHp7+UI2p4ebDTVHIbSGFgTaLveQws0u
4KOA16B+1ITuF+H4lOhLsh/HgZm/EV/aNhcoDNHIRjNOescIPXWuoVxONm7gsD81BUrDjYRZocxp
qgnYBUTfaX5E+fUxbOxMVn6+ttE0s7xX0KKWXzLVX5uNuFmWCZ6EcPSXUHVcEwsi23F5X5vtaw+w
E+thi25fR2hERZ7elIA95Ub4VEF9IrUUx2mjf2pgQFF+UXqbkEFV7FIx29FTvFFDk40f2q8GXFgB
Zceh8h42ymgkKb+nvnzE0G/gu4JFqvxMJc3hk04avZ69MUsL4KUw1kMYc7dldWg2tum6QU432OlG
PRXgTyGluPrGQxWAUQULL4RUnybA1OkJR0ayVjcdKFUFz3++oVU/p42zagJctTUujgQE67CxWFlI
DftuaoNk47TGfXTsVSSsZEHA3jJ6z0LElffGj3yjvOIPxS6GZVPbCLAVTs0zFeJtrVExFntj6j+G
jRnboXryYsi4+dQ+AMaBmaqYK8TRs8AYF1QiOy5Z8pX36TGq7UvdoK7X80kF3CCv1AZuLQuliDGn
x3v2XSk+8366KqrqatV04NA2SjWj4SeL1p8UFqC5ndZHaxRo1PUUR0/bnrN+zLxsndqTPgPGQiZR
t+10HA0qgnwtHJ+3ECM3cLHJVtnOiqd1avKDEzqXiPLhwOfxeuqRFg4F+ZG5OXoVjqRd2N4pS3Nj
VrDlVShy3WAbAVqG92ze2NRszfE9Ic9a1PAoJbCUITeB26dsqmwB5birFn3fq86tPtSXZkk7V23X
tzIu1P2U7sNYUo47O1hOGwBJuU0140arAai0Mr52Kkqjpk6ORZ/ezXHBSwz0xet7rAR6eoyL9Lxr
dBnvernSVK/re73WL9FsINY1KQFgoOWBU/ippswBYnTIhg1v4Jda8aEEHKe4SmsRMtHkz3WISx7V
x9meUO4izHst7T52h74OA0RAaYzdYAE0eE6GLgoMxHUuTsk8EHkDbCkxjrbmTJcSAwOc8syXEVXT
UDYpHrlll2upchqLBA5J1e9Lae/BnQhaw+OAypmlu590CsZtFjBlVSK66fSrsl6/dfl0L9vYQo3f
Alyr5fdCFxyYa0/ZI/L6Rs1XiFY8ZoWd8TRMDkDbgxxi1Kk1rLQCJftFVu8yXdNTPlIrdsltRScK
nTl/q4vlebQXxx/iEeS/NdYnXFj1KW0hGYGJ4/F35F0+Rier5m9fTJGAzzvTHa/xfjJhpWPxeg41
9jYiWR6AZBfo30gKqdtiU6eM15j+b1QwkGDX1SmIOZz7RHzPGOy7VYgsLO4mbBnV5OGZRx8eM/pw
xlJ/TaIfhZNjeFBS7WLT/VcIFdF0zeNp7Q/5uJi0r23rx3PkQ+1tb6ZFWXhyItVDpOmqqfre9Qgo
2XW1nl7i7atxc9SVVh/nOrxa0Ggd9XFckZyYwlV77SZcm11YkgIBXXqdlUe1/q5a2Dqd7lVViqtx
VX6YmLrLddxTlLt5vWyGxOo2HXF55M7j2oVoayo/YY8eYWSgPv+ZLm2O5TsDhWPFaz5J7TBuAmOW
6nIab9qK30nk79U0gaXDcAm9GD/NqJrXZSJRI83PRTFfIvj8hShuTS276jXr9CAL/c7JOIesgoMd
o75tXPeIgFnnKSfGNg95jNzSyK7y2diFEhnDktpen5ziMQsKg533Yp8ME9IMFm3TpL8NFS9Vb/To
mA8OqsveX+YyQJCCH1rZjZm505A4uaEt923dvmpr9bApqwpzL9vqoVCyTxDnUJSLs+7wPlWaSfzC
55ppj4wgL0taeuqyXaEh0tJSHmiErgYFsUlP0EjYBWVV3YbdcBlRY5sYW2bc1MBMD1NLTW9qOIfA
CNad3w+4WCaEPYnuj+NhkXmgDV6LKGWy5PUEkxbAhd+06gaFw88dXWMDe0SHdM16/V3ve39Uxkv/
68s74lzQ5blP21cpzF3BSdHozmMpw5MKROTnf6LRn4cMl425m4YSkHvxLhXY+JCZ6Bz2qdk/C6EG
a5mXHkqvXYvtmEUU10dTEjZSOTu9IvGGpVkb6One1K8G1Mro6f11jB6czLpSuvRDZJQHal8MuBgj
C/9dfmnGT70As8iBVqRPfQrGsBFK70meTLqMeyYgZdp5cT59pDnHlEk6mCtHvN/GAgpT9nnv9mN9
49xCf2qR61vY5Jbio5v7KsCBfIsFIkBiP79ara9iqnJbKyS4YKrh53V7kmm0YNL6BsrKflAj7cXm
mBdOazzMdnnHeY+DVpufCqinQYapliQAn2kd1onY/gC7pGDHX65xnUjXXMWPSzIknx3SSEwo9Q07
PfrchqEgFHHd7YuKwgwZFk7Qiz59GVH8NYz1j2JovXaMedhyaPiZ8sBueqG1G70tM/VQz2enR5ZV
6Wm+G2xzbyCtRn4AEKEfSbLQ6H/VqXxsh/BtmVjl2OqKWXVBFmxr6i0/na9s3TXRx8NcVkdM1fSu
6qS5PZpLr+itWxsNqJvE5oPdIdpFFdrCQVD2xRDewwxsfVNL7nH0fDjq/JI37XlhFP8wxcpHDjPV
IsjFn2rlTWm7Z8yYg1/1oDOyri79Dh3Yobaupu2kLUHdnzplepdj1x/t7BV0RR8ge5ZYa0irqXPl
Zs7yf/Fu/L/wrAm9F1vr/5jt/d9HUst/y9X9ddr0yxf9Om2yfxIY7Z0t/w2RhcZ06HfTJotCkLGR
LVQT5vD2o/66O2fmKe1fvmJLZf5t2iQFTHCLjbsK+pdVuOr8I9Mmuf38P0ybTIZgDK9sU98g40L/
G3YuFjQjVNeidUV0Z/NpPCdivtdMJT4MNe3DUrU+0Pxqp0ZV6MoECpzZ6vu4Zm6aDxZ0FANIV9Uq
TmBXLYD8OFz8Zsq4YhCJH3CU7Aa1CQMdoZmLQLDGnNWt7vtjjiDGTez40Bfzt74f0TPH1j2m0Y6G
MBaYUblHshUHL342CiRIYhzgX+OCMcmUje1B8yQtAA/TRrtR4+G2KeB2W1px1zpwdQpZHoQx/Cgb
BTbZXOl3k9jbi4AJkJOGYrbjuYij7oAJod5l44TunuddV3u/7dWJjKVUdzUwsJAH+9cWY24+MISb
avuK7DK4ljq/wjDDi0h1nbQT7budHsMOuWmZx7WbjXyjOYru09H4QgPuF6Lah5WsA6HRqqGk+8gk
yTZy5j8eCAuq+9G3Nh14IRjhM/EzgyVRj5GjOGctm++nCcJYYtrHLuv34DQ8p0FUbmnqmerG3hO0
EPnGAGs9D6U3jlO1a2eOtbkNTY6W6rsxGv2uAgaATzQND4l9RbF0mxihju8aV9CM9QIUqdWDJdh8
qlxbNTOudY0+cBhR+Ekm6E10VwjsSE1dZC6a7QEXduvlThgYmiVdGT7TnMVHu1rSfYbQ/2wb9Pic
7dWlG7h8Y7wV4DfmTwSxxh0wmt5Lk1y7chgGPrbC5K2xQGD3URm0zXxZktHwF9PTFm3x9NXKzml9
ELMSQR0Szt7qWgH6dIqO6oKLWEU+R5MDAgSIF8kdRCHh6h1OrAtiWFirYIMCqG8quuuoD3dFKqxD
M7KAWlPtCiF1FQwRAsWsL0a3Yn3jZiaN2myNrxhMCUvrWH4VbUlFP+QvBgWZs8wQPcYGPsqw7HUU
i8moXYXGhMa1KAyoOMslnrZIjozDWpXvddfOKO30p2mtv6jq5NJ8EeSTBSLLfsDpPOY1ddM0NcQI
hZusEqBh3X6r0mHnLP13qnIGDyVoZGT8X8uyXBxs4Ekuz3YxXJRpeEnyHhwejlCzW+LzZiMo7Fnb
JFsxOAD2KlUk7hKRXy1qe0+Szc1ICBOZfsPFVrS9Dcac+CkIx8I+wBA5FpmgbpLJq2Eu3+x+/G4O
XXI19h+lsuIWn5vmBNz70C9V7Rm5qmPODy3XMLTFX43+MPZ1vIuyReyimLp+qvBa8JZdZTVllxkh
r0admR7iLnfpc4iZKsfRVcL8NFp0Bl3FJwobDuNllTe0pEetSBeIQH/oWXk/hxhxYLoHXeqsGALW
r0nF3JTNUt2Di8nc3jFehw0VBexrvUjFvNMaTrAxLR8d/bus4HRUBkNkI/7WE9uFEaHteHPG0+z0
mVvBP5DqBCcIhIxhV1eRDojT5FaWU3QeZmSu5MQEucgo79JPVdcPQAtmNxblQyboe/ho5+XJHquv
MOHPRsXG3j9e8Grt5tR5YLvJsKhxvHS1npxqhF4URVhlm+444apsFd3wDBPuWJLK82imx368n5bc
wbcbQvnZ6A86yVWWtdPtDbpXD6QY6dSf5ZwFOuDGtdDxKCFWb5PmRQVKNxsq5VBlHFKdJReiWV4h
5QRmSvOaWQWbtW6zkKcop660UAAH5mBcQf/SgnKBhjWlwxlL1ohaMn2wRZl6Y31eYbk8CHWLSWNh
2jvMgqySPnyyPq02tPdaN7zLkMBBfrM8H1M/rLTvY4sRImkMB8U+0sIMllKpznDiswQvXHeZOh2f
lxF9OPbUPHSdpnqpyKarmgSwh1a1HqY1rd9rvRx8Z4KG1rdz5XH0c0RM5cheFdNpjHrZ1dWcpbcx
D2T0Mb+TSXOAmjddaVCqANnM6l7LawLXaKT6VG/OpuwnWgoiMYeFQcBAhhfNG9bxvrvh4CKoUfCR
tGPoTSKWQPmAAfIZmm7NZaYOB+Kqq/40OMUDxxuGE1PH8zFdCQviQRgZb9iPqnfjGb7Kem3L8qxX
DXBlI1ZPhs6qknHQYV71+ozDH3QGgWouNIvE0zFy+FCnoEU16RVg9jaIE3Ief65b/r1Q/F+mKv81
iYWAWNPS/nSh6FVJ8b399ntt5W9f9WuVZ/1k6dqmZDQcbloqF0S0v+0UCZYg1MUUkpmPaluUcn+p
8sRPhqrpkqWjgV/vDyEuzk+OZqusKIH/qwLD/z9S5Zna34quyXWz4DRDcYHhbLOl/KOy1iHvTE0E
YDjNKku/rIrnWVN2PUMNbs268kBVOF33I3Qs2v3wLp36Y9akqxfj/HdXe/aVDCKQ6AgnbYr7DhUK
I7jjUGYfrROedbu8n4YUCCSE26mzfSu6d7obE2wh46YdExVmAAS2VaSb5eIapOMJ0cMbzEmQq4mb
zPrTrNvfzLX02xFgoTAxOoRwZeY1QbJS5DtUDg8m/rYu07cwJUkuqplQpGE9c8AwyEolGUAb7lJq
hyv5blAoOAoBIpt7gcCnGYjFGHqrNQLay5wflVTfza4DXCPtGXuYNQKRRtdVpSBBQFgfZSK+Ma/D
z6h/Dlnz1GJo3mkck5kYX6PeoPws+3knAQP1FAeG3eD+p9G0n1K8xXMfNE39FDnVPY5wf+QuVSvX
qiquyFCFA4rBjvAvoJhHQ4VHmsYh4LcpcGTTYwYb6NwNJqExubWh+GjtWzlt6S1FDvg4pOLNI07t
Mk3vAFu0Tntg5Dcfi41jWJmh7lskl1bFDMFJy099go027MYdc12+rUFhzdk/tyLG0so81MJzDrg6
71xDVVSkSsOtBt3cLeI69SJr3GUVg35J9O4soYXNwAtQzX/YzqJ7VaZtqmzTY+OeXa+ppWJEW7RA
RKQQ6uvwYxokCNYXwOaav0DM85Bwn3MZnwrlResYlKnYvZtI6CSXNsJXbe4Vo5yi3ZBDxQhBxh2F
fF90xrmk/iVedW/XS3gamTMc87i5qSV8RnVl6oTF/JCoIqhyvEkhr2Cn0jq06ozjFD54XHQSZEhx
C8pSIyHRuFTZslt0rF11gkWafQ1Anh30ke6E5CeHf61rQLgd+YHPoNqVm7RkmoygN4arimGkayWR
ehA9aGxIg26TkF+bWeV8QWYz4uNR3tpEwTWeGodC6x/CtNwPFYkT+PtLkHogitmU6PZ7Hwty10bG
0LD+kGgRS7wq9DuWCdEsLZmrqF+hId7WGB3+igSMXYefWAqIJsjj7VAKBt03FMr145xiwGUp5UXA
IpMxNynWKVN6PKR6BtrQbl4HM6r9Tt/SePj2doUtYpwu4DBa/j5M+9GxBM1agL6bi8iVDj2Jk6sf
G/kcOT5IHdYqTJtzaHvplZrbp7w4OacqwqqyDhvEYWCkE/8o7fXDTMZTgdXdbZzpBZK2BrjL4yN2
7vP4hRSC61ER15MNnShmKmxceIrWwm0dVuIdVACqbRVdDb0bs9yB8cyMRybCm2IrOqg5x97lCuEy
g543VwZUBAL0Yme3qES5MM8nIGcaK68s4cM45Q8G9aa70lKpcYRXuypSL4mOhVnrXoFfMRjoUpet
XQVLDyBMlQsvUgk5aGtr063BrXHRQFIHRFaNmc5Iu95rW0PMYwwFclt4NRHxc1vbTB7LfZYv+blT
b5Ptop62K1v9+fLmFpfbdR7lYeyl2xU/b5d9rkVsbCy9PZhUAs1WEsitOGACdLZCsV7nb9VWPChU
EepWTgzUFdUy68DKIFx0c/HQgtgGpJXoZX6pzOG234oTdStTnK1gUbbSBSCnPC3NwE6VsibbChwm
ff68lTzWVvwMWxm0Ug8VSdLsu6ZR96CQYAluZZNO/cTSEfmZ2Q4BhMDBZZvHh3QruORWesGH4tXd
yrFwK8yarUSDSFO/d1RtzVa+ZVsh128lnSOdBZt7Q+2uQ1HoHM6VNbKtozAHccdT/iCIT4JXB2s5
s4hyGMwBc5atydtINPlFabxQanuHE+qe2Ggb1nrKkg30YxDVZhqUU8dumNxECIuJvKOP9tpchxim
lPU5BYTxuD6XBcIKoGO3akZfVot9EccQORQr9komCCYySeZvCwbg9VVroeiv1a7I+E8YipSeMx8g
znR+BTQuCHus1KtO/gcBi5wGifA6bTis9lTvjGTu9mXSI7G04wHOGOljs9Jcsno7eS0wtargiJ2G
DmK844X6Cj+yzj61VbQPa6GyIVE3JCNYDW6zwjd0j/AOF6qOydugU1Uz4YGRYOkcYcU9wkoTc1uM
7jK1rxPd3pU1ubKDMgCrYH9+zuTkr1FiHKxyS57WmOFLfPB2qOEzz7EeDuUbk4wc8DHwQVOBEoZE
Jgs/i9wOCgHZPyln5TipF3tiWUYoUxaUOamqs94zLoEHxzjiDVa+eVU4ESGpSzUeDVoszS4ynsn+
jkuGZwCOIU59VKXLLSGOTcBJZfOmgqGxh5pLuaPB0XQ/k4BtsfVClLZ1OJmkUXtVzr2RtAT9JFL4
UtHsC8ZF5LXiOTbRb/L8rQEFStc6kpsVtprZO3yQwuojGpcv5sic79PwBqslOjO0i49JCevT1PNn
G8fl87YILJOaJFrIb1aDrx0qoQB9Ues7+LWvg7FRZlfxLVbi+ykc37r6JmOxvi9jhvhTWhxNraiu
tdJSWICSodsP5XndEjnzoj8vKqRMhW0dXCLEvQl3kNFzvIkoPUPjAgnLNoJe/W1Zy4Wt5XSShtR8
JLQXiknI/GHL06uarhlz2TKoenGSR6uEsshg4Eq0GDfRKTDpGc2nRCSgUIq6xVeo1l657lKpd4xj
eGWZojHr1xpaL+Klch3ebW0YL1BnLOhKgL2rlANjWO2YTwgdTpl/G9po8ERj3vcKu2RDlJVbFV1+
VkFayxhw4qgtnQfGAhB3Ypf+BBbCzJn6NXP8w2D1EGhTmSNmE/IBQOSH2BRlVvkDZNp8nvPq7Dj9
N112z+lldubPcmR5xkbgSyiXqjeYBXKWlasZB5HmXLOw+GR5+u8Yy1/anf+8E3Is5087oZ/tYn/T
B/3yNb/1QTbthSSQEs3lNk3+fR9kC1SVtDJAyhySK//gFMMKSudEN0SgFybEv0671Z901RFM0Bmj
4+4S/1AfJJ3/2Smmbb8wrZipYVhzGLn/XluJtXoxbFEDM4ucJ0nMnTs7e9EQcdz196y0w3PFQ7fH
hv0Vo2pX4XzsreVljKyIYyYYmlSQnVgdcXZHblGrZ6sZ4QzP3yA6MawR2TNSG+QMFXS3pL41lUlc
mFjfEpL3NWYxV6RogmSoz2IsJ/bNjFpDO9sl+HF7fYRXp9r3KuEyu2KkGgwdgqNX1nszuPNAy7Sb
aiCpK79IfdCuW9gL7H0aw+sJXW5X5n4Jz3lfVTcESTU7x4qQexQpU4/0pqlRK2XJEcjidxN9fTun
9yXB9gDC0d+oOOhvDDv7Xupm8VYsJ2AIPUb6KffLBo6bJqmfFI1rQI/KvQb6qCARWrFax6tMs7iB
25UyREGbUoV0TRojauSkIFarAWQbovUykEoMb0K0VFyoQpCKNWXT+Usnb5s+vpUqtIfJZBjeColZ
YH3j4n2SIzW/ULcTcTSO6ZAoN+2DXPqbqhVcB+vrgAXVjEhYIi6aWXDufGuGfF9n048hRIxD2sh2
fK+f0O2vks0RjVHO4vfZDbL6WhvxmZOXsvb9vo1SFBZpckUgShCPsiGaZb6YoH1JQXhoKe7Lrql8
o7aSndlmcP+YP8LSHqv7PKEitRDDHjjEoWp3AZNOn5EielDmkxSNT0u000tnCcgRZ/k9qTlxVzMW
//XYGhMDv3+eSFh3X3aI56KsnRd9locmF8SChfdRVdtuuMbFnpCD06SnDpWluDeQQaJ3Azhsgl1O
Cvmepc51RcdzqeqexiSeD/1IPxkpo4+JPD00WWtwCaKn62sLyAiT2KTVj6W9W52+vtOgjHANw9Ru
yq9uyNurpNxcGAmGrVp71D7mIo8ODTx+BmN9ASwOCpJtTm+FxXJ2xXkCmhvqLutsTPZWJ16jVPtU
LIDDGdHPOwI9fKuTp5xC4BKBVb3l+gRZoMAFJ0xNjjl/sdBEwpZ0IIDnYS/NzEusAnznvO15Z7wb
GfN8LWHnLtqsDMa++BoXHpEsoqLqu+26yzV/XUJ6gSXQ0Hi4WQpk29z2tyEQSDDVNRLqjGno1H0p
a/+YyxpunGL4SWk+L06twZVPwSwmwvBEVHxOI5GvMhwuS6ned/n6sBFCcaa2bIL8odB7F7FWHrQt
VLAqSYMqrg+wk8YMDQoat4i89eZHyNMD1ZcENSYd8LMgGS4Tw4yh5BFXaZk63xlmvC8vXR4HA8Na
E0DIOryX6WcNcZZktrZGZ+KcnOgo4u9W1HgKOYOIq1xUaZTdxwx46pizzmHHX8sXthdYYNDgTW8r
8hSS4AJTeeu2n8WwIv2qun2i0KdBfWLvtZxHh7FC9ZCgx45RUzKo5DOHCqd7GcTOMm+19rQiM2iU
N7N/Mdph++Uih/3aYTFvGob9hVj4+8Co4KvK7VA2vscZ2QfIQxwOGkdDwcXMoSbjTBi+k8deq25c
+i4QYQcAF8HE90pAnaDXyCy/T81d3Dt78DH+/I0zjR7H78S8TzLys4ZrMq4O+mrvieVjdIP4nRH6
OqLFZsphR/A/SSWQiuUVuUMtvxusS110iKUW2remnR9lnqVnxm30LYBXWKaldCr2iP1T6ydvkTXA
7Kl8Fnqe3lAPE9KhlLdIZ7JD066HLMpV0pR1ApSiz6UGog7VUO4sodf7SO/SB0tfXxemzqyBkjiw
kzueQufUrHyjeZZpkJvgXvuydDzLShJENPatUODTJFVISH2eMRhfzTMy9vKGdDBezaqF4kNen8vE
8VlLbIB+FbYaxa6h31qwRSLC1P3C0lN2bhR7ERAGG1llTPF4bGsTIX7l3CP32JHAZTEUtN9pMk7o
Qju0iv0z8Ji9lF3rSh0VRRnBVIDZG+RKpruJU1/TS5+ElX1f0gV0XZv6UQvYQh3J+BLJ3UquhlvG
DiJEZnqoNo91hT2umzbElLJ+09VGo1knp7lNSRQoJOxKVczPXcNIgsshIsewxK4El28fTuOLPjYy
6HtsaImERN7E8prcDUYvsfMoefpnqhTE/xNIdMAp3rQkCAL7lbS3jHNaRCrh6fZtS1JKShANVonx
UtR9xBxy9lXDpoOz8tabaZmUej6mdJruusGt/j2QL3uyUv7zMhT96p+qLrxvXf8jr/4b5Wj58Tfq
C2g82xf/5vVB1wBuBC0Fvh1QK/zRb3N5DWGG3JQZoHuw/PxhLi+Z4juIe+hIdKnj0PmL18f5yYDS
wjDdAsIt/kGvj+ls6em/h29AvxHAWlT+t6WYm1u9+jtyQaGB7l1C2MpbTz5Nj461Qu8motTvZ87x
ri8vpQjfwtHIuBDq+k4xHFT2KZ2vqnXS07VpvtM6juUoN9FiVKztWMvro1Yw8xQHSl3t3DAzaBY1
WNao8kyNjX0xe2tfeFLOzhEqK/vAonutmakUKueq1iG/stw4vEHAwr6WQfi2hzy0DBMITmAi3xjk
jW6mmXS0/NhiWEJakg2kngw4COe1lyqsTtdQeH9nnpC92LdoUe1/bZ4QD7uzq0aEFP0/lSekyCQ/
rOr49M/lCSX5aJ6NuP9jntDQbdkwUInccfh/LE8oLKll0vkPeUJrnzyqujb78KOfiJD15rmLvGVm
EBs5X8R+UFAxVZnU+Xd5Qg4hzxOu77/mCanUpjqX7f/+PKFmDamYw8CsFB21Krj/vzNPaFZF+JxN
OWHjdvQMZjfzVoMHBmLctJ9X2BQ1XONyUlzZIFsWPcu5NulB01b1ZWlYHlQ0g2gUqGN0Y3XB2fJJ
yVp54AzDAjLBXofT6LBEgBrM5VlnHVuxOeJSdRBfLCGphRrywCUmatMkMNYYV8jARf44CPPR0HjU
mbX7c/816QypEeabxE/NNAlxdEOeCOFDxWGYk+6Glge5f2rzSyhzHqxYfNcBSQxp9OtuDKugIe/d
XVsyu9tw/JYR/sQczH6B3Xer5xkhwrGiQHcbUG+VfOM4dQKr0ZybcRWngog8f21pZ4vQfIf8wlpA
rGeKkQjtKUeQouZB7fQnBVp/zuwJliHD3eRWiugmiW3p//zy2L1l7KNE/5Eoy9dYqfXBKDTjYKdm
EthsEkAdYsgmfwbhgDmeNGt+WDBd7Il9oIMkTRy4teyR8jgfxrqYJ626mN0W8YLPw6fijT0dSfJB
n+OIpgGF+AJtNWAZbO9ZPwL27PZZHdt+Wlump9Lr4B5KtGOVgWpd4/qoZo4nhha+FXsMdnLsP2Ln
LWO+SvGMamcU+lPVk8yn8udmWzLi3tLM4onvFHMgV2hnEi3/wKZ8k5pIvJpyZWK6OJE7yUzxZ5xP
10qY9bs6X6wg5H2CjFPdZuyiKcUJItPWIgsQ0RBisfRAA8o80MOXnkXkgCojUFQ6fwKNsuulJkAE
G8jZ2rZ+K+s/p8OrpeKT1CmZ021DqJjjDuVb6uEiRUXFGlH+D/bOY0l25EqivzI2e7RBBoDFbBKp
KyuztNrASkLrgPz6OfGa5PQ0R5B7bkjr112vskQi4l53P670xITiCnop2HQPSm3Exgp6QCmQA1Lk
jCSZKW2yR6TEQnsc065cM79yyqBjUr6OkJMY00Gbmn00BGka304tOERzJKuZKT3UUcpo591oCKU9
gmkExL1UCmrdFZJ/MWys3A9yaXKXRG7NqhRtN7/OkGHZ2yMzY5XJ0HuRaTWvumuS8pFLn9XkP2hX
j/3eVspuZutovP3PpDTfWKm/eiFfen7FO6ULDwjEHkKxweqjGqf3bDHB+zlhz0k+8BOhfLbsnWnr
KsW5wqlNn+j3rNb0i1KlQ+RpCtdlEHeQag18i9WL5ptECYyOKXtEYohSMlJ2dkgbUAgO86wXAexi
3bTLwQq7COSzUsphL1Pp5SPZD6PJu6BYz8jqKfJ6SG42msDtI7tHyO8OvIUh3k6OduUOHPnM8a5S
68PuUhq3kaTsoBywzschwYf8rkPkH5TYXyJfov0zbdxlS/kDf7JYD8zmhjmjbSvHgBV3BxsLARev
I2uGb1ATYUpWrVdeA2ye2yVMYTPjJjCs8MWvwmsLn9LW1/QDxUg0A5vMgPPghfulrivKN6zXqaUp
edKp3rLptCqIOwfSi+ny1Jp8XVRgLfvo2RIe/V6NoPTPrD9k4V8pEvUx0ifWN+yN027b2jhbyf8t
/BbD1Anfe0cMG5HH9wPph8YXR7nwtcVsyLziDhbBwRhfB5ppas3H0DMSfF7K7pYmmENqOfE6AkzI
/Iiuk8BhHbP+1UuWS1qYJAksnRdDqHAi5kQwj1SaRLwcHbKIdr7TWDcFki5q/PZcm9wcXXNuiSDm
iRF4cuYF2wuLqoraeLO7+M1MVy/WjpUwmqd2ODDcRPvFobWsrtybWZp0I9kzfN0wyPN+3tbeky+G
NeGnh1BLixO0XXkI+3lfZbV1TMVy0PQiYfGZ4sF10y88ufc+aHfwf+SlvcoYdlXHHU/A1tulFSTn
Gq3SM7HYJ3BC9QFduiMRhqs13RlGqbMZUPUlc8LX0Z3Rh5INSTlK/pxPYXWEELFfQvJdqJ9dFdqj
DTGJ3qoKQkd/l9v2NyJdth6X6pOt7XU/RUfR1E8OGN0t6aeCtamVnvzlaGSGfQprezvX7WPjiCNk
5nNokfmGf08Nkr8Z9YQ7BdLv3H2NYbugvFyz3kXz92KLSy3ohpYfFSbjjO3bmAZdljwUY/LWz1V2
kOpcyzCO5tOxGuf2dqCYeKyZT/OqMgBFTNHeqummCjnFF9UiyjeWxscq2VE5so4rj8SjS0+n5WP8
HOr+zhgaGhU6gWmrx7E3ac6dRa+T10znf82L/+C8iK8KxeB/d+lv3//s0YfTqj7kb6qFrZuIEh7p
SNcxbYWs/NuUCB/C00E70N9g4KviX/2VCOEyCtommobNf+CwnvmvKVH8ht/Ls9AtwBgKBI9/xr3l
qpf236ZEV/cF6yTGRAZOmxf436dEIlHLHHOvW1k5kWNH4F2YAKhgNaE6xoBxXnZpuI46FrbuGGKT
ztxbZAWq/oSyvmgJim2EIR9bPbWBb7nm2wft3qtuDIFLpO36s7+E4XUpog+zusHnpu2cauo2lui1
Hc3Ih3bu2gDCenpjDCmUXUSFxOiwNZbmXT6M0BFm9eCdKB+kVk9r9IeGAs+gL6j7NtrR3oHjPfHg
Q06O6+Wk6elLH5rpden1t5697c1Yv/LHEZSnG7LQt4A4YbQ5iH641z246dOkX2JZzZDCtW2hN+1B
mtorQaztnM/PJOSgns4YkKPOJpvwCWE0Rv4dTG5LhOS0ZSP07hPFdQfI+K3Kzgckli8vA2yh4aJZ
Mv8NREuBDWrVOfJ1tvyXjuqboP+WmveDO4S7Q1UF4OG7VZzNb5MVP5oWf5JXxE8LKoVXZTS/NyNf
s25VO1dgHZr4YQVwCXd+FZnYtHscETkXpWb0Lh6dh8ubjz10xYbubJASk0UJQHl4TVtnn7nZu9dY
OyKotCY4OA8qMB5BlbJctazC2A6jd269Qu6cUHsn8HibKIfLhCB6zW4TTwb+pZhiAoKM2b1BwKEf
/HbnZtRz4pWgBKlZO4peYdFOs9IAWlDfoLAbxiV3yWHyjFxZkY1Lm6x3zb7aGcUb1S400bds8JeU
K7tTjy4cJTZ2dFOdZ0XW8L1i2w2/oiTUDsLeiGLz0Fl6dhrNaTj0VX+svRDY7EJBO7HSZuVn92lF
exnSUYx58FuL7Ph5TMp3Q+hbH3sA8Xi5px9SW6U+WgDw1CGIYhz6JpeZbDEAliuaSIuRIa6wNE35
QJouWj68kkYYzY+7K7p3qCsyNJ0lBSMVuUvjOczSu0wH/q44Jm0TQhxm/bxpFeWEQYqESUJ6sKcf
wjVu+U2P9lT1JTgjLH7JE3slwaa0ip+CjLd1Aaq4gFWKZIiw8tU3mWKucL5G23mwvi3zvQbKIoro
y1RKArAWe+ALIrN/KiXnIkV9N91AmjrsGH5clsOijb5Cpz/PDGumCnXFVHPFFqWAdu53Gz97cVQA
TJIEq1QkDDcfXXnuSaqwWK5iY1Vf4O+yiJJFXfc0OvGbp0Jm/O2bidTZouJnBTm0kDxaqdWfLvm0
RgXV+sa7M8twZ6oIG7f8mNAxqba+Rs/r/BtW4DkhGaJvpQrBzaThdBWLq/oIfxTsLvJyv4I0kKgy
9ld0GlDo+To1+QPGJ1zmKm9X03IuVAQP7PSuVqG8ukTkRP3vw47WRrhObVJTZBt697zrA+rm2pVp
NLi9im+bzJ85/ozmqceYDluMSKCpwoGNRuavUIHBjuRgl6OmxmQJN407fRsqXmiSMxxU4HAmeZio
CGKpwoh5vA3Dhg6AfnjERu6C0S9vDb917sEhbJXV8HmhzWOqcGFL/ruE1GOm4o9w0Vbk+MWKe7bn
LONLJMSmPOcXORGdHMlQVipMWalYZXhDTvGChZGSvl+xSxhiJHFsYqoqlGkQqliallzy50Rmkxv+
KilRYPtfcU5ynZM5vi0JIccvjcwnXY6891QMNNPbaeXGxWfseSerDckbmbwrm4c5vrbJzKs4qa2C
pUyiW6eN4l2nQqfdiJOVFKqu4qjYjzeSztuoP+hGDXRfYu2SIalPHHVawb3OhNwzTM5VbDT8ev1a
BCw3BXV9udnTjWa6tzFnR5CP+RnZ7TS6H8qbh+xc8CMA4RFO3+jAOHYwiC4yvM48ruSh4V7cynuV
xkBBtoZ7Npe3KU7IwGvLh2lsNjjix1X3EXO5W9H1TdGSC6h5eojz5SH0h0eGHfdkT6PKK+lvcGqu
3fE9TNwbguhYaFPt07Al3pjmLh/jB0t1/1aFmHkbQwNxx4++4vU4UzgE7lxQ/UTpKUcRzUbMYk71
3QvElZkeduBIKAY0GX9A3S9xSi7fizSPefnshfG4psS5CAy6Kjh+Oobh/MfhlhE0lfbcCPcLqskv
nllQMt9tPCtE9xr0K7IHGJhjABJ26n5KM752armz2vlBWFRjFI4eDK28UGf6ybblzUzpX6U0ts1S
jkV+bwQu1JU+uZ/wmN4yJ/toQmaYdNvYWY+70zgT8X2pGooMhEHTZg1gYiEwFo1PiXuV1ftyLL8G
jwKcsbxvKizbg7sb2gYT9KS9JJV/27jpqTXvYbWzJHkpi/IjiZC5araRxoyRII5eo9bDcBu9khLZ
GtgAzGh8Jmp+ttuF/X15LsPsMFm4yjpxF4X5mdObhpBreZqofsM41146kV1PufEwle7nZPlPY/hM
ofWnXKyj4xTrXnsgFxWEzJQOSRQdS+XQabd16Rya7Lkb+ud+NG5KNyUQbSVXvBZE5fouvoFSYDnq
vcrWm/bcGX9FllHYU9ovDAVb0fDTsj77ZErWlv1U2/2ybkWK0xF03uiiCmF4RqasJ9SMzzQzt60s
uw0VrxTn0oHYeeu8Nr+6TFC3hvmy7i6V8tdJ+CS2l+JQLRKL4Ih/IcRD94tkR5QRQIGVSsALqtWK
frpy5U1zGmgz415cI/bO8cWJOrxNtv5t1hi4Zt58s9lFK3pjcOAKjA6VQaNeGD5TGLp30qTaSseh
FTyzP2Qr8Xk2FYSwoXjkIoTfY4lvF0+/s5p23FC58DPkJYF9481WS60UcXh0X+syOflOcTYFPldK
hk6mwTYGF5eT1SfRxU8KfY5XON4PfQSvvbqf53Kfx65P4Wm+bXp0xRoO6MbOXkxTlAGI+SgoJ++r
w1uM6nkWAo8jxeYyaJllCQoEbYjllGfPeaRwNpQYH4dFbIRIvrTSvaV58R5TGHyMFEUkNL/9iehl
TYZnyvg8QnOuknrimTaMSRDVyxOxng35jJwsD+U79Peuw2J4mCsNN35GGkjXHzBVHygXm9Fz+X5m
miP5Xh3os6NwF5A+oiB7BOdLuLwWUenf7sxDkLjbGo7QjecW93TWvVmzzXNA3wEbRGhlmecm/PU+
hlyP3E6ag/TAv4YFOPZfcrAWR5lb979es5uBneE6uy4gSF6H9bJjA5eeuUQpfm55Kmo3vk9ngcNh
mh4Gr39Lyr5+DrEn0p+UbjK/K3ZCRJTpWLa9TfP5mNE9U2v5TBqtf/TH1jnO3qRt0oyn5b9Gy39w
tCQy839Kkbv+vf16/5Ml7vcP+psESbsD57xwCAFZQrfQGf8yXLq/QT6Hd++TU7SFsHSy2X+NBhm/
oT0y8+mGq1OXoEa+v0iQKgBu6Y76M9/VGTv/KdwgMaQ/DZdEg3hvYLLzMOxhwftTADzJ4qQfTJ/n
S0SgoHuxI0nvW8dG2GU1TDQcUGjJRkWfbHpWtaa+Medi43e2u1mmVtJBvRQkahttXfdKV4hYc/BG
qT4qw7mQnv9snJGQKKxOjZpJL8FuMOcdTl+11y5ZcPcsuovGICBgso1l0H3N1TZcccgDPaPGMQoR
NJsDtv0kqOvWPEyEZVb0qAlgSpSo9Lbc5WFzdhICkiKv0s2QY7SiqTxap2Mh99j4Yxw+7O0dtcE3
ZwCILk2HPvwFVvzEZtS+P2Hxj28qxdmv36fddIz1ZSYQw9ztKr3AVcqBkYZEKGkp2ieO8WML5zsT
idg1qsc9mWJnbY/JBVohjgxUiVLpE+FzhVjRGgQzq9lbR0rHaBA0CGvRdNDZb1qtGFQlNUBuvBxL
2foXQ3M3HWn8ldcouwzQKezDcUabjXUzT+I5VYoKc8s75sIBuYJVdM86zVb6y6yUmBlJZrQtmEZK
pYnVXsusCDJ6otx3Y7EqZBddasSdXKk8g9J7RvmTKv2HLsETBxmgmvLBKLzh2JjWbvY5jzKlHokB
UUbpSRZ+OSqEqLOJKVkHPNRZe1UUBjCStQSSVK+0qUGpVL++Pd0w70qlYJHIZzKN5vpa0yQXQhbD
GLoFUhDal6FUsHHhZEIVm5U+Rs4iC/BgP2FH5ABSKtqAVdm2r9IpTa5i9T9R0exHQpKHmTgpQSNC
GTqyblgbgDwoAacfdpP1Zh6wTljFD069jKoZFtvP1DM+WlqKMR2YjIG/eFjgUOrc6gI/ZxedKPnV
4EM5wdLt7DkXtjG+iutcjbO8WSZq6gci1gRjxJaSHurDluYZgtqJm8w+TWh8Y/9IaNdioul8nuC+
xSK5WC6ZpkaLTdX1nOVDjJ3Q3jEeKhMhuJFIjw6EGoajiJ1o0+liBzbYCeJw4EekNW90JikLlCy5
6VBg3dg2vcrVYXYJDFDkTg1xSGZl1uPPuLbuwrQoiWaHXWDX1XuNZhZwoZ3W4HLTDTkrcdSzcrtA
INtSnyU2+dx+WXGVrQ1e3Sq7ohGMCC49lgsPrCClwmdtTo15Lahin2ieWonMoMY2N1l76s1NW69L
XuSG+wj40VDRMo2iCUbyGdxKJiyz5KqtpbtMXkQFlc7qXl3P25ldS+9gI5yX98JgSjEi9rcObwaG
MfwFjCmic3EnNNj142U5tnh1SAW6r/OMPjD4Jx/W3ECrYoA8ye9V3drrAuNo4KNknXqbaMXQPULO
3mhzAv8uakCUtgZB/gSGU6a/GdqYH7WWimYvad5Kij53k6lTmGX6rK59+xLOr24FGKeBB5hi81pn
NEw4qmrCp2Y44JmuXSH3bDSgvw3v4QO9VKmiAddggVPFB54VKXhSzGAWxkAFwAjzDfIUVXhJhw96
HMz70DqbJG8cyUCSVr7F2gLSlis/fSqn1iJnPODetJnBcLhgjDNwxrNuUdNoZTv2bFuS58nKAX0s
u+JTjuTqpJe/4ljeFHUBJbnsh30MOBmW+FroMqDx/EgNZeC0vjwBYgUr4wwvsECYGcJJZTTD+EjE
ndjLgnGMP1mM2d9HubdnYTnzjEBqBuxcKsKzHn7Hivhc8xAyOnhDjc06ZRrlY6P40DWg6GzkCc1m
zLijB/5VxsO7SF2idY0T3XGCPBBC0HgMCOZE092ZWKxBfLWwVtn329295dkv9iSvJzJ3K91nEO7d
bNvEN4lhdaQLZwomaUuGZof1zckopbJ1akmNKQsGp0fMsyHS5a1Bb1LXX7kLF0ljafARx3N7qvW4
X1HKjiVuzHiV87zL44XkxxKTiM1cur9LkGS1pZ/1sRA3bZNeRRoCk62TzIgK6jlH3uKDxeOMntdD
xicitEoOLU2Wo20OB7oqzzaHAa+o2gkHTbuv2mbfjP42kpuRZvp9XmIQ18Kl5R+9QzLPkrnYCw9J
1d2083Dg+8zbQJvDcxhTj5VP3if9ey90uYtHb8aRUzGkTY19yLRivAxJ9hkKxsYG+Pk44otouJdX
g74tCmE8eQN4d1k4OAS5rGwsIF17d9KOYL0piw76vj4miwQ9BI/XHY3XZazfNH3UN3mazYGbdzeE
D1lA5ow+I8gJVBvnqfO9N8HctGlt4CS1H99Avsc2JJEv3fC6lXxoPmbJ1ucIMeaIjUqU7vDSHJIv
HvU3U+7cmA32zzQb56AeoGclYBlMivn2mPZ+mshj7m5yZBudGrF6mjdjNOibBJxfohPpHa3BPS5w
yqDQYagaql1fYF2dI281Jyas4cLnTevl1wMoORYu7I9Yn/DM0JCoxRSMhrnrWbIHA7rmWOnHUSHP
fZNSLVk9W6n2vZQWzvvEZSronYdKN3e1acmrMn2u4/q20kugJCGF6gMj2SYbEDYNhjRzZDlX1uZd
V7ERpw0Jxp3k4A1Hti+gC89TxlHPDXYviI82Kkc6ESgdVLI0VRnTWqVNw5ZKco+TDo6evo9m9mB1
Kk+jxL9qhIjrMdOhw2pvRn2MOcQ0beWrfGtqbHWVd60IvjaFFe5KorAlkdg5odNWEJKNVFrWU7nZ
xpjoOSWFGbJVHkc6m2NCtoZK2+rEbiuVv3X89tJGNaverg6P1Y1XEG4ktQDN1H7DpKYfCKMSWvbr
CMEZKjuFb2AMIVhgmViIpC/etzk9Z8SCOfOuJpUTzlViuDafYZ6uSpUkXogU/2uq+QenGtMw/8+p
5gTVKvnzVPP7B/1lqvF+M3TLhoYOCV13QUhhkfzLVINDkhwPzAPGE6QzIRg4/jrV6L/pCG9KTXMN
wUzEwPNfxkrENSYdTwd9rpNw+6cks7+baQzFTxeMSQC2HEdBr/5gq9TrsCsj01QykriDJstvX599
tWN/R53zw9KP4e8jMuiy6Lu6+d2x+W9lX9xUSSm7//j3v2tRA6PlWgZ6IAYf9S1RRs8/fEYuDZ5G
p3q78ifsTTnd4Vwr6o0vKM0t9Y9Rg6oUl7uojzem575TnHXdFcurMQ/BH6TN/+GViF+f6o+eUlc3
PLDxjHKEevG8/slTmlkoRhxvzaqrqwUSu0DMwQWOJWcrusjcuTlbaUmtIMeL/6Q7rD793KFY2R9x
X/g+KxVa+CrWx31F/ohKr4Ajaljhz6Q+2r5LYqbBtqxyUEDzy9Ly3LVnD/O+GlDGcp/OE5b2wq42
eUX7h6NaGmOQtlspOU2t1MI5QQXuRnewT4xuDXyVZMauMbXxQtyvytjuITixp7VK2mp4cCW691IP
E82ASQJYk317nWqHbPG2wo2edRESWOqX5xar1W5olgNbmYXW6NkmRDm1pynTMbNe562m3ToFneNa
n5YbOXsSj4xM1/kyLWfLrNp96rkJGpfR33h6wBrYCUYXdk3vynHf5yGGovwoXFQ0vevlYxi7r362
yINRkiGYuExo+R3HdhzUzHZb3Cz2pumqLy60aXAdlen8xFrroTXLdu07stgD3n/yYoRG3+sdVoyJ
tWO64Shi23tqygi3r1zzKtbO0BpHWZj3yD/W06yHqs6DxpFkuo4znFxoLFSVdDS2SBaBFX8FMZpv
nXjUVT/294RyBOHXzF+HvSpDFQfaceHmMoUS+4W/76shRivTaUf74Fe7+PyAey1ZtQtg+zzfVzAH
Sv+297mt0DE8pIx/8UTABx8/GY6FNDkPdSpc7R/JBFVLIzvKpr8vOwXRcYuC12O9VSWMBxBkxE8G
WyUsomjlm/ibDMAiLHABd3UlkA+dELTUz7arc5/NHukx/rLd8nNIi2o7ou1lHYtKgWxY1Sao0gTx
dKy7LSoXrrlcTA+EXmRenYR3tHv7aShjbR9+2IWwNsIx7k0NM0xrwRr2IouVrFY/u1r86HW6dU1p
CZa5bEuOwKRcBJRByz1VoHOdHZbvWn+TmUxV5FfvoTIlm8FxGZ6TJwGkI5L2jP8rZw8iAjznCW85
6ylCFOly+6ZMFnoOShvsv+kTamWfCd5qsA72tDF1KY8unqPFjD4d1M2wKNxjG+0ATuFNwqTkeNGH
xtN41U8IFO5yB3eMQnOse85yHzcFdzMcTzbOJ5PM9cqdsCJaTvLcM9hOvIT15OYa+LIYN+esecHk
0C5jpDW6BWCioYOJPWTaPtLwyclZ64N4MA9L4nFiJ9E5LuJXhlDAF/wkJu281HAiKh2jqhqnvfpM
NPinncB6zYR2s2uyIE8hQd4ZSU+oZG9FxFeVRwx6/UnlrX0PqikPeHQBOqqz72Qgmjxa2rfM42oN
HnVajypH7KhEsckFjPhNfiVU2pgviNVPad8VIfoY3WLvaO0U3/JQqSoYTb3KLfcqwcw75blevGJl
GCg8aYhFinMpAJ8JE5ao3vXSbRMHrF7oZhTr9CyB40E8+io5vagMtUGYWqhUtZc8cLF9nn0lQSyT
IhK3gamS2NHYXjsO2ezWGo+LSmvX0SuiG1FzleOODCVKqGy3Tsi7dbybhT06v07cUJvY767AzwU1
zMVGa1Xpna5tGumVZ9vIDpVKkutx1ewy/WIzI/F0vZOF9U7ykuRKPbw4Ko3uq1y6pxLqQmXVB2yh
m5hAmEqxu8TZU5Vrt1TCXRQhuK2xf0UyBS1F8DGri8+kIhQnVUKetZPNY/2Qq+y8r1Bn0JOf5jq6
tkXnXc/OQiGok26icOaxbUtGYkxOu9BHIEttMvooPYzAxMbgRW5J6UTkYVHQW5XtHwj5xyrtH9cv
CFENM+1waykegAAMkM0QAkrFCmC2I8FevFL83O5yCifwfKbLRvdHKHmDM234hgur0g6l4hCUAAnC
zv2akSRdHK+KV2DyDyDmy9cJlAHiAWAVRTeIwRx4inegK/JBhjmOuVQ7huAqVpXiI6SAEug0PmcD
u0JfmTNzYAoQKawgjHQTTsKcrousIPMGKSNf8G5XxdpOCx483fCoK06D9YvYALqhMNr8wEnKTizl
go+MCTQX1q8iPgjFfnDlcmV02hl4WxU4km8av5fNsVFs4ZTEyLprnV2VM8HKaHaOiZa+OX1hXEv7
obC9Ycc+mebefHxJm4WP8r8tO3xpveorMsiTTXDmr8yOfZZs2Az5XEZoADN5LEBZ4f+dKFs2UqQl
FxX5mqd8QaQJXVYm+mVe1xrne05GutQoZa4R4dHuPrP56tc/N/b0Pc7jiCLLRile+KIETgEvfc9K
uCuj3RwM5XSrAIFv8DT1qxbCCvbnjIYVd18uKdNZDuQfHkPnXrSfSbTQLJ0QxuTib9uhAb/oEBuV
+viW4/dm0dA/LyJyVk463gubfeiQsP5gp8Cx7kWHuk7qgPV6s+LX/KueoweEcQiA3QOYOokiQ245
qhrctjUrKN8LnKiFmyQTlFu9xK8MlmnK6sdRrYQ5GFn1iI2eQgdvNEz3sh3uGw+t1DphheGTW+Zr
6GPWTEe+V472Q2XBgRQakUtRQ3Xp5FM9b6Q7rkXP06WSHCA6Oy9WcdJe+fUXYEraeML7pGdOGrBn
rlpnYW4uMf1TVRzwuIK+KbF8+jqGYE3nazFJ/FUSJ7NMJ9DCLkwfzb8vwIzAHrOASTSMhlXk4zCN
8iAstINwKyCqA1oYMEt1yoH0qg39kKd0bs+s+Be8o9jmxa0+7N2Yvy/MmO6K0A+W91gFJYEjvQPg
4RaQ1d+VOteTk+lGNArgvgX46L8xgU4E6Hu2RhoebiuIveo96zJQovV5bOU3MzkZoViHAZ21N5qI
6TOfFXrDeBKmfz9qCd+WCJNRMrFoNW7D3l6nVnivSe9rqu+GMrlnAYc82ntwNM0020xVgPUHLU2q
jescPrJTuPhGwYPQfSoXVDbb1j+jLr/vzEdKTJ9SEETUHdxMsnSui+yYJs7OwnezssrHeOxZzPJA
w/NR4znq0/OiWaDGY4CsYF/dOnW23RTbWO9vABpdyEVUfD2pudV0Uqb0ezX91Rw200ZLsp/Yb/VT
l1FvYqbyPBIkQOF1uV1DC9mmU/2UE+Qw3Mgn9F8d/zXN/qPTLObNP8xIf1dyfEooofi7afbXB/1t
mlVMPBzppu4CPyCS98dpllieSX6QWIQHou8PBlAfNgVkCs+iRYzUoeBVqGmIgmPL+w1ZjUmWPeTv
IIx/ZprlYvunedbVGecE2AoYGC6eU17fH6fLCg+mWZRodE5oviBUkPAb/UdfFGfYpAxbYXdbgJhY
pf3OE1j6o3hvFCVrLiK4q7G2uGWhZLPcXyda8oFIiWNGPAxpr9wsTBJap5IU/p2pGft2iX9qerqo
H7u1p0s++U9d4mVB7fEM8hekCr0EVtPIzwo1YyXynyRlNw3fA6hdhzrVvMQjCIy84g06scAtLesN
AeURLzXMhksZslPuYz4sLB2uau6Twd5v5ekUDtoRuebqJx3Dqz7GLzBRfdG7rOhjDLBqGiFm+LWw
OgfSlT24VHGtHAnqt6h3jjosxwVExUI4MgVBg0L4I6wBU6BAW9RgtmlzDCWiEm9tbt+JW8Mm+F8t
MQ4qCd6t78afJbVuSpGjZerLoRznsyxYJQ/sarHpJYTkPc7/Ao4U5is8ifjMEqc4GcBbmaHcR89q
cBBZL9kYcu45uIaGnJt97HzoAu2mToGsYnvZw8FQ0S2JVzYJ34b0bNUdbTLehgj0Y5hS+FWbuBlJ
qtCFi8oG+lbA/2OfjNMDQvVCdivSoldOncvCrbgoE/HcqBCi5UPvEqnHp8F7m6bVA3vw5jQ63VkU
+nuZ3EUsQWlwYVXhVPw8vWjvDSzmB/9SjoNxNWvy0pPZaE08+MOZfppNbWEBNsv61McRgAQ5XaEU
LNuxwCGamJAH4n47+tZuoKz+KFku2yOtNhIJjQ2/vFrckqFKO81NxgZWSsAiMzi6xNMedV7Gnr3J
q+bTIWKZ43OmbiUMsKxKZbafu5KwmU4mwWHrPlXGF7ajcD+Z7U52c7XuRP0SRiXpkkm7KaoyuthA
Iky3dta67dNRzy/GoH+gzukQpWNeYkiaxCm4OYbTRfeGF6PGXQH45Qop5tuLjB+Nd4OvgwOf7JKZ
GVFLzh0Qt3l4wTcWndsYf5U+YsNKyg9sG9pr1rkbKW8sBqJDiQVr5XsR4orEskM7C55I+ciAS08A
CbeNnQP40xPUU7fYGi0rhaTFyBV65rM9dD0QjSy7Drl3uQJXB00UB1OhPKIpN8+UAhontj/NqYOm
HOhL+QSEw94sdBiRwo1QoNWaRaiFS6FWL7FawmRqHTOVsNtw8VWRvQRa3c4bVxteNJumvMZRC4Tu
zpRaCZ9AH1a6S5F4UbDW4X6vVSyDaM3wUR7tMZhM66BXCTRK3X3i11K90VknCdTwnUdLNYIY/HY2
b14UL7tIq/hpcODVUXutifYJVys4B3UoTr+Ox7iXZ29OXxN1dBKK+VnUYdr2VzgfnetlWJe1Z2wn
dey6nL/+cCPVcVyOuMb9pH3JqdHjMEeWWbL0PDfluyYFGDx1sNvlo60O+gFPuOke/Nq3rzPNOhpa
DDXYay6pnqzrSj8nwn9UhSidz01wk2Gep9XCCdDquLdPOBQr84qoJGGPwviwO1bWjFJ8y2wcoT4e
1JBUT01aSlnIK/spJ5WHWFynAI5vDYeQ2cx3h99F/oapgW3ZliTqtOfIzsa15XiYt2Ffef6+KXtq
gbie6fr4UOMtI/XrrUjGgHPU3rEuMt85gwM8ebmV6YjJCjx9k4ob0fjfAus0F+PhvmrcbW+hrFI7
tkpCWmilfW9o9keV3S1e8tpn6fOoGqIma6MX9mXu79O8Oxsp2ouPmKMVhRJ976rUw7oOtoOqW3ID
Iv5suc6qv2ERYO6Hee7IuhhAQKePUEO5cFj0LwpkqRmXkLXRqsySbp0Lqme6nmCBtNmm2efJA7s3
EOmSxoWU50+hLw6UIX8hdLM2YviPv2jZaJ3DqoNSxvLqbPSgsjPJs0ifuf933j4qXGajsAjoOsGz
7anDpqmvSlPsFiv+VJ/IHspzrANpdKZdoQmg3iM8SwdhJwljPJnIwisMLLdJ0d0lrg8vrSlp+ejb
Nys3r1DW9wXhrhUdVzSt+bjcMp8Zg96VbzowKaXN2BFazT6GWATnaDqptFeEWSRE3mzA1OYtS67M
SCjQEvuqKa4qrYGy6vX4z2Iar4YfSy7ZuhAZ9FlzxAMLcUazznOYTphy+59a29tx5wcInQnad/7u
Dvmh86ynTred/2eBra5Mf8qYmDD6qSazIQ5TSqpaSf+wwIZ/N+uismoGaV66SXQwHuKVHQNQtZx9
n/wne2eWXDlybdmp1ASgAuAAHDB79j5u3/CyJ4PkD4xkMNB3jh4zqinU75tYLY9UpjKzJJn0L5m6
iCQjyEtcwM8+e69dsF4S1rsVZfd4Iw9mk1zaUa3rqbkNIr5bMY4/oohOBQ7EBe+JML6aW+8EP58B
VGarBWDjagjmRxWYh98d5/6O5P0PvnaObx7VGB69wX/82iFEQYgsQAJmXtes/bbejFr4+flSO3V8
n9nesVfymvn3qupH+l12QXZXMQHY5EKk3b4lEj95kJzwMj3NjfqY511ocl/m2qyJXesuM2A9EIZO
hGl/QW//w92B+DsvPUYvXnwHaV4Euuzj9y991VLtXeiXXmHrXw+yuR6t7GmkNULaoMCYB81VNMPu
ATGwbrv0KpwZDg3NlAegyiRTLXdmDmVGEEwcxdfYcTFzo74eRpCdZZWtYzztK0ex8yzY9ZdJMK3T
iOotIomIGw2EHxJxyxBARy662yb3WeVidogesEGaK9qtj/+ZVv61acXmKM9b6x+H1W4r1b3nX5H6
+qOr8K+f+JurEE6eXsC5wnUZQAKuqd8ia8wjNBVrpgjzx58mFs/Fey5ZwvFZWAh/P7HwDJeOyWf+
5KH8W/s30mn/3+2ExZ8lpW07IKxd/08buBBCmJUwVpAOwqvX1gnAN9tYaIlCETH6u3EyoGvBLeGY
tK9nGDvSQ1eM7PrdY9o5uD1RCSzpfeMq3A37QTKR9Bl/TCHDl8j0uiOE211Ro/bVsYndyETvSJru
qQ1T75DZsKgiag9MUX/V7cWLH5LZ+5GiYlMKVoptpPplBWgAM3tYXFS9LDsnnL91NUv1xR6tjZNo
61jYNFup0Ict4GbrIenA/o/hd4sgisJb9iJLA6tUhJCWLAXtm7duWz5hkrxXttfso+wae8ld0tE/
Ih7Lyk42YZ08yM7hQD7saqTN42Av7d7N8q+uVWD/ponEvzdFN6GcePa0zldIVRl1ySUwav+h98f5
4Nuhj98hT+5LNmi563b73p7OTYf0HaSkUlD1Wg4HGg4OGRsSRC+se0w7w7aaFCysGYSn5d80zqPl
NOT3sdMRis7v0tm0jgmJDn0IrVvy4NTylRRKHsqiktsecPveNmLyzt9tUF3HOAc/PC4JFPaGLuo+
9NbFVJlb1LEK3WRTN8NnUPF/8iGX+yqYPoqIA30XRqAIyv6R4Nwz9RyUoA5SXLwquBQ68lSb4d1g
y/HaKZNi26fZF2PfwHmvAElLJ4Z0XJwaCWqjOU9Pfma7u0JUn6LntNSq+imbnbtQPKThEuHlbp9d
0aTb0SfT7rbLpbeNLT/qcBsbZb/u2S6MDcEnegU5jJUkP5yeeTPgypUMMAbu8DMZkJdxnMDrtcGH
2fQHlZLxDTMgx2PVfrZte9W3LTdg5TN9TYPcwp0Y15jLi5/tRHXJD2VJU7EZoc9vKFNzD5zfIUwt
QzFfen/OqHR0xoPXRRl2Vjp03Mm6ZBqgY6iOvjxOEryoWD41ZicPCWKIwdvMOo3XFFz9ipFcDEx8
s20f2kav2MrRvMoZt9EOeaqUFil/LGuwf9qXyAX542r4j4m/h+bAtYQKxA6rpLSktfhbNiYi1zlw
50OKWwVLTd9D0yq3I8dP3l8N/sV8uqujylnbiqVA6rlgieygQsKzMxRD/7UZ0xIibwHSxOVwiNeI
waN/HNVmqYx5A1y5P8ViPuQpa1zOM+bg7xOHU4YxyZfY5CKtbNkeqIO8mWOBk6qFSJbW+bMoCLgp
M8RlPHz09uijQaTullpcTm/SeOoSizXjMqdnyQS7yaJu57TUjSwDxSdB3xwclxk1K94CNTYrIyd/
qeaTlPmV63dsL7zy7HTNxevaifd++zo65VuxGAYozk81sBykI/4rcJ1kHbJTP/hqcKFxtA+F3bNe
gJmLkWcorlK7ewYT0h0JsAfrnvqFVeNX7rovxRddEufMY4HVDuw5GNBfK9O5nwSVs2zu3HVTOjHj
EN08aUQG0ntRKVWSSUcewUBUsFz2no7bKfB3+bRyyOKtCGVAxkOYqe34giQOnbsR3yKUDrAtqBuY
sOZnxZE1CP2WjB0af5W7+8Wd6UdJChAYOe4wVCRGer6wRdr3Zd/CZGiyk2gWeY5GBf6uO3HDT67Z
YA3I+LSH5mX91TTewqJguWYFG+2s0ZOrrB0NLFesypeMCSjqU8DsjvtjnBQDX9jsOd/XJ5++aEA3
Aygfyb7IUKncWLg4D1b1JMqd6vPhGKkYmSFPoW3j7S1JW2yCICRxG3fjDoX2YtRDerLz+s12uLwt
ivBkMcWkZd1r6u05FAaoEnMcbyWxTTZneqsPoQNmtesfzXZ655796cLPq4VNeJEDMIjvrDaDK4TC
pyGzvwfhzLzXeM2BFBx8HDyFhWd6p6H095hkv7GFsE42vdBr2gXDVaFh8SBhOhQk+4ucR7JNjGVc
s9vDSUxieDKGbsvtmSqcz6J23iaDVKUqJaHhBlu12UATcJNLrUaC3qO7Sn1xkU7/rCgCEKNExVte
YHTitx3Z9SUSNz2rggJbLopX7KKL6FU4nbJ3ZVTjbByy4rqZfUifvXUs+FHcBNIH1Wk9Tk3VHGdl
P/W9Px27rn+RU46YJ/LlhGkN256Ni8zvYDJWtH3uAGfSVwaNcqV7iVekfsnAyY6piO12VNF7k0+D
A2sa11+Umzv+661mZ9cYBqhpSEYb6p7A6QvxOJlODe3EvgMUPe6zub/vhiJjnVwCeKQhGi64tZ9i
DMXWEjLaAmTjSq8LHOXKPwCroMqVR3TYlCHTf/CU+0TQi5lygpF12dVkw2iyKvmN/SPRZobIkLUn
XrVDHDUboHH4H1wTj6wyQqigAbgVF0PjOM/HoZqe7BhHhAlrZx2Rulln1zaSIjGfDFuN2eC+G717
VmPboaRiY9GNCIH74Vj9Hc8KOB4lMgrRR+2We5p+KpOpdM89M9DCSmeJiS7kQ6cDAggYc++9BSl7
ZZEN60K534v2e9TR0pYpttaWw0VRCx6gjLxfgU0fhuW+JVmWMpl9JxnPTdvoHyY/X+4KbDqehRjJ
t1JRSY6sGo3rtpE8RtEauK2wDfVPZeJ+dvgwVk7DF8so95jNdIaIXtHWu8CdWwA62ioPd56lbsaw
yG8DT942Vfqd/FlChMx/HrAe7agNoek2Ns5xlplr5ZlbeFj2BlfYOrXLT8uO4FK1T3binEyT3vEg
muaNA4lya9f9HXI3yzZI9TtEaHgpJRqwtUT7aPC6S+3hceRw+MPpakoC+gWZu7u3k5tCtW8IC+Ar
bVTGqLQz5rngY4qh7iYiU/tCNT9S9Ft953npJlAICXUHPjLKihefvLrJdY344ZrzXagZQDKyinVI
bIESifxdlPE5tbCPGkF4kBwT10CDEswDoYXxIFs7cdAdnaL2N9zX8U+jNruYBjbNbJ4coHhbXJjt
vo5CnS2pH4vwfRDzOVDLhWbAgAELI5QHHJic+cxDjQhG4McZzivje2D1D/8ZtP7FQQvYIkPHPx+0
/gSPBAiuP+evMxbxLIlJES1EOMJlKvr9jCUhe5Dn4j4sXZyGjD+/ehytvzi4Exi7hF4n6XjWr1sh
klsBGBGPTic+3fSxJf73f/1BJmj/9OvfWw6hjPxpxuIPMvU8x1mDf9ET9UfdoFU0XlLdQq9mJBBY
CLVT8nQVdMOHR2GfoLivCKALe/RIjjGqeePey56OP0nZ32D2l163/6kgZhDo7mNqAcvIvIPexWPe
hMfQz2SyqA6/xU0Tn2cMH01sAZvzx28t7cixLh6kgJAV7wWrzI9ENxPWdI2v3GL8SEwyMhUsK3Do
jC8jRK/h1R3VV4v/YUXg49Oq8DRMzCQL7o1ugK7t0wHSGeqJc46/I/3B3Z+aSVzcp4z4wtipHYFM
Ks+dHGNDHWwT29PHRWS8vvXpImcpXmih3aeTb8A+MroSD4sNfyzlcW9X3Bx9h6a8PE1O5GLiHfsK
KhEo36uGvLg4i7mxlzLZwQdgrOkEM5ZJU1yHebKsOKKT5joaolXbzDPErqn2hRXwaF8EnTm0Pzq4
JZ0owGnHAoJHSkaUvvrRsRe4Son4erbumhRMkKK+IfrlP/YWxTbLkmxjRMcNj1DonJRFMjxk0zbh
fgIpY+5WoyDhEmfxYawDqpXBHOzYz+/rtBaHKmJeApjXbEp4XHDhmHiUycQQ1+ckpLKTTbhctTFZ
7yC8xDJVjwPtlRBG93nA0d/rflQjvYmKCtuziVKGPYY6mv0YwCSVwnsyNdmWuEO7iprpOOOkoYYL
95Pm4HLMQp+HjBuPAco1nKaWkaYCnguJj5vlT54uYN1JE3bJ7sxrhjp27SZHWBcKAYmfx1GTeYVm
9KbAentN7cXa5mwNQL6GJvpGNmxfW1N+CSjB+53K6Tn0lhuh68h7V8VH2ZDEjbrpXY2MupVmB9tA
hPF/EVLJ5fWs+cId9bZTT0Ju4QheaQbxAozYktmHA5w4DerrmAsEDZnABd5hrF1h/ehqpnGsqv3s
Nc+caNuj4CyJ+/aNXJEkCqN2DK33bQ0hWRdtHCtNTV7AJ5NU2BQceqlUgnRWVHhAogDasq0bKXtl
9ofAEs+LZjITKEcuNaOKcIBd3NSGQwlGqK2p1KOZfgks3fZuh9DgEzXzmZh8DgRuTrdKE6FjAzZ0
kNxVhs9fzdCy9sFHw2pOqWmEKD220mG+Yvs5F+n3ONAtnSBGFGxMcIDZoQVN3WlGtaVp1T7Y6sWp
3etIQLJONNM61XTrTnOuHU28hi+dnt0GCjarHLmmjmVXts57ME3HMMuv/Kh8TIr4wdvlcBdUOO8s
M33W/2TwaVDkf63nxfC/TYaxd9r4gbDhOR+dA9VT16Z1qz8gt4D6O/3TUi7XReyddI96IctzFij6
0U9MxcfE5bdqfCNsaPFjX838xzLyKxYZp4HDYmT4p1kup8VEH6ncU1rWj0GRv6EO7IEDXkcpzVtp
zTsxOmVVc/bH/Fl65V23JEeOvvSo1Huj5BQol63Ms60b+ae4Qng3xDlpshfKIc/wcOt5lw3WQwUg
rcjFuYuTB68pLp1BDxkuYEd2mFj9RzytR8vvvwGhu+mDibvlM1jBK3Mors1K3ETSuMvt5dLxYi25
tU9AohMph0VyVsGwE+op9XCDlulzZrNMDs29lN8ko/Ho4ris0ZnwPn3RxfdA3t4p1CPE+rsukM89
VZ5ALu+Hvj3Eo3VKqYXJPoVhfwZjux6LnBSKDI7K8z+jRL549fIUtM2e5f+W4oXNku2zpLnTX0fv
QMzDTLWsUggRptPtSjkMVLW1B5pmLlUCb0Xc+2V5JY2R7oPxSfAcyK362oj614HJ0F30mlwDqlzO
fIN7oO8Dsk5z56n5Cj8nsb4Gy3Z/15f9gdlxV8fTE4+Ko4jFlc2wbwF9RZG688kgDl11y8x1PzoI
aeZmiLxL2IaP7UhxVwCWX07rqHQZ6GyQF2ksWG7lzG9htnJc9yH0yxvZNC+ekWBHGlZD7d9yinsz
eqzIUxRU51Zl71W4PAjdEuuLD+zij5Zuj6Vy+s4b5XIpND99Uv4LwAGeUdKw9qOgOCSliFbpRlqy
0wwTlESEuq3WcDaWtdR3KS0LyuV21FJs2+mGW+rmHS7X/GTr9lu8FyE9qvxUdTOu5wJbbxVb9lz3
5hoDrmsjUmsDnY5e1zTezW6HmkHfbqabdx3dwTvVWb3OzeTQ637e/5wm/8XTJCo2x69/fJp8eC+7
d/U//6f4k2r/y+f97URJxgUcOe03P4Hjv0VmTFR3iuA9iwOlyXnyt+OkCP7C8RNMuXB5Ivw8M/56
nMRkJIVlBZLueJR2IL//znESvPmfjpNsJoTgsRkwqnrg6/60hvJ4CMteVuy7Mn31tDiH2hBg6SC+
oQ+tuDdC8/eakbeuQUv3YFOa17nzHoXidfDGV5K+cPK7TZ3l061LkNfTaTqnD48M9xxCXDzjbdyv
O7qitxJkIq0xHUck17nyqYTmAISl14UtR2iSjGE6LMepp8HGtrJLGZcssEwX3S4lnBw4b33Qi9PA
fcz15i8121d1Oqpt6PoJcUVcLkLez1n5MFsjgdvY+VaPPE4XbLqrekqeh8FsT7j7vFURoQcV+D5R
EQeyzO1CqDF/KmDarNPKqTYL1IMQ540tw2JfaYvz2rZdUEDVclOPmKcy2JC8E/u1nO3i1hH9PTgq
4wGI/D6Q6XUcVceyistnVnVId7N7kDZDfxZln40F/TKMPBK73HMlZ/nNgFC4IWPqnt5CDnTspttT
nyxUcZriWJTwtILynm5r1AtGylVi8KzpwjC6hDGt9gOO/rQTxSmP4F/b1XDoooAeDcKuTRGOByMd
kt1AzqdAkd+5bh+dlsG75niW6M4aiXlXmPGNKuHYyKQSoHTNG+pTC8IVjL9QrwAGEYxns0OFEimI
q0oOJzNS2aXxsx8z1UedMA8Ehcb3huiHo6wLHRFgRElTeP2b64mQsla82G6XQmqxpoNnqnHv9Ky6
0xtSNrM/k0vC4HRyo7he+zWhEEBfQOf6l9rkUexkmItb1szEV6x3WmDXsGW818K377miOJhcsUy5
9wputCXk6wZi6rrT/tYigCJWNOaPsUowQC0N6bABLaplk7aBNEXmJ05uKixFa/YS58AIGWKsZ7ta
HhDk39sYn7kdn8fW58Y+lfkmbezoumqcE+/q+l5BAAGIs5xkjTMMXCqAXfVg8t0dG8yhG3Mi/gii
dO3VXObVgBNsDOLvYV3d2v5wUbKSIGVmulPxjdNn/o466xMOGfmtmTOrr8XLXsuYmeLC18Im1++1
r6VO7ObupsAYXNjqTTpFeirhf3GIGHdc7BDmsrLb2Fo+TdFRYy2o0tEzHJ0SKMSTrQVX4JESRurP
8j2NgA1yWB2DjURr52o/oNpy5/oxOnwTg0bzuNAhEJdsgzgxcm+UVREoIovDNiCM2lBfM8SozTwQ
LioirDmjfYogBuqCK3kOrDk7LX53BFFwj8mlJ+CB8IzGtTJVPx+5IfZbVKC9YUIODrVgzd1mTV/J
8swV4a2iFB5djL5daaF70JK3z5iXEJWKJNowvDpkcZuz/MSLTwaYa1fBeho6dvpu9Ro1KV1ysIca
M06uZi25z1p8d4R3n8n21V+ids8YQH1x656LCFzzwm2i0yJ+ruV8hfJ/LIFphYbDwUaL/rgyefOx
Bwj0QoC+5J5KEpYEFtuCVq8NuuWz1GsEjGVvTO2vNDVMW6K2l7arz55ePQACvrL1LsJIrxGwtNT4
Ni7OcsBifyg7gv9UrQabNu93oJGGTTDL9FwzsW/4654bvQBx9Sqk00sRm+1Iw8HJ1uuShL2JpRco
k16lKHYqpV6uQEdmzfJz4cLmZWED47KJiZtgl6cmZsK6P5Vc0xsoH9cO2NoZfK1V4rzhOoAsOvUU
8bTjvaNpt4vkIZFoAq4NCnfUTFwEsIOp93thCLnDAZwbaoJuoVm6U80xaASvW49wdovplIPd7TWn
ZNAk3hIkbweatwXRK62JNwJvV97dO1q1Sj5SaaZv319gFi5E3dvvCSadiJuFz/N3m8VYDsECp51/
PSv/5E3dkwE22P7JD15OVQ9PGMBzsfU0Yzjh7tzHxtE2zMtI1sFPArIeYIlTs7+34KpEVSepM3qW
7SrXFOPGxJLR2NS6Np+xOzTbZlRUyDnNtUdboTa8YFCFimyzRtubRopdBnwgk/mN1AxlR9OUE6YG
eFXl3ilZ4LVAePa2ySaEBjE4zG374GXxdxMA6Qp5MgE5uBwJQ4pTmEyHJmC5UExefkUK7zEO+k3j
Pxea/IwYXmsSNIC6ek2zt7w1XZQezYtugQaAj+bvNDkl2tyI5x5Az7J1HVjT0A/A8DkF1ayaRB1o
JnUFnLrXlOoozWnTAlw9YXXL/HZYM09na+pboWjheyLLbW4zwNcBAOwJEDaFnvlOLzNHgcrPLTve
BGCzcQ7flRUJrkYTtVF21vb4ygLzGMKpPzmM3joR5wFfRSLycvR+8nKFTs6xx7olAHBtCpPhiUxT
RciuJNhmtKTuXOJ3IzE8FJ/NqHN5hMwecps1zBB1t4F1auqgvFYOlP66C78XfkOghyX3LlU7v27E
BVjJI37Kb63Du25oldhjduyOaH8Prs4NGh+jThG6xAmlf7J0upCdlc4aTj9XLSP5wy4EP00u6pRA
4FlnQnPvxg/KQKudU+SfNTHGNk+eRn++xcBz7dNMWpg52z9CKlOLX4FFCaz3PPyxsNLlmOSTkfSI
yrOneKtJGmFE4pnak6tsdMAyxi42SOuHKUBtNjxR1jBbDxTC0rumA5oeqntvlTCN5J1jbVIRZIey
OTc62NnoiCewt++hDn36Ov7pQzVbtToSCqqFxUFNJJi0KGS3YFPrAGk39g/Lz0gp2dJWh0wr1/qY
RVnTNKcfAayPa98ZL6DYce8Gu5pR8xlzxkMHxJ+bsLMJybPW5FpjHXA1ddQV0wI5TB1/lTFB2Eon
Yl2isWJM6Ju2wIbiMH7e9jZMHs/Kv5tWRahWx2srHbSNivtiIng7MZ/WYdMdAzK5S0s4l9JwHlA+
qHQ8toPkaDHpKG8S4cOGcyIUId9Mx31VHCvYk4gNs6jSTa9jwdGgA8I5D8LYXoy7YLnk48JJuFRX
uBDZb804JRc54d6I2csk07c2seeTN4bPbSu50wfHdKJaudKBZRJZu6Uq/JfI+5EbxbrLAaVGTugc
Z5zdOvXs6vzzoJPQiyvxFAi+RyPWzl4svkp7fUtt4k7pALmKaDi47i2suL52B3vaJoxdWGjLhtAO
YmqNvjVW1pJj5jtXEYCIhJ/sWIltb4z2NvZGjtnYzLU3OWLDwquEX7nQzmVbe5jb7jbF0pxrb3Nc
fmSDjyhiknyySt+4RDnNB9oR3boz3oKa9dMS9CMOAL1H+ZEP7tdikj7Tvups6F4K7bSGTldwkbw2
2oNtCNzYvfnRY85etEvbkvi1hW730w7uDit3oD3dQH1fWu3yHrF7D9r3PWIAdzCCezP3yUl7wydM
4qV2i2c2JhzZ9N9S6n53ixm+oF3Qpz0HT3aL6SUpFUtt7UAH3HQ1Y0n3saa32qMO5IQiNywBMvMF
CApK5jAyz7QMVBkCiyRavhPucLYXj6Z4bPCV9sPPmFFdDPIsgk+FTTqoveGHjH9+kjdmqZ7izIoO
OhHbwU+qvLA8LPZdY07vkdFcIxY2V4bP1d2CksRNLHVwGWlUpIeQKMg3ge8cMtsNhFKO1OOMoFG9
wIY65RlVDWaXRWsTKP7KKbqK9lDuKNyTKGBAKk+KbAPP9Koh7Vm4e2IlN0Mbq53TcW5Si4UsM24p
UxG/OEj/999ZUHxW9aySKO5+2Vf89sv/fqwK/v1f+nP+9pt6xfG3X12ST8V96kf3Tz9q/1Vdvxdf
7Z8/6A9/Mn/7X786nfn5wy+2P8f6u57J7/6Ls2z362JFf+S/+g//17/Ym2uzz8FJ90/Ega/uf/7v
x3v+J23gl0/7LYNk2UzdxJKIhRABDMA2/CYPILJTf8uqxzV1Culv2yY0ABJGVOfSb8au3JUM9b9m
kORfcPTxj7AB+hqp8W/JA/7fcanqBBR+Pr4OnLZSu1h/ZxD2x6BKMYlz18+cfp8KgONtQrZiEhc0
Ziq6JcToIrNuxikerxvcpd6AtuUUQ3EyS/MhbHt75bvTM8F5ez0v8b4qp2BTjjrATFiUqSE+1YZ3
5/MY3CUaaW2XZX1iFVufAEQZKzk4wcYazee2qV7LcI7OKrkFxUmgMF3Sk6je8iBsML/QiFlNjB8i
ZG4YqX/xiSRqoJSZL4eRlRY9Q7xvSu5qBMO9D8ufgz3PaESKar6v6uVdpu7VAnR9xd/Sk+k01lkc
oDSGWOOPdEqZ+8rx9xHE3rEA7xybrXGaDLqPyiY9upEbbWQGPE1Rg8uPerxkY+Ie6Ye5zeBPQOPl
Ye45RcS50bTPWcx3b8eHIkvDLUSwmOmsf2Eshdg2m+eGJTVn8vw5amW/tfwULaIqQGNQAe8nZ9cf
yB6IfNa577nq820fEEQYOSVTU6u+sWF641gT4SGggIcnJr4oGFwCLAgx4WANlw3fSpffeXYKMEr7
9uf02qrxqYhF3jRlfCds4qvArXZB7GyGdF/EhbU31fJaz1C8mXsurRXctosLsp5WD5RiqnYLhTXT
dTgiLlZ4JA4TrqDSeQQhUSPikPRoTxGwssgwkKRm+GhvenHnpED2KpPEfle0H9FQUA4l5mtDiv4w
OcbFSOb8wDL0qVrEleEasJvY0MMHCDgmcRLFizEe3Sy4dqbqKV9GdcpJf64rpc4mMxMzrWmvCj+t
j5OhmE1nU5ELJw6BePNMa9X9mLKyANFVBH32bpEbWAUKg0ulg6+jAZoulsvnPE3pfp6ocp97sHMt
4kkQJ3epGr8W95TPBffhHF07zYdzb8TlTS+RMOb+o+5fgnqeD3WQ5ieiVjt3tvdWke0D8kcH9OJm
o2uyaHvuKiNbp87EOFYpa2s5gMTCNGHB5QFsidp559NaHdVA7rAfuDddYMWbxoo5Ulec2H1zUbdR
QJ+N1bQvitqGJxaVD+U8kdan26phDBkawbELMlU0dtWRxVO0LpwaA32Cf9z102fKZrWWTHxmumsV
gK++C60D4juvcnrsJn7Usb8kaNvTUU3LtMnqJYFlx8MnQFBLldgOIUc/Z/xKesc/NK2ldq2VnhVw
LZfm94Ix6Gj7kXc71+G+NguXQI7/RiQk3Ld5HpwzNnqdI1I+VNz4i2fufYErv3+tCsQvb4j2YeyZ
j20efBd9N4O0wEonx+4SFYO/ifluNrXPCaJrIFWbdDsbonO3dt5FZE/EOiu6+Rhl021W9zeeJZoH
5QIEaIP8La4fTbLbt0NkrmPMVlekfEg7OnBwRDGdU6QERv4fBEjWZWRde2WTnDPh5NtWBcfENtdd
EzwJMcmjryJ6sAZxQNsgVRm0Pzy+pjPcitU8hSHswP7e19LhgoZoWjHsSi0r5lpgFCiNYckmiaRR
Dj7IQIgkbpJpYTLsRxuwV/kUkJZPHEJQPWzGVVihFlmV5a1ST7WnoIwgOCfk2A17wn5mfVu0JNpE
+UOMRjqglRpaNG20fNqio+Id+KLfGLcWAivAw7ccxZU1H/vCgLu/pP76EnhUWkXzsYgT6zXwWOs0
sgauqeknzTw4V2btddriuY+Zqbf1L7Ivm2UtBLsowsnABOahETdaLGaJzFyAHICKTJjklSIhZGUx
WDscGrpeKQW/81N+nnH8pNa3QQvTnZaoHTc6cJpiV69PNfp443LOGfWBx+PkEwfT7dBwEMNsuzHT
6TNI3JMr+Eniq4/wOYzfAAOK3WLwZ/V2v1/kwBTnDq9+KV5cDDo1YVs/zYZt7lR3qbWwOrXjiJX4
jvoQfw1Vpt10GUJcaN3IpdWnabJgAiSBA+1l30HZ76xRHODown3GiCzcmnHNdH6gpb+GHhbKxXZP
ikU9yyeKiKNMOesUGgPbq5Yf8iA2JI24jmf7hh1lgDaAjctJyw++Ngh6srmKMvxkodfe6yayRVas
7vPqoyjpGCgBH6FS04wYBBsACil5JsfcTdrzK1lbD/i627YYcZKqYhcHjtJz/sq36FM3fdyOPrA5
AvHBxvTig+cTTOkn/2NZcAiTQKOeQRwXE6N1jxiaqTffL/dmPLUIYP0rVRlUTEcJ9FviuHG3KARI
0oiqmMVmpkN97WS4Alhy1Cvhx/UuqzRpBYh7/DabvdhWHZmArON4LEsPZTPRvFC43OwPm4lYJOcG
k9U+nkTyBi32rLnb+vgBTiHuX+rjGpBRZKGjUER7u4ufMgN6Ja/Pk1X5wzXkxyEesn0XgMitxwLm
Hs+adegn3tkKvAvFCPW6NtJ4VWJ3WI3DZGAtrdQxLNo1rj7u6EV8noiUbd2y3FXAl/ih47VF6FcH
jQV3B26D5lL1jBIpwVLRnFUn/BUlCHQutHL+KK9M0KzbNL53Qwg9Tsi3l9idoMcrulciJ09MZwkA
/H4jDcbTsWW07ZuMB0KJQRGgK6jdhGA4552VGtK3ZZTZdqYwEauE+miW9LXJrFvRG0ytSGPcrGgp
AU6MJdlvb5XTWqtZSYC3mFEWSr83UkYfbk+obqr7bFdS1RMVyxqQ9T6NaeYjG/HVwE/LO6/dN127
MJ6gHbo2T8RE0DWecXCwm2WzTKwfWo8QAQUY6zkz4I/MJBSIpRw8uKGbeITTPgyghzqDiyDPsZY7
3WdhZe9igsmQZaB5y9D70SYTtW/LBHIBuZQ8Z9pCX56pdsHQYeb8eOaCbq9EGusyNIbTWGaCAT96
cbvgxUkpG/RKEjd9wsM1TK6Ya9ciKOXOGWxrE1rHdrCSnc+bYRngGKetBTzUfU/nVrdmk8CWuoyh
ZsrdTDRQ74rqmNbDAYmr2GKzIDw7OQ9FHKKr6n1Clnv5GlAIDR0cOEcbU0G36w3KgLIU/QoP7DbR
ue5oNi/RYPmrUA4Jb81qOw+YMHv9ikEDpnAusQ8D+/RVOxHFRDhN18kisReztuEqT0lvA8BEqOvW
I7Um2wEKCMgd7A9W737YHAA2pChWk9ejgnDMnOvO5rKxuT0WNeXeSUXhiHYxW2j3jPVkkgEKJT1t
9iyqIsUDNJ2NYOsUwTtawpvgBxuRz14lov9oG/E9oywIvaqEu6GFe2mh2fP9VCxHoEHTk2243FF8
HDS0KTaoXFULC7rkUXlQmXfiXvZuxwZ2SDoeCBTcDUKREaBflK5Qg9rTNuTZj2UCSOhRhP6GIHmz
5a4YrSYYVsRkODr7uk185FJkp0bGg5HYCoDzk81oDukwbrC3pZsk8GjzsWYorIragq6eoPOxTSSE
jIerqE5jNkZbQiaXybavuIuDENaboQjxJJoclLnapb5z4VbiRsu5CGe18lw1njjufGRux3ncEHtA
esildTpvk57EbFD35dnqBu7643TwuXFtixZdnnCGeRxccn1dnV65Mr61zdE9egFW+DoenV1Dm4Ul
l+/JnKjTIt0IPNT4ERb9cKX+H3tnslw3kmXbX0l7c8jg6DF4Nbh9w54USWkCoyTS0ff917/lIkMp
URFhipLZK1pZMmfJEEngAu7Hz9l7bZYZeyg3cRP3V2Zgn3deHZyTO7XVFLCJPM3iUPeju9VJWcDG
Afwq8rqbMiiO8Gxxs4xFCDuvz2i05f46TcCNRfUnbxIQPiuNVQ0RLCeQM8+2CYjogHOaDrlIznzZ
mFZLnV2nG1eLtoxDCCBwPw5Tw1SL6n8R++5mNlrGG0K/lAgqD+Fkb9ie3SXiewwjUXWwZgPJMyMz
3rTisnIGmi9dgB46Qh81zo22B2d1mtKT2ndlYHD+c/dQImpgPRVqE938qBmMiWLqqX5izRDTVJ/7
TUhSELYSW++4wnSXirE/5KRiLdykWdNYJ1HQLcnqkY9ez67ODA1DgUrp0P0CfXczLP8jk/hFmYTu
KNnAX3dCbqOH/OFfX4p/vWS4v+qIPP/zbx0RyKKmpwt0aviRPRWO/s3jqPSzOi4FQq9slazwTTBh
Ge+YRCJHA0L6Wn8r3uHKcFyC1v1/TmURSl77PWfTcQjQcvl5rkW0PBHzPzZEGpJHUlz66oQ1LTko
njB58/1yPcDBp4G5yQGXUUnCX2Ksffzurv2J5dkSykD56rfbtukYKI25Q0CNfvztLoG3g1agrRWt
CHC0IxRV8HV8Qi30wmLtxdWjiEmV6RLepKr6PDQg8mE8rqvaudeQHK2NCR+/1vglrw7gNHtbp/P1
mIPkDrpT2eKWSsziix2xUEYWEnheevSGuXObazZxNmW+lnp7Mw7Nk1cDgvDbVgFqKnIwHQx1mBtP
RMCMQo2wTVvbFPDiV5g96NWSZNZNcuA8mT3NTKfXIqKLEykHzSjiDa0uwHBhhRRlAqVg0G+q2Q7W
duDcW03nH/I8dFfIF5dDEB0trx4vwpFgQo8ecumNlKaWtnHZ65eFY33hJt6X8DAXcX+atdSsrgQM
7o7Yw4YPlpiUtWkASlbDZ0gNst66J58xTarjZqABgai1q0+cuHoqOEcdBfLACfnxZeZthnY295FZ
XgZt6R6awdlPPq2clkHVTvrDqlQpbHIoR6ST3X4Yq+TUC4KzynQ+Zjabvk9RIMpWoNI1rga98Q9y
ysi/LjLUhyXcquAqUp3+mswJV2h3bgDAsGietDhgwETk9aLpY7mTVvMZVlywlw3LJOB/Ka5Nau3I
qcW+TuMNUa3semkK+3tMdsIAbl8Y5F7Lan5EYUpag+XvMD+W62Sw6n0slC4GWxX8nvEhCvt9VegQ
sFF2O6Y8T7EYdlOrnURWcpcS0931qbzWrZErpC0QWTZrrV59GBCO7Ntrs7aq03A1Rj4THEvrt95g
lFvAGWehEMzmDJViJh8Zj/pxv05YxKGdRN4+Ff1jxmTDSLKTzuDUjxiA3L/Ua7Y+gX5txnhLrx/E
HPGLCTvCsXaYMu+8TsND5MjrhPTq3oOMwiOJLa5NCSirhbZi8LP2cr/YzYRQ4dWCHtFHR6P2zH01
2h80vQY5N87uTrUkZtl9agMU665M0A0LbUnD/qQuOn9LX/+p1WbcxXrAcK17EALtVBbFkPnDi2H2
6Vr2BCXRNuX8IEmldVsGfZgHtnrkMVCy5w1F1z0oQJxT8ensE10dzvsko+wNylOgVLdZ4bs7v7CP
Bnkki6F2H+B4YuPyyQ4QaYGChvPGwZ9BOAJuBa+AbEEC+DM8uggy/loD8D4RW7YpAt09r9kmQVph
V9bWpR7N14HfXZTojOgxZlepuIxhhV640b52Zx1BUhYt3FrmZ7JkjtE8Jo2NLqMezl3OZgBqmKaN
R+7ptvcaiCQzr7bfGru73u85y01dAxyueF/m5YaRkxgJ8+VVtAZlCA/DTzZMIj0Oz30wPBVlRTWf
uqqy1fpVLbsNLa6zyTPPOz0+M6bwBJvAtqxaPIN7PGT48qLL2XHppYbnRvpxTM3bsptPrfGprMc9
7/hF1edbxy52XYEL2lIgf8GMHnRd16INJcCCO7wdu2odTPmd5opbWlj3tYVwJ63XUtAy7rSzTu/O
wti8IT/nwsDPsAB7yJRuOjWjERaPRUA3E3yvRVrEsSLyjB0twbMsHvaBoFIkbZUwtAsYyGedElVM
x6yM9iX9PZcRZl2N57kMrlw9ItWY48BqHpKLzIrBD0dnnpMdZ9u/KpHXki1yUusFyhhARnaFmqjl
/CTvTdDtRmVcVChMFp0wF7Umr0vHOci43gXxvAGoeSikftKO8UfdF0dPiPO8js8apziCO1tCCNar
U5FaOyNPjpOZnOhFviX0/KJ185XMWcO5cpfeQlGPGxYLbNwYxIr36u563V1imIfanpHjQhDM5pPG
GyH55ebHcNIvKpPeqvZB3QGt9Pfq4gw00EM6XSyx1x/VlWZVckIW7DGajY/pbO4Crrp2zlxmrxMa
BUrgEFG3WzUXnu3+p1D71ZGVbliUU39XqKUP/7p6/Glm9fzvvulZhWM5AoKmQcGldKPfVWgCAxTf
sqhOXlVo4h2ME9sHUG4LE3A6pc3LzMoi9kooqxVUPf4bF9reH4O7l6Lo7xxStqoQfyySEMgqm5ZJ
/cTL+HWm9d3MquC3u0FhYp3uxHnkgeIB3srZ2dKX9Cuv05ke0uQcoalOWxDm6Lqi9x6ujnxiYZsD
TZ5pIb3FFozqwm20YtXaLM5EDo+mJDhvypaaTYK6V37q8vBuQH/BbHo6R/JNmzaGo+vZyNNSasNQ
VSzlTP+S2F6sIZjq86YFMjBSvQ3GTTxEd5VnW+u+6rc4Tj/GNZ1l6aT3U9S6m9AwPofm4CC5ST4g
7NgZdnE75x86yojTqSfFt5SjvXFYUTZlmdxUyED2sUZuDxK+hKOhMUUbLSJcPRpFuzrNQGAEkEi2
RjKflio0MEGVuu8EKKOITXemr7xBCnqdo+zbWEnkbiZrZnkJV82YvDc7JUAde6SHRjMucy/Zur22
cmhlkKNixJvIXzklMPe6qetlQbMCUc1w4wRrmlwEXVhFs2cD3NMVup0muXUjaW8r5nqpv6mICcqt
EgyubW5YlpNFbBj3hXRxNPv+o2jC+TjqLoIViczAE+U6AFCDUS3fBV2AiNWBDyZraPBUVxbm0qGa
QL0Fm1niMA80HoawXVYuYEC9ZIzGFcCBctLPZtqtOtldmao7MzEeWvXDRTS5N1VUOHupiZGRvKT/
zNwFOBLasalq1iZiTgOds9bChrJpKhn2lVfbzSF3wpOxsZNtIOD/CpQmvcURP7SCbnlvN6FxBDqy
wh+CZcWrzqrCvOmpnb1eBKuu8bfF3N0bk/kJ3z29h0ycZQKkW1vqW6cLIKRPWKU609mGYRxtEtvG
BtyDs6iymyxG/ZgjCdzS00U+S4Ivrv8G/YRd9Be9WYF70Mq19Ft2LFp+C9fL0Qz01rr1+rURxZ/m
ML505gA4a2830BF5iitZE0wcyQuAQuuwcC4S5DIrrNBfsl7fGeBEmsDBi8/Z2pGYRsSWZ6zbTGVG
Pi+jR8zNwQUsBoArJIy0Vr/3h2DvM/VrU3fTTPNprfVfwtmL90HtYyRsHtOylgfCR07tei7OMivr
CMgNNrmwVjTRaSkkFk+7UM+KCM/yztlSJiqdW+guB0H9lQvjNq8lvWa3PRpZUqwLGd2WtSnXXRjf
SNdslqXwDBx3gDT0sG7XNG3NApCY2U4bpzceQW9phyGYtwNxt5MFuEBjfLDovZJuJN0RHHB2newK
b6KbAmtBEzHha8j/aTXxj4qHaEDfzd8FmmAUgKMzf+HH8K9t58FEss1UVg1/KU6zShqXksFLW0/V
jqoX1hMVeRYT7jUOxnvLqe+KEX6OIKtpm5XxlcxsGjSa8ZjrTCpGCwCgMRsufv+cnE5GBii23sPI
BcnWO+eI8LZ+TyQMqJqdlJvA5NhST8c6qXzyfzOVoutB4XA+bKOmuKcm/0SlSFNQSy9C2plIlchF
zQLjUg/bJ5hw8XKK5X3Q+msSwC9EWw0HMN1MuIY+2KGZVUyUL4l4qlxJuSVB85nGLUqFYEFSBOV8
P6Sb2F0MdO3Xlj7Rgq8i0H9tdgmCfTv6UbCzIJqSaDRO3t4mAlvvTcgSI02kfq4/piPFPSoy65Qe
XYFLLiOZVaBNHhugaaH1Ps8qm0akG+5Kil41EUYdJYCXmCQoLJJD1RJZXlxYc7kzNT4kG9F+NJKi
FqVqZvKxrUvcqVWwnnzoZZHnXAdtccIAv4CuIu8Sn9+lhcmtO8TKGFpeMLPo1hoEhYU7VufaxIJJ
ZAXyya/d91oAdC/GYyZI+9ITq1nGVUxgfEWemtc9xIOuH82q36fk3AfRsGraNt3XM5pFV9kDKmcd
TvK9hvzcn/GPWxWBZUGNTK3esnQxHq9cznVkM1wd7NJR47WYZqiOu75Ii5UGeF4v0uvIyW5do6f1
TF9zYCLaxtFJH9VIbhl/lbH1NFX6l9Yqnuwc+3/vAnMA54ps4EQLjS+zoylmk0CAmQyPSNm3UKlh
PjMuYvjMlBGvWTvf5zVUMXNqz6trrTeD81Fa+1kAUrBaoNdeObwP+hmVKF4uBxqjTAN7VfXa+dhY
F2VeMVLTMD2hD7B4vYjTig923ufrvOME5qconYgjR4ORsQo0se6zF2mqs0wGceCyehgk62I83LSm
zLd57ECF5QHGz0q/H00XIj+tXZKhmplO9sHykk96Ko3zktTexcw4EE9wiHuEAHuirBNnF8Uu/lzk
WFkW7zwylJkQx9UmbLLzaaiWJg/iskTEi4ca5beo4mUBhuUMkfGpRXWb6yCP6CZ4zZwt58Bn8N1z
RA7dcNOPztVYwzTiYM2p00g2CL5oPMcDH19+zGCBrLskXEeF/xi1+UUUZDqZuue6Sc9pxFtNQYDs
dS6apZn1D1rZXqalOFoBeU9jX+y72JmPg72OY0Mijcf+C3n8tMYPLMcQ3gt4kIXX5kdHG/DIzhrw
RqKwQEZhKFbW4kKZjPEjb2dlO+6VAbmhk73r8STTL+FQq2zKvASI4ZR1ubKQvkplZ9aVsTlDnQ+6
1r2JtTMNbu7GViZooMlYHbT5JLIfg5FPPlaG6aKwHEyJPOjE2K/ASKyzwIxoYm9jZbf+T4v2V1u0
uvhbsdpt1Dx2r/uyX//Nt6ofWiF1va6qZ7S8KjH2W19WdWMxs1GpWj6bPnK0f3MRDF2p2Ph0Xcem
cfnvql9/h47BIfvJNuAf6o75T6p+IDw/Vf0KycAvsQ0ADtZrLoIXBi7DY9hyU574GyT/C9kjWR9d
vVl0EXNOWTMxbaxBYCSyD5UPc3RCMWUvxHlm0uPsPYOJnX5WaCXZLeGdX4UnHgthktNJLec70NYe
T3B/yLz5c+uHj7rVkVnekVwwhB/HExuyleUfjCAm2Bk2jDbGaOvLBg8SE/dIiM8W8QBmU9LzhAmK
iTqN1j3iWhJXsDlIezjV5/MBSUIzJe6idWQJz/jerViG8MviZYJHXUWjc6l0soNNzRD2iFO8tLqR
4BxYcfC4V7xKbKR5uDadYlibmq8dutJkKr/ImwkGjgMQOPdjeG6lb6zBnSxILKXD67PLylL7aLSD
vh8TxECslH4hiJwrtoHTX7vIVEWicq7oDQWkpqxylV8naL5TUxOCMDfWldFz7CBAMlCF1SK2RbbO
EA0uc5WKhxfrch7uhCO7owU6Gg3jjYmfjHa0V61cL3xqijvP6Fk+el1fFY441BBiMwtslWTW1qp8
vqIOr/rSRI09Kx4cbSyPML9SpfpVKcawyQCTV/cNUpJyq6sMQJ0wQGu23IMTaT3ILD70mDy7oGJ/
tQuoBE2bwHWWKG6YWXYaXUBdZQ76o7HuhT4pKNG0SVP3ou/yC+dJ2tFeYvEwVHphMPIBqzxDfgjQ
fxVxqLIOSzRdrRtfNBYpiFE252sC9T7K0b21UHVuJpWZiIyO7AdiFDOVpygFNBydiEUPGyRteGMT
M26LjOLAgWaA2NYnIdZwFMte5vtw7FhP9Zwi36hz49bR2PjGLDzvKpxDZIgaBI7x3CefY5UEORAJ
mRMN6SGLWen5rbaXxEbaKj/SV0GSKlHSUdmS6Hj2IWGT7tfUSWA72EGQtXs2piqjZm7mtf1OzuvK
DDZ0cytg3T4zWr/cWpEJkMonkBkdna8yLyfCL2k/C4LIEpq1iJgsDXaHBYKikDEvwEiaUUWM5qzy
NAtTPyPItNsKjtwIA5AfhA6HQbRmW3BUGBRUNqcvCRUsJ7c+MeYKCek8RDRnu2OmUj0RVxIhbOP7
GlTmp5nwjgBSWmQqD9TxodilKiM0FKSFluGF7obpRhAjyuuG6HJsT3HwgsdurmsCR32OgmZsM1WW
HMvaQFHrEZMWgXsDKTG8qoykP7Hn8SH29Q9l2oirBHnsgo/qwXCSCw5Oh1lwXjC3neaztXUNhjfo
xMuAruS28keit2oSxLphN3P2WYkEJuY0XBKzdJTA9tZxkyDpsa1EvaSnuOvig8XZnPcq30jF+c8k
ij/REb1SUBwF9XhKVgZUyMRYr6dygBgvmYIaXbhprIhUgOKQ0BuoVZOgoluA8nPctFTLm2iYYuXW
ik5N+z7os9uKZj+y+Q/wDJ1lRBcCX59LSGl8n6gGhUunYqBjMRkzloVE3snqphdDsIxLgGpGVjE+
Yd0TEa12UsRx56hmCIEYC6HaI5ZqlCCNPKefYi0J6rqL6aVIhzOS7DJCaIJ7OwGvVqGdKZxi1alG
jIxoyeiqOVOoNo3XVBtT3DhhT7jTME/bCpp2PAw8OPE1UFB9afn5sHay8MQZ5vMYmTIYzHRfKKQL
7cl80eH8Xw2WwWpldYsgp2dQCFxls5ueutioZncul1Ppyk04y4M3JEg+HTxJEXdrnSnATKZQM0i1
6q2/RpSimOQM2jP6sBgOcdtkJrP9NMaWpSebXkFsOoWzSWMCUMHbTHBucng3gKM8Np76vQ8JhyZ3
wbpKrQvmEdOg/Dho2ifPoTIWVvEI7uYD2tXKQS1QYJiZDDpTBEFsjLJ+kE0ws4zIS1nWywRTzlY6
/d5rwkdwNMm6sPOnvkcEXT4xKX1fNPW4cgnrJAKm3Uu8fHE7nXpZZt/49pCfh71xYpj1aig7ErxD
HFJjw/CdrSJ18ruOM/1aN2k0sG/gLiine09jkGcN8KMTlylSK20W9lnL11qjn5RIDlddSoir1gSb
PiOYoCKTr0KZu0CSG25aTb2TtrGcs/VX2Yhfo9kdWrHUp8e2GeReszOSipPW386jhv6v3BmzmxzF
hB5udFi5lJ9k7E/L2cnWbQIhrLdhrDRudpNEqXHSQqpnYhLbl800fokGzVi23VxsRecUp0lBLwAn
Zn10iynepg00TjO4tfAAMN4I1o5RLRu75RUuUYwFhdcsInFhOATlNHQ9ydHxP5UVHblaBpzUyAp0
SWdzT4V5EAYhxFHsIFZKGlrmJ1Ho+rsilSFSnqndSCP9lNJx5c/l1OhqZbHR0wBRGSPPWWf7MOva
2+a1eYSCE+JEjTGitlt4hd6+B84ukvHKGg3/OM0z5i1OjKlOj85JDGqZtl+RBc1hhfNWbCmXc5d/
ToJw3CGCpc8ABciamOv29tMk5ZWes2yQT0uHQZrYKtkJjU8R/ACUSCrq16w8dQoWS9Sk3knSiSVs
0hPPJ1IhQtKdZmxr2NRo/tBvTCe0xchx1shZSgD4Vr2LrPYYpXjWk2TAadhucToal24MabAJm8eM
R7qXoUTClFxOGonkhDJfuGGwQeSz6AFxLNCWe4yR6xI325MRI8ZU/uUVUvwC+iKYPYKn5kUbIlEv
AusqTEqYr3r3wKhil7iev7g+qx12Ey1sMe5GONpTh2oilHuj5ginh3LidOWsXWKoud7HOTBQFw19
sRQO7FnM6ywIKCMRPNfxukWrd5JoXvC/bEbxnQPnJ1/Nt2a9ct18jU69Kf57/9EfU4A//0G/bNSx
fqZ4fP2zvhqF/u6npA9t1HZfHon28d8hT7DxmHK2UYa0l/9f895ZKEEw3AjOP+rreb7y3f35qzvw
9xf3s3/p55/zw5/+uehyGndXjzIq8u8PcsLHOPTDyOcvLv7VT/jh4h3PYJZic3HfX7z7zucbnpoB
PX/9T138w5cMoFbUtHX0uf3+4l3PEtTTv3YDXv2Uf98AEH6uYbqcXlEDfX8D+PQRFtk8GC834Pk3
/f//9F/96c/zwP2X//t/lFbKVSKlX3kCXv2U726AIN4ZdhHs+JcLfX0fTN13aADQI/j6xVvCL3xT
98HSAUj85n0woUPi0eOJQk2mvl49D7wQqMKgorrP39afX703dR9MWjS/uCL85fPAfWCSzP+clwvl
B/74XgjSRV0Hl9vzF82it/Y8mLbuPv9Zz17Xb5vMP9kWSHzTof+hA3z+wH96Hlh/fEIc/nht3tx7
wbbFAm4xjP/tBYL4dgtu4/MH/mqncN7BPSVpQndeHog3dyPIAuR1/t0FQu0UdDQRsL5c56v7oOiy
HK7gdr18/y2+GI6rsnR+73nQ3xkoL2gyvdRFr14M750Jv0ypcl/uw1vcOFngfrdyoG5kdbCg9b5s
GPzA7xdK9x3gN7pY4o/78Pwivq0Nw9TN370PvBcO1gq6VfrzB/7Te2Hgfodo9/Jthal7cxuGgbb8
N98LngeofbbOzXh58H98HoD78dQhiFfjFPX1FgsIA1zB798HVltSr0wAiOrr1fPgvxMsDhZisufb
oD8vSG/qvfizUKe/OFr9dSHFharSgaPFn94H951j6LYjAD4+f73B/eKFn/57+4V4B2PCZXL3UjG+
eh7YL5gSUqr8cR/e4PrwZ0CQf/w8qI3RwbD93XV+v19QbxIGbGNoeXkeuE9vbZ00WL5e24H+6X1A
EurhRDYs+8/3C499kxvBAvFyH54X5re1PvyJ2va/cR9sRYbhgXheCF8dtFgfSA90TWrX5y/qrF99
Hn7hZr2wdj6njw/1f/0/AAAA//8=</cx:binary>
              </cx:geoCache>
            </cx:geography>
          </cx:layoutPr>
        </cx:series>
      </cx:plotAreaRegion>
    </cx:plotArea>
    <cx:legend pos="r" align="ctr"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_xlchart.v5.6</cx:f>
        <cx:nf>_xlchart.v5.5</cx:nf>
      </cx:strDim>
      <cx:numDim type="colorVal">
        <cx:f>_xlchart.v5.8</cx:f>
        <cx:nf>_xlchart.v5.4</cx:nf>
      </cx:numDim>
    </cx:data>
  </cx:chartData>
  <cx:chart>
    <cx:plotArea>
      <cx:plotAreaRegion>
        <cx:plotSurface>
          <cx:spPr>
            <a:solidFill>
              <a:srgbClr val="FFC000"/>
            </a:solidFill>
          </cx:spPr>
        </cx:plotSurface>
        <cx:series layoutId="regionMap" uniqueId="{7D85024E-A40A-4138-AA05-C850460FF396}">
          <cx:tx>
            <cx:txData>
              <cx:f>_xlchart.v5.7</cx:f>
              <cx:v>TCO</cx:v>
            </cx:txData>
          </cx:tx>
          <cx:dataId val="0"/>
          <cx:layoutPr>
            <cx:regionLabelLayout val="none"/>
            <cx:geography viewedRegionType="dataOnly" cultureLanguage="pt-PT" cultureRegion="PT" attribution="Com tecnologia Bing">
              <cx:geoCache provider="{E9337A44-BEBE-4D9F-B70C-5C5E7DAFC167}">
                <cx:binary>1Hvbct04suWvOPw8dAEkAAIdXR0xIPddWzdLsq0XhqwLCd5AgDeQf3C+ZGJ+YV77xyYlS1WWSra7
p30ixrJNxwY2SBALyFy5MvX3a/e36/L2yr5xVVm3f7t2v7/Nuq7522+/tdfZbXXVvqvUtdWtvuve
XevqN313p65vf7uxV6Oq0998hMlv19mV7W7d23/8He6W3uoDfX3VKV2f9Ld2Or1t+7Jrv9P3ateb
q5tK1bFqO6uuO/z7W2mv0qv6n//r6u2b27pT3XQ2Nbe/v332tbdvfnt5s788+E0Jc+v6GxhL8DuK
REAEx+LhJ3z7ptR1+tjtsXecCiJCxL50C/707MOrCsb/S1N6mNDVzY29bVt4qYf/nw199gbPeq51
X3f3K5jCYv7+9ljbrk+vyrdvVKujL32Rvn+R47OHN//t+fL/4+8vGmAtXrR8hdDLhftR118Bus1/
IjZB+I77sPTE5+jhBz/HJnwnSMAFC8Mv3Sh4gc0PZvMNWB5GvUTkofHXAuN/DrfK6qcl+QlHBb0L
/SBkPn2BA39HWMhpQMnjGfGfHvrljPx4Iq8j8TTuBRZPzb8WGv/8r0Hbn3k4+DuGAkEYE984HJxg
4cPped1w/Xg+r4PyNO4FKE/NvxYoD9b7abP+hBMCzoT6Agn+tOjPDRZ/FyDBEOLBo8F6zZl8bzqv
Q/L4Fi8QeWz9tQCJrtruttRvYPL19U+0XYEAX8FISMWjKwET9bWbD4EFYEYDzB9Pi3iC4YsJ+9fn
9TpEL8e/wOpl9y8GmlbV559p2wh65yMS+D7Hr9o2OEcBDRk4ndcdTvTjCX0DpqeBL/F5av+1gFn1
V/bmJ/ocwIURRENK0JeFf0GWw3e+L3wa4sful2T5x/N5HZancS9QeWr+tUBZXv1MUgYc2Sch/GGP
JBg48NeGjb/DAQXSJvzHo8KeG7YfzeZ1QL6MegHHl8ZfC4wDoMjqJ54Q8DMhDimCY/K43i/hCAEs
xDh5PWT58XxeB+Rp3AtInpp/MVBU+1n/XFAQwoHwA/qq2RLvMPgSgoOnOJI8PyMHP5zPN0B5HPcS
lMfmXwuUe+XhqrxN7e3T4vznfBlOC76PXiCkfBWY8B3zEWUYP2oz4oXx+tfm9Do4X499AdDXXb8e
SD+RNYM45oN38SHmfxUf4GHUpwho2qOxexHP3C/kd6fzbWhg2CuoQOuvBcj7q7q7sv/839VPPTS+
AK2FU1jt566egHMRAj2SZgTs7ItM+iWG+Zfm8joiXw19gcpXPb8YMrfdP//P53sl9WdJycF9WMJw
iL46Dc/xAa0GU/aHlPwSn39hRt+A54+RL9H5o+PXAudCXdVXb270m8fA+OeBBCaNh2DPCKj+Dz8v
QhgOQgCgBGTg0aS90DL/nZm9DtZf7/ACtL9+4VcDr7x6c3r7M4/WfZaGgqOBs/WFN7+IcoAoBJiG
gf/IqhF+2jFfTN+F+hem9C24/hj6F5z+6PnVAGpv+6cF+s9ZHKgCoeA8hFTMq0cKsjghEigMw8f+
FyzuQv1gOt8C5mHYX0B5aP3/G5Bvzu5rV/TsS/9mVhOINeM+FiF9Yd4gZQYdPBRP5u2FD7pnbF/y
i9+eyutw/Dny2cT/+1OW305n/pH3ja+6q8VDwvirjOb3ex9eEvLYL4Z+jyx8WbHNze9vQx5QFMI2
/yMVfX+bZ2TsKV/yyqBb0MB/f+uF78BDUcDQFwwTUNWA7o23D12Q+qEUcgiYoICj+wT12zc1IJf9
/haQR34Ao3BIUOj7DGbR6v6hC7QgSmAYg5wp3Ba6nt7yWJdTqus/luTx85u6r461qrv297ccw52a
L9+7f0cKglMYQOjGKPEhpwGPhP7rq1MoCYCv4//hCjo77UwpOZrSqK/xUd2wz9i2Rznqdn5WF8sp
H+8GSmsZ5Mk2VM26rxLZhHiSNslinX3KUb0f3G3Rl/pTVQZydGkiPT2EJ9U2DSw6qibF5YiSQvqm
b+RE9alfiCtWzHgNdxcxylAuWaqJTD2exiUnwzJUHt4PyN3V2mmJXD2dU5Wv21SnkRXOngZ962I9
In+LbJpFOChumiIj27G2ZDFXxskxYeFinMxJVdk6Ju2wHmz1uR3LepXnbhdM2TIQXb9ISY3XLi1n
WYr6MlCTWedNeTE37LjaJtuR+3phR7eujJqjmgf+Ag/JKAcjxNqkS6aK27paOjSa5TB39SKpK7Si
7HTiiV12tGTRNLFpPcd6UERaM/rbpk7e65OqmMsoJTOP2iq57Ine9GUyR1hnwTK1wUUReN5ejNjb
u5Cu2RByiUykhBKyRQnZJtx8TELLD4Z0Ouxnc5fg/r3zvZuEZ0UUtIWLfDdOsme6lmOllrrMhKQF
3s8W7ZL2M8ytOev89MbkXbsibT4vVOFvmehUXHU0X+BKbGnV8JhmotuUdRGROsSyqLwsCmgzR+Eo
1kNFBpljb5vT8spDblzwFFdRFaaBJGg6GYOF55s0HnqnJE/SWgo1zREd6EkQZB+LBs3Sd/WdmoVZ
TZke4jYLP4+VK+I06JxESZ/J2rYAzZHOTlEyjDJVxRz3SXNnGM1kNrBu78/pyqs5WnM1okXCa7UM
CGuioOlP6DSRRZK6KW55biQoFlvftee+n0aFX1/zIYwYwX7cMgQrUKBIZ94Ola23GAlny9nxiwZP
KlZTegO76jj1XHkcYnsU2DJZqoA1q9HqiPQ2W5XTSGNs1BmxVS77PDMyJ+G1Z5ItMTWRlY3RiKsF
qoeoVbDxR6SlCcWdnw9y4uV8Unn9+9KMdeT0DSs8FTtMLxOfXPYquNVBGa4QcUaiDN4u7UOxTvh1
Mvs3s+0j13RMGhFc3h/rqBq6JEJZyKIqbZCsqihlju66VlPZtdM5DhspyDjINq1zSfzxxBf0czvP
pcyDfAt1G4u+I6cdMpkUQWFklaJKtgceTVWERzZGQdZNctTu3E3TZqSw8oES1YEYWBLVIQDuc57L
NDVxB+cqIXfdWB62qPakr8MPk18lC6e8/KCe4JkuJakUTXjuDyqBV3NFlA/iyCY5X6c4q9ZjKLD0
5ySTU+bDvX2DV0nZ+ZGo436oikaWU39qFB9XTYBOyg43skvomVANGCahdGw9T0RmtPs2LS/hH1pa
VS8qN5Ao0+Ug53QepEjCTjZq+IBn7ku/06Vsi7qRpPXaJaqplqLiNYy0aew8Pm25KwvZd/1Hv0Ru
wxQ6x8NoNsYFZ3RMdknap0d5jzd24ir2h6I61GmjoqE2Jx3NfKmSWcdF0dwlqK0ik2keKcNtPARZ
LbP5Y9j4bew10ydG+gvFg71DPZWY95ssGdSe9AhOjpFtHRbR5IVl1DN2Odr62pJICNwtGjznsum4
ZD0Zo1TkajEH861n627TM2QlJIUSmRS0jBSc3i3J9Iex5qs+sWw7dZZGdiKxxYChU70X2W6+US06
B6MnDrwyodLvYYegY2Yqydr6GpVERDh1izotQ1kV/V40+ngQ2Q1xg5BTAbsTURwVdZ4ujSfyGLX5
uCGmeY+bZD8Y48lidlsjGI0pxs1pbchWGT89HFxdxkPL0cL52Q7y+DejKq6wnt9nCF9wL/k8jfOu
buF0hJk6InXZHxfV6MdizgPJmtrKQSu9Lg26K0VmZRtmWdwwbKKgyJWclHeYlNWppcYeZKuEoNO2
/XTnMxUZg6/Al3dS2xlOEPfyhZd+7Oppkm2iOnBiGRzJdva3M5/qqB/XND9Kebph4TSuJuzWrMt9
sC6uixkLYMVZf2mq2o9SvCFFsIcSvqWq9XjVB2g913WkcnXXllmxT00P7jRBB7nXtjKHyUym51Fa
gD0Gc1QtdYiOuNLBqq0RA8ObHfn+/R40fWxu0MAOGe3TbR/ocpkXY5QTrZa2Ssa1rcCUpiKJta+H
dZUGm4H11daCQRMZmhauwOmeQcZkERg9y17QXCb1aWJCHZPC3yRJn0dszNstlALKQ6wnup2HUcUB
922cFm5aVEnKVhb3p2VaXHMfsM8q8mCopa1RdVFO1SZT6pAObIW58d47lyRrmhZStWWz64PhDoyb
AUMfrEOb4siaJtw0WXie+SiyVmyKZCoXtDZqV6X4cLRdZKu72uks9p0YdwaOdsW1kmXeZwdzNUeA
9HyM+fuiyy89rZ00kzXv27Y9SsvhuBDFtKmdHyWTSo9CV9NFOjXzYiwLvui8Oi7nwsReOfC4Dsdu
j3Lzye+7KbaluJlMis8yNqSruprl3H/ippOtyPCqqoKjlgT5IsdG2rIUuxLNyUprfqlRRWM2eyu/
aNnxtLV+Kh2dF62LOpzvbIvtMu8JX9PxNgws3nodWTSCICBm1UHezGrphcTFrpg3KZ9V3LpEywaH
+cbNx72u/LW1LZPYnQAZXZlwbqKuqi6KNFWyUr2JjEfSSCOsN8FYL+YioUtr4HgA56sm14AdCt4b
POTnyLQfPT73MkSzPcY6IPCcDLyZwFlMREePxjFgUViphWenpW7UFIHFMZIyU2ywdXihiKOy1V4R
dSFa9MMHTZ2JORi+NaqKVdfglWHtsrNhsaWjmdY4/ci8K78ZJlmZoDoqdD/sUDgfFFM1bGHHKTve
8kydlC0QCMZm2PXlsHPO5as0nK8Hj6pdHaaD5BaMO6o8BnSvL66QP2yGfFo2RXo6CHIBrG7hOXqY
iObA5dOB9W+CPPjMYIuTMF0gg4TkMzsI2YzBd5ZBPKpkT1mxYaK4S1W1mQOvXXTjrlEZWtQzMBiK
uvfd5K+KLCmjrgP7XFbjtdettD98hhc4rluudpjTUKZhEluBlSySeoJTwm89lMp06qOCFvmmMaEX
dyzbZGPY7rlrF4oWw6rLp1FmqtqG/hhsaK1uhimjkbgppixKjJB2ztbTYI442L5zqqfPaZ/czDXZ
zUYd+apWYEOIxM28xGWZRyYlxygku6Yy6aLS66k/xvmQHJXtGIczmJe0bIfIK5C3TOYKZj0n4Hja
mkoyN2deUNWwaa0XdaJRknp2Tcu0W2Y9eOpUgWFMed1sUcVOHGvsoWmJk5hN0WAtbAKdow0UYN2B
72uXVagideQBulIpdomTwi5axJea2Y8Q7wDJzryFAZssnc3H2OZ53IiWHcD++kgGc4cK50ncBfMy
TICDJKmRdV1fD+7MoFpOJU7juuoXOM/RWhXANbq633ZjctwY59YOe9Hohx0cSqMjL9FIijHf5xiR
hfGpWvnVdO7PJK5U15ypMFw09exkmFfR4DIRN2r2IpK4SRZ0Wfn4zp+mtWP4akiSk3v/skzEe5Yk
4HkCz0jiVcMS7N9xUCV6U3tpJV2CwJAmJbh/sQWzLGlJ1GHgrPR4CbSx9CEkER/FxM4dMaPMzbDV
XTUup1rkkpq5jIkLby13wV5kfjQ3E46tradVmlSbRFf2yAvpxvO8MapJDURbZeM+p/rDYBxEVZ49
dEBTds6kHzHKBtnRIj34uo75WWB6rZvJqjR7rCT/4+M/znQFfx8Km/9svC9E//PT/qmC/bvfWt3q
e8Gwffmle43hj3v9WUJ9H9X/UU/9Qin4UvP+FGD/O53PNIZnYsqTZncff2MBGui39YU/5Zg/FYaH
IY/qAnuHuX8vBNxnvjkiDAreHtWFALJ+IQ4IFzSA7N99GulRXCD+O0wou++BjCAHIelPcQG9Q1Dc
CAz/Xg8AkYn/O+ICvtcOvtYWAgzTQxzKiUCpYiD6PtcWRl2XM0F5+MA2N31z4wILkcJMjlq/Ywvg
h2c8gwgr7NtDUenmJNE93fRg/Ye2OatTIbaY6Q3jrVs2wJ/ir9byFfGD0JfzI5hDJSHwRxTCLDFg
8bX2MTapqrMAs8hzrFimfW6XLXKJNLuu94msh5IvM8HvRQPwXErnJ0A8yIJ66qRpOn8bztmGVUqf
G99FFhd9xEzPFr7ozwru1xHilTmi9WZOXbab2+rI8Ho6ZMJeGR2wOMnTbFNZ0i0geu+WSFckRvU9
yTPqCgFVPKyDMr0wZX6SBiyNbVboWAf4KmWGbEQwp8fDGASHtg4XIEecBmqsfrRE90vwDELCMbkv
qISUGCX4QT76Sh4ybNIh9fUU5QD2choKvnu4lKzjOzPqfkPHKgO+b4HIk6T8gFjKFhRo54pN1kXg
+fmuyMEDp9jtsgl7MS7KdOf6IRZKeSeN8z62tJx2Re8nJ6HXH839WJ5phg/TxiOr1qWhHBsICLK6
ZrPkuZZWZNMBVl3M/WwVVpZ/gLCzgognCHd5OYYf5gEB6crUdgo4AwkhQLGXBs3pRD0WfX8T3QuC
L1fovlg4YASK5qA45YWAZqaprdIsGKN2kplz/aYoWyTTbBxP8zJIDocuiOee5rshMR3QsTkbpUEd
i72+znekH/OdCLp9N9DDxpFiiXubL5LCpfvSsqPJJ8WedW25zyr/ssydv3po6kCjiAV4mAXQJnTi
96KIS+I1y9kIdOLuLxUFMoFHZNezaGZJyVCciCmXfp6yu6lsj2k9NCd2RgfjnDa7xgX6y4Xi5vEj
S5pF3WCyS1RBDiHgCQ5RrtV67Oy6yBq9L0Ku917SoahIA7HsgjTKuS4uaUnDJamKNIIVA2kNNe5g
Utlm4KrdDPefHppUlrqDplf5NgvLRTAW/c6rp27XNabe8SSiST5FU5GSwyZM7EGi2x/ZAB8s5HP4
mA8ZJyhCxVC+AjnFe3i/2uBeIdoSjq+LDPdQ7Gu/PMyy8BiWZZKiD+wqRbqLNeL5+Rh0wFi5Kc+q
Fi1NhtpFQl26tM7S9+XYbeuu46fgb0EGUtNhWQf5QRM0xWFbTLBxD8thMBfNBKSj0Ezvaz/jMkjn
amVqPu4bMuar7+9NDgryi5cLfAGOISBg8OEVXxi4Yc4Lhrt8jNw4fiYiGxeuztw+IZPapCkcKeTk
gB19n43JJzLVFy3G6sRjyXWmuNkiL8lOHprmIfSkYH2wemh7uFQsHGM26DROJrQqvUBdJG2frYe8
IDFPivzCazVbekItCtKTiAzUnT5cwmHaNN4wHILCN532emBb44M68dCZ2XI6DcKsjzrwAKsglZCQ
b4+rdAZpwSbAfcXI4oePD5fQ5iFEvjzdDWaCsH1sVZSwgF0xQY8LIIfnPmmGVR20EJkxf+EJrj7x
qfiEk9GcINzrYxw0a5eYZUoYhPPOijaGLSPgIc2immt9XuoyX7Rp4G9qjNgGCDKWM5qr3RzwMbLg
rZYo7E9Z7ZMjq4L0ImX+tqepPulzk140mQb5paanI2luvg8xfQViBiKmD9sX8A3Zff9X+5cLBVpT
MvfRwOkQQbR0klakONMTxLNz+zGtQ/opnSOvzXIJ9jrcfrkEHURAPD0sfFpuHbHNbqjzeem5OYvA
rZ1QPvCDh4tfVPwgKIleV1acqo6DkDeU/uUwiW4l8pAcVIOtt1PY7ZSFaASrwGxYG+CP2XzU9MI/
ACWqBCVA0B0iXbJOw/4iLd3wMZv450pTclPoTWeDddfoep/SfMgi0yyyvEXbzNt4ObbbohQEuDpE
ytssABn1yyU0LP7+cmL8F07AIKcCxdFQ28k5nBkgR1+vp/OwP1mQQaLRLTJG+m1ejWEpxzEbthVN
WCm9aeg2WcBkXlN6Wt5fOD5rfVAb8yFMD3tu1j3ceffnxYxd3LhkWJoORFEGpObcFONK5wx/oAZ0
V16NIDZYLRXK6HYq9bAC47kdKsivBNMipTo/5kLPpxXOwtgLEm9h3RzuMWkONPHJiS0gfK8pd1EZ
kA8ChFmIFsYpSnKDDkxwM7GQrYFCgchRE3vS3l+oP4xR34omNpQvTMfrQ4yndMNne4JEYXZ9D9oC
wglawkrNsvEaEWtXXfiZ23kYNIp8zLojFvagymG6e7jMc0J3pZddUifEqklab99DFmPfzkEhA3/t
dWVyDFq8OrHTDHpYh/aUQvapnfBaeMY/Du8vpnU4mrqgOHR67pYQf9CjKnPDIheg5SM0oFg0XnVI
rDdskjRnUddb+H1RXB7RDBT1hnblgR7IuJtDkArbstaXo3If+wbyRi5t6n0mkInmhNSXTdmdVb4e
D9psyk8eLnqeVgiUxm1l59rJJKS7cQrofsy9a450ff39XRf85RBDoi8U4H98EMRC+K2J55sunEu/
nnoQBTIbOzo0p9UwN2vbJAiyKlm4p71f70qRgxDko0JmVT8AqSw2w9Q2u8CV7brq6jtLK4dkpkW3
LlT4IakFuHab3RRKeKvMIyf1dKKLVMRF3RbLtsHeKZnGcd21/kqpSRw8XCqTjctE+W2EQcA6b4Ig
sqOaP3z/lWH3v4wOoJyAAfMC63X/61YQqTx/aSO6sedkKiS69/WTPnu4lEEm84z5p6NP8D51/FNb
0lamXcYiy3i1wQr4Jh0KdQGphvrAS8Qo9eDUBaR72HYcwhzyStDLEjZsSvhloqgdg+zCJVmywn1E
Z6WXU4PLc55nqQzbRZ8Y0H1Q2Z16ASrhSdptHz62pvKjLssEOElE7xwJyN5p8HdTx49twz1Q21uy
AE6/qpPORXVrIjy4cdPM5iIf7JnJ01RiZW7yxDRACc2lLg43baZueDE20ism0NjEZUKLSppZtrT7
NAXiYwuMNupvO4/f1YMv56bQkfNYK7NiunQBOLRA66jU4DGreZxlnU5XZlRZhAK9CllaRC4o22hm
ZCV06keqhJyrKUE/MSM/4huWzJeiq0c51eoQG2/RVfVxbodPuaXrIiyuuAlWwvBEYjqUkTZFF+kc
ZIQgqPByGPmh5VW3ool3NUP6Qo0zk8Ar1N6rQHDIw1RmXodlo4v3mDbLfhDAomhykav8o/XOGDPv
hykkm5xQBeJvd9nZqogHNn7waogdvL6MctPVoFN6RznHSdQjW0pSufOceH00sqVqx5U/zO+hBkzm
3nkmUsgA1mKfTM1JEXbNwqXDCuGGSGADMThjvdBqrKVxulpWFhILFicr69cfTNAGsY8grRuUfisR
BaGxJHO5RqItoh78exQM0gRWrQwOlrjwhJyzHkR/Q9ciT3M59MIsgya9hhSK54X8xjC0UVOfL32V
kSXuqmSTniaCtEtSeg4E7tTKkvZogfURxDxgnaqYhzk/r323qARooYTmEe9ruintAMirfoVtCcoW
5TTye+St/SGQw6BWdPAOSJJm25p2kH7RjRwhkQ7xdITLcFj1rpd+EmpJG5ceeE2xgzcLFx0ptUz8
REnT+5IY60HGEh2hBt9lXoN2g5+qZZYVNvLm+tT26Cz3Vv0wWMl5s2Z+E/s1BMlumDd+Q7eZKBuZ
O3bMG0iCwHp6sjEjpA+FlXTy8aFfzBezHepFSyiImD20g0MMlwys3pr6rZYuLxcEgt314KhbDKAr
qvpCdPyq0mKM1TrRwZ4Fjsddh7qVc9aeVSi8K22yGynJjhzIBpMFgjESgNMwtk8zqENo/Mw7xvN7
Q+vPLaQf8qxTcgYT0qpGJqkg62nOlz1kFYiP940Tx72f60Xb+6suwxLy6WXk8uLCQ+jKIyP4ovRD
qe8zj2g9sEEWZyrDrSw7kFd7HR51Th05DMnA7kMvGjiGjfg0W7YS1eTJuRji5t5RBZe566+z8BP2
2j5W4wT5IoO3/88FFBYScDHoGP+tBRRCj3XMoIBCkfx5AQVP6n4xT8N/WkDBIdNeBj+pgEKPzF8C
+fv3CyjyEgo72kZ50vjeHE8m0p3Xn4ygIXeMGkgb2FUz1cM+ZBPYdL+BKhbRr2kPub8hXPWG2i0r
V0MIydi+gNtUYfIxRazb5JNZVg3I/02GmrhGoCQr0523Sc7Whd8YuBmLUdDc9mov8Kma2F2e0XSp
VB0sUtvPEhsM/iSp9raZ5yVJpg9d0wLN90ccN8lYRC0bzSK0cHKx50NyWXXBsh2TGxxUt5yr8mNV
JAsoIqplqWbIOQTHtK3PPc+cWp+ZVVoc2rY/Ud3SjMFZrX0VJ416H3bkYKTDssnzeTP4c7uiRXnb
tVYtK+fG2GMuPUpCB/nvltwmJeuBzkGhiODvez5Oa+4nXFZNqU5rKDYoKe1Wve92pvu/1J1Zc+Q4
lqV/EdpIcH/l5vuiLUIRLzDFBgIgQXADl18/x6NmpjOr26q6rLqtZl7c0lMhyd1JAPee850rEaWJ
VAyO/Thk2tuA9ZS0hi82ee4ziVHutQsKomXNnM6Nb53/6oKfyKUlTb4l9ZNcHfcgZO4TpS5m6Kas
Vq4uIr3XTQtuoRLOjpIqF+IHjbfuUNXYEOcNBo3fded2YoAiltYpkl62JVgi09nvSYv/qC0IC7M4
3yoT9zdYBoXEXf6Kw/ZTZyHlJzaCUSvIJZirOjUOe7I0mq++Fk0xSfXTVJUtE9Fkc90PWeQHay4F
GjBnXd5itFxl47XfvYnH6Sj1mzfTJ+a9SLbxLGyHT4HXyWKOo9wEw3aZKClwqVlRET1lU6KzuWM9
rC2ee4Ees8CfvKxKGhy8bZgSlMWngZj3eV4SVCTJN6eb9r1sVlj74BfmdvhuxXS2UDrSvo/hpS02
KriAgGVE06RxxUqjcVE2KWFsWZXkc7UE+zZzCC0226yXCd1zRmt/hpXNVT75c3UIFvfiBOx5W/Sr
ctadi3uMhX1YdHMVpIr3txaYRLYK+U1u4b2XJNona82KJpyDNIANlQzddkqaj7qhsIikkWm70NOo
4u0vD+464WjC4WeaqD6HUb/dK0+hA52aM5ABqJD6xJVtTrr2mxP6iiANl/hX5OBYT7w89IO4jPql
SscqcsowjqZUk3DMcGgNuclXQGPpRMNpxz6oZRwlJkQbbeH0w3t+l/X6HtVeX8ZNpPaCLW/TOH9l
vnyoFs3Bto8WdyC8ECTQWS9VV4oaxinQmLpCoQgCI+uX+H0wkAkb79hHdXiCSIj64YeAEJF6wbjt
rZ5Av/iSoqowzrFvgRgk3RPgLVnYJIal9jj4Qpz1kRiLfiRFg5ecWjNHKdCtb1D7wtz3AZ31K1zE
TjFRNNrqTCnGAD4JoDNMffbe/U1Fe39w6xy0NnxWfy5CAsAkJKCBmJnvRsI7tP3RDDCcpsBRWQDQ
j6/DtYPw2FfbXFrTXJxa5GvPv1Yh7r+Z3WRUpRFFPTTjH4CCktkaRKfEgVsJy1UN0w/Bwz0ZfKjD
7eu8qVc1LksO0vUtWeeMLTPP6iku5pD8ouPG88pnBQDJOp/diKaRsYUS3UOBP8NWNZkatZsKfqSJ
3PbuMn5nS3yuUHdljE7vixP3h3U7jhPEA46OBpalSKt1OwS1fds2+IR1nMqxy4zvjWXdTSsuewrZ
Ay8JFkmxbUnuGlIQJqFfwV3cuWwEy1VvWSeoTodt9Etl0OpH4By6cdNF+CtucD+QJvX9k1ykOFWP
B950+3kKosM60KyZ27bsHDBtzLgqQ/lkpDcVUMBBxMSw2V/p0s97pS0ptmWCd+sRmWlNy8RNWGo3
JjKnBf+R1FuXAkFKOxffOjAryzUObmhfUaVqFEfreN8W3IOWw18F41YSJd1Cbt1nwex5rpO9FOze
NIIWcvLWPBgSsSOJN6NM2m6K0M9bV7TDBPvWVrdW47rF87AD9dKn3IFUMEl7DHFKwZENd1gaQdY1
7oQdufs6x2GVAkYDNxo0POt8H2xae5DEb1JX4W4nzO+h6VTfK+M9160BoTiGQ+ab9gO9KTYc0S05
bVDQUu6GR0fp8mGsl5tEm1Cv/Q+valXu4tWl6jSGdj4z6V03ZHsyqQQD9tHRyxZuWav7KA1xNKAL
AjNmnQ7tW67xIlHGt2PqYR2nvtt02VxVbg7o6EkGejt623BbYj4fWkcUTFZJ1q8h6kJwBN26fTTu
DMOcT5cuiIoBljPAgmoswiHCnt+ht6m27Rg6Jt7BLP6yrlPe2OScwPO208YgzcQh/JEe1vEkSJYE
djxPfn1Y7fBmqrogq9hKxTsvM72LQ0RM+aCcry6Z6yPpGy+NRfd10FRAop5F1tBkSJvEv7H1S9Sq
m+xgJ5OtijKCviB0t4/acXjRU1qCcDsLuohTLR+etMF6G6trz7s1C7dtzpc4BFbURFvR8Isn+h9i
hQ3dhEnpeBUvzBLFWSerDKaL+NQ4e9T1NxV4/M7H5c3HpmIW3RRwmHGcRFDR2NOykFw51XMjskCu
3rMVZk5JWPm7JlRruvbogCOVzM+BJgebQGpXw9l16Qfl9uAGTYjTzxbuqOXe8XUeYX/Z966w6GXH
MZs6kbtLl1kWESyg4Kkn1RdU4LmJ/a8Mpk+GsUdvivp7ZYcgJ51/s8vneEV7v72zKZJoxSWBxTjV
6eY/9IQ1sVlFz0oRd9ey8G1qzJ0HdPtR8znXIZnSkdB7NeJl6IpfjOlBoLBwvzoXh04VPlSyHqI0
DvDmlrrJ6Cb6fNBhdACOuQubBB3OZgocc58G439ghYl8AqaX1k6/ZoHTDHm1VR81b8E2z9nmpUyA
jhyMisp6YsegZig1ExxQrkvSio99Nj042npvZvwAMqH/HslYZe2MdeDVY8aD7Yfk5p17rUyjeTpP
UhqAtWiEEN3Nh81/aaYx7YkzH2JWvyp4ZpWsTr4K1zSmg8qrgMY549vntfVel1doVm1OcSAfCcgX
IAN4mQQANNkwDS4CoKuJ88XtgivcXZbFDNvVNjU/OUrSvi4DsAe7cbbfW3/Rh3boD3x2SqH0eKX3
eHJMCgV5KGFsbLBhJmySsEwfjEKajNbbkRbI5CRbaB4WjSUP7t3mFHHMOV7wkiUt9rxehnExCT/v
LFqslgN8UZ7WKW28TNg+3I82OqOoeWEtPJiV2mKYI1tMkHpcin0Rhk3QqXKe2QvbrtVKIA+sojuZ
ua5TBUwFjqi8qX7+YedtgIesjskSV5myOFOS3j2hth5xmv0a4vmtWzp76mNRjrb/Veml2WmCnZw5
X4ZWnEgzCmge2Ir4CBC+d2Mv5QmgYAPSsFjCws7AHNcGigCpSU7FRTLU/LXwPrxVfxCDCX7SNlkS
YZ0lXmY3eNEwO1gZLz52Jf8eLj4wlAAXKZzaDG+hHNtwy5t4o8Bw+bMzuTK3ff0WeaOT9pVZCtUx
9LYAq1E9NGBvUDGsoFlSseF2JM6AU+uOOhgelh8Fecfga41Ulz6tgsc/xK+z6rknqhgnt5xp86X3
j1HURMXKgi1nhBXgTFGb8SUqwvAtIACupxUKtdN6Eb7m46VObWkS/dKwvsEz2+QCP2drIX+Hs4uK
FPVrP3s2QzDgcZ+Qs2BueMAaUtjqN/9Mul1CjI8GW9G05sPJwHDLOgtCR6MYKGa4zBEJykosd67F
0Z+mJbeOkwcKEoGBFZX1ovm1oJa24TsJ65PyMsmUOI6qu3lx/T4rrVCP8DsgY1kGvfuzpsldbj3u
tnV6cQbA33HVDSlrQBuTpUyaGbcOpDpca/W1qm7jbGzuqBjdUzfvEkC2WAqflA9yduPWpLb2zsvo
q9wRKEbdTdhMuQlavEnlwca+wb3pU1dX1bmrWI7s6stUb+L+bKyjj2Yyz0YMF0K1Oi18vNTfdJXV
bEmw2IKDrdc2q8IB3Gov4zJsnEzz17Z3X0mdiomWzcbQIbgxnugPkXQHPY1741MJ4ULh9GuHo+kG
ldqmuW3KX0rt+uhL0M3+fqYWOMhDRC56CnfUG/h+sDiRZjcxR+3ST7rnXv6wjmijoNFx8cn0Hkfn
Jl955A2ZAWCC5gTIn1P1Y1HhrG47SN7jWoaW/lxGQY4z23azYtnqs25HAiAmNjZOjiLZW3Id9Grf
xmtRq9pPK4rSOhwXL116fFP7IWbIQnhdXVYv7pzWTYKOtMtlEH54AF9T4wGypjXPQMHRJz4PqMAB
QMMTA+uo4Q5KVDbLTN/8sP/cLlAL3GTlu8bIZ94EqOS083NoEhwCPkfEYaMRFGJdzpsDEm2e3vTK
IPDa8Ka8YJfYtgzQmO85L8fhqXec9dSrLinGqmlTIpH9sOGXHWZKviuHfwtjbVOP1PcpWiLc7tWa
NYw+OdX4q6YOKm/J39mYFLJu7u7YzcdkVgg+zJaB8A3P0zD8UO6vLgJiJjg2EY9+iiOXpXFdDSmx
2CIkyAul1wIRDrg/nSj6aWyeRlHtlkSwvZ9K4MTOssaHYAC6Yr0oVQtl2H76r/WyVvnZcXxo+H6b
Yv33eeNqfPLDkGSV/6abLkiXKar2xg3jq7+0wMfdEJ3Q6rBUHTu4i3F7B0249wguUkBeXLGghBT1
xczovXoJfWAixZpsiMTE4Qsb23MTwH1ncfIJByl2qUp9imZZH4hnIAQ6qLEZJP5o6W5kxS6mF8Rx
IB4EUH+tXzjtcmpc1IKO8gfsxyhx3HnLQjN8yNlxTvOjGZRjsAsXN+dQXNII9kI0VZdlG+ty82O/
6NkQlLo3U7rMHigBqBOeh1Z+BqAyu+pKJGsz1dcCfVbH95Hovrf1AIl46GyGmpi7L97WZyLskRWo
ZTl0dZKPdd2jnFV7F4dXCmR0xY62/XRiPaXgUvYQAkyhZr8/SETX04YYi/e2fIjKHiSE8myDBhx6
/FZTup/WEfukrz7XtMomW/MXZEkO87LJg/ADllZO92UmbDmML17vd5cqXxA4AvtK7C6eqdlNyXqt
XPeeuCD+cSf+7PIwwcVQzgSPRqLIAbH1EyZGinVynrC8cFyAvqZ1POySBOd+I3zUNR/Yy/CLYcxv
ET2uTXxbXXGUTLwIVCRLjBsoYNg55xELsO6BDvXuBLslacHF2wWRApu6VpxoH3sIWgRfyOOab/BF
9wEo6njov+E4IOD9iZ+14DiHIT737ZTsYBb+Gsn20yBElaP1+nBd1MiNkA6M8vsKXuY4qGZfJ6iV
dMDHFN3riDUcg38Q8aWeg62sR/sejVvKW3nZkpnuqu2wSTReEqg8TT5BuobE0QYnKqHRzX30sUTo
lkXCUazWLc0W2B/HBPmvcVWQARI+7DjFaQwEuuQSFkNXubJUjJQtc6IbHYecukjh1aQwMCxeWDLd
zYaehi3Nc+0+ST4jkSQOPfDcIhKNSKOea1BUKeS1n2oI8NnVkLLwQe5sPDyNcotTlYwUjTN5a4ig
SDD4JvWm7hccCJ6yqs55sND7HG9Nav3oV6OarI/dW6DiKZ16w9MhRLkMaxPcT1dV2QxJiy+9wVnG
PqPgZwVDvTKxoL5ERnyP1ervJsWg3zyaFTKsoF9Rdc49GLzRc1/nuHNfXdnuKCrmVDsL7KUYPTrQ
5BbsirPeo2k96lDzZxwf4wFuPe4Bv0oKNiwkA43IrgEKl2vsbFvB9YaUg2nRxqzJCQDJePVYjN6M
t2fhRv2VxHO1UzM6LPJJz+YXlziB3DYYz9i4J0Q82LpbUbmVkZ/8DCp5oojknGWzpP0ErmdxTQVK
uNbQKQ3KdqQSC+7Zb2RuTzpc9YFWAnKdcvurbtwgc804fpdLKtvOSx1POzsOb7QcEzidfQBNQNS6
z/vYmS9zNzXPSaTzDlXhs2l3zdgNzzAKC7u1MzQwHcKWlq3MKf4/UpthP4rDyEN7Aw4+3+Ix7PdI
pwzYsD4mJPnuUvbyWXhbcNqC6j0eiHj+/SBtXJeVj6YdaeNDFYr6ylAwP6M/APbgM3u0LYMjLYIB
GpDWJfDgZcdcg1hfbLz7VKOVcL9YUA3HqmXiSW1GPhEUsukysmn/+OJcN/6RkAFujLUmt52EbWp8
cofWNRfBpMJ86aoxJ/MwlFGihufk8dAPPtZgNV8dFfTPSbuyE978ezM2CLwoxzuKhsYvLPrODXpm
mOSIeuE4O7sBQVLJ87tz6BYknCeEN5m+0Gi5OBu1L039tsame0ZPPSMx5PU5gh1i9/upsyHbRX3R
lGsS/WgnLPzMyes51q914Pevvmp/qUQ757gb+tdY0wgcY5OUv7/Ixw67Nt9eV08+IzGXfJ4poleR
7pp9slkPUTD4qVY4JYtRgjrSW3aDFy4pEb5+oRyXEL0IdmU+6JeIImXlrcS/Nj5uF2Wy8L1d4vYX
FYqnABubSxVYJGM3Euah5Ms1qQQvqqG6b1wOMNCjD8/64dceDlfW9fG+V378pP3ul1xs+IOho34c
Oj4WzcdSV1+5dOxb7wkXbED0JGPi5m47duCnpjmf+kHvHvrpuQo6efQfrF7T0bORjQEgS6dffU9f
IxI6zzE5UQH9wvL5i1mb0oNLfPY9KOU+mY+bjF8r7mmYpQHYoQnLeumvkYStPMJ0zfCK1908FlCA
+rd+5N2LQqfkupdJrAiJuKwFSXl1oqDGcdDMx5UnPHORCjuNqJtC7fCzADmW18FrLL2MRC0aZG+Q
+5BEzwlR7TUgbIBhNleFIopeEOE58BofPT4Uluq5GT81iKUhHhPg3uKisCFsKb8lhcsM+xyg3Do6
wSOfF/wyEoEZI1vyrGT/us6EHr0+VhDd9FKMnqnOkFeeZilozhxkiWKx0AtwWwD4SPJgz3NXqBd1
CwRL7/pAhmkb9N1u7kjwtIa1vkGALpduTF70pJ+1MtHJ+gjkWl2XMUSkNHlAHnTi58lruqJZx+d+
/W2kUNgecdudva0Jjt2Ebb8KagCkyH86fnxqEvgemlpbegJJXur5GqTy9hX7L9tHKiIHUJkWtXK4
4yRpnt11bPf9w8Nsw3dvmMNDYIBIm3HxsRLEFZDou0S5cG37GOle3cS7DT3/bhi6uxoBqPC++jUP
bnz9/aCXcB91DdmvQASR1P054LQaNwnHvYu+KcgIQW0MfIEYVuxC/bPAWZSQqb+qJC5WmvDjGoqg
6JNwn+DAK9QwT7s4xI1qSBTlLgsPHudzhm4a+Et4V0QvB5x1CVhccjYVKJiVk2bPRuig2yJNTnxh
ss2a9RQRZCjdUKAX6B4oL1uGUmMdH0QT7bjpvO+N9nKzIk/mDs7n2l3XM/xBQBByUS9BG+auJ+PT
74dWgJMm/HNvG/0UNdx/1pSTPJ7eOUCW0oGNchTUrfa0Hb46bUQz2sgfPkUdEfM1fIpBVKZt8hB2
Ngi1QzSeNW3yZRuAOlqVh4o61ySBFNMZwvJNaX0PHXBdUTBWuVPD4Eez1X/QZPyR3NxtNs+IIBX+
XKPiaj0B2TOckE6PajAsfZxXaxOVkk9A+HT/0jQ/Ndf7VW3rjarQvLGZ/CAdWHUi16tY0FTESh2M
oNW5DlTGaSAvDulTY73g0zrq4NzFQ3yVBJn2bjWXrRJv3giHb1bcfVJjCCtuc1VKvJijYuUu8nIm
uWgrG+x4E7ToyYMAAnQXZIR5AgqzPSH47T/beDn1LaEH+mhQlCuqi458fkEa5mtcT0VIbVAoj7Oz
0VRDw6NzGlTOnCvsULvEW9enbfEP1WaiK1+GuWyHejxLGaDurOdSPv7/4ukeHETqD8q/1y2MxGTw
Nmjzo0U0OMIWJSdaDCuS0S6ayjduHtq69Ofzqv3otPTUhTVjYVAMPtnHK9s+1b6zI8gtf2Rj4M4X
l61bLnhHM9eJJKwigkU5reowt7U+/X6omYTYoCks1RkAbDKB/I/lt5i9TW4TaWTsMW8A+7lf1J3H
nrVgCSoOCE1uokrb8OR1CIfktUU4ES7bzd/i583FFq+3qS7tYnwwz2AZ1xiBeOnxK7p59IZdJ56G
/YaBCLz23CfoYuTiOnM5Ta53JC3zjnPcf9rgcu+qGNfci+KmQIQQqlOnm3PsNPsKeE+2bs0r0pj6
pCGR5ayeACH6fntjajK3YJLmhjkBezq8Vs3SnwbFwM86/PM8BusVi/TJIgzyK0Yj2g1IaWkkIe0W
BPm/1zntHBzgov8+E5LY0K/ONB01LPU8ZI80JQqso4k5AGNn2uGnBWkfEnRxfWzeotmxxUaSKV+8
xs86Wku4nuD9fMc4d5xDSICPenlNFhQpfSRNGZLwGI1QG7GuVD523VIKZ2K7po7WovXXocQ38JOo
hiiTSPm9hpbtADU0wG0C+YlvpRMO4dFrw591su6apWqf3WqkQHG1yeclatCjkDavJwc50ihsYLLV
9sKWIrTxSwKzUbdh8OIl0KN6Lj7qqoYKyHV/7higl8m5+cbl+7V3Xho35OcZBVLWv/eRCEoTTe4r
0y42REagwW4iOcL0zEakJlJhIyh3DrTsTLGk4BzSEcZS9OeoRjSYMSmzDemTElo+nAYXRFzSIavd
xogAZ/Vm6C1ZkFPfxsrb+w23e2YwnqCzRN2BvcHr78fr72eUdW4K9jJGRlnLYyvYhx/YCfjZEkKb
qKb9XG3tDnCgl0FfNc9dYsyzb3+ADdW3BHXDpUamMhq24MypwQNspmxzDcdIDm7vFKDRPVbxeMJ0
lzv3p2cn6t1rwur5dZavtHLo2+8n2nsxCaG3mtPXAPXxxQQaaQW5JV/WyBzQxFhIdqLeDUHHnoZg
bZ7+NgEJjweA4x+zNRFG+vrUg0YQBxRRrUc04Q/odqcqO1gGgEgAfMH4kcF5CmWYpJEnlsKXZjwl
jzCEcDVPnYk3uV4XLKJqRc60iREJdKYSR0qbqg7hZGwvM2Q0MCuV96mRvIYo4UbZ2lOQha0JoLy0
DPJi750gSD+AjRLcfRSDto/UeEF/0t7NIm/ILNnL7weywAzTC+aR/H7qyG9GwKhvaGQxzyDOBzsM
+9bG4QlTTapDLypxSiLfO6xadsdm+BpYHFdTFwI1dCZdlb4c3xtkuUYZN3f7eKgG3Nub5y6ZgOkE
lKVSdel5UDY9WoNXDvVbbcfgFFcBaBlk0+HrhZ+WqXfTBkF0yNdqv6HkSLcQ/CqaZgsSEfU8fo7/
xcNcDBKZhwXnnIDwuWkby3hX23b8rBfbpK2q9dXMm4Uo1y4Is7L2eYJCnMf1EpW/7zxP3ONoJJeO
L++ULfITLBnkN5aaH0fv8wKw5vn3Q+yjGEOyhpbtqa3q+tqysTsrTBUYI9K+mLGL0r99//wHaDgK
QV37URTSmAYhDTEt7U+3jxZR69iHPrJEcBN70cKU9trim1Ub+TKFY5BZYDj55ODfSDnOxybB5kYp
VCqDmA0umCwjtRjkImRwqWLTp9hUxH2Neo2pHhbijt+zG/H8b+1UL2hNAE5UDACccd8TzCvK9Yjz
a2iGZ1srUzK3hTTdwSF3Xe9eITdw+Ntv2X+8pT+tGCQS8Td+XLAabhL4f/2WnS6eR9ONfdpOrYWK
GmJkRrLmnm1pwTA2qdQLIMeBor12GXXOkQ5yB2MZbiPO5ptwMDmodfrxKDBQyCTh8HkRLTm2nYM5
M6gvvkz8YXnYazMh498hpYwSGt/Hq/Ba9R/WYV83bcarS3v4kN0AjLRdbh4Kx88VBnAcWdd8jpVz
dBtYGcigsJPbgOCEayVP0AQ+oyNqXv72R/LX8aUodijFBH0/wqeCmN5fJXy4obSSFvcy8axKIST9
DBvyS7io8zvyEOhd0AE2QOYZq0z8nVvwd37oT9cDv92LcSGAd3uu9xjY98db0NfJMAuBeTBs9T9q
Ir4uoX+wjUzybpNVqjARiMJSrfsCJixG9vjLh1/HY2bHadj/4x8EBArqhC7+cEcUYeLjH18KtkEi
Ww7HmVH9Yxl6VPbioGwVwGibTmGFCH3kb9O+7ehfPoX/PZHs/pf3+5ehWn9MD/8xTPxPZZf/dbHk
P03d+1Ms2cE4YGhaf7gE/2H22e+/TPLHP+P1O8/8f7/x7yeUo3/zKaVeglvYx+wx+og2/Z+Isvtv
SYwvoOhE6BRXFVcT+8lj/hmGSDpIC8QOphV6Hi61/49ElJFi/astBVso0tGYzIZxoZgn+vvrfziE
K88DJ1/DBkcBUkSSkVPQQlCAaE9z2Xp7krg6/41RNIAXe7n8v4RR+Ohc0hD6xD+BUYRxB5NgNf8k
RhFNDACyjkEP/kswCo+6HxWK2v92jIJxDNCwc/IPYRQYvTAfIG7+fYwCUlsLeKX/H8AoPJyGqWvi
fyVGsTbhtcMctz9hFNUcmFO8YKbW38Eo4Ae5pynAKJ+/i1F4Lj8NZvnPMQo/hIqAxMW/DKMYgi3M
alf8f4pRMLnrKPTK/wSj8OvGFoT8IxgFb9UpQoP8r8QoANVbzAUM/h2jaG2LXApE+/8SRuF8QTbk
H8MoNmcBGMS7/xJGgVGbJThm6CnCtNdJ68sSgHOtA/OTzjFoBUceOmJ/OMFyCTCmCZGzWzyzw+Db
g7M0d1V3HPYru7sGs5mglQJu0N5UMuUgdHlnAAxTVQcXTPC41RaDxrrqB8C8NudteI90W+C33THZ
wM0sh8u7KlDUoYiQhKuqp8nyb0s4FWTwCi8WKhcYI5r6mNeQkTAwhSTmgXhM9wAt1R72bABHQwIu
4wzD1NYaicoZiFnQZc7iPuYExVVJYasDCAeftAVJZvi2q91AZHgFV2IRXXNX7xs0q/dJxLs4shiR
BGQODumrFObaNs5wTKCZJMp3T+cERxDG3BCbVj18dhffXg+r2sman6M+GI4eDZ4XTCjYcKTPVQ8M
EJFjV2GUUmuaYh4g+gvnVzsBRsLEiuAQdsHrNN9BMcKGF7XIaNI/S8wFcGv5ffIx4WiDI4duYUDI
uh0yxqCBrpxnGLhazuN88yoBFAChvIb3n5ua+hlQ0Hyr9T5Bo5vCEDBFxOvT7ERAXYYKzHuSQHsF
86xb511GAJp0tHql36+mQLBgmFhcilcNQG63gDhZFPkUcP/AVj4cMJ9tyjHuMqonOKrgGWBV9VmI
eSbp6uWVngEqsQiNCT7GzZE7TSGsDQty1z4GVaSOEW8WhGc1g0LrorDEiE9dtqSXR5awSxj4qhCD
ApIiwq5YDT8t85OjmNmtrEe6FDPv2IOmN/+LvfNaktxKt/Or6AXA2AA23KVg0laW9zeI7qoueO/x
9PpAcjjkSIdnJkaa0JEmYngxbJbpzMTev1nrW9uYSGbrXsVHxoszYelXnNZPj2WCgVfB9KSa2a0+
9d+qdfhAiN9yZ45PS6/Pu7lSLAbfBauZrHlYwx+F1SEKQclYo1MHebOcWOoeRjjwh9QSiVsXgo8V
A48YHZdi82/MSeAULZbXFD1ggPBguGp11YsZqJr94DmZ8KOZrngqYN6NCfOnQgRGn77VPfOuWU8/
pAkEgVxbl7d4J/ow289Cv02j6sxM9W2upO/0XbAsQnh1r0Q+5qCPBNilQvnoSyAyvrpMCPKuk6XW
HpZ0/G6ZzXyFVQvc3S6qbFbfGXoAyriKCYhV++wLgkSNeJCZSHW5dcQcSpYLCKF/Wb/yh8bn/z7W
0n/Y1FhY+nkc/rSn+V3W7C8I6F+/5LduxtFZrNJ5oISShrNF2fzKW7J/slXLNBwm3UArQXZjZ/4L
zZlICRocWiNV3zplSQ/yazdD8BcBeVsui2FpzAMd9R/pZpwtPOSPAxIQ7bZuMRzRNGH8jHb6fRe8
rPag0+/m8G2n6yRJP8OhUT0tVE/2VIAuUJrbNtaFu3T4n0Y8bZY9nXTsRCh8PqvO/KZpsInMHxlW
x12K8ReBWXM7OHPk2ll8sfXhsunXusGEaxspJ7UupJun0g1HM2EZJaLDGN9rqeMlUpt3kIBxHgNz
5hAWa1AasG+EyE3fRshTlPl9Y+gvasj+OkZC4seYb4r9Grfdmb8nqgyhfs8zGD8OE310Yaj0rJHF
WGcVgZYvLupI3BptMjFiYS6NEEZxIfAc4gprnsEsbhL1t7TJkxdD/KgjnOXjBNkhnh9EWjcuO4gK
Ey7HgGaATAsNrs48zK4qAHpRWgjwv76QTMUY03MeJeM+yYvrInYSV8XQDzUuxhvjYHo1MmPAUue8
m5sIxpzZAsGMqAWWYFzjN3BkbthvKJxPm3dmMxuYcgzk6Ddqrp7LusOe8ncbpCeT0kOyZ/k7DNLq
ornw6f7FBunEWMGlhPpBJKwsOmczBP3XNUjDz1T206jd/J8wSOubQZo78v8fg3TlrMspefrZIA21
6G1Qcc2Wg+IOCcv7PzFIZ6K81PFbB3O+35zmxeS4ul4esNWdVoEby6z7L01ErD0ResegLova/I5B
7KZje+ING7VQ2/iFwFlfl41oqG1swwnIYQbssMLCcKkk/MMoimb4lCARNzZiDCSx22iJooabGAJQ
7DaSojFbP8yNrbhulMV64y1mgBcX2UxMQ82nCiSjWWy4RdgFKVacnoHkdePwf9RTK6POV5Ux8Veb
f9MmWgXGubqNugitGQAZGhGz8bT5QSmzdjeAipxARmoFCHp7+UI2p4ebDTVHIbSGFgTaLveQws0u
4KOA16B+1ITuF+H4lOhLsh/HgZm/EV/aNhcoDNHIRjNOescIPXWuoVxONm7gsD81BUrDjYRZocxp
qgnYBUTfaX5E+fUxbOxMVn6+ttE0s7xX0KKWXzLVX5uNuFmWCZ6EcPSXUHVcEwsi23F5X5vtaw+w
E+thi25fR2hERZ7elIA95Ub4VEF9IrUUx2mjf2pgQFF+UXqbkEFV7FIx29FTvFFDk40f2q8GXFgB
Zceh8h42ymgkKb+nvnzE0G/gu4JFqvxMJc3hk04avZ69MUsL4KUw1kMYc7dldWg2tum6QU432OlG
PRXgTyGluPrGQxWAUQULL4RUnybA1OkJR0ayVjcdKFUFz3++oVU/p42zagJctTUujgQE67CxWFlI
DftuaoNk47TGfXTsVSSsZEHA3jJ6z0LElffGj3yjvOIPxS6GZVPbCLAVTs0zFeJtrVExFntj6j+G
jRnboXryYsi4+dQ+AMaBmaqYK8TRs8AYF1QiOy5Z8pX36TGq7UvdoK7X80kF3CCv1AZuLQuliDGn
x3v2XSk+8366KqrqatV04NA2SjWj4SeL1p8UFqC5ndZHaxRo1PUUR0/bnrN+zLxsndqTPgPGQiZR
t+10HA0qgnwtHJ+3ECM3cLHJVtnOiqd1avKDEzqXiPLhwOfxeuqRFg4F+ZG5OXoVjqRd2N4pS3Nj
VrDlVShy3WAbAVqG92ze2NRszfE9Ic9a1PAoJbCUITeB26dsqmwB5birFn3fq86tPtSXZkk7V23X
tzIu1P2U7sNYUo47O1hOGwBJuU0140arAai0Mr52Kkqjpk6ORZ/ezXHBSwz0xet7rAR6eoyL9Lxr
dBnvernSVK/re73WL9FsINY1KQFgoOWBU/ippswBYnTIhg1v4Jda8aEEHKe4SmsRMtHkz3WISx7V
x9meUO4izHst7T52h74OA0RAaYzdYAE0eE6GLgoMxHUuTsk8EHkDbCkxjrbmTJcSAwOc8syXEVXT
UDYpHrlll2upchqLBA5J1e9Lae/BnQhaw+OAypmlu590CsZtFjBlVSK66fSrsl6/dfl0L9vYQo3f
Alyr5fdCFxyYa0/ZI/L6Rs1XiFY8ZoWd8TRMDkDbgxxi1Kk1rLQCJftFVu8yXdNTPlIrdsltRScK
nTl/q4vlebQXxx/iEeS/NdYnXFj1KW0hGYGJ4/F35F0+Rier5m9fTJGAzzvTHa/xfjJhpWPxeg41
9jYiWR6AZBfo30gKqdtiU6eM15j+b1QwkGDX1SmIOZz7RHzPGOy7VYgsLO4mbBnV5OGZRx8eM/pw
xlJ/TaIfhZNjeFBS7WLT/VcIFdF0zeNp7Q/5uJi0r23rx3PkQ+1tb6ZFWXhyItVDpOmqqfre9Qgo
2XW1nl7i7atxc9SVVh/nOrxa0Ggd9XFckZyYwlV77SZcm11YkgIBXXqdlUe1/q5a2Dqd7lVViqtx
VX6YmLrLddxTlLt5vWyGxOo2HXF55M7j2oVoayo/YY8eYWSgPv+ZLm2O5TsDhWPFaz5J7TBuAmOW
6nIab9qK30nk79U0gaXDcAm9GD/NqJrXZSJRI83PRTFfIvj8hShuTS276jXr9CAL/c7JOIesgoMd
o75tXPeIgFnnKSfGNg95jNzSyK7y2diFEhnDktpen5ziMQsKg533Yp8ME9IMFm3TpL8NFS9Vb/To
mA8OqsveX+YyQJCCH1rZjZm505A4uaEt923dvmpr9bApqwpzL9vqoVCyTxDnUJSLs+7wPlWaSfzC
55ppj4wgL0taeuqyXaEh0tJSHmiErgYFsUlP0EjYBWVV3YbdcBlRY5sYW2bc1MBMD1NLTW9qOIfA
CNad3w+4WCaEPYnuj+NhkXmgDV6LKGWy5PUEkxbAhd+06gaFw88dXWMDe0SHdM16/V3ve39Uxkv/
68s74lzQ5blP21cpzF3BSdHozmMpw5MKROTnf6LRn4cMl425m4YSkHvxLhXY+JCZ6Bz2qdk/C6EG
a5mXHkqvXYvtmEUU10dTEjZSOTu9IvGGpVkb6One1K8G1Mro6f11jB6czLpSuvRDZJQHal8MuBgj
C/9dfmnGT70As8iBVqRPfQrGsBFK70meTLqMeyYgZdp5cT59pDnHlEk6mCtHvN/GAgpT9nnv9mN9
49xCf2qR61vY5Jbio5v7KsCBfIsFIkBiP79ara9iqnJbKyS4YKrh53V7kmm0YNL6BsrKflAj7cXm
mBdOazzMdnnHeY+DVpufCqinQYapliQAn2kd1onY/gC7pGDHX65xnUjXXMWPSzIknx3SSEwo9Q07
PfrchqEgFHHd7YuKwgwZFk7Qiz59GVH8NYz1j2JovXaMedhyaPiZ8sBueqG1G70tM/VQz2enR5ZV
6Wm+G2xzbyCtRn4AEKEfSbLQ6H/VqXxsh/BtmVjl2OqKWXVBFmxr6i0/na9s3TXRx8NcVkdM1fSu
6qS5PZpLr+itWxsNqJvE5oPdIdpFFdrCQVD2xRDewwxsfVNL7nH0fDjq/JI37XlhFP8wxcpHDjPV
IsjFn2rlTWm7Z8yYg1/1oDOyri79Dh3Yobaupu2kLUHdnzplepdj1x/t7BV0RR8ge5ZYa0irqXPl
Zs7yf/Fu/L/wrAm9F1vr/5jt/d9HUst/y9X9ddr0yxf9Om2yfxIY7Z0t/w2RhcZ06HfTJotCkLGR
LVQT5vD2o/66O2fmKe1fvmJLZf5t2iQFTHCLjbsK+pdVuOr8I9Mmuf38P0ybTIZgDK9sU98g40L/
G3YuFjQjVNeidUV0Z/NpPCdivtdMJT4MNe3DUrU+0Pxqp0ZV6MoECpzZ6vu4Zm6aDxZ0FANIV9Uq
TmBXLYD8OFz8Zsq4YhCJH3CU7Aa1CQMdoZmLQLDGnNWt7vtjjiDGTez40Bfzt74f0TPH1j2m0Y6G
MBaYUblHshUHL342CiRIYhzgX+OCMcmUje1B8yQtAA/TRrtR4+G2KeB2W1px1zpwdQpZHoQx/Cgb
BTbZXOl3k9jbi4AJkJOGYrbjuYij7oAJod5l44TunuddV3u/7dWJjKVUdzUwsJAH+9cWY24+MISb
avuK7DK4ljq/wjDDi0h1nbQT7budHsMOuWmZx7WbjXyjOYru09H4QgPuF6Lah5WsA6HRqqGk+8gk
yTZy5j8eCAuq+9G3Nh14IRjhM/EzgyVRj5GjOGctm++nCcJYYtrHLuv34DQ8p0FUbmnqmerG3hO0
EPnGAGs9D6U3jlO1a2eOtbkNTY6W6rsxGv2uAgaATzQND4l9RbF0mxihju8aV9CM9QIUqdWDJdh8
qlxbNTOudY0+cBhR+Ekm6E10VwjsSE1dZC6a7QEXduvlThgYmiVdGT7TnMVHu1rSfYbQ/2wb9Pic
7dWlG7h8Y7wV4DfmTwSxxh0wmt5Lk1y7chgGPrbC5K2xQGD3URm0zXxZktHwF9PTFm3x9NXKzml9
ELMSQR0Szt7qWgH6dIqO6oKLWEU+R5MDAgSIF8kdRCHh6h1OrAtiWFirYIMCqG8quuuoD3dFKqxD
M7KAWlPtCiF1FQwRAsWsL0a3Yn3jZiaN2myNrxhMCUvrWH4VbUlFP+QvBgWZs8wQPcYGPsqw7HUU
i8moXYXGhMa1KAyoOMslnrZIjozDWpXvddfOKO30p2mtv6jq5NJ8EeSTBSLLfsDpPOY1ddM0NcQI
hZusEqBh3X6r0mHnLP13qnIGDyVoZGT8X8uyXBxs4Ekuz3YxXJRpeEnyHhwejlCzW+LzZiMo7Fnb
JFsxOAD2KlUk7hKRXy1qe0+Szc1ICBOZfsPFVrS9Dcac+CkIx8I+wBA5FpmgbpLJq2Eu3+x+/G4O
XXI19h+lsuIWn5vmBNz70C9V7Rm5qmPODy3XMLTFX43+MPZ1vIuyReyimLp+qvBa8JZdZTVllxkh
r0admR7iLnfpc4iZKsfRVcL8NFp0Bl3FJwobDuNllTe0pEetSBeIQH/oWXk/hxhxYLoHXeqsGALW
r0nF3JTNUt2Di8nc3jFehw0VBexrvUjFvNMaTrAxLR8d/bus4HRUBkNkI/7WE9uFEaHteHPG0+z0
mVvBP5DqBCcIhIxhV1eRDojT5FaWU3QeZmSu5MQEucgo79JPVdcPQAtmNxblQyboe/ho5+XJHquv
MOHPRsXG3j9e8Grt5tR5YLvJsKhxvHS1npxqhF4URVhlm+444apsFd3wDBPuWJLK82imx368n5bc
wbcbQvnZ6A86yVWWtdPtDbpXD6QY6dSf5ZwFOuDGtdDxKCFWb5PmRQVKNxsq5VBlHFKdJReiWV4h
5QRmSvOaWQWbtW6zkKcop660UAAH5mBcQf/SgnKBhjWlwxlL1ohaMn2wRZl6Y31eYbk8CHWLSWNh
2jvMgqySPnyyPq02tPdaN7zLkMBBfrM8H1M/rLTvY4sRImkMB8U+0sIMllKpznDiswQvXHeZOh2f
lxF9OPbUPHSdpnqpyKarmgSwh1a1HqY1rd9rvRx8Z4KG1rdz5XH0c0RM5cheFdNpjHrZ1dWcpbcx
D2T0Mb+TSXOAmjddaVCqANnM6l7LawLXaKT6VG/OpuwnWgoiMYeFQcBAhhfNG9bxvrvh4CKoUfCR
tGPoTSKWQPmAAfIZmm7NZaYOB+Kqq/40OMUDxxuGE1PH8zFdCQviQRgZb9iPqnfjGb7Kem3L8qxX
DXBlI1ZPhs6qknHQYV71+ozDH3QGgWouNIvE0zFy+FCnoEU16RVg9jaIE3Ief65b/r1Q/F+mKv81
iYWAWNPS/nSh6FVJ8b399ntt5W9f9WuVZ/1k6dqmZDQcbloqF0S0v+0UCZYg1MUUkpmPaluUcn+p
8sRPhqrpkqWjgV/vDyEuzk+OZqusKIH/qwLD/z9S5Zna34quyXWz4DRDcYHhbLOl/KOy1iHvTE0E
YDjNKku/rIrnWVN2PUMNbs268kBVOF33I3Qs2v3wLp36Y9akqxfj/HdXe/aVDCKQ6AgnbYr7DhUK
I7jjUGYfrROedbu8n4YUCCSE26mzfSu6d7obE2wh46YdExVmAAS2VaSb5eIapOMJ0cMbzEmQq4mb
zPrTrNvfzLX02xFgoTAxOoRwZeY1QbJS5DtUDg8m/rYu07cwJUkuqplQpGE9c8AwyEolGUAb7lJq
hyv5blAoOAoBIpt7gcCnGYjFGHqrNQLay5wflVTfza4DXCPtGXuYNQKRRtdVpSBBQFgfZSK+Ma/D
z6h/Dlnz1GJo3mkck5kYX6PeoPws+3knAQP1FAeG3eD+p9G0n1K8xXMfNE39FDnVPY5wf+QuVSvX
qiquyFCFA4rBjvAvoJhHQ4VHmsYh4LcpcGTTYwYb6NwNJqExubWh+GjtWzlt6S1FDvg4pOLNI07t
Mk3vAFu0Tntg5Dcfi41jWJmh7lskl1bFDMFJy099go027MYdc12+rUFhzdk/tyLG0so81MJzDrg6
71xDVVSkSsOtBt3cLeI69SJr3GUVg35J9O4soYXNwAtQzX/YzqJ7VaZtqmzTY+OeXa+ppWJEW7RA
RKQQ6uvwYxokCNYXwOaav0DM85Bwn3MZnwrlResYlKnYvZtI6CSXNsJXbe4Vo5yi3ZBDxQhBxh2F
fF90xrmk/iVedW/XS3gamTMc87i5qSV8RnVl6oTF/JCoIqhyvEkhr2Cn0jq06ozjFD54XHQSZEhx
C8pSIyHRuFTZslt0rF11gkWafQ1Anh30ke6E5CeHf61rQLgd+YHPoNqVm7RkmoygN4arimGkayWR
ehA9aGxIg26TkF+bWeV8QWYz4uNR3tpEwTWeGodC6x/CtNwPFYkT+PtLkHogitmU6PZ7Hwty10bG
0LD+kGgRS7wq9DuWCdEsLZmrqF+hId7WGB3+igSMXYefWAqIJsjj7VAKBt03FMr145xiwGUp5UXA
IpMxNynWKVN6PKR6BtrQbl4HM6r9Tt/SePj2doUtYpwu4DBa/j5M+9GxBM1agL6bi8iVDj2Jk6sf
G/kcOT5IHdYqTJtzaHvplZrbp7w4OacqwqqyDhvEYWCkE/8o7fXDTMZTgdXdbZzpBZK2BrjL4yN2
7vP4hRSC61ER15MNnShmKmxceIrWwm0dVuIdVACqbRVdDb0bs9yB8cyMRybCm2IrOqg5x97lCuEy
g543VwZUBAL0Yme3qES5MM8nIGcaK68s4cM45Q8G9aa70lKpcYRXuypSL4mOhVnrXoFfMRjoUpet
XQVLDyBMlQsvUgk5aGtr063BrXHRQFIHRFaNmc5Iu95rW0PMYwwFclt4NRHxc1vbTB7LfZYv+blT
b5Ptop62K1v9+fLmFpfbdR7lYeyl2xU/b5d9rkVsbCy9PZhUAs1WEsitOGACdLZCsV7nb9VWPChU
EepWTgzUFdUy68DKIFx0c/HQgtgGpJXoZX6pzOG234oTdStTnK1gUbbSBSCnPC3NwE6VsibbChwm
ff68lTzWVvwMWxm0Ug8VSdLsu6ZR96CQYAluZZNO/cTSEfmZ2Q4BhMDBZZvHh3QruORWesGH4tXd
yrFwK8yarUSDSFO/d1RtzVa+ZVsh128lnSOdBZt7Q+2uQ1HoHM6VNbKtozAHccdT/iCIT4JXB2s5
s4hyGMwBc5atydtINPlFabxQanuHE+qe2Ggb1nrKkg30YxDVZhqUU8dumNxECIuJvKOP9tpchxim
lPU5BYTxuD6XBcIKoGO3akZfVot9EccQORQr9komCCYySeZvCwbg9VVroeiv1a7I+E8YipSeMx8g
znR+BTQuCHus1KtO/gcBi5wGifA6bTis9lTvjGTu9mXSI7G04wHOGOljs9Jcsno7eS0wtargiJ2G
DmK844X6Cj+yzj61VbQPa6GyIVE3JCNYDW6zwjd0j/AOF6qOydugU1Uz4YGRYOkcYcU9wkoTc1uM
7jK1rxPd3pU1ubKDMgCrYH9+zuTkr1FiHKxyS57WmOFLfPB2qOEzz7EeDuUbk4wc8DHwQVOBEoZE
Jgs/i9wOCgHZPyln5TipF3tiWUYoUxaUOamqs94zLoEHxzjiDVa+eVU4ESGpSzUeDVoszS4ynsn+
jkuGZwCOIU59VKXLLSGOTcBJZfOmgqGxh5pLuaPB0XQ/k4BtsfVClLZ1OJmkUXtVzr2RtAT9JFL4
UtHsC8ZF5LXiOTbRb/L8rQEFStc6kpsVtprZO3yQwuojGpcv5sic79PwBqslOjO0i49JCevT1PNn
G8fl87YILJOaJFrIb1aDrx0qoQB9Ues7+LWvg7FRZlfxLVbi+ykc37r6JmOxvi9jhvhTWhxNraiu
tdJSWICSodsP5XndEjnzoj8vKqRMhW0dXCLEvQl3kNFzvIkoPUPjAgnLNoJe/W1Zy4Wt5XSShtR8
JLQXiknI/GHL06uarhlz2TKoenGSR6uEsshg4Eq0GDfRKTDpGc2nRCSgUIq6xVeo1l657lKpd4xj
eGWZojHr1xpaL+Klch3ebW0YL1BnLOhKgL2rlANjWO2YTwgdTpl/G9po8ERj3vcKu2RDlJVbFV1+
VkFayxhw4qgtnQfGAhB3Ypf+BBbCzJn6NXP8w2D1EGhTmSNmE/IBQOSH2BRlVvkDZNp8nvPq7Dj9
N112z+lldubPcmR5xkbgSyiXqjeYBXKWlasZB5HmXLOw+GR5+u8Yy1/anf+8E3Is5087oZ/tYn/T
B/3yNb/1QTbthSSQEs3lNk3+fR9kC1SVtDJAyhySK//gFMMKSudEN0SgFybEv0671Z901RFM0Bmj
4+4S/1AfJJ3/2Smmbb8wrZipYVhzGLn/XluJtXoxbFEDM4ucJ0nMnTs7e9EQcdz196y0w3PFQ7fH
hv0Vo2pX4XzsreVljKyIYyYYmlSQnVgdcXZHblGrZ6sZ4QzP3yA6MawR2TNSG+QMFXS3pL41lUlc
mFjfEpL3NWYxV6RogmSoz2IsJ/bNjFpDO9sl+HF7fYRXp9r3KuEyu2KkGgwdgqNX1nszuPNAy7Sb
aiCpK79IfdCuW9gL7H0aw+sJXW5X5n4Jz3lfVTcESTU7x4qQexQpU4/0pqlRK2XJEcjidxN9fTun
9yXB9gDC0d+oOOhvDDv7Xupm8VYsJ2AIPUb6KffLBo6bJqmfFI1rQI/KvQb6qCARWrFax6tMs7iB
25UyREGbUoV0TRojauSkIFarAWQbovUykEoMb0K0VFyoQpCKNWXT+Usnb5s+vpUqtIfJZBjeColZ
YH3j4n2SIzW/ULcTcTSO6ZAoN+2DXPqbqhVcB+vrgAXVjEhYIi6aWXDufGuGfF9n048hRIxD2sh2
fK+f0O2vks0RjVHO4vfZDbL6WhvxmZOXsvb9vo1SFBZpckUgShCPsiGaZb6YoH1JQXhoKe7Lrql8
o7aSndlmcP+YP8LSHqv7PKEitRDDHjjEoWp3AZNOn5EielDmkxSNT0u000tnCcgRZ/k9qTlxVzMW
//XYGhMDv3+eSFh3X3aI56KsnRd9locmF8SChfdRVdtuuMbFnpCD06SnDpWluDeQQaJ3Azhsgl1O
Cvmepc51RcdzqeqexiSeD/1IPxkpo4+JPD00WWtwCaKn62sLyAiT2KTVj6W9W52+vtOgjHANw9Ru
yq9uyNurpNxcGAmGrVp71D7mIo8ODTx+BmN9ASwOCpJtTm+FxXJ2xXkCmhvqLutsTPZWJ16jVPtU
LIDDGdHPOwI9fKuTp5xC4BKBVb3l+gRZoMAFJ0xNjjl/sdBEwpZ0IIDnYS/NzEusAnznvO15Z7wb
GfN8LWHnLtqsDMa++BoXHpEsoqLqu+26yzV/XUJ6gSXQ0Hi4WQpk29z2tyEQSDDVNRLqjGno1H0p
a/+YyxpunGL4SWk+L06twZVPwSwmwvBEVHxOI5GvMhwuS6ned/n6sBFCcaa2bIL8odB7F7FWHrQt
VLAqSYMqrg+wk8YMDQoat4i89eZHyNMD1ZcENSYd8LMgGS4Tw4yh5BFXaZk63xlmvC8vXR4HA8Na
E0DIOryX6WcNcZZktrZGZ+KcnOgo4u9W1HgKOYOIq1xUaZTdxwx46pizzmHHX8sXthdYYNDgTW8r
8hSS4AJTeeu2n8WwIv2qun2i0KdBfWLvtZxHh7FC9ZCgx45RUzKo5DOHCqd7GcTOMm+19rQiM2iU
N7N/Mdph++Uih/3aYTFvGob9hVj4+8Co4KvK7VA2vscZ2QfIQxwOGkdDwcXMoSbjTBi+k8deq25c
+i4QYQcAF8HE90pAnaDXyCy/T81d3Dt78DH+/I0zjR7H78S8TzLys4ZrMq4O+mrvieVjdIP4nRH6
OqLFZsphR/A/SSWQiuUVuUMtvxusS110iKUW2remnR9lnqVnxm30LYBXWKaldCr2iP1T6ydvkTXA
7Kl8Fnqe3lAPE9KhlLdIZ7JD066HLMpV0pR1ApSiz6UGog7VUO4sodf7SO/SB0tfXxemzqyBkjiw
kzueQufUrHyjeZZpkJvgXvuydDzLShJENPatUODTJFVISH2eMRhfzTMy9vKGdDBezaqF4kNen8vE
8VlLbIB+FbYaxa6h31qwRSLC1P3C0lN2bhR7ERAGG1llTPF4bGsTIX7l3CP32JHAZTEUtN9pMk7o
Qju0iv0z8Ji9lF3rSh0VRRnBVIDZG+RKpruJU1/TS5+ElX1f0gV0XZv6UQvYQh3J+BLJ3UquhlvG
DiJEZnqoNo91hT2umzbElLJ+09VGo1knp7lNSRQoJOxKVczPXcNIgsshIsewxK4El28fTuOLPjYy
6HtsaImERN7E8prcDUYvsfMoefpnqhTE/xNIdMAp3rQkCAL7lbS3jHNaRCrh6fZtS1JKShANVonx
UtR9xBxy9lXDpoOz8tabaZmUej6mdJruusGt/j2QL3uyUv7zMhT96p+qLrxvXf8jr/4b5Wj58Tfq
C2g82xf/5vVB1wBuBC0Fvh1QK/zRb3N5DWGG3JQZoHuw/PxhLi+Z4juIe+hIdKnj0PmL18f5yYDS
wjDdAsIt/kGvj+ls6em/h29AvxHAWlT+t6WYm1u9+jtyQaGB7l1C2MpbTz5Nj461Qu8motTvZ87x
ri8vpQjfwtHIuBDq+k4xHFT2KZ2vqnXS07VpvtM6juUoN9FiVKztWMvro1Yw8xQHSl3t3DAzaBY1
WNao8kyNjX0xe2tfeFLOzhEqK/vAonutmakUKueq1iG/stw4vEHAwr6WQfi2hzy0DBMITmAi3xjk
jW6mmXS0/NhiWEJakg2kngw4COe1lyqsTtdQeH9nnpC92LdoUe1/bZ4QD7uzq0aEFP0/lSekyCQ/
rOr49M/lCSX5aJ6NuP9jntDQbdkwUInccfh/LE8oLKll0vkPeUJrnzyqujb78KOfiJD15rmLvGVm
EBs5X8R+UFAxVZnU+Xd5Qg4hzxOu77/mCanUpjqX7f/+PKFmDamYw8CsFB21Krj/vzNPaFZF+JxN
OWHjdvQMZjfzVoMHBmLctJ9X2BQ1XONyUlzZIFsWPcu5NulB01b1ZWlYHlQ0g2gUqGN0Y3XB2fJJ
yVp54AzDAjLBXofT6LBEgBrM5VlnHVuxOeJSdRBfLCGphRrywCUmatMkMNYYV8jARf44CPPR0HjU
mbX7c/816QypEeabxE/NNAlxdEOeCOFDxWGYk+6Glge5f2rzSyhzHqxYfNcBSQxp9OtuDKugIe/d
XVsyu9tw/JYR/sQczH6B3Xer5xkhwrGiQHcbUG+VfOM4dQKr0ZybcRWngog8f21pZ4vQfIf8wlpA
rGeKkQjtKUeQouZB7fQnBVp/zuwJliHD3eRWiugmiW3p//zy2L1l7KNE/5Eoy9dYqfXBKDTjYKdm
EthsEkAdYsgmfwbhgDmeNGt+WDBd7Il9oIMkTRy4teyR8jgfxrqYJ626mN0W8YLPw6fijT0dSfJB
n+OIpgGF+AJtNWAZbO9ZPwL27PZZHdt+Wlump9Lr4B5KtGOVgWpd4/qoZo4nhha+FXsMdnLsP2Ln
LWO+SvGMamcU+lPVk8yn8udmWzLi3tLM4onvFHMgV2hnEi3/wKZ8k5pIvJpyZWK6OJE7yUzxZ5xP
10qY9bs6X6wg5H2CjFPdZuyiKcUJItPWIgsQ0RBisfRAA8o80MOXnkXkgCojUFQ6fwKNsuulJkAE
G8jZ2rZ+K+s/p8OrpeKT1CmZ021DqJjjDuVb6uEiRUXFGlH+D/bOY0l25EqivzI2e7RBBoDFbBKp
KyuztNrASkLrgPz6OfGa5PQ0R5B7bkjr112vskQi4l53P670xITiCnop2HQPSm3Exgp6QCmQA1Lk
jCSZKW2yR6TEQnsc065cM79yyqBjUr6OkJMY00Gbmn00BGka304tOERzJKuZKT3UUcpo591oCKU9
gmkExL1UCmrdFZJ/MWys3A9yaXKXRG7NqhRtN7/OkGHZ2yMzY5XJ0HuRaTWvumuS8pFLn9XkP2hX
j/3eVspuZutovP3PpDTfWKm/eiFfen7FO6ULDwjEHkKxweqjGqf3bDHB+zlhz0k+8BOhfLbsnWnr
KsW5wqlNn+j3rNb0i1KlQ+RpCtdlEHeQag18i9WL5ptECYyOKXtEYohSMlJ2dkgbUAgO86wXAexi
3bTLwQq7COSzUsphL1Pp5SPZD6PJu6BYz8jqKfJ6SG42msDtI7tHyO8OvIUh3k6OduUOHPnM8a5S
68PuUhq3kaTsoBywzschwYf8rkPkH5TYXyJfov0zbdxlS/kDf7JYD8zmhjmjbSvHgBV3BxsLARev
I2uGb1ATYUpWrVdeA2ye2yVMYTPjJjCs8MWvwmsLn9LW1/QDxUg0A5vMgPPghfulrivKN6zXqaUp
edKp3rLptCqIOwfSi+ny1Jp8XVRgLfvo2RIe/V6NoPTPrD9k4V8pEvUx0ifWN+yN027b2jhbyf8t
/BbD1Anfe0cMG5HH9wPph8YXR7nwtcVsyLziDhbBwRhfB5ppas3H0DMSfF7K7pYmmENqOfE6AkzI
/Iiuk8BhHbP+1UuWS1qYJAksnRdDqHAi5kQwj1SaRLwcHbKIdr7TWDcFki5q/PZcm9wcXXNuiSDm
iRF4cuYF2wuLqoraeLO7+M1MVy/WjpUwmqd2ODDcRPvFobWsrtybWZp0I9kzfN0wyPN+3tbeky+G
NeGnh1BLixO0XXkI+3lfZbV1TMVy0PQiYfGZ4sF10y88ufc+aHfwf+SlvcoYdlXHHU/A1tulFSTn
Gq3SM7HYJ3BC9QFduiMRhqs13RlGqbMZUPUlc8LX0Z3Rh5INSTlK/pxPYXWEELFfQvJdqJ9dFdqj
DTGJ3qoKQkd/l9v2NyJdth6X6pOt7XU/RUfR1E8OGN0t6aeCtamVnvzlaGSGfQprezvX7WPjiCNk
5nNokfmGf08Nkr8Z9YQ7BdLv3H2NYbugvFyz3kXz92KLSy3ohpYfFSbjjO3bmAZdljwUY/LWz1V2
kOpcyzCO5tOxGuf2dqCYeKyZT/OqMgBFTNHeqummCjnFF9UiyjeWxscq2VE5so4rj8SjS0+n5WP8
HOr+zhgaGhU6gWmrx7E3ac6dRa+T10znf82L/+C8iK8KxeB/d+lv3//s0YfTqj7kb6qFrZuIEh7p
SNcxbYWs/NuUCB/C00E70N9g4KviX/2VCOEyCtommobNf+CwnvmvKVH8ht/Ls9AtwBgKBI9/xr3l
qpf236ZEV/cF6yTGRAZOmxf436dEIlHLHHOvW1k5kWNH4F2YAKhgNaE6xoBxXnZpuI46FrbuGGKT
ztxbZAWq/oSyvmgJim2EIR9bPbWBb7nm2wft3qtuDIFLpO36s7+E4XUpog+zusHnpu2cauo2lui1
Hc3Ih3bu2gDCenpjDCmUXUSFxOiwNZbmXT6M0BFm9eCdKB+kVk9r9IeGAs+gL6j7NtrR3oHjPfHg
Q06O6+Wk6elLH5rpden1t5697c1Yv/LHEZSnG7LQt4A4YbQ5iH641z246dOkX2JZzZDCtW2hN+1B
mtorQaztnM/PJOSgns4YkKPOJpvwCWE0Rv4dTG5LhOS0ZSP07hPFdQfI+K3Kzgckli8vA2yh4aJZ
Mv8NREuBDWrVOfJ1tvyXjuqboP+WmveDO4S7Q1UF4OG7VZzNb5MVP5oWf5JXxE8LKoVXZTS/NyNf
s25VO1dgHZr4YQVwCXd+FZnYtHscETkXpWb0Lh6dh8ubjz10xYbubJASk0UJQHl4TVtnn7nZu9dY
OyKotCY4OA8qMB5BlbJctazC2A6jd269Qu6cUHsn8HibKIfLhCB6zW4TTwb+pZhiAoKM2b1BwKEf
/HbnZtRz4pWgBKlZO4peYdFOs9IAWlDfoLAbxiV3yWHyjFxZkY1Lm6x3zb7aGcUb1S400bds8JeU
K7tTjy4cJTZ2dFOdZ0XW8L1i2w2/oiTUDsLeiGLz0Fl6dhrNaTj0VX+svRDY7EJBO7HSZuVn92lF
exnSUYx58FuL7Ph5TMp3Q+hbH3sA8Xi5px9SW6U+WgDw1CGIYhz6JpeZbDEAliuaSIuRIa6wNE35
QJouWj68kkYYzY+7K7p3qCsyNJ0lBSMVuUvjOczSu0wH/q44Jm0TQhxm/bxpFeWEQYqESUJ6sKcf
wjVu+U2P9lT1JTgjLH7JE3slwaa0ip+CjLd1Aaq4gFWKZIiw8tU3mWKucL5G23mwvi3zvQbKIoro
y1RKArAWe+ALIrN/KiXnIkV9N91AmjrsGH5clsOijb5Cpz/PDGumCnXFVHPFFqWAdu53Gz97cVQA
TJIEq1QkDDcfXXnuSaqwWK5iY1Vf4O+yiJJFXfc0OvGbp0Jm/O2bidTZouJnBTm0kDxaqdWfLvm0
RgXV+sa7M8twZ6oIG7f8mNAxqba+Rs/r/BtW4DkhGaJvpQrBzaThdBWLq/oIfxTsLvJyv4I0kKgy
9ld0GlDo+To1+QPGJ1zmKm9X03IuVAQP7PSuVqG8ukTkRP3vw47WRrhObVJTZBt697zrA+rm2pVp
NLi9im+bzJ85/ozmqceYDluMSKCpwoGNRuavUIHBjuRgl6OmxmQJN407fRsqXmiSMxxU4HAmeZio
CGKpwoh5vA3Dhg6AfnjERu6C0S9vDb917sEhbJXV8HmhzWOqcGFL/ruE1GOm4o9w0Vbk+MWKe7bn
LONLJMSmPOcXORGdHMlQVipMWalYZXhDTvGChZGSvl+xSxhiJHFsYqoqlGkQqliallzy50Rmkxv+
KilRYPtfcU5ynZM5vi0JIccvjcwnXY6891QMNNPbaeXGxWfseSerDckbmbwrm4c5vrbJzKs4qa2C
pUyiW6eN4l2nQqfdiJOVFKqu4qjYjzeSztuoP+hGDXRfYu2SIalPHHVawb3OhNwzTM5VbDT8ev1a
BCw3BXV9udnTjWa6tzFnR5CP+RnZ7TS6H8qbh+xc8CMA4RFO3+jAOHYwiC4yvM48ruSh4V7cynuV
xkBBtoZ7Npe3KU7IwGvLh2lsNjjix1X3EXO5W9H1TdGSC6h5eojz5SH0h0eGHfdkT6PKK+lvcGqu
3fE9TNwbguhYaFPt07Al3pjmLh/jB0t1/1aFmHkbQwNxx4++4vU4UzgE7lxQ/UTpKUcRzUbMYk71
3QvElZkeduBIKAY0GX9A3S9xSi7fizSPefnshfG4psS5CAy6Kjh+Oobh/MfhlhE0lfbcCPcLqskv
nllQMt9tPCtE9xr0K7IHGJhjABJ26n5KM752armz2vlBWFRjFI4eDK28UGf6ybblzUzpX6U0ts1S
jkV+bwQu1JU+uZ/wmN4yJ/toQmaYdNvYWY+70zgT8X2pGooMhEHTZg1gYiEwFo1PiXuV1ftyLL8G
jwKcsbxvKizbg7sb2gYT9KS9JJV/27jpqTXvYbWzJHkpi/IjiZC5araRxoyRII5eo9bDcBu9khLZ
GtgAzGh8Jmp+ttuF/X15LsPsMFm4yjpxF4X5mdObhpBreZqofsM41146kV1PufEwle7nZPlPY/hM
ofWnXKyj4xTrXnsgFxWEzJQOSRQdS+XQabd16Rya7Lkb+ud+NG5KNyUQbSVXvBZE5fouvoFSYDnq
vcrWm/bcGX9FllHYU9ovDAVb0fDTsj77ZErWlv1U2/2ybkWK0xF03uiiCmF4RqasJ9SMzzQzt60s
uw0VrxTn0oHYeeu8Nr+6TFC3hvmy7i6V8tdJ+CS2l+JQLRKL4Ih/IcRD94tkR5QRQIGVSsALqtWK
frpy5U1zGmgz415cI/bO8cWJOrxNtv5t1hi4Zt58s9lFK3pjcOAKjA6VQaNeGD5TGLp30qTaSseh
FTyzP2Qr8Xk2FYSwoXjkIoTfY4lvF0+/s5p23FC58DPkJYF9481WS60UcXh0X+syOflOcTYFPldK
hk6mwTYGF5eT1SfRxU8KfY5XON4PfQSvvbqf53Kfx65P4Wm+bXp0xRoO6MbOXkxTlAGI+SgoJ++r
w1uM6nkWAo8jxeYyaJllCQoEbYjllGfPeaRwNpQYH4dFbIRIvrTSvaV58R5TGHyMFEUkNL/9iehl
TYZnyvg8QnOuknrimTaMSRDVyxOxng35jJwsD+U79Peuw2J4mCsNN35GGkjXHzBVHygXm9Fz+X5m
miP5Xh3os6NwF5A+oiB7BOdLuLwWUenf7sxDkLjbGo7QjecW93TWvVmzzXNA3wEbRGhlmecm/PU+
hlyP3E6ag/TAv4YFOPZfcrAWR5lb979es5uBneE6uy4gSF6H9bJjA5eeuUQpfm55Kmo3vk9ngcNh
mh4Gr39Lyr5+DrEn0p+UbjK/K3ZCRJTpWLa9TfP5mNE9U2v5TBqtf/TH1jnO3qRt0oyn5b9Gy39w
tCQy839Kkbv+vf16/5Ml7vcP+psESbsD57xwCAFZQrfQGf8yXLq/QT6Hd++TU7SFsHSy2X+NBhm/
oT0y8+mGq1OXoEa+v0iQKgBu6Y76M9/VGTv/KdwgMaQ/DZdEg3hvYLLzMOxhwftTADzJ4qQfTJ/n
S0SgoHuxI0nvW8dG2GU1TDQcUGjJRkWfbHpWtaa+Medi43e2u1mmVtJBvRQkahttXfdKV4hYc/BG
qT4qw7mQnv9snJGQKKxOjZpJL8FuMOcdTl+11y5ZcPcsuovGICBgso1l0H3N1TZcccgDPaPGMQoR
NJsDtv0kqOvWPEyEZVb0qAlgSpSo9Lbc5WFzdhICkiKv0s2QY7SiqTxap2Mh99j4Yxw+7O0dtcE3
ZwCILk2HPvwFVvzEZtS+P2Hxj28qxdmv36fddIz1ZSYQw9ztKr3AVcqBkYZEKGkp2ieO8WML5zsT
idg1qsc9mWJnbY/JBVohjgxUiVLpE+FzhVjRGgQzq9lbR0rHaBA0CGvRdNDZb1qtGFQlNUBuvBxL
2foXQ3M3HWn8ldcouwzQKezDcUabjXUzT+I5VYoKc8s75sIBuYJVdM86zVb6y6yUmBlJZrQtmEZK
pYnVXsusCDJ6otx3Y7EqZBddasSdXKk8g9J7RvmTKv2HLsETBxmgmvLBKLzh2JjWbvY5jzKlHokB
UUbpSRZ+OSqEqLOJKVkHPNRZe1UUBjCStQSSVK+0qUGpVL++Pd0w70qlYJHIZzKN5vpa0yQXQhbD
GLoFUhDal6FUsHHhZEIVm5U+Rs4iC/BgP2FH5ABSKtqAVdm2r9IpTa5i9T9R0exHQpKHmTgpQSNC
GTqyblgbgDwoAacfdpP1Zh6wTljFD069jKoZFtvP1DM+WlqKMR2YjIG/eFjgUOrc6gI/ZxedKPnV
4EM5wdLt7DkXtjG+iutcjbO8WSZq6gci1gRjxJaSHurDluYZgtqJm8w+TWh8Y/9IaNdioul8nuC+
xSK5WC6ZpkaLTdX1nOVDjJ3Q3jEeKhMhuJFIjw6EGoajiJ1o0+liBzbYCeJw4EekNW90JikLlCy5
6VBg3dg2vcrVYXYJDFDkTg1xSGZl1uPPuLbuwrQoiWaHXWDX1XuNZhZwoZ3W4HLTDTkrcdSzcrtA
INtSnyU2+dx+WXGVrQ1e3Sq7ohGMCC49lgsPrCClwmdtTo15Lahin2ieWonMoMY2N1l76s1NW69L
XuSG+wj40VDRMo2iCUbyGdxKJiyz5KqtpbtMXkQFlc7qXl3P25ldS+9gI5yX98JgSjEi9rcObwaG
MfwFjCmic3EnNNj142U5tnh1SAW6r/OMPjD4Jx/W3ECrYoA8ye9V3drrAuNo4KNknXqbaMXQPULO
3mhzAv8uakCUtgZB/gSGU6a/GdqYH7WWimYvad5Kij53k6lTmGX6rK59+xLOr24FGKeBB5hi81pn
NEw4qmrCp2Y44JmuXSH3bDSgvw3v4QO9VKmiAddggVPFB54VKXhSzGAWxkAFwAjzDfIUVXhJhw96
HMz70DqbJG8cyUCSVr7F2gLSlis/fSqn1iJnPODetJnBcLhgjDNwxrNuUdNoZTv2bFuS58nKAX0s
u+JTjuTqpJe/4ljeFHUBJbnsh30MOBmW+FroMqDx/EgNZeC0vjwBYgUr4wwvsECYGcJJZTTD+EjE
ndjLgnGMP1mM2d9HubdnYTnzjEBqBuxcKsKzHn7Hivhc8xAyOnhDjc06ZRrlY6P40DWg6GzkCc1m
zLijB/5VxsO7SF2idY0T3XGCPBBC0HgMCOZE092ZWKxBfLWwVtn329295dkv9iSvJzJ3K91nEO7d
bNvEN4lhdaQLZwomaUuGZof1zckopbJ1akmNKQsGp0fMsyHS5a1Bb1LXX7kLF0ljafARx3N7qvW4
X1HKjiVuzHiV87zL44XkxxKTiM1cur9LkGS1pZ/1sRA3bZNeRRoCk62TzIgK6jlH3uKDxeOMntdD
xicitEoOLU2Wo20OB7oqzzaHAa+o2gkHTbuv2mbfjP42kpuRZvp9XmIQ18Kl5R+9QzLPkrnYCw9J
1d2083Dg+8zbQJvDcxhTj5VP3if9ey90uYtHb8aRUzGkTY19yLRivAxJ9hkKxsYG+Pk44otouJdX
g74tCmE8eQN4d1k4OAS5rGwsIF17d9KOYL0piw76vj4miwQ9BI/XHY3XZazfNH3UN3mazYGbdzeE
D1lA5ow+I8gJVBvnqfO9N8HctGlt4CS1H99Avsc2JJEv3fC6lXxoPmbJ1ucIMeaIjUqU7vDSHJIv
HvU3U+7cmA32zzQb56AeoGclYBlMivn2mPZ+mshj7m5yZBudGrF6mjdjNOibBJxfohPpHa3BPS5w
yqDQYagaql1fYF2dI281Jyas4cLnTevl1wMoORYu7I9Yn/DM0JCoxRSMhrnrWbIHA7rmWOnHUSHP
fZNSLVk9W6n2vZQWzvvEZSronYdKN3e1acmrMn2u4/q20kugJCGF6gMj2SYbEDYNhjRzZDlX1uZd
V7ERpw0Jxp3k4A1Hti+gC89TxlHPDXYviI82Kkc6ESgdVLI0VRnTWqVNw5ZKco+TDo6evo9m9mB1
Kk+jxL9qhIjrMdOhw2pvRn2MOcQ0beWrfGtqbHWVd60IvjaFFe5KorAlkdg5odNWEJKNVFrWU7nZ
xpjoOSWFGbJVHkc6m2NCtoZK2+rEbiuVv3X89tJGNaverg6P1Y1XEG4ktQDN1H7DpKYfCKMSWvbr
CMEZKjuFb2AMIVhgmViIpC/etzk9Z8SCOfOuJpUTzlViuDafYZ6uSpUkXogU/2uq+QenGtMw/8+p
5gTVKvnzVPP7B/1lqvF+M3TLhoYOCV13QUhhkfzLVINDkhwPzAPGE6QzIRg4/jrV6L/pCG9KTXMN
wUzEwPNfxkrENSYdTwd9rpNw+6cks7+baQzFTxeMSQC2HEdBr/5gq9TrsCsj01QykriDJstvX599
tWN/R53zw9KP4e8jMuiy6Lu6+d2x+W9lX9xUSSm7//j3v2tRA6PlWgZ6IAYf9S1RRs8/fEYuDZ5G
p3q78ifsTTnd4Vwr6o0vKM0t9Y9Rg6oUl7uojzem575TnHXdFcurMQ/BH6TN/+GViF+f6o+eUlc3
PLDxjHKEevG8/slTmlkoRhxvzaqrqwUSu0DMwQWOJWcrusjcuTlbaUmtIMeL/6Q7rD793KFY2R9x
X/g+KxVa+CrWx31F/ohKr4Ajaljhz6Q+2r5LYqbBtqxyUEDzy9Ly3LVnD/O+GlDGcp/OE5b2wq42
eUX7h6NaGmOQtlspOU2t1MI5QQXuRnewT4xuDXyVZMauMbXxQtyvytjuITixp7VK2mp4cCW691IP
E82ASQJYk317nWqHbPG2wo2edRESWOqX5xar1W5olgNbmYXW6NkmRDm1pynTMbNe562m3ToFneNa
n5YbOXsSj4xM1/kyLWfLrNp96rkJGpfR33h6wBrYCUYXdk3vynHf5yGGovwoXFQ0vevlYxi7r362
yINRkiGYuExo+R3HdhzUzHZb3Cz2pumqLy60aXAdlen8xFrroTXLdu07stgD3n/yYoRG3+sdVoyJ
tWO64Shi23tqygi3r1zzKtbO0BpHWZj3yD/W06yHqs6DxpFkuo4znFxoLFSVdDS2SBaBFX8FMZpv
nXjUVT/294RyBOHXzF+HvSpDFQfaceHmMoUS+4W/76shRivTaUf74Fe7+PyAey1ZtQtg+zzfVzAH
Sv+297mt0DE8pIx/8UTABx8/GY6FNDkPdSpc7R/JBFVLIzvKpr8vOwXRcYuC12O9VSWMBxBkxE8G
WyUsomjlm/ibDMAiLHABd3UlkA+dELTUz7arc5/NHukx/rLd8nNIi2o7ou1lHYtKgWxY1Sao0gTx
dKy7LSoXrrlcTA+EXmRenYR3tHv7aShjbR9+2IWwNsIx7k0NM0xrwRr2IouVrFY/u1r86HW6dU1p
CZa5bEuOwKRcBJRByz1VoHOdHZbvWn+TmUxV5FfvoTIlm8FxGZ6TJwGkI5L2jP8rZw8iAjznCW85
6ylCFOly+6ZMFnoOShvsv+kTamWfCd5qsA72tDF1KY8unqPFjD4d1M2wKNxjG+0ATuFNwqTkeNGH
xtN41U8IFO5yB3eMQnOse85yHzcFdzMcTzbOJ5PM9cqdsCJaTvLcM9hOvIT15OYa+LIYN+esecHk
0C5jpDW6BWCioYOJPWTaPtLwyclZ64N4MA9L4nFiJ9E5LuJXhlDAF/wkJu281HAiKh2jqhqnvfpM
NPinncB6zYR2s2uyIE8hQd4ZSU+oZG9FxFeVRwx6/UnlrX0PqikPeHQBOqqz72Qgmjxa2rfM42oN
HnVajypH7KhEsckFjPhNfiVU2pgviNVPad8VIfoY3WLvaO0U3/JQqSoYTb3KLfcqwcw75blevGJl
GCg8aYhFinMpAJ8JE5ao3vXSbRMHrF7oZhTr9CyB40E8+io5vagMtUGYWqhUtZc8cLF9nn0lQSyT
IhK3gamS2NHYXjsO2ezWGo+LSmvX0SuiG1FzleOODCVKqGy3Tsi7dbybhT06v07cUJvY767AzwU1
zMVGa1Xpna5tGumVZ9vIDpVKkutx1ewy/WIzI/F0vZOF9U7ykuRKPbw4Ko3uq1y6pxLqQmXVB2yh
m5hAmEqxu8TZU5Vrt1TCXRQhuK2xf0UyBS1F8DGri8+kIhQnVUKetZPNY/2Qq+y8r1Bn0JOf5jq6
tkXnXc/OQiGok26icOaxbUtGYkxOu9BHIEttMvooPYzAxMbgRW5J6UTkYVHQW5XtHwj5xyrtH9cv
CFENM+1waykegAAMkM0QAkrFCmC2I8FevFL83O5yCifwfKbLRvdHKHmDM234hgur0g6l4hCUAAnC
zv2akSRdHK+KV2DyDyDmy9cJlAHiAWAVRTeIwRx4inegK/JBhjmOuVQ7huAqVpXiI6SAEug0PmcD
u0JfmTNzYAoQKawgjHQTTsKcrousIPMGKSNf8G5XxdpOCx483fCoK06D9YvYALqhMNr8wEnKTizl
go+MCTQX1q8iPgjFfnDlcmV02hl4WxU4km8av5fNsVFs4ZTEyLprnV2VM8HKaHaOiZa+OX1hXEv7
obC9Ycc+mebefHxJm4WP8r8tO3xpveorMsiTTXDmr8yOfZZs2Az5XEZoADN5LEBZ4f+dKFs2UqQl
FxX5mqd8QaQJXVYm+mVe1xrne05GutQoZa4R4dHuPrP56tc/N/b0Pc7jiCLLRile+KIETgEvfc9K
uCuj3RwM5XSrAIFv8DT1qxbCCvbnjIYVd18uKdNZDuQfHkPnXrSfSbTQLJ0QxuTib9uhAb/oEBuV
+viW4/dm0dA/LyJyVk463gubfeiQsP5gp8Cx7kWHuk7qgPV6s+LX/KueoweEcQiA3QOYOokiQ245
qhrctjUrKN8LnKiFmyQTlFu9xK8MlmnK6sdRrYQ5GFn1iI2eQgdvNEz3sh3uGw+t1DphheGTW+Zr
6GPWTEe+V472Q2XBgRQakUtRQ3Xp5FM9b6Q7rkXP06WSHCA6Oy9WcdJe+fUXYEraeML7pGdOGrBn
rlpnYW4uMf1TVRzwuIK+KbF8+jqGYE3nazFJ/FUSJ7NMJ9DCLkwfzb8vwIzAHrOASTSMhlXk4zCN
8iAstINwKyCqA1oYMEt1yoH0qg39kKd0bs+s+Be8o9jmxa0+7N2Yvy/MmO6K0A+W91gFJYEjvQPg
4RaQ1d+VOteTk+lGNArgvgX46L8xgU4E6Hu2RhoebiuIveo96zJQovV5bOU3MzkZoViHAZ21N5qI
6TOfFXrDeBKmfz9qCd+WCJNRMrFoNW7D3l6nVnivSe9rqu+GMrlnAYc82ntwNM0020xVgPUHLU2q
jescPrJTuPhGwYPQfSoXVDbb1j+jLr/vzEdKTJ9SEETUHdxMsnSui+yYJs7OwnezssrHeOxZzPJA
w/NR4znq0/OiWaDGY4CsYF/dOnW23RTbWO9vABpdyEVUfD2pudV0Uqb0ezX91Rw200ZLsp/Yb/VT
l1FvYqbyPBIkQOF1uV1DC9mmU/2UE+Qw3Mgn9F8d/zXN/qPTLObNP8xIf1dyfEooofi7afbXB/1t
mlVMPBzppu4CPyCS98dpllieSX6QWIQHou8PBlAfNgVkCs+iRYzUoeBVqGmIgmPL+w1ZjUmWPeTv
IIx/ZprlYvunedbVGecE2AoYGC6eU17fH6fLCg+mWZRodE5oviBUkPAb/UdfFGfYpAxbYXdbgJhY
pf3OE1j6o3hvFCVrLiK4q7G2uGWhZLPcXyda8oFIiWNGPAxpr9wsTBJap5IU/p2pGft2iX9qerqo
H7u1p0s++U9d4mVB7fEM8hekCr0EVtPIzwo1YyXynyRlNw3fA6hdhzrVvMQjCIy84g06scAtLesN
AeURLzXMhksZslPuYz4sLB2uau6Twd5v5ekUDtoRuebqJx3Dqz7GLzBRfdG7rOhjDLBqGiFm+LWw
OgfSlT24VHGtHAnqt6h3jjosxwVExUI4MgVBg0L4I6wBU6BAW9RgtmlzDCWiEm9tbt+JW8Mm+F8t
MQ4qCd6t78afJbVuSpGjZerLoRznsyxYJQ/sarHpJYTkPc7/Ao4U5is8ifjMEqc4GcBbmaHcR89q
cBBZL9kYcu45uIaGnJt97HzoAu2mToGsYnvZw8FQ0S2JVzYJ34b0bNUdbTLehgj0Y5hS+FWbuBlJ
qtCFi8oG+lbA/2OfjNMDQvVCdivSoldOncvCrbgoE/HcqBCi5UPvEqnHp8F7m6bVA3vw5jQ63VkU
+nuZ3EUsQWlwYVXhVPw8vWjvDSzmB/9SjoNxNWvy0pPZaE08+MOZfppNbWEBNsv61McRgAQ5XaEU
LNuxwCGamJAH4n47+tZuoKz+KFku2yOtNhIJjQ2/vFrckqFKO81NxgZWSsAiMzi6xNMedV7Gnr3J
q+bTIWKZ43OmbiUMsKxKZbafu5KwmU4mwWHrPlXGF7ajcD+Z7U52c7XuRP0SRiXpkkm7KaoyuthA
Iky3dta67dNRzy/GoH+gzukQpWNeYkiaxCm4OYbTRfeGF6PGXQH45Qop5tuLjB+Nd4OvgwOf7JKZ
GVFLzh0Qt3l4wTcWndsYf5U+YsNKyg9sG9pr1rkbKW8sBqJDiQVr5XsR4orEskM7C55I+ciAS08A
CbeNnQP40xPUU7fYGi0rhaTFyBV65rM9dD0QjSy7Drl3uQJXB00UB1OhPKIpN8+UAhontj/NqYOm
HOhL+QSEw94sdBiRwo1QoNWaRaiFS6FWL7FawmRqHTOVsNtw8VWRvQRa3c4bVxteNJumvMZRC4Tu
zpRaCZ9AH1a6S5F4UbDW4X6vVSyDaM3wUR7tMZhM66BXCTRK3X3i11K90VknCdTwnUdLNYIY/HY2
b14UL7tIq/hpcODVUXutifYJVys4B3UoTr+Ox7iXZ29OXxN1dBKK+VnUYdr2VzgfnetlWJe1Z2wn
dey6nL/+cCPVcVyOuMb9pH3JqdHjMEeWWbL0PDfluyYFGDx1sNvlo60O+gFPuOke/Nq3rzPNOhpa
DDXYay6pnqzrSj8nwn9UhSidz01wk2Gep9XCCdDquLdPOBQr84qoJGGPwviwO1bWjFJ8y2wcoT4e
1JBUT01aSlnIK/spJ5WHWFynAI5vDYeQ2cx3h99F/oapgW3ZliTqtOfIzsa15XiYt2Ffef6+KXtq
gbie6fr4UOMtI/XrrUjGgHPU3rEuMt85gwM8ebmV6YjJCjx9k4ob0fjfAus0F+PhvmrcbW+hrFI7
tkpCWmilfW9o9keV3S1e8tpn6fOoGqIma6MX9mXu79O8Oxsp2ouPmKMVhRJ976rUw7oOtoOqW3ID
Iv5suc6qv2ERYO6Hee7IuhhAQKePUEO5cFj0LwpkqRmXkLXRqsySbp0Lqme6nmCBtNmm2efJA7s3
EOmSxoWU50+hLw6UIX8hdLM2YviPv2jZaJ3DqoNSxvLqbPSgsjPJs0ifuf933j4qXGajsAjoOsGz
7anDpqmvSlPsFiv+VJ/IHspzrANpdKZdoQmg3iM8SwdhJwljPJnIwisMLLdJ0d0lrg8vrSlp+ejb
Nys3r1DW9wXhrhUdVzSt+bjcMp8Zg96VbzowKaXN2BFazT6GWATnaDqptFeEWSRE3mzA1OYtS67M
SCjQEvuqKa4qrYGy6vX4z2Iar4YfSy7ZuhAZ9FlzxAMLcUazznOYTphy+59a29tx5wcInQnad/7u
Dvmh86ynTred/2eBra5Mf8qYmDD6qSazIQ5TSqpaSf+wwIZ/N+uismoGaV66SXQwHuKVHQNQtZx9
n/wne2eWXDlybdmp1ASgAuAAHDB79j5u3/CyJ4PkD4xkMNB3jh4zqinU75tYLY9UpjKzJJn0L5m6
iCQjyEtcwM8+e69dsF4S1rsVZfd4Iw9mk1zaUa3rqbkNIr5bMY4/oohOBQ7EBe+JML6aW+8EP58B
VGarBWDjagjmRxWYh98d5/6O5P0PvnaObx7VGB69wX/82iFEQYgsQAJmXtes/bbejFr4+flSO3V8
n9nesVfymvn3qupH+l12QXZXMQHY5EKk3b4lEj95kJzwMj3NjfqY511ocl/m2qyJXesuM2A9EIZO
hGl/QW//w92B+DsvPUYvXnwHaV4Euuzj9y991VLtXeiXXmHrXw+yuR6t7GmkNULaoMCYB81VNMPu
ATGwbrv0KpwZDg3NlAegyiRTLXdmDmVGEEwcxdfYcTFzo74eRpCdZZWtYzztK0ex8yzY9ZdJMK3T
iOotIomIGw2EHxJxyxBARy662yb3WeVidogesEGaK9qtj/+ZVv61acXmKM9b6x+H1W4r1b3nX5H6
+qOr8K+f+JurEE6eXsC5wnUZQAKuqd8ia8wjNBVrpgjzx58mFs/Fey5ZwvFZWAh/P7HwDJeOyWf+
5KH8W/s30mn/3+2ExZ8lpW07IKxd/08buBBCmJUwVpAOwqvX1gnAN9tYaIlCETH6u3EyoGvBLeGY
tK9nGDvSQ1eM7PrdY9o5uD1RCSzpfeMq3A37QTKR9Bl/TCHDl8j0uiOE211Ro/bVsYndyETvSJru
qQ1T75DZsKgiag9MUX/V7cWLH5LZ+5GiYlMKVoptpPplBWgAM3tYXFS9LDsnnL91NUv1xR6tjZNo
61jYNFup0Ict4GbrIenA/o/hd4sgisJb9iJLA6tUhJCWLAXtm7duWz5hkrxXttfso+wae8ld0tE/
Ih7Lyk42YZ08yM7hQD7saqTN42Av7d7N8q+uVWD/ponEvzdFN6GcePa0zldIVRl1ySUwav+h98f5
4Nuhj98hT+5LNmi563b73p7OTYf0HaSkUlD1Wg4HGg4OGRsSRC+se0w7w7aaFCysGYSn5d80zqPl
NOT3sdMRis7v0tm0jgmJDn0IrVvy4NTylRRKHsqiktsecPveNmLyzt9tUF3HOAc/PC4JFPaGLuo+
9NbFVJlb1LEK3WRTN8NnUPF/8iGX+yqYPoqIA30XRqAIyv6R4Nwz9RyUoA5SXLwquBQ68lSb4d1g
y/HaKZNi26fZF2PfwHmvAElLJ4Z0XJwaCWqjOU9Pfma7u0JUn6LntNSq+imbnbtQPKThEuHlbp9d
0aTb0SfT7rbLpbeNLT/qcBsbZb/u2S6MDcEnegU5jJUkP5yeeTPgypUMMAbu8DMZkJdxnMDrtcGH
2fQHlZLxDTMgx2PVfrZte9W3LTdg5TN9TYPcwp0Y15jLi5/tRHXJD2VJU7EZoc9vKFNzD5zfIUwt
QzFfen/OqHR0xoPXRRl2Vjp03Mm6ZBqgY6iOvjxOEryoWD41ZicPCWKIwdvMOo3XFFz9ipFcDEx8
s20f2kav2MrRvMoZt9EOeaqUFil/LGuwf9qXyAX542r4j4m/h+bAtYQKxA6rpLSktfhbNiYi1zlw
50OKWwVLTd9D0yq3I8dP3l8N/sV8uqujylnbiqVA6rlgieygQsKzMxRD/7UZ0xIibwHSxOVwiNeI
waN/HNVmqYx5A1y5P8ViPuQpa1zOM+bg7xOHU4YxyZfY5CKtbNkeqIO8mWOBk6qFSJbW+bMoCLgp
M8RlPHz09uijQaTullpcTm/SeOoSizXjMqdnyQS7yaJu57TUjSwDxSdB3xwclxk1K94CNTYrIyd/
qeaTlPmV63dsL7zy7HTNxevaifd++zo65VuxGAYozk81sBykI/4rcJ1kHbJTP/hqcKFxtA+F3bNe
gJmLkWcorlK7ewYT0h0JsAfrnvqFVeNX7rovxRddEufMY4HVDuw5GNBfK9O5nwSVs2zu3HVTOjHj
EN08aUQG0ntRKVWSSUcewUBUsFz2no7bKfB3+bRyyOKtCGVAxkOYqe34giQOnbsR3yKUDrAtqBuY
sOZnxZE1CP2WjB0af5W7+8Wd6UdJChAYOe4wVCRGer6wRdr3Zd/CZGiyk2gWeY5GBf6uO3HDT67Z
YA3I+LSH5mX91TTewqJguWYFG+2s0ZOrrB0NLFesypeMCSjqU8DsjvtjnBQDX9jsOd/XJ5++aEA3
Aygfyb7IUKncWLg4D1b1JMqd6vPhGKkYmSFPoW3j7S1JW2yCICRxG3fjDoX2YtRDerLz+s12uLwt
ivBkMcWkZd1r6u05FAaoEnMcbyWxTTZneqsPoQNmtesfzXZ655796cLPq4VNeJEDMIjvrDaDK4TC
pyGzvwfhzLzXeM2BFBx8HDyFhWd6p6H095hkv7GFsE42vdBr2gXDVaFh8SBhOhQk+4ucR7JNjGVc
s9vDSUxieDKGbsvtmSqcz6J23iaDVKUqJaHhBlu12UATcJNLrUaC3qO7Sn1xkU7/rCgCEKNExVte
YHTitx3Z9SUSNz2rggJbLopX7KKL6FU4nbJ3ZVTjbByy4rqZfUifvXUs+FHcBNIH1Wk9Tk3VHGdl
P/W9Px27rn+RU46YJ/LlhGkN256Ni8zvYDJWtH3uAGfSVwaNcqV7iVekfsnAyY6piO12VNF7k0+D
A2sa11+Umzv+661mZ9cYBqhpSEYb6p7A6QvxOJlODe3EvgMUPe6zub/vhiJjnVwCeKQhGi64tZ9i
DMXWEjLaAmTjSq8LHOXKPwCroMqVR3TYlCHTf/CU+0TQi5lygpF12dVkw2iyKvmN/SPRZobIkLUn
XrVDHDUboHH4H1wTj6wyQqigAbgVF0PjOM/HoZqe7BhHhAlrZx2Rulln1zaSIjGfDFuN2eC+G717
VmPboaRiY9GNCIH74Vj9Hc8KOB4lMgrRR+2We5p+KpOpdM89M9DCSmeJiS7kQ6cDAggYc++9BSl7
ZZEN60K534v2e9TR0pYpttaWw0VRCx6gjLxfgU0fhuW+JVmWMpl9JxnPTdvoHyY/X+4KbDqehRjJ
t1JRSY6sGo3rtpE8RtEauK2wDfVPZeJ+dvgwVk7DF8so95jNdIaIXtHWu8CdWwA62ioPd56lbsaw
yG8DT942Vfqd/FlChMx/HrAe7agNoek2Ns5xlplr5ZlbeFj2BlfYOrXLT8uO4FK1T3binEyT3vEg
muaNA4lya9f9HXI3yzZI9TtEaHgpJRqwtUT7aPC6S+3hceRw+MPpakoC+gWZu7u3k5tCtW8IC+Ar
bVTGqLQz5rngY4qh7iYiU/tCNT9S9Ft953npJlAICXUHPjLKihefvLrJdY344ZrzXagZQDKyinVI
bIESifxdlPE5tbCPGkF4kBwT10CDEswDoYXxIFs7cdAdnaL2N9zX8U+jNruYBjbNbJ4coHhbXJjt
vo5CnS2pH4vwfRDzOVDLhWbAgAELI5QHHJic+cxDjQhG4McZzivje2D1D/8ZtP7FQQvYIkPHPx+0
/gSPBAiuP+evMxbxLIlJES1EOMJlKvr9jCUhe5Dn4j4sXZyGjD+/ehytvzi4Exi7hF4n6XjWr1sh
klsBGBGPTic+3fSxJf73f/1BJmj/9OvfWw6hjPxpxuIPMvU8x1mDf9ET9UfdoFU0XlLdQq9mJBBY
CLVT8nQVdMOHR2GfoLivCKALe/RIjjGqeePey56OP0nZ32D2l163/6kgZhDo7mNqAcvIvIPexWPe
hMfQz2SyqA6/xU0Tn2cMH01sAZvzx28t7cixLh6kgJAV7wWrzI9ENxPWdI2v3GL8SEwyMhUsK3Do
jC8jRK/h1R3VV4v/YUXg49Oq8DRMzCQL7o1ugK7t0wHSGeqJc46/I/3B3Z+aSVzcp4z4wtipHYFM
Ks+dHGNDHWwT29PHRWS8vvXpImcpXmih3aeTb8A+MroSD4sNfyzlcW9X3Bx9h6a8PE1O5GLiHfsK
KhEo36uGvLg4i7mxlzLZwQdgrOkEM5ZJU1yHebKsOKKT5joaolXbzDPErqn2hRXwaF8EnTm0Pzq4
JZ0owGnHAoJHSkaUvvrRsRe4Son4erbumhRMkKK+IfrlP/YWxTbLkmxjRMcNj1DonJRFMjxk0zbh
fgIpY+5WoyDhEmfxYawDqpXBHOzYz+/rtBaHKmJeApjXbEp4XHDhmHiUycQQ1+ckpLKTTbhctTFZ
7yC8xDJVjwPtlRBG93nA0d/rflQjvYmKCtuziVKGPYY6mv0YwCSVwnsyNdmWuEO7iprpOOOkoYYL
95Pm4HLMQp+HjBuPAco1nKaWkaYCnguJj5vlT54uYN1JE3bJ7sxrhjp27SZHWBcKAYmfx1GTeYVm
9KbAentN7cXa5mwNQL6GJvpGNmxfW1N+CSjB+53K6Tn0lhuh68h7V8VH2ZDEjbrpXY2MupVmB9tA
hPF/EVLJ5fWs+cId9bZTT0Ju4QheaQbxAozYktmHA5w4DerrmAsEDZnABd5hrF1h/ehqpnGsqv3s
Nc+caNuj4CyJ+/aNXJEkCqN2DK33bQ0hWRdtHCtNTV7AJ5NU2BQceqlUgnRWVHhAogDasq0bKXtl
9ofAEs+LZjITKEcuNaOKcIBd3NSGQwlGqK2p1KOZfgks3fZuh9DgEzXzmZh8DgRuTrdKE6FjAzZ0
kNxVhs9fzdCy9sFHw2pOqWmEKD220mG+Yvs5F+n3ONAtnSBGFGxMcIDZoQVN3WlGtaVp1T7Y6sWp
3etIQLJONNM61XTrTnOuHU28hi+dnt0GCjarHLmmjmVXts57ME3HMMuv/Kh8TIr4wdvlcBdUOO8s
M33W/2TwaVDkf63nxfC/TYaxd9r4gbDhOR+dA9VT16Z1qz8gt4D6O/3TUi7XReyddI96IctzFij6
0U9MxcfE5bdqfCNsaPFjX838xzLyKxYZp4HDYmT4p1kup8VEH6ncU1rWj0GRv6EO7IEDXkcpzVtp
zTsxOmVVc/bH/Fl65V23JEeOvvSo1Huj5BQol63Ms60b+ae4Qng3xDlpshfKIc/wcOt5lw3WQwUg
rcjFuYuTB68pLp1BDxkuYEd2mFj9RzytR8vvvwGhu+mDibvlM1jBK3Mors1K3ETSuMvt5dLxYi25
tU9AohMph0VyVsGwE+op9XCDlulzZrNMDs29lN8ko/Ho4ris0ZnwPn3RxfdA3t4p1CPE+rsukM89
VZ5ALu+Hvj3Eo3VKqYXJPoVhfwZjux6LnBSKDI7K8z+jRL549fIUtM2e5f+W4oXNku2zpLnTX0fv
QMzDTLWsUggRptPtSjkMVLW1B5pmLlUCb0Xc+2V5JY2R7oPxSfAcyK362oj614HJ0F30mlwDqlzO
fIN7oO8Dsk5z56n5Cj8nsb4Gy3Z/15f9gdlxV8fTE4+Ko4jFlc2wbwF9RZG688kgDl11y8x1PzoI
aeZmiLxL2IaP7UhxVwCWX07rqHQZ6GyQF2ksWG7lzG9htnJc9yH0yxvZNC+ekWBHGlZD7d9yinsz
eqzIUxRU51Zl71W4PAjdEuuLD+zij5Zuj6Vy+s4b5XIpND99Uv4LwAGeUdKw9qOgOCSliFbpRlqy
0wwTlESEuq3WcDaWtdR3KS0LyuV21FJs2+mGW+rmHS7X/GTr9lu8FyE9qvxUdTOu5wJbbxVb9lz3
5hoDrmsjUmsDnY5e1zTezW6HmkHfbqabdx3dwTvVWb3OzeTQ637e/5wm/8XTJCo2x69/fJp8eC+7
d/U//6f4k2r/y+f97URJxgUcOe03P4Hjv0VmTFR3iuA9iwOlyXnyt+OkCP7C8RNMuXB5Ivw8M/56
nMRkJIVlBZLueJR2IL//znESvPmfjpNsJoTgsRkwqnrg6/60hvJ4CMteVuy7Mn31tDiH2hBg6SC+
oQ+tuDdC8/eakbeuQUv3YFOa17nzHoXidfDGV5K+cPK7TZ3l061LkNfTaTqnD48M9xxCXDzjbdyv
O7qitxJkIq0xHUck17nyqYTmAISl14UtR2iSjGE6LMepp8HGtrJLGZcssEwX3S4lnBw4b33Qi9PA
fcz15i8121d1Oqpt6PoJcUVcLkLez1n5MFsjgdvY+VaPPE4XbLqrekqeh8FsT7j7vFURoQcV+D5R
EQeyzO1CqDF/KmDarNPKqTYL1IMQ540tw2JfaYvz2rZdUEDVclOPmKcy2JC8E/u1nO3i1hH9PTgq
4wGI/D6Q6XUcVceyistnVnVId7N7kDZDfxZln40F/TKMPBK73HMlZ/nNgFC4IWPqnt5CDnTspttT
nyxUcZriWJTwtILynm5r1AtGylVi8KzpwjC6hDGt9gOO/rQTxSmP4F/b1XDoooAeDcKuTRGOByMd
kt1AzqdAkd+5bh+dlsG75niW6M4aiXlXmPGNKuHYyKQSoHTNG+pTC8IVjL9QrwAGEYxns0OFEimI
q0oOJzNS2aXxsx8z1UedMA8Ehcb3huiHo6wLHRFgRElTeP2b64mQsla82G6XQmqxpoNnqnHv9Ky6
0xtSNrM/k0vC4HRyo7he+zWhEEBfQOf6l9rkUexkmItb1szEV6x3WmDXsGW818K377miOJhcsUy5
9wputCXk6wZi6rrT/tYigCJWNOaPsUowQC0N6bABLaplk7aBNEXmJ05uKixFa/YS58AIGWKsZ7ta
HhDk39sYn7kdn8fW58Y+lfkmbezoumqcE+/q+l5BAAGIs5xkjTMMXCqAXfVg8t0dG8yhG3Mi/gii
dO3VXObVgBNsDOLvYV3d2v5wUbKSIGVmulPxjdNn/o466xMOGfmtmTOrr8XLXsuYmeLC18Im1++1
r6VO7ObupsAYXNjqTTpFeirhf3GIGHdc7BDmsrLb2Fo+TdFRYy2o0tEzHJ0SKMSTrQVX4JESRurP
8j2NgA1yWB2DjURr52o/oNpy5/oxOnwTg0bzuNAhEJdsgzgxcm+UVREoIovDNiCM2lBfM8SozTwQ
LioirDmjfYogBuqCK3kOrDk7LX53BFFwj8mlJ+CB8IzGtTJVPx+5IfZbVKC9YUIODrVgzd1mTV/J
8swV4a2iFB5djL5daaF70JK3z5iXEJWKJNowvDpkcZuz/MSLTwaYa1fBeho6dvpu9Ro1KV1ysIca
M06uZi25z1p8d4R3n8n21V+ids8YQH1x656LCFzzwm2i0yJ+ruV8hfJ/LIFphYbDwUaL/rgyefOx
Bwj0QoC+5J5KEpYEFtuCVq8NuuWz1GsEjGVvTO2vNDVMW6K2l7arz55ePQACvrL1LsJIrxGwtNT4
Ni7OcsBifyg7gv9UrQabNu93oJGGTTDL9FwzsW/4654bvQBx9Sqk00sRm+1Iw8HJ1uuShL2JpRco
k16lKHYqpV6uQEdmzfJz4cLmZWED47KJiZtgl6cmZsK6P5Vc0xsoH9cO2NoZfK1V4rzhOoAsOvUU
8bTjvaNpt4vkIZFoAq4NCnfUTFwEsIOp93thCLnDAZwbaoJuoVm6U80xaASvW49wdovplIPd7TWn
ZNAk3hIkbweatwXRK62JNwJvV97dO1q1Sj5SaaZv319gFi5E3dvvCSadiJuFz/N3m8VYDsECp51/
PSv/5E3dkwE22P7JD15OVQ9PGMBzsfU0Yzjh7tzHxtE2zMtI1sFPArIeYIlTs7+34KpEVSepM3qW
7SrXFOPGxJLR2NS6Np+xOzTbZlRUyDnNtUdboTa8YFCFimyzRtubRopdBnwgk/mN1AxlR9OUE6YG
eFXl3ilZ4LVAePa2ySaEBjE4zG374GXxdxMA6Qp5MgE5uBwJQ4pTmEyHJmC5UExefkUK7zEO+k3j
Pxea/IwYXmsSNIC6ek2zt7w1XZQezYtugQaAj+bvNDkl2tyI5x5Az7J1HVjT0A/A8DkF1ayaRB1o
JnUFnLrXlOoozWnTAlw9YXXL/HZYM09na+pboWjheyLLbW4zwNcBAOwJEDaFnvlOLzNHgcrPLTve
BGCzcQ7flRUJrkYTtVF21vb4ygLzGMKpPzmM3joR5wFfRSLycvR+8nKFTs6xx7olAHBtCpPhiUxT
RciuJNhmtKTuXOJ3IzE8FJ/NqHN5hMwecps1zBB1t4F1auqgvFYOlP66C78XfkOghyX3LlU7v27E
BVjJI37Kb63Du25oldhjduyOaH8Prs4NGh+jThG6xAmlf7J0upCdlc4aTj9XLSP5wy4EP00u6pRA
4FlnQnPvxg/KQKudU+SfNTHGNk+eRn++xcBz7dNMWpg52z9CKlOLX4FFCaz3PPyxsNLlmOSTkfSI
yrOneKtJGmFE4pnak6tsdMAyxi42SOuHKUBtNjxR1jBbDxTC0rumA5oeqntvlTCN5J1jbVIRZIey
OTc62NnoiCewt++hDn36Ov7pQzVbtToSCqqFxUFNJJi0KGS3YFPrAGk39g/Lz0gp2dJWh0wr1/qY
RVnTNKcfAayPa98ZL6DYce8Gu5pR8xlzxkMHxJ+bsLMJybPW5FpjHXA1ddQV0wI5TB1/lTFB2Eon
Yl2isWJM6Ju2wIbiMH7e9jZMHs/Kv5tWRahWx2srHbSNivtiIng7MZ/WYdMdAzK5S0s4l9JwHlA+
qHQ8toPkaDHpKG8S4cOGcyIUId9Mx31VHCvYk4gNs6jSTa9jwdGgA8I5D8LYXoy7YLnk48JJuFRX
uBDZb804JRc54d6I2csk07c2seeTN4bPbSu50wfHdKJaudKBZRJZu6Uq/JfI+5EbxbrLAaVGTugc
Z5zdOvXs6vzzoJPQiyvxFAi+RyPWzl4svkp7fUtt4k7pALmKaDi47i2suL52B3vaJoxdWGjLhtAO
YmqNvjVW1pJj5jtXEYCIhJ/sWIltb4z2NvZGjtnYzLU3OWLDwquEX7nQzmVbe5jb7jbF0pxrb3Nc
fmSDjyhiknyySt+4RDnNB9oR3boz3oKa9dMS9CMOAL1H+ZEP7tdikj7Tvups6F4K7bSGTldwkbw2
2oNtCNzYvfnRY85etEvbkvi1hW730w7uDit3oD3dQH1fWu3yHrF7D9r3PWIAdzCCezP3yUl7wydM
4qV2i2c2JhzZ9N9S6n53ixm+oF3Qpz0HT3aL6SUpFUtt7UAH3HQ1Y0n3saa32qMO5IQiNywBMvMF
CApK5jAyz7QMVBkCiyRavhPucLYXj6Z4bPCV9sPPmFFdDPIsgk+FTTqoveGHjH9+kjdmqZ7izIoO
OhHbwU+qvLA8LPZdY07vkdFcIxY2V4bP1d2CksRNLHVwGWlUpIeQKMg3ge8cMtsNhFKO1OOMoFG9
wIY65RlVDWaXRWsTKP7KKbqK9lDuKNyTKGBAKk+KbAPP9Koh7Vm4e2IlN0Mbq53TcW5Si4UsM24p
UxG/OEj/999ZUHxW9aySKO5+2Vf89sv/fqwK/v1f+nP+9pt6xfG3X12ST8V96kf3Tz9q/1Vdvxdf
7Z8/6A9/Mn/7X786nfn5wy+2P8f6u57J7/6Ls2z362JFf+S/+g//17/Ym2uzz8FJ90/Ega/uf/7v
x3v+J23gl0/7LYNk2UzdxJKIhRABDMA2/CYPILJTf8uqxzV1Culv2yY0ABJGVOfSb8au3JUM9b9m
kORfcPTxj7AB+hqp8W/JA/7fcanqBBR+Pr4OnLZSu1h/ZxD2x6BKMYlz18+cfp8KgONtQrZiEhc0
Ziq6JcToIrNuxikerxvcpd6AtuUUQ3EyS/MhbHt75bvTM8F5ez0v8b4qp2BTjjrATFiUqSE+1YZ3
5/MY3CUaaW2XZX1iFVufAEQZKzk4wcYazee2qV7LcI7OKrkFxUmgMF3Sk6je8iBsML/QiFlNjB8i
ZG4YqX/xiSRqoJSZL4eRlRY9Q7xvSu5qBMO9D8ufgz3PaESKar6v6uVdpu7VAnR9xd/Sk+k01lkc
oDSGWOOPdEqZ+8rx9xHE3rEA7xybrXGaDLqPyiY9upEbbWQGPE1Rg8uPerxkY+Ie6Ye5zeBPQOPl
Ye45RcS50bTPWcx3b8eHIkvDLUSwmOmsf2Eshdg2m+eGJTVn8vw5amW/tfwULaIqQGNQAe8nZ9cf
yB6IfNa577nq820fEEQYOSVTU6u+sWF641gT4SGggIcnJr4oGFwCLAgx4WANlw3fSpffeXYKMEr7
9uf02qrxqYhF3jRlfCds4qvArXZB7GyGdF/EhbU31fJaz1C8mXsurRXctosLsp5WD5RiqnYLhTXT
dTgiLlZ4JA4TrqDSeQQhUSPikPRoTxGwssgwkKRm+GhvenHnpED2KpPEfle0H9FQUA4l5mtDiv4w
OcbFSOb8wDL0qVrEleEasJvY0MMHCDgmcRLFizEe3Sy4dqbqKV9GdcpJf64rpc4mMxMzrWmvCj+t
j5OhmE1nU5ELJw6BePNMa9X9mLKyANFVBH32bpEbWAUKg0ulg6+jAZoulsvnPE3pfp6ocp97sHMt
4kkQJ3epGr8W95TPBffhHF07zYdzb8TlTS+RMOb+o+5fgnqeD3WQ5ieiVjt3tvdWke0D8kcH9OJm
o2uyaHvuKiNbp87EOFYpa2s5gMTCNGHB5QFsidp559NaHdVA7rAfuDddYMWbxoo5Ulec2H1zUbdR
QJ+N1bQvitqGJxaVD+U8kdan26phDBkawbELMlU0dtWRxVO0LpwaA32Cf9z102fKZrWWTHxmumsV
gK++C60D4juvcnrsJn7Usb8kaNvTUU3LtMnqJYFlx8MnQFBLldgOIUc/Z/xKesc/NK2ldq2VnhVw
LZfm94Ix6Gj7kXc71+G+NguXQI7/RiQk3Ld5HpwzNnqdI1I+VNz4i2fufYErv3+tCsQvb4j2YeyZ
j20efBd9N4O0wEonx+4SFYO/ifluNrXPCaJrIFWbdDsbonO3dt5FZE/EOiu6+Rhl021W9zeeJZoH
5QIEaIP8La4fTbLbt0NkrmPMVlekfEg7OnBwRDGdU6QERv4fBEjWZWRde2WTnDPh5NtWBcfENtdd
EzwJMcmjryJ6sAZxQNsgVRm0Pzy+pjPcitU8hSHswP7e19LhgoZoWjHsSi0r5lpgFCiNYckmiaRR
Dj7IQIgkbpJpYTLsRxuwV/kUkJZPHEJQPWzGVVihFlmV5a1ST7WnoIwgOCfk2A17wn5mfVu0JNpE
+UOMRjqglRpaNG20fNqio+Id+KLfGLcWAivAw7ccxZU1H/vCgLu/pP76EnhUWkXzsYgT6zXwWOs0
sgauqeknzTw4V2btddriuY+Zqbf1L7Ivm2UtBLsowsnABOahETdaLGaJzFyAHICKTJjklSIhZGUx
WDscGrpeKQW/81N+nnH8pNa3QQvTnZaoHTc6cJpiV69PNfp443LOGfWBx+PkEwfT7dBwEMNsuzHT
6TNI3JMr+Eniq4/wOYzfAAOK3WLwZ/V2v1/kwBTnDq9+KV5cDDo1YVs/zYZt7lR3qbWwOrXjiJX4
jvoQfw1Vpt10GUJcaN3IpdWnabJgAiSBA+1l30HZ76xRHODown3GiCzcmnHNdH6gpb+GHhbKxXZP
ikU9yyeKiKNMOesUGgPbq5Yf8iA2JI24jmf7hh1lgDaAjctJyw++Ngh6srmKMvxkodfe6yayRVas
7vPqoyjpGCgBH6FS04wYBBsACil5JsfcTdrzK1lbD/i627YYcZKqYhcHjtJz/sq36FM3fdyOPrA5
AvHBxvTig+cTTOkn/2NZcAiTQKOeQRwXE6N1jxiaqTffL/dmPLUIYP0rVRlUTEcJ9FviuHG3KARI
0oiqmMVmpkN97WS4Alhy1Cvhx/UuqzRpBYh7/DabvdhWHZmArON4LEsPZTPRvFC43OwPm4lYJOcG
k9U+nkTyBi32rLnb+vgBTiHuX+rjGpBRZKGjUER7u4ufMgN6Ja/Pk1X5wzXkxyEesn0XgMitxwLm
Hs+adegn3tkKvAvFCPW6NtJ4VWJ3WI3DZGAtrdQxLNo1rj7u6EV8noiUbd2y3FXAl/ih47VF6FcH
jQV3B26D5lL1jBIpwVLRnFUn/BUlCHQutHL+KK9M0KzbNL53Qwg9Tsi3l9idoMcrulciJ09MZwkA
/H4jDcbTsWW07ZuMB0KJQRGgK6jdhGA4552VGtK3ZZTZdqYwEauE+miW9LXJrFvRG0ytSGPcrGgp
AU6MJdlvb5XTWqtZSYC3mFEWSr83UkYfbk+obqr7bFdS1RMVyxqQ9T6NaeYjG/HVwE/LO6/dN127
MJ6gHbo2T8RE0DWecXCwm2WzTKwfWo8QAQUY6zkz4I/MJBSIpRw8uKGbeITTPgyghzqDiyDPsZY7
3WdhZe9igsmQZaB5y9D70SYTtW/LBHIBuZQ8Z9pCX56pdsHQYeb8eOaCbq9EGusyNIbTWGaCAT96
cbvgxUkpG/RKEjd9wsM1TK6Ya9ciKOXOGWxrE1rHdrCSnc+bYRngGKetBTzUfU/nVrdmk8CWuoyh
ZsrdTDRQ74rqmNbDAYmr2GKzIDw7OQ9FHKKr6n1Clnv5GlAIDR0cOEcbU0G36w3KgLIU/QoP7DbR
ue5oNi/RYPmrUA4Jb81qOw+YMHv9ikEDpnAusQ8D+/RVOxHFRDhN18kisReztuEqT0lvA8BEqOvW
I7Um2wEKCMgd7A9W737YHAA2pChWk9ejgnDMnOvO5rKxuT0WNeXeSUXhiHYxW2j3jPVkkgEKJT1t
9iyqIsUDNJ2NYOsUwTtawpvgBxuRz14lov9oG/E9oywIvaqEu6GFe2mh2fP9VCxHoEHTk2243FF8
HDS0KTaoXFULC7rkUXlQmXfiXvZuxwZ2SDoeCBTcDUKREaBflK5Qg9rTNuTZj2UCSOhRhP6GIHmz
5a4YrSYYVsRkODr7uk185FJkp0bGg5HYCoDzk81oDukwbrC3pZsk8GjzsWYorIragq6eoPOxTSSE
jIerqE5jNkZbQiaXybavuIuDENaboQjxJJoclLnapb5z4VbiRsu5CGe18lw1njjufGRux3ncEHtA
esildTpvk57EbFD35dnqBu7643TwuXFtixZdnnCGeRxccn1dnV65Mr61zdE9egFW+DoenV1Dm4Ul
l+/JnKjTIt0IPNT4ERb9cKX+H3tnslw3kmXbX0l7c8jg6DF4Nbh9w54USWkCoyTS0ff917/lIkMp
URFhipLZK1pZMmfJEEngAu7Hz9l7bZYZeyg3cRP3V2Zgn3deHZyTO7XVFLCJPM3iUPeju9VJWcDG
Afwq8rqbMiiO8Gxxs4xFCDuvz2i05f46TcCNRfUnbxIQPiuNVQ0RLCeQM8+2CYjogHOaDrlIznzZ
mFZLnV2nG1eLtoxDCCBwPw5Tw1SL6n8R++5mNlrGG0K/lAgqD+Fkb9ie3SXiewwjUXWwZgPJMyMz
3rTisnIGmi9dgB46Qh81zo22B2d1mtKT2ndlYHD+c/dQImpgPRVqE938qBmMiWLqqX5izRDTVJ/7
TUhSELYSW++4wnSXirE/5KRiLdykWdNYJ1HQLcnqkY9ez67ODA1DgUrp0P0CfXczLP8jk/hFmYTu
KNnAX3dCbqOH/OFfX4p/vWS4v+qIPP/zbx0RyKKmpwt0aviRPRWO/s3jqPSzOi4FQq9slazwTTBh
Ge+YRCJHA0L6Wn8r3uHKcFyC1v1/TmURSl77PWfTcQjQcvl5rkW0PBHzPzZEGpJHUlz66oQ1LTko
njB58/1yPcDBp4G5yQGXUUnCX2Ksffzurv2J5dkSykD56rfbtukYKI25Q0CNfvztLoG3g1agrRWt
CHC0IxRV8HV8Qi30wmLtxdWjiEmV6RLepKr6PDQg8mE8rqvaudeQHK2NCR+/1vglrw7gNHtbp/P1
mIPkDrpT2eKWSsziix2xUEYWEnheevSGuXObazZxNmW+lnp7Mw7Nk1cDgvDbVgFqKnIwHQx1mBtP
RMCMQo2wTVvbFPDiV5g96NWSZNZNcuA8mT3NTKfXIqKLEykHzSjiDa0uwHBhhRRlAqVg0G+q2Q7W
duDcW03nH/I8dFfIF5dDEB0trx4vwpFgQo8ecumNlKaWtnHZ65eFY33hJt6X8DAXcX+atdSsrgQM
7o7Yw4YPlpiUtWkASlbDZ0gNst66J58xTarjZqABgai1q0+cuHoqOEcdBfLACfnxZeZthnY295FZ
XgZt6R6awdlPPq2clkHVTvrDqlQpbHIoR6ST3X4Yq+TUC4KzynQ+Zjabvk9RIMpWoNI1rga98Q9y
ysi/LjLUhyXcquAqUp3+mswJV2h3bgDAsGietDhgwETk9aLpY7mTVvMZVlywlw3LJOB/Ka5Nau3I
qcW+TuMNUa3semkK+3tMdsIAbl8Y5F7Lan5EYUpag+XvMD+W62Sw6n0slC4GWxX8nvEhCvt9VegQ
sFF2O6Y8T7EYdlOrnURWcpcS0931qbzWrZErpC0QWTZrrV59GBCO7Ntrs7aq03A1Rj4THEvrt95g
lFvAGWehEMzmDJViJh8Zj/pxv05YxKGdRN4+Ff1jxmTDSLKTzuDUjxiA3L/Ua7Y+gX5txnhLrx/E
HPGLCTvCsXaYMu+8TsND5MjrhPTq3oOMwiOJLa5NCSirhbZi8LP2cr/YzYRQ4dWCHtFHR6P2zH01
2h80vQY5N87uTrUkZtl9agMU665M0A0LbUnD/qQuOn9LX/+p1WbcxXrAcK17EALtVBbFkPnDi2H2
6Vr2BCXRNuX8IEmldVsGfZgHtnrkMVCy5w1F1z0oQJxT8ensE10dzvsko+wNylOgVLdZ4bs7v7CP
Bnkki6F2H+B4YuPyyQ4QaYGChvPGwZ9BOAJuBa+AbEEC+DM8uggy/loD8D4RW7YpAt09r9kmQVph
V9bWpR7N14HfXZTojOgxZlepuIxhhV640b52Zx1BUhYt3FrmZ7JkjtE8Jo2NLqMezl3OZgBqmKaN
R+7ptvcaiCQzr7bfGru73u85y01dAxyueF/m5YaRkxgJ8+VVtAZlCA/DTzZMIj0Oz30wPBVlRTWf
uqqy1fpVLbsNLa6zyTPPOz0+M6bwBJvAtqxaPIN7PGT48qLL2XHppYbnRvpxTM3bsptPrfGprMc9
7/hF1edbxy52XYEL2lIgf8GMHnRd16INJcCCO7wdu2odTPmd5opbWlj3tYVwJ63XUtAy7rSzTu/O
wti8IT/nwsDPsAB7yJRuOjWjERaPRUA3E3yvRVrEsSLyjB0twbMsHvaBoFIkbZUwtAsYyGedElVM
x6yM9iX9PZcRZl2N57kMrlw9ItWY48BqHpKLzIrBD0dnnpMdZ9u/KpHXki1yUusFyhhARnaFmqjl
/CTvTdDtRmVcVChMFp0wF7Umr0vHOci43gXxvAGoeSikftKO8UfdF0dPiPO8js8apziCO1tCCNar
U5FaOyNPjpOZnOhFviX0/KJ185XMWcO5cpfeQlGPGxYLbNwYxIr36u563V1imIfanpHjQhDM5pPG
GyH55ebHcNIvKpPeqvZB3QGt9Pfq4gw00EM6XSyx1x/VlWZVckIW7DGajY/pbO4Crrp2zlxmrxMa
BUrgEFG3WzUXnu3+p1D71ZGVbliUU39XqKUP/7p6/Glm9fzvvulZhWM5AoKmQcGldKPfVWgCAxTf
sqhOXlVo4h2ME9sHUG4LE3A6pc3LzMoi9kooqxVUPf4bF9reH4O7l6Lo7xxStqoQfyySEMgqm5ZJ
/cTL+HWm9d3MquC3u0FhYp3uxHnkgeIB3srZ2dKX9Cuv05ke0uQcoalOWxDm6Lqi9x6ujnxiYZsD
TZ5pIb3FFozqwm20YtXaLM5EDo+mJDhvypaaTYK6V37q8vBuQH/BbHo6R/JNmzaGo+vZyNNSasNQ
VSzlTP+S2F6sIZjq86YFMjBSvQ3GTTxEd5VnW+u+6rc4Tj/GNZ1l6aT3U9S6m9AwPofm4CC5ST4g
7NgZdnE75x86yojTqSfFt5SjvXFYUTZlmdxUyED2sUZuDxK+hKOhMUUbLSJcPRpFuzrNQGAEkEi2
RjKflio0MEGVuu8EKKOITXemr7xBCnqdo+zbWEnkbiZrZnkJV82YvDc7JUAde6SHRjMucy/Zur22
cmhlkKNixJvIXzklMPe6qetlQbMCUc1w4wRrmlwEXVhFs2cD3NMVup0muXUjaW8r5nqpv6mICcqt
EgyubW5YlpNFbBj3hXRxNPv+o2jC+TjqLoIViczAE+U6AFCDUS3fBV2AiNWBDyZraPBUVxbm0qGa
QL0Fm1niMA80HoawXVYuYEC9ZIzGFcCBctLPZtqtOtldmao7MzEeWvXDRTS5N1VUOHupiZGRvKT/
zNwFOBLasalq1iZiTgOds9bChrJpKhn2lVfbzSF3wpOxsZNtIOD/CpQmvcURP7SCbnlvN6FxBDqy
wh+CZcWrzqrCvOmpnb1eBKuu8bfF3N0bk/kJ3z29h0ycZQKkW1vqW6cLIKRPWKU609mGYRxtEtvG
BtyDs6iymyxG/ZgjCdzS00U+S4Ivrv8G/YRd9Be9WYF70Mq19Ft2LFp+C9fL0Qz01rr1+rURxZ/m
ML505gA4a2830BF5iitZE0wcyQuAQuuwcC4S5DIrrNBfsl7fGeBEmsDBi8/Z2pGYRsSWZ6zbTGVG
Pi+jR8zNwQUsBoArJIy0Vr/3h2DvM/VrU3fTTPNprfVfwtmL90HtYyRsHtOylgfCR07tei7OMivr
CMgNNrmwVjTRaSkkFk+7UM+KCM/yztlSJiqdW+guB0H9lQvjNq8lvWa3PRpZUqwLGd2WtSnXXRjf
SNdslqXwDBx3gDT0sG7XNG3NApCY2U4bpzceQW9phyGYtwNxt5MFuEBjfLDovZJuJN0RHHB2newK
b6KbAmtBEzHha8j/aTXxj4qHaEDfzd8FmmAUgKMzf+HH8K9t58FEss1UVg1/KU6zShqXksFLW0/V
jqoX1hMVeRYT7jUOxnvLqe+KEX6OIKtpm5XxlcxsGjSa8ZjrTCpGCwCgMRsufv+cnE5GBii23sPI
BcnWO+eI8LZ+TyQMqJqdlJvA5NhST8c6qXzyfzOVoutB4XA+bKOmuKcm/0SlSFNQSy9C2plIlchF
zQLjUg/bJ5hw8XKK5X3Q+msSwC9EWw0HMN1MuIY+2KGZVUyUL4l4qlxJuSVB85nGLUqFYEFSBOV8
P6Sb2F0MdO3Xlj7Rgq8i0H9tdgmCfTv6UbCzIJqSaDRO3t4mAlvvTcgSI02kfq4/piPFPSoy65Qe
XYFLLiOZVaBNHhugaaH1Ps8qm0akG+5Kil41EUYdJYCXmCQoLJJD1RJZXlxYc7kzNT4kG9F+NJKi
FqVqZvKxrUvcqVWwnnzoZZHnXAdtccIAv4CuIu8Sn9+lhcmtO8TKGFpeMLPo1hoEhYU7VufaxIJJ
ZAXyya/d91oAdC/GYyZI+9ITq1nGVUxgfEWemtc9xIOuH82q36fk3AfRsGraNt3XM5pFV9kDKmcd
TvK9hvzcn/GPWxWBZUGNTK3esnQxHq9cznVkM1wd7NJR47WYZqiOu75Ii5UGeF4v0uvIyW5do6f1
TF9zYCLaxtFJH9VIbhl/lbH1NFX6l9Yqnuwc+3/vAnMA54ps4EQLjS+zoylmk0CAmQyPSNm3UKlh
PjMuYvjMlBGvWTvf5zVUMXNqz6trrTeD81Fa+1kAUrBaoNdeObwP+hmVKF4uBxqjTAN7VfXa+dhY
F2VeMVLTMD2hD7B4vYjTig923ufrvOME5qconYgjR4ORsQo0se6zF2mqs0wGceCyehgk62I83LSm
zLd57ECF5QHGz0q/H00XIj+tXZKhmplO9sHykk96Ko3zktTexcw4EE9wiHuEAHuirBNnF8Uu/lzk
WFkW7zwylJkQx9UmbLLzaaiWJg/iskTEi4ca5beo4mUBhuUMkfGpRXWb6yCP6CZ4zZwt58Bn8N1z
RA7dcNOPztVYwzTiYM2p00g2CL5oPMcDH19+zGCBrLskXEeF/xi1+UUUZDqZuue6Sc9pxFtNQYDs
dS6apZn1D1rZXqalOFoBeU9jX+y72JmPg72OY0Mijcf+C3n8tMYPLMcQ3gt4kIXX5kdHG/DIzhrw
RqKwQEZhKFbW4kKZjPEjb2dlO+6VAbmhk73r8STTL+FQq2zKvASI4ZR1ubKQvkplZ9aVsTlDnQ+6
1r2JtTMNbu7GViZooMlYHbT5JLIfg5FPPlaG6aKwHEyJPOjE2K/ASKyzwIxoYm9jZbf+T4v2V1u0
uvhbsdpt1Dx2r/uyX//Nt6ofWiF1va6qZ7S8KjH2W19WdWMxs1GpWj6bPnK0f3MRDF2p2Ph0Xcem
cfnvql9/h47BIfvJNuAf6o75T6p+IDw/Vf0KycAvsQ0ADtZrLoIXBi7DY9hyU574GyT/C9kjWR9d
vVl0EXNOWTMxbaxBYCSyD5UPc3RCMWUvxHlm0uPsPYOJnX5WaCXZLeGdX4UnHgthktNJLec70NYe
T3B/yLz5c+uHj7rVkVnekVwwhB/HExuyleUfjCAm2Bk2jDbGaOvLBg8SE/dIiM8W8QBmU9LzhAmK
iTqN1j3iWhJXsDlIezjV5/MBSUIzJe6idWQJz/jerViG8MviZYJHXUWjc6l0soNNzRD2iFO8tLqR
4BxYcfC4V7xKbKR5uDadYlibmq8dutJkKr/ImwkGjgMQOPdjeG6lb6zBnSxILKXD67PLylL7aLSD
vh8TxECslH4hiJwrtoHTX7vIVEWicq7oDQWkpqxylV8naL5TUxOCMDfWldFz7CBAMlCF1SK2RbbO
EA0uc5WKhxfrch7uhCO7owU6Gg3jjYmfjHa0V61cL3xqijvP6Fk+el1fFY441BBiMwtslWTW1qp8
vqIOr/rSRI09Kx4cbSyPML9SpfpVKcawyQCTV/cNUpJyq6sMQJ0wQGu23IMTaT3ILD70mDy7oGJ/
tQuoBE2bwHWWKG6YWXYaXUBdZQ76o7HuhT4pKNG0SVP3ou/yC+dJ2tFeYvEwVHphMPIBqzxDfgjQ
fxVxqLIOSzRdrRtfNBYpiFE252sC9T7K0b21UHVuJpWZiIyO7AdiFDOVpygFNBydiEUPGyRteGMT
M26LjOLAgWaA2NYnIdZwFMte5vtw7FhP9Zwi36hz49bR2PjGLDzvKpxDZIgaBI7x3CefY5UEORAJ
mRMN6SGLWen5rbaXxEbaKj/SV0GSKlHSUdmS6Hj2IWGT7tfUSWA72EGQtXs2piqjZm7mtf1OzuvK
DDZ0cytg3T4zWr/cWpEJkMonkBkdna8yLyfCL2k/C4LIEpq1iJgsDXaHBYKikDEvwEiaUUWM5qzy
NAtTPyPItNsKjtwIA5AfhA6HQbRmW3BUGBRUNqcvCRUsJ7c+MeYKCek8RDRnu2OmUj0RVxIhbOP7
GlTmp5nwjgBSWmQqD9TxodilKiM0FKSFluGF7obpRhAjyuuG6HJsT3HwgsdurmsCR32OgmZsM1WW
HMvaQFHrEZMWgXsDKTG8qoykP7Hn8SH29Q9l2oirBHnsgo/qwXCSCw5Oh1lwXjC3neaztXUNhjfo
xMuAruS28keit2oSxLphN3P2WYkEJuY0XBKzdJTA9tZxkyDpsa1EvaSnuOvig8XZnPcq30jF+c8k
ij/REb1SUBwF9XhKVgZUyMRYr6dygBgvmYIaXbhprIhUgOKQ0BuoVZOgoluA8nPctFTLm2iYYuXW
ik5N+z7os9uKZj+y+Q/wDJ1lRBcCX59LSGl8n6gGhUunYqBjMRkzloVE3snqphdDsIxLgGpGVjE+
Yd0TEa12UsRx56hmCIEYC6HaI5ZqlCCNPKefYi0J6rqL6aVIhzOS7DJCaIJ7OwGvVqGdKZxi1alG
jIxoyeiqOVOoNo3XVBtT3DhhT7jTME/bCpp2PAw8OPE1UFB9afn5sHay8MQZ5vMYmTIYzHRfKKQL
7cl80eH8Xw2WwWpldYsgp2dQCFxls5ueutioZncul1Ppyk04y4M3JEg+HTxJEXdrnSnATKZQM0i1
6q2/RpSimOQM2jP6sBgOcdtkJrP9NMaWpSebXkFsOoWzSWMCUMHbTHBucng3gKM8Np76vQ8JhyZ3
wbpKrQvmEdOg/Dho2ifPoTIWVvEI7uYD2tXKQS1QYJiZDDpTBEFsjLJ+kE0ws4zIS1nWywRTzlY6
/d5rwkdwNMm6sPOnvkcEXT4xKX1fNPW4cgnrJAKm3Uu8fHE7nXpZZt/49pCfh71xYpj1aig7ErxD
HFJjw/CdrSJ18ruOM/1aN2k0sG/gLiine09jkGcN8KMTlylSK20W9lnL11qjn5RIDlddSoir1gSb
PiOYoCKTr0KZu0CSG25aTb2TtrGcs/VX2Yhfo9kdWrHUp8e2GeReszOSipPW386jhv6v3BmzmxzF
hB5udFi5lJ9k7E/L2cnWbQIhrLdhrDRudpNEqXHSQqpnYhLbl800fokGzVi23VxsRecUp0lBLwAn
Zn10iynepg00TjO4tfAAMN4I1o5RLRu75RUuUYwFhdcsInFhOATlNHQ9ydHxP5UVHblaBpzUyAp0
SWdzT4V5EAYhxFHsIFZKGlrmJ1Ho+rsilSFSnqndSCP9lNJx5c/l1OhqZbHR0wBRGSPPWWf7MOva
2+a1eYSCE+JEjTGitlt4hd6+B84ukvHKGg3/OM0z5i1OjKlOj85JDGqZtl+RBc1hhfNWbCmXc5d/
ToJw3CGCpc8ABciamOv29tMk5ZWes2yQT0uHQZrYKtkJjU8R/ACUSCrq16w8dQoWS9Sk3knSiSVs
0hPPJ1IhQtKdZmxr2NRo/tBvTCe0xchx1shZSgD4Vr2LrPYYpXjWk2TAadhucToal24MabAJm8eM
R7qXoUTClFxOGonkhDJfuGGwQeSz6AFxLNCWe4yR6xI325MRI8ZU/uUVUvwC+iKYPYKn5kUbIlEv
AusqTEqYr3r3wKhil7iev7g+qx12Ey1sMe5GONpTh2oilHuj5ginh3LidOWsXWKoud7HOTBQFw19
sRQO7FnM6ywIKCMRPNfxukWrd5JoXvC/bEbxnQPnJ1/Nt2a9ct18jU69Kf57/9EfU4A//0G/bNSx
fqZ4fP2zvhqF/u6npA9t1HZfHon28d8hT7DxmHK2UYa0l/9f895ZKEEw3AjOP+rreb7y3f35qzvw
9xf3s3/p55/zw5/+uehyGndXjzIq8u8PcsLHOPTDyOcvLv7VT/jh4h3PYJZic3HfX7z7zucbnpoB
PX/9T138w5cMoFbUtHX0uf3+4l3PEtTTv3YDXv2Uf98AEH6uYbqcXlEDfX8D+PQRFtk8GC834Pk3
/f//9F/96c/zwP2X//t/lFbKVSKlX3kCXv2U726AIN4ZdhHs+JcLfX0fTN13aADQI/j6xVvCL3xT
98HSAUj85n0woUPi0eOJQk2mvl49D7wQqMKgorrP39afX703dR9MWjS/uCL85fPAfWCSzP+clwvl
B/74XgjSRV0Hl9vzF82it/Y8mLbuPv9Zz17Xb5vMP9kWSHzTof+hA3z+wH96Hlh/fEIc/nht3tx7
wbbFAm4xjP/tBYL4dgtu4/MH/mqncN7BPSVpQndeHog3dyPIAuR1/t0FQu0UdDQRsL5c56v7oOiy
HK7gdr18/y2+GI6rsnR+73nQ3xkoL2gyvdRFr14M750Jv0ypcl/uw1vcOFngfrdyoG5kdbCg9b5s
GPzA7xdK9x3gN7pY4o/78Pwivq0Nw9TN370PvBcO1gq6VfrzB/7Te2Hgfodo9/Jthal7cxuGgbb8
N98LngeofbbOzXh58H98HoD78dQhiFfjFPX1FgsIA1zB798HVltSr0wAiOrr1fPgvxMsDhZisufb
oD8vSG/qvfizUKe/OFr9dSHFharSgaPFn94H951j6LYjAD4+f73B/eKFn/57+4V4B2PCZXL3UjG+
eh7YL5gSUqr8cR/e4PrwZ0CQf/w8qI3RwbD93XV+v19QbxIGbGNoeXkeuE9vbZ00WL5e24H+6X1A
EurhRDYs+8/3C499kxvBAvFyH54X5re1PvyJ2va/cR9sRYbhgXheCF8dtFgfSA90TWrX5y/qrF99
Hn7hZr2wdj6njw/1f/0/AAAA//8=</cx:binary>
              </cx:geoCache>
            </cx:geography>
          </cx:layoutPr>
        </cx:series>
      </cx:plotAreaRegion>
    </cx:plotArea>
    <cx:legend pos="r" align="min"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_xlchart.v5.14</cx:f>
        <cx:nf>_xlchart.v5.13</cx:nf>
      </cx:strDim>
      <cx:numDim type="colorVal">
        <cx:f>_xlchart.v5.16</cx:f>
        <cx:nf>_xlchart.v5.15</cx:nf>
      </cx:numDim>
    </cx:data>
  </cx:chartData>
  <cx:chart>
    <cx:plotArea>
      <cx:plotAreaRegion>
        <cx:series layoutId="regionMap" uniqueId="{DEA480E0-C680-4B89-8F46-E4C2CFCE3455}">
          <cx:tx>
            <cx:txData>
              <cx:f>_xlchart.v5.15</cx:f>
              <cx:v>Base</cx:v>
            </cx:txData>
          </cx:tx>
          <cx:dataId val="0"/>
          <cx:layoutPr>
            <cx:geography viewedRegionType="dataOnly" cultureLanguage="pt-PT" cultureRegion="PT" attribution="Com tecnologia Bing">
              <cx:geoCache provider="{E9337A44-BEBE-4D9F-B70C-5C5E7DAFC167}">
                <cx:binary>1Hvbct04suWvOPw8dAEkAAIdXR0xIPddWzdLsq0XhqwLCd5AgDeQfzBfMjG/MK/9Y5OSpSpLJdvV
c3weLNt0bGCDBLGAzJUrU/+8dv+4Lm+v7BtXlXX7j2v3+9us65p//PZbe53dVlftu0pdW93qu+7d
ta5+03d36vr2txt7Nao6/c1HmPx2nV3Z7ta9/dc/4W7prT7Q11ed0vVJf2un09u2L7v2O32vdr25
uqlUHau2s+q6w7+/lfYqvar//b+v3r65rTvVTWdTc/v722dfe/vmt5c3+8uD35Qwt66/gbEEv6NI
BERwLB5+wrdvSl2nj90ee8epICJE7Eu34E/PPryqYPzfmtLDhK5ubuxt28JLPfz/bOizN3jWc637
urtfwRQW8/e3x9p2fXpVvn2jWh196Yv0/Yscnz28+W/Pl/9f/3zRAGvxouUrhF4u3I+6/grQbf4T
sQnCd9yHpSc+Rw8/+Dk24TtBAi5YGH7pRsELbH4wm2/A8jDqJSIPjb8WGP9zuFVWPy3JTzgq6F3o
ByHz6Qsc+DvCQk4DSh7PiP/00C9n5McTeR2Jp3EvsHhq/rXQ+Pf/GrT9mYeDv2MoEIQx8Y3DwQkW
Ppye1w3Xj+fzOihP416A8tT8a4HyYL2fNutPOCHgTKgvkOBPi/7cYPF3ARIMIR48GqzXnMn3pvM6
JI9v8QKRx9ZfC5Doqu1uS/0GJl9f/0TbFQjwFYyEVDy6EjBRX7v5EFgAZjTA/PG0iCcYvpiwvz+v
1yF6Of4FVi+7fzHQtKo+/0zbRtA7H5HA9zl+1bbBOQpoyMDpvO5woh9P6BswPQ18ic9T+68FzKq/
sjc/0ecALowgGlKCviz8C7IcvvN94dMQP3a/JMs/ns/rsDyNe4HKU/OvBcry6meSMuDIPgnhD3sk
wcCBvzZs/B0OKJA24T8eFfbcsP1oNq8D8mXUCzi+NP5aYBwARVY/8YSAnwlxSBEck8f1fglHCGAh
xsnrIcuP5/M6IE/jXkDy1PyLgaLaz/rngoIQDoQf0FfNlniHwZcQHDzFkeT5GTn44Xy+AcrjuJeg
PDb/WqDcKw9X5W1qb58W57/Ol+G04PvoBULKV4EJ3zEfUYbxozYjXhivvzen18H5euwLgL7u+vVA
+omsGcQxH7yLDzH/q/gAD6M+RUDTHo3di3jmfiG/O51vQwPDXkEFWn8tQN5f1d2V/ff/qX7qofEF
aC2cwmo/d/UEnIsQ6JE0I2BnX2TSLzHM35rL64h8NfQFKl/1/GLI3Hb//r+f75XUnyUlB/dhCcMh
+uo0PMcHtBpM2R9S8kt8/saMvgHPHyNfovNHx68FzoW6qq/e3Og3j4HxzwMJTBoPwZ4RUP0ffl6E
MByEAEAJyMCjSXuhZf4nM3sdrL/e4QVof/3CrwZeefXm9PZnHq37LA0FRwNn6wtvfhHlAFEIMA0D
/5FVI/y0Y76Yvgv1N6b0Lbj+GPoXnP7o+dUAam/7pwX6r7M4UAVCwXkIqZhXjxRkcUIkUBiGj/0v
WNyF+sF0vgXMw7C/gPLQ+msBEmnIZtbgh37IrX9i7u6bS/S1P3z2pf8wtQrsnnEfi5C+sLGQt4MO
HoonG/vCEd7Txi9Jzm9P5fU98efIZxP/78+bfhuXP5LP8VV3tXjIWn+VVv1+78NLQjL9xdDvMZYv
K7a5+f1tyAOKQjhrf+TD72/zjBE+JW1eGXQLQvzvb73wHbhJChj6gmEC0h5wzvH2oQvyT5RCIgMT
FHB0nyV/+6YG5LLf3wLyyA9gFA4JCn2fwSxa3T90gSBFCQxjkLiF20LX01se63JKdf3Hkjx+flP3
1bFWddf+/pZjuFPz5Xv370hB9QoDiB8ZJT4kVuCR0H99dQp1CfB1/D9cQWennSklR1Ma9TU+qhv2
Gdv2KEfdzs/qYjnl491AaS2DPNmGqln3VSKbEE/SJlmss085qveDuy36Un+qykCOLk2kp4fwpNqm
gUVH1aS4HFFSSN/0jZyoPvULccWKGa/h7iJGGcolSzWRqcfTuORkWIbKw/sBubtaOy2Rq6dzqvJ1
m+o0ssLZ06BvXaxH5G+RTbMIB8VNU2RkO9aWLObKODkmLFyMkzmpKlvHpB3Wg60+t2NZr/Lc7YIp
Wwai6xcpqfHapeUsS1FfBmoy67wpL+aGHVfbZDtyXy/s6NaVUXNU88Bf4CEZ5WCEWJt0yVRxW1dL
h0azHOauXiR1hVaUnU48scuOliyaJjat51gPikhrRn/b1Ml7fVIVcxmlZOZRWyWXPdGbvkzmCOss
WKY2uCgCz9uLEXt7F9I1G0IukYmUUEK2KCHbhJuPSWj5wZBOh/1s7hLcv3e+d5PwrIiCtnCR78ZJ
9kzXcqzUUpeZkLTA+9miXdJ+hrk1Z52f3pi8a1ekzeeFKvwtE52Kq47mC1yJLa0aHtNMdJuyLiJS
h1gWlZdFAW3mKBzFeqjIIHPsbXNaXnnIjQue4iqqwjSQBE0nY7DwfJPGQ++U5ElaS6GmOaIDPQmC
7GPRoFn6rr5TszCrKdND3Gbh57FyRZwGnZMo6TNZ2xagOdLZKUqGUaaqmOM+ae4Mo5nMBtbt/Tld
eTVHa65GtEh4rZYBYU0UNP0JnSaySFI3xS3PjQTZZOu79tz306jw62s+hBEj2I9bhmAFChTpzNuh
svUWI+FsOTt+0eBJxWpKb2BXHaeeK49DbI8CWyZLFbBmNVodkd5mq3IaaYyNOiO2ymWfZ0bmJLz2
TLIlpiaysjEacbVA9RC1Cjb+iLQ0objz80FOvJxPKq9/X5qxjpy+YYWnYofpZeKTy14FtzoowxUi
zkiUwdulfSjWCb9OZv9mtn3kmo5JI4LL+2MdVUOXRCgLWVSlDZJVFaXM0V3Xaiq7djrHYSMFGQfZ
pnUuiT+e+IJ+bue5lHmQb6F4ZNF35LRDJpMiKIysUlTJ9sCjqYrwyMYoyLpJjtqdu2najBRWPlCi
OhADS6I6BMB9znOZpibu4Fwl5K4by8MW1Z70dfhh8qtk4ZSXH9QTPNOlJJWiCc/9QSXwaq6I8kEc
2STn6xRn1XoMBZb+nGRyyny4t2/wKik7PxJ13A9V0chy6k+N4uOqCdBJ2eFGdgk9E6oBwySUjq3n
iciMdt+m5SX8Q0ur6kXlBhJluhzknM6DFEnYyUYNH/DMfel3upRtUTeStF67RDXVUlS8hpE2jZ3H
py13ZSH7rv/ol8htmELneBjNxrjgjI7JLkn79Cjv8cZOXMX+UFSHOm1UNNTmpKOZL1Uy67gomrsE
tVVkMs0jZbiNhyCrZTZ/DBu/jb1m+sRIf6F4sHeopxLzfpMlg9qTHsHJMbKtwyKavLCMesYuR1tf
WxIJgbtFg+dcNh2XrCdjlIpcLeZgvvVs3W16hqyEzFQik4KWkYLTuyWZ/jDWfNUnlm2nztLITiS2
GDB0qvci2803qkXnYPTEgVcmVPo97BB0zEwlWVtfo5KICKduUadlKKui34tGHw8iuyFuEHIqYHci
iqOiztOl8UQeozYfN8Q073GT7AdjPFnMbmsEozHFuDmtDdkq46eHg6vLeGg5Wjg/20Exwc2oiius
5/cZwhfcSz5P47yrWzgdYaaOSF32x0U1+rGY80CyprZy0EqvS4PuSpFZ2YZZFjcMmygociUn5R0m
ZXVqqbEH2Soh6LRtP935TEXG4Cvw5Z3UdoYTxL184aUfu3qaZJuoDpxYBkeynf3tzKc66sc1zY9S
nm5YOI2rCbs163IfrIvrYsYCWHHWX5qq9qMUb0gR7KGOcKlqPV71AVrPdR2pXN21ZVbsU9ODO03Q
Qe61rcxhMpPpeZQWYI/BHFVLHaIjrnSwamvEwPBmR75/vwdNH5sbNLBDRvt02we6XObFGOVEq6Wt
knFtKzClqUhi7ethXaXBZmB9tbVg0ESGpoUrcLpnkLZZBEbPshc0l0l9mphQx6TwN0nS5xEb83YL
9YjyEOuJbudhVHHAfRunhZsWVZKylcX9aZkW19wH7LOKPBhqaWtUXZRTtcmUOqQDW2FuvPfOJcma
poVUbdns+mC4A+NmwNAH69CmOLKmCTdNFp5nPoqsFZsimcoFrY3aVSk+HG0X2equdjqLfSfGnYGj
XXGtZJn32cFczREgPR9j/r7o8ktPayfNZM37tm2P0nI4LkQxbWrnR8mk0qPQ1XSRTs28GMuCLzqv
jsu5MLFXDjyuw7Hbo9x88vtuim0pbiaT4rOMDemqrmY595+46WQrMryqquCoJUG+yLGRtizFrkRz
stKaX2pU0ZjN3sovWnY8ba2fSkfnReuiDuc722K7zHvC13S8DQOLt15HFo0gCIhZdZA3s1p6IXGx
K+ZNymcVty7RssFhvnHzca8rf21tyyR2J0BGVyacm6irqosiTZWsVG8i45E00gjrTTDWi7lI6NIa
OB7A+arJNWCHgvcGD/k5Mu1Hj8+9DNFsj7EOCDwnA28mcBYT0dGjcQxYFFZq4dlpqRs1RWBxjKTM
FBtsHV4o4qhstVdEXYgW/fBBU2diDoZvjapi1TV4ZVi77GxYbOlopjVOPzLvym+GSVYmqI4K3Q87
FM4HxVQNW9hxyo63PFMnZQsEgrEZdn057Jxz+SoN5+vBo2pXh+kguQXjjiqPAd3riyvkD5shn5ZN
kZ4OglwAq1t4jh4mojlw+XRg/ZsgDz4z2OIkTBfIICH5zA5CNmPwnWUQjyrZU1ZsmCjuUlVt5sBr
F924a1SGFvUMDIai7n03+asiS8qo68A+l9V47XUr7Q+f4QWO65arHeY0lGmYxFZgJYuknuCU8FsP
pTKd+qigRb5pTOjFHcs22Ri2e+7ahaLFsOryaZSZqrahPwYbWqubYcpoJG6KKYsSI6Sds/U0mCMO
tu+c6ulz2ic3c012s1FHvqoV2BAicTMvcVnmkUnJMQrJrqlMuqj0euqPcT4kR2U7xuEM5iUt2yHy
CuQtk7mCWc8JOJ62ppLMzZkXVDVsWutFnWiUpJ5d0zLtllkPnjpVYBhTXjdbVLETxxp7aFriJGZT
NFgLm0DnaANVYHfg+9plFapIHXmArlSKXeKksIsW8aVm9iPEO0CyM29hwCZLZ/MxtnkeN6JlB7C/
PpLB3KHCeRJ3wbwME+AgSWpkXdfXgzszqJZTidO4rvoFznO0VgVwja7ut92YHDfGubXDXjT6YQeH
0ujISzSSYsz3OUZkYXyqVn41nfsziSvVNWcqDBdNPTsZ5lU0uEzEjZq9iCRukgVdVj6+86dp7Ri+
GpLk5N6/LBPxniUJeJ7AM5J41bAE+3ccVIne1F5aSZcgMKRJCe5fbMEsS1oSdRg4Kz1eAm0sfQhJ
xEcxsXNHzChzM2x1V43LqRa5pGYuY+LCW8tdsBeZH83NhGNr62mVJtUm0ZU98kK68TxvjGpSA9FW
2bjPqf4wGAdRlWcPHdCUnTPpR4yyQXa0SA++LqZ+Fphe62ayKs0ey9n/+PivM13B34fq6j8b76vh
//y0fyqj/+63Vrf6XrVsX37pXmP4415/1nHfR/V/FHW/UAq+FN4/Bdj/SeczjeGZmPIkHN7H31iA
EPttfeFPOeZPheFhyKO6wN5h7t8LAffpd44Ig6q7R3UhgNRjiAPCBQ0gBXmfy3oUF4j/DhPK7nsg
LclBSPpTXEDvEFRYAsO/1wNAZOL/ibiA77WDr7WFAMP0EIeaJlCqGCjPz7WFUdflTFAePrDNTd/c
uMBCpDCTo9bv2AL44RnPIMIK+/ZQVLo5SXRPNz1Y/6FtzupUiC1mesN465YN8Kf4q7V8Rfwg9OX8
COZQzgj8EYUwSwxYfK19jE2q6izALPIcK5Zpn9tli1wiza7rfSLroeTLTPB70QA8l9L5CRAPsqCe
Ommazt+Gc7ZhldLnxneRxUUfMdOzhS/6s4L7dYR4ZY5ovZlTl+3mtjoyvJ4OmbBXRgcsTvI021SW
dAuI3rsl0hWJUX1P8oy6QkAVD+ugTC9MmZ+kAUtjmxU61gG+SpkhGxHM6fEwBsGhrcMFyBGngRqr
Hy3R/RI8g5BwTO6rOiEvRwl+kI++kocMm3RIfT1FOYC9nIaC7x4uJev4zoy639CxyoDvWyDyJCk/
IJayBQXauWKTdRF4fr4rcvDAKXa7bMJejIsy3bl+iIVS3knjvI8tLadd0fvJSej1R3M/lmea4cO0
8ciqdWkoxwYCgqyu2Sx5rqUV2XSAVRdzP1uFleUfIOysIOIJwl1ejuGHeUBAujK1nQLOQEIIUOyl
QXM6UY9F399E94LgyxW6r1gOGIHKPaiQeSGgmWlqqzQLxqidZOZcvynKFsk0G8fTvAySw6EL4rmn
+W5ITAd0bM5GaVDHYq+v8x3px3wngm7fDfSwcaRY4t7mi6Rw6b607GjySbFnXVvus8q/LHPnrx6a
OtAoYgEeZgG0CZ34vSjiknjNcjYCnbj7S0WBTOAR2fUsmllSMhQnYsqln6fsbirbY1oPzYmd0cE4
p82ucYH+cqG4efzIkmZRN5jsElWQQwh4gkOUa7UeO7suskbvi5DrvZd0KCrSQCy7II1yrotLWtJw
SaoijWDFQFpDjTuYVLYZuGo3w/2nhyaVpe6g6VW+zcJyEYxFv/Pqqdt1jal3PIlokk/RVKTksAkT
e5Do9kc2wAcL+Rw+5kPaCyphMdTQQGLzHt6vNrhXiLaE4+siwz0U+9ovD7MsPIZlmaToA7tKke5i
jXh+PgYdMFZuyrOqRUuToXaRUJcurbP0fTl227rr+Cn4W5CB1HRY1kF+0ARNcdgWE2zcw3IYzEUz
AekoNNP72s+4DNK5Wpmaj/uGjPnq+3uTg4L84uUCX4BjCAgYfHjFFwZumPOC4S4fIzeOn4nIxoWr
M7dPyKQ2aQpHCjk5YEffZ2PyiUz1RYuxOvFYcp0pbrbIS7KTh6Z5CD0pWB+sHtoeLhULx5gNOo2T
Ca1KL1AXSdtn6yEvSMyTIr/wWs2WnlCLgvQkIgN1pw+XcJg2jTcMh6DwTae9HtjW+KBOPHRmtpxO
gzDrow48wCpIJVQFtMdVOoO0YBPgvmJk8cPHh0to8xAiX57uBjNB2D62KkpYwK6YoMcFkMNznzTD
qg5aiMyYv/AEV5/4VHzCyWhOEO71MQ6atUvMMiUMwnlnRRvDlhHwkGZRzbU+L3WZL9o08Dc1RmwD
BBnLGc3Vbg74GFnwVksU9qes9smRVUF6kTJ/29NUn/S5SS+aTIP8UtPTkTQ334eYvgIxAxHTh+0L
+Ibsvv+r/cuFAq0pmfto4HSIIFo6SStSnOkJ4tm5/ZjWIf2UzpHXZrkEex1uv1yCDiIgnh4WPi23
jthmN9T5vPTcnEXg1k4oH/jBw8UvKn4QlESvKytOVcdByBtK/3KYRLcSeUgOqsHW2ynsdspCNIJV
YDasDfDHbD5qeuEfgBJVghIg6A6RLlmnYX+Rlm74mE38c6UpuSn0prPBumt0vU9pPmSRaRZZ3qJt
5m28HNttUQoCXB0i5W0WgIz65RIaFn9/OTH+CydgkFOBCm0oMOUczgyQo6/X03nYnyzIINHoFhkj
/TavxrCU45gN24omrJTeNHSbLGAyryk9Le8vHJ+1PqiN+RCmhz036x7uvPvzYsYublwyLE0HoigD
UnNuinGlc4Y/UAO6K69GEBuslgpldDuVeliB8dwOFeRXgmmRUp0fc6Hn0wpnYewFibewbg73mDQH
mvjkxBYQvteUu6gMyAcBwixEC+MUJblBBya4mVjI1kChQOSoiT1p7y/UH8aob0UTG8oXpuP1IcZT
uuGzPUGiMLu+B20B4QQtYaVm2XiNiLWrLvzM7TwMGkU+Zt0RC3tQ5TDdPVzmOaG70ssuqRNi1SSt
t+8hi7Fv56CQgb/2ujI5Bi1endhpBj2sQ3tKIfvUTngtPOMfh/cX0zocTV1QHDo9d0uIP+hRlblh
kQvQ8hEaUCwarzok1hs2SZqzqOst/NIqLo9oBop6Q7vyQA9k3M0hSIVtWevLUbmPfQN5I5c29T4T
yERzQurLpuzOKl+PB2025ScPFz1PKwRK47ayc+1kEtLdOAV0P+beNUe6vv7+rgv+cogh0RcK8D8+
CGIh/OrG800XzqVfTz2IApmNHR2a02qYm7VtEgRZlSzc096vd6XIQQjyUSGzqh+AVBabYWqbXeDK
dl119Z2llUMy06JbFyr8kNQCXLvNbgolvFXmkZN6OtFFKuKibotl22DvlEzjuO5af6XUJA4eLpXJ
xmWi/DbCIGCdN0EQ2VHNH77/yrD7X0YHUNPAgHmB9br/nS+IVJ6/tBHd2HMyFRLd+/pJnz1cyiCT
ecb809EneJ86/qktaSvTLmORZbzaYAV8kw6FuoBUQ33gJWKUenDqAtI9bDsOYQ55JehlCRs2JfxG
U9SOQXbhkixZ4T6is9LLqcHlOc+zVIbtok8M6D6o7E69AJXwJO22Dx9bU/lRl2UCnCSid44EZO80
+Lup48e24R6o7S1ZAKdf1Unnoro1ER7cuGlmc5EP9szkaSqxMjd5YhqghOZSF4ebNlM3vBgb6RUT
aGziMqFFJc0sW9p9mgLxsQVGG/W3ncfv6sGXc1PoyHmslVkxXboAHFqgdVRq8JjVPM6yTqcrM6os
QoFehSwtIheUbTQzshI69SNVQs7VlKCfmJEf8Q1L5kvR1aOcanWIjbfoqvo4t8On3NJ1ERZX3AQr
YXgiMR3KSJuii3QOMkIQVHg5jPzQ8qpb0cS7miF9ocaZSeAVau9VIDjkYSozr8Oy0cV7TJtlPwhg
UTS5yFX+0XpnjJn3wxSSTU6oAvG3u+xsVcQDGz94NcQOXl9Guelq0Cm9o5zjJOqRLSWp3HlOvD4a
2VK148of5vdQiCZz7zwTKWQAa7FPpuakCLtm4dJhhXBDJLCBGJyxXmg11tI4XS0rC4kFi5OV9esP
JmiD2EeQ1g1Kv5WIgtBYkrlcI9EWUQ/+PQoGaQKrVgYHS1x4Qs5ZD6K/oWuRp7kcemGWQZNeQwrF
80J+YxjaqKnPl77KyBJ3VbJJTxNB2iUpPQcCd2plSXu0wPoIYh6wTlXMw5yf175bVAK0UELziPc1
3ZR2AORVv8K2BGWLchr5PfLW/hDIYVArOngHJEmzbU07SL/oRo6QSId4OsJlOKx610s/CbWkjUsP
vKbYwZuFi46UWiZ+oqTpfUmM9SBjiY5Qg+8yr0G7wU/VMssKG3lzfWp7dJZ7q34YrOS8WTO/if0a
gmQ3zBu/odtMlI3MHTvmDSRBYD092ZgR0ofCSjr5+NAv5ovZDvWiJRREzB7awSGGSwZWb039VkuX
lwsCwe56cNQtBtAVVX0hOn5VaTHGap3oYM8Cx+OuQ93KOWvPKhTelTbZjZRkRw5kg8kCwRgJwGkY
26cZ1CE0fuYd4/m9ofXnFtIPedYpOYMJaVUjk1SQ9TTnyx6yCsTH+8aJ497P9aLt/VWXYQn59DJy
eXHhIXTlkRF8Ufqh1PeZR7Qe2CCLM5XhVpYdyKu9Do86p44chmRg96EXDRzDRnyaLVuJavLkXAxx
c++ogsvc9ddZ+Al7bR+rcYJ8kcHb/+8CCgsJuBh0jP/WAgqhxzpmUEChSP68gIIndb+Yp+G/WkDB
IdNeBj+pgEKPzF8C+fvPCyjyEgo72kZ50vjeHE8m0p3Xn4ygIXeMGkgb2FUz1cM+ZBPYdL+BKhbR
r2kPub8hXPWG2i0rV0MIydi+gNtUYfIxRazb5JNZVg3I/02GmrhGoCQr0523Sc7Whd8YuBmLUdDc
9mov8Kma2F2e0XSpVB0sUtvPEhsM/iSp9raZ5yVJpg9d0wLN90ccN8lYRC0bzSK0cHKx50NyWXXB
sh2TGxxUt5yr8mNVJAsoIqplqWbIOQTHtK3PPc+cWp+ZVVoc2rY/Ud3SjMFZrX0VJ416H3bkYKTD
ssnzeTP4c7uiRXnbtVYtK+fG2GMuPUpCB/nvltwmJeuBzkGhiODvez5Oa+4nXFZNqU5rKDYoKe3+
H3Vn1hw5jmXpX4Q2Etxfufm+aItQxAtMsYEASBDcwOXXz/GomenM6raqLqtuq5kXt/RUSHJ3EsC9
53znajfR5dSNIkoTqRgc+3HItLcB6ylpDV9s8txnEqPcaxcURMuaOZ0b3zr/1QU/kUtLmnxL6ie5
Ou5ByNwnSl3M0E1ZrVxdRHqvmxbcQiWcHSVVLsQPGm/doaqxIc4bDBq/687txABFLK1TJL1sS7BE
prPfkxb/UVsQFmZxvlUm7m+wDAqJu/wVh+2nzkLKT2wEo1aQSzBXdWoc9mRpNF99LZpikuqnqSpb
JqLJ5rofssgP1lwKNGDOurzFaLnKxmu/exOP01HqN2+mT8x7kWzjWdgOnwKvk8UcR7kJhu0yUVLg
UrOiInrKpkRnc8d6WFs89wI9ZoE/eVmVNDh42zAlKItPAzHv87wkqEiSb0437XvZrLD2wS/M7fDd
iulsoXSkfR/DS1tsVHABAcuIpknjipVG46JsUsLYsirJ52oJ9m3mEFpstlkvE7rnjNb+DCubq3zy
5+oQLO7FCdjztuhX5aw7F/cYC/uw6OYqSBXvby0wiWwV8pvcwnsvSbRP1poVTTgHaQAbKhm67ZQ0
H3VDYRFJI9N2oadRxdtfHtx1wtGEw880UX0Oo367V55CBzo1ZyADUCH1iSvbnHTtNyf0FUEaLvGv
yMGxnnh56AdxGfVLlY5V5JRhHE2pJuGY4dAacpOvgMbSiYbTjn1QyzhKTIg22sLph/f8Luv1Paq9
voybSO0FW96mcf7KfPlQLZqDbR8t7kB4IUigs16qrhQ1jFOgMXWFQhEERtYv8ftgIBM23rGP6vAE
kRD1ww8BISL1gnHbWz2BfvElRVVhnGPfAjFIuifAW7KwSQxL7XHwhTjrIzEW/UiKBi85tWaOUqBb
36D2hbnvAzrrV7iInWKiaLTVmVKMAXwSQGeY+uy9+5uK9v7g1jmQcfis/lyEBIBJSEADMTPfjYR3
aPujGWA4TYGjsgCgH1+Hawfhsa+2ubSmuTi1yNeef61C3H8zu8moSiOKemjGPwAFJbM1iE6JA7cS
lqsaph+Ch3sy+FCH29d5U69qXJYcpOtbss4ZW2ae1VNczCH5RceN55XPCgCSdT67EU0jYwsluocC
f4atajI1ajcV/EgTue3dZfzOlvhcoe7KGJ3eFyfuD+t2HCeIBxwdDSxLkVbrdghq+7Zt8AnrOJVj
lxnfG8u6m1Zc9hSyB14SLJJi25LcNaQgTEK/gru4c9kIlqvesk5QnQ7b6JfKoNWPwDl046aL8Ffc
4H4gTer7J7lIcaoeD7zp9vMURId1oFkzt23ZOWDamHFVhvLJSG8qoICDiIlhs7/SpZ/3SltSbMsE
79YjMtOalombsNRuTGROC/4jqbcuBYKUdi6+dWBWlmsc3NC+okrVKI7W8b4tuActh78Kxq0kSrqF
3LrPgtnzXCd7Kdi9aQQt5OSteTAkYkcSb0aZtN0UoZ+3rmiHCfatrW6txnWL52EH6qVPuQOpYJL2
GOKUgiMb7rA0gqxr3Ak7cvd1jsMqBYwGbjRoeNb5Pti09iCJ36Suwt1OmN9D06m+V8Z7rlsDQnEM
h8w37Qd6U2w4olty2qCgpdwNj47S5cNYLzeJNqFe+x9e1arcxatL1WkM7Xxm0rtuCBhlUgkG7KOj
ly3cQI/3URriaEAXBGbMOh3at1zjRaKMb8fUwzpOfbfpsrmq3BzQ0ZMM9Hb0tuG2xHw+tI4omKyS
rF9D1IXgCLp1+2jcGYY5ny5dEBUDLGeABdVYhEOEPb9Db1Nt2zF0TLyDWfxlXae8sck5gedtp41B
molD+CM9rONJkCwJ7Hie/Pqw2uHNVHVBVrGVindeZnoXh4iY8kE5X10y10fSN14ai+7roKmARD2L
rKHJkDaJf2Prl6hVN9nBTiZbFWUEfUHobh+14/Cip7QE4XYWdBGnWj48aYP1NlbXnndrFm7bnC9x
CKyoibai4RdP9D/EChu6CZPS8SpemCWKs05WGUwX8alx9qjrbyrw+J2Py5uPTcUsuingMOM4iaCi
sadlIblyqudGZIFcvWcrzJySsPJ3TajWdO3RAUcqmZ8DTQ42gdSuhrPr0g/K7cENmhCnny3cUcu9
4+s8wv6y711h0cuOYzZ1IneXLrMsIlhAwVNPqi+owHMT+18ZTJ8Ms5feFPX3yg5BTjr/ZpfP8Yr2
fntnUyTRiksCi3Gq081/6AlrYrOKnpUi7q5l4dvUmDsP6Paj5nOuQzKlI6H3asTL0BW/GNODQGHh
fnUuDp0qfKhkPURpHODNLXWT0U30+aDD6AAccxc2CTqczRQ45j4Nxv/AChP5BEwvrZ1+zQKnGfJq
qz5q3oJtnrPNS5kAHTkYFZX1xI5BzVBqJjigXJekFR/7bHpwtPXezPgBZEL/PZKxytoZ68Crx4wH
2w/JzTv3WplG83SepDQAa9EIIT+cD5v/0kxj2hNnPsSsflXwzCpZnXwVrmlMB5VXAY1zxrfPa+u9
Lq/QrNqc4kA+EpAvQAbwMgkAaLJhJF0EQFcT54vbBVe4uyyLGbarbWp+cpSkfV0GYA9242y/t/6i
D+3QH/jslELp8Urv8eSYFAryUMLY2GDDTNgkYZk+GIU0Ga23Iy2QyUm20DwsGkse3LvNKeKYc7zg
JUta7Hm9DONiEn7eWbRYLQf4ojytU9p4mbB9uB9tdEZR88JaeDArtcUwR7aYIPW4FPsiDJugU+U8
sxe2XauVQB5YRXcyc12nCpgKHFF5U/38w87bAA9ZHZMlrjJlcaYkvXtCbT3iNPs1xPNbt3T21Mei
HG3/q9JLs9MEOzlzvgytOJFmFNA8sBXxESB878ZeyhNAwQakYbGEhZ2BOa4NFAFSk5yKi2So+Wvh
fXir/iAGYwSlbbIkwjpLvMxu8KJhdrAyXnzsSv49XHxgKAEuUji1Gd5CObbhljfxRoHh8mdncmVu
+/ot8kYn7SuzFKpj6G0BVqN6aMDeoGJYQbOkYsPtSJwBp9YddTA8LD8K8o7B1xqpLn1aBY9/iF9n
1XNPVDFObjnT5kvvH6OoiYqVBVvOCCvAmaI240tUhOFbQABcTysUaqf1InzNx0ud2tIk+qVhfYNn
tskFfs7WQv4OZxcVKerXfvZshmDA4z4hZ8Hc8IA1pLDVb/6ZdLuEGB8NtqJpzYeTgeGWdRaEjkYx
UMxwmSMSlJVY7lyLoz9NS24dJw8UJAIDKyrrRfNrQS1tw3cS1iflZZIpcRxVd/Pi+n1WWqEe4XdA
xrIMevdnTZO73Hrcbev04gyAv+OqG1LWgDYmS5k0M24dSHW41uprVd3G2djcUTG6p27eJYBssRQ+
KR/k7MatSW3tnZfRV7kjUIy6m7CZchO0eJPKg419g3vTp66uqnNXsRwB2pep3sT92VhHH81kno0Y
LoRqdVr4eKm/6Sqr2ZJgsQUHW69tVoUDuNVexmXYOJnmr23vvpI6FRMtm42hQ3BjPNEfIukOehr3
xqcSwoXC6dcOR9MNKrVNc9uUv5Ta9dGXoJv9/UwtcJCHiFz0FO6oN/D9YHEizW5ijtqln3TPvfxh
HdFGQaPj4pPpPY7OTb7yyBsyA8AEzQmQP6fqx6LCWd12kLzHtQwt/bmMghxntu1mxbLVZ92OBEBM
bGycHEWyt+Q66NW+jdeiVrWfVhSldTguXrr0+Kb2Q8yQhfC6uqxe3DmtmwQdaZfLIPzwAL6mxgNk
TWuegYKjT3weUIEDgIYnBtZRwx2UqGyWmb75Yf+5XaAWuMnKd42Rz7wJUMlp5+fQJDgEfI6Iw0Yj
KMS6nDcHJNo8vemVQeC14U15wS6xbRmgMd9zXo7DU+8466lXXVKMVdOmRCL7YcMvOwy2fFcO/xbG
2qYeqe9TtES43as1axh9cqrxV00dVN6Sv7MxKWTd3N2xm4/JrBB8mC0D4Ruep2H4odxfXQTETHBs
Ih79FEcuS+O6GlJisUVIkBdKrwUiHHB/OlH009g8jaLaLYlgez+VwImdZY0PwQB0xXpRqhbKsP30
X+tlrfKz4/jQ8P02xfrv88bV+OSHIckq/003XZAuU1TtjRvGV39pgY+7ITqh1WGpOnZwF+P2Dppw
7xFcpIC8uGJBCSnqi5nRe/US+sBEijXZEImJwxc2tucmgPvO4uQTDlLsUpX6FM2yPhDPQAh0UGMz
SPzR0t3Iil1ML4jjQDwIoP5av3Da5dS4qAUd5Q/Yj1HiuPOWhWb4kLPjnOZHMyjHYBcubs6huKQR
7IVoqi7LNtbl5sd+0bMhKHVvpnSZPVACUCc8D638DEBldtWVSNZmqq8F+qyO7yPRfW/rARLx0NkM
NTF3X7ytz0TYIytQy3Lo6iQf67pHOav2Lg6vFMjoih1t++nEekrBpewhBJhCzX5/kMjPpw0xFu9t
+RCVPUgI5dkGDTj0+K2mdD+tI/ZJX32uaZVNtuYvyJIc5mWTB+EHLK2c7stM2HIYX7ze7y5VviBw
BPaV2F08U7ObkvVaue49cUH840782eVhgouhnAkejUSRA2LrJ0yMFOvkPGF54bgAfU3reNglCc79
Rvioaz6wl+EXw5jfInpcm/i2uuIomXgRqEiWGDdQwLBzziMWYN0DHerdCXZL0oKLtwsiBTZ1rTjR
PvYQtAi+kMc13+CL7gNQ1PHQf8NxQMD7Ez9rwXEOQ3zu2ynZwSz8NZLtp0GIKkfr9eG6qJEbIR0Y
5fcVvMxxUM2+TlAr6YCPKbrXEWs4Bv8g4ks9B1tZj/Y9GreUt/KyJTPdVdthk2i8JFB5mnyCdA2J
ow1OVEKjm/voY4nQLYuEo1itW5otsD+OCfJf46ogAyR82HGK0xgIdMklLIaucmWpGClb5kQ3Og45
dZHCq0lhYFi8sGS6mw09DVua59p9knxGIkkceuC5RSQakUY916CoUshrP9UQ4LOrIWXhg9zZeHga
5RanKhkpGmfy1hBBkWDwTepN3S84EDxlVZ3zYKH3Od6a1PrRr0Y1WR+7t0DFUzr1hqdDiHIZ1ia4
n66qshmSFl96g7OMfUbBzwqGemViQX2JjPgeq9XfTYpBv3k0K2RYQb+i6px7MHij577Ocee+urLd
UVTMqXYW2EsxenSgyS3YFWe9R9N61KHmzzg+xgPcetwDfpUUbFhIBhqRXQMULtfY2baC6w0pB9Oi
jVmTEwCS8eqxGL0Zb8/Cjforiedqp2Z0WOSTns0vLnECuW0wnrFxT4h4sHW3onIrIz/5GVTyRBHJ
OctmSfsJXM/imgqUcK2hUxqU7UglFtyz38jcnnS46gOtBOQ65fZX3bhB5ppx/C6XVLadlzqednYc
3mg5JnA6+wCagKh1n/exM1/mbmqek0jnHarCZ9PumrEbnmEUFnZrZ2hgOoQtLVuZU/x/pDbDfhSH
kYf2Bhx8vsVj2O+RThmwYX1MSPLdpezls/C24LQF1Xs8EPH8+0HauC4rH0070saHKhT1laFgfkZ/
AOzBZ/ZoWwZHWgQDNCCtS+DBy465BrG+2Hj3qUYr4X6xoBqOVcvEk9qMfCIoZNNlZNP+8cW5bvwj
IQPcGGtNbjsJ29T45A6tay6CSYX50lVjTuZhKKNEDc/J46EffKzBar46Kuifk3ZlJ7z592ZsEHhR
jncUDY1fWPSdG/TMMMkR9cJxdnYDgqSS53fn0C1IOE8IbzJ9odFycTZqX5r6bY1N94yeekZiyOtz
BDvE7vdTZ0O2i/qiKdck+tFOWPiZk9dzrF/rwO9ffdX+Uol2znE39K+xphE4xiYpf3+Rjx12bb69
rp58RmIu+TxTRK8i3TX7ZLMeomDwU61wShajBHWkt+wGL1xSInz9QjkuIXoR7Mp80C8RRcrKW4l/
bXzcLspk4Xu7xO0vKhRPATY2lyqwSMZuJMxDyZdrUgleVEN137gcYKBHH571w689HK6s6+N9r/z4
SfvdL7nY8AdDR/04dHwsmo+lrr5y6di33hMu2IDoScbEzd127MBPTXM+9YPePfTTcxV08ug/WL2m
o2cjGwNAlk6/+p6+RiR0nmNyogL6heXzF7M2pQeX+Ox7UMp9Mh83Gb9W3NMwSwOwQxOW9dJfIwlb
eYTpmuEVr7t5LKAA9W/9yLsXhU7JdS+TWBEScVkLkvLqREGN46CZjytPeOYiFXYaUTeF2uFnAXIs
r4PXWHoZiVo0yN4g9yGJnhOi2mtA2ADDbK4KRRS9IMJz4DU+enwoLNVzM35qEEtDPCbAvcVFYUPY
Un5LCpcZ9jlAuXV0gkc+L/hlJAIzRrbkWcn+dZ0JPXp9rCC66aUYPVOdIa88zVLQnDnIEsVioRfg
tgDwkeTBnueuUC/qFgiW3vWBDNM26Lvd3JHgaQ1rfYMAXS7dmLzoST9rZaKT9RHItbouY4hIafKA
POjEz5PXdEWzjs/9+ttIobA94rY7e1sTHLsJ234V1ABIkf90/PjUJPA9NLW29ASSvNTzNUjl7Sv2
X7aPVEQOoDItauVwx0nSPLvr2O77h4fZhu/eMIeHwACRNuPiYyWIKyDRd4ly4dr2MdK9uol3G3r+
3TB0dzUCUOF99Wse3Pj6+0Ev4T7qGrJfgQgiqftzwGk1bhKOexd9U5ARgtoY+AIxrNiF+meBsygh
U39VSVysNOHHNRRB0SfhPsGBV6hhnnZxiBvVkCjKXRYePM7nDN008JfwroheDjjrErC45GwqUDAr
J82ejdBBt0WanPjCZJs16ykiyFC6oUAv0D1QXrYMpcY6Pogm2nHTed8b7eVmRZ7MHZzPtbuuZ/iD
gCDkol6CNsxdT8an3w+tACdN+OfeNvoparj/rCkneTy9c4AspQMb5SioW+1pO3x12ohmtJE/fIo6
IuZr+BSDqEzb5CHsbBBqh2g8a9rkyzYAdbQqDxV1rkkCKaYzhOWb0voeOuC6omCscqeGwY9mq/+g
yfgjubnbbJ4RQSr8uUbF1XoCsmc4IZ0e1WBY+jiv1iYqJZ+A8On+pWl+aq73q9rWG1WheWMz+UE6
sOpErlexoKmIlToYQatzHaiM00BeHNKnxnrBp3XUwbmLh/gqCTLt3WouWyXevBEO36y4+6TGEFbc
5qqUeDFHxcpd5OVMctFWNtjxJmjRkwcBBOguyAjzBBRme0Lw23+28XLqW0IP9NGgKFdUFx35/II0
zNe4noqQ2qBQHmdno6mGhkfnNKicOVfYoXaJt65P2+Ifqs1EV74Mc9kO9XiWMkDdWc+lfPz/xdM9
OIjUH5R/r1sYicngbdDmR4tocIQtSk60GFYko100lW/cPLR16c/nVfvRaempC2vGwqAYfLKPV7Z9
qn1nR5Bb/sjGwJ0vLlu3XPCOZq4TSVhFBItyWtVhbmt9+v1QMwmxQVNYqjMA2GQC+R/LbzF7m9wm
0sjYY94A9nO/qDuPPWvBElQcEJrcRJW24cnrEA7Ja4twIly2m7/Fz5uLLV5vU13axfhgnsEyrjEC
8dLjV3Tz6A27TjwN+w0DEXjtuU/QxcjFdeZymlzvSFrmHee4/7TB5d5VMa65F8VNgQghVKdON+fY
afYV8J5s3ZpXpDH1SUMiy1k9AUL0/fbG1GRuwSTNDXMC9nR4rZqlPw2KgZ91+Od5DNYrFumTRRjk
V4xGtBuQ0tJIQtotCPJ/r3PaOTjARf99JiSxoV+daTpqWOp5yB5pShRYRxNzAMbOtMNPC9I+JOji
+ti8RbNji40kU754jZ91tJZwPcH7+Y5x7jiHkAAf9fKaLChS+kiaMiThMRqhNmJdqXzsuqUUzsR2
TR2tReuvQ4lv4CdRDVEmkfJ7DS3bAWpogNsE8hPfSiccwqPXhj/rZN01S9U+u9VIgeJqk89L1KBH
IW1eTw5ypFHYwGSr7YUtRWjjlwRmo27D4MVLoEf1XHzUVQ0VkOv+3DFAL5Nz843L92vvvDRuyM8z
CqSsf+8jEZQmmtxXpl1siIxAg91EcoTpmY1ITaTCRlDuHGjZmWJJwTmkI4yl6M9RjWgwY1JmG9In
JbR8OA0uiLikQ1a7jREBzurN0FuyIKe+jZW39xtu98xgPEFniboDe4PX34/X388o69wU7GWMjLKW
x1awDz+wE/CzJYQ2UU37udraHeBAL4O+ap67xJhn3/4AG6pvCeqGS41MZTRswZlTgwfYTNnmGo6R
HNzeKUCje6zi8YTpLnfuT89O1LvXhNXz6yxfaeXQt99PtPdiEkJvNaevAerjiwk00gpyS76skTmg
ibGQ7ES9G4KOPQ3B2jz9bQISHg8Axz9mayLMFfapB40gDiiiWo9owh/Q7U5VdrAMAJEA+ILxI4Pz
FMowSSNPLIUvzXhKHmEI4WqeOhNvcr0uWETVipxpEyMS6EwljpQ2VR3CydheZshoYFYq71MjeQ1R
wo2ytacgC1sTQHlpGeTF3jtBkH4AGyW4+ygGbR+p8YL+pL2bRd6QWbKX3w9kgRmmF8wj+f3Ukd+M
gFHf0MhinkGcD3YY9q2NwxOmmlSHXlTilES+d1i17I7N8DWwOK6mLgRq6Ey6Kn05vjfIco0ybu72
8VANuLc3z10yAdMJKEul6tLzoGx6tAavHOq32o7BKa4C0DLIpsPXCz8tU++mDYLokK/VfkPJkW4h
+FU0zRYkIup5/Bz/i4e5GCQyDwvOOQHhc9M2lvGutu34WS+2SVtV66uZNwtRrl0QZmXt8wSFOI/r
JSp/33meuMfRSC4dX94pW+QnWDLIbyw1P47e5wVgzfPvh9hHMYZkDS3bU1vV9bVlY3dWmCowRqR9
MWMXpX/7/vkP0HAUgrr2oyikMQ1CGmJk259uHy2i1rEPfWSJ4Cb2ooUp7bXFN6s28mUKxyCzwHDy
ycG/kXKcj02CzY1SqFQGMRtcMFlGajHIRcjgUsWmT7GpiPsa9RpTPSzEHb9nN+L539qpXtCaAJyo
GAA4474nmFeU6xHn19AMz7ZWpmRuC2m6g0Puut69Qm7g8Lffsv94S39aMUgk4g8NuWA13CTw//ot
O108j6Yb+7SdWgsVNcTIjGTNPdvSgmFsUqkXQI4DRXvtMuqcIx3kDsYy3EaczTfhYHJQ6/TjUWCg
kEnC4fMiWnJsOwdzZlBffJn4w/Kw12ZCxr9DShklNL6PV+G16j+sw75u2oxXl/bwIbsBGGm73DwU
jp8rDOA4sq75HCvn6DawMpBBYSe3AcEJ10qeoAl8RkfUvPztj+Sv40tR7FCKMf5+hE8FMb2/Svhw
Q2klLe5l4lmVQkj6GTbkl3BR53fkIdC7oANsgMwzVpn4O7fg7/zQn64HfrsX40IA7/Zc7zE18I+3
oK+TYRYC82DY6n/URHxdQv9gG5nk3SarVGEiEIWlWvcFTFiM7PGXD7+Ox8yO07D/xz8ICBTUCV38
9ZAowtjJP74UbINEthyOM6P6xzL0qOzFQdkqgNE2ncIKEfrI36Z929G/fAr/eyLZ/S/v9y9Dtf6Y
Hv5jmPifyi7/62LJfxr996dYsoOZxNC0/nAJ/sPss99/HuWPf0vsd575/37j308oR//mU0q9BLew
j9lj9BFt+j8RZfffkhhfQNGJ0CmuKq4m9pPH/DNMsnSQFogdjEz0PFxq/x+JKCPF+ldbCrZQpKMx
mQ0zSzHU9PfX/3AIV54HTr6GDY4CpIgkI6eghaAA0Z7msvX2JHF1/hujaAAv9nL5fwmj8NG5pCH0
iX8CowjjDibBav5JjCKaGABkHYMe/JdgFB51PyoUtf/tGAXjGKBh5+QfwigwemE+QNz8+xgFpLYW
8Er/P4BReDgNU9fE/0qMYm3Ca4c5bn/CKKo5MKd4wUytv4NRwA9yT1OAUT5/F6PwXH4azPKfYxR+
CBUBiYt/GUYxBFuY1a74/xSjYHLXUeiV/wlG4deNLQj5RzAK3qpThAb5X4lRAKq3mAsY/DtG0doW
uRSI9v8ljML5gmzIP4ZRbM4CMIh3/yWMAqM2S3DM0FOEaa+T1pclAOdaB+YnnWPQCo48dMT+cILl
EmBMEyJnt3hmh8G3B2dp7qruOOxXdncNZjNBKwXcoL2pZMpB6PLOABimqg4umOBxqy0GjXXVD4B5
bc7b8B7ptsBvu2OygZtZDpd3VaCoQxEhCVdVT5Pl35ZwKsjgFV4sVC4wRjT1Ma8hI2FgCknMA/GY
7gFaqj3s2QCOhgRcxhmGqa01EpUzELOgy5zFfcwJiquSwlYHEA4+aQuSzPBtV7uByPAKrsQiuuau
3jdoVu+TiHdxZDEiCcgcHNJXKcy1bZzhmEAzSZTvns4JjiCMuSE2rXr47C6+vR5WtZM1P0d9MBw9
GjwvmFCw4Uifqx4YICLHrsIopdY0xTxA9BfOr3YCjISJFcEh7ILXab6DYoQNL2qR0aR/lpgL4Nby
++RjwtEGRw7dwoCQdTtkjEEDXTnPMHC1nMf55lUCKABCeQ3vPzc19TOgoPlW632CRjeFIWCKiNen
2YmAugwVmPckgfYK5lm3zruMADTpaPVKv19NgWDBMLG4FK8agNxuAXGyKPIp4P6BrXw4YD7blGPc
ZVRPcFTBM8Cq6rMQ80zS1csrPQNUYhEaE3yMmyN3mkJYGxbkrn0MqkgdI94sCM9qBoXWRWGJEZ+6
bEkvjyxhlzDwVSEGBSRFhF2xGn5a5idHMbNbWf+/2DuvJcmtdDu/il4AjA1gw10KJm1leX+D6K7q
gvceT68PJIdDjnR4ZmKkCR1pIoYXw2aZzkzs/Zu1voW7FOZduKnp621MJLN1r+Ij48WZsPQrTuun
xzLBwKtgelLN7Faf+m/VOnwgxG+5M8enpdfn3VwpFoPvgtVM1jys4Y/C6hCFoGSs0amDvFlOLHUP
IzD6Q2qJxK0LwceKgUeMjkux+TfmJHCKFstrih4wQHgwXLW66sUMVM1+8JxM+NFMVzwVMO/GhPlT
IQKjT9/qnnnXrKcf0gSCQLiuy1u8E32Y7Weh36ZRdWam+jZX0nf6LlgWIby6VyIfc9BHAuxSoXz0
JRAZX10mBHnXyVJrD0s6frfMZr7CqgXubhdVNqvvDD0AZVzFBMSqffYFQaJGPMhMpLrcOmIOBXoN
Quhf1q/8ofH5v4+19B82NRaWfh6HP+1pfhd4+wsC+tcv+a2bcXQWq3QeKKGk4Wx5Or/yluyfbNUy
DYdJN9BKkN3Ymf9CcybXggaH1kjVt05Z0oP82s2QPkZK3xYOY1ga80BH/Ue6GWdLMPnjgAROvK1b
DEc0TRg/o51+3wUvqz3o9Ls5fNvpOknSz3BoVE8L1ZM9FaALlOa2jXXhLh3+pxFPm2VPJx07EQqf
z6ozv2kabCLzR4bVcZdi/EVg1twOzhy5dhZfbH24bPq1bjDh2kbKSa0L6eapdMPRTFhGiegwxvda
6niJ1OYdJGCcx8CcOYTFGpQG7BshctO3EfIUZX7fGPqLGrK/jpGQ+DHmm2K/xm135u+JKkOo3/MM
xo/DRB9dGCo9a2Qx1llFoOWLizoSt0abTIxYmEsjhFFcCDyHuMKaZzCLm0T9LW3y5MUQP+oIZ/k4
QXaI5weR1o3LDqLChMsxoBkg00KDqzMPs6sKgF6UFgL8ry8kUzHG9JxHybhP8uK6iJ3EVTH0Q42L
8cY4mF6NzBiw1Dnv5iaCMWe2QDAjaoElGNf4DRyZG/YbCufT5p3ZzAamHAM5+o2aq+ey7rCn/N0G
6cmk9JDsWf4Og7S6aC58un+xQToxVnApoX4QCSuLztkMQf91DdLwM5X9NGo3/ycM0vpmkOaO/P/H
IF0563JKnn42SEMtehtUXLPloLhDwvL+TwzSmSgvdfzWwZzvN6d5MTmurpcHbHWnVeDGMuv+SxMR
a0+E3jGoy6I2v2MQu+nYnnjDRi3UNn4hcNbXZSMaahvbcAJymAE7rLAwXCoJ/zCKohk+JUjEjY0Y
A0nsNlqiqOEmhgAUu42kaMzWD3NjK64bZbHeeIsZ4MVFNhPTUPOpAsloFhtuEXZBihWnZyB53Tj8
H/XUyqjzVWVM/NXm37SJVoFxrm6jLkJrBkCGRsRsPG1+UMqs3Q2gIieQkVoBgt5evpDN6eFmQ81R
CK2hBYG2yz2kcLML+CjgNagfNaH7RTg+JfqS7MdxYOZvxJe2zQUKQzSy0YyT3jFCT51rKJeTjRs4
7E9NgdJwI2FWKHOaagJ2AdF3mh9Rfn0MGzuTlZ+vbTTNLO8VtKjll0z112YjbpZlgichHP0lVB3X
xILIdlze12b72gPsxHrYotvXERpRkac3JWBPuRE+VVCfSC3FcdronxoYUJRflN4mZFAVu1TMdvQU
b9TQZOOH9qsBF1ZA2XGovIeNMhpJyu+pLx8x9Bv4rmCRKj9TSXP4pJNGr2dvzNICeCmM9RDG3G1Z
HZqNbbpukNMNdrpRTwX4U0gprr7xUAVgVMHCCyHVpwkwdXrCkZGs1U0HSlXB859vaNXPaeOsmgBX
bY2LIwHBOmwsVhZSw76b2iDZOK1xHx17FQkrWRCwt4zesxBx5b3xI98or/hDsYth2dQ2AmyFU/NM
hXhba1SMxd6Y+o9hY8Z2qJ68GDJuPrUPgHFgpirmCnH0LDDGBZXIjkuWfOV9eoxq+1I3qOv1fFIB
N8grtYFby0IpYszp8Z59V4rPvJ+uiqq6WjUdOLSNUs1o+Mmi9SeFBWhup/XRGgUadT3F0dO256wf
My9bp/akz4CxkEnUbTsdR4OKIF8Lx+ctxMgNXGyyVbaz4mmdmvzghM4lonw48Hm8nnqkhUNBiGVu
jl6FI2kXtnfK0tyYFWx5FYpcN9hGgJbhPZs3NjVbc3xPyLMWNTxKCSxlyE3g9imbKltAOe6qRd/3
qnOrD/WlWdLOVdv1rYwLdT+l+zCWlOPODpbTBkBSblPNuNFqACqtjK+ditKoqZNj0ad3c1zwEgN9
8foeK4GeHuMiPe8aXca7Xq401ev6Xq/1SzQbiHVNSgAYaHngFH6qKXOAGB2yYcMb+KVWfCgBxymu
0lqETDT5cx3ikkf1cbYnlLsI815Lu4/doa/DABFQGmM3WAANnpOhiwIDcZ2LUzIPRN4AW0qMo605
06XEwACnPPNlRNU0lE2KR27Z5VqqnMYigUNS9ftS2ntwJ4LW8Digcmbp7iedgnGbBUxZlYhuOv2q
rNdvXT7dyza2UOO3ANdq+b3QBQfm2lP2iLy+UfMVohWPWWFnPA2TA9D2IIcYdWoNK61AyX6R1btM
1/SUj9SKXXJb0YlCZ87f6mJ5Hu3F8Yd4BPlvjfUJF1Z9SltIRmDiePwdeZeP0cmq+dsXUyTg8850
x2u8n0xY6Vi8nkONvY1Ilgcg2QX6N5JC6rbY1CnjNab/GxUMJNh1dQpiDuc+Ed8zBvtuFSILi7sJ
W0Y1eXjm0YfHjD6csdRfk+hH4eQYHpRUu9h0/xVCRTRd83ha+0M+Libta9v68Rz5UHvbm2lRFp6c
SPUQabpqqr53PQJKdl2tp5d4+2rcHHWl1ce5Dq8WNFpHfRxXJCemcNVeuwnXZheWpEBAl15n5VGt
v6sWtk6ne1WV4mpclR8mpu5yHfcU5W5eL5shsbpNR1weufO4diHamspP2KNHGBmoz3+mS5tj+c5A
4Vjxmk9SO4ybwJilupzGm7bidxL5ezVNYOkwXEIvxk8zquZ1mUjUSPNzUcyXCD5/IYpbU8uues06
PchCv3MyziGr4GDHqG8b1z0iYNZ5yomxzUMeI7c0sqt8NnahRMawpLbXJ6d4zILCYOe92CfDhDSD
Rds06W9DxUvVGz065oOD6rL3l7kMEKTgh1Z2Y2buNCRObmjLfVu3r9paPWzKqsLcy7Z6KJTsE8Q5
FOXirDu8T5VmEr/wuWbaIyPIy5KWnrpsV2iItLSUBxqhq0FBbNITNBJ2QVlVt2E3XEbU2CbGlhk3
NTDTw9RS05saziEwgnXn9wMulglhT6L743hYZB5og9ciSpkseT3BpAVw4TetukHh8HNH19jAHtEh
XbNef9f73h+V8dL/+vKOOBd0ee7T9lUKc1dwUjS681jK8KQCEfn5n2j05yHDZWPupqEE5F68SwU2
PmQmOod9avbPQqjBWualh9Jr12I7ZhHF9dGUhI1Uzk6vSLxhadYGero39asBtTJ6en8dowcns66U
Lv0QGeWB2hcDLsbIwn+XX5rxUy/ALHKgFelTn4IxbITSe5Inky7jnglImXZenE8fac4xZRJR5soR
77exgMKUfd67/VjfOLfQn1rk+hY2uaX46Oa+CnAg32KBCJDYz69W66uYqtzWCgkumGr4ed2eZBot
mLS+gbKyH9RIe7E55oXTGg+zXd5x3uOg1eanAuppkGGqJQnAZ1qHdSK2P8AuKdjxl2tcJ9I1V/Hj
kgzJZ4c0EhNKfcNOjz63YSgIRVx3+6KiMEOGhRP0ok9fRhR/DWP9oxharx1jHrYcGn6mPLCbXmjt
Rm8Lbj3U89npkWVVeprvBtvcG0irkR8AROhHkiw0+l91Kh/bIXxbJlY5trpiVl2QBduaestP5ytb
d0308TCX1RFTNb2rOmluj+bSK3rr1kYD6iax+WB3iHZRhbZwEJR9MYT3MANb39SSexw9H446v+RN
e14YxT9MsfKRw0y1CHLxp1p5U9ruGTPm4Fc96Iysq0u/Qwd2qK2raTtpS1D3p06Z3uXY9Uc7ewVd
0QfIniXWGtJq6ly5mbP8X7wb/y88a0Lvxdb6P2Z7//eR6PTfwn1/nTb98kW/TpvsnwRGe2fLf0Nk
oTEd+t20yaIQZGxkC9WEObz9qL/uzpl5SvuXr9iioX+bNkkBE9xi466C/mUVrjr/yLRJbj//D9Mm
kyEYwyvb1DfIuND/hp2LBc0I1bVoXRHd2Xwaz4mY7zVTiQ9DTfuwVK0PNL/aqVEVujKBAme2+j6u
mZvmgwUdxQDSVbWKE9hVCyA/Dhe/mTKuGETiBxwlu0FtwkBHaOYiEKwxZ3Wr+/6YI4hxEzs+9MX8
re9H9MyxdY9ptKMhjAVmVO6RbMXBi5+NAgmSGAf417hgTDJlY3vQPEkLwMO00W7UeLhtCrjdllbc
tQ5cnUKWB2EMP8pGgU02V/rdJPb2ImAC5KShmO14LuKoO2BCqHfZOKG753nX1d5ve3UiYynVXQ0M
LOTB/rXFmJsPDOGm2r4iuwyupc6vMMzwIlJdJ+1E+26nx7BDblrmce1mI99ojqL7dDS+0ID7haj2
YSXrQGi0aijpPjJJso2c+Y8HwoLqfvStTQdeCEb4TPzMYEnUY+QozlnL5vtpgjCWmPaxy/o9OA3P
aRCVW5p6prqx9wQtRL4xwFrPQ+mN41Tt2pljbW5Dk6Ol+m6MRr+rgAHgE03DQ2JfUSzdJkao47vG
FTRjvQBFavVgCTafKtdWzYxrXaMPHEYUfpIJehPdFQI7UlMXmYtme8CF3Xq5EwaGZklXhs80Z/HR
rpZ0nyH0P9sGPT5ne3XpBi7fGG8F+I35E0GscQeMpvfSJNeuHIaBj60weWssENh9VAZtM1+WZDT8
xfS0RVs8fbWyc1ofxKxEUIeEs7e6VoA+naKjuuAiVpHP0eSAAAHiRXIHUUi4eocT64IYFtYq2KAA
6puK7jrqw12RCuvQjCyg1lS7QkhdBUOEQDHri9GtWN+4mUmjNlvjKwZTwtI6ll9FW1LRD/mLQUHm
LDNEj7GBjzIsex3FYjJqV6ExoXEtCgMqznKJpy2SI+OwVuV73bUzSjv9aVrrL6o6uTRfBPlkgciy
H3A6j3lN3TRNDTFC4SarBGhYt9+qdNg5S/+dqpzBQwkaGRn/17IsFwcbeJLLs10MF2UaXpK8B4eH
I9Tslvi82QgKe9Y2yVYMDoC9ShWJu0TkV4va3pNkczMSwkSm33CxFW1vgzEnfgrCsbAPMESORSao
m2TyapjLN7sfv5tDl1yN/UeprLjF56Y5Afc+9EtVe0au6pjzQ8s1DG3xV6M/jH0d76JsEbsopq6f
KrwWvGVXWU3ZZUbIq1Fnpoe4y136HGKmynF0lTA/jRadQVfxicKGw3hZ5Q0t6VEr0gUi0B96Vt7P
IUYcmO5BlzorhoD1a1IxN2WzVPfgYjK3d4zXYUNFAftaL1Ix77SGE2xMy0dH/y4rOB2VwRDZiL/1
xHZhRGg73pzxNDt95lbwD6Q6wQkCIWPY1VWkA+I0uZXlFJ2HGZkrOTFBLjLKu/RT1fUD0ILZjUX5
kAn6Hj7aeXmyx+orTPizUbGx948XvFq7OXUe2G4yLGocL12tJ6caoRdFEVbZpjtOuCpbRTc8w4Q7
lqTyPJrpsR/vpyV38O2GUH42+oNOcpVl7XR7g+7VAylGOvVnOWeBDrhxLXQ8SojV26R5UYHSzYZK
OVQZh1RnyYVolldIOYGZ0rxmVsFmrdss5CnKqSstFMCBORhX0L+0oFygYU3pcMaSNaKWTB9sUabe
WJ9XWC4PQt1i0liY9g6zIKukD5+sT6sN7b3WDe8yJHCQ3yzPx9QPK+372GKESBrDQbGPtDCDpVSq
M5z4LMEL112mTsfnZUQfjj01D12nqV4qsumqJgHsoVWth2lN6/daLwffmaCh9e1ceRz9HBFTObJX
xXQao152dTVn6W3MAxl9zO9k0hyg5k1XGpQqQDazutfymsA1Gqk+1ZuzKfuJloJIzGFhEDCQ4UXz
hnW87244uAhqFHwk7Rh6k4glUD5ggHyGpltzmanDgbjqqj8NTvHA8YbhxNTxfExXwoJ4EEbGG/aj
6t14hq+yXtuyPOtVA1zZiNWTobOqZBx0mFe9PuPwB51BoJoLzSLxdIwcPtQpaFFNegWYvQ3ihJzH
n+uWfy8U/5fRzn9NYiEg1rS0P10oelVSfG+//V5b+dtX/VrlWT9ZurYpGQ2Hm5bKBRHtbztFgiUI
dTGFZOaj2hal3F+qPPGToWq6ZOlo4Nf7Q4iL85Oj2SorSuD/qsDw/49Ueab2t6Jrct0sOM1QXGA4
22wp/6isdcg7UxMBGE6zytIvq+J51pRdz1CDW7OuPFAVTtf9CB2Ldj+8S6f+mDXp6sU4/93Vnn0l
gwgkOsJJm+K+Q4XCCO44lNlH64Rn3S7vpyEFAgnhdups34rune7GBFvIuGnHRIUZAIFtFelmubgG
6XhC9PAGcxLkauIms/406/Y3cy39dgRYKEyMDiFcmXlNkKwU+Q6Vw4OJv63L9C1MSZKLaiYUaVjP
HDAMslJJBtCGu5Ta4Uq+GxQKjkKAyOZeIPBpBmIxht5qjYD2MudHJdV3s+sA10h7xh5mjUCk0XVV
KUgQENZHmYhvzOvwM+qfQ9Y8tRiadxrHZCbG16g3KD/Lft5JwEA9xYFhN7j/aTTtpxRv8dwHTVM/
RU51jyPcH7lL1cq1qoorMlThgGKwI/wLKObRUOGRpnEI+G0KHNn0mMEGOneDSWhMbm0oPlr7Vk5b
ekuRAz4OqXjziFO7TNM7wBat0x4Y+c3HYuMYVmao+xbJpVUxQ3DS8lOfYKMNu3HHXJdva1BYc/bP
rYixtDIPtfCcA67OO9dQFRWp0nCrQTd3i7hOvcgad1nFoF8SvTtLaGEz8AJU8x+2s+helWmbKtv0
2Lhn12tqqRjRFi0QESmE+jr8mAYJgvUFsLnmLxDzPCTc51zGp0J50ToGZSp27yYSOsmljfBVm3vF
KKdoN+RQMUKQcUch3xedcS6pf4lX3dv1Ep5G5gzHPG5uagmfUV2ZOmExPySqCKocb1LIK9iptA6t
OuM4hQ8eF50EGVLcgrLUSEg0LlW27BYda1edYJFmXwOQZwd9pDsh+cnhX+saEG5HfuAzqHblJi2Z
JiPojeGqYhjpWkmkHkQPGhvSoNsk5NdmVjlfkNmM+HiUtzZRcI2nxqHQ+ocwLfdDReIE/v4SpB6I
YjYluv3ex4LctZExNKw/JFrEEq8K/Y5lQjRLS+Yq6ldoiLc1Roe/IgFj1+EnlgKiCfJ4O5SCQfcN
hXL9OKcYcFlKeRGwyGTMTYp1ypQeD6megTa0m9fBjGq/07c0Hr69XWGLGKcLOIyWvw/TfnQsQbMW
oO/mInKlQ0/i5OrHRj5Hjg9Sh7UK0+Yc2l56peb2KS9OzqmKsKqswwZxGBjpxD9Ke/0wk/FUYHV3
G2d6gaStAe7y+Iid+zx+IYXgelTE9WRDJ4qZChsXnqK1cFuHlXgHFYBqW0VXQ+/GLHdgPDPjkYnw
ptiKDmrOsXe5QrjMoOfNlQEVgQC92NktKlEuzPMJyJnGyitL+DBO+YNBvemutFRqHOHVrorUS6Jj
Yda6V+BXDAa61GVrV8HSAwhT5cKLVEIO2tradGtwa1w0kNQBkVVjpjPSrvfa1hDzGEOB3BZeTUT8
3NY2k8dyn+VLfu7U22S7qKftylZ/vry5xeV2nUd5GHvpdsXP22WfaxEbG0tvDyaVQLOVBHIrDpgA
na1QrNf5W7UVDwpVhLqVEwN1RbXMOrAyCBfdXDy0ILYBaSV6mV8qc7jtt+JE3coUZytYlK10Acgp
T0szsFOlrMm2AodJnz9vJY+1FT/DVgat1ENFkjT7rmnUPSgkWIJb2aRTP7F0RH5mtkMAIXBw2ebx
Id0KLrmVXvCheHW3cizcCrNmK9Eg0tTvHVVbs5Vv2VbI9VtJ50hnwebeULvrUBQ6h3NljWzrKMxB
3PGUPwjik+DVwVrOLKIcBnPAnGVr8jYSTX5RGi+U2t7hhLonNtqGtZ6yZAP9GES1mQbl1LEbJjcR
wmIi7+ijvTbXIYYpZX1OAWE8rs9lgbAC6NitmtGX1WJfxDFEDsWKvZIJgolMkvnbggF4fdVaKPpr
tSsy/hOGIqXnzAeIM51fAY0Lwh4r9aqT/0HAIqdBIrxOGw6rPdU7I5m7fZn0SCzteIAzRvrYrDSX
rN5OXgtMrSo4YqehgxjveKG+wo+ss09tFe3DWqhsSNQNyQhWg9us8A3dI7zDhapj8jboVNVMeGAk
WDpHWHGPsNLE3Baju0zt60S3d2VNruygDMAq2J+fMzn5a5QYB6vckqc1ZvgSH7wdavjMc6yHQ/nG
JCMHfAx80FSghCGRycLPIreDQkD2T8pZOU7qxZ5YlhHKlAVlTqrqrPeMS+DBMY54g5VvXhVOREjq
Uo1HgxZLs4uMZ7K/45LhGYBjiFMfVelyS4hjE3BS2bypYGjsoeZS7mhwNN3PJGBbbL0QpW0dTiZp
1F6Vc28kLUE/iRS+VDT7gnERea14jk30mzx/a0CB0rWO5GaFrWb2Dh+ksPqIxuWLOTLn+zS8wWqJ
zgzt4mNSwvo09fzZxnH5vC0Cy6QmiRbym9Xga4dKKEBf1PoOfu3rYGyU2VV8i5X4fgrHt66+yVis
78uYIf6UFkdTK6prrbQUFqBk6PZDeV63RM686M+LCilTYVsHlwhxb8IdZPQcbyJKz9C4QMKyjaBX
f1vWcmFrOZ2kITUfCe2FYhIyf9jy9Kqma8ZctgyqXpzk0SqhLDIYuBItxk10Ckx6RvMpEQkolKJu
8RWqtVeuu1TqHeMYXlmmaMz6tYbWi3ipXId3WxvGC9QZC7oSYO8q5cAYVjvmE0KHU+bfhjYaPNGY
973CLtkQZeVWRZefVZDWMgacOGpL54GxAMSd2KU/gYUwc6Z+zRz/MFg9BNpU5ojZhHwAEPkhNkWZ
Vf4AmTaf57w6O07/TZfdc3qZnfmzHFmesRH4Esql6g1mgZxl5WrGQaQ51ywsPlme/jvG8pd25z/v
hBzL+dNO6Ge72N/0Qb98zW99kE17IQmkRHO5TZN/3wfZAlUlrQyQMofkyj84xbCC0jnRDRHohQnx
r9Nu9SdddQQTdMbouLvEP9QHSed/dopp2y9MK2ZqGNYcRu6/11ZirV4MW9TAzCLnSRJz587OXjRE
HHf9PSvt8Fzx0O2xYX/FqNpVOB97a3kZIyvimAmGJhVkJ1ZHnN2RW9Tq2WpGOMPzN4hODGtE9ozU
BjlDBd0tqW9NZRIXJta3hOR9jVnMFSmaIBnqsxjLiX0zo9bQznYJftxeH+HVqfa9SrjMrhipBkOH
4OiV9d4M7jzQMu2mGkjqyi9SH7TrFvYCe5/G8HpCl9uVuV/Cc95X1Q1BUs3OsSLkHkXK1CO9aWrU
SllyBLL43URf387pfUmwPYBw9DcqDvobw86+l7pZvBXLCRhCj5F+yv2ygeOmSeonReMa0KNyr4E+
KkiEVqzW8SrTLG7gdqUMUdCmVCFdk8aIGjkpiNVqANmGaL0MpBLDmxAtFReqEKRiTdl0/tLJ26aP
b6UK7WEyGYa3QmIWWN+4eJ/kSM0v1O1EHI1jOiTKTfsgl/6magXXwfo6YEE1IxKWiItmFpw735oh
39fZ9GMIEeOQNrId3+sndPurZHNEY5Sz+H12g6y+1kZ85uSlrH2/b6MUhUWaXBGIEsSjbIhmmS8m
aF9SEB5aivuyayrfqK1kZ7YZ3D/mj7C0x+o+T6hILcSwBw5xqNpdwKTTZ6SIHpT5JEXj0xLt9NJZ
AnLEWX5Pak7c1YzFfz22xsTA758nEtbdlx3iuShr50Wf5aHJBbFg4X1U1bYbrnGxJ+TgNOmpQ2Up
7g1kkOjdAA6bYJeTQr5nqXNd0fFcqrqnMYnnQz/ST0bK6GMiTw9N1hpcgujp+toCMsIkNmn1Y2nv
Vqev7zQoI1zDMLWb8qsb8vYqKTcXRoJhq9YetY+5yKNDA4+fwVhfAIuDgmSb01thsZxdcZ6A5oa6
yzobk73Vidco1T4VC+BwRvTzjkAP3+rkKacQuERgVW+5PkEWKHDBCVOTY85fLDSRsCUdCOB52Esz
8xKrAN85b3veGe9GxjxfS9i5izYrg7EvvsaFRySLqKj6brvucs1fl5BeYAk0NB5ulgLZNrf9bQgE
Ekx1jYQ6Yxo6dV/K2j/msoYbpxh+UprPi1NrcOVTMIuJMDwRFZ/TSOSrDIfLUqr3Xb4+bIRQnKkt
myB/KPTeRayVB20LFaxK0qCK6wPspDFDg4LGLSJvvfkR8vRA9SVBjUkH/CxIhsvEMGMoecRVWqbO
d4YZ78tLl8fBwLDWBBCyDu9l+llDnCWZra3RmTgnJzqK+LsVNZ5CziDiKhdVGmX3MQOeOuasc9jx
1/KF7QUWGDR409uKPIUkuMBU3rrtZzGsSL+qbp8o9GlQn9h7LefRYaxQPSTosWPUlAwq+cyhwule
BrGzzFutPa3IDBrlzexfjHbYfrnIYb92WMybhmF/IRb+PjAq+KpyO5SN73FG9gHyEIeDxtFQcDFz
qMk4E4bv5LHXqhuXvgtE2AHARTDxvRJQJ+g1MsvvU3MX984efIw/f+NMo8fxOzHvk4z8rOGajKuD
vtp7YvkY3SB+Z4S+jmixmXLYEfxPUgmkYnlF7lDL7wbrUhcdYqmF9q1p50eZZ+mZcRt9C+AVlmkp
nYo9Yv/U+slbZA0weyqfhZ6nN9TDhHQo5S3SmezQtOshi3KVNGWdAKXoc6mBqEM1lDtL6PU+0rv0
wdLX14WpM2ugJA7s5I6n0Dk1K99onmUa5Ca4174sHc+ykgQRjX0rFPg0SRUSUp9nDMZX84yMvbwh
HYxXs2qh+JDX5zJxfNYSG6Bfha1GsWvotxZskYgwdb+w9JSdG8VeBITBRlYZUzwe29pEiF8598g9
diRwWQwF7XeajBO60A6tYv8MPGYvZde6UkdFUUYwFWD2BrmS6W7i1Nf00idhZd+XdAFd16Z+1AK2
UEcyvkRyt5Kr4ZaxgwiRmR6qzWNdYY/rpg0xpazfdLXRaNbJaW5TEgUKCbtSFfNz1zCS4HKIyDEs
sSvB5duH0/iij40M+h4bWiIhkTexvCZ3g9FL7DxKnv6ZKgXx/wQSHXCKNy0JgsB+Je0t45wWkUp4
un3bkpSSEkSDVWK8FHUfMYecfdWw6eCsvPVmWialno8pnaa7bnCrfw/ky56slP+8DEW/+qeqC+9b
1//Iq/9GOVp+/I36AhrP9sW/eX3QNYAbQUuBbwfUCn/021xeQ5ghN2UG6B4sP3+Yy0um+A7iHjoS
Xeo4dP7i9XF+MqC0MEy3gHCLf9DrYzpbevrv4RvQbwSwFpX/bSnm5lav/o5cUGige5cQtvLWk0/T
o2Ot0LuJKPX7mXO868tLKcK3cDQyLoS6vlMMB5V9Suerap30dG2a77SOYznKTbQYFWs71vL6qBXM
PMWBUlc7N8wMmkUNljWqPFNjY1/M3toXnpSzc4TKyj6w6F5rZiqFyrmqdcivLDcObxCwsK9lEL7t
IQ8twwSCE5jINwZ5o5tpJh0tP7YYlpCWZAOpJwMOwnntpQqr0zUU3t+ZJ2Qv9i1aVPtfmyfEw+7s
qhEhRf9P5QkpMskPqzo+/XN5Qkk+mmcj7v+YJzR0WzYMVCJ3HP4fyxMKS2qZdP5DntDaJ4+qrs0+
/OgnImS9ee4ib5kZxEbOF7EfFFRMVSZ1/l2ekEPI84Tr+695Qiq1qc5l+78/T6hZQyrmMDArRUet
Cu7/78wTmlURPmdTTti4HT2D2c281eCBgRg37ecVNkUN17icFFc2yJZFz3KuTXrQtFV9WRqWBxXN
IBoF6hjdWF1wtnxSslYeOMOwgEyw1+E0OiwRoAZzedZZx1ZsjrhUHcQXS0hqoYY8cImJ2jQJjDXG
FTJwkT8Ownw0NB51Zu3+3H9NOkNqhPkm8VMzTUIc3ZAnQvhQcRjmpLuh5UHun9r8EsqcBysW33VA
EkMa/bobwypoyHt315bM7jYcv2WEPzEHs19g993qeUaIcKwo0N0G1Fsl3zhOncBqNOdmXMWpICLP
X1va2SI03yG/sBYQ65liJEJ7yhGkqHlQO/1JgdafM3uCZchwN7mVIrpJYlv6P788dm8Z+yjRfyTK
8jVWan0wCs042KmZBDabBFCHGLLJn0E4YI4nzZofFkwXe2If6CBJEwduLXukPM6HsS7mSasuZrdF
vODz8Kl4Y09HknzQ5ziiaUAhvkBbDVgG23vWj4A9u31Wx7af1pbpqfQ6uIcS7VhloFrXuD6qmeOJ
oYVvxR6DnRz7j9h5y5ivUjyj2hmF/lT1JPOp/LnZloy4tzSzeOI7xRzIFdqZRMs/sCnfpCYSr6Zc
mZguTuROMlP8GefTtRJm/a7OFysIeZ8g41S3GbtoSnGCyLS1yAJENIRYLD3QgDIP9PClZxE5oMoI
FJXOn0Cj7HqpCRDBBnK2tq3fyvrP6fBqqfgkdUrmdNsQKua4Q/mW/g/2zmNJduRKor8yNnu0QQaA
xWwSqSsrs7TawEpC64D8+jnxmuT0NEeQe25I69ddr7JEIuJedz8ekCLFRYWMaCs9MaG4gl4KNt2D
UhuxsYIeUArkgBQ5I0lmSpvsESmx0B7HtCvXzK+cMuiYlK8j5CTGdNCmZh8NQZrGt1MLDtEcyWpm
Sg91lDLaeTcaQmmPYBoBcS+Vglp3heRfDBsr94NcmtwlkVuzKkXbza8zZFj29sjMWGUy9F5kWs2r
7pqkfOTSZzX5D9rVY7+3lbKb2Toab/8zKc03VuqvXsiXnl/xTunCAwKxh1BssPqoxuk9W0zwfk7Y
c5IP/EQony17Z9q6SnGucGrTJ/o9qzX9olTpEHmawnUZxB2kWgPfYvWi+SZRAqNjyh6RGKKUjJSd
HdIGFILDPOtFALtYN+1ysMIuAvmslHLYy1R6+Uj2w2jyLijWM7J6irwekpuNJnD7yO4R8rsDb2GI
t5OjXbkDRz5zvKvU+rC7lMZtJCk7KAes83FI8CG/6xD5ByX2l8iXaP9MG3fZUv7AnyzWA7O5Yc5o
28oxYMXdwcZCwMXryJrhG9REmJJV65XXAJvndglT2My4CQwrfPGr8NrCp7T1Nf1AMRLNwCYz4Dx4
4X6p64ryDet1amlKnnSqt2w6rQrizoH0Yro8tSZfFxVYyz56toRHv1cjKP0z6w9Z+FeKRH2M9In1
DXvjtNu2Ns5W8n8Lv8UwdcL33hHDRuTx/UD6ofHFUS58bTEbMq+4g0VwMMbXgWaaWvMx9IwEn5ey
u6UJ5pBaTryOABMyP6LrJHBYx6x/9ZLlkhYmSQJL58UQKpyIORHMI5UmES9Hhyyine801k2BpIsa
vz3XJjdH15xbIoh5YgSenHnB9sKiqqI23uwufjPT1Yu1YyWM5qkdDgw30X5xaC2rK/dmlibdSPYM
XzcM8ryft7X35IthTfjpIdTS4gRtVx7Cft5XWW0dU7EcNL1IWHymeHDd9AtP7r0P2h38H3lprzKG
XdVxxxOw9XZpBcm5Rqv0TCz2CZxQfUCX7kiE4WpNd4ZR6mwGVH3JnPB1dGf0oWRDUo6SP+dTWB0h
ROyXkHwX6mdXhfZoQ0yit6qC0NHf5bb9jUiXrcel+mRre91P0VE09ZMDRndL+qlgbWqlJ385Gplh
n8La3s51+9g44giZ+RxaZL7h31OD5G9GPeFOgfQ7d19j2C4oL9esd9H8vdjiUgu6oeVHhck4Y/s2
pkGXJQ/FmLz1c5UdpDrXMoyj+XSsxrm9HSgmHmvm07yqDEARU7S3arqpQk7xRbWI8o2l8bFKdlSO
rOPKI/Ho0tNp+Rg/h7q/M4aGRoVOYNrqcexNmnNn0evkNdP5X/PiPzgv4qtCMfjfXfrb9z979OG0
qg/5m2ph6yaihEc60nVMWyEr/zYlwofwdNAO9DcY+Kr4V38lQriMgraJpmHzHzisZ/5rShS/4ffy
LHQLMIYCweOfcW+56qX9tynR1X3BOokxkYHT5gX+9ymRSNQyx9zrVlZO5NgReBcmACpYTaiOMWCc
l10arqOOha07htikM/cWWYGqP6GsL1qCYhthyMdWT23gW6759kG796obQ+ASabv+7C9heF2K6MOs
bvC5aTunmrqNJXptRzPyoZ27NoCwnt4YQwplF1EhMTpsjaV5lw8jdIRZPXgnygep1dMa/aGhwDPo
C+q+jXa0d+B4Tzz4kJPjejlpevrSh2Z6XXr9rWdvezPWr/xxBOXphiz0LSBOGG0Ooh/udQ9u+jTp
l1hWM6RwbVvoTXuQpvZKEGs75/MzCTmopzMG5KizySZ8QhiNkX8Hk9sSITlt2Qi9+0Rx3QEyfquy
8wGJ5cvLAFtouGiWzH8D0VJgg1p1jnydLf+lo/om6L+l5v3gDuHuUFUBePhuFWfz22TFj6bFn+QV
8dOCSuFVGc3vzcjXrFvVzhVYhyZ+WAFcwp1fRSY27R5HRM5FqRm9i0fn4fLmYw9dsaE7G6TEZFEC
UB5e09bZZ2727jXWjggqrQkOzoMKjEdQpSxXLaswtsPonVuvkDsn1N4JPN4myuEyIYhes9vEk4F/
KaaYgCBjdm8QcOgHv925GfWceCUoQWrWjqJXWLTTrDSAFtQ3KOyGccldcpg8I1dWZOPSJutds692
RvFGtQtN9C0b/CXlyu7UowtHiY0d3VTnWZE1fK/YdsOvKAm1g7A3otg8dJaenUZzGg591R9rLwQ2
u1DQTqy0WfnZfVrRXoZ0FGMe/NYiO34ek/LdEPrWxx5APF7u6YfUVqmPFgA8dQiiGIe+yWUmWwyA
5Yom0mJkiCssTVM+kKaLlg+vpBFG8+Puiu4d6ooMTWdJwUhF7tJ4DrP0LtOBvyuOSduEEIdZP29a
RTlhkCJhkpAe7OmHcI1bftOjPVV9Cc4Ii1/yxF5JsCmt4qcg421dgCouYJUiGSKsfPVNppgrnK/R
dh6sb8t8r4GyiCL6MpWSAKzFHviCyOyfSsm5SFHfTTeQpg47hh+X5bBoo6/Q6c8zw5qpQl0x1Vyx
RSmgnfvdxs9eHBUAkyTBKhUJw81HV557kioslqvYWNUX+LssomRR1z2NTvzmqZAZf/tmInW2qPhZ
QQ4tJI9WavWnSz6tUUG1vvHuzDLcmSrCxi0/JnRMqq2v0fM6/4YVeE5IhuhbqUJwM2k4XcXiqj7C
HwW7i7zcryANJKqM/RWdBhR6vk5N/oDxCZe5ytvVtJwLFcEDO72rVSivLhE5Uf/7sKO1Ea5Tm9QU
2YbePe/6gLq5dmUaDW6v4tsm82eOP6N56jGmwxYjEmiqcGCjkfkrVGCwIznY5aipMVnCTeNO34aK
F5rkDAcVOJxJHiYqgliqMGIeb8OwoQOgHx6xkbtg9Mtbw2+de3AIW2U1fF5o85gqXNiS/y4h9Zip
+CNctBU5frHinu05y/gSCbEpz/lFTkQnRzKUlQpTVipWGd6QU7xgYaSk71fsEoYYSRybmKoKZRqE
KpamJZf8OZHZ5Ia/SkoU2P5XnJNc52SOb0tCyPFLI/NJlyPvPRUDzfR2Wrlx8Rl73slqQ/JGJu/K
5mGOr20y8ypOaqtgKZPo1mmjeNep0Gk34mQlhaqrOCr2442k8zbqD7pRA92XWLtkSOoTR51WcK8z
IfcMk3MVGw2/Xr8WActNQV1fbvZ0o5nubczZEeRjfkZ2O43uh/LmITsX/AhAeITTNzowjh0MoosM
rzOPK3louBe38l6lMVCQreGezeVtihMy8NryYRqbDY74cdV9xFzuVnR9U7TkAmqeHuJ8eQj94ZFh
xz3Z06jySvobnJprd3wPE/eGIDoW2lT7NGyJN6a5y8f4wVLdv1UhZt7G0EDc8aOveD3OFA6BOxdU
P1F6ylFEsxGzmFN99wJxZaaHHTgSigFNxh9Q90ucksv3Is1jXj57YTyuKXEuAoOuCo6fjmE4/3G4
ZQRNpT03wv2CavKLZxaUzHcbzwrRvQb9iuwBBuYYgISdup/SjK+dWu6sdn4QFtUYhaMHQysv1Jl+
sm15M1P6VymNbbOUY5HfG4ELdaVP7ic8prfMyT6akBkm3TZ21uPuNM5EfF+qhiIDYdC0WQOYWAiM
ReNT4l5l9b4cy6/BowBnLO+bCsv24O6GtsEEPWkvSeXfNm56as17WO0sSV7KovxIImSumm2kMWMk
iKPXqPUw3EavpES2BjYAMxqfiZqf7XZhf1+eyzA7TBausk7cRWF+5vSmIeRaniaq3zDOtZdOZNdT
bjxMpfs5Wf7TGD5TaP0pF+voOMW61x7IRQUhM6VDEkXHUjl02m1dOocme+6G/rkfjZvSTQlEW8kV
rwVRub6Lb6AUWI56r7L1pj13xl+RZRT2lPYLQ8FWNPy0rM8+mZK1ZT/Vdr+sW5HidASdN7qoQhie
kSnrCTXjM83MbSvLbkPFK8W5dCB23jqvza8uE9StYb6su0ul/HUSPontpThUi8QiOOJfCPHQ/SLZ
EWUEUGClEvCCarWin65cedOcBtrMuBfXiL1zfHGiDm+TrX+bNQaumTffbHbRit4YHLgCo0Nl0KgX
hs8Uhu6dNKm20nFoBc/sD9lKfJ5NBSFsKB65COH3WOLbxdPvrKYdN1Qu/Ax5SWDfeLPVUitFHB7d
17pMTr5TnE2Bz5WSoZNpsI3BxeVk9Ul08ZNCn+MVjvdDH8Frr+7nudznsetTeJpvmx5dsYYDurGz
F9MUZQBiPgrKyfvq8Bajep6FwONIsbkMWmZZggJBG2I55dlzHimcDSXGx2ERGyGSL610b2levMcU
Bh8jRREJzW9/InpZk+GZMj6P0JyrpJ54pg1jEkT18kSsZ0M+IyfLQ/kO/b3rsBge5krDjZ+RBtL1
B0zVB8rFZvRcvp+Z5ki+Vwf67CjcBaSPKMgewfkSLq9FVPq3O/MQJO62hiN047nFPZ11b9Zs8xzQ
d8AGEVpZ5rkJf72PIdcjt5PmID3wr2EBjv2XHKzFUebW/a/X7GZgZ7jOrgsIktdhvezYwKVnLlGK
n1ueitqN79NZ4HCYpofB69+Ssq+fQ+yJ9Celm8zvip0QEWU6lm1v03w+ZnTP1Fo+k0brH/2xdY6z
N2mbNONp+a/R8h8cLYnM/J9S5K5/b7/e/2SJ+/2D/iZB0u7AOS8cQkCW0C10xr8Ml+5vkM/h3fvk
FG0hLJ1s9l+jQcZvaI/MfLrh6tQlqJHvLxKkCoBbuqP+zHd1xs5/CjdIDOlPwyXRIN4bmOw8DHtY
8P4UAE+yOOkH0+f5EhEo6F7sSNL71rERdlkNEw0HFFqyUdEnm55VralvzLnY+J3tbpaplXRQLwWJ
2kZb173SFSLWHLxRqo/KcC6k5z8bZyQkCqtTo2bSS7AbzHmH01fttUsW3D2L7qIxCAiYbGMZdF9z
tQ1XHPJAz6hxjEIEzeaAbT8J6ro1DxNhmRU9agKYEiUqvS13edicnYSApMirdDPkGK1oKo/W6VjI
PTb+GIcPe3tHbfDNGQCiS9OhD3+BFT+xGbXvT1j845tKcfbr92k3HWN9mQnEMHe7Si9wlXJgpCER
SlqK9olj/NjC+c5EInaN6nFPpthZ22NygVaIIwNVolT6RPhcIVa0BsHMavbWkdIxGgQNwlo0HXT2
m1YrBlVJDZAbL8dStv7F0NxNRxp/5TXKLgN0CvtwnNFmY93Mk3hOlaLC3PKOuXBArmAV3bNOs5X+
MislZkaSGW0LppFSaWK11zIrgoyeKPfdWKwK2UWXGnEnVyrPoPSeUf6kSv+hS/DEQQaopnwwCm84
Nqa1m33Oo0ypR2JAlFF6koVfjgoh6mxiStYBD3XWXhWFAYxkLYEk1SttalAq1a9vTzfMu1IpWCTy
mUyjub7WNMmFkMUwhm6BFIT2ZSgVbFw4mVDFZqWPkbPIAjzYT9gROYCUijZgVbbtq3RKk6tY/U9U
NPuRkORhJk5K0IhQho6sG9YGIA9KwOmH3WS9mQesE1bxg1Mvo2qGxfYz9YyPlpZiTAcmY+AvHhY4
lDq3usDP2UUnSn41+FBOsHQ7e86FbYyv4jpX4yxvloma+oGINcEYsaWkh/qwpXmGoHbiJrNPExrf
2D8S2rWYaDqfJ7hvsUgulkumqdFiU3U9Z/kQYye0d4yHykQIbiTSowOhhuEoYifadLrYgQ12gjgc
+BFpzRudScoCJUtuOhRYN7ZNr3J1mF0CAxS5U0McklmZ9fgzrq27MC1KotlhF9h19V6jmQVcaKc1
uNx0Q85KHPWs3C4QyLbUZ4lNPrdfVlxla4NXt8quaAQjgkuP5cIDK0ip8FmbU2NeC6rYJ5qnViIz
qLHNTdaeenPT1uuSF7nhPgJ+NFS0TKNogpF8BreSCcssuWpr6S6TF1FBpbO6V9fzdmbX0jvYCOfl
vTCYUoyI/a3Dm4FhDH8BY4roXNwJDXb9eFmOLV4dUoHu6zyjDwz+yYc1N9CqGCBP8ntVt/a6wDga
+ChZp94mWjF0j5CzN9qcwL+LGhClrUGQP4HhlOlvhjbmR62lotlLmreSos/dZOoUZpk+q2vfvoTz
q1sBxmngAabYvNYZDROOqprwqRkOeKZrV8g9Gw3ob8N7+EAvVapowDVY4FTxgWdFCp4UM5iFMVAB
MMJ8gzxFFV7S4YMeB/M+tM4myRtHMpCklW+xtoC05cpPn8qptcgZD7g3bWYwHC4Y4wyc8axb1DRa
2Y4925bkebJyQB/LrviUI7k66eWvOJY3RV1ASS77YR8DToYlvha6DGg8P1JDGTitL0+AWMHKOMML
LBBmhnBSGc0wPhJxJ/ayYBzjTxZj9vdR7u1ZWM48I5CaATuXivCsh9+xIj7XPISMDt5QY7NOmUb5
2Cg+dA0oOht5QrMZM+7ogX+V8fAuUpdoXeNEd5wgD4QQNB4DgjnRdHcmFmsQXy2sVfb9dndvefaL
PcnriczdSvcZhHs32zbxTWJYHenCmYJJ2pKh2WF9czJKqWydWlJjyoLB6RHzbIh0eWvQm9T1V+7C
RdJYGnzE8dyeaj3uV5SyY4kbM17lPO/yeCH5scQkYjOX7u8SJFlt6Wd9LMRN26RXkYbAZOskM6KC
es6Rt/hg8Tij5/WQ8YkIrZJDS5PlaJvDga7Ks81hwCuqdsJB0+6rttk3o7+N5GakmX6flxjEtXBp
+UfvkMyzZC72wkNSdTftPBz4PvM20ObwHMbUY+WT90n/3gtd7uLRm3HkVAxpU2MfMq0YL0OSfYaC
sbEBfj6O+CIa7uXVoG+LQhhP3gDeXRYODkEuKxsLSNfenbQjWG/KooO+r4/JIkEPweN1R+N1Ges3
TR/1TZ5mc+Dm3Q3hQxaQOaPPCHIC1cZ56nzvTTA3bVobOEntxzeQ77ENSeRLN7xuJR+aj1my9TlC
jDlioxKlO7w0h+SLR/3NlDs3ZoP9M83GOagH6FkJWAaTYr49pr2fJvKYu5sc2UanRqye5s0YDfom
AeeX6ER6R2twjwucMih0GKqGatcXWFfnyFvNiQlruPB503r59QBKjoUL+yPWJzwzNCRqMQWjYe56
luzBgK45VvpxVMhz36RUS1bPVqp9L6WF8z5xmQp656HSzV1tWvKqTJ/ruL6t9BIoSUih+sBItskG
hE2DIc0cWc6VtXnXVWzEaUOCcSc5eMOR7QvowvOUcdRzg90L4qONypFOBEoHlSxNVca0VmnTsKWS
3OOkg6On76OZPVidytMo8a8aIeJ6zHTosNqbUR9jDjFNW/kq35oaW13lXSuCr01hhbuSKGxJJHZO
6LQVhGQjlZb1VG62MSZ6TklhhmyVx5HO5piQraHStjqx20rlbx2/vbRRzaq3q8NjdeMVhBtJLUAz
td8wqekHwqiElv06QnCGyk7hGxhDCBZYJhYi6Yv3bU7PGbFgzryrSeWEc5UYrs1nmKerUiWJFyLF
/5pq/sGpxjTM/3OqOUG1Sv481fz+QX+ZarzfDN2yoaFDQtddEFJYJP8y1eCQJMcD84DxBOlMCAaO
v041+m86wptS01xDMBMx8PyXsRJxjUnH00Gf6yTc/inJ7O9mGkPx0wVjEoAtx1HQqz/YKvU67MrI
NJWMJO6gyfLb12df7djfUef8sPRj+PuIDLos+q5ufnds/lvZFzdVUsruP/7971rUwGi5loEeiMFH
fUuU0fMPn5FLg6fRqd6u/Al7U053ONeKeuMLSnNL/WPUoCrF5S7q443pue8UZ113xfJqzEPwB2nz
f3gl4ten+qOn1NUND2w8oxyhXjyvf/KUZhaKEcdbs+rqaoHELhBzcIFjydmKLjJ3bs5WWlIryPHi
P+kOq08/dyhW9kfcF77PSoUWvor1cV+RP6LSK+CIGlb4M6mPtu+SmGmwLascFND8srQ8d+3Zw7yv
BpSx3KfzhKW9sKtNXtH+4aiWxhik7VZKTlMrtXBOUIG70R3sE6NbA18lmbFrTG28EPerMrZ7CE7s
aa2SthoeXInuvdTDRDNgkgDWZN9ep9ohW7ytcKNnXYQElvrlucVqtRua5cBWZqE1erYJUU7tacp0
zKzXeatpt05B57jWp+VGzp7EIyPTdb5My9kyq3afem6CxmX0N54esAZ2gtGFXdO7ctz3eYihKD8K
FxVN73r5GMbuq58t8mCUZAgmLhNafsexHQc1s90WN4u9abrqiwttGlxHZTo/sdZ6aM2yXfuOLPaA
95+8GKHR93qHFWNi7ZhuOIrY9p6aMsLtK9e8irUztMZRFuY98o/1NOuhqvOgcSSZruMMJxcaC1Ul
HY0tkkVgxV9BjOZbJx511Y/9PaEcQfg189dhr8pQxYF2XLi5TKHEfuHv+2qI0cp02tE++NUuPj/g
XktW7QLYPs/3FcyB0r/tfW4rdAwPKeNfPBHwwcdPhmMhTc5DnQpX+0cyQdXSyI6y6e/LTkF03KLg
9VhvVQnjAQQZ8ZPBVgmLKFr5Jv4mA7AIC1zAXV0J5EMnBC31s+3q3GezR3qMv2y3/BzSotqOaHtZ
x6JSIBtWtQmqNEE8Hetui8qFay4X0wOhF5lXJ+Ed7d5+GspY24cfdiGsjXCMe1PDDNNasIa9yGIl
q9XPrhY/ep1uXVNagmUu25IjMCkXAWXQck8V6Fxnh+W71t9kJlMV+dV7qEzJZnBchufkSQDpiKQ9
4//K2YOIAM95wlvOeooQRbrcvimThZ6D0gb7b/qEWtlngrcarIM9bUxdyqOL52gxo08HdTMsCvfY
RjuAU3iTMCk5XvSh8TRe9RMChbvcwR2j0BzrnrPcx03B3QzHk43zySRzvXInrIiWkzz3DLYTL2E9
ubkGvizGzTlrXjA5tMsYaY1uAZho6GBiD5m2jzR8cnLW+iAezMOSeJzYSXSOi/iVIRTwBT+JSTsv
NZyISseoqsZprz4TDf5pJ7BeM6Hd7JosyFNIkHdG0hMq2VsR8VXlEYNef1J5a9+DasoDHl2Ajurs
OxmIJo+W9i3zuFqDR53Wo8oROypRbHIBI36TXwmVNuYLYvVT2ndFiD5Gt9g7WjvFtzxUqgpGU69y
y71KMPNOea4Xr1gZBgpPGmKR4lwKwGfChCWqd71028QBqxe6GcU6PUvgeBCPvkpOLypDbRCmFipV
7SUPXGyfZ19JEMukiMRtYKokdjS2145DNru1xuOi0tp19IroRtRc5bgjQ4kSKtutE/JuHe9mYY/O
rxM31Cb2uyvwc0ENc7HRWlV6p2ubRnrl2TayQ6WS5HpcNbtMv9jMSDxd72RhvZO8JLlSDy+OSqP7
KpfuqYS6UFn1AVvoJiYQplLsLnH2VOXaLZVwF0UIbmvsX5FMQUsRfMzq4jOpCMVJlZBn7WTzWD/k
KjvvK9QZ9OSnuY6ubdF517OzUAjqpJsonHls25KRGJPTLvQRyFKbjD5KDyMwsTF4kVtSOhF5WBT0
VmX7B0L+sUr7x/ULQlTDTDvcWooHIAADZDOEgFKxApjtSLAXrxQ/t7ucwgk8n+my0f0RSt7gTBu+
4cKqtEOpOAQlQIKwc79mJEkXx6viFZj8A4j58nUCZYB4AFhF0Q1iMAee4h3oinyQYY5jLtWOIbiK
VaX4CCmgBDqNz9nArtBX5swcmAJECisII92EkzCn6yIryLxBysgXvNtVsbbTggdPNzzqitNg/SI2
gG4ojDY/cJKyE0u54CNjAs2F9auID0KxH1y5XBmddgbeVgWO5JvG72VzbBRbOCUxsu5aZ1flTLAy
mp1joqVvTl8Y19J+KGxv2LFPprk3H1/SZuGj/G/LDl9ar/qKDPJkE5z5K7NjnyUbNkM+lxEawEwe
C1BW+H8nypaNFGnJRUW+5ilfEGlCl5WJfpnXtcb5npORLjVKmWtEeLS7z2y++vXPjT19j/M4osiy
UYoXviiBU8BL37MS7spoNwdDOd0qQOAbPE39qoWwgv05o2HF3ZdLynSWA/mHx9C5F+1nEi00SyeE
Mbn423ZowC86xEalPr7l+L1ZNPTPi4iclZOO98JmHzokrD/YKXCse9GhrpM6YL3erPg1/6rn6AFh
HAJg9wCmTqLIkFuOqga3bc0KyvcCJ2rhJskE5VYv8SuDZZqy+nFUK2EORlY9YqOn0MEbDdO9bIf7
xkMrtU5YYfjklvka+pg105HvlaP9UFlwIIVG5FLUUF06+VTPG+mOa9HzdKkkB4jOzotVnLRXfv0F
mJI2nvA+6ZmTBuyZq9ZZmJtLTP9UFQc8rqBvSiyfvo4hWNP5WkwSf5XEySzTCbSwC9NH8+8LMCOw
xyxgEg2jYRX5OEyjPAgL7SDcCojqgBYGzFKdciC9akM/5Cmd2zMr/gXvKLZ5casPezfm7wszprsi
9IPlPVZBSeBI7wB4uAVk9XelzvXkZLoRjQK4bwE++m9MoBMB+p6tkYaH2wpir3rPugyUaH0eW/nN
TE5GKNZhQGftjSZi+sxnhd4wnoTp349awrclwmSUTCxajduwt9epFd5r0vua6ruhTO5ZwCGP9h4c
TTPNNlMVYP1BS5Nq4zqHj+wULr5R8CB0n8oFlc229c+oy+8785ES06cUBBF1BzeTLJ3rIjumibOz
8N2srPIxHnsWszzQ8HzUeI769LxoFqjxGCAr2Fe3Tp1tN8U21vsbgEYXchEVX09qbjWdlCn9Xk1/
NYfNtNGS7Cf2W/3UZdSbmKk8jwQJUHhdbtfQQrbpVD/lBDkMN/IJ/VfHf02z/+g0i3nzDzPS35Uc
nxJKKP5umv31QX+bZhUTD0e6qbvAD4jk/XGaJZZnkh8kFuGB6PuDAdSHTQGZwrNoESN1KHgVahqi
4NjyfkNWY5JlD/k7COOfmWa52P5pnnV1xjkBtgIGhovnlNf3x+mywoNpFiUanROaLwgVJPxG/9EX
xRk2KcNW2N0WICZWab/zBJb+KN4bRcmaiwjuaqwtblko2Sz314mWfCBS4pgRD0PaKzcLk4TWqSSF
f2dqxr5d4p+ani7qx27t6ZJP/lOXeFlQezyD/AWpQi+B1TTys0LNWIn8J0nZTcP3AGrXoU41L/EI
AiOveINOLHBLy3pDQHnESw2z4VKG7JT7mA8LS4ermvtksPdbeTqFg3ZErrn6Scfwqo/xC0xUX/Qu
K/oYA6yaRogZfi2szoF0ZQ8uVVwrR4L6Leqdow7LcQFRsRCOTEHQoBD+CGvAFCjQFjWYbdocQ4mo
xFub23fi1rAJ/ldLjINKgnfru/FnSa2bUuRomfpyKMf5LAtWyQO7Wmx6CSF5j/O/gCOF+QpPIj6z
xClOBvBWZij30bMaHETWSzaGnHsOrqEh52YfOx+6QLupUyCr2F72cDBUdEvilU3CtyE9W3VHm4y3
IQL9GKYUftUmbkaSKnThorKBvhXw/9gn4/SAUL2Q3Yq06JVT57JwKy7KRDw3KoRo+dC7ROrxafDe
pmn1wB68OY1OdxaF/l4mdxFLUBpcWFU4FT9PL9p7A4v5wb+U42BczZq89GQ2WhMP/nCmn2ZTW1iA
zbI+9XEEIEFOVygFy3YscIgmJuSBuN+OvrUbKKs/SpbL9kirjURCY8Mvrxa3ZKjSTnOTsYGVErDI
DI4u8bRHnZexZ2/yqvl0iFjm+JypWwkDLKtSme3nriRsppNJcNi6T5Xxhe0o3E9mu5PdXK07Ub+E
UUm6ZNJuiqqMLjaQCNOtnbVu+3TU84sx6B+oczpE6ZiXGJImcQpujuF00b3hxahxVwB+uUKK+fYi
40fj3eDr4MAnu2RmRtSScwfEbR5e8I1F5zbGX6WP2LCS8gPbhvaade5GyhuLgehQYsFa+V6EuCKx
7NDOgidSPjLg0hNAwm1j5wD+9AT11C22RstKIWkxcoWe+WwPXQ9EI8uuQ+5drsDVQRPFwVQoj2jK
zTOlgMaJ7U9z6qApB/pSPgHhsDcLHUakcCMUaLVmEWrhUqjVS6yWMJlax0wl7DZcfFVkL4FWt/PG
1YYXzaYpr3HUAqG7M6VWwifQh5XuUiReFKx1uN9rFcsgWjN8lEd7DCbTOuhVAo1Sd5/4tVRvdNZJ
AjV859FSjSAGv53NmxfFyy7SKn4aHHh11F5ron3C1QrOQR2K06/jMe7l2ZvT10QdnYRifhZ1mLb9
Fc5H53oZ1mXtGdtJHbsu568/3Eh1HJcjrnE/aV9yavQ4zJFlliw9z035rkkBBk8d7Hb5aKuDfsAT
broHv/bt60yzjoYWQw32mkuqJ+u60s+J8B9VIUrncxPcZJjnabVwArQ67u0TDsXKvCIqSdijMD7s
jpU1oxTfMhtHqI8HNSTVU5OWUhbyyn7KSeUhFtcpgONbwyFkNvPd4XeRv2FqYFu2JYk67Tmys3Ft
OR7mbdhXnr9vyp5aIK5nuj4+1HjLSP16K5Ix4By1d6yLzHfO4ABPXm5lOmKyAk/fpOJGNP63wDrN
xXi4rxp321soq9SOrZKQFlpp3xua/VFld4uXvPZZ+jyqhqjJ2uiFfZn7+zTvzkaK9uIj5mhFoUTf
uyr1sK6D7aDqltyAiD9brrPqb1gEmPthnjuyLgYQ0Okj1FAuHBb9iwJZasYlZG20KrOkW+eC6pmu
J1ggbbZp9nnywO4NRLqkcSHl+VPoiwNlyF8I3ayNGP7jL1o2Wuew6qCUsbw6Gz2o7EzyLNJn7v+d
t48Kl9koLAK6TvBse+qwaeqr0hS7xYo/1Seyh/Ic60AanWlXaAKo9wjP0kHYScIYTyay8AoDy21S
dHeJ68NLa0paPvr2zcrNK5T1fUG4a0XHFU1rPi63zGfGoHflmw5MSmkzdoRWs48hFsE5mk4q7RVh
FgmRNxswtXnLkiszEgq0xL5qiqtKa6Csej3+s5jGq+HHkku2LkQGfdYc8cBCnNGs8xymE6bc/qfW
9nbc+QFCZ4L2nb+7Q37oPOup023n/1lgqyvTnzImJox+qslsiMOUkqpW0j8ssOHfzbqorJpBmpdu
Eh2Mh3hlxwBU/5O9M0uuHLm27FRqAlABcAAOmD17H7dveNmTQfIHRjIY6DtHjxnVFOr3TayWRypT
mVmSTPqXTF1EkhHkJS7gZ5+91xbuoU8K1kvCerei7B5v5MFskks7qnU9NbdBxHcrxvFHFNGpwIG4
4D0Rxldz653g5zOAymy1AGxcDcH8qALz8Lvj3N+RvP/B187xzaMaw6M3+I9fO4QoCJEFSMDM65q1
39abUQs/P19qp47vM9s79kpeM/9eVf1Iv8suyO4qJgCbXIi027dE4icPkhNepqe5UR/zvAtN7stc
mzWxa91lBqwHwtCJMO0v6O1/uDsQf+elx+jFi+8gzYtAl338/qWvWqq9C/3SK2z960E216OVPY20
RkgbFBjzoLmKZtg9IAbWbZdehTPDoaGZ8gBUmWSq5c7MocwIgomj+Bo7LmZu1NfDCLKzrLJ1jKd9
5Sh2ngW7/jIJpnUaUb1FJBFxo4HwQyJuGQLoyEV32+Q+q1zMDtEDNkhzRbv18T/Tyr82rdgc5Xlr
/eOw2m2luvf8K1Jff3QV/vUTf3MVwsnTCzhXuC4DSMA19VtkjXmEpmLNFGH++NPE4rl4zyVLOD4L
C+HvJxae4dIx+cyfPJR/a/9GOu3/u52w+LOktG0HhLXr/2kDF0IIsxLGCtJBePXaOgH4ZhsLLVEo
IkZ/N04GdC24JRyT9vUMY0d66IqRXb97TDsHtycqgSW9b1yFu2E/SCaSPuOPKWT4Epled4Rwuytq
1L46NrEbmegdSdM9tWHqHTIbFlVE7YEp6q+6vXjxQzJ7P1JUbErBSrGNVL+sAA1gZg+Li6qXZeeE
87euZqm+2KO1cRJtHQubZisV+rAF3Gw9JB3Y/zH8bhFEUXjLXmRpYJWKENKSpaB989ZtyydMkvfK
9pp9lF1jL7lLOvpHxGNZ2ckmrJMH2TkcyIddjbR5HOyl3btZ/tW1CuzfNJH496boJpQTz57W+Qqp
KqMuuQRG7T/0/jgffDv08TvkyX3JBi133W7f29O56ZC+g5RUCqpey+FAw8EhY0OC6IV1j2ln2FaT
goU1g/C0/JvGebSchvw+djpC0fldOpvWMSHRoQ+hdUsenFq+kkLJQ1lUctsDbt/bRkze+bsNqusY
5+CHxyWBwt7QRd2H3rqYKnOLOlahm2zqZvgMKv5PPuRyXwXTRxFxoO/CCBRB2T8SnHumnoMS1EGK
i1cFl0JHnmozvBtsOV47ZVJs+zT7YuwbOO8VIGnpxJCOi1MjQW005+nJz2x3V4jqU/ScllpVP2Wz
cxeKhzRcIrzc7bMrmnQ7+mTa3Xa59Lax5UcdbmOj7Nc924WxIfhEryCHsZLkh9MzbwZcuZIBxsAd
fiYD8jKOE3i9Nvgwm/6gUjK+YQbkeKzaz7Ztr/q25QasfKavaZBbuBPjGnN58bOdqC75oSxpKjYj
9PkNZWrugfM7hKllKOZL788ZlY7OePC6KMPOSoeOO1mXTAN0DNXRl8dJghcVy6fG7OQhQQwxeJtZ
p/GagqtfMZKLgYlvtu1D2+gVWzmaVznjNtohT5XSIuWPZQ32T/sSuSB/XA3/MfH30By4llCB2GGV
lJa0Fn/LxkTkOgfufEhxq2Cp6XtoWuV25PjJ+6vBv5hPd3VUOWtbsRRIPRcskR1USHh2hmLovzZj
WkLkLUCauBwO8RoxePSPo9oslTFvgCv3p1jMhzxljct5xhz8feJwyjAm+RKbXKSVLdsDdZA3cyxw
UrUQydI6fxYFATdlhriMh4/eHn00iNTdUovL6U0aT11isWZc5vQsmWA3WdTtnJa6kWWg+CTom4Pj
MqNmxVugxmZl5OQv1XySMr9y/Y7thVeena65eF078d5vX0enfCsWwwDF+akGloN0xH8FrpOsQ3bq
B18NLjSO9qGwe9YLMHMx8gzFVWp3z2BCuiMB9mDdU7+wavzKXfel+KJL4px5LLDagT0HA/prZTr3
k6Byls2du25KJ2YcopsnjchAei8qpUoy6cgjGIgKlsve03E7Bf4un1YOWbwVoQzIeAgztR1fkMSh
czfiW4TSAbYFdQMT1vysOLIGod+SsUPjr3J3v7gz/ShJAQIjxx2GisRIzxe2SPu+7FuYDE12Es0i
z9GowN91J274yTUbrAEZn/bQvKy/msZbWBQs16xgo501enKVtaOB5YpV+ZIxAUV9CpjdcX+Mk2Lg
C5s95/v65NMXDehmAOUj2RcZKpUbCxfnwaqeRLlTfT4cIxUjM+QptG28vSVpi00QhCRu427codBe
jHpIT3Zev9kOl7dFEZ4sppi0rHtNvT2HwgBVYo7jrSS2yeZMb/UhdMCsdv2j2U7v3LM/Xfh5tbAJ
L3IABvGd1WZwhVD4NGT29yCcmfcarzmQgoOPg6ew8EzvNJT+HpPsN7YQ1smmF3pNu2C4KjQsHiRM
h4Jkf5HzSLaJsYxrdns4iUkMT8bQbbk9U4XzWdTO22SQqlSlJDTcYKs2G2gCbnKp1UjQe3RXqS8u
0umfFUUAYpSoeMsLjE78tiO7vkTipmdVUGDLRfGKXXQRvQqnU/aujGqcjUNWXDezD+mzt44FP4qb
QPqgOq3Hqama46zsp773p2PX9S9yyhHzRL6cMK1h27NxkfkdTMaKts8d4Ez6yqBRrnQv8YrULxk4
2TEVsd2OKnpv8mlwYE3j+otyc8d/vdXs7BrDADUNyWhD3RM4fSEeJ9OpoZ3Yd4Cix3029/fdUGSs
k0sAjzREwwW39lOModhaQkZbgGxc6XWBo1z5B2AVVLnyiA6bMmT6D55ynwh6MVNOMLIuu5psGE1W
Jb+xfyTazBAZsvbEq3aIo2YDNA7/g2vikVVGCBU0ALfiYmgc5/k4VNOTHeOIMGHtrCNSN+vs2kZS
JOaTYasxG9x3o3fPamw7lFRsLLoRIXA/HKu/41kBx6NERiH6qN1yT9NPZTKV7rlnBlpY6Swx0YV8
6HRAAAFj7r23IGWvLLJhXSj3e9F+jzpa2jLF1tpyuChqwQOUkfcrsOnDsNy3JMtSJrPvJOO5aRv9
w+Tny12BTcezECP5VioqyZFVo3HdNpLHKFoDtxW2of6pTNzPDh/Gymn4YhnlHrOZzhDRK9p6F7hz
C0BHW+XhzrPUzRgW+W3gydumSr+TP0uIkPnPA9ajHbUhNN3GxjnOMnOtPHMLD8ve4Apbp3b5adkR
XKr2yU6ck2nSOx5E07xxIFFu7bq/Q+5m2QapfocIDS+lRAO2lmgfDV53qT08jhwOfzhdTUlAvyBz
d/d2clOo9g1hAXyljcoYlXbGPBd8TDHU3URkal+o5keKfqvvPC/dBAohoe7AR0ZZ8eKTVze5rhE/
XHO+CzUDSEZWsQ6JLVAikb+LMj6nFvZRIwgPkmPiGmhQgnkgtDAeZGsnDrqjU9T+hvs6/mnUZhfT
wKaZzZMDFG+LC7Pd11GosyX1YxG+D2I+B2q50AwYMGBhhPKAA5Mzn3moEcEI/DjDeWV8D6z+4T+D
1r84aAFbZOj454PWn+CRAMH15/x1xiKeJTEpooUIR7hMRb+fsSRkD/Jc3Ieli9OQ8edXj6P1Fwd3
AmOX0OskHc/6dStEcisAI+LR6cSnmz62xP/+rz/IBO2ffv17yyGUkT/NWPxBpp7nOGvwL3qi/qgb
tIrGS6pb6NWMBAILoXZKnq6CbvjwKOwTFPcVAXRhjx7JMUY1b9x72dPxJyn7G8z+0uv2PxXEDALd
fUwtYBmZd9C7eMyb8Bj6mUwW1eG3uGni84zho4ktYHP++K2lHTnWxYMUELLivWCV+ZHoZsKarvGV
W4wfiUlGpoJlBQ6d8WWE6DW8uqP6avE/rAh8fFoVnoaJmWTBvdEN0LV9OkA6Qz1xzvF3pD+4+1Mz
iYv7lBFfGDu1I5BJ5bmTY2yog21ie/q4iIzXtz5d5CzFCy20+3TyDdhHRlfiYbHhj6U87u2Km6Pv
0JSXp8mJXEy8Y19BJQLle9WQFxdnMTf2UiY7+ACMNZ1gxjJpiuswT5YVR3TSXEdDtGqbeYbYNdW+
sAIe7YugM4f2Rwe3pBMFOO1YQPBIyYjSVz869gJXKRFfz9Zdk4IJUtQ3RL/8x96i2GZZkm2M6Ljh
EQqdk7JIhods2ibcTyBlzN1qFCRc4iw+jHVAtTKYgx37+X2d1uJQRcxLAPOaTQmPCy4cE48ymRji
+pyEVHayCZerNibrHYSXWKbqcaC9EsLoPg84+nvdj2qkN1FRYXs2Ucqwx1BHsx8DmKRSeE+mJtsS
d2hXUTMdZ5w01HDhftIcXI5Z6POQceMxQLmG09Qy0lTAcyHxcbP8ydMFrDtpwi7ZnXnNUMeu3eQI
60IhIPHzOGoyr9CM3hRYb6+pvVjbnK0ByNfQRN/Ihu1ra8ovASV4v1M5PYfeciN0HXnvqvgoG5K4
UTe9q5FRt9LsYBuIMP4vQiq5vJ41X7ij3nbqScgtHMErzSBegBFbMvtwgBOnQX0dc4GgIRO4wDuM
tSusH13NNI5VtZ+95pkTbXsUnCVx376RK5JEYdSOofW+rSEk66KNY6WpyQv4ZJIKm4JDL5VKkM6K
Cg9IFEBbtnUjZa/M/hBY4nnRTGYC5cilZlQRDrCLm9pwKMEItTWVejTTL4Gl297tEBp8omY+E5PP
gcDN6VZpInRswIYOkrvK8PmrGVrWPvhoWM0pNY0QpcdWOsxXbD/nIv0eB7qlE8SIgo0JDjA7tKCp
O82otjSt2gdbvTi1ex0JSNaJZlqnmm7dac61o4nX8KXTs9tAwWaVI9fUsezK1nkPpukYZvmVH5WP
SRE/eLsc7oIK551lps/6nww+DYr8r/W8GP63yTD2Ths/EDY856NzoHrq2rRu9QfkFlB/p39ayuW6
iL2T7lEvZHnOAkU/+omp+Ji4/FaNb4QNLX7sq5n/WEZ+xSLjNHBYjAz/NMvltJjoI5V7Ssv6MSjy
N9SBPXDA6yileSuteSdGp6xqzv6YP0uvvOuW5MjRlx6Vem+UnALlspV5tnUj/xRXCO+GOCdN9kI5
5Bkebj3vssF6qACkFbk4d3Hy4DXFpTPoIcMF7MgOE6v/iKf1aPn9NyB0N30wcbd8Bit4ZQ7FtVmJ
m0gad7m9XDperCW39glIdCLlsEjOKhh2Qj2lHm7QMn3ObJbJobmX8ptkNB5dHJc1OhPepy+6+B7I
2zuFeoRYf9cF8rmnyhPI5f3Qt4d4tE4ptTDZpzDsz2Bs12ORk0KRwVF5/meUyBevXp6Cttmz/N9S
vLBZsn2WNHf66+gdiHmYqZZVCiHCdLpdKYeBqrb2QNPMpUrgrYh7vyyvpDHSfTA+CZ4DuVVfG1H/
OjAZuotek2tAlcuZb3AP9H1A1mnuPDVf4eck1tdg2e7v+rI/MDvu6nh64lFxFLG4shn2LaCvKFJ3
PhnEoatumbnuRwchzdwMkXcJ2/CxHSnuCsDyy2kdlS4DnQ3yIo0Fy62c+S3MVo7rPoR+eSOb5sUz
EuxIw2qo/VtOcW9GjxV5ioLq3KrsvQqXB6FbYn3xgV380dLtsVRO33mjXC6F5qdPyn8BOMAzShrW
fhQUh6QU0SrdSEt2mmGCkohQt9UazsaylvoupWVBudyOWoptO91wS928w+Wan2zdfov3IqRHlZ+q
bsb1XGDrrWLLnuveXGPAdW1Eam2g09Hrmsa72e1QM+jbzXTzrqM7eKc6q9e5mRx63c/7n9Pkv3ia
RMXm+PWPT5MP72X3rv7n/xR/Uu1/+by/nSjJuIAjp/3mJ3D8t8iMiepOEbxncaA0OU/+dpwUwV84
foIpFy5PhJ9nxl+Pk5iMpLCsQNIdj9IO5PffOU6CN//TcZLNhBA8NgNGVQ983Z/WUB4PYdnLin1X
pq+eFudQGwIsHcQ39KEV90Zo/l4z8tY1aOkebErzOnfeo1C8Dt74StIXTn63qbN8unUJ8no6Tef0
4ZHhnkOIi2e8jft1R1f0VoJMpDWm44jkOlc+ldAcgLD0urDlCE2SMUyH5Tj1NNjYVnYp45IFlumi
26WEkwPnrQ96cRq4j7ne/KVm+6pOR7UNXT8hrojLRcj7OSsfZmskcBs73+qRx+mCTXdVT8nzMJjt
CXeftyoi9KAC3ycq4kCWuV0INeZPBUybdVo51WaBehDivLFlWOwrbXFe27YLCqhabuoR81QGG5J3
Yr+Ws13cOqK/B0dlPACR3wcyvY6j6lhWcfnMqg7pbnYP0mboz6Lss7GgX4aRR2KXe67kLL8ZEAo3
ZEzd01vIgY7ddHvqk4UqTlMcixKeVlDe022NesFIuUoMnjVdGEaXMKbVfsDRn3aiOOUR/Gu7Gg5d
FNCjQdi1KcLxYKRDshvI+RQo8jvX7aPTMnjXHM8S3VkjMe8KM75RJRwbmVQClK55Q31qQbiC8Rfq
FcAggvFsdqhQIgVxVcnhZEYquzR+9mOm+qgT5oGg0PjeEP1wlHWhIwKMKGkKr39zPRFS1ooX2+1S
SC3WdPBMNe6dnlV3ekPKZvZnckkYnE5uFNdrvyYUAugL6Fz/Ups8ip0Mc3HLmpn4ivVOC+watoz3
Wvj2PVcUB5Mrlin3XsGNtoR83UBMXXfa31oEUMSKxvwxVgkGqKUhHTagRbVs0jaQpsj8xMlNhaVo
zV7iHBghQ4z1bFfLA4L8exvjM7fj89j63NinMt+kjR1dV41z4l1d3ysIIABxlpOscYaBSwWwqx5M
vrtjgzl0Y07EH0GUrr2ay7wacIKNQfw9rKtb2x8uSlYSpMxMdyq+cfrM31FnfcIhI781c2b1tXjZ
axkzU1z4Wtjk+r32tdSJ3dzdFBiDC1u9SadITyX8Lw4R446LHcJcVnYbW8unKTpqrAVVOnqGo1MC
hXiyteAKPFLCSP1ZvqcRsEEOq2OwkWjtXO0HVFvuXD9Gh29i0GgeFzoE4pJtECdG7o2yKgJFZHHY
BoRRG+prhhi1mQfCRUWENWe0TxHEQF1wJc+BNWenxe+OIAruMbn0BDwQntG4Vqbq5yM3xH6LCrQ3
TMjBoRasudus6StZnrkivFWUwqOL0bcrLXQPWvL2GfMSolKRRBuGV4csbnOWn3jxyQBz7SpYT0PH
Tt+tXqMmpUsO9lBjxsnVrCX3WYvvjvDuM9m++kvU7hkDqC9u3XMRgWteuE10WsTPtZyvUP6PJTCt
0HA42GjRH1cmbz72AIFeCNCX3FNJwpLAYlvQ6rVBt3yWeo2AseyNqf2VpoZpS9T20nb12dOrB0DA
V7beRRjpNQKWlhrfxsVZDljsD2VH8J+q1WDT5v0ONNKwCWaZnmsm9g1/3XOjFyCuXoV0eilisx1p
ODjZel2SsDex9AJl0qsUxU6l1MsV6MisWX4uXNi8LGxgXDYxcRPs8tTETFj3p5JregPl49oBWzuD
r7VKnDdcB5BFp54inna8dzTtdpE8JBJNwLVB4Y6aiYsAdjD1fi8MIXc4gHNDTdAtNEt3qjkGjeB1
6xHObjGdcrC7veaUDJrEW4Lk7UDztiB6pTXxRuDtyrt7R6tWyUcqzfTt+wvMwoWoe/s9waQTcbPw
ef5usxjLIVjgtPOvZ+WfvKl7MsAG2z/5wcup6uEJA3gutp5mDCfcnfvYONqGeRnJOvhJQNYDLHFq
9vcWXJWo6iR1Rs+yXeWaYtyYWDIam1rX5jN2h2bbjIoKOae59mgr1IYXDKpQkW3WaHvTSLHLgA9k
Mr+RmqHsaJpywtQAr6rcOyULvBYIz9422YTQIAaHuW0fvCz+bgIgXSFPJiAHlyNhSHEKk+nQBCwX
isnLr0jhPcZBv2n850KTnxHDa02CBlBXr2n2lremi9KjedEt0ADw0fydJqdEmxvx3APoWbauA2sa
+gEYPqegmlWTqAPNpK6AU/eaUh2lOW1agKsnrG6Z3w5r5ulsTX0rFC18T2S5zW0G+DoAgD0BwqbQ
M9/pZeYoUPm5ZcebAGw2zuG7siLB1WiiNsrO2h5fWWAeQzj1J4fRWyfiPOCrSERejt5PXq7QyTn2
WLcEAK5NYTI8kWmqCNmVBNuMltSdS/xuJIaH4rMZdS6PkNlDbrOGGaLuNrBOTR2U18qB0l934ffC
bwj0sOTepWrn1424ACt5xE/5rXV41w2tEnvMjt0R7e/B1blB42PUKUKXOKH0T5ZOF7Kz0lnD6eeq
ZSR/2IXgp8lFnRIIPOtMaO7d+EEZaLVzivyzJsbY5snT6M+3GHiufZpJCzNn+0dIZWrxK7AogfWe
hz8WVrock3wykh5RefYUbzVJI4xIPFN7cpWNDljG2MUGaf0wBajNhifKGmbrgUJYetd0QNNDde+t
EqaRvHOsTSqC7FA250YHOxsd8QT29j3UoU9fxz99qGarVkdCQbWwOKiJBJMWhewWbGodIO3G/mH5
GSklW9rqkGnlWh+zKGua5vQjgPVx7TvjBRQ77t1gVzNqPmPOeOiA+HMTdjYhedaaXGusA66mjrpi
WiCHqeOvMiYIW+lErEs0VowJfdMW2FAcxs/b3obJ41n5d9OqCNXqeG2lg7ZRcV9MBG8n5tM6bLpj
QCZ3aQnnUhrOA8oHlY7HdpAcLSYd5U0ifNhwToQi5JvpuK+KYwV7ErFhFlW66XUsOBp0QDjnQRjb
i3EXLJd8XDgJl+oKFyL7rRmn5CIn3Bsxe5lk+tYm9nzyxvC5bSV3+uCYTlQrVzqwTCJrt1SF/xJ5
P3KjWHc5oNTICZ3jjLNbp55dnX8edBJ6cSWeAsH3aMTa2YvFV2mvb6lN3CkdIFcRDQfXvYUV19fu
YE/bhLELC23ZENpBTK3Rt8bKWnLMfOcqAhCR8JMdK7HtjdHext7IMRubufYmR2xYeJXwKxfauWxr
D3Pb3aZYmnPtbY7Lj2zwEUVMkk9W6RuXKKf5QDuiW3fGW1CzflqCfsQBoPcoP/LB/VpM0mfaV50N
3UuhndbQ6QouktdGe7ANgRu7Nz96zNmLdmlbEr+20O1+2sHdYeUOtKcbqO9Lq13eI3bvQfu+Rwzg
DkZwb+Y+OWlv+IRJvNRu8czGhCOb/ltK3e9uMcMXtAv6tOfgyW4xvSSlYqmtHeiAm65mLOk+1vRW
e9SBnFDkhiVAZr4AQUHJHEbmmZaBKkNgkUTLd8Idzvbi0RSPDb7SfvgZM6qLQZ5F8KmwSQe1N/yQ
8c9P8sYs1VOcWdFBJ2I7+EmVF5aHxb5rzOk9MpprxMLmyvC5ultQkriJpQ4uI42K9BASBfkm8J1D
ZruBUMqRepwRNKoX2FCnPKOqweyyaG0CxV85RVfRHsodhXsSBQxI5UmRbeCZXjWkPQt3T6zkZmhj
tXM6zk1qsZBlxi1lKuIXB+n//jsLis+qnlUSxd0v+4rffvnfj1XBv/9Lf87fflOvOP72q0vyqbhP
/ej+6Uftv6rr9+Kr/fMH/eFP5m//61enMz9/+MX251h/1zP53X9xlu1+Xazoj/xX/+H/+hd7c232
OTjp/ok48NX9z//9eM//pA388mm/ZZAsm6mbWBKxECKAAdiG3+QBRHbqb1n1uKZOIf1t24QGQMKI
6lz6zdiVu5Kh/tcMkvwLjj7+ETZAXyM1/i15wP87LlWdgMLPx9eB01ZqF+vvDML+GFQpJnHu+pnT
71MBcLxNyFZM4oLGTEW3hBhdZNbNOMXjdYO71BvQtpxiKE5maT6EbW+vfHd6Jjhvr+cl3lflFGzK
UQeYCYsyNcSn2vDufB6Du0Qjre2yrE+sYusTgChjJQcn2Fij+dw21WsZztFZJbegOAkUpkt6EtVb
HoQN5hcaMauJ8UOEzA0j9S8+kUQNlDLz5TCy0qJniPdNyV2NYLj3YflzsOcZjUhRzfdVvbzL1L1a
gK6v+Ft6Mp3GOosDlMYQa/yRTilzXzn+PoLYOxbgnWOzNU6TQfdR2aRHN3KjjcyApylqcPlRj5ds
TNwj/TC3GfwJaLw8zD2niDg3mvY5i/nu7fhQZGm4hQgWM531L4ylENtm89ywpOZMnj9Hrey3lp+i
RVQFaAwq4P3k7PoD2QORzzr3PVd9vu0Dgggjp2RqatU3NkxvHGsiPAQU8PDExBcFg0uABSEmHKzh
suFb6fI7z04BRmnf/pxeWzU+FbHIm6aM74RNfBW41S6Inc2Q7ou4sPamWl7rGYo3c8+ltYLbdnFB
1tPqgVJM1W6hsGa6DkfExQqPxGHCFVQ6jyAkakQckh7tKQJWFhkGktQMH+1NL+6cFMheZZLY74r2
IxoKyqHEfG1I0R8mx7gYyZwfWIY+VYu4MlwDdhMbevgAAcckTqJ4McajmwXXzlQ95cuoTjnpz3Wl
1NlkZmKmNe1V4af1cTIUs+lsKnLhxCEQb55prbofU1YWILqKoM/eLXIDq0BhcKl08HU0QNPFcvmc
pyndzxNV7nMPdq5FPAni5C5V49finvK54D6co2un+XDujbi86SUSxtx/1P1LUM/zoQ7S/ETUaufO
9t4qsn1A/uiAXtxsdE0Wbc9dZWTr1JkYxyplbS0HkFiYJiy4PIAtUTvvfFqroxrIHfYD96YLrHjT
WDFH6ooTu28u6jYK6LOxmvZFUdvwxKLyoZwn0vp0WzWMIUMjOHZBporGrjqyeIrWhVNjoE/wj7t+
+kzZrNaSic9Md60C8NV3oXVAfOdVTo/dxI869pcEbXs6qmmZNlm9JLDsePgECGqpEtsh5OjnjF9J
7/iHprXUrrXSswKu5dL8XjAGHW0/8m7nOtzXZuESyPHfiISE+zbPg3PGRq9zRMqHiht/8cy9L3Dl
969VgfjlDdE+jD3zsc2D76LvZpAWWOnk2F2iYvA3Md/NpvY5QXQNpGqTbmdDdO7WzruI7IlYZ0U3
H6Nsus3q/sazRPOgXIAAbZC/xfWjSXb7dojMdYzZ6oqUD2lHBw6OKKZzipTAyP+DAMm6jKxrr2yS
cyacfNuq4JjY5rprgichJnn0VUQP1iAOaBukKoP2h8fXdIZbsZqnMIQd2N/7Wjpc0BBNK4ZdqWXF
XAuMAqUxLNkkkTTKwQcZCJHETTItTIb9aAP2Kp8C0vKJQwiqh824CivUIquyvFXqqfYUlBEE54Qc
u2FP2M+sb4uWRJsof4jRSAe0UkOLpo2WT1t0VLwDX/Qb49ZCYAV4+JajuLLmY18YcPeX1F9fAo9K
q2g+FnFivQYea51G1sA1Nf2kmQfnyqy9Tls89zEz9bb+RfZls6yFYBdFOBmYwDw04kaLxSyRmQuQ
A1CRCZO8UiSErCwGa4dDQ9crpeB3fsrPM46f1Po2aGG60xK140YHTlPs6vWpRh9vXM45oz7weJx8
4mC6HRoOYphtN2Y6fQaJe3IFP0l89RE+h/EbYECxWwz+rN7u94scmOLc4dUvxYuLQacmbOun2bDN
neoutRZWp3YcsRLfUR/ir6HKtJsuQ4gLrRu5tPo0TRZMgCRwoL3sOyj7nTWKAxxduM8YkYVbM66Z
zg+09NfQw0K52O5Jsahn+UQRcZQpZ51CY2B71fJDHsSGpBHX8WzfsKMM0AawcTlp+cHXBkFPNldR
hp8s9Np73US2yIrVfV59FCUdAyXgI1RqmhGDYANAISXP5Ji7SXt+JWvrAV932xYjTlJV7OLAUXrO
X/kWfeqmj9vRBzZHID7YmF588HyCKf3kfywLDmESaNQziONiYrTuEUMz9eb75d6MpxYBrH+lKoOK
6SiBfkscN+4WhQBJGlEVs9jMdKivnQxXAEuOeiX8uN5llSatAHGP32azF9uqIxOQdRyPZemhbCaa
FwqXm/1hMxGL5NxgstrHk0jeoMWeNXdbHz/AKcT9S31cAzKKLHQUimhvd/FTZkCv5PV5sip/uIb8
OMRDtu8CELn1WMDc41mzDv3EO1uBd6EYoV7XRhqvSuwOq3GYDKyllTqGRbvG1ccdvYjPE5GyrVuW
uwr4Ej90vLYI/eqgseDuwG3QXKqeUSIlWCqas+qEv6IEgc6FVs4f5ZUJmnWbxvduCKHHCfn2ErsT
9HhF90rk5InpLAGA32+kwXg6toy2fZPxQCgxKAJ0BbWbEAznvLNSQ/q2jDLbzhQmYpVQH82SvjaZ
dSt6g6kVaYybFS0lwImxJPvtrXJaazUrCfAWM8pC6fdGyujD7QnVTXWf7UqqeqJiWQOy3qcxzXxk
I74a+Gl557X7pmsXxhO0Q9fmiZgIusYzDg52s2yWifVD6xEioABjPWcG/JGZhAKxlIMHN3QTj3Da
hwH0UGdwEeQ51nKn+yys7F1MMBmyDDRvGXo/2mSi9m2ZQC4gl5LnTFvoyzPVLhg6zJwfz1zQ7ZVI
Y12GxnAay0ww4Ecvbhe8OCllg15J4qZPeLiGyRVz7VoEpdw5g21tQuvYDlay83kzLAMc47S1gIe6
7+nc6tZsEthSlzHUTLmbiQbqXVEd03o4IHEVW2wWhGcn56GIQ3RVvU/Ici9fAwqhoYMD52hjKuh2
vUEZUJaiX+GB3SY61x3N5iUaLH8VyiHhrVlt5wETZq9fMWjAFM4l9mFgn75qJ6KYCKfpOlkk9mLW
NlzlKeltAJgIdd16pNZkO0ABAbmD/cHq3Q+bA8CGFMVq8npUEI6Zc93ZXDY2t8eiptw7qSgc0S5m
C+2esZ5MMkChpKfNnkVVpHiAprMRbJ0ieEdLeBP8YCPy2atE9B9tI75nlAWhV5VwN7RwLy00e76f
iuUINGh6sg2XO4qPg4Y2xQaVq2phQZc8Kg8q807cy97t2MAOSccDgYK7QSgyAvSL0hVqUHvahjz7
sUwACT2K0N8QJG+23BWj1QTDipgMR2dft4mPXIrs1Mh4MBJbAXB+shnNIR3GDfa2dJMEHm0+1gyF
VVFb0NUTdD62iYSQ8XAV1WnMxmhLyOQy2fYVd3EQwnozFCGeRJODMle71Hcu3ErcaDkX4axWnqvG
E8edj8ztOI8bYg9ID7m0Tudt0pOYDeq+PFvdwF1/nA4+N65t0aLLE84wj4NLrq+r0ytXxre2ObpH
L8AKX8ejs2tos7Dk8j2ZE3VapBuBhxo/wv/H3pksx41k2/ZXyt4cMjh6DN4dRASiJxlsRFKawCiJ
RN/3+Pq3XGSqJCozTXll9i7tWrFmxRRJIAD34+fsvXbW9ceaZcYcynXcxP2V7psXnVP7F+RObRQJ
bCJPs9jX/WhvVFIWsHEAv4qc7qb0iwM8W9wsYxHCzuszGm2566UJuLGo/uRMAsJnpbCqIYLlBHLu
mCYBER1wTt0iF8maLxvdaKmz63RtK9GGcQgBBPbHYWqYalH9L2LXXs9ay3hDqJcBgsp9OJlrtmd7
ifgew0hU7Y1ZQ/LMyIw3rbisrIHmS+ejh47QR41zo+zAWZ2l9KR2XelrnP/sHZSIGlhPhdpE1T8q
GmOimHqqn1gzxDTVF24TkhSErcRUO64w3aZi7Pc5qVgLO2k8GuskCtolWT3Bo9OzqzNDw1AgUzpU
t0Df3QzL/8gkflEmoVpSNvDXnZDb6CF/+NeX4l8vGe6vOiLP//xbRwSyqO6oAp0afmRHhqN/8zhK
/ayKS4HQK1MmK3wTTBjaOyaRyNGAkL7W34p3uDIsm6B1959TWYSU137P2bQsArRsfp5tEC1PxPyP
DZGG5JEUl748YU1LDopHJm+uW3oDHHwamOsccBmVJPwlxtqH7+7an1ieDSENlK9+u2nqlobSmDsE
1OjH324TeDsoBdpa0QofRztCUQlfxyfUQi8sPCeuHkVMqkyX8CZV1eehAZEP49GrauteQXLkaRM+
fqVxS14dwGnmpk7n6zEHye13Z0GLWyrRiy9mxEIZGUjgeenRG+bWba6YxNmUuReo7c04NE9ODQjC
bVsJqKnIwbQw1GFuPAqfGYUcYeumsi7gxa8we9CrJcmsm4KB82T2NDOd9kREFyeSDppRxGtaXYDh
wgopygRKQaPfVLMdeKZv3RtN5+7zPLRXyBeXgx8dDKceT+FIMKFDD7l0RkpTQ1nb7PXLwjK+cBPv
S3iYi7g/y1pqVjsADG6P2MOGD4aYpLVpAEpWw2dINbLeuieXMU2q4magAYGotauPVlw9FZyjDgJ5
4IT8+DJz1kM767tILy/9trT3zWDtJpdWTsugahu4w6qUKWzBUI5IJ7vdMFbJmeP755VufcxMNn2X
okCUrUClq10NauPugykj/7rIUB+WcKv8q0h2+msyJ2yh3Nk+AMOieVJinwETkdeLpo+DbWA0n2HF
+bugYZkE/B+Ia51aO7JqsavTeE1UK7temsL+HpOt0IDbFxq510E1P6IwJa3BcLeYH0svGYx6Fwup
i8FWBb9nfIjCflcVKgRslN2WHlykWAy7qVWOkZHcpcR0d30aXKvGyBXSFogMk7VWrT4MCEd27bVe
G9VZuBojlwmOofQbZ9DKDeCM81AIZnOaTDELHhmPunHvJSzi0E4iZ5eK/jFjsqEl2bHTOPUjBiD3
L3WajUugX5sx3lLrBzFH/GLCjnCs7afMuajTcB9ZwXVCenXvQEbhkcQW16YElNVCWTH48ZzcLbYz
IVR4taBH9NFBqx19V43mB0WtQc6Ns72VLYk56D61Pop1O0jQDQtlScP+WBedu6Gv/9QqM+5i1We4
1j0IgXYqi2LI/OFpmF26lj1BSbRNOT8EpNLaLYM+zAMbNXIYKJnzmqLrHhQgzqn4bHaJrg7nXZJR
9vrlGVCq26xw7a1bmAeNPJLFUNsPcDyxcblkB4i0QEHDeWPvziAcAbeCV0C2EAD40xy6CEH8tQbg
fSK2bF34qn1Rs02CtMKurHilGs3XvtudSnRG9Bizq1RcxrBCT3a0q+1ZRZCURQu7DvLzoGSO0Twm
jYkuox4ubM5mAGqYpo0H7ummdxqIJDOvtttq27ve7TnLTV0DHK54X+blmpGTGAnz5VU0BmkID8NP
JkwiNQ4vXDA8FWVFNZ/ZsrJV+lUddGtaXOeTo190anyuTeERm8CmrFo8gzs8ZPjyosvZsumlhhda
+nFM9duym8+M8amsxx3v+Knq841lFtuuwAVtSJC/YEYPuq5r0YYSYMEd3oxd5flTfqfY4pYW1n1t
INxJay8QtIw75bxTu/Mw1m/Izzlp+BkWYA+Z0k1nejTC4jEI6GaC77RIizhWRI62pSV4nsXDzhdU
iqStEoZ2goF83klRxXTIymhX0t+zGWHW1XiRB/6VrUakGnMcWM1DcsqMGPxwdO5Y2WE23asSeS3Z
IsdaLVDGADIyK9RELeen4F4H3a5V2qlCYbLohL6oleC6tKx9ENdbP57XADX3RaAe2zH+qLri4Ahx
kdfxeWMVB3BnSwjBanUmUmOr5clh0pOjWuQbQs9PrZ2vgpw1nCu36S0U9bhmscDGjUGseC/vrtPd
JZq+r80ZOS4EwWw+Ns4IyS/XP4aTeqp0eqvKB3kHlNLdyYvT0EAP6XRaYq8/yCvNquRIFuwhmrWP
6axvfa66ts5tZq8TGgVK4BBRt101J8e0/1Oo/erIStUMyqm/K9TSh39dPf40s3r+d9/0rMIyLAFB
U6PgkrrR7yo0gQGKbxlUJ68qNPEOxonpAig3hQ44ndLmZWZlEHslpNUKqh7/jQ1t74/B3UtR9HcO
KVNWiD8WSQhkpU1Lp37iZfw60/puZlXw222/0LFOd+IickDxAG/l7GyoS/qV1+lMD2myDtBUpw0I
c3Rd0XsHV0c+sbDNvhKcKyG9xRaM6sJulGLVmizORA6PekBw3pQtFZMEdaf81OXh3YD+gtn0dIHk
mzZtDEfXMZGnpdSGoaxYypn+JbG9WEMw1edNC2RgpHobtJt4iO4qxzS8vuo3OE4/xjWd5cBK76eo
tdehpn0O9cFCcpN8QNix1czids4/dJQRZ1NPim8ZjObaYkVZl2VyUyED2cUKuT1I+BKOhtoUrZWI
cPVoFO3qLAOB4UMi2WjJfFbK0MAEVequE6CMIjbdmb7yGinodY6yb20kkb2ejJnlJVw1Y/Je76QA
deyRHmrNuMydZGP3ysqilUGOihavI3dllcDc66aulwXNCkQ1w43lezS5CLowimbHBrijK3Q7TcHG
jgJzUzHXS911RUxQbpRgcE19zbKcLGJNuy8CG0ez6z6KJpwPo2ojWAmQGTii9HwANRjV8q3f+YhY
LfhgQQ0NnurKwFw6VBOoN389BzjMfYWHIWyXlQ0YUC0Zo3EFcKCs9LOedqsu6K502Z2ZGA+t+uEU
TfZNFRXWLlDEyEg+oP/M3AU4EtqxqWo8HTGnhs5ZaWFDmTSVNPPKqc1mn1vhcWzMZOML+L8CpUlv
cMQPDb9b3ptNqB2Ajqzwh2BZcarzqtBvempnpxf+qmvcTTF399qkf8J3T+8hE+eZAOnWlurG6nwI
6RNWqU63NmEYR+vENLEB9+Asquwmi1E/5kgCN/R0kc+S4Ivrv0E/YRb9qdcrcA9K6QVuy45Fy29h
Ozmagd7wWqf3tCj+NIfxpTX7wFl7s4GOyFNcBTXBxFFwAijkhYV1SpDLrLBCf8l6dauBE2l8Cy8+
Z2srwDQiNjxj3XoqM/J5GT1ibvZPsBgArpAw0hr9zh38ncvUr03tdTPNZ7XSfwlnJ975tYuRsHlM
yzrYEz5yZtZzcZ4ZWUdArr/OhbGiiU5LITF42oV8VkR4nnfWhjJR6txCezkI6q9caLd5HdBrttuD
liWFVwTRbVnrgdeF8U1g682yFI6G4w6QhhrWrUfTVi8AienttLZ67RH0lrIf/HkzEHc7GYALFMYH
i94p6UbSHcEBZ9bJtnAmuimwFhQRE76G/J9WE/+oeIgG9N38XaAJRgE4OnMXbgz/2rQedCTbTGXl
8JfiNKsC7TJg8NLWU7Wl6oX1REWexYR7jYP23rDqu2KEnyPIatpkZXwVZCYNGkV7zFUmFaMBAFCb
NRu/f05OJyMDFFvvYeSCZOutC0R4G7cnEgZUzTYI1r7OsaWeDnVSueT/ZjJF14HCYX3YRE1xT03+
iUqRpqCSnkLamUiVyEXNfO1SDdsnmHDxcoqDe791PRLAT6Kthj2YbiZcQ+9v0cxKJsqXRDxVdkC5
FYDm07VblAr+gqQIyvl+SNexvRjo2nuGOtGCryLQf212CYJ9M7qRvzUgmpJoNE7OziQCW+11yBIj
TaR+rj+mI8U9KjLjjB5dgUsuI5lVoE0eG6BpofE+zyqTRqQdbkuKXjkRRh0lgJfoJCgskn3VElle
nIy53OoKH5KJaD8aSVGLUjkz+djWJe7UyvcmF3pZ5FjXflscGeAX0FWCu8TldylhcmsPsTSGlidm
Fp2nQFBY2GN1oUwsmERWIJ/82n2vBUD3YjxkgrQvNTGaZVzFBMZX5Kk53UM8qOpBr/pdSs69Hw2r
pm3TXT2jWbSlPaCyvHAK3ivIz90Z/7hREVjm18jU6g1LF+PxyuZcRzbD1d4sLTlei2mGqrjri7RY
KYDn1SK9jqzs1tZ6Ws/0NQcmom0cHfuoRnLL+KuMjaepUr+0RvFk5tj/exuYAzhXZANHJdS+zJYi
mU0CAWYyPCJl30ClhvnMuIjhM1NGvGbtfJ/XUMX0qb2orpVe9y/GwNjNApCC0QK9dsrhvd/PqETx
clnQGIPUN1dVr1yMjXEq84qRmoLpCX2AwetFnFa8N/M+9/KOE5ibonQijhwNRsYq0MSqy16kyM4y
GcS+zeqhkayL8XDd6kG+yWMLKiwPMH5W+v1ouhD5Ke2SDNVMt7IPhpN8UtNAuyhJ7V3MjAPxBIe4
RwiwJ8o6sbZRbOPPRY6VZfHWIUOZCXFcrcMmu5iGaqnzIC5LRLx4qFF+iypeFmBYzhEZnxlUt7kK
8ohugtPM2XL2XQbfPUfk0A7X/WhdjTVMIw7WnDq1ZI3gi8ZzPPDx5YcMFojXJaEXFe5j1OanyM9U
MnUvVJ2e04i3moIA2etcNEs96x+Usr1MS3EwfPKexr7YdbE1HwbTi2MtQBqP/Rfy+FmNHzgYQ3gv
4EEWTpsfLGXAIzsrwBuJwgIZhaFYWosLaTLGj7yZpe24lwbkhk72tseTTL+EQ620KfMSIIaT1uXK
QPoaSDuzKo3NGep80LX2TaycK3Bz16Y0QQNNxuqgzMfIfPRHPvlYGqaLwrAwJfKgE2O/AiPhZb4e
0cTexNJu/Z8W7a+2aFXxt2K126h57F73Zb/+m29VP7RC6npVVs9oeWVi7Le+rOzGYmajUjVcNn3k
aP/mImiqVLHx6dqWSePy31W/+g4dg0X2k6nBP1Qt/Z9U/UB4fqr6JZKBX2JqAByM11wEJ/Rthsew
5aY8cddI/hdBj2R9tNVm0UXMOYOaiWljDAIjkbmvXJijE4opcyEuMp0eZ+9oTOzU80IpyW4J79wq
PDoshElOJ7Wc70BbOzzB/T5z5s+tGz6qRkdmeUdywRB+HI8mZCvD3Wt+TLAzbBhljNHWlw0eJCbu
kRCfDeIB9Kak5wkTFBN1Gnk94loSV7A5BOZwps4XA5KEZkrsRWsFJTzje7tiGcIvi5cJHnUVjdal
1MkOJjVD2CNOcdLqJgDnwIqDx73iVWIjzUNPt4rB0xVX2XelzlR+kTcTDBwLIHDuxvDcSlfzwJ0s
SCylw+uyywal8lFrB3U3JoiBWCndQhA5V2x8q7+2kamKROZc0RvySU1Z5TK/TtB8p6YmBGFujCut
59hBgKQvC6tFbIrMyxANLnOZiocX63Ie7oQVdAcDdDQaxhsdPxntaKda2U741BR3jtazfPSquios
sa8hxGYG2KqAWVsr8/mKOrzqSx019ix5cLSxHML8SpnqV6UYwyYNTF7dN0hJyo0qMwBVwgCN2bD3
VqT0ILP40GPy7PyK/dUsoBI0bQLXOUBxw8yyU+gCqjJz0B01rxfqJKFE0zpN7VPf5SfrKTCjXYDF
Q5Pphf7IByzzDPkhQP9lxKHMOizRdLV2fGoMUhCjbM49AvU+BqN9a6DqXE8yMxEZHdkPxChmMk8x
ENBwVCIWHWyQtOG1dcy4LdKKPQeaAWJbn4RYw1EsO5nrwrFjPVVzinytzrVbS2HjG7PwoqtwDpEh
qhE4xnOffI5lEuRAJGRONKSDLGal5rfKLiA20pT5ka4MkpSJkpbMlkTHswsJm7S/pk4C28EOgqzd
MTFVaTVzM6ftt8HsVbq/pptbAet2mdG65caIdIBULoHM6OhcmXk5EX5J+1kQRJbQrEXEZCiwOwwQ
FEUQ8wKMpBlVxGjOMk+z0NVzgky7jeDIjTAA+UFocRhEa7YBR4VBQWZzugGhguVk10dtrpCQzkNE
c7Y7ZDLVE3ElEcImvq9BZn7qCe8IIKVFJvNALReKXSozQkNBWmgZnlQ7TNeCGFFeN0SXY3uGgxc8
dnNdEzjqchTUY5OpcsCxrPUltR4xaeHbN5ASw6tKS/qjOY8Psat+KNNGXCXIYxd8VA+alZw4OO1n
wXlB33SKy9bWNRjeoBMvfbqSm8odid6qSRDrhu3M2WclEpiY03BJzNIhALbnxU2CpMc0EvmSnuGu
i/cGZ3Peq3wdSM5/FqD4Ex3RKwXFkV+PZ2RlQIVMNM+bygFifMAUVOvCdWNEpAIU+4TeQC2bBBXd
ApSf47qlWl5HwxRLt1Z0ppv3fp/dVjT7kc1/gGdoLSO6EPj6bEJK4/tENihsOhUDHYtJm7EsJMFd
UN30YvCXcQlQTcsqxieseyKi1U6KOO4c2QwhEGMhZHvEkI0SpJEX9FOMJUFddzG9lMDijBR0GSE0
/r2ZgFer0M4UVrHqZCMmiGjJqLI5U8g2jdNUa13cWGFPuNMwT5sKmnY8DDw48TVQUHVpuPngWVl4
tIb5IkamDAYz3RUS6UJ7Ml90OP9Xg6GxWhndws/pGRQCV9lsp2c2NqrZnsvlVNrBOpyDvTMkSD4t
PEkRd8vLJGAmk6gZpFr1xvUQpUgmOYP2jD4shkPcNpnObD+NsWWpybqXEJtO4mzSmABU8DYTnJsc
3g3gKIeNp37vQsKhyV2wrlLrgnnENBh8HBTlk2NRGQujeAR38wHtamWhFigwzEwanSmCINZaWT8E
jT+zjASXQVkvE0w5m8Dqd04TPoKjSbzCzJ/6HhF0+cSk9H3R1OPKJqyTCJh2F+Dli9vpzMky88Y1
h/wi7LWjpteroexI8A5xSI0Nw3e2itTK7zrO9J6q02hg38BdUE73jsIgzxjgRyc2U6Q2MFnYZyX3
lEY9lkgOV11KiKvS+Os+I5igIpOvQpm7QJIbrltFvpOmtpwz76tsxK3R7A6tWKrTY9sMwU4xM5KK
k9bdzKOC/q/carOdHMSEHm60WLmkn2Tsz8rZyrw2gRDWmzBWGju7SaJUO7aQ6pmYxOZlM41fokHR
lm03FxvRWcVZUtALwIlZH+xiijdpA41T928NPACMN3zP0qplY7a8wiWKMb9wmkUkTppFUE5D15Mc
HfdTWdGRqwOfkxpZgTbpbPaZ0PdCI4Q4ii3ESklDy/wYhba7LdIgRMoztetASz+ldFz5czk12kpZ
rNXUR1TGyHNW2T70unY2ea0foOCEOFFjjKjtBl6hs+uBs4tkvDJGzT1M84x5ixNjqtKjsxKNWqbt
V2RBc1jhvBUb0uXc5Z8TPxy3iGDpM0ABMibmur35NAXBlZqzbJBPS4ch0LFVshNqnyL4ASiRZNSv
XjnyFCyWqEmdY9KJJWzSo+MSqRAh6U4ztjVsajR/6DemE9pi5DgecpYSAL5RbyOjPUQpnvUkGXAa
thucjtqlHUMabMLmMeOR7oMwQMKUXE4KieSEMp/s0F8j8ln0gDgWaMsdxsh1iZvtSYsRY0r/8gop
fgF9EcwewVPzog2RqBe+cRUmJcxXtXtgVLFNbMddXJ/XFruJErYYdyMc7alFNREGO63mCKeGwcTp
yvJsYqi53sfZ11AXDX2xFBbsWczrLAgoIxE817HXotU7Jorj/y+bUXznwPnJV/OtWS9dN1+jU2+K
/95/9McU4M9/0C8bdYyfKR5f/6yvRqG/+ynpQxu13ZdHon3cd8gTTDymnG2kIe3l/1ecdwZKEAw3
gvOP/Hqer3x3f/7qDvz9xf3sX/r55/zwp38uupzG3dVjEBX59wc54WIc+mHk8xcX/+on/HDxlqMx
SzG5uO8v3n7n8g1HzoCev/6nLv7hSwZQK2raOvrcfn/xtmMI6ulfuwGvfsq/bwAIP1vTbU6vqIG+
vwF8+giLTB6Mlxvw/Jv+/3/6r/7053ng7sv//T9SK2VLkdKvPAGvfsp3N0AQ7wy7CHb8y4W+vg+6
6lo0AOgRfP3iLeEXvqn7YKgAJH7zPujQIfHo8UShJpNfr54HXghUYVBR7edvq8+v3pu6Dzotml9c
Ef7yeeA+MEnmf9bLhfIDf3wvBOmitoXL7fmLZtFbex50U7Wf/6xnr+u3TeafbAskvqnQ/9ABPn/g
Pz0PrD8uIQ5/vDZv7r1g22IBNxjG//YCQXy7Abfx+QN/tVNY7+CekjShWi8PxJu7EWQB8jr/7gIh
dwo6mghYX67z1X2QdFkOV3C7Xr7/Fl8My5ZZOr/3PKjvNJQXNJle6qJXL4bzTodfJlW5L/fhLW6c
LHC/WzlQN7I6GNB6XzYMfuD3C6X9DvAbXSzxx314fhHf1oahq/rv3gfeCwtrBd0q9fkD/+m90HC/
Q7R7+bbE1L25DUNDW/6b7wXPA9Q+U+VmvDz4Pz4PwP146hDEy3GK/HqLBYQGruD37wOrLalXOgBE
+fXqeXDfCRYHAzHZ821QnxekN/Ve/Fmo018crf66kOJCZenA0eJP74P9ztJU0xIAH5+/3uB+8cJP
/739QryDMWEzuXupGF89D+wXTAkpVf64D29wffgzIMg/fh7kxmhh2P7uOr/fL6g3CQM2MbS8PA/c
p7e2TmosX6/tQP/0PiAJdXAia4b55/uFw77JjWCBeLkPzwvz21of/kRt+9+4D6Ykw/BAPC+Erw5a
rA+kB9o6tevzF3XWrz4Pv3CzXlg7n9PHh/q//h8AAAD//w==</cx:binary>
              </cx:geoCache>
            </cx:geography>
          </cx:layoutPr>
        </cx:series>
      </cx:plotAreaRegion>
    </cx:plotArea>
    <cx:legend pos="r" align="min" overlay="1">
      <cx:spPr>
        <a:noFill/>
        <a:ln>
          <a:noFill/>
        </a:ln>
      </cx:spPr>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plotArea>
      <cx:plotAreaRegion>
        <cx:plotSurface>
          <cx:spPr>
            <a:noFill/>
            <a:ln>
              <a:noFill/>
            </a:ln>
          </cx:spPr>
        </cx:plotSurface>
        <cx:series layoutId="regionMap" uniqueId="{DE6F7765-0D02-4B18-8AC7-8CD5AE7599D9}">
          <cx:tx>
            <cx:txData>
              <cx:f>_xlchart.v5.2</cx:f>
              <cx:v>Ganho</cx:v>
            </cx:txData>
          </cx:tx>
          <cx:dataId val="0"/>
          <cx:layoutPr>
            <cx:geography viewedRegionType="dataOnly" cultureLanguage="pt-PT" cultureRegion="PT" attribution="Com tecnologia Bing">
              <cx:geoCache provider="{E9337A44-BEBE-4D9F-B70C-5C5E7DAFC167}">
                <cx:binary>1Hvbct04suWvOPw8dAEkAAIdXR0xIPddWzdLsq0XhqwLCd5AgDeQf3C+ZGJ+YV77xyYlS1WWSra7
p30ixrJNxwY2SBALyFy5MvX3a/e36/L2yr5xVVm3f7t2v7/Nuq7522+/tdfZbXXVvqvUtdWtvuve
XevqN313p65vf7uxV6Oq0998hMlv19mV7W7d23/8He6W3uoDfX3VKV2f9Ld2Or1t+7Jrv9P3ateb
q5tK1bFqO6uuO/z7W2mv0qv6n//r6u2b27pT3XQ2Nbe/v332tbdvfnt5s788+E0Jc+v6GxhL8DuK
REAEx+LhJ3z7ptR1+tjtsXecCiJCxL50C/707MOrCsb/S1N6mNDVzY29bVt4qYf/nw199gbPeq51
X3f3K5jCYv7+9ljbrk+vyrdvVKujL32Rvn+R47OHN//t+fL/4+8vGmAtXrR8hdDLhftR118Bus1/
IjZB+I77sPTE5+jhBz/HJnwnSMAFC8Mv3Sh4gc0PZvMNWB5GvUTkofHXAuN/DrfK6qcl+QlHBb0L
/SBkPn2BA39HWMhpQMnjGfGfHvrljPx4Iq8j8TTuBRZPzb8WGv/8r0Hbn3k4+DuGAkEYE984HJxg
4cPped1w/Xg+r4PyNO4FKE/NvxYoD9b7abP+hBMCzoT6Agn+tOjPDRZ/FyDBEOLBo8F6zZl8bzqv
Q/L4Fi8QeWz9tQCJrtruttRvYPL19U+0XYEAX8FISMWjKwET9bWbD4EFYEYDzB9Pi3iC4YsJ+9fn
9TpEL8e/wOpl9y8GmlbV559p2wh65yMS+D7Hr9o2OEcBDRk4ndcdTvTjCX0DpqeBL/F5av+1gFn1
V/bmJ/ocwIURRENK0JeFf0GWw3e+L3wa4sful2T5x/N5HZancS9QeWr+tUBZXv1MUgYc2Sch/GGP
JBg48NeGjb/DAQXSJvzHo8KeG7YfzeZ1QL6MegHHl8ZfC4wDoMjqJ54Q8DMhDimCY/K43i/hCAEs
xDh5PWT58XxeB+Rp3AtInpp/MVBU+1n/XFAQwoHwA/qq2RLvMPgSgoOnOJI8PyMHP5zPN0B5HPcS
lMfmXwuUe+XhqrxN7e3T4vznfBlOC76PXiCkfBWY8B3zEWUYP2oz4oXx+tfm9Do4X499AdDXXb8e
SD+RNYM45oN38SHmfxUf4GHUpwho2qOxexHP3C/kd6fzbWhg2CuoQOuvBcj7q7q7sv/839VPPTS+
AK2FU1jt566egHMRAj2SZgTs7ItM+iWG+Zfm8joiXw19gcpXPb8YMrfdP//P53sl9WdJycF9WMJw
iL46Dc/xAa0GU/aHlPwSn39hRt+A54+RL9H5o+PXAudCXdVXb270m8fA+OeBBCaNh2DPCKj+Dz8v
QhgOQgCgBGTg0aS90DL/nZm9DtZf7/ACtL9+4VcDr7x6c3r7M4/WfZaGgqOBs/WFN7+IcoAoBJiG
gf/IqhF+2jFfTN+F+hem9C24/hj6F5z+6PnVAGpv+6cF+s9ZHKgCoeA8hFTMq0cKsjghEigMw8f+
FyzuQv1gOt8C5mHYX0B5aP3/G5Bvzu5rV/TsS/9mVhOINeM+FiF9Yd4gZQYdPBRP5u2FD7pnbF/y
i9+eyutw/Dny2cT/+1OW305n/pH3ja+6q8VDwvirjOb3ex9eEvLYL4Z+jyx8WbHNze9vQx5QFMI2
/yMVfX+bZ2TsKV/yyqBb0MB/f+uF78BDUcDQFwwTUNWA7o23D12Q+qEUcgiYoICj+wT12zc1IJf9
/haQR34Ao3BIUOj7DGbR6v6hC7QgSmAYg5wp3Ba6nt7yWJdTqus/luTx85u6r461qrv297ccw52a
L9+7f0cKglMYQOjGKPEhpwGPhP7rq1MoCYCv4//hCjo77UwpOZrSqK/xUd2wz9i2Rznqdn5WF8sp
H+8GSmsZ5Mk2VM26rxLZhHiSNslinX3KUb0f3G3Rl/pTVQZydGkiPT2EJ9U2DSw6qibF5YiSQvqm
b+RE9alfiCtWzHgNdxcxylAuWaqJTD2exiUnwzJUHt4PyN3V2mmJXD2dU5Wv21SnkRXOngZ962I9
In+LbJpFOChumiIj27G2ZDFXxskxYeFinMxJVdk6Ju2wHmz1uR3LepXnbhdM2TIQXb9ISY3XLi1n
WYr6MlCTWedNeTE37LjaJtuR+3phR7eujJqjmgf+Ag/JKAcjxNqkS6aK27paOjSa5TB39SKpK7Si
7HTiiV12tGTRNLFpPcd6UERaM/rbpk7e65OqmMsoJTOP2iq57Ine9GUyR1hnwTK1wUUReN5ejNjb
u5Cu2RByiUykhBKyRQnZJtx8TELLD4Z0Ouxnc5fg/r3zvZuEZ0UUtIWLfDdOsme6lmOllrrMhKQF
3s8W7ZL2M8ytOev89MbkXbsibT4vVOFvmehUXHU0X+BKbGnV8JhmotuUdRGROsSyqLwsCmgzR+Eo
1kNFBpljb5vT8spDblzwFFdRFaaBJGg6GYOF55s0HnqnJE/SWgo1zREd6EkQZB+LBs3Sd/WdmoVZ
TZke4jYLP4+VK+I06JxESZ/J2rYAzZHOTlEyjDJVxRz3SXNnGM1kNrBu78/pyqs5WnM1okXCa7UM
CGuioOlP6DSRRZK6KW55biQoFlvftee+n0aFX1/zIYwYwX7cMgQrUKBIZ94Ola23GAlny9nxiwZP
KlZTegO76jj1XHkcYnsU2DJZqoA1q9HqiPQ2W5XTSGNs1BmxVS77PDMyJ+G1Z5ItMTWRlY3RiKsF
qoeoVbDxR6SlCcWdnw9y4uV8Unn9+9KMdeT0DSs8FTtMLxOfXPYquNVBGa4QcUaiDN4u7UOxTvh1
Mvs3s+0j13RMGhFc3h/rqBq6JEJZyKIqbZCsqihlju66VlPZtdM5DhspyDjINq1zSfzxxBf0czvP
pcyDfAt1G4u+I6cdMpkUQWFklaJKtgceTVWERzZGQdZNctTu3E3TZqSw8oES1YEYWBLVIQDuc57L
NDVxB+cqIXfdWB62qPakr8MPk18lC6e8/KCe4JkuJakUTXjuDyqBV3NFlA/iyCY5X6c4q9ZjKLD0
5ySTU+bDvX2DV0nZ+ZGo436oikaWU39qFB9XTYBOyg43skvomVANGCahdGw9T0RmtPs2LS/hH1pa
VS8qN5Ao0+Ug53QepEjCTjZq+IBn7ku/06Vsi7qRpPXaJaqplqLiNYy0aew8Pm25KwvZd/1Hv0Ru
wxQ6x8NoNsYFZ3RMdknap0d5jzd24ir2h6I61GmjoqE2Jx3NfKmSWcdF0dwlqK0ik2keKcNtPARZ
LbP5Y9j4bew10ydG+gvFg71DPZWY95ssGdSe9AhOjpFtHRbR5IVl1DN2Odr62pJICNwtGjznsum4
ZD0Zo1TkajEH861n627TM2QlJIUSmRS0jBSc3i3J9Iex5qs+sWw7dZZGdiKxxYChU70X2W6+US06
B6MnDrwyodLvYYegY2Yqydr6GpVERDh1izotQ1kV/V40+ngQ2Q1xg5BTAbsTURwVdZ4ujSfyGLX5
uCGmeY+bZD8Y48lidlsjGI0pxs1pbchWGT89HFxdxkPL0cL52Q7y+DejKq6wnt9nCF9wL/k8jfOu
buF0hJk6InXZHxfV6MdizgPJmtrKQSu9Lg26K0VmZRtmWdwwbKKgyJWclHeYlNWppcYeZKuEoNO2
/XTnMxUZg6/Al3dS2xlOEPfyhZd+7Oppkm2iOnBiGRzJdva3M5/qqB/XND9Kebph4TSuJuzWrMt9
sC6uixkLYMVZf2mq2o9SvCFFsIcSvqWq9XjVB2g913WkcnXXllmxT00P7jRBB7nXtjKHyUym51Fa
gD0Gc1QtdYiOuNLBqq0RA8ObHfn+/R40fWxu0MAOGe3TbR/ocpkXY5QTrZa2Ssa1rcCUpiKJta+H
dZUGm4H11daCQRMZmhauwOmeQcZkERg9y17QXCb1aWJCHZPC3yRJn0dszNstlALKQ6wnup2HUcUB
922cFm5aVEnKVhb3p2VaXHMfsM8q8mCopa1RdVFO1SZT6pAObIW58d47lyRrmhZStWWz64PhDoyb
AUMfrEOb4siaJtw0WXie+SiyVmyKZCoXtDZqV6X4cLRdZKu72uks9p0YdwaOdsW1kmXeZwdzNUeA
9HyM+fuiyy89rZ00kzXv27Y9SsvhuBDFtKmdHyWTSo9CV9NFOjXzYiwLvui8Oi7nwsReOfC4Dsdu
j3Lzye+7KbaluJlMis8yNqSruprl3H/ippOtyPCqqoKjlgT5IsdG2rIUuxLNyUprfqlRRWM2eyu/
aNnxtLV+Kh2dF62LOpzvbIvtMu8JX9PxNgws3nodWTSCICBm1UHezGrphcTFrpg3KZ9V3LpEywaH
+cbNx72u/LW1LZPYnQAZXZlwbqKuqi6KNFWyUr2JjEfSSCOsN8FYL+YioUtr4HgA56sm14AdCt4b
POTnyLQfPT73MkSzPcY6IPCcDLyZwFlMREePxjFgUViphWenpW7UFIHFMZIyU2ywdXihiKOy1V4R
dSFa9MMHTZ2JORi+NaqKVdfglWHtsrNhsaWjmdY4/ci8K78ZJlmZoDoqdD/sUDgfFFM1bGHHKTve
8kydlC0QCMZm2PXlsHPO5as0nK8Hj6pdHaaD5BaMO6o8BnSvL66QP2yGfFo2RXo6CHIBrG7hOXqY
iObA5dOB9W+CPPjMYIuTMF0gg4TkMzsI2YzBd5ZBPKpkT1mxYaK4S1W1mQOvXXTjrlEZWtQzMBiK
uvfd5K+KLCmjrgP7XFbjtdettD98hhc4rluudpjTUKZhEluBlSySeoJTwm89lMp06qOCFvmmMaEX
dyzbZGPY7rlrF4oWw6rLp1FmqtqG/hhsaK1uhimjkbgppixKjJB2ztbTYI442L5zqqfPaZ/czDXZ
zUYd+apWYEOIxM28xGWZRyYlxygku6Yy6aLS66k/xvmQHJXtGIczmJe0bIfIK5C3TOYKZj0n4Hja
mkoyN2deUNWwaa0XdaJRknp2Tcu0W2Y9eOpUgWFMed1sUcVOHGvsoWmJk5hN0WAtbAKdow0UYN2B
72uXVagideQBulIpdomTwi5axJea2Y8Q7wDJzryFAZssnc3H2OZ53IiWHcD++kgGc4cK50ncBfMy
TICDJKmRdV1fD+7MoFpOJU7juuoXOM/RWhXANbq633ZjctwY59YOe9Hohx0cSqMjL9FIijHf5xiR
hfGpWvnVdO7PJK5U15ypMFw09exkmFfR4DIRN2r2IpK4SRZ0Wfn4zp+mtWP4akiSk3v/skzEe5Yk
4HkCz0jiVcMS7N9xUCV6U3tpJV2CwJAmJbh/sQWzLGlJ1GHgrPR4CbSx9CEkER/FxM4dMaPMzbDV
XTUup1rkkpq5jIkLby13wV5kfjQ3E46tradVmlSbRFf2yAvpxvO8MapJDURbZeM+p/rDYBxEVZ49
dEBTds6kHzHKBtnRIj34uo75WWB6rZvJqjR7rCT/4+M/znQFfx8Km/9svC9E//PT/qmC/bvfWt3q
e8Gwffmle43hj3v9WUJ9H9X/UU/9Qin4UvP+FGD/O53PNIZnYsqTZncff2MBGui39YU/5Zg/FYaH
IY/qAnuHuX8vBNxnvjkiDAreHtWFALJ+IQ4IFzSA7N99GulRXCD+O0wou++BjCAHIelPcQG9Q1Dc
CAz/Xg8AkYn/O+ICvtcOvtYWAgzTQxzKiUCpYiD6PtcWRl2XM0F5+MA2N31z4wILkcJMjlq/Ywvg
h2c8gwgr7NtDUenmJNE93fRg/Ye2OatTIbaY6Q3jrVs2wJ/ir9byFfGD0JfzI5hDJSHwRxTCLDFg
8bX2MTapqrMAs8hzrFimfW6XLXKJNLuu94msh5IvM8HvRQPwXErnJ0A8yIJ66qRpOn8bztmGVUqf
G99FFhd9xEzPFr7ozwru1xHilTmi9WZOXbab2+rI8Ho6ZMJeGR2wOMnTbFNZ0i0geu+WSFckRvU9
yTPqCgFVPKyDMr0wZX6SBiyNbVboWAf4KmWGbEQwp8fDGASHtg4XIEecBmqsfrRE90vwDELCMbkv
qISUGCX4QT76Sh4ybNIh9fUU5QD2choKvnu4lKzjOzPqfkPHKgO+b4HIk6T8gFjKFhRo54pN1kXg
+fmuyMEDp9jtsgl7MS7KdOf6IRZKeSeN8z62tJx2Re8nJ6HXH839WJ5phg/TxiOr1qWhHBsICLK6
ZrPkuZZWZNMBVl3M/WwVVpZ/gLCzgognCHd5OYYf5gEB6crUdgo4AwkhQLGXBs3pRD0WfX8T3QuC
L1fovlg4YASK5qA45YWAZqaprdIsGKN2kplz/aYoWyTTbBxP8zJIDocuiOee5rshMR3QsTkbpUEd
i72+znekH/OdCLp9N9DDxpFiiXubL5LCpfvSsqPJJ8WedW25zyr/ssydv3po6kCjiAV4mAXQJnTi
96KIS+I1y9kIdOLuLxUFMoFHZNezaGZJyVCciCmXfp6yu6lsj2k9NCd2RgfjnDa7xgX6y4Xi5vEj
S5pF3WCyS1RBDiHgCQ5RrtV67Oy6yBq9L0Ku917SoahIA7HsgjTKuS4uaUnDJamKNIIVA2kNNe5g
Utlm4KrdDPefHppUlrqDplf5NgvLRTAW/c6rp27XNabe8SSiST5FU5GSwyZM7EGi2x/ZAB8s5HP4
mA8ZJyhCxVC+AjnFe3i/2uBeIdoSjq+LDPdQ7Gu/PMyy8BiWZZKiD+wqRbqLNeL5+Rh0wFi5Kc+q
Fi1NhtpFQl26tM7S9+XYbeuu46fgb0EGUtNhWQf5QRM0xWFbTLBxD8thMBfNBKSj0Ezvaz/jMkjn
amVqPu4bMuar7+9NDgryi5cLfAGOISBg8OEVXxi4Yc4Lhrt8jNw4fiYiGxeuztw+IZPapCkcKeTk
gB19n43JJzLVFy3G6sRjyXWmuNkiL8lOHprmIfSkYH2wemh7uFQsHGM26DROJrQqvUBdJG2frYe8
IDFPivzCazVbekItCtKTiAzUnT5cwmHaNN4wHILCN532emBb44M68dCZ2XI6DcKsjzrwAKsglZCQ
b4+rdAZpwSbAfcXI4oePD5fQ5iFEvjzdDWaCsH1sVZSwgF0xQY8LIIfnPmmGVR20EJkxf+EJrj7x
qfiEk9GcINzrYxw0a5eYZUoYhPPOijaGLSPgIc2immt9XuoyX7Rp4G9qjNgGCDKWM5qr3RzwMbLg
rZYo7E9Z7ZMjq4L0ImX+tqepPulzk140mQb5paanI2luvg8xfQViBiKmD9sX8A3Zff9X+5cLBVpT
MvfRwOkQQbR0klakONMTxLNz+zGtQ/opnSOvzXIJ9jrcfrkEHURAPD0sfFpuHbHNbqjzeem5OYvA
rZ1QPvCDh4tfVPwgKIleV1acqo6DkDeU/uUwiW4l8pAcVIOtt1PY7ZSFaASrwGxYG+CP2XzU9MI/
ACWqBCVA0B0iXbJOw/4iLd3wMZv450pTclPoTWeDddfoep/SfMgi0yyyvEXbzNt4ObbbohQEuDpE
ytssABn1yyU0LP7+cmL8F07AIKcCxdFQ28k5nBkgR1+vp/OwP1mQQaLRLTJG+m1ejWEpxzEbthVN
WCm9aeg2WcBkXlN6Wt5fOD5rfVAb8yFMD3tu1j3ceffnxYxd3LhkWJoORFEGpObcFONK5wx/oAZ0
V16NIDZYLRXK6HYq9bAC47kdKsivBNMipTo/5kLPpxXOwtgLEm9h3RzuMWkONPHJiS0gfK8pd1EZ
kA8ChFmIFsYpSnKDDkxwM7GQrYFCgchRE3vS3l+oP4xR34omNpQvTMfrQ4yndMNne4JEYXZ9D9oC
wglawkrNsvEaEWtXXfiZ23kYNIp8zLojFvagymG6e7jMc0J3pZddUifEqklab99DFmPfzkEhA3/t
dWVyDFq8OrHTDHpYh/aUQvapnfBaeMY/Du8vpnU4mrqgOHR67pYQf9CjKnPDIheg5SM0oFg0XnVI
rDdskjRnUddb+H1RXB7RDBT1hnblgR7IuJtDkArbstaXo3If+wbyRi5t6n0mkInmhNSXTdmdVb4e
D9psyk8eLnqeVgiUxm1l59rJJKS7cQrofsy9a450ff39XRf85RBDoi8U4H98EMRC+K2J55sunEu/
nnoQBTIbOzo0p9UwN2vbJAiyKlm4p71f70qRgxDko0JmVT8AqSw2w9Q2u8CV7brq6jtLK4dkpkW3
LlT4IakFuHab3RRKeKvMIyf1dKKLVMRF3RbLtsHeKZnGcd21/kqpSRw8XCqTjctE+W2EQcA6b4Ig
sqOaP3z/lWH3v4wOoJyAAfMC63X/61YQqTx/aSO6sedkKiS69/WTPnu4lEEm84z5p6NP8D51/FNb
0lamXcYiy3i1wQr4Jh0KdQGphvrAS8Qo9eDUBaR72HYcwhzyStDLEjZsSvhloqgdg+zCJVmywn1E
Z6WXU4PLc55nqQzbRZ8Y0H1Q2Z16ASrhSdptHz62pvKjLssEOElE7xwJyN5p8HdTx49twz1Q21uy
AE6/qpPORXVrIjy4cdPM5iIf7JnJ01RiZW7yxDRACc2lLg43baZueDE20ism0NjEZUKLSppZtrT7
NAXiYwuMNupvO4/f1YMv56bQkfNYK7NiunQBOLRA66jU4DGreZxlnU5XZlRZhAK9CllaRC4o22hm
ZCV06keqhJyrKUE/MSM/4huWzJeiq0c51eoQG2/RVfVxbodPuaXrIiyuuAlWwvBEYjqUkTZFF+kc
ZIQgqPByGPmh5VW3ool3NUP6Qo0zk8Ar1N6rQHDIw1RmXodlo4v3mDbLfhDAomhykav8o/XOGDPv
hykkm5xQBeJvd9nZqogHNn7waogdvL6MctPVoFN6RznHSdQjW0pSufOceH00sqVqx5U/zO+hBkzm
3nkmUsgA1mKfTM1JEXbNwqXDCuGGSGADMThjvdBqrKVxulpWFhILFicr69cfTNAGsY8grRuUfisR
BaGxJHO5RqItoh78exQM0gRWrQwOlrjwhJyzHkR/Q9ciT3M59MIsgya9hhSK54X8xjC0UVOfL32V
kSXuqmSTniaCtEtSeg4E7tTKkvZogfURxDxgnaqYhzk/r323qARooYTmEe9ruintAMirfoVtCcoW
5TTye+St/SGQw6BWdPAOSJJm25p2kH7RjRwhkQ7xdITLcFj1rpd+EmpJG5ceeE2xgzcLFx0ptUz8
REnT+5IY60HGEh2hBt9lXoN2g5+qZZYVNvLm+tT26Cz3Vv0wWMl5s2Z+E/s1BMlumDd+Q7eZKBuZ
O3bMG0iCwHp6sjEjpA+FlXTy8aFfzBezHepFSyiImD20g0MMlwys3pr6rZYuLxcEgt314KhbDKAr
qvpCdPyq0mKM1TrRwZ4Fjsddh7qVc9aeVSi8K22yGynJjhzIBpMFgjESgNMwtk8zqENo/Mw7xvN7
Q+vPLaQf8qxTcgYT0qpGJqkg62nOlz1kFYiP940Tx72f60Xb+6suwxLy6WXk8uLCQ+jKIyP4ovRD
qe8zj2g9sEEWZyrDrSw7kFd7HR51Th05DMnA7kMvGjiGjfg0W7YS1eTJuRji5t5RBZe566+z8BP2
2j5W4wT5IoO3/88FFBYScDHoGP+tBRRCj3XMoIBCkfx5AQVP6n4xT8N/WkDBIdNeBj+pgEKPzF8C
+fv3CyjyEgo72kZ50vjeHE8m0p3Xn4ygIXeMGkgb2FUz1cM+ZBPYdL+BKhbRr2kPub8hXPWG2i0r
V0MIydi+gNtUYfIxRazb5JNZVg3I/02GmrhGoCQr0523Sc7Whd8YuBmLUdDc9mov8Kma2F2e0XSp
VB0sUtvPEhsM/iSp9raZ5yVJpg9d0wLN90ccN8lYRC0bzSK0cHKx50NyWXXBsh2TGxxUt5yr8mNV
JAsoIqplqWbIOQTHtK3PPc+cWp+ZVVoc2rY/Ud3SjMFZrX0VJ416H3bkYKTDssnzeTP4c7uiRXnb
tVYtK+fG2GMuPUpCB/nvltwmJeuBzkGhiODvez5Oa+4nXFZNqU5rKDYoKe1Wve92pvu/1J1Zc+Q4
lqV/EdpIcH/l5vuiLUIRLzDFBgIgQXADl18/x6NmpjOr26q6rLqtZl7c0lMhyd1JAPee850rEaWJ
VAyO/Thk2tuA9ZS0hi82ee4ziVHutQsKomXNnM6Nb53/6oKfyKUlTb4l9ZNcHfcgZO4TpS5m6Kas
Vq4uIr3XTQtuoRLOjpIqF+IHjbfuUNXYEOcNBo3fded2YoAiltYpkl62JVgi09nvSYv/qC0IC7M4
3yoT9zdYBoXEXf6Kw/ZTZyHlJzaCUSvIJZirOjUOe7I0mq++Fk0xSfXTVJUtE9Fkc90PWeQHay4F
GjBnXd5itFxl47XfvYnH6Sj1mzfTJ+a9SLbxLGyHT4HXyWKOo9wEw3aZKClwqVlRET1lU6KzuWM9
rC2ee4Ees8CfvKxKGhy8bZgSlMWngZj3eV4SVCTJN6eb9r1sVlj74BfmdvhuxXS2UDrSvo/hpS02
KriAgGVE06RxxUqjcVE2KWFsWZXkc7UE+zZzCC0226yXCd1zRmt/hpXNVT75c3UIFvfiBOx5W/Sr
ctadi3uMhX1YdHMVpIr3txaYRLYK+U1u4b2XJNona82KJpyDNIANlQzddkqaj7qhsIikkWm70NOo
4u0vD+464WjC4WeaqD6HUb/dK0+hA52aM5ABqJD6xJVtTrr2mxP6iiANl/hX5OBYT7w89IO4jPql
SscqcsowjqZUk3DMcGgNuclXQGPpRMNpxz6oZRwlJkQbbeH0w3t+l/X6HtVeX8ZNpPaCLW/TOH9l
vnyoFs3Bto8WdyC8ECTQWS9VV4oaxinQmLpCoQgCI+uX+H0wkAkb79hHdXiCSIj64YeAEJF6wbjt
rZ5Av/iSoqowzrFvgRgk3RPgLVnYJIal9jj4Qpz1kRiLfiRFg5ecWjNHKdCtb1D7wtz3AZ31K1zE
TjFRNNrqTCnGAD4JoDNMffbe/U1Fe39w6xy0NnxWfy5CAsAkJKCBmJnvRsI7tP3RDDCcpsBRWQDQ
j6/DtYPw2FfbXFrTXJxa5GvPv1Yh7r+Z3WRUpRFFPTTjH4CCktkaRKfEgVsJy1UN0w/Bwz0ZfKjD
7eu8qVc1LksO0vUtWeeMLTPP6iku5pD8ouPG88pnBQDJOp/diKaRsYUS3UOBP8NWNZkatZsKfqSJ
3PbuMn5nS3yuUHdljE7vixP3h3U7jhPEA46OBpalSKt1OwS1fds2+IR1nMqxy4zvjWXdTSsuewrZ
Ay8JFkmxbUnuGlIQJqFfwV3cuWwEy1VvWSeoTodt9Etl0OpH4By6cdNF+CtucD+QJvX9k1ykOFWP
B950+3kKosM60KyZ27bsHDBtzLgqQ/lkpDcVUMBBxMSw2V/p0s97pS0ptmWCd+sRmWlNy8RNWGo3
JjKnBf+R1FuXAkFKOxffOjAryzUObmhfUaVqFEfreN8W3IOWw18F41YSJd1Cbt1nwex5rpO9FOze
NIIWcvLWPBgSsSOJN6NM2m6K0M9bV7TDBPvWVrdW47rF87AD9dKn3IFUMEl7DHFKwZENd1gaQdY1
7oQdufs6x2GVAkYDNxo0POt8H2xae5DEb1JX4W4nzO+h6VTfK+M9160BoTiGQ+ab9gO9KTYc0S05
bVDQUu6GR0fp8mGsl5tEm1Cv/Q+valXu4tWl6jSGdj4z6V03ZHsyqQQD9tHRyxZuWav7KA1xNKAL
AjNmnQ7tW67xIlHGt2PqYR2nvtt02VxVbg7o6EkGejt623BbYj4fWkcUTFZJ1q8h6kJwBN26fTTu
DMOcT5cuiIoBljPAgmoswiHCnt+ht6m27Rg6Jt7BLP6yrlPe2OScwPO208YgzcQh/JEe1vEkSJYE
djxPfn1Y7fBmqrogq9hKxTsvM72LQ0RM+aCcry6Z6yPpGy+NRfd10FRAop5F1tBkSJvEv7H1S9Sq
m+xgJ5OtijKCviB0t4/acXjRU1qCcDsLuohTLR+etMF6G6trz7s1C7dtzpc4BFbURFvR8Isn+h9i
hQ3dhEnpeBUvzBLFWSerDKaL+NQ4e9T1NxV4/M7H5c3HpmIW3RRwmHGcRFDR2NOykFw51XMjskCu
3rMVZk5JWPm7JlRruvbogCOVzM+BJgebQGpXw9l16Qfl9uAGTYjTzxbuqOXe8XUeYX/Z966w6GXH
MZs6kbtLl1kWESyg4Kkn1RdU4LmJ/a8Mpk+GsUdvivp7ZYcgJ51/s8vneEV7v72zKZJoxSWBxTjV
6eY/9IQ1sVlFz0oRd9ey8G1qzJ0HdPtR8znXIZnSkdB7NeJl6IpfjOlBoLBwvzoXh04VPlSyHqI0
DvDmlrrJ6Cb6fNBhdACOuQubBB3OZgocc58G439ghYl8AqaX1k6/ZoHTDHm1VR81b8E2z9nmpUyA
jhyMisp6YsegZig1ExxQrkvSio99Nj042npvZvwAMqH/HslYZe2MdeDVY8aD7Yfk5p17rUyjeTpP
UhqAtWiEEN3Nh81/aaYx7YkzH2JWvyp4ZpWsTr4K1zSmg8qrgMY549vntfVel1doVm1OcSAfCcgX
IAN4mQQANNkwDS4CoKuJ88XtgivcXZbFDNvVNjU/OUrSvi4DsAe7cbbfW3/Rh3boD3x2SqH0eKX3
eHJMCgV5KGFsbLBhJmySsEwfjEKajNbbkRbI5CRbaB4WjSUP7t3mFHHMOV7wkiUt9rxehnExCT/v
LFqslgN8UZ7WKW28TNg+3I82OqOoeWEtPJiV2mKYI1tMkHpcin0Rhk3QqXKe2QvbrtVKIA+sojuZ
ua5TBUwFjqi8qX7+YedtgIesjskSV5myOFOS3j2hth5xmv0a4vmtWzp76mNRjrb/Veml2WmCnZw5
X4ZWnEgzCmge2Ir4CBC+d2Mv5QmgYAPSsFjCws7AHNcGigCpSU7FRTLU/LXwPrxVfxCDCX7SNlkS
YZ0lXmY3eNEwO1gZLz52Jf8eLj4wlAAXKZzaDG+hHNtwy5t4o8Bw+bMzuTK3ff0WeaOT9pVZCtUx
9LYAq1E9NGBvUDGsoFlSseF2JM6AU+uOOhgelh8Fecfga41Ulz6tgsc/xK+z6rknqhgnt5xp86X3
j1HURMXKgi1nhBXgTFGb8SUqwvAtIACupxUKtdN6Eb7m46VObWkS/dKwvsEz2+QCP2drIX+Hs4uK
FPVrP3s2QzDgcZ+Qs2BueMAaUtjqN/9Mul1CjI8GW9G05sPJwHDLOgtCR6MYKGa4zBEJykosd67F
0Z+mJbeOkwcKEoGBFZX1ovm1oJa24TsJ65PyMsmUOI6qu3lx/T4rrVCP8DsgY1kGvfuzpsldbj3u
tnV6cQbA33HVDSlrQBuTpUyaGbcOpDpca/W1qm7jbGzuqBjdUzfvEkC2WAqflA9yduPWpLb2zsvo
q9wRKEbdTdhMuQlavEnlwca+wb3pU1dX1bmrWI7s6stUb+L+bKyjj2Yyz0YMF0K1Oi18vNTfdJXV
bEmw2IKDrdc2q8IB3Gov4zJsnEzz17Z3X0mdiomWzcbQIbgxnugPkXQHPY1741MJ4ULh9GuHo+kG
ldqmuW3KX0rt+uhL0M3+fqYWOMhDRC56CnfUG/h+sDiRZjcxR+3ST7rnXv6wjmijoNFx8cn0Hkfn
Jl955A2ZAWCC5gTIn1P1Y1HhrG47SN7jWoaW/lxGQY4z23azYtnqs25HAiAmNjZOjiLZW3Id9Grf
xmtRq9pPK4rSOhwXL116fFP7IWbIQnhdXVYv7pzWTYKOtMtlEH54AF9T4wGypjXPQMHRJz4PqMAB
QMMTA+uo4Q5KVDbLTN/8sP/cLlAL3GTlu8bIZ94EqOS083NoEhwCPkfEYaMRFGJdzpsDEm2e3vTK
IPDa8Ka8YJfYtgzQmO85L8fhqXec9dSrLinGqmlTIpH9sOGXHWZKviuHfwtjbVOP1PcpWiLc7tWa
NYw+OdX4q6YOKm/J39mYFLJu7u7YzcdkVgg+zJaB8A3P0zD8UO6vLgJiJjg2EY9+iiOXpXFdDSmx
2CIkyAul1wIRDrg/nSj6aWyeRlHtlkSwvZ9K4MTOssaHYAC6Yr0oVQtl2H76r/WyVvnZcXxo+H6b
Yv33eeNqfPLDkGSV/6abLkiXKar2xg3jq7+0wMfdEJ3Q6rBUHTu4i3F7B0249wguUkBeXLGghBT1
xczovXoJfWAixZpsiMTE4Qsb23MTwH1ncfIJByl2qUp9imZZH4hnIAQ6qLEZJP5o6W5kxS6mF8Rx
IB4EUH+tXzjtcmpc1IKO8gfsxyhx3HnLQjN8yNlxTvOjGZRjsAsXN+dQXNII9kI0VZdlG+ty82O/
6NkQlLo3U7rMHigBqBOeh1Z+BqAyu+pKJGsz1dcCfVbH95Hovrf1AIl46GyGmpi7L97WZyLskRWo
ZTl0dZKPdd2jnFV7F4dXCmR0xY62/XRiPaXgUvYQAkyhZr8/SETX04YYi/e2fIjKHiSE8myDBhx6
/FZTup/WEfukrz7XtMomW/MXZEkO87LJg/ADllZO92UmbDmML17vd5cqXxA4AvtK7C6eqdlNyXqt
XPeeuCD+cSf+7PIwwcVQzgSPRqLIAbH1EyZGinVynrC8cFyAvqZ1POySBOd+I3zUNR/Yy/CLYcxv
ET2uTXxbXXGUTLwIVCRLjBsoYNg55xELsO6BDvXuBLslacHF2wWRApu6VpxoH3sIWgRfyOOab/BF
9wEo6njov+E4IOD9iZ+14DiHIT737ZTsYBb+Gsn20yBElaP1+nBd1MiNkA6M8vsKXuY4qGZfJ6iV
dMDHFN3riDUcg38Q8aWeg62sR/sejVvKW3nZkpnuqu2wSTReEqg8TT5BuobE0QYnKqHRzX30sUTo
lkXCUazWLc0W2B/HBPmvcVWQARI+7DjFaQwEuuQSFkNXubJUjJQtc6IbHYecukjh1aQwMCxeWDLd
zYaehi3Nc+0+ST4jkSQOPfDcIhKNSKOea1BUKeS1n2oI8NnVkLLwQe5sPDyNcotTlYwUjTN5a4ig
SDD4JvWm7hccCJ6yqs55sND7HG9Nav3oV6OarI/dW6DiKZ16w9MhRLkMaxPcT1dV2QxJiy+9wVnG
PqPgZwVDvTKxoL5ERnyP1ervJsWg3zyaFTKsoF9Rdc49GLzRc1/nuHNfXdnuKCrmVDsL7KUYPTrQ
5BbsirPeo2k96lDzZxwf4wFuPe4Bv0oKNiwkA43IrgEKl2vsbFvB9YaUg2nRxqzJCQDJePVYjN6M
t2fhRv2VxHO1UzM6LPJJz+YXlziB3DYYz9i4J0Q82LpbUbmVkZ/8DCp5oojknGWzpP0ErmdxTQVK
uNbQKQ3KdqQSC+7Zb2RuTzpc9YFWAnKdcvurbtwgc804fpdLKtvOSx1POzsOb7QcEzidfQBNQNS6
z/vYmS9zNzXPSaTzDlXhs2l3zdgNzzAKC7u1MzQwHcKWlq3MKf4/UpthP4rDyEN7Aw4+3+Ix7PdI
pwzYsD4mJPnuUvbyWXhbcNqC6j0eiHj+/SBtXJeVj6YdaeNDFYr6ylAwP6M/APbgM3u0LYMjLYIB
GpDWJfDgZcdcg1hfbLz7VKOVcL9YUA3HqmXiSW1GPhEUsukysmn/+OJcN/6RkAFujLUmt52EbWp8
cofWNRfBpMJ86aoxJ/MwlFGihufk8dAPPtZgNV8dFfTPSbuyE978ezM2CLwoxzuKhsYvLPrODXpm
mOSIeuE4O7sBQVLJ87tz6BYknCeEN5m+0Gi5OBu1L039tsame0ZPPSMx5PU5gh1i9/upsyHbRX3R
lGsS/WgnLPzMyes51q914Pevvmp/qUQ757gb+tdY0wgcY5OUv7/Ixw67Nt9eV08+IzGXfJ4poleR
7pp9slkPUTD4qVY4JYtRgjrSW3aDFy4pEb5+oRyXEL0IdmU+6JeIImXlrcS/Nj5uF2Wy8L1d4vYX
FYqnABubSxVYJGM3Euah5Ms1qQQvqqG6b1wOMNCjD8/64dceDlfW9fG+V378pP3ul1xs+IOho34c
Oj4WzcdSV1+5dOxb7wkXbED0JGPi5m47duCnpjmf+kHvHvrpuQo6efQfrF7T0bORjQEgS6dffU9f
IxI6zzE5UQH9wvL5i1mb0oNLfPY9KOU+mY+bjF8r7mmYpQHYoQnLeumvkYStPMJ0zfCK1908FlCA
+rd+5N2LQqfkupdJrAiJuKwFSXl1oqDGcdDMx5UnPHORCjuNqJtC7fCzADmW18FrLL2MRC0aZG+Q
+5BEzwlR7TUgbIBhNleFIopeEOE58BofPT4Uluq5GT81iKUhHhPg3uKisCFsKb8lhcsM+xyg3Do6
wSOfF/wyEoEZI1vyrGT/us6EHr0+VhDd9FKMnqnOkFeeZilozhxkiWKx0AtwWwD4SPJgz3NXqBd1
CwRL7/pAhmkb9N1u7kjwtIa1vkGALpduTF70pJ+1MtHJ+gjkWl2XMUSkNHlAHnTi58lruqJZx+d+
/W2kUNgecdudva0Jjt2Ebb8KagCkyH86fnxqEvgemlpbegJJXur5GqTy9hX7L9tHKiIHUJkWtXK4
4yRpnt11bPf9w8Nsw3dvmMNDYIBIm3HxsRLEFZDou0S5cG37GOle3cS7DT3/bhi6uxoBqPC++jUP
bnz9/aCXcB91DdmvQASR1P054LQaNwnHvYu+KcgIQW0MfIEYVuxC/bPAWZSQqb+qJC5WmvDjGoqg
6JNwn+DAK9QwT7s4xI1qSBTlLgsPHudzhm4a+Et4V0QvB5x1CVhccjYVKJiVk2bPRuig2yJNTnxh
ss2a9RQRZCjdUKAX6B4oL1uGUmMdH0QT7bjpvO+N9nKzIk/mDs7n2l3XM/xBQBByUS9BG+auJ+PT
74dWgJMm/HNvG/0UNdx/1pSTPJ7eOUCW0oGNchTUrfa0Hb46bUQz2sgfPkUdEfM1fIpBVKZt8hB2
Ngi1QzSeNW3yZRuAOlqVh4o61ySBFNMZwvJNaX0PHXBdUTBWuVPD4Eez1X/QZPyR3NxtNs+IIBX+
XKPiaj0B2TOckE6PajAsfZxXaxOVkk9A+HT/0jQ/Ndf7VW3rjarQvLGZ/CAdWHUi16tY0FTESh2M
oNW5DlTGaSAvDulTY73g0zrq4NzFQ3yVBJn2bjWXrRJv3giHb1bcfVJjCCtuc1VKvJijYuUu8nIm
uWgrG+x4E7ToyYMAAnQXZIR5AgqzPSH47T/beDn1LaEH+mhQlCuqi458fkEa5mtcT0VIbVAoj7Oz
0VRDw6NzGlTOnCvsULvEW9enbfEP1WaiK1+GuWyHejxLGaDurOdSPv7/4ukeHETqD8q/1y2MxGTw
Nmjzo0U0OMIWJSdaDCuS0S6ayjduHtq69Ofzqv3otPTUhTVjYVAMPtnHK9s+1b6zI8gtf2Rj4M4X
l61bLnhHM9eJJKwigkU5reowt7U+/X6omYTYoCks1RkAbDKB/I/lt5i9TW4TaWTsMW8A+7lf1J3H
nrVgCSoOCE1uokrb8OR1CIfktUU4ES7bzd/i583FFq+3qS7tYnwwz2AZ1xiBeOnxK7p59IZdJ56G
/YaBCLz23CfoYuTiOnM5Ta53JC3zjnPcf9rgcu+qGNfci+KmQIQQqlOnm3PsNPsKeE+2bs0r0pj6
pCGR5ayeACH6fntjajK3YJLmhjkBezq8Vs3SnwbFwM86/PM8BusVi/TJIgzyK0Yj2g1IaWkkIe0W
BPm/1zntHBzgov8+E5LY0K/ONB01LPU8ZI80JQqso4k5AGNn2uGnBWkfEnRxfWzeotmxxUaSKV+8
xs86Wku4nuD9fMc4d5xDSICPenlNFhQpfSRNGZLwGI1QG7GuVD523VIKZ2K7po7WovXXocQ38JOo
hiiTSPm9hpbtADU0wG0C+YlvpRMO4dFrw591su6apWqf3WqkQHG1yeclatCjkDavJwc50ihsYLLV
9sKWIrTxSwKzUbdh8OIl0KN6Lj7qqoYKyHV/7higl8m5+cbl+7V3Xho35OcZBVLWv/eRCEoTTe4r
0y42REagwW4iOcL0zEakJlJhIyh3DrTsTLGk4BzSEcZS9OeoRjSYMSmzDemTElo+nAYXRFzSIavd
xogAZ/Vm6C1ZkFPfxsrb+w23e2YwnqCzRN2BvcHr78fr72eUdW4K9jJGRlnLYyvYhx/YCfjZEkKb
qKb9XG3tDnCgl0FfNc9dYsyzb3+ADdW3BHXDpUamMhq24MypwQNspmxzDcdIDm7vFKDRPVbxeMJ0
lzv3p2cn6t1rwur5dZavtHLo2+8n2nsxCaG3mtPXAPXxxQQaaQW5JV/WyBzQxFhIdqLeDUHHnoZg
bZ7+NgEJjweA4x+zNRFG+vrUg0YQBxRRrUc04Q/odqcqO1gGgEgAfMH4kcF5CmWYpJEnlsKXZjwl
jzCEcDVPnYk3uV4XLKJqRc60iREJdKYSR0qbqg7hZGwvM2Q0MCuV96mRvIYo4UbZ2lOQha0JoLy0
DPJi750gSD+AjRLcfRSDto/UeEF/0t7NIm/ILNnL7weywAzTC+aR/H7qyG9GwKhvaGQxzyDOBzsM
+9bG4QlTTapDLypxSiLfO6xadsdm+BpYHFdTFwI1dCZdlb4c3xtkuUYZN3f7eKgG3Nub5y6ZgOkE
lKVSdel5UDY9WoNXDvVbbcfgFFcBaBlk0+HrhZ+WqXfTBkF0yNdqv6HkSLcQ/CqaZgsSEfU8fo7/
xcNcDBKZhwXnnIDwuWkby3hX23b8rBfbpK2q9dXMm4Uo1y4Is7L2eYJCnMf1EpW/7zxP3ONoJJeO
L++ULfITLBnkN5aaH0fv8wKw5vn3Q+yjGEOyhpbtqa3q+tqysTsrTBUYI9K+mLGL0r99//wHaDgK
QV37URTSmAYhDTEt7U+3jxZR69iHPrJEcBN70cKU9trim1Ub+TKFY5BZYDj55ODfSDnOxybB5kYp
VCqDmA0umCwjtRjkImRwqWLTp9hUxH2Neo2pHhbijt+zG/H8b+1UL2hNAE5UDACccd8TzCvK9Yjz
a2iGZ1srUzK3hTTdwSF3Xe9eITdw+Ntv2X+8pT+tGCQS8Td+XLAabhL4f/2WnS6eR9ONfdpOrYWK
GmJkRrLmnm1pwTA2qdQLIMeBor12GXXOkQ5yB2MZbiPO5ptwMDmodfrxKDBQyCTh8HkRLTm2nYM5
M6gvvkz8YXnYazMh498hpYwSGt/Hq/Ba9R/WYV83bcarS3v4kN0AjLRdbh4Kx88VBnAcWdd8jpVz
dBtYGcigsJPbgOCEayVP0AQ+oyNqXv72R/LX8aUodijFBH0/wqeCmN5fJXy4obSSFvcy8axKIST9
DBvyS7io8zvyEOhd0AE2QOYZq0z8nVvwd37oT9cDv92LcSGAd3uu9xjY98db0NfJMAuBeTBs9T9q
Ir4uoX+wjUzybpNVqjARiMJSrfsCJixG9vjLh1/HY2bHadj/4x8EBArqhC7+cEcUYeLjH18KtkEi
Ww7HmVH9Yxl6VPbioGwVwGibTmGFCH3kb9O+7ehfPoX/PZHs/pf3+5ehWn9MD/8xTPxPZZf/dbHk
P03d+1Ms2cE4YGhaf7gE/2H22e+/TPLHP+P1O8/8f7/x7yeUo3/zKaVeglvYx+wx+og2/Z+Isvtv
SYwvoOhE6BRXFVcT+8lj/hmGSDpIC8QOphV6Hi61/49ElJFi/astBVso0tGYzIZxoZgn+vvrfziE
K88DJ1/DBkcBUkSSkVPQQlCAaE9z2Xp7krg6/41RNIAXe7n8v4RR+Ohc0hD6xD+BUYRxB5NgNf8k
RhFNDACyjkEP/kswCo+6HxWK2v92jIJxDNCwc/IPYRQYvTAfIG7+fYwCUlsLeKX/H8AoPJyGqWvi
fyVGsTbhtcMctz9hFNUcmFO8YKbW38Eo4Ae5pynAKJ+/i1F4Lj8NZvnPMQo/hIqAxMW/DKMYgi3M
alf8f4pRMLnrKPTK/wSj8OvGFoT8IxgFb9UpQoP8r8QoANVbzAUM/h2jaG2LXApE+/8SRuF8QTbk
H8MoNmcBGMS7/xJGgVGbJThm6CnCtNdJ68sSgHOtA/OTzjFoBUceOmJ/OMFyCTCmCZGzWzyzw+Db
g7M0d1V3HPYru7sGs5mglQJu0N5UMuUgdHlnAAxTVQcXTPC41RaDxrrqB8C8NudteI90W+C33THZ
wM0sh8u7KlDUoYiQhKuqp8nyb0s4FWTwCi8WKhcYI5r6mNeQkTAwhSTmgXhM9wAt1R72bABHQwIu
4wzD1NYaicoZiFnQZc7iPuYExVVJYasDCAeftAVJZvi2q91AZHgFV2IRXXNX7xs0q/dJxLs4shiR
BGQODumrFObaNs5wTKCZJMp3T+cERxDG3BCbVj18dhffXg+r2sman6M+GI4eDZ4XTCjYcKTPVQ8M
EJFjV2GUUmuaYh4g+gvnVzsBRsLEiuAQdsHrNN9BMcKGF7XIaNI/S8wFcGv5ffIx4WiDI4duYUDI
uh0yxqCBrpxnGLhazuN88yoBFAChvIb3n5ua+hlQ0Hyr9T5Bo5vCEDBFxOvT7ERAXYYKzHuSQHsF
86xb511GAJp0tHql36+mQLBgmFhcilcNQG63gDhZFPkUcP/AVj4cMJ9tyjHuMqonOKrgGWBV9VmI
eSbp6uWVngEqsQiNCT7GzZE7TSGsDQty1z4GVaSOEW8WhGc1g0LrorDEiE9dtqSXR5awSxj4qhCD
ApIiwq5YDT8t85OjmNmtrEe6FDPv2IOmN/+LvfNaktxKt/Or6AXA2AA23KVg0laW9zeI7qoueO/x
9PpAcjjkSIdnJkaa0JEmYngxbJbpzMTev1nrW9uYSGbrXsVHxoszYelXnNZPj2WCgVfB9KSa2a0+
9d+qdfhAiN9yZ45PS6/Pu7lSLAbfBauZrHlYwx+F1SEKQclYo1MHebOcWOoeRjjwh9QSiVsXgo8V
A48YHZdi82/MSeAULZbXFD1ggPBguGp11YsZqJr94DmZ8KOZrngqYN6NCfOnQgRGn77VPfOuWU8/
pAkEgVxbl7d4J/ow289Cv02j6sxM9W2upO/0XbAsQnh1r0Q+5qCPBNilQvnoSyAyvrpMCPKuk6XW
HpZ0/G6ZzXyFVQvc3S6qbFbfGXoAyriKCYhV++wLgkSNeJCZSHW5dcQcSpYLCKF/Wb/yh8bn/z7W
0n/Y1FhY+nkc/rSn+V3W7C8I6F+/5LduxtFZrNJ5oISShrNF2fzKW7J/slXLNBwm3UArQXZjZ/4L
zZlICRocWiNV3zplSQ/yazdD8BcBeVsui2FpzAMd9R/pZpwtPOSPAxIQ7bZuMRzRNGH8jHb6fRe8
rPag0+/m8G2n6yRJP8OhUT0tVE/2VIAuUJrbNtaFu3T4n0Y8bZY9nXTsRCh8PqvO/KZpsInMHxlW
x12K8ReBWXM7OHPk2ll8sfXhsunXusGEaxspJ7UupJun0g1HM2EZJaLDGN9rqeMlUpt3kIBxHgNz
5hAWa1AasG+EyE3fRshTlPl9Y+gvasj+OkZC4seYb4r9Grfdmb8nqgyhfs8zGD8OE310Yaj0rJHF
WGcVgZYvLupI3BptMjFiYS6NEEZxIfAc4gprnsEsbhL1t7TJkxdD/KgjnOXjBNkhnh9EWjcuO4gK
Ey7HgGaATAsNrs48zK4qAHpRWgjwv76QTMUY03MeJeM+yYvrInYSV8XQDzUuxhvjYHo1MmPAUue8
m5sIxpzZAsGMqAWWYFzjN3BkbthvKJxPm3dmMxuYcgzk6Ddqrp7LusOe8ncbpCeT0kOyZ/k7DNLq
ornw6f7FBunEWMGlhPpBJKwsOmczBP3XNUjDz1T206jd/J8wSOubQZo78v8fg3TlrMspefrZIA21
6G1Qcc2Wg+IOCcv7PzFIZ6K81PFbB3O+35zmxeS4ul4esNWdVoEby6z7L01ErD0ResegLova/I5B
7KZje+ING7VQ2/iFwFlfl41oqG1swwnIYQbssMLCcKkk/MMoimb4lCARNzZiDCSx22iJooabGAJQ
7DaSojFbP8yNrbhulMV64y1mgBcX2UxMQ82nCiSjWWy4RdgFKVacnoHkdePwf9RTK6POV5Ux8Veb
f9MmWgXGubqNugitGQAZGhGz8bT5QSmzdjeAipxARmoFCHp7+UI2p4ebDTVHIbSGFgTaLveQws0u
4KOA16B+1ITuF+H4lOhLsh/HgZm/EV/aNhcoDNHIRjNOescIPXWuoVxONm7gsD81BUrDjYRZocxp
qgnYBUTfaX5E+fUxbOxMVn6+ttE0s7xX0KKWXzLVX5uNuFmWCZ6EcPSXUHVcEwsi23F5X5vtaw+w
E+thi25fR2hERZ7elIA95Ub4VEF9IrUUx2mjf2pgQFF+UXqbkEFV7FIx29FTvFFDk40f2q8GXFgB
Zceh8h42ymgkKb+nvnzE0G/gu4JFqvxMJc3hk04avZ69MUsL4KUw1kMYc7dldWg2tum6QU432OlG
PRXgTyGluPrGQxWAUQULL4RUnybA1OkJR0ayVjcdKFUFz3++oVU/p42zagJctTUujgQE67CxWFlI
DftuaoNk47TGfXTsVSSsZEHA3jJ6z0LElffGj3yjvOIPxS6GZVPbCLAVTs0zFeJtrVExFntj6j+G
jRnboXryYsi4+dQ+AMaBmaqYK8TRs8AYF1QiOy5Z8pX36TGq7UvdoK7X80kF3CCv1AZuLQuliDGn
x3v2XSk+8366KqrqatV04NA2SjWj4SeL1p8UFqC5ndZHaxRo1PUUR0/bnrN+zLxsndqTPgPGQiZR
t+10HA0qgnwtHJ+3ECM3cLHJVtnOiqd1avKDEzqXiPLhwOfxeuqRFg4F+ZG5OXoVjqRd2N4pS3Nj
VrDlVShy3WAbAVqG92ze2NRszfE9Ic9a1PAoJbCUITeB26dsqmwB5birFn3fq86tPtSXZkk7V23X
tzIu1P2U7sNYUo47O1hOGwBJuU0140arAai0Mr52Kkqjpk6ORZ/ezXHBSwz0xet7rAR6eoyL9Lxr
dBnvernSVK/re73WL9FsINY1KQFgoOWBU/ippswBYnTIhg1v4Jda8aEEHKe4SmsRMtHkz3WISx7V
x9meUO4izHst7T52h74OA0RAaYzdYAE0eE6GLgoMxHUuTsk8EHkDbCkxjrbmTJcSAwOc8syXEVXT
UDYpHrlll2upchqLBA5J1e9Lae/BnQhaw+OAypmlu590CsZtFjBlVSK66fSrsl6/dfl0L9vYQo3f
Alyr5fdCFxyYa0/ZI/L6Rs1XiFY8ZoWd8TRMDkDbgxxi1Kk1rLQCJftFVu8yXdNTPlIrdsltRScK
nTl/q4vlebQXxx/iEeS/NdYnXFj1KW0hGYGJ4/F35F0+Rier5m9fTJGAzzvTHa/xfjJhpWPxeg41
9jYiWR6AZBfo30gKqdtiU6eM15j+b1QwkGDX1SmIOZz7RHzPGOy7VYgsLO4mbBnV5OGZRx8eM/pw
xlJ/TaIfhZNjeFBS7WLT/VcIFdF0zeNp7Q/5uJi0r23rx3PkQ+1tb6ZFWXhyItVDpOmqqfre9Qgo
2XW1nl7i7atxc9SVVh/nOrxa0Ggd9XFckZyYwlV77SZcm11YkgIBXXqdlUe1/q5a2Dqd7lVViqtx
VX6YmLrLddxTlLt5vWyGxOo2HXF55M7j2oVoayo/YY8eYWSgPv+ZLm2O5TsDhWPFaz5J7TBuAmOW
6nIab9qK30nk79U0gaXDcAm9GD/NqJrXZSJRI83PRTFfIvj8hShuTS276jXr9CAL/c7JOIesgoMd
o75tXPeIgFnnKSfGNg95jNzSyK7y2diFEhnDktpen5ziMQsKg533Yp8ME9IMFm3TpL8NFS9Vb/To
mA8OqsveX+YyQJCCH1rZjZm505A4uaEt923dvmpr9bApqwpzL9vqoVCyTxDnUJSLs+7wPlWaSfzC
55ppj4wgL0taeuqyXaEh0tJSHmiErgYFsUlP0EjYBWVV3YbdcBlRY5sYW2bc1MBMD1NLTW9qOIfA
CNad3w+4WCaEPYnuj+NhkXmgDV6LKGWy5PUEkxbAhd+06gaFw88dXWMDe0SHdM16/V3ve39Uxkv/
68s74lzQ5blP21cpzF3BSdHozmMpw5MKROTnf6LRn4cMl425m4YSkHvxLhXY+JCZ6Bz2qdk/C6EG
a5mXHkqvXYvtmEUU10dTEjZSOTu9IvGGpVkb6One1K8G1Mro6f11jB6czLpSuvRDZJQHal8MuBgj
C/9dfmnGT70As8iBVqRPfQrGsBFK70meTLqMeyYgZdp5cT59pDnHlEk6mCtHvN/GAgpT9nnv9mN9
49xCf2qR61vY5Jbio5v7KsCBfIsFIkBiP79ara9iqnJbKyS4YKrh53V7kmm0YNL6BsrKflAj7cXm
mBdOazzMdnnHeY+DVpufCqinQYapliQAn2kd1onY/gC7pGDHX65xnUjXXMWPSzIknx3SSEwo9Q07
PfrchqEgFHHd7YuKwgwZFk7Qiz59GVH8NYz1j2JovXaMedhyaPiZ8sBueqG1G70tM/VQz2enR5ZV
6Wm+G2xzbyCtRn4AEKEfSbLQ6H/VqXxsh/BtmVjl2OqKWXVBFmxr6i0/na9s3TXRx8NcVkdM1fSu
6qS5PZpLr+itWxsNqJvE5oPdIdpFFdrCQVD2xRDewwxsfVNL7nH0fDjq/JI37XlhFP8wxcpHDjPV
IsjFn2rlTWm7Z8yYg1/1oDOyri79Dh3Yobaupu2kLUHdnzplepdj1x/t7BV0RR8ge5ZYa0irqXPl
Zs7yf/Fu/L/wrAm9F1vr/5jt/d9HUst/y9X9ddr0yxf9Om2yfxIY7Z0t/w2RhcZ06HfTJotCkLGR
LVQT5vD2o/66O2fmKe1fvmJLZf5t2iQFTHCLjbsK+pdVuOr8I9Mmuf38P0ybTIZgDK9sU98g40L/
G3YuFjQjVNeidUV0Z/NpPCdivtdMJT4MNe3DUrU+0Pxqp0ZV6MoECpzZ6vu4Zm6aDxZ0FANIV9Uq
TmBXLYD8OFz8Zsq4YhCJH3CU7Aa1CQMdoZmLQLDGnNWt7vtjjiDGTez40Bfzt74f0TPH1j2m0Y6G
MBaYUblHshUHL342CiRIYhzgX+OCMcmUje1B8yQtAA/TRrtR4+G2KeB2W1px1zpwdQpZHoQx/Cgb
BTbZXOl3k9jbi4AJkJOGYrbjuYij7oAJod5l44TunuddV3u/7dWJjKVUdzUwsJAH+9cWY24+MISb
avuK7DK4ljq/wjDDi0h1nbQT7budHsMOuWmZx7WbjXyjOYru09H4QgPuF6Lah5WsA6HRqqGk+8gk
yTZy5j8eCAuq+9G3Nh14IRjhM/EzgyVRj5GjOGctm++nCcJYYtrHLuv34DQ8p0FUbmnqmerG3hO0
EPnGAGs9D6U3jlO1a2eOtbkNTY6W6rsxGv2uAgaATzQND4l9RbF0mxihju8aV9CM9QIUqdWDJdh8
qlxbNTOudY0+cBhR+Ekm6E10VwjsSE1dZC6a7QEXduvlThgYmiVdGT7TnMVHu1rSfYbQ/2wb9Pic
7dWlG7h8Y7wV4DfmTwSxxh0wmt5Lk1y7chgGPrbC5K2xQGD3URm0zXxZktHwF9PTFm3x9NXKzml9
ELMSQR0Szt7qWgH6dIqO6oKLWEU+R5MDAgSIF8kdRCHh6h1OrAtiWFirYIMCqG8quuuoD3dFKqxD
M7KAWlPtCiF1FQwRAsWsL0a3Yn3jZiaN2myNrxhMCUvrWH4VbUlFP+QvBgWZs8wQPcYGPsqw7HUU
i8moXYXGhMa1KAyoOMslnrZIjozDWpXvddfOKO30p2mtv6jq5NJ8EeSTBSLLfsDpPOY1ddM0NcQI
hZusEqBh3X6r0mHnLP13qnIGDyVoZGT8X8uyXBxs4Ekuz3YxXJRpeEnyHhwejlCzW+LzZiMo7Fnb
JFsxOAD2KlUk7hKRXy1qe0+Szc1ICBOZfsPFVrS9Dcac+CkIx8I+wBA5FpmgbpLJq2Eu3+x+/G4O
XXI19h+lsuIWn5vmBNz70C9V7Rm5qmPODy3XMLTFX43+MPZ1vIuyReyimLp+qvBa8JZdZTVllxkh
r0admR7iLnfpc4iZKsfRVcL8NFp0Bl3FJwobDuNllTe0pEetSBeIQH/oWXk/hxhxYLoHXeqsGALW
r0nF3JTNUt2Di8nc3jFehw0VBexrvUjFvNMaTrAxLR8d/bus4HRUBkNkI/7WE9uFEaHteHPG0+z0
mVvBP5DqBCcIhIxhV1eRDojT5FaWU3QeZmSu5MQEucgo79JPVdcPQAtmNxblQyboe/ho5+XJHquv
MOHPRsXG3j9e8Grt5tR5YLvJsKhxvHS1npxqhF4URVhlm+444apsFd3wDBPuWJLK82imx368n5bc
wbcbQvnZ6A86yVWWtdPtDbpXD6QY6dSf5ZwFOuDGtdDxKCFWb5PmRQVKNxsq5VBlHFKdJReiWV4h
5QRmSvOaWQWbtW6zkKcop660UAAH5mBcQf/SgnKBhjWlwxlL1ohaMn2wRZl6Y31eYbk8CHWLSWNh
2jvMgqySPnyyPq02tPdaN7zLkMBBfrM8H1M/rLTvY4sRImkMB8U+0sIMllKpznDiswQvXHeZOh2f
lxF9OPbUPHSdpnqpyKarmgSwh1a1HqY1rd9rvRx8Z4KG1rdz5XH0c0RM5cheFdNpjHrZ1dWcpbcx
D2T0Mb+TSXOAmjddaVCqANnM6l7LawLXaKT6VG/OpuwnWgoiMYeFQcBAhhfNG9bxvrvh4CKoUfCR
tGPoTSKWQPmAAfIZmm7NZaYOB+Kqq/40OMUDxxuGE1PH8zFdCQviQRgZb9iPqnfjGb7Kem3L8qxX
DXBlI1ZPhs6qknHQYV71+ozDH3QGgWouNIvE0zFy+FCnoEU16RVg9jaIE3Ief65b/r1Q/F+mKv81
iYWAWNPS/nSh6FVJ8b399ntt5W9f9WuVZ/1k6dqmZDQcbloqF0S0v+0UCZYg1MUUkpmPaluUcn+p
8sRPhqrpkqWjgV/vDyEuzk+OZqusKIH/qwLD/z9S5Zna34quyXWz4DRDcYHhbLOl/KOy1iHvTE0E
YDjNKku/rIrnWVN2PUMNbs268kBVOF33I3Qs2v3wLp36Y9akqxfj/HdXe/aVDCKQ6AgnbYr7DhUK
I7jjUGYfrROedbu8n4YUCCSE26mzfSu6d7obE2wh46YdExVmAAS2VaSb5eIapOMJ0cMbzEmQq4mb
zPrTrNvfzLX02xFgoTAxOoRwZeY1QbJS5DtUDg8m/rYu07cwJUkuqplQpGE9c8AwyEolGUAb7lJq
hyv5blAoOAoBIpt7gcCnGYjFGHqrNQLay5wflVTfza4DXCPtGXuYNQKRRtdVpSBBQFgfZSK+Ma/D
z6h/Dlnz1GJo3mkck5kYX6PeoPws+3knAQP1FAeG3eD+p9G0n1K8xXMfNE39FDnVPY5wf+QuVSvX
qiquyFCFA4rBjvAvoJhHQ4VHmsYh4LcpcGTTYwYb6NwNJqExubWh+GjtWzlt6S1FDvg4pOLNI07t
Mk3vAFu0Tntg5Dcfi41jWJmh7lskl1bFDMFJy099go027MYdc12+rUFhzdk/tyLG0so81MJzDrg6
71xDVVSkSsOtBt3cLeI69SJr3GUVg35J9O4soYXNwAtQzX/YzqJ7VaZtqmzTY+OeXa+ppWJEW7RA
RKQQ6uvwYxokCNYXwOaav0DM85Bwn3MZnwrlResYlKnYvZtI6CSXNsJXbe4Vo5yi3ZBDxQhBxh2F
fF90xrmk/iVedW/XS3gamTMc87i5qSV8RnVl6oTF/JCoIqhyvEkhr2Cn0jq06ozjFD54XHQSZEhx
C8pSIyHRuFTZslt0rF11gkWafQ1Anh30ke6E5CeHf61rQLgd+YHPoNqVm7RkmoygN4arimGkayWR
ehA9aGxIg26TkF+bWeV8QWYz4uNR3tpEwTWeGodC6x/CtNwPFYkT+PtLkHogitmU6PZ7Hwty10bG
0LD+kGgRS7wq9DuWCdEsLZmrqF+hId7WGB3+igSMXYefWAqIJsjj7VAKBt03FMr145xiwGUp5UXA
IpMxNynWKVN6PKR6BtrQbl4HM6r9Tt/SePj2doUtYpwu4DBa/j5M+9GxBM1agL6bi8iVDj2Jk6sf
G/kcOT5IHdYqTJtzaHvplZrbp7w4OacqwqqyDhvEYWCkE/8o7fXDTMZTgdXdbZzpBZK2BrjL4yN2
7vP4hRSC61ER15MNnShmKmxceIrWwm0dVuIdVACqbRVdDb0bs9yB8cyMRybCm2IrOqg5x97lCuEy
g543VwZUBAL0Yme3qES5MM8nIGcaK68s4cM45Q8G9aa70lKpcYRXuypSL4mOhVnrXoFfMRjoUpet
XQVLDyBMlQsvUgk5aGtr063BrXHRQFIHRFaNmc5Iu95rW0PMYwwFclt4NRHxc1vbTB7LfZYv+blT
b5Ptop62K1v9+fLmFpfbdR7lYeyl2xU/b5d9rkVsbCy9PZhUAs1WEsitOGACdLZCsV7nb9VWPChU
EepWTgzUFdUy68DKIFx0c/HQgtgGpJXoZX6pzOG234oTdStTnK1gUbbSBSCnPC3NwE6VsibbChwm
ff68lTzWVvwMWxm0Ug8VSdLsu6ZR96CQYAluZZNO/cTSEfmZ2Q4BhMDBZZvHh3QruORWesGH4tXd
yrFwK8yarUSDSFO/d1RtzVa+ZVsh128lnSOdBZt7Q+2uQ1HoHM6VNbKtozAHccdT/iCIT4JXB2s5
s4hyGMwBc5atydtINPlFabxQanuHE+qe2Ggb1nrKkg30YxDVZhqUU8dumNxECIuJvKOP9tpchxim
lPU5BYTxuD6XBcIKoGO3akZfVot9EccQORQr9komCCYySeZvCwbg9VVroeiv1a7I+E8YipSeMx8g
znR+BTQuCHus1KtO/gcBi5wGifA6bTis9lTvjGTu9mXSI7G04wHOGOljs9Jcsno7eS0wtargiJ2G
DmK844X6Cj+yzj61VbQPa6GyIVE3JCNYDW6zwjd0j/AOF6qOydugU1Uz4YGRYOkcYcU9wkoTc1uM
7jK1rxPd3pU1ubKDMgCrYH9+zuTkr1FiHKxyS57WmOFLfPB2qOEzz7EeDuUbk4wc8DHwQVOBEoZE
Jgs/i9wOCgHZPyln5TipF3tiWUYoUxaUOamqs94zLoEHxzjiDVa+eVU4ESGpSzUeDVoszS4ynsn+
jkuGZwCOIU59VKXLLSGOTcBJZfOmgqGxh5pLuaPB0XQ/k4BtsfVClLZ1OJmkUXtVzr2RtAT9JFL4
UtHsC8ZF5LXiOTbRb/L8rQEFStc6kpsVtprZO3yQwuojGpcv5sic79PwBqslOjO0i49JCevT1PNn
G8fl87YILJOaJFrIb1aDrx0qoQB9Ues7+LWvg7FRZlfxLVbi+ykc37r6JmOxvi9jhvhTWhxNraiu
tdJSWICSodsP5XndEjnzoj8vKqRMhW0dXCLEvQl3kNFzvIkoPUPjAgnLNoJe/W1Zy4Wt5XSShtR8
JLQXiknI/GHL06uarhlz2TKoenGSR6uEsshg4Eq0GDfRKTDpGc2nRCSgUIq6xVeo1l657lKpd4xj
eGWZojHr1xpaL+Klch3ebW0YL1BnLOhKgL2rlANjWO2YTwgdTpl/G9po8ERj3vcKu2RDlJVbFV1+
VkFayxhw4qgtnQfGAhB3Ypf+BBbCzJn6NXP8w2D1EGhTmSNmE/IBQOSH2BRlVvkDZNp8nvPq7Dj9
N112z+lldubPcmR5xkbgSyiXqjeYBXKWlasZB5HmXLOw+GR5+u8Yy1/anf+8E3Is5087oZ/tYn/T
B/3yNb/1QTbthSSQEs3lNk3+fR9kC1SVtDJAyhySK//gFMMKSudEN0SgFybEv0671Z901RFM0Bmj
4+4S/1AfJJ3/2Smmbb8wrZipYVhzGLn/XluJtXoxbFEDM4ucJ0nMnTs7e9EQcdz196y0w3PFQ7fH
hv0Vo2pX4XzsreVljKyIYyYYmlSQnVgdcXZHblGrZ6sZ4QzP3yA6MawR2TNSG+QMFXS3pL41lUlc
mFjfEpL3NWYxV6RogmSoz2IsJ/bNjFpDO9sl+HF7fYRXp9r3KuEyu2KkGgwdgqNX1nszuPNAy7Sb
aiCpK79IfdCuW9gL7H0aw+sJXW5X5n4Jz3lfVTcESTU7x4qQexQpU4/0pqlRK2XJEcjidxN9fTun
9yXB9gDC0d+oOOhvDDv7Xupm8VYsJ2AIPUb6KffLBo6bJqmfFI1rQI/KvQb6qCARWrFax6tMs7iB
25UyREGbUoV0TRojauSkIFarAWQbovUykEoMb0K0VFyoQpCKNWXT+Usnb5s+vpUqtIfJZBjeColZ
YH3j4n2SIzW/ULcTcTSO6ZAoN+2DXPqbqhVcB+vrgAXVjEhYIi6aWXDufGuGfF9n048hRIxD2sh2
fK+f0O2vks0RjVHO4vfZDbL6WhvxmZOXsvb9vo1SFBZpckUgShCPsiGaZb6YoH1JQXhoKe7Lrql8
o7aSndlmcP+YP8LSHqv7PKEitRDDHjjEoWp3AZNOn5EielDmkxSNT0u000tnCcgRZ/k9qTlxVzMW
//XYGhMDv3+eSFh3X3aI56KsnRd9locmF8SChfdRVdtuuMbFnpCD06SnDpWluDeQQaJ3Azhsgl1O
Cvmepc51RcdzqeqexiSeD/1IPxkpo4+JPD00WWtwCaKn62sLyAiT2KTVj6W9W52+vtOgjHANw9Ru
yq9uyNurpNxcGAmGrVp71D7mIo8ODTx+BmN9ASwOCpJtTm+FxXJ2xXkCmhvqLutsTPZWJ16jVPtU
LIDDGdHPOwI9fKuTp5xC4BKBVb3l+gRZoMAFJ0xNjjl/sdBEwpZ0IIDnYS/NzEusAnznvO15Z7wb
GfN8LWHnLtqsDMa++BoXHpEsoqLqu+26yzV/XUJ6gSXQ0Hi4WQpk29z2tyEQSDDVNRLqjGno1H0p
a/+YyxpunGL4SWk+L06twZVPwSwmwvBEVHxOI5GvMhwuS6ned/n6sBFCcaa2bIL8odB7F7FWHrQt
VLAqSYMqrg+wk8YMDQoat4i89eZHyNMD1ZcENSYd8LMgGS4Tw4yh5BFXaZk63xlmvC8vXR4HA8Na
E0DIOryX6WcNcZZktrZGZ+KcnOgo4u9W1HgKOYOIq1xUaZTdxwx46pizzmHHX8sXthdYYNDgTW8r
8hSS4AJTeeu2n8WwIv2qun2i0KdBfWLvtZxHh7FC9ZCgx45RUzKo5DOHCqd7GcTOMm+19rQiM2iU
N7N/Mdph++Uih/3aYTFvGob9hVj4+8Co4KvK7VA2vscZ2QfIQxwOGkdDwcXMoSbjTBi+k8deq25c
+i4QYQcAF8HE90pAnaDXyCy/T81d3Dt78DH+/I0zjR7H78S8TzLys4ZrMq4O+mrvieVjdIP4nRH6
OqLFZsphR/A/SSWQiuUVuUMtvxusS110iKUW2remnR9lnqVnxm30LYBXWKaldCr2iP1T6ydvkTXA
7Kl8Fnqe3lAPE9KhlLdIZ7JD066HLMpV0pR1ApSiz6UGog7VUO4sodf7SO/SB0tfXxemzqyBkjiw
kzueQufUrHyjeZZpkJvgXvuydDzLShJENPatUODTJFVISH2eMRhfzTMy9vKGdDBezaqF4kNen8vE
8VlLbIB+FbYaxa6h31qwRSLC1P3C0lN2bhR7ERAGG1llTPF4bGsTIX7l3CP32JHAZTEUtN9pMk7o
Qju0iv0z8Ji9lF3rSh0VRRnBVIDZG+RKpruJU1/TS5+ElX1f0gV0XZv6UQvYQh3J+BLJ3UquhlvG
DiJEZnqoNo91hT2umzbElLJ+09VGo1knp7lNSRQoJOxKVczPXcNIgsshIsewxK4El28fTuOLPjYy
6HtsaImERN7E8prcDUYvsfMoefpnqhTE/xNIdMAp3rQkCAL7lbS3jHNaRCrh6fZtS1JKShANVonx
UtR9xBxy9lXDpoOz8tabaZmUej6mdJruusGt/j2QL3uyUv7zMhT96p+qLrxvXf8jr/4b5Wj58Tfq
C2g82xf/5vVB1wBuBC0Fvh1QK/zRb3N5DWGG3JQZoHuw/PxhLi+Z4juIe+hIdKnj0PmL18f5yYDS
wjDdAsIt/kGvj+ls6em/h29AvxHAWlT+t6WYm1u9+jtyQaGB7l1C2MpbTz5Nj461Qu8motTvZ87x
ri8vpQjfwtHIuBDq+k4xHFT2KZ2vqnXS07VpvtM6juUoN9FiVKztWMvro1Yw8xQHSl3t3DAzaBY1
WNao8kyNjX0xe2tfeFLOzhEqK/vAonutmakUKueq1iG/stw4vEHAwr6WQfi2hzy0DBMITmAi3xjk
jW6mmXS0/NhiWEJakg2kngw4COe1lyqsTtdQeH9nnpC92LdoUe1/bZ4QD7uzq0aEFP0/lSekyCQ/
rOr49M/lCSX5aJ6NuP9jntDQbdkwUInccfh/LE8oLKll0vkPeUJrnzyqujb78KOfiJD15rmLvGVm
EBs5X8R+UFAxVZnU+Xd5Qg4hzxOu77/mCanUpjqX7f/+PKFmDamYw8CsFB21Krj/vzNPaFZF+JxN
OWHjdvQMZjfzVoMHBmLctJ9X2BQ1XONyUlzZIFsWPcu5NulB01b1ZWlYHlQ0g2gUqGN0Y3XB2fJJ
yVp54AzDAjLBXofT6LBEgBrM5VlnHVuxOeJSdRBfLCGphRrywCUmatMkMNYYV8jARf44CPPR0HjU
mbX7c/816QypEeabxE/NNAlxdEOeCOFDxWGYk+6Glge5f2rzSyhzHqxYfNcBSQxp9OtuDKugIe/d
XVsyu9tw/JYR/sQczH6B3Xer5xkhwrGiQHcbUG+VfOM4dQKr0ZybcRWngog8f21pZ4vQfIf8wlpA
rGeKkQjtKUeQouZB7fQnBVp/zuwJliHD3eRWiugmiW3p//zy2L1l7KNE/5Eoy9dYqfXBKDTjYKdm
EthsEkAdYsgmfwbhgDmeNGt+WDBd7Il9oIMkTRy4teyR8jgfxrqYJ626mN0W8YLPw6fijT0dSfJB
n+OIpgGF+AJtNWAZbO9ZPwL27PZZHdt+Wlump9Lr4B5KtGOVgWpd4/qoZo4nhha+FXsMdnLsP2Ln
LWO+SvGMamcU+lPVk8yn8udmWzLi3tLM4onvFHMgV2hnEi3/wKZ8k5pIvJpyZWK6OJE7yUzxZ5xP
10qY9bs6X6wg5H2CjFPdZuyiKcUJItPWIgsQ0RBisfRAA8o80MOXnkXkgCojUFQ6fwKNsuulJkAE
G8jZ2rZ+K+s/p8OrpeKT1CmZ021DqJjjDuVb6uEiRUXFGlH+D/bOY0l25EqivzI2e7RBBoDFbBKp
KyuztNrASkLrgPz6OfGa5PQ0R5B7bkjr112vskQi4l53P670xITiCnop2HQPSm3Exgp6QCmQA1Lk
jCSZKW2yR6TEQnsc065cM79yyqBjUr6OkJMY00Gbmn00BGka304tOERzJKuZKT3UUcpo591oCKU9
gmkExL1UCmrdFZJ/MWys3A9yaXKXRG7NqhRtN7/OkGHZ2yMzY5XJ0HuRaTWvumuS8pFLn9XkP2hX
j/3eVspuZutovP3PpDTfWKm/eiFfen7FO6ULDwjEHkKxweqjGqf3bDHB+zlhz0k+8BOhfLbsnWnr
KsW5wqlNn+j3rNb0i1KlQ+RpCtdlEHeQag18i9WL5ptECYyOKXtEYohSMlJ2dkgbUAgO86wXAexi
3bTLwQq7COSzUsphL1Pp5SPZD6PJu6BYz8jqKfJ6SG42msDtI7tHyO8OvIUh3k6OduUOHPnM8a5S
68PuUhq3kaTsoBywzschwYf8rkPkH5TYXyJfov0zbdxlS/kDf7JYD8zmhjmjbSvHgBV3BxsLARev
I2uGb1ATYUpWrVdeA2ye2yVMYTPjJjCs8MWvwmsLn9LW1/QDxUg0A5vMgPPghfulrivKN6zXqaUp
edKp3rLptCqIOwfSi+ny1Jp8XVRgLfvo2RIe/V6NoPTPrD9k4V8pEvUx0ifWN+yN027b2jhbyf8t
/BbD1Anfe0cMG5HH9wPph8YXR7nwtcVsyLziDhbBwRhfB5ppas3H0DMSfF7K7pYmmENqOfE6AkzI
/Iiuk8BhHbP+1UuWS1qYJAksnRdDqHAi5kQwj1SaRLwcHbKIdr7TWDcFki5q/PZcm9wcXXNuiSDm
iRF4cuYF2wuLqoraeLO7+M1MVy/WjpUwmqd2ODDcRPvFobWsrtybWZp0I9kzfN0wyPN+3tbeky+G
NeGnh1BLixO0XXkI+3lfZbV1TMVy0PQiYfGZ4sF10y88ufc+aHfwf+SlvcoYdlXHHU/A1tulFSTn
Gq3SM7HYJ3BC9QFduiMRhqs13RlGqbMZUPUlc8LX0Z3Rh5INSTlK/pxPYXWEELFfQvJdqJ9dFdqj
DTGJ3qoKQkd/l9v2NyJdth6X6pOt7XU/RUfR1E8OGN0t6aeCtamVnvzlaGSGfQprezvX7WPjiCNk
5nNokfmGf08Nkr8Z9YQ7BdLv3H2NYbugvFyz3kXz92KLSy3ohpYfFSbjjO3bmAZdljwUY/LWz1V2
kOpcyzCO5tOxGuf2dqCYeKyZT/OqMgBFTNHeqummCjnFF9UiyjeWxscq2VE5so4rj8SjS0+n5WP8
HOr+zhgaGhU6gWmrx7E3ac6dRa+T10znf82L/+C8iK8KxeB/d+lv3//s0YfTqj7kb6qFrZuIEh7p
SNcxbYWs/NuUCB/C00E70N9g4KviX/2VCOEyCtommobNf+CwnvmvKVH8ht/Ls9AtwBgKBI9/xr3l
qpf236ZEV/cF6yTGRAZOmxf436dEIlHLHHOvW1k5kWNH4F2YAKhgNaE6xoBxXnZpuI46FrbuGGKT
ztxbZAWq/oSyvmgJim2EIR9bPbWBb7nm2wft3qtuDIFLpO36s7+E4XUpog+zusHnpu2cauo2lui1
Hc3Ih3bu2gDCenpjDCmUXUSFxOiwNZbmXT6M0BFm9eCdKB+kVk9r9IeGAs+gL6j7NtrR3oHjPfHg
Q06O6+Wk6elLH5rpden1t5697c1Yv/LHEZSnG7LQt4A4YbQ5iH641z246dOkX2JZzZDCtW2hN+1B
mtorQaztnM/PJOSgns4YkKPOJpvwCWE0Rv4dTG5LhOS0ZSP07hPFdQfI+K3Kzgckli8vA2yh4aJZ
Mv8NREuBDWrVOfJ1tvyXjuqboP+WmveDO4S7Q1UF4OG7VZzNb5MVP5oWf5JXxE8LKoVXZTS/NyNf
s25VO1dgHZr4YQVwCXd+FZnYtHscETkXpWb0Lh6dh8ubjz10xYbubJASk0UJQHl4TVtnn7nZu9dY
OyKotCY4OA8qMB5BlbJctazC2A6jd269Qu6cUHsn8HibKIfLhCB6zW4TTwb+pZhiAoKM2b1BwKEf
/HbnZtRz4pWgBKlZO4peYdFOs9IAWlDfoLAbxiV3yWHyjFxZkY1Lm6x3zb7aGcUb1S400bds8JeU
K7tTjy4cJTZ2dFOdZ0XW8L1i2w2/oiTUDsLeiGLz0Fl6dhrNaTj0VX+svRDY7EJBO7HSZuVn92lF
exnSUYx58FuL7Ph5TMp3Q+hbH3sA8Xi5px9SW6U+WgDw1CGIYhz6JpeZbDEAliuaSIuRIa6wNE35
QJouWj68kkYYzY+7K7p3qCsyNJ0lBSMVuUvjOczSu0wH/q44Jm0TQhxm/bxpFeWEQYqESUJ6sKcf
wjVu+U2P9lT1JTgjLH7JE3slwaa0ip+CjLd1Aaq4gFWKZIiw8tU3mWKucL5G23mwvi3zvQbKIoro
y1RKArAWe+ALIrN/KiXnIkV9N91AmjrsGH5clsOijb5Cpz/PDGumCnXFVHPFFqWAdu53Gz97cVQA
TJIEq1QkDDcfXXnuSaqwWK5iY1Vf4O+yiJJFXfc0OvGbp0Jm/O2bidTZouJnBTm0kDxaqdWfLvm0
RgXV+sa7M8twZ6oIG7f8mNAxqba+Rs/r/BtW4DkhGaJvpQrBzaThdBWLq/oIfxTsLvJyv4I0kKgy
9ld0GlDo+To1+QPGJ1zmKm9X03IuVAQP7PSuVqG8ukTkRP3vw47WRrhObVJTZBt697zrA+rm2pVp
NLi9im+bzJ85/ozmqceYDluMSKCpwoGNRuavUIHBjuRgl6OmxmQJN407fRsqXmiSMxxU4HAmeZio
CGKpwoh5vA3Dhg6AfnjERu6C0S9vDb917sEhbJXV8HmhzWOqcGFL/ruE1GOm4o9w0Vbk+MWKe7bn
LONLJMSmPOcXORGdHMlQVipMWalYZXhDTvGChZGSvl+xSxhiJHFsYqoqlGkQqliallzy50Rmkxv+
KilRYPtfcU5ynZM5vi0JIccvjcwnXY6891QMNNPbaeXGxWfseSerDckbmbwrm4c5vrbJzKs4qa2C
pUyiW6eN4l2nQqfdiJOVFKqu4qjYjzeSztuoP+hGDXRfYu2SIalPHHVawb3OhNwzTM5VbDT8ev1a
BCw3BXV9udnTjWa6tzFnR5CP+RnZ7TS6H8qbh+xc8CMA4RFO3+jAOHYwiC4yvM48ruSh4V7cynuV
xkBBtoZ7Npe3KU7IwGvLh2lsNjjix1X3EXO5W9H1TdGSC6h5eojz5SH0h0eGHfdkT6PKK+lvcGqu
3fE9TNwbguhYaFPt07Al3pjmLh/jB0t1/1aFmHkbQwNxx4++4vU4UzgE7lxQ/UTpKUcRzUbMYk71
3QvElZkeduBIKAY0GX9A3S9xSi7fizSPefnshfG4psS5CAy6Kjh+Oobh/MfhlhE0lfbcCPcLqskv
nllQMt9tPCtE9xr0K7IHGJhjABJ26n5KM752armz2vlBWFRjFI4eDK28UGf6ybblzUzpX6U0ts1S
jkV+bwQu1JU+uZ/wmN4yJ/toQmaYdNvYWY+70zgT8X2pGooMhEHTZg1gYiEwFo1PiXuV1ftyLL8G
jwKcsbxvKizbg7sb2gYT9KS9JJV/27jpqTXvYbWzJHkpi/IjiZC5araRxoyRII5eo9bDcBu9khLZ
GtgAzGh8Jmp+ttuF/X15LsPsMFm4yjpxF4X5mdObhpBreZqofsM41146kV1PufEwle7nZPlPY/hM
ofWnXKyj4xTrXnsgFxWEzJQOSRQdS+XQabd16Rya7Lkb+ud+NG5KNyUQbSVXvBZE5fouvoFSYDnq
vcrWm/bcGX9FllHYU9ovDAVb0fDTsj77ZErWlv1U2/2ybkWK0xF03uiiCmF4RqasJ9SMzzQzt60s
uw0VrxTn0oHYeeu8Nr+6TFC3hvmy7i6V8tdJ+CS2l+JQLRKL4Ih/IcRD94tkR5QRQIGVSsALqtWK
frpy5U1zGmgz415cI/bO8cWJOrxNtv5t1hi4Zt58s9lFK3pjcOAKjA6VQaNeGD5TGLp30qTaSseh
FTyzP2Qr8Xk2FYSwoXjkIoTfY4lvF0+/s5p23FC58DPkJYF9481WS60UcXh0X+syOflOcTYFPldK
hk6mwTYGF5eT1SfRxU8KfY5XON4PfQSvvbqf53Kfx65P4Wm+bXp0xRoO6MbOXkxTlAGI+SgoJ++r
w1uM6nkWAo8jxeYyaJllCQoEbYjllGfPeaRwNpQYH4dFbIRIvrTSvaV58R5TGHyMFEUkNL/9iehl
TYZnyvg8QnOuknrimTaMSRDVyxOxng35jJwsD+U79Peuw2J4mCsNN35GGkjXHzBVHygXm9Fz+X5m
miP5Xh3os6NwF5A+oiB7BOdLuLwWUenf7sxDkLjbGo7QjecW93TWvVmzzXNA3wEbRGhlmecm/PU+
hlyP3E6ag/TAv4YFOPZfcrAWR5lb979es5uBneE6uy4gSF6H9bJjA5eeuUQpfm55Kmo3vk9ngcNh
mh4Gr39Lyr5+DrEn0p+UbjK/K3ZCRJTpWLa9TfP5mNE9U2v5TBqtf/TH1jnO3qRt0oyn5b9Gy39w
tCQy839Kkbv+vf16/5Ml7vcP+psESbsD57xwCAFZQrfQGf8yXLq/QT6Hd++TU7SFsHSy2X+NBhm/
oT0y8+mGq1OXoEa+v0iQKgBu6Y76M9/VGTv/KdwgMaQ/DZdEg3hvYLLzMOxhwftTADzJ4qQfTJ/n
S0SgoHuxI0nvW8dG2GU1TDQcUGjJRkWfbHpWtaa+Medi43e2u1mmVtJBvRQkahttXfdKV4hYc/BG
qT4qw7mQnv9snJGQKKxOjZpJL8FuMOcdTl+11y5ZcPcsuovGICBgso1l0H3N1TZcccgDPaPGMQoR
NJsDtv0kqOvWPEyEZVb0qAlgSpSo9Lbc5WFzdhICkiKv0s2QY7SiqTxap2Mh99j4Yxw+7O0dtcE3
ZwCILk2HPvwFVvzEZtS+P2Hxj28qxdmv36fddIz1ZSYQw9ztKr3AVcqBkYZEKGkp2ieO8WML5zsT
idg1qsc9mWJnbY/JBVohjgxUiVLpE+FzhVjRGgQzq9lbR0rHaBA0CGvRdNDZb1qtGFQlNUBuvBxL
2foXQ3M3HWn8ldcouwzQKezDcUabjXUzT+I5VYoKc8s75sIBuYJVdM86zVb6y6yUmBlJZrQtmEZK
pYnVXsusCDJ6otx3Y7EqZBddasSdXKk8g9J7RvmTKv2HLsETBxmgmvLBKLzh2JjWbvY5jzKlHokB
UUbpSRZ+OSqEqLOJKVkHPNRZe1UUBjCStQSSVK+0qUGpVL++Pd0w70qlYJHIZzKN5vpa0yQXQhbD
GLoFUhDal6FUsHHhZEIVm5U+Rs4iC/BgP2FH5ABSKtqAVdm2r9IpTa5i9T9R0exHQpKHmTgpQSNC
GTqyblgbgDwoAacfdpP1Zh6wTljFD069jKoZFtvP1DM+WlqKMR2YjIG/eFjgUOrc6gI/ZxedKPnV
4EM5wdLt7DkXtjG+iutcjbO8WSZq6gci1gRjxJaSHurDluYZgtqJm8w+TWh8Y/9IaNdioul8nuC+
xSK5WC6ZpkaLTdX1nOVDjJ3Q3jEeKhMhuJFIjw6EGoajiJ1o0+liBzbYCeJw4EekNW90JikLlCy5
6VBg3dg2vcrVYXYJDFDkTg1xSGZl1uPPuLbuwrQoiWaHXWDX1XuNZhZwoZ3W4HLTDTkrcdSzcrtA
INtSnyU2+dx+WXGVrQ1e3Sq7ohGMCC49lgsPrCClwmdtTo15Lahin2ieWonMoMY2N1l76s1NW69L
XuSG+wj40VDRMo2iCUbyGdxKJiyz5KqtpbtMXkQFlc7qXl3P25ldS+9gI5yX98JgSjEi9rcObwaG
MfwFjCmic3EnNNj142U5tnh1SAW6r/OMPjD4Jx/W3ECrYoA8ye9V3drrAuNo4KNknXqbaMXQPULO
3mhzAv8uakCUtgZB/gSGU6a/GdqYH7WWimYvad5Kij53k6lTmGX6rK59+xLOr24FGKeBB5hi81pn
NEw4qmrCp2Y44JmuXSH3bDSgvw3v4QO9VKmiAddggVPFB54VKXhSzGAWxkAFwAjzDfIUVXhJhw96
HMz70DqbJG8cyUCSVr7F2gLSlis/fSqn1iJnPODetJnBcLhgjDNwxrNuUdNoZTv2bFuS58nKAX0s
u+JTjuTqpJe/4ljeFHUBJbnsh30MOBmW+FroMqDx/EgNZeC0vjwBYgUr4wwvsECYGcJJZTTD+EjE
ndjLgnGMP1mM2d9HubdnYTnzjEBqBuxcKsKzHn7Hivhc8xAyOnhDjc06ZRrlY6P40DWg6GzkCc1m
zLijB/5VxsO7SF2idY0T3XGCPBBC0HgMCOZE092ZWKxBfLWwVtn329295dkv9iSvJzJ3K91nEO7d
bNvEN4lhdaQLZwomaUuGZof1zckopbJ1akmNKQsGp0fMsyHS5a1Bb1LXX7kLF0ljafARx3N7qvW4
X1HKjiVuzHiV87zL44XkxxKTiM1cur9LkGS1pZ/1sRA3bZNeRRoCk62TzIgK6jlH3uKDxeOMntdD
xicitEoOLU2Wo20OB7oqzzaHAa+o2gkHTbuv2mbfjP42kpuRZvp9XmIQ18Kl5R+9QzLPkrnYCw9J
1d2083Dg+8zbQJvDcxhTj5VP3if9ey90uYtHb8aRUzGkTY19yLRivAxJ9hkKxsYG+Pk44otouJdX
g74tCmE8eQN4d1k4OAS5rGwsIF17d9KOYL0piw76vj4miwQ9BI/XHY3XZazfNH3UN3mazYGbdzeE
D1lA5ow+I8gJVBvnqfO9N8HctGlt4CS1H99Avsc2JJEv3fC6lXxoPmbJ1ucIMeaIjUqU7vDSHJIv
HvU3U+7cmA32zzQb56AeoGclYBlMivn2mPZ+mshj7m5yZBudGrF6mjdjNOibBJxfohPpHa3BPS5w
yqDQYagaql1fYF2dI281Jyas4cLnTevl1wMoORYu7I9Yn/DM0JCoxRSMhrnrWbIHA7rmWOnHUSHP
fZNSLVk9W6n2vZQWzvvEZSronYdKN3e1acmrMn2u4/q20kugJCGF6gMj2SYbEDYNhjRzZDlX1uZd
V7ERpw0Jxp3k4A1Hti+gC89TxlHPDXYviI82Kkc6ESgdVLI0VRnTWqVNw5ZKco+TDo6evo9m9mB1
Kk+jxL9qhIjrMdOhw2pvRn2MOcQ0beWrfGtqbHWVd60IvjaFFe5KorAlkdg5odNWEJKNVFrWU7nZ
xpjoOSWFGbJVHkc6m2NCtoZK2+rEbiuVv3X89tJGNaverg6P1Y1XEG4ktQDN1H7DpKYfCKMSWvbr
CMEZKjuFb2AMIVhgmViIpC/etzk9Z8SCOfOuJpUTzlViuDafYZ6uSpUkXogU/2uq+QenGtMw/8+p
5gTVKvnzVPP7B/1lqvF+M3TLhoYOCV13QUhhkfzLVINDkhwPzAPGE6QzIRg4/jrV6L/pCG9KTXMN
wUzEwPNfxkrENSYdTwd9rpNw+6cks7+baQzFTxeMSQC2HEdBr/5gq9TrsCsj01QykriDJstvX599
tWN/R53zw9KP4e8jMuiy6Lu6+d2x+W9lX9xUSSm7//j3v2tRA6PlWgZ6IAYf9S1RRs8/fEYuDZ5G
p3q78ifsTTnd4Vwr6o0vKM0t9Y9Rg6oUl7uojzem575TnHXdFcurMQ/BH6TN/+GViF+f6o+eUlc3
PLDxjHKEevG8/slTmlkoRhxvzaqrqwUSu0DMwQWOJWcrusjcuTlbaUmtIMeL/6Q7rD793KFY2R9x
X/g+KxVa+CrWx31F/ohKr4Ajaljhz6Q+2r5LYqbBtqxyUEDzy9Ly3LVnD/O+GlDGcp/OE5b2wq42
eUX7h6NaGmOQtlspOU2t1MI5QQXuRnewT4xuDXyVZMauMbXxQtyvytjuITixp7VK2mp4cCW691IP
E82ASQJYk317nWqHbPG2wo2edRESWOqX5xar1W5olgNbmYXW6NkmRDm1pynTMbNe562m3ToFneNa
n5YbOXsSj4xM1/kyLWfLrNp96rkJGpfR33h6wBrYCUYXdk3vynHf5yGGovwoXFQ0vevlYxi7r362
yINRkiGYuExo+R3HdhzUzHZb3Cz2pumqLy60aXAdlen8xFrroTXLdu07stgD3n/yYoRG3+sdVoyJ
tWO64Shi23tqygi3r1zzKtbO0BpHWZj3yD/W06yHqs6DxpFkuo4znFxoLFSVdDS2SBaBFX8FMZpv
nXjUVT/294RyBOHXzF+HvSpDFQfaceHmMoUS+4W/76shRivTaUf74Fe7+PyAey1ZtQtg+zzfVzAH
Sv+297mt0DE8pIx/8UTABx8/GY6FNDkPdSpc7R/JBFVLIzvKpr8vOwXRcYuC12O9VSWMBxBkxE8G
WyUsomjlm/ibDMAiLHABd3UlkA+dELTUz7arc5/NHukx/rLd8nNIi2o7ou1lHYtKgWxY1Sao0gTx
dKy7LSoXrrlcTA+EXmRenYR3tHv7aShjbR9+2IWwNsIx7k0NM0xrwRr2IouVrFY/u1r86HW6dU1p
CZa5bEuOwKRcBJRByz1VoHOdHZbvWn+TmUxV5FfvoTIlm8FxGZ6TJwGkI5L2jP8rZw8iAjznCW85
6ylCFOly+6ZMFnoOShvsv+kTamWfCd5qsA72tDF1KY8unqPFjD4d1M2wKNxjG+0ATuFNwqTkeNGH
xtN41U8IFO5yB3eMQnOse85yHzcFdzMcTzbOJ5PM9cqdsCJaTvLcM9hOvIT15OYa+LIYN+esecHk
0C5jpDW6BWCioYOJPWTaPtLwyclZ64N4MA9L4nFiJ9E5LuJXhlDAF/wkJu281HAiKh2jqhqnvfpM
NPinncB6zYR2s2uyIE8hQd4ZSU+oZG9FxFeVRwx6/UnlrX0PqikPeHQBOqqz72Qgmjxa2rfM42oN
HnVajypH7KhEsckFjPhNfiVU2pgviNVPad8VIfoY3WLvaO0U3/JQqSoYTb3KLfcqwcw75blevGJl
GCg8aYhFinMpAJ8JE5ao3vXSbRMHrF7oZhTr9CyB40E8+io5vagMtUGYWqhUtZc8cLF9nn0lQSyT
IhK3gamS2NHYXjsO2ezWGo+LSmvX0SuiG1FzleOODCVKqGy3Tsi7dbybhT06v07cUJvY767AzwU1
zMVGa1Xpna5tGumVZ9vIDpVKkutx1ewy/WIzI/F0vZOF9U7ykuRKPbw4Ko3uq1y6pxLqQmXVB2yh
m5hAmEqxu8TZU5Vrt1TCXRQhuK2xf0UyBS1F8DGri8+kIhQnVUKetZPNY/2Qq+y8r1Bn0JOf5jq6
tkXnXc/OQiGok26icOaxbUtGYkxOu9BHIEttMvooPYzAxMbgRW5J6UTkYVHQW5XtHwj5xyrtH9cv
CFENM+1waykegAAMkM0QAkrFCmC2I8FevFL83O5yCifwfKbLRvdHKHmDM234hgur0g6l4hCUAAnC
zv2akSRdHK+KV2DyDyDmy9cJlAHiAWAVRTeIwRx4inegK/JBhjmOuVQ7huAqVpXiI6SAEug0PmcD
u0JfmTNzYAoQKawgjHQTTsKcrousIPMGKSNf8G5XxdpOCx483fCoK06D9YvYALqhMNr8wEnKTizl
go+MCTQX1q8iPgjFfnDlcmV02hl4WxU4km8av5fNsVFs4ZTEyLprnV2VM8HKaHaOiZa+OX1hXEv7
obC9Ycc+mebefHxJm4WP8r8tO3xpveorMsiTTXDmr8yOfZZs2Az5XEZoADN5LEBZ4f+dKFs2UqQl
FxX5mqd8QaQJXVYm+mVe1xrne05GutQoZa4R4dHuPrP56tc/N/b0Pc7jiCLLRile+KIETgEvfc9K
uCuj3RwM5XSrAIFv8DT1qxbCCvbnjIYVd18uKdNZDuQfHkPnXrSfSbTQLJ0QxuTib9uhAb/oEBuV
+viW4/dm0dA/LyJyVk463gubfeiQsP5gp8Cx7kWHuk7qgPV6s+LX/KueoweEcQiA3QOYOokiQ245
qhrctjUrKN8LnKiFmyQTlFu9xK8MlmnK6sdRrYQ5GFn1iI2eQgdvNEz3sh3uGw+t1DphheGTW+Zr
6GPWTEe+V472Q2XBgRQakUtRQ3Xp5FM9b6Q7rkXP06WSHCA6Oy9WcdJe+fUXYEraeML7pGdOGrBn
rlpnYW4uMf1TVRzwuIK+KbF8+jqGYE3nazFJ/FUSJ7NMJ9DCLkwfzb8vwIzAHrOASTSMhlXk4zCN
8iAstINwKyCqA1oYMEt1yoH0qg39kKd0bs+s+Be8o9jmxa0+7N2Yvy/MmO6K0A+W91gFJYEjvQPg
4RaQ1d+VOteTk+lGNArgvgX46L8xgU4E6Hu2RhoebiuIveo96zJQovV5bOU3MzkZoViHAZ21N5qI
6TOfFXrDeBKmfz9qCd+WCJNRMrFoNW7D3l6nVnivSe9rqu+GMrlnAYc82ntwNM0020xVgPUHLU2q
jescPrJTuPhGwYPQfSoXVDbb1j+jLr/vzEdKTJ9SEETUHdxMsnSui+yYJs7OwnezssrHeOxZzPJA
w/NR4znq0/OiWaDGY4CsYF/dOnW23RTbWO9vABpdyEVUfD2pudV0Uqb0ezX91Rw200ZLsp/Yb/VT
l1FvYqbyPBIkQOF1uV1DC9mmU/2UE+Qw3Mgn9F8d/zXN/qPTLObNP8xIf1dyfEooofi7afbXB/1t
mlVMPBzppu4CPyCS98dpllieSX6QWIQHou8PBlAfNgVkCs+iRYzUoeBVqGmIgmPL+w1ZjUmWPeTv
IIx/ZprlYvunedbVGecE2AoYGC6eU17fH6fLCg+mWZRodE5oviBUkPAb/UdfFGfYpAxbYXdbgJhY
pf3OE1j6o3hvFCVrLiK4q7G2uGWhZLPcXyda8oFIiWNGPAxpr9wsTBJap5IU/p2pGft2iX9qerqo
H7u1p0s++U9d4mVB7fEM8hekCr0EVtPIzwo1YyXynyRlNw3fA6hdhzrVvMQjCIy84g06scAtLesN
AeURLzXMhksZslPuYz4sLB2uau6Twd5v5ekUDtoRuebqJx3Dqz7GLzBRfdG7rOhjDLBqGiFm+LWw
OgfSlT24VHGtHAnqt6h3jjosxwVExUI4MgVBg0L4I6wBU6BAW9RgtmlzDCWiEm9tbt+JW8Mm+F8t
MQ4qCd6t78afJbVuSpGjZerLoRznsyxYJQ/sarHpJYTkPc7/Ao4U5is8ifjMEqc4GcBbmaHcR89q
cBBZL9kYcu45uIaGnJt97HzoAu2mToGsYnvZw8FQ0S2JVzYJ34b0bNUdbTLehgj0Y5hS+FWbuBlJ
qtCFi8oG+lbA/2OfjNMDQvVCdivSoldOncvCrbgoE/HcqBCi5UPvEqnHp8F7m6bVA3vw5jQ63VkU
+nuZ3EUsQWlwYVXhVPw8vWjvDSzmB/9SjoNxNWvy0pPZaE08+MOZfppNbWEBNsv61McRgAQ5XaEU
LNuxwCGamJAH4n47+tZuoKz+KFku2yOtNhIJjQ2/vFrckqFKO81NxgZWSsAiMzi6xNMedV7Gnr3J
q+bTIWKZ43OmbiUMsKxKZbafu5KwmU4mwWHrPlXGF7ajcD+Z7U52c7XuRP0SRiXpkkm7KaoyuthA
Iky3dta67dNRzy/GoH+gzukQpWNeYkiaxCm4OYbTRfeGF6PGXQH45Qop5tuLjB+Nd4OvgwOf7JKZ
GVFLzh0Qt3l4wTcWndsYf5U+YsNKyg9sG9pr1rkbKW8sBqJDiQVr5XsR4orEskM7C55I+ciAS08A
CbeNnQP40xPUU7fYGi0rhaTFyBV65rM9dD0QjSy7Drl3uQJXB00UB1OhPKIpN8+UAhontj/NqYOm
HOhL+QSEw94sdBiRwo1QoNWaRaiFS6FWL7FawmRqHTOVsNtw8VWRvQRa3c4bVxteNJumvMZRC4Tu
zpRaCZ9AH1a6S5F4UbDW4X6vVSyDaM3wUR7tMZhM66BXCTRK3X3i11K90VknCdTwnUdLNYIY/HY2
b14UL7tIq/hpcODVUXutifYJVys4B3UoTr+Ox7iXZ29OXxN1dBKK+VnUYdr2VzgfnetlWJe1Z2wn
dey6nL/+cCPVcVyOuMb9pH3JqdHjMEeWWbL0PDfluyYFGDx1sNvlo60O+gFPuOke/Nq3rzPNOhpa
DDXYay6pnqzrSj8nwn9UhSidz01wk2Gep9XCCdDquLdPOBQr84qoJGGPwviwO1bWjFJ8y2wcoT4e
1JBUT01aSlnIK/spJ5WHWFynAI5vDYeQ2cx3h99F/oapgW3ZliTqtOfIzsa15XiYt2Ffef6+KXtq
gbie6fr4UOMtI/XrrUjGgHPU3rEuMt85gwM8ebmV6YjJCjx9k4ob0fjfAus0F+PhvmrcbW+hrFI7
tkpCWmilfW9o9keV3S1e8tpn6fOoGqIma6MX9mXu79O8Oxsp2ouPmKMVhRJ976rUw7oOtoOqW3ID
Iv5suc6qv2ERYO6Hee7IuhhAQKePUEO5cFj0LwpkqRmXkLXRqsySbp0Lqme6nmCBtNmm2efJA7s3
EOmSxoWU50+hLw6UIX8hdLM2YviPv2jZaJ3DqoNSxvLqbPSgsjPJs0ifuf933j4qXGajsAjoOsGz
7anDpqmvSlPsFiv+VJ/IHspzrANpdKZdoQmg3iM8SwdhJwljPJnIwisMLLdJ0d0lrg8vrSlp+ejb
Nys3r1DW9wXhrhUdVzSt+bjcMp8Zg96VbzowKaXN2BFazT6GWATnaDqptFeEWSRE3mzA1OYtS67M
SCjQEvuqKa4qrYGy6vX4z2Iar4YfSy7ZuhAZ9FlzxAMLcUazznOYTphy+59a29tx5wcInQnad/7u
Dvmh86ynTred/2eBra5Mf8qYmDD6qSazIQ5TSqpaSf+wwIZ/N+uismoGaV66SXQwHuKVHQNQtZx9
n/wne2eWXDlybdmp1ASgAuAAHDB79j5u3/CyJ4PkD4xkMNB3jh4zqinU75tYLY9UpjKzJJn0L5m6
iCQjyEtcwM8+e69dsF4S1rsVZfd4Iw9mk1zaUa3rqbkNIr5bMY4/oohOBQ7EBe+JML6aW+8EP58B
VGarBWDjagjmRxWYh98d5/6O5P0PvnaObx7VGB69wX/82iFEQYgsQAJmXtes/bbejFr4+flSO3V8
n9nesVfymvn3qupH+l12QXZXMQHY5EKk3b4lEj95kJzwMj3NjfqY511ocl/m2qyJXesuM2A9EIZO
hGl/QW//w92B+DsvPUYvXnwHaV4Euuzj9y991VLtXeiXXmHrXw+yuR6t7GmkNULaoMCYB81VNMPu
ATGwbrv0KpwZDg3NlAegyiRTLXdmDmVGEEwcxdfYcTFzo74eRpCdZZWtYzztK0ex8yzY9ZdJMK3T
iOotIomIGw2EHxJxyxBARy662yb3WeVidogesEGaK9qtj/+ZVv61acXmKM9b6x+H1W4r1b3nX5H6
+qOr8K+f+JurEE6eXsC5wnUZQAKuqd8ia8wjNBVrpgjzx58mFs/Fey5ZwvFZWAh/P7HwDJeOyWf+
5KH8W/s30mn/3+2ExZ8lpW07IKxd/08buBBCmJUwVpAOwqvX1gnAN9tYaIlCETH6u3EyoGvBLeGY
tK9nGDvSQ1eM7PrdY9o5uD1RCSzpfeMq3A37QTKR9Bl/TCHDl8j0uiOE211Ro/bVsYndyETvSJru
qQ1T75DZsKgiag9MUX/V7cWLH5LZ+5GiYlMKVoptpPplBWgAM3tYXFS9LDsnnL91NUv1xR6tjZNo
61jYNFup0Ict4GbrIenA/o/hd4sgisJb9iJLA6tUhJCWLAXtm7duWz5hkrxXttfso+wae8ld0tE/
Ih7Lyk42YZ08yM7hQD7saqTN42Av7d7N8q+uVWD/ponEvzdFN6GcePa0zldIVRl1ySUwav+h98f5
4Nuhj98hT+5LNmi563b73p7OTYf0HaSkUlD1Wg4HGg4OGRsSRC+se0w7w7aaFCysGYSn5d80zqPl
NOT3sdMRis7v0tm0jgmJDn0IrVvy4NTylRRKHsqiktsecPveNmLyzt9tUF3HOAc/PC4JFPaGLuo+
9NbFVJlb1LEK3WRTN8NnUPF/8iGX+yqYPoqIA30XRqAIyv6R4Nwz9RyUoA5SXLwquBQ68lSb4d1g
y/HaKZNi26fZF2PfwHmvAElLJ4Z0XJwaCWqjOU9Pfma7u0JUn6LntNSq+imbnbtQPKThEuHlbp9d
0aTb0SfT7rbLpbeNLT/qcBsbZb/u2S6MDcEnegU5jJUkP5yeeTPgypUMMAbu8DMZkJdxnMDrtcGH
2fQHlZLxDTMgx2PVfrZte9W3LTdg5TN9TYPcwp0Y15jLi5/tRHXJD2VJU7EZoc9vKFNzD5zfIUwt
QzFfen/OqHR0xoPXRRl2Vjp03Mm6ZBqgY6iOvjxOEryoWD41ZicPCWKIwdvMOo3XFFz9ipFcDEx8
s20f2kav2MrRvMoZt9EOeaqUFil/LGuwf9qXyAX542r4j4m/h+bAtYQKxA6rpLSktfhbNiYi1zlw
50OKWwVLTd9D0yq3I8dP3l8N/sV8uqujylnbiqVA6rlgieygQsKzMxRD/7UZ0xIibwHSxOVwiNeI
waN/HNVmqYx5A1y5P8ViPuQpa1zOM+bg7xOHU4YxyZfY5CKtbNkeqIO8mWOBk6qFSJbW+bMoCLgp
M8RlPHz09uijQaTullpcTm/SeOoSizXjMqdnyQS7yaJu57TUjSwDxSdB3xwclxk1K94CNTYrIyd/
qeaTlPmV63dsL7zy7HTNxevaifd++zo65VuxGAYozk81sBykI/4rcJ1kHbJTP/hqcKFxtA+F3bNe
gJmLkWcorlK7ewYT0h0JsAfrnvqFVeNX7rovxRddEufMY4HVDuw5GNBfK9O5nwSVs2zu3HVTOjHj
EN08aUQG0ntRKVWSSUcewUBUsFz2no7bKfB3+bRyyOKtCGVAxkOYqe34giQOnbsR3yKUDrAtqBuY
sOZnxZE1CP2WjB0af5W7+8Wd6UdJChAYOe4wVCRGer6wRdr3Zd/CZGiyk2gWeY5GBf6uO3HDT67Z
YA3I+LSH5mX91TTewqJguWYFG+2s0ZOrrB0NLFesypeMCSjqU8DsjvtjnBQDX9jsOd/XJ5++aEA3
Aygfyb7IUKncWLg4D1b1JMqd6vPhGKkYmSFPoW3j7S1JW2yCICRxG3fjDoX2YtRDerLz+s12uLwt
ivBkMcWkZd1r6u05FAaoEnMcbyWxTTZneqsPoQNmtesfzXZ655796cLPq4VNeJEDMIjvrDaDK4TC
pyGzvwfhzLzXeM2BFBx8HDyFhWd6p6H095hkv7GFsE42vdBr2gXDVaFh8SBhOhQk+4ucR7JNjGVc
s9vDSUxieDKGbsvtmSqcz6J23iaDVKUqJaHhBlu12UATcJNLrUaC3qO7Sn1xkU7/rCgCEKNExVte
YHTitx3Z9SUSNz2rggJbLopX7KKL6FU4nbJ3ZVTjbByy4rqZfUifvXUs+FHcBNIH1Wk9Tk3VHGdl
P/W9Px27rn+RU46YJ/LlhGkN256Ni8zvYDJWtH3uAGfSVwaNcqV7iVekfsnAyY6piO12VNF7k0+D
A2sa11+Umzv+661mZ9cYBqhpSEYb6p7A6QvxOJlODe3EvgMUPe6zub/vhiJjnVwCeKQhGi64tZ9i
DMXWEjLaAmTjSq8LHOXKPwCroMqVR3TYlCHTf/CU+0TQi5lygpF12dVkw2iyKvmN/SPRZobIkLUn
XrVDHDUboHH4H1wTj6wyQqigAbgVF0PjOM/HoZqe7BhHhAlrZx2Rulln1zaSIjGfDFuN2eC+G717
VmPboaRiY9GNCIH74Vj9Hc8KOB4lMgrRR+2We5p+KpOpdM89M9DCSmeJiS7kQ6cDAggYc++9BSl7
ZZEN60K534v2e9TR0pYpttaWw0VRCx6gjLxfgU0fhuW+JVmWMpl9JxnPTdvoHyY/X+4KbDqehRjJ
t1JRSY6sGo3rtpE8RtEauK2wDfVPZeJ+dvgwVk7DF8so95jNdIaIXtHWu8CdWwA62ioPd56lbsaw
yG8DT942Vfqd/FlChMx/HrAe7agNoek2Ns5xlplr5ZlbeFj2BlfYOrXLT8uO4FK1T3binEyT3vEg
muaNA4lya9f9HXI3yzZI9TtEaHgpJRqwtUT7aPC6S+3hceRw+MPpakoC+gWZu7u3k5tCtW8IC+Ar
bVTGqLQz5rngY4qh7iYiU/tCNT9S9Ft953npJlAICXUHPjLKihefvLrJdY344ZrzXagZQDKyinVI
bIESifxdlPE5tbCPGkF4kBwT10CDEswDoYXxIFs7cdAdnaL2N9zX8U+jNruYBjbNbJ4coHhbXJjt
vo5CnS2pH4vwfRDzOVDLhWbAgAELI5QHHJic+cxDjQhG4McZzivje2D1D/8ZtP7FQQvYIkPHPx+0
/gSPBAiuP+evMxbxLIlJES1EOMJlKvr9jCUhe5Dn4j4sXZyGjD+/ehytvzi4Exi7hF4n6XjWr1sh
klsBGBGPTic+3fSxJf73f/1BJmj/9OvfWw6hjPxpxuIPMvU8x1mDf9ET9UfdoFU0XlLdQq9mJBBY
CLVT8nQVdMOHR2GfoLivCKALe/RIjjGqeePey56OP0nZ32D2l163/6kgZhDo7mNqAcvIvIPexWPe
hMfQz2SyqA6/xU0Tn2cMH01sAZvzx28t7cixLh6kgJAV7wWrzI9ENxPWdI2v3GL8SEwyMhUsK3Do
jC8jRK/h1R3VV4v/YUXg49Oq8DRMzCQL7o1ugK7t0wHSGeqJc46/I/3B3Z+aSVzcp4z4wtipHYFM
Ks+dHGNDHWwT29PHRWS8vvXpImcpXmih3aeTb8A+MroSD4sNfyzlcW9X3Bx9h6a8PE1O5GLiHfsK
KhEo36uGvLg4i7mxlzLZwQdgrOkEM5ZJU1yHebKsOKKT5joaolXbzDPErqn2hRXwaF8EnTm0Pzq4
JZ0owGnHAoJHSkaUvvrRsRe4Son4erbumhRMkKK+IfrlP/YWxTbLkmxjRMcNj1DonJRFMjxk0zbh
fgIpY+5WoyDhEmfxYawDqpXBHOzYz+/rtBaHKmJeApjXbEp4XHDhmHiUycQQ1+ckpLKTTbhctTFZ
7yC8xDJVjwPtlRBG93nA0d/rflQjvYmKCtuziVKGPYY6mv0YwCSVwnsyNdmWuEO7iprpOOOkoYYL
95Pm4HLMQp+HjBuPAco1nKaWkaYCnguJj5vlT54uYN1JE3bJ7sxrhjp27SZHWBcKAYmfx1GTeYVm
9KbAentN7cXa5mwNQL6GJvpGNmxfW1N+CSjB+53K6Tn0lhuh68h7V8VH2ZDEjbrpXY2MupVmB9tA
hPF/EVLJ5fWs+cId9bZTT0Ju4QheaQbxAozYktmHA5w4DerrmAsEDZnABd5hrF1h/ehqpnGsqv3s
Nc+caNuj4CyJ+/aNXJEkCqN2DK33bQ0hWRdtHCtNTV7AJ5NU2BQceqlUgnRWVHhAogDasq0bKXtl
9ofAEs+LZjITKEcuNaOKcIBd3NSGQwlGqK2p1KOZfgks3fZuh9DgEzXzmZh8DgRuTrdKE6FjAzZ0
kNxVhs9fzdCy9sFHw2pOqWmEKD220mG+Yvs5F+n3ONAtnSBGFGxMcIDZoQVN3WlGtaVp1T7Y6sWp
3etIQLJONNM61XTrTnOuHU28hi+dnt0GCjarHLmmjmVXts57ME3HMMuv/Kh8TIr4wdvlcBdUOO8s
M33W/2TwaVDkf63nxfC/TYaxd9r4gbDhOR+dA9VT16Z1qz8gt4D6O/3TUi7XReyddI96IctzFij6
0U9MxcfE5bdqfCNsaPFjX838xzLyKxYZp4HDYmT4p1kup8VEH6ncU1rWj0GRv6EO7IEDXkcpzVtp
zTsxOmVVc/bH/Fl65V23JEeOvvSo1Huj5BQol63Ms60b+ae4Qng3xDlpshfKIc/wcOt5lw3WQwUg
rcjFuYuTB68pLp1BDxkuYEd2mFj9RzytR8vvvwGhu+mDibvlM1jBK3Mors1K3ETSuMvt5dLxYi25
tU9AohMph0VyVsGwE+op9XCDlulzZrNMDs29lN8ko/Ho4ris0ZnwPn3RxfdA3t4p1CPE+rsukM89
VZ5ALu+Hvj3Eo3VKqYXJPoVhfwZjux6LnBSKDI7K8z+jRL549fIUtM2e5f+W4oXNku2zpLnTX0fv
QMzDTLWsUggRptPtSjkMVLW1B5pmLlUCb0Xc+2V5JY2R7oPxSfAcyK362oj614HJ0F30mlwDqlzO
fIN7oO8Dsk5z56n5Cj8nsb4Gy3Z/15f9gdlxV8fTE4+Ko4jFlc2wbwF9RZG688kgDl11y8x1PzoI
aeZmiLxL2IaP7UhxVwCWX07rqHQZ6GyQF2ksWG7lzG9htnJc9yH0yxvZNC+ekWBHGlZD7d9yinsz
eqzIUxRU51Zl71W4PAjdEuuLD+zij5Zuj6Vy+s4b5XIpND99Uv4LwAGeUdKw9qOgOCSliFbpRlqy
0wwTlESEuq3WcDaWtdR3KS0LyuV21FJs2+mGW+rmHS7X/GTr9lu8FyE9qvxUdTOu5wJbbxVb9lz3
5hoDrmsjUmsDnY5e1zTezW6HmkHfbqabdx3dwTvVWb3OzeTQ637e/5wm/8XTJCo2x69/fJp8eC+7
d/U//6f4k2r/y+f97URJxgUcOe03P4Hjv0VmTFR3iuA9iwOlyXnyt+OkCP7C8RNMuXB5Ivw8M/56
nMRkJIVlBZLueJR2IL//znESvPmfjpNsJoTgsRkwqnrg6/60hvJ4CMteVuy7Mn31tDiH2hBg6SC+
oQ+tuDdC8/eakbeuQUv3YFOa17nzHoXidfDGV5K+cPK7TZ3l061LkNfTaTqnD48M9xxCXDzjbdyv
O7qitxJkIq0xHUck17nyqYTmAISl14UtR2iSjGE6LMepp8HGtrJLGZcssEwX3S4lnBw4b33Qi9PA
fcz15i8121d1Oqpt6PoJcUVcLkLez1n5MFsjgdvY+VaPPE4XbLqrekqeh8FsT7j7vFURoQcV+D5R
EQeyzO1CqDF/KmDarNPKqTYL1IMQ540tw2JfaYvz2rZdUEDVclOPmKcy2JC8E/u1nO3i1hH9PTgq
4wGI/D6Q6XUcVceyistnVnVId7N7kDZDfxZln40F/TKMPBK73HMlZ/nNgFC4IWPqnt5CDnTspttT
nyxUcZriWJTwtILynm5r1AtGylVi8KzpwjC6hDGt9gOO/rQTxSmP4F/b1XDoooAeDcKuTRGOByMd
kt1AzqdAkd+5bh+dlsG75niW6M4aiXlXmPGNKuHYyKQSoHTNG+pTC8IVjL9QrwAGEYxns0OFEimI
q0oOJzNS2aXxsx8z1UedMA8Ehcb3huiHo6wLHRFgRElTeP2b64mQsla82G6XQmqxpoNnqnHv9Ky6
0xtSNrM/k0vC4HRyo7he+zWhEEBfQOf6l9rkUexkmItb1szEV6x3WmDXsGW818K377miOJhcsUy5
9wputCXk6wZi6rrT/tYigCJWNOaPsUowQC0N6bABLaplk7aBNEXmJ05uKixFa/YS58AIGWKsZ7ta
HhDk39sYn7kdn8fW58Y+lfkmbezoumqcE+/q+l5BAAGIs5xkjTMMXCqAXfVg8t0dG8yhG3Mi/gii
dO3VXObVgBNsDOLvYV3d2v5wUbKSIGVmulPxjdNn/o466xMOGfmtmTOrr8XLXsuYmeLC18Im1++1
r6VO7ObupsAYXNjqTTpFeirhf3GIGHdc7BDmsrLb2Fo+TdFRYy2o0tEzHJ0SKMSTrQVX4JESRurP
8j2NgA1yWB2DjURr52o/oNpy5/oxOnwTg0bzuNAhEJdsgzgxcm+UVREoIovDNiCM2lBfM8SozTwQ
LioirDmjfYogBuqCK3kOrDk7LX53BFFwj8mlJ+CB8IzGtTJVPx+5IfZbVKC9YUIODrVgzd1mTV/J
8swV4a2iFB5djL5daaF70JK3z5iXEJWKJNowvDpkcZuz/MSLTwaYa1fBeho6dvpu9Ro1KV1ysIca
M06uZi25z1p8d4R3n8n21V+ids8YQH1x656LCFzzwm2i0yJ+ruV8hfJ/LIFphYbDwUaL/rgyefOx
Bwj0QoC+5J5KEpYEFtuCVq8NuuWz1GsEjGVvTO2vNDVMW6K2l7arz55ePQACvrL1LsJIrxGwtNT4
Ni7OcsBifyg7gv9UrQabNu93oJGGTTDL9FwzsW/4654bvQBx9Sqk00sRm+1Iw8HJ1uuShL2JpRco
k16lKHYqpV6uQEdmzfJz4cLmZWED47KJiZtgl6cmZsK6P5Vc0xsoH9cO2NoZfK1V4rzhOoAsOvUU
8bTjvaNpt4vkIZFoAq4NCnfUTFwEsIOp93thCLnDAZwbaoJuoVm6U80xaASvW49wdovplIPd7TWn
ZNAk3hIkbweatwXRK62JNwJvV97dO1q1Sj5SaaZv319gFi5E3dvvCSadiJuFz/N3m8VYDsECp51/
PSv/5E3dkwE22P7JD15OVQ9PGMBzsfU0Yzjh7tzHxtE2zMtI1sFPArIeYIlTs7+34KpEVSepM3qW
7SrXFOPGxJLR2NS6Np+xOzTbZlRUyDnNtUdboTa8YFCFimyzRtubRopdBnwgk/mN1AxlR9OUE6YG
eFXl3ilZ4LVAePa2ySaEBjE4zG374GXxdxMA6Qp5MgE5uBwJQ4pTmEyHJmC5UExefkUK7zEO+k3j
Pxea/IwYXmsSNIC6ek2zt7w1XZQezYtugQaAj+bvNDkl2tyI5x5Az7J1HVjT0A/A8DkF1ayaRB1o
JnUFnLrXlOoozWnTAlw9YXXL/HZYM09na+pboWjheyLLbW4zwNcBAOwJEDaFnvlOLzNHgcrPLTve
BGCzcQ7flRUJrkYTtVF21vb4ygLzGMKpPzmM3joR5wFfRSLycvR+8nKFTs6xx7olAHBtCpPhiUxT
RciuJNhmtKTuXOJ3IzE8FJ/NqHN5hMwecps1zBB1t4F1auqgvFYOlP66C78XfkOghyX3LlU7v27E
BVjJI37Kb63Du25oldhjduyOaH8Prs4NGh+jThG6xAmlf7J0upCdlc4aTj9XLSP5wy4EP00u6pRA
4FlnQnPvxg/KQKudU+SfNTHGNk+eRn++xcBz7dNMWpg52z9CKlOLX4FFCaz3PPyxsNLlmOSTkfSI
yrOneKtJGmFE4pnak6tsdMAyxi42SOuHKUBtNjxR1jBbDxTC0rumA5oeqntvlTCN5J1jbVIRZIey
OTc62NnoiCewt++hDn36Ov7pQzVbtToSCqqFxUFNJJi0KGS3YFPrAGk39g/Lz0gp2dJWh0wr1/qY
RVnTNKcfAayPa98ZL6DYce8Gu5pR8xlzxkMHxJ+bsLMJybPW5FpjHXA1ddQV0wI5TB1/lTFB2Eon
Yl2isWJM6Ju2wIbiMH7e9jZMHs/Kv5tWRahWx2srHbSNivtiIng7MZ/WYdMdAzK5S0s4l9JwHlA+
qHQ8toPkaDHpKG8S4cOGcyIUId9Mx31VHCvYk4gNs6jSTa9jwdGgA8I5D8LYXoy7YLnk48JJuFRX
uBDZb804JRc54d6I2csk07c2seeTN4bPbSu50wfHdKJaudKBZRJZu6Uq/JfI+5EbxbrLAaVGTugc
Z5zdOvXs6vzzoJPQiyvxFAi+RyPWzl4svkp7fUtt4k7pALmKaDi47i2suL52B3vaJoxdWGjLhtAO
YmqNvjVW1pJj5jtXEYCIhJ/sWIltb4z2NvZGjtnYzLU3OWLDwquEX7nQzmVbe5jb7jbF0pxrb3Nc
fmSDjyhiknyySt+4RDnNB9oR3boz3oKa9dMS9CMOAL1H+ZEP7tdikj7Tvups6F4K7bSGTldwkbw2
2oNtCNzYvfnRY85etEvbkvi1hW730w7uDit3oD3dQH1fWu3yHrF7D9r3PWIAdzCCezP3yUl7wydM
4qV2i2c2JhzZ9N9S6n53ixm+oF3Qpz0HT3aL6SUpFUtt7UAH3HQ1Y0n3saa32qMO5IQiNywBMvMF
CApK5jAyz7QMVBkCiyRavhPucLYXj6Z4bPCV9sPPmFFdDPIsgk+FTTqoveGHjH9+kjdmqZ7izIoO
OhHbwU+qvLA8LPZdY07vkdFcIxY2V4bP1d2CksRNLHVwGWlUpIeQKMg3ge8cMtsNhFKO1OOMoFG9
wIY65RlVDWaXRWsTKP7KKbqK9lDuKNyTKGBAKk+KbAPP9Koh7Vm4e2IlN0Mbq53TcW5Si4UsM24p
UxG/OEj/999ZUHxW9aySKO5+2Vf89sv/fqwK/v1f+nP+9pt6xfG3X12ST8V96kf3Tz9q/1Vdvxdf
7Z8/6A9/Mn/7X786nfn5wy+2P8f6u57J7/6Ls2z362JFf+S/+g//17/Ym2uzz8FJ90/Ega/uf/7v
x3v+J23gl0/7LYNk2UzdxJKIhRABDMA2/CYPILJTf8uqxzV1Culv2yY0ABJGVOfSb8au3JUM9b9m
kORfcPTxj7AB+hqp8W/JA/7fcanqBBR+Pr4OnLZSu1h/ZxD2x6BKMYlz18+cfp8KgONtQrZiEhc0
Ziq6JcToIrNuxikerxvcpd6AtuUUQ3EyS/MhbHt75bvTM8F5ez0v8b4qp2BTjjrATFiUqSE+1YZ3
5/MY3CUaaW2XZX1iFVufAEQZKzk4wcYazee2qV7LcI7OKrkFxUmgMF3Sk6je8iBsML/QiFlNjB8i
ZG4YqX/xiSRqoJSZL4eRlRY9Q7xvSu5qBMO9D8ufgz3PaESKar6v6uVdpu7VAnR9xd/Sk+k01lkc
oDSGWOOPdEqZ+8rx9xHE3rEA7xybrXGaDLqPyiY9upEbbWQGPE1Rg8uPerxkY+Ie6Ye5zeBPQOPl
Ye45RcS50bTPWcx3b8eHIkvDLUSwmOmsf2Eshdg2m+eGJTVn8vw5amW/tfwULaIqQGNQAe8nZ9cf
yB6IfNa577nq820fEEQYOSVTU6u+sWF641gT4SGggIcnJr4oGFwCLAgx4WANlw3fSpffeXYKMEr7
9uf02qrxqYhF3jRlfCds4qvArXZB7GyGdF/EhbU31fJaz1C8mXsurRXctosLsp5WD5RiqnYLhTXT
dTgiLlZ4JA4TrqDSeQQhUSPikPRoTxGwssgwkKRm+GhvenHnpED2KpPEfle0H9FQUA4l5mtDiv4w
OcbFSOb8wDL0qVrEleEasJvY0MMHCDgmcRLFizEe3Sy4dqbqKV9GdcpJf64rpc4mMxMzrWmvCj+t
j5OhmE1nU5ELJw6BePNMa9X9mLKyANFVBH32bpEbWAUKg0ulg6+jAZoulsvnPE3pfp6ocp97sHMt
4kkQJ3epGr8W95TPBffhHF07zYdzb8TlTS+RMOb+o+5fgnqeD3WQ5ieiVjt3tvdWke0D8kcH9OJm
o2uyaHvuKiNbp87EOFYpa2s5gMTCNGHB5QFsidp559NaHdVA7rAfuDddYMWbxoo5Ulec2H1zUbdR
QJ+N1bQvitqGJxaVD+U8kdan26phDBkawbELMlU0dtWRxVO0LpwaA32Cf9z102fKZrWWTHxmumsV
gK++C60D4juvcnrsJn7Usb8kaNvTUU3LtMnqJYFlx8MnQFBLldgOIUc/Z/xKesc/NK2ldq2VnhVw
LZfm94Ix6Gj7kXc71+G+NguXQI7/RiQk3Ld5HpwzNnqdI1I+VNz4i2fufYErv3+tCsQvb4j2YeyZ
j20efBd9N4O0wEonx+4SFYO/ifluNrXPCaJrIFWbdDsbonO3dt5FZE/EOiu6+Rhl021W9zeeJZoH
5QIEaIP8La4fTbLbt0NkrmPMVlekfEg7OnBwRDGdU6QERv4fBEjWZWRde2WTnDPh5NtWBcfENtdd
EzwJMcmjryJ6sAZxQNsgVRm0Pzy+pjPcitU8hSHswP7e19LhgoZoWjHsSi0r5lpgFCiNYckmiaRR
Dj7IQIgkbpJpYTLsRxuwV/kUkJZPHEJQPWzGVVihFlmV5a1ST7WnoIwgOCfk2A17wn5mfVu0JNpE
+UOMRjqglRpaNG20fNqio+Id+KLfGLcWAivAw7ccxZU1H/vCgLu/pP76EnhUWkXzsYgT6zXwWOs0
sgauqeknzTw4V2btddriuY+Zqbf1L7Ivm2UtBLsowsnABOahETdaLGaJzFyAHICKTJjklSIhZGUx
WDscGrpeKQW/81N+nnH8pNa3QQvTnZaoHTc6cJpiV69PNfp443LOGfWBx+PkEwfT7dBwEMNsuzHT
6TNI3JMr+Eniq4/wOYzfAAOK3WLwZ/V2v1/kwBTnDq9+KV5cDDo1YVs/zYZt7lR3qbWwOrXjiJX4
jvoQfw1Vpt10GUJcaN3IpdWnabJgAiSBA+1l30HZ76xRHODown3GiCzcmnHNdH6gpb+GHhbKxXZP
ikU9yyeKiKNMOesUGgPbq5Yf8iA2JI24jmf7hh1lgDaAjctJyw++Ngh6srmKMvxkodfe6yayRVas
7vPqoyjpGCgBH6FS04wYBBsACil5JsfcTdrzK1lbD/i627YYcZKqYhcHjtJz/sq36FM3fdyOPrA5
AvHBxvTig+cTTOkn/2NZcAiTQKOeQRwXE6N1jxiaqTffL/dmPLUIYP0rVRlUTEcJ9FviuHG3KARI
0oiqmMVmpkN97WS4Alhy1Cvhx/UuqzRpBYh7/DabvdhWHZmArON4LEsPZTPRvFC43OwPm4lYJOcG
k9U+nkTyBi32rLnb+vgBTiHuX+rjGpBRZKGjUER7u4ufMgN6Ja/Pk1X5wzXkxyEesn0XgMitxwLm
Hs+adegn3tkKvAvFCPW6NtJ4VWJ3WI3DZGAtrdQxLNo1rj7u6EV8noiUbd2y3FXAl/ih47VF6FcH
jQV3B26D5lL1jBIpwVLRnFUn/BUlCHQutHL+KK9M0KzbNL53Qwg9Tsi3l9idoMcrulciJ09MZwkA
/H4jDcbTsWW07ZuMB0KJQRGgK6jdhGA4552VGtK3ZZTZdqYwEauE+miW9LXJrFvRG0ytSGPcrGgp
AU6MJdlvb5XTWqtZSYC3mFEWSr83UkYfbk+obqr7bFdS1RMVyxqQ9T6NaeYjG/HVwE/LO6/dN127
MJ6gHbo2T8RE0DWecXCwm2WzTKwfWo8QAQUY6zkz4I/MJBSIpRw8uKGbeITTPgyghzqDiyDPsZY7
3WdhZe9igsmQZaB5y9D70SYTtW/LBHIBuZQ8Z9pCX56pdsHQYeb8eOaCbq9EGusyNIbTWGaCAT96
cbvgxUkpG/RKEjd9wsM1TK6Ya9ciKOXOGWxrE1rHdrCSnc+bYRngGKetBTzUfU/nVrdmk8CWuoyh
ZsrdTDRQ74rqmNbDAYmr2GKzIDw7OQ9FHKKr6n1Clnv5GlAIDR0cOEcbU0G36w3KgLIU/QoP7DbR
ue5oNi/RYPmrUA4Jb81qOw+YMHv9ikEDpnAusQ8D+/RVOxHFRDhN18kisReztuEqT0lvA8BEqOvW
I7Um2wEKCMgd7A9W737YHAA2pChWk9ejgnDMnOvO5rKxuT0WNeXeSUXhiHYxW2j3jPVkkgEKJT1t
9iyqIsUDNJ2NYOsUwTtawpvgBxuRz14lov9oG/E9oywIvaqEu6GFe2mh2fP9VCxHoEHTk2243FF8
HDS0KTaoXFULC7rkUXlQmXfiXvZuxwZ2SDoeCBTcDUKREaBflK5Qg9rTNuTZj2UCSOhRhP6GIHmz
5a4YrSYYVsRkODr7uk185FJkp0bGg5HYCoDzk81oDukwbrC3pZsk8GjzsWYorIragq6eoPOxTSSE
jIerqE5jNkZbQiaXybavuIuDENaboQjxJJoclLnapb5z4VbiRsu5CGe18lw1njjufGRux3ncEHtA
esildTpvk57EbFD35dnqBu7643TwuXFtixZdnnCGeRxccn1dnV65Mr61zdE9egFW+DoenV1Dm4Ul
l+/JnKjTIt0IPNT4ERb9cKX+H3tnslw3kmXbX0l7c8jg6DF4Nbh9w54USWkCoyTS0ff917/lIkMp
URFhipLZK1pZMmfJEEngAu7Hz9l7bZYZeyg3cRP3V2Zgn3deHZyTO7XVFLCJPM3iUPeju9VJWcDG
Afwq8rqbMiiO8Gxxs4xFCDuvz2i05f46TcCNRfUnbxIQPiuNVQ0RLCeQM8+2CYjogHOaDrlIznzZ
mFZLnV2nG1eLtoxDCCBwPw5Tw1SL6n8R++5mNlrGG0K/lAgqD+Fkb9ie3SXiewwjUXWwZgPJMyMz
3rTisnIGmi9dgB46Qh81zo22B2d1mtKT2ndlYHD+c/dQImpgPRVqE938qBmMiWLqqX5izRDTVJ/7
TUhSELYSW++4wnSXirE/5KRiLdykWdNYJ1HQLcnqkY9ez67ODA1DgUrp0P0CfXczLP8jk/hFmYTu
KNnAX3dCbqOH/OFfX4p/vWS4v+qIPP/zbx0RyKKmpwt0aviRPRWO/s3jqPSzOi4FQq9slazwTTBh
Ge+YRCJHA0L6Wn8r3uHKcFyC1v1/TmURSl77PWfTcQjQcvl5rkW0PBHzPzZEGpJHUlz66oQ1LTko
njB58/1yPcDBp4G5yQGXUUnCX2Ksffzurv2J5dkSykD56rfbtukYKI25Q0CNfvztLoG3g1agrRWt
CHC0IxRV8HV8Qi30wmLtxdWjiEmV6RLepKr6PDQg8mE8rqvaudeQHK2NCR+/1vglrw7gNHtbp/P1
mIPkDrpT2eKWSsziix2xUEYWEnheevSGuXObazZxNmW+lnp7Mw7Nk1cDgvDbVgFqKnIwHQx1mBtP
RMCMQo2wTVvbFPDiV5g96NWSZNZNcuA8mT3NTKfXIqKLEykHzSjiDa0uwHBhhRRlAqVg0G+q2Q7W
duDcW03nH/I8dFfIF5dDEB0trx4vwpFgQo8ecumNlKaWtnHZ65eFY33hJt6X8DAXcX+atdSsrgQM
7o7Yw4YPlpiUtWkASlbDZ0gNst66J58xTarjZqABgai1q0+cuHoqOEcdBfLACfnxZeZthnY295FZ
XgZt6R6awdlPPq2clkHVTvrDqlQpbHIoR6ST3X4Yq+TUC4KzynQ+Zjabvk9RIMpWoNI1rga98Q9y
ysi/LjLUhyXcquAqUp3+mswJV2h3bgDAsGietDhgwETk9aLpY7mTVvMZVlywlw3LJOB/Ka5Nau3I
qcW+TuMNUa3semkK+3tMdsIAbl8Y5F7Lan5EYUpag+XvMD+W62Sw6n0slC4GWxX8nvEhCvt9VegQ
sFF2O6Y8T7EYdlOrnURWcpcS0931qbzWrZErpC0QWTZrrV59GBCO7Ntrs7aq03A1Rj4THEvrt95g
lFvAGWehEMzmDJViJh8Zj/pxv05YxKGdRN4+Ff1jxmTDSLKTzuDUjxiA3L/Ua7Y+gX5txnhLrx/E
HPGLCTvCsXaYMu+8TsND5MjrhPTq3oOMwiOJLa5NCSirhbZi8LP2cr/YzYRQ4dWCHtFHR6P2zH01
2h80vQY5N87uTrUkZtl9agMU665M0A0LbUnD/qQuOn9LX/+p1WbcxXrAcK17EALtVBbFkPnDi2H2
6Vr2BCXRNuX8IEmldVsGfZgHtnrkMVCy5w1F1z0oQJxT8ensE10dzvsko+wNylOgVLdZ4bs7v7CP
Bnkki6F2H+B4YuPyyQ4QaYGChvPGwZ9BOAJuBa+AbEEC+DM8uggy/loD8D4RW7YpAt09r9kmQVph
V9bWpR7N14HfXZTojOgxZlepuIxhhV640b52Zx1BUhYt3FrmZ7JkjtE8Jo2NLqMezl3OZgBqmKaN
R+7ptvcaiCQzr7bfGru73u85y01dAxyueF/m5YaRkxgJ8+VVtAZlCA/DTzZMIj0Oz30wPBVlRTWf
uqqy1fpVLbsNLa6zyTPPOz0+M6bwBJvAtqxaPIN7PGT48qLL2XHppYbnRvpxTM3bsptPrfGprMc9
7/hF1edbxy52XYEL2lIgf8GMHnRd16INJcCCO7wdu2odTPmd5opbWlj3tYVwJ63XUtAy7rSzTu/O
wti8IT/nwsDPsAB7yJRuOjWjERaPRUA3E3yvRVrEsSLyjB0twbMsHvaBoFIkbZUwtAsYyGedElVM
x6yM9iX9PZcRZl2N57kMrlw9ItWY48BqHpKLzIrBD0dnnpMdZ9u/KpHXki1yUusFyhhARnaFmqjl
/CTvTdDtRmVcVChMFp0wF7Umr0vHOci43gXxvAGoeSikftKO8UfdF0dPiPO8js8apziCO1tCCNar
U5FaOyNPjpOZnOhFviX0/KJ185XMWcO5cpfeQlGPGxYLbNwYxIr36u563V1imIfanpHjQhDM5pPG
GyH55ebHcNIvKpPeqvZB3QGt9Pfq4gw00EM6XSyx1x/VlWZVckIW7DGajY/pbO4Crrp2zlxmrxMa
BUrgEFG3WzUXnu3+p1D71ZGVbliUU39XqKUP/7p6/Glm9fzvvulZhWM5AoKmQcGldKPfVWgCAxTf
sqhOXlVo4h2ME9sHUG4LE3A6pc3LzMoi9kooqxVUPf4bF9reH4O7l6Lo7xxStqoQfyySEMgqm5ZJ
/cTL+HWm9d3MquC3u0FhYp3uxHnkgeIB3srZ2dKX9Cuv05ke0uQcoalOWxDm6Lqi9x6ujnxiYZsD
TZ5pIb3FFozqwm20YtXaLM5EDo+mJDhvypaaTYK6V37q8vBuQH/BbHo6R/JNmzaGo+vZyNNSasNQ
VSzlTP+S2F6sIZjq86YFMjBSvQ3GTTxEd5VnW+u+6rc4Tj/GNZ1l6aT3U9S6m9AwPofm4CC5ST4g
7NgZdnE75x86yojTqSfFt5SjvXFYUTZlmdxUyED2sUZuDxK+hKOhMUUbLSJcPRpFuzrNQGAEkEi2
RjKflio0MEGVuu8EKKOITXemr7xBCnqdo+zbWEnkbiZrZnkJV82YvDc7JUAde6SHRjMucy/Zur22
cmhlkKNixJvIXzklMPe6qetlQbMCUc1w4wRrmlwEXVhFs2cD3NMVup0muXUjaW8r5nqpv6mICcqt
EgyubW5YlpNFbBj3hXRxNPv+o2jC+TjqLoIViczAE+U6AFCDUS3fBV2AiNWBDyZraPBUVxbm0qGa
QL0Fm1niMA80HoawXVYuYEC9ZIzGFcCBctLPZtqtOtldmao7MzEeWvXDRTS5N1VUOHupiZGRvKT/
zNwFOBLasalq1iZiTgOds9bChrJpKhn2lVfbzSF3wpOxsZNtIOD/CpQmvcURP7SCbnlvN6FxBDqy
wh+CZcWrzqrCvOmpnb1eBKuu8bfF3N0bk/kJ3z29h0ycZQKkW1vqW6cLIKRPWKU609mGYRxtEtvG
BtyDs6iymyxG/ZgjCdzS00U+S4Ivrv8G/YRd9Be9WYF70Mq19Ft2LFp+C9fL0Qz01rr1+rURxZ/m
ML505gA4a2830BF5iitZE0wcyQuAQuuwcC4S5DIrrNBfsl7fGeBEmsDBi8/Z2pGYRsSWZ6zbTGVG
Pi+jR8zNwQUsBoArJIy0Vr/3h2DvM/VrU3fTTPNprfVfwtmL90HtYyRsHtOylgfCR07tei7OMivr
CMgNNrmwVjTRaSkkFk+7UM+KCM/yztlSJiqdW+guB0H9lQvjNq8lvWa3PRpZUqwLGd2WtSnXXRjf
SNdslqXwDBx3gDT0sG7XNG3NApCY2U4bpzceQW9phyGYtwNxt5MFuEBjfLDovZJuJN0RHHB2newK
b6KbAmtBEzHha8j/aTXxj4qHaEDfzd8FmmAUgKMzf+HH8K9t58FEss1UVg1/KU6zShqXksFLW0/V
jqoX1hMVeRYT7jUOxnvLqe+KEX6OIKtpm5XxlcxsGjSa8ZjrTCpGCwCgMRsufv+cnE5GBii23sPI
BcnWO+eI8LZ+TyQMqJqdlJvA5NhST8c6qXzyfzOVoutB4XA+bKOmuKcm/0SlSFNQSy9C2plIlchF
zQLjUg/bJ5hw8XKK5X3Q+msSwC9EWw0HMN1MuIY+2KGZVUyUL4l4qlxJuSVB85nGLUqFYEFSBOV8
P6Sb2F0MdO3Xlj7Rgq8i0H9tdgmCfTv6UbCzIJqSaDRO3t4mAlvvTcgSI02kfq4/piPFPSoy65Qe
XYFLLiOZVaBNHhugaaH1Ps8qm0akG+5Kil41EUYdJYCXmCQoLJJD1RJZXlxYc7kzNT4kG9F+NJKi
FqVqZvKxrUvcqVWwnnzoZZHnXAdtccIAv4CuIu8Sn9+lhcmtO8TKGFpeMLPo1hoEhYU7VufaxIJJ
ZAXyya/d91oAdC/GYyZI+9ITq1nGVUxgfEWemtc9xIOuH82q36fk3AfRsGraNt3XM5pFV9kDKmcd
TvK9hvzcn/GPWxWBZUGNTK3esnQxHq9cznVkM1wd7NJR47WYZqiOu75Ii5UGeF4v0uvIyW5do6f1
TF9zYCLaxtFJH9VIbhl/lbH1NFX6l9Yqnuwc+3/vAnMA54ps4EQLjS+zoylmk0CAmQyPSNm3UKlh
PjMuYvjMlBGvWTvf5zVUMXNqz6trrTeD81Fa+1kAUrBaoNdeObwP+hmVKF4uBxqjTAN7VfXa+dhY
F2VeMVLTMD2hD7B4vYjTig923ufrvOME5qconYgjR4ORsQo0se6zF2mqs0wGceCyehgk62I83LSm
zLd57ECF5QHGz0q/H00XIj+tXZKhmplO9sHykk96Ko3zktTexcw4EE9wiHuEAHuirBNnF8Uu/lzk
WFkW7zwylJkQx9UmbLLzaaiWJg/iskTEi4ca5beo4mUBhuUMkfGpRXWb6yCP6CZ4zZwt58Bn8N1z
RA7dcNOPztVYwzTiYM2p00g2CL5oPMcDH19+zGCBrLskXEeF/xi1+UUUZDqZuue6Sc9pxFtNQYDs
dS6apZn1D1rZXqalOFoBeU9jX+y72JmPg72OY0Mijcf+C3n8tMYPLMcQ3gt4kIXX5kdHG/DIzhrw
RqKwQEZhKFbW4kKZjPEjb2dlO+6VAbmhk73r8STTL+FQq2zKvASI4ZR1ubKQvkplZ9aVsTlDnQ+6
1r2JtTMNbu7GViZooMlYHbT5JLIfg5FPPlaG6aKwHEyJPOjE2K/ASKyzwIxoYm9jZbf+T4v2V1u0
uvhbsdpt1Dx2r/uyX//Nt6ofWiF1va6qZ7S8KjH2W19WdWMxs1GpWj6bPnK0f3MRDF2p2Ph0Xcem
cfnvql9/h47BIfvJNuAf6o75T6p+IDw/Vf0KycAvsQ0ADtZrLoIXBi7DY9hyU574GyT/C9kjWR9d
vVl0EXNOWTMxbaxBYCSyD5UPc3RCMWUvxHlm0uPsPYOJnX5WaCXZLeGdX4UnHgthktNJLec70NYe
T3B/yLz5c+uHj7rVkVnekVwwhB/HExuyleUfjCAm2Bk2jDbGaOvLBg8SE/dIiM8W8QBmU9LzhAmK
iTqN1j3iWhJXsDlIezjV5/MBSUIzJe6idWQJz/jerViG8MviZYJHXUWjc6l0soNNzRD2iFO8tLqR
4BxYcfC4V7xKbKR5uDadYlibmq8dutJkKr/ImwkGjgMQOPdjeG6lb6zBnSxILKXD67PLylL7aLSD
vh8TxECslH4hiJwrtoHTX7vIVEWicq7oDQWkpqxylV8naL5TUxOCMDfWldFz7CBAMlCF1SK2RbbO
EA0uc5WKhxfrch7uhCO7owU6Gg3jjYmfjHa0V61cL3xqijvP6Fk+el1fFY441BBiMwtslWTW1qp8
vqIOr/rSRI09Kx4cbSyPML9SpfpVKcawyQCTV/cNUpJyq6sMQJ0wQGu23IMTaT3ILD70mDy7oGJ/
tQuoBE2bwHWWKG6YWXYaXUBdZQ76o7HuhT4pKNG0SVP3ou/yC+dJ2tFeYvEwVHphMPIBqzxDfgjQ
fxVxqLIOSzRdrRtfNBYpiFE252sC9T7K0b21UHVuJpWZiIyO7AdiFDOVpygFNBydiEUPGyRteGMT
M26LjOLAgWaA2NYnIdZwFMte5vtw7FhP9Zwi36hz49bR2PjGLDzvKpxDZIgaBI7x3CefY5UEORAJ
mRMN6SGLWen5rbaXxEbaKj/SV0GSKlHSUdmS6Hj2IWGT7tfUSWA72EGQtXs2piqjZm7mtf1OzuvK
DDZ0cytg3T4zWr/cWpEJkMonkBkdna8yLyfCL2k/C4LIEpq1iJgsDXaHBYKikDEvwEiaUUWM5qzy
NAtTPyPItNsKjtwIA5AfhA6HQbRmW3BUGBRUNqcvCRUsJ7c+MeYKCek8RDRnu2OmUj0RVxIhbOP7
GlTmp5nwjgBSWmQqD9TxodilKiM0FKSFluGF7obpRhAjyuuG6HJsT3HwgsdurmsCR32OgmZsM1WW
HMvaQFHrEZMWgXsDKTG8qoykP7Hn8SH29Q9l2oirBHnsgo/qwXCSCw5Oh1lwXjC3neaztXUNhjfo
xMuAruS28keit2oSxLphN3P2WYkEJuY0XBKzdJTA9tZxkyDpsa1EvaSnuOvig8XZnPcq30jF+c8k
ij/REb1SUBwF9XhKVgZUyMRYr6dygBgvmYIaXbhprIhUgOKQ0BuoVZOgoluA8nPctFTLm2iYYuXW
ik5N+z7os9uKZj+y+Q/wDJ1lRBcCX59LSGl8n6gGhUunYqBjMRkzloVE3snqphdDsIxLgGpGVjE+
Yd0TEa12UsRx56hmCIEYC6HaI5ZqlCCNPKefYi0J6rqL6aVIhzOS7DJCaIJ7OwGvVqGdKZxi1alG
jIxoyeiqOVOoNo3XVBtT3DhhT7jTME/bCpp2PAw8OPE1UFB9afn5sHay8MQZ5vMYmTIYzHRfKKQL
7cl80eH8Xw2WwWpldYsgp2dQCFxls5ueutioZncul1Ppyk04y4M3JEg+HTxJEXdrnSnATKZQM0i1
6q2/RpSimOQM2jP6sBgOcdtkJrP9NMaWpSebXkFsOoWzSWMCUMHbTHBucng3gKM8Np76vQ8JhyZ3
wbpKrQvmEdOg/Dho2ifPoTIWVvEI7uYD2tXKQS1QYJiZDDpTBEFsjLJ+kE0ws4zIS1nWywRTzlY6
/d5rwkdwNMm6sPOnvkcEXT4xKX1fNPW4cgnrJAKm3Uu8fHE7nXpZZt/49pCfh71xYpj1aig7ErxD
HFJjw/CdrSJ18ruOM/1aN2k0sG/gLiine09jkGcN8KMTlylSK20W9lnL11qjn5RIDlddSoir1gSb
PiOYoCKTr0KZu0CSG25aTb2TtrGcs/VX2Yhfo9kdWrHUp8e2GeReszOSipPW386jhv6v3BmzmxzF
hB5udFi5lJ9k7E/L2cnWbQIhrLdhrDRudpNEqXHSQqpnYhLbl800fokGzVi23VxsRecUp0lBLwAn
Zn10iynepg00TjO4tfAAMN4I1o5RLRu75RUuUYwFhdcsInFhOATlNHQ9ydHxP5UVHblaBpzUyAp0
SWdzT4V5EAYhxFHsIFZKGlrmJ1Ho+rsilSFSnqndSCP9lNJx5c/l1OhqZbHR0wBRGSPPWWf7MOva
2+a1eYSCE+JEjTGitlt4hd6+B84ukvHKGg3/OM0z5i1OjKlOj85JDGqZtl+RBc1hhfNWbCmXc5d/
ToJw3CGCpc8ABciamOv29tMk5ZWes2yQT0uHQZrYKtkJjU8R/ACUSCrq16w8dQoWS9Sk3knSiSVs
0hPPJ1IhQtKdZmxr2NRo/tBvTCe0xchx1shZSgD4Vr2LrPYYpXjWk2TAadhucToal24MabAJm8eM
R7qXoUTClFxOGonkhDJfuGGwQeSz6AFxLNCWe4yR6xI325MRI8ZU/uUVUvwC+iKYPYKn5kUbIlEv
AusqTEqYr3r3wKhil7iev7g+qx12Ey1sMe5GONpTh2oilHuj5ginh3LidOWsXWKoud7HOTBQFw19
sRQO7FnM6ywIKCMRPNfxukWrd5JoXvC/bEbxnQPnJ1/Nt2a9ct18jU69Kf57/9EfU4A//0G/bNSx
fqZ4fP2zvhqF/u6npA9t1HZfHon28d8hT7DxmHK2UYa0l/9f895ZKEEw3AjOP+rreb7y3f35qzvw
9xf3s3/p55/zw5/+uehyGndXjzIq8u8PcsLHOPTDyOcvLv7VT/jh4h3PYJZic3HfX7z7zucbnpoB
PX/9T138w5cMoFbUtHX0uf3+4l3PEtTTv3YDXv2Uf98AEH6uYbqcXlEDfX8D+PQRFtk8GC834Pk3
/f//9F/96c/zwP2X//t/lFbKVSKlX3kCXv2U726AIN4ZdhHs+JcLfX0fTN13aADQI/j6xVvCL3xT
98HSAUj85n0woUPi0eOJQk2mvl49D7wQqMKgorrP39afX703dR9MWjS/uCL85fPAfWCSzP+clwvl
B/74XgjSRV0Hl9vzF82it/Y8mLbuPv9Zz17Xb5vMP9kWSHzTof+hA3z+wH96Hlh/fEIc/nht3tx7
wbbFAm4xjP/tBYL4dgtu4/MH/mqncN7BPSVpQndeHog3dyPIAuR1/t0FQu0UdDQRsL5c56v7oOiy
HK7gdr18/y2+GI6rsnR+73nQ3xkoL2gyvdRFr14M750Jv0ypcl/uw1vcOFngfrdyoG5kdbCg9b5s
GPzA7xdK9x3gN7pY4o/78Pwivq0Nw9TN370PvBcO1gq6VfrzB/7Te2Hgfodo9/Jthal7cxuGgbb8
N98LngeofbbOzXh58H98HoD78dQhiFfjFPX1FgsIA1zB798HVltSr0wAiOrr1fPgvxMsDhZisufb
oD8vSG/qvfizUKe/OFr9dSHFharSgaPFn94H951j6LYjAD4+f73B/eKFn/57+4V4B2PCZXL3UjG+
eh7YL5gSUqr8cR/e4PrwZ0CQf/w8qI3RwbD93XV+v19QbxIGbGNoeXkeuE9vbZ00WL5e24H+6X1A
EurhRDYs+8/3C499kxvBAvFyH54X5re1PvyJ2va/cR9sRYbhgXheCF8dtFgfSA90TWrX5y/qrF99
Hn7hZr2wdj6njw/1f/0/AAAA//8=</cx:binary>
              </cx:geoCache>
            </cx:geography>
          </cx:layoutPr>
        </cx:series>
      </cx:plotAreaRegion>
    </cx:plotArea>
    <cx:legend pos="r" align="min"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strDim type="cat">
        <cx:f>_xlchart.v5.47</cx:f>
        <cx:nf>_xlchart.v5.46</cx:nf>
      </cx:strDim>
      <cx:numDim type="colorVal">
        <cx:f>_xlchart.v5.49</cx:f>
        <cx:nf>_xlchart.v5.48</cx:nf>
      </cx:numDim>
    </cx:data>
  </cx:chartData>
  <cx:chart>
    <cx:plotArea>
      <cx:plotAreaRegion>
        <cx:series layoutId="regionMap" uniqueId="{8671570F-A959-4E8A-BBD8-90A5CA973BCF}">
          <cx:tx>
            <cx:txData>
              <cx:f>_xlchart.v5.48</cx:f>
              <cx:v>Empresas</cx:v>
            </cx:txData>
          </cx:tx>
          <cx:dataId val="0"/>
          <cx:layoutPr>
            <cx:geography viewedRegionType="dataOnly" cultureLanguage="pt-PT" cultureRegion="PT" attribution="Com tecnologia Bing">
              <cx:geoCache provider="{E9337A44-BEBE-4D9F-B70C-5C5E7DAFC167}">
                <cx:binary>1Hvbct04suWvOPw8dAEkAAIdXR0xIPddWzdLsq0XhqwLCd5AgDeQf3C+ZGJ+YV77xyYlS1WWSra7
p30ixrJNxwY2SBALyFy5MvX3a/e36/L2yr5xVVm3f7t2v7/Nuq7522+/tdfZbXXVvqvUtdWtvuve
XevqN313p65vf7uxV6Oq0998hMlv19mV7W7d23/8He6W3uoDfX3VKV2f9Ld2Or1t+7Jrv9P3ateb
q5tK1bFqO6uuO/z7W2mv0qv6n//r6u2b27pT3XQ2Nbe/v332tbdvfnt5s788+E0Jc+v6GxhL8DuK
REAEx+LhJ3z7ptR1+tjtsXecCiJCxL50C/707MOrCsb/S1N6mNDVzY29bVt4qYf/nw199gbPeq51
X3f3K5jCYv7+9ljbrk+vyrdvVKujL32Rvn+R47OHN//t+fL/4+8vGmAtXrR8hdDLhftR118Bus1/
IjZB+I77sPTE5+jhBz/HJnwnSMAFC8Mv3Sh4gc0PZvMNWB5GvUTkofHXAuN/DrfK6qcl+QlHBb0L
/SBkPn2BA39HWMhpQMnjGfGfHvrljPx4Iq8j8TTuBRZPzb8WGv/8r0Hbn3k4+DuGAkEYE984HJxg
4cPped1w/Xg+r4PyNO4FKE/NvxYoD9b7abP+hBMCzoT6Agn+tOjPDRZ/FyDBEOLBo8F6zZl8bzqv
Q/L4Fi8QeWz9tQCJrtruttRvYPL19U+0XYEAX8FISMWjKwET9bWbD4EFYEYDzB9Pi3iC4YsJ+9fn
9TpEL8e/wOpl9y8GmlbV559p2wh65yMS+D7Hr9o2OEcBDRk4ndcdTvTjCX0DpqeBL/F5av+1gFn1
V/bmJ/ocwIURRENK0JeFf0GWw3e+L3wa4sful2T5x/N5HZancS9QeWr+tUBZXv1MUgYc2Sch/GGP
JBg48NeGjb/DAQXSJvzHo8KeG7YfzeZ1QL6MegHHl8ZfC4wDoMjqJ54Q8DMhDimCY/K43i/hCAEs
xDh5PWT58XxeB+Rp3AtInpp/MVBU+1n/XFAQwoHwA/qq2RLvMPgSgoOnOJI8PyMHP5zPN0B5HPcS
lMfmXwuUe+XhqrxN7e3T4vznfBlOC76PXiCkfBWY8B3zEWUYP2oz4oXx+tfm9Do4X499AdDXXb8e
SD+RNYM45oN38SHmfxUf4GHUpwho2qOxexHP3C/kd6fzbWhg2CuoQOuvBcj7q7q7sv/839VPPTS+
AK2FU1jt566egHMRAj2SZgTs7ItM+iWG+Zfm8joiXw19gcpXPb8YMrfdP//P53sl9WdJycF9WMJw
iL46Dc/xAa0GU/aHlPwSn39hRt+A54+RL9H5o+PXAudCXdVXb270m8fA+OeBBCaNh2DPCKj+Dz8v
QhgOQgCgBGTg0aS90DL/nZm9DtZf7/ACtL9+4VcDr7x6c3r7M4/WfZaGgqOBs/WFN7+IcoAoBJiG
gf/IqhF+2jFfTN+F+hem9C24/hj6F5z+6PnVAGpv+6cF+s9ZHKgCoeA8hFTMq0cKsjghEigMw8f+
FyzuQv1gOt8C5mHYX0B5aP3/G5Bvzu5rV/TsS/9mVhOINeM+FiF9Yd4gZQYdPBRP5u2FD7pnbF/y
i9+eyutw/Dny2cT/+1OW305n/pH3ja+6q8VDwvirjOb3ex9eEvLYL4Z+jyx8WbHNze9vQx5QFMI2
/yMVfX+bZ2TsKV/yyqBb0MB/f+uF78BDUcDQFwwTUNWA7o23D12Q+qEUcgiYoICj+wT12zc1IJf9
/haQR34Ao3BIUOj7DGbR6v6hC7QgSmAYg5wp3Ba6nt7yWJdTqus/luTx85u6r461qrv297ccw52a
L9+7f0cKglMYQOjGKPEhpwGPhP7rq1MoCYCv4//hCjo77UwpOZrSqK/xUd2wz9i2Rznqdn5WF8sp
H+8GSmsZ5Mk2VM26rxLZhHiSNslinX3KUb0f3G3Rl/pTVQZydGkiPT2EJ9U2DSw6qibF5YiSQvqm
b+RE9alfiCtWzHgNdxcxylAuWaqJTD2exiUnwzJUHt4PyN3V2mmJXD2dU5Wv21SnkRXOngZ962I9
In+LbJpFOChumiIj27G2ZDFXxskxYeFinMxJVdk6Ju2wHmz1uR3LepXnbhdM2TIQXb9ISY3XLi1n
WYr6MlCTWedNeTE37LjaJtuR+3phR7eujJqjmgf+Ag/JKAcjxNqkS6aK27paOjSa5TB39SKpK7Si
7HTiiV12tGTRNLFpPcd6UERaM/rbpk7e65OqmMsoJTOP2iq57Ine9GUyR1hnwTK1wUUReN5ejNjb
u5Cu2RByiUykhBKyRQnZJtx8TELLD4Z0Ouxnc5fg/r3zvZuEZ0UUtIWLfDdOsme6lmOllrrMhKQF
3s8W7ZL2M8ytOev89MbkXbsibT4vVOFvmehUXHU0X+BKbGnV8JhmotuUdRGROsSyqLwsCmgzR+Eo
1kNFBpljb5vT8spDblzwFFdRFaaBJGg6GYOF55s0HnqnJE/SWgo1zREd6EkQZB+LBs3Sd/WdmoVZ
TZke4jYLP4+VK+I06JxESZ/J2rYAzZHOTlEyjDJVxRz3SXNnGM1kNrBu78/pyqs5WnM1okXCa7UM
CGuioOlP6DSRRZK6KW55biQoFlvftee+n0aFX1/zIYwYwX7cMgQrUKBIZ94Ola23GAlny9nxiwZP
KlZTegO76jj1XHkcYnsU2DJZqoA1q9HqiPQ2W5XTSGNs1BmxVS77PDMyJ+G1Z5ItMTWRlY3RiKsF
qoeoVbDxR6SlCcWdnw9y4uV8Unn9+9KMdeT0DSs8FTtMLxOfXPYquNVBGa4QcUaiDN4u7UOxTvh1
Mvs3s+0j13RMGhFc3h/rqBq6JEJZyKIqbZCsqihlju66VlPZtdM5DhspyDjINq1zSfzxxBf0czvP
pcyDfAt1G4u+I6cdMpkUQWFklaJKtgceTVWERzZGQdZNctTu3E3TZqSw8oES1YEYWBLVIQDuc57L
NDVxB+cqIXfdWB62qPakr8MPk18lC6e8/KCe4JkuJakUTXjuDyqBV3NFlA/iyCY5X6c4q9ZjKLD0
5ySTU+bDvX2DV0nZ+ZGo436oikaWU39qFB9XTYBOyg43skvomVANGCahdGw9T0RmtPs2LS/hH1pa
VS8qN5Ao0+Ug53QepEjCTjZq+IBn7ku/06Vsi7qRpPXaJaqplqLiNYy0aew8Pm25KwvZd/1Hv0Ru
wxQ6x8NoNsYFZ3RMdknap0d5jzd24ir2h6I61GmjoqE2Jx3NfKmSWcdF0dwlqK0ik2keKcNtPARZ
LbP5Y9j4bew10ydG+gvFg71DPZWY95ssGdSe9AhOjpFtHRbR5IVl1DN2Odr62pJICNwtGjznsum4
ZD0Zo1TkajEH861n627TM2QlJIUSmRS0jBSc3i3J9Iex5qs+sWw7dZZGdiKxxYChU70X2W6+US06
B6MnDrwyodLvYYegY2Yqydr6GpVERDh1izotQ1kV/V40+ngQ2Q1xg5BTAbsTURwVdZ4ujSfyGLX5
uCGmeY+bZD8Y48lidlsjGI0pxs1pbchWGT89HFxdxkPL0cL52Q7y+DejKq6wnt9nCF9wL/k8jfOu
buF0hJk6InXZHxfV6MdizgPJmtrKQSu9Lg26K0VmZRtmWdwwbKKgyJWclHeYlNWppcYeZKuEoNO2
/XTnMxUZg6/Al3dS2xlOEPfyhZd+7Oppkm2iOnBiGRzJdva3M5/qqB/XND9Kebph4TSuJuzWrMt9
sC6uixkLYMVZf2mq2o9SvCFFsIcSvqWq9XjVB2g913WkcnXXllmxT00P7jRBB7nXtjKHyUym51Fa
gD0Gc1QtdYiOuNLBqq0RA8ObHfn+/R40fWxu0MAOGe3TbR/ocpkXY5QTrZa2Ssa1rcCUpiKJta+H
dZUGm4H11daCQRMZmhauwOmeQcZkERg9y17QXCb1aWJCHZPC3yRJn0dszNstlALKQ6wnup2HUcUB
922cFm5aVEnKVhb3p2VaXHMfsM8q8mCopa1RdVFO1SZT6pAObIW58d47lyRrmhZStWWz64PhDoyb
AUMfrEOb4siaJtw0WXie+SiyVmyKZCoXtDZqV6X4cLRdZKu72uks9p0YdwaOdsW1kmXeZwdzNUeA
9HyM+fuiyy89rZ00kzXv27Y9SsvhuBDFtKmdHyWTSo9CV9NFOjXzYiwLvui8Oi7nwsReOfC4Dsdu
j3Lzye+7KbaluJlMis8yNqSruprl3H/ippOtyPCqqoKjlgT5IsdG2rIUuxLNyUprfqlRRWM2eyu/
aNnxtLV+Kh2dF62LOpzvbIvtMu8JX9PxNgws3nodWTSCICBm1UHezGrphcTFrpg3KZ9V3LpEywaH
+cbNx72u/LW1LZPYnQAZXZlwbqKuqi6KNFWyUr2JjEfSSCOsN8FYL+YioUtr4HgA56sm14AdCt4b
POTnyLQfPT73MkSzPcY6IPCcDLyZwFlMREePxjFgUViphWenpW7UFIHFMZIyU2ywdXihiKOy1V4R
dSFa9MMHTZ2JORi+NaqKVdfglWHtsrNhsaWjmdY4/ci8K78ZJlmZoDoqdD/sUDgfFFM1bGHHKTve
8kydlC0QCMZm2PXlsHPO5as0nK8Hj6pdHaaD5BaMO6o8BnSvL66QP2yGfFo2RXo6CHIBrG7hOXqY
iObA5dOB9W+CPPjMYIuTMF0gg4TkMzsI2YzBd5ZBPKpkT1mxYaK4S1W1mQOvXXTjrlEZWtQzMBiK
uvfd5K+KLCmjrgP7XFbjtdettD98hhc4rluudpjTUKZhEluBlSySeoJTwm89lMp06qOCFvmmMaEX
dyzbZGPY7rlrF4oWw6rLp1FmqtqG/hhsaK1uhimjkbgppixKjJB2ztbTYI442L5zqqfPaZ/czDXZ
zUYd+apWYEOIxM28xGWZRyYlxygku6Yy6aLS66k/xvmQHJXtGIczmJe0bIfIK5C3TOYKZj0n4Hja
mkoyN2deUNWwaa0XdaJRknp2Tcu0W2Y9eOpUgWFMed1sUcVOHGvsoWmJk5hN0WAtbAKdow0UYN2B
72uXVagideQBulIpdomTwi5axJea2Y8Q7wDJzryFAZssnc3H2OZ53IiWHcD++kgGc4cK50ncBfMy
TICDJKmRdV1fD+7MoFpOJU7juuoXOM/RWhXANbq633ZjctwY59YOe9Hohx0cSqMjL9FIijHf5xiR
hfGpWvnVdO7PJK5U15ypMFw09exkmFfR4DIRN2r2IpK4SRZ0Wfn4zp+mtWP4akiSk3v/skzEe5Yk
4HkCz0jiVcMS7N9xUCV6U3tpJV2CwJAmJbh/sQWzLGlJ1GHgrPR4CbSx9CEkER/FxM4dMaPMzbDV
XTUup1rkkpq5jIkLby13wV5kfjQ3E46tradVmlSbRFf2yAvpxvO8MapJDURbZeM+p/rDYBxEVZ49
dEBTds6kHzHKBtnRIj34uo75WWB6rZvJqjR7rCT/4+M/znQFfx8Km/9svC9E//PT/qmC/bvfWt3q
e8Gwffmle43hj3v9WUJ9H9X/UU/9Qin4UvP+FGD/O53PNIZnYsqTZncff2MBGui39YU/5Zg/FYaH
IY/qAnuHuX8vBNxnvjkiDAreHtWFALJ+IQ4IFzSA7N99GulRXCD+O0wou++BjCAHIelPcQG9Q1Dc
CAz/Xg8AkYn/O+ICvtcOvtYWAgzTQxzKiUCpYiD6PtcWRl2XM0F5+MA2N31z4wILkcJMjlq/Ywvg
h2c8gwgr7NtDUenmJNE93fRg/Ye2OatTIbaY6Q3jrVs2wJ/ir9byFfGD0JfzI5hDJSHwRxTCLDFg
8bX2MTapqrMAs8hzrFimfW6XLXKJNLuu94msh5IvM8HvRQPwXErnJ0A8yIJ66qRpOn8bztmGVUqf
G99FFhd9xEzPFr7ozwru1xHilTmi9WZOXbab2+rI8Ho6ZMJeGR2wOMnTbFNZ0i0geu+WSFckRvU9
yTPqCgFVPKyDMr0wZX6SBiyNbVboWAf4KmWGbEQwp8fDGASHtg4XIEecBmqsfrRE90vwDELCMbkv
qISUGCX4QT76Sh4ybNIh9fUU5QD2choKvnu4lKzjOzPqfkPHKgO+b4HIk6T8gFjKFhRo54pN1kXg
+fmuyMEDp9jtsgl7MS7KdOf6IRZKeSeN8z62tJx2Re8nJ6HXH839WJ5phg/TxiOr1qWhHBsICLK6
ZrPkuZZWZNMBVl3M/WwVVpZ/gLCzgognCHd5OYYf5gEB6crUdgo4AwkhQLGXBs3pRD0WfX8T3QuC
L1fovlg4YASK5qA45YWAZqaprdIsGKN2kplz/aYoWyTTbBxP8zJIDocuiOee5rshMR3QsTkbpUEd
i72+znekH/OdCLp9N9DDxpFiiXubL5LCpfvSsqPJJ8WedW25zyr/ssydv3po6kCjiAV4mAXQJnTi
96KIS+I1y9kIdOLuLxUFMoFHZNezaGZJyVCciCmXfp6yu6lsj2k9NCd2RgfjnDa7xgX6y4Xi5vEj
S5pF3WCyS1RBDiHgCQ5RrtV67Oy6yBq9L0Ku917SoahIA7HsgjTKuS4uaUnDJamKNIIVA2kNNe5g
Utlm4KrdDPefHppUlrqDplf5NgvLRTAW/c6rp27XNabe8SSiST5FU5GSwyZM7EGi2x/ZAB8s5HP4
mA8ZJyhCxVC+AjnFe3i/2uBeIdoSjq+LDPdQ7Gu/PMyy8BiWZZKiD+wqRbqLNeL5+Rh0wFi5Kc+q
Fi1NhtpFQl26tM7S9+XYbeuu46fgb0EGUtNhWQf5QRM0xWFbTLBxD8thMBfNBKSj0Ezvaz/jMkjn
amVqPu4bMuar7+9NDgryi5cLfAGOISBg8OEVXxi4Yc4Lhrt8jNw4fiYiGxeuztw+IZPapCkcKeTk
gB19n43JJzLVFy3G6sRjyXWmuNkiL8lOHprmIfSkYH2wemh7uFQsHGM26DROJrQqvUBdJG2frYe8
IDFPivzCazVbekItCtKTiAzUnT5cwmHaNN4wHILCN532emBb44M68dCZ2XI6DcKsjzrwAKsglZCQ
b4+rdAZpwSbAfcXI4oePD5fQ5iFEvjzdDWaCsH1sVZSwgF0xQY8LIIfnPmmGVR20EJkxf+EJrj7x
qfiEk9GcINzrYxw0a5eYZUoYhPPOijaGLSPgIc2immt9XuoyX7Rp4G9qjNgGCDKWM5qr3RzwMbLg
rZYo7E9Z7ZMjq4L0ImX+tqepPulzk140mQb5paanI2luvg8xfQViBiKmD9sX8A3Zff9X+5cLBVpT
MvfRwOkQQbR0klakONMTxLNz+zGtQ/opnSOvzXIJ9jrcfrkEHURAPD0sfFpuHbHNbqjzeem5OYvA
rZ1QPvCDh4tfVPwgKIleV1acqo6DkDeU/uUwiW4l8pAcVIOtt1PY7ZSFaASrwGxYG+CP2XzU9MI/
ACWqBCVA0B0iXbJOw/4iLd3wMZv450pTclPoTWeDddfoep/SfMgi0yyyvEXbzNt4ObbbohQEuDpE
ytssABn1yyU0LP7+cmL8F07AIKcCxdFQ28k5nBkgR1+vp/OwP1mQQaLRLTJG+m1ejWEpxzEbthVN
WCm9aeg2WcBkXlN6Wt5fOD5rfVAb8yFMD3tu1j3ceffnxYxd3LhkWJoORFEGpObcFONK5wx/oAZ0
V16NIDZYLRXK6HYq9bAC47kdKsivBNMipTo/5kLPpxXOwtgLEm9h3RzuMWkONPHJiS0gfK8pd1EZ
kA8ChFmIFsYpSnKDDkxwM7GQrYFCgchRE3vS3l+oP4xR34omNpQvTMfrQ4yndMNne4JEYXZ9D9oC
wglawkrNsvEaEWtXXfiZ23kYNIp8zLojFvagymG6e7jMc0J3pZddUifEqklab99DFmPfzkEhA3/t
dWVyDFq8OrHTDHpYh/aUQvapnfBaeMY/Du8vpnU4mrqgOHR67pYQf9CjKnPDIheg5SM0oFg0XnVI
rDdskjRnUddb+H1RXB7RDBT1hnblgR7IuJtDkArbstaXo3If+wbyRi5t6n0mkInmhNSXTdmdVb4e
D9psyk8eLnqeVgiUxm1l59rJJKS7cQrofsy9a450ff39XRf85RBDoi8U4H98EMRC+K2J55sunEu/
nnoQBTIbOzo0p9UwN2vbJAiyKlm4p71f70qRgxDko0JmVT8AqSw2w9Q2u8CV7brq6jtLK4dkpkW3
LlT4IakFuHab3RRKeKvMIyf1dKKLVMRF3RbLtsHeKZnGcd21/kqpSRw8XCqTjctE+W2EQcA6b4Ig
sqOaP3z/lWH3v4wOoJyAAfMC63X/61YQqTx/aSO6sedkKiS69/WTPnu4lEEm84z5p6NP8D51/FNb
0lamXcYiy3i1wQr4Jh0KdQGphvrAS8Qo9eDUBaR72HYcwhzyStDLEjZsSvhloqgdg+zCJVmywn1E
Z6WXU4PLc55nqQzbRZ8Y0H1Q2Z16ASrhSdptHz62pvKjLssEOElE7xwJyN5p8HdTx49twz1Q21uy
AE6/qpPORXVrIjy4cdPM5iIf7JnJ01RiZW7yxDRACc2lLg43baZueDE20ism0NjEZUKLSppZtrT7
NAXiYwuMNupvO4/f1YMv56bQkfNYK7NiunQBOLRA66jU4DGreZxlnU5XZlRZhAK9CllaRC4o22hm
ZCV06keqhJyrKUE/MSM/4huWzJeiq0c51eoQG2/RVfVxbodPuaXrIiyuuAlWwvBEYjqUkTZFF+kc
ZIQgqPByGPmh5VW3ool3NUP6Qo0zk8Ar1N6rQHDIw1RmXodlo4v3mDbLfhDAomhykav8o/XOGDPv
hykkm5xQBeJvd9nZqogHNn7waogdvL6MctPVoFN6RznHSdQjW0pSufOceH00sqVqx5U/zO+hBkzm
3nkmUsgA1mKfTM1JEXbNwqXDCuGGSGADMThjvdBqrKVxulpWFhILFicr69cfTNAGsY8grRuUfisR
BaGxJHO5RqItoh78exQM0gRWrQwOlrjwhJyzHkR/Q9ciT3M59MIsgya9hhSK54X8xjC0UVOfL32V
kSXuqmSTniaCtEtSeg4E7tTKkvZogfURxDxgnaqYhzk/r323qARooYTmEe9ruintAMirfoVtCcoW
5TTye+St/SGQw6BWdPAOSJJm25p2kH7RjRwhkQ7xdITLcFj1rpd+EmpJG5ceeE2xgzcLFx0ptUz8
REnT+5IY60HGEh2hBt9lXoN2g5+qZZYVNvLm+tT26Cz3Vv0wWMl5s2Z+E/s1BMlumDd+Q7eZKBuZ
O3bMG0iCwHp6sjEjpA+FlXTy8aFfzBezHepFSyiImD20g0MMlwys3pr6rZYuLxcEgt314KhbDKAr
qvpCdPyq0mKM1TrRwZ4Fjsddh7qVc9aeVSi8K22yGynJjhzIBpMFgjESgNMwtk8zqENo/Mw7xvN7
Q+vPLaQf8qxTcgYT0qpGJqkg62nOlz1kFYiP940Tx72f60Xb+6suwxLy6WXk8uLCQ+jKIyP4ovRD
qe8zj2g9sEEWZyrDrSw7kFd7HR51Th05DMnA7kMvGjiGjfg0W7YS1eTJuRji5t5RBZe566+z8BP2
2j5W4wT5IoO3/88FFBYScDHoGP+tBRRCj3XMoIBCkfx5AQVP6n4xT8N/WkDBIdNeBj+pgEKPzF8C
+fv3CyjyEgo72kZ50vjeHE8m0p3Xn4ygIXeMGkgb2FUz1cM+ZBPYdL+BKhbRr2kPub8hXPWG2i0r
V0MIydi+gNtUYfIxRazb5JNZVg3I/02GmrhGoCQr0523Sc7Whd8YuBmLUdDc9mov8Kma2F2e0XSp
VB0sUtvPEhsM/iSp9raZ5yVJpg9d0wLN90ccN8lYRC0bzSK0cHKx50NyWXXBsh2TGxxUt5yr8mNV
JAsoIqplqWbIOQTHtK3PPc+cWp+ZVVoc2rY/Ud3SjMFZrX0VJ416H3bkYKTDssnzeTP4c7uiRXnb
tVYtK+fG2GMuPUpCB/nvltwmJeuBzkGhiODvez5Oa+4nXFZNqU5rKDYoKe1Wve92pvu/1J1Zc+Q4
lqV/EdpIcH/l5vuiLUIRLzDFBgIgQXADl18/x6NmpjOr26q6rLqtZl7c0lMhyd1JAPee850rEaWJ
VAyO/Thk2tuA9ZS0hi82ee4ziVHutQsKomXNnM6Nb53/6oKfyKUlTb4l9ZNcHfcgZO4TpS5m6Kas
Vq4uIr3XTQtuoRLOjpIqF+IHjbfuUNXYEOcNBo3fded2YoAiltYpkl62JVgi09nvSYv/qC0IC7M4
3yoT9zdYBoXEXf6Kw/ZTZyHlJzaCUSvIJZirOjUOe7I0mq++Fk0xSfXTVJUtE9Fkc90PWeQHay4F
GjBnXd5itFxl47XfvYnH6Sj1mzfTJ+a9SLbxLGyHT4HXyWKOo9wEw3aZKClwqVlRET1lU6KzuWM9
rC2ee4Ees8CfvKxKGhy8bZgSlMWngZj3eV4SVCTJN6eb9r1sVlj74BfmdvhuxXS2UDrSvo/hpS02
KriAgGVE06RxxUqjcVE2KWFsWZXkc7UE+zZzCC0226yXCd1zRmt/hpXNVT75c3UIFvfiBOx5W/Sr
ctadi3uMhX1YdHMVpIr3txaYRLYK+U1u4b2XJNona82KJpyDNIANlQzddkqaj7qhsIikkWm70NOo
4u0vD+464WjC4WeaqD6HUb/dK0+hA52aM5ABqJD6xJVtTrr2mxP6iiANl/hX5OBYT7w89IO4jPql
SscqcsowjqZUk3DMcGgNuclXQGPpRMNpxz6oZRwlJkQbbeH0w3t+l/X6HtVeX8ZNpPaCLW/TOH9l
vnyoFs3Bto8WdyC8ECTQWS9VV4oaxinQmLpCoQgCI+uX+H0wkAkb79hHdXiCSIj64YeAEJF6wbjt
rZ5Av/iSoqowzrFvgRgk3RPgLVnYJIal9jj4Qpz1kRiLfiRFg5ecWjNHKdCtb1D7wtz3AZ31K1zE
TjFRNNrqTCnGAD4JoDNMffbe/U1Fe39w6xy0NnxWfy5CAsAkJKCBmJnvRsI7tP3RDDCcpsBRWQDQ
j6/DtYPw2FfbXFrTXJxa5GvPv1Yh7r+Z3WRUpRFFPTTjH4CCktkaRKfEgVsJy1UN0w/Bwz0ZfKjD
7eu8qVc1LksO0vUtWeeMLTPP6iku5pD8ouPG88pnBQDJOp/diKaRsYUS3UOBP8NWNZkatZsKfqSJ
3PbuMn5nS3yuUHdljE7vixP3h3U7jhPEA46OBpalSKt1OwS1fds2+IR1nMqxy4zvjWXdTSsuewrZ
Ay8JFkmxbUnuGlIQJqFfwV3cuWwEy1VvWSeoTodt9Etl0OpH4By6cdNF+CtucD+QJvX9k1ykOFWP
B950+3kKosM60KyZ27bsHDBtzLgqQ/lkpDcVUMBBxMSw2V/p0s97pS0ptmWCd+sRmWlNy8RNWGo3
JjKnBf+R1FuXAkFKOxffOjAryzUObmhfUaVqFEfreN8W3IOWw18F41YSJd1Cbt1nwex5rpO9FOze
NIIWcvLWPBgSsSOJN6NM2m6K0M9bV7TDBPvWVrdW47rF87AD9dKn3IFUMEl7DHFKwZENd1gaQdY1
7oQdufs6x2GVAkYDNxo0POt8H2xae5DEb1JX4W4nzO+h6VTfK+M9160BoTiGQ+ab9gO9KTYc0S05
bVDQUu6GR0fp8mGsl5tEm1Cv/Q+valXu4tWl6jSGdj4z6V03ZHsyqQQD9tHRyxZuWav7KA1xNKAL
AjNmnQ7tW67xIlHGt2PqYR2nvtt02VxVbg7o6EkGejt623BbYj4fWkcUTFZJ1q8h6kJwBN26fTTu
DMOcT5cuiIoBljPAgmoswiHCnt+ht6m27Rg6Jt7BLP6yrlPe2OScwPO208YgzcQh/JEe1vEkSJYE
djxPfn1Y7fBmqrogq9hKxTsvM72LQ0RM+aCcry6Z6yPpGy+NRfd10FRAop5F1tBkSJvEv7H1S9Sq
m+xgJ5OtijKCviB0t4/acXjRU1qCcDsLuohTLR+etMF6G6trz7s1C7dtzpc4BFbURFvR8Isn+h9i
hQ3dhEnpeBUvzBLFWSerDKaL+NQ4e9T1NxV4/M7H5c3HpmIW3RRwmHGcRFDR2NOykFw51XMjskCu
3rMVZk5JWPm7JlRruvbogCOVzM+BJgebQGpXw9l16Qfl9uAGTYjTzxbuqOXe8XUeYX/Z966w6GXH
MZs6kbtLl1kWESyg4Kkn1RdU4LmJ/a8Mpk+GsUdvivp7ZYcgJ51/s8vneEV7v72zKZJoxSWBxTjV
6eY/9IQ1sVlFz0oRd9ey8G1qzJ0HdPtR8znXIZnSkdB7NeJl6IpfjOlBoLBwvzoXh04VPlSyHqI0
DvDmlrrJ6Cb6fNBhdACOuQubBB3OZgocc58G439ghYl8AqaX1k6/ZoHTDHm1VR81b8E2z9nmpUyA
jhyMisp6YsegZig1ExxQrkvSio99Nj042npvZvwAMqH/HslYZe2MdeDVY8aD7Yfk5p17rUyjeTpP
UhqAtWiEEN3Nh81/aaYx7YkzH2JWvyp4ZpWsTr4K1zSmg8qrgMY549vntfVel1doVm1OcSAfCcgX
IAN4mQQANNkwDS4CoKuJ88XtgivcXZbFDNvVNjU/OUrSvi4DsAe7cbbfW3/Rh3boD3x2SqH0eKX3
eHJMCgV5KGFsbLBhJmySsEwfjEKajNbbkRbI5CRbaB4WjSUP7t3mFHHMOV7wkiUt9rxehnExCT/v
LFqslgN8UZ7WKW28TNg+3I82OqOoeWEtPJiV2mKYI1tMkHpcin0Rhk3QqXKe2QvbrtVKIA+sojuZ
ua5TBUwFjqi8qX7+YedtgIesjskSV5myOFOS3j2hth5xmv0a4vmtWzp76mNRjrb/Veml2WmCnZw5
X4ZWnEgzCmge2Ir4CBC+d2Mv5QmgYAPSsFjCws7AHNcGigCpSU7FRTLU/LXwPrxVfxCDCX7SNlkS
YZ0lXmY3eNEwO1gZLz52Jf8eLj4wlAAXKZzaDG+hHNtwy5t4o8Bw+bMzuTK3ff0WeaOT9pVZCtUx
9LYAq1E9NGBvUDGsoFlSseF2JM6AU+uOOhgelh8Fecfga41Ulz6tgsc/xK+z6rknqhgnt5xp86X3
j1HURMXKgi1nhBXgTFGb8SUqwvAtIACupxUKtdN6Eb7m46VObWkS/dKwvsEz2+QCP2drIX+Hs4uK
FPVrP3s2QzDgcZ+Qs2BueMAaUtjqN/9Mul1CjI8GW9G05sPJwHDLOgtCR6MYKGa4zBEJykosd67F
0Z+mJbeOkwcKEoGBFZX1ovm1oJa24TsJ65PyMsmUOI6qu3lx/T4rrVCP8DsgY1kGvfuzpsldbj3u
tnV6cQbA33HVDSlrQBuTpUyaGbcOpDpca/W1qm7jbGzuqBjdUzfvEkC2WAqflA9yduPWpLb2zsvo
q9wRKEbdTdhMuQlavEnlwca+wb3pU1dX1bmrWI7s6stUb+L+bKyjj2Yyz0YMF0K1Oi18vNTfdJXV
bEmw2IKDrdc2q8IB3Gov4zJsnEzz17Z3X0mdiomWzcbQIbgxnugPkXQHPY1741MJ4ULh9GuHo+kG
ldqmuW3KX0rt+uhL0M3+fqYWOMhDRC56CnfUG/h+sDiRZjcxR+3ST7rnXv6wjmijoNFx8cn0Hkfn
Jl955A2ZAWCC5gTIn1P1Y1HhrG47SN7jWoaW/lxGQY4z23azYtnqs25HAiAmNjZOjiLZW3Id9Grf
xmtRq9pPK4rSOhwXL116fFP7IWbIQnhdXVYv7pzWTYKOtMtlEH54AF9T4wGypjXPQMHRJz4PqMAB
QMMTA+uo4Q5KVDbLTN/8sP/cLlAL3GTlu8bIZ94EqOS083NoEhwCPkfEYaMRFGJdzpsDEm2e3vTK
IPDa8Ka8YJfYtgzQmO85L8fhqXec9dSrLinGqmlTIpH9sOGXHWZKviuHfwtjbVOP1PcpWiLc7tWa
NYw+OdX4q6YOKm/J39mYFLJu7u7YzcdkVgg+zJaB8A3P0zD8UO6vLgJiJjg2EY9+iiOXpXFdDSmx
2CIkyAul1wIRDrg/nSj6aWyeRlHtlkSwvZ9K4MTOssaHYAC6Yr0oVQtl2H76r/WyVvnZcXxo+H6b
Yv33eeNqfPLDkGSV/6abLkiXKar2xg3jq7+0wMfdEJ3Q6rBUHTu4i3F7B0249wguUkBeXLGghBT1
xczovXoJfWAixZpsiMTE4Qsb23MTwH1ncfIJByl2qUp9imZZH4hnIAQ6qLEZJP5o6W5kxS6mF8Rx
IB4EUH+tXzjtcmpc1IKO8gfsxyhx3HnLQjN8yNlxTvOjGZRjsAsXN+dQXNII9kI0VZdlG+ty82O/
6NkQlLo3U7rMHigBqBOeh1Z+BqAyu+pKJGsz1dcCfVbH95Hovrf1AIl46GyGmpi7L97WZyLskRWo
ZTl0dZKPdd2jnFV7F4dXCmR0xY62/XRiPaXgUvYQAkyhZr8/SETX04YYi/e2fIjKHiSE8myDBhx6
/FZTup/WEfukrz7XtMomW/MXZEkO87LJg/ADllZO92UmbDmML17vd5cqXxA4AvtK7C6eqdlNyXqt
XPeeuCD+cSf+7PIwwcVQzgSPRqLIAbH1EyZGinVynrC8cFyAvqZ1POySBOd+I3zUNR/Yy/CLYcxv
ET2uTXxbXXGUTLwIVCRLjBsoYNg55xELsO6BDvXuBLslacHF2wWRApu6VpxoH3sIWgRfyOOab/BF
9wEo6njov+E4IOD9iZ+14DiHIT737ZTsYBb+Gsn20yBElaP1+nBd1MiNkA6M8vsKXuY4qGZfJ6iV
dMDHFN3riDUcg38Q8aWeg62sR/sejVvKW3nZkpnuqu2wSTReEqg8TT5BuobE0QYnKqHRzX30sUTo
lkXCUazWLc0W2B/HBPmvcVWQARI+7DjFaQwEuuQSFkNXubJUjJQtc6IbHYecukjh1aQwMCxeWDLd
zYaehi3Nc+0+ST4jkSQOPfDcIhKNSKOea1BUKeS1n2oI8NnVkLLwQe5sPDyNcotTlYwUjTN5a4ig
SDD4JvWm7hccCJ6yqs55sND7HG9Nav3oV6OarI/dW6DiKZ16w9MhRLkMaxPcT1dV2QxJiy+9wVnG
PqPgZwVDvTKxoL5ERnyP1ervJsWg3zyaFTKsoF9Rdc49GLzRc1/nuHNfXdnuKCrmVDsL7KUYPTrQ
5BbsirPeo2k96lDzZxwf4wFuPe4Bv0oKNiwkA43IrgEKl2vsbFvB9YaUg2nRxqzJCQDJePVYjN6M
t2fhRv2VxHO1UzM6LPJJz+YXlziB3DYYz9i4J0Q82LpbUbmVkZ/8DCp5oojknGWzpP0ErmdxTQVK
uNbQKQ3KdqQSC+7Zb2RuTzpc9YFWAnKdcvurbtwgc804fpdLKtvOSx1POzsOb7QcEzidfQBNQNS6
z/vYmS9zNzXPSaTzDlXhs2l3zdgNzzAKC7u1MzQwHcKWlq3MKf4/UpthP4rDyEN7Aw4+3+Ix7PdI
pwzYsD4mJPnuUvbyWXhbcNqC6j0eiHj+/SBtXJeVj6YdaeNDFYr6ylAwP6M/APbgM3u0LYMjLYIB
GpDWJfDgZcdcg1hfbLz7VKOVcL9YUA3HqmXiSW1GPhEUsukysmn/+OJcN/6RkAFujLUmt52EbWp8
cofWNRfBpMJ86aoxJ/MwlFGihufk8dAPPtZgNV8dFfTPSbuyE978ezM2CLwoxzuKhsYvLPrODXpm
mOSIeuE4O7sBQVLJ87tz6BYknCeEN5m+0Gi5OBu1L039tsame0ZPPSMx5PU5gh1i9/upsyHbRX3R
lGsS/WgnLPzMyes51q914Pevvmp/qUQ757gb+tdY0wgcY5OUv7/Ixw67Nt9eV08+IzGXfJ4poleR
7pp9slkPUTD4qVY4JYtRgjrSW3aDFy4pEb5+oRyXEL0IdmU+6JeIImXlrcS/Nj5uF2Wy8L1d4vYX
FYqnABubSxVYJGM3Euah5Ms1qQQvqqG6b1wOMNCjD8/64dceDlfW9fG+V378pP3ul1xs+IOho34c
Oj4WzcdSV1+5dOxb7wkXbED0JGPi5m47duCnpjmf+kHvHvrpuQo6efQfrF7T0bORjQEgS6dffU9f
IxI6zzE5UQH9wvL5i1mb0oNLfPY9KOU+mY+bjF8r7mmYpQHYoQnLeumvkYStPMJ0zfCK1908FlCA
+rd+5N2LQqfkupdJrAiJuKwFSXl1oqDGcdDMx5UnPHORCjuNqJtC7fCzADmW18FrLL2MRC0aZG+Q
+5BEzwlR7TUgbIBhNleFIopeEOE58BofPT4Uluq5GT81iKUhHhPg3uKisCFsKb8lhcsM+xyg3Do6
wSOfF/wyEoEZI1vyrGT/us6EHr0+VhDd9FKMnqnOkFeeZilozhxkiWKx0AtwWwD4SPJgz3NXqBd1
CwRL7/pAhmkb9N1u7kjwtIa1vkGALpduTF70pJ+1MtHJ+gjkWl2XMUSkNHlAHnTi58lruqJZx+d+
/W2kUNgecdudva0Jjt2Ebb8KagCkyH86fnxqEvgemlpbegJJXur5GqTy9hX7L9tHKiIHUJkWtXK4
4yRpnt11bPf9w8Nsw3dvmMNDYIBIm3HxsRLEFZDou0S5cG37GOle3cS7DT3/bhi6uxoBqPC++jUP
bnz9/aCXcB91DdmvQASR1P054LQaNwnHvYu+KcgIQW0MfIEYVuxC/bPAWZSQqb+qJC5WmvDjGoqg
6JNwn+DAK9QwT7s4xI1qSBTlLgsPHudzhm4a+Et4V0QvB5x1CVhccjYVKJiVk2bPRuig2yJNTnxh
ss2a9RQRZCjdUKAX6B4oL1uGUmMdH0QT7bjpvO+N9nKzIk/mDs7n2l3XM/xBQBByUS9BG+auJ+PT
74dWgJMm/HNvG/0UNdx/1pSTPJ7eOUCW0oGNchTUrfa0Hb46bUQz2sgfPkUdEfM1fIpBVKZt8hB2
Ngi1QzSeNW3yZRuAOlqVh4o61ySBFNMZwvJNaX0PHXBdUTBWuVPD4Eez1X/QZPyR3NxtNs+IIBX+
XKPiaj0B2TOckE6PajAsfZxXaxOVkk9A+HT/0jQ/Ndf7VW3rjarQvLGZ/CAdWHUi16tY0FTESh2M
oNW5DlTGaSAvDulTY73g0zrq4NzFQ3yVBJn2bjWXrRJv3giHb1bcfVJjCCtuc1VKvJijYuUu8nIm
uWgrG+x4E7ToyYMAAnQXZIR5AgqzPSH47T/beDn1LaEH+mhQlCuqi458fkEa5mtcT0VIbVAoj7Oz
0VRDw6NzGlTOnCvsULvEW9enbfEP1WaiK1+GuWyHejxLGaDurOdSPv7/4ukeHETqD8q/1y2MxGTw
Nmjzo0U0OMIWJSdaDCuS0S6ayjduHtq69Ofzqv3otPTUhTVjYVAMPtnHK9s+1b6zI8gtf2Rj4M4X
l61bLnhHM9eJJKwigkU5reowt7U+/X6omYTYoCks1RkAbDKB/I/lt5i9TW4TaWTsMW8A+7lf1J3H
nrVgCSoOCE1uokrb8OR1CIfktUU4ES7bzd/i583FFq+3qS7tYnwwz2AZ1xiBeOnxK7p59IZdJ56G
/YaBCLz23CfoYuTiOnM5Ta53JC3zjnPcf9rgcu+qGNfci+KmQIQQqlOnm3PsNPsKeE+2bs0r0pj6
pCGR5ayeACH6fntjajK3YJLmhjkBezq8Vs3SnwbFwM86/PM8BusVi/TJIgzyK0Yj2g1IaWkkIe0W
BPm/1zntHBzgov8+E5LY0K/ONB01LPU8ZI80JQqso4k5AGNn2uGnBWkfEnRxfWzeotmxxUaSKV+8
xs86Wku4nuD9fMc4d5xDSICPenlNFhQpfSRNGZLwGI1QG7GuVD523VIKZ2K7po7WovXXocQ38JOo
hiiTSPm9hpbtADU0wG0C+YlvpRMO4dFrw591su6apWqf3WqkQHG1yeclatCjkDavJwc50ihsYLLV
9sKWIrTxSwKzUbdh8OIl0KN6Lj7qqoYKyHV/7higl8m5+cbl+7V3Xho35OcZBVLWv/eRCEoTTe4r
0y42REagwW4iOcL0zEakJlJhIyh3DrTsTLGk4BzSEcZS9OeoRjSYMSmzDemTElo+nAYXRFzSIavd
xogAZ/Vm6C1ZkFPfxsrb+w23e2YwnqCzRN2BvcHr78fr72eUdW4K9jJGRlnLYyvYhx/YCfjZEkKb
qKb9XG3tDnCgl0FfNc9dYsyzb3+ADdW3BHXDpUamMhq24MypwQNspmxzDcdIDm7vFKDRPVbxeMJ0
lzv3p2cn6t1rwur5dZavtHLo2+8n2nsxCaG3mtPXAPXxxQQaaQW5JV/WyBzQxFhIdqLeDUHHnoZg
bZ7+NgEJjweA4x+zNRFG+vrUg0YQBxRRrUc04Q/odqcqO1gGgEgAfMH4kcF5CmWYpJEnlsKXZjwl
jzCEcDVPnYk3uV4XLKJqRc60iREJdKYSR0qbqg7hZGwvM2Q0MCuV96mRvIYo4UbZ2lOQha0JoLy0
DPJi750gSD+AjRLcfRSDto/UeEF/0t7NIm/ILNnL7weywAzTC+aR/H7qyG9GwKhvaGQxzyDOBzsM
+9bG4QlTTapDLypxSiLfO6xadsdm+BpYHFdTFwI1dCZdlb4c3xtkuUYZN3f7eKgG3Nub5y6ZgOkE
lKVSdel5UDY9WoNXDvVbbcfgFFcBaBlk0+HrhZ+WqXfTBkF0yNdqv6HkSLcQ/CqaZgsSEfU8fo7/
xcNcDBKZhwXnnIDwuWkby3hX23b8rBfbpK2q9dXMm4Uo1y4Is7L2eYJCnMf1EpW/7zxP3ONoJJeO
L++ULfITLBnkN5aaH0fv8wKw5vn3Q+yjGEOyhpbtqa3q+tqysTsrTBUYI9K+mLGL0r99//wHaDgK
QV37URTSmAYhDTEt7U+3jxZR69iHPrJEcBN70cKU9trim1Ub+TKFY5BZYDj55ODfSDnOxybB5kYp
VCqDmA0umCwjtRjkImRwqWLTp9hUxH2Neo2pHhbijt+zG/H8b+1UL2hNAE5UDACccd8TzCvK9Yjz
a2iGZ1srUzK3hTTdwSF3Xe9eITdw+Ntv2X+8pT+tGCQS8Td+XLAabhL4f/2WnS6eR9ONfdpOrYWK
GmJkRrLmnm1pwTA2qdQLIMeBor12GXXOkQ5yB2MZbiPO5ptwMDmodfrxKDBQyCTh8HkRLTm2nYM5
M6gvvkz8YXnYazMh498hpYwSGt/Hq/Ba9R/WYV83bcarS3v4kN0AjLRdbh4Kx88VBnAcWdd8jpVz
dBtYGcigsJPbgOCEayVP0AQ+oyNqXv72R/LX8aUodijFBH0/wqeCmN5fJXy4obSSFvcy8axKIST9
DBvyS7io8zvyEOhd0AE2QOYZq0z8nVvwd37oT9cDv92LcSGAd3uu9xjY98db0NfJMAuBeTBs9T9q
Ir4uoX+wjUzybpNVqjARiMJSrfsCJixG9vjLh1/HY2bHadj/4x8EBArqhC7+cEcUYeLjH18KtkEi
Ww7HmVH9Yxl6VPbioGwVwGibTmGFCH3kb9O+7ehfPoX/PZHs/pf3+5ehWn9MD/8xTPxPZZf/dbHk
P03d+1Ms2cE4YGhaf7gE/2H22e+/TPLHP+P1O8/8f7/x7yeUo3/zKaVeglvYx+wx+og2/Z+Isvtv
SYwvoOhE6BRXFVcT+8lj/hmGSDpIC8QOphV6Hi61/49ElJFi/astBVso0tGYzIZxoZgn+vvrfziE
K88DJ1/DBkcBUkSSkVPQQlCAaE9z2Xp7krg6/41RNIAXe7n8v4RR+Ohc0hD6xD+BUYRxB5NgNf8k
RhFNDACyjkEP/kswCo+6HxWK2v92jIJxDNCwc/IPYRQYvTAfIG7+fYwCUlsLeKX/H8AoPJyGqWvi
fyVGsTbhtcMctz9hFNUcmFO8YKbW38Eo4Ae5pynAKJ+/i1F4Lj8NZvnPMQo/hIqAxMW/DKMYgi3M
alf8f4pRMLnrKPTK/wSj8OvGFoT8IxgFb9UpQoP8r8QoANVbzAUM/h2jaG2LXApE+/8SRuF8QTbk
H8MoNmcBGMS7/xJGgVGbJThm6CnCtNdJ68sSgHOtA/OTzjFoBUceOmJ/OMFyCTCmCZGzWzyzw+Db
g7M0d1V3HPYru7sGs5mglQJu0N5UMuUgdHlnAAxTVQcXTPC41RaDxrrqB8C8NudteI90W+C33THZ
wM0sh8u7KlDUoYiQhKuqp8nyb0s4FWTwCi8WKhcYI5r6mNeQkTAwhSTmgXhM9wAt1R72bABHQwIu
4wzD1NYaicoZiFnQZc7iPuYExVVJYasDCAeftAVJZvi2q91AZHgFV2IRXXNX7xs0q/dJxLs4shiR
BGQODumrFObaNs5wTKCZJMp3T+cERxDG3BCbVj18dhffXg+r2sman6M+GI4eDZ4XTCjYcKTPVQ8M
EJFjV2GUUmuaYh4g+gvnVzsBRsLEiuAQdsHrNN9BMcKGF7XIaNI/S8wFcGv5ffIx4WiDI4duYUDI
uh0yxqCBrpxnGLhazuN88yoBFAChvIb3n5ua+hlQ0Hyr9T5Bo5vCEDBFxOvT7ERAXYYKzHuSQHsF
86xb511GAJp0tHql36+mQLBgmFhcilcNQG63gDhZFPkUcP/AVj4cMJ9tyjHuMqonOKrgGWBV9VmI
eSbp6uWVngEqsQiNCT7GzZE7TSGsDQty1z4GVaSOEW8WhGc1g0LrorDEiE9dtqSXR5awSxj4qhCD
ApIiwq5YDT8t85OjmNmtrEe6FDPv2IOmN/+LvfNaktxKt/Or6AXA2AA23KVg0laW9zeI7qoueO/x
9PpAcjjkSIdnJkaa0JEmYngxbJbpzMTev1nrW9uYSGbrXsVHxoszYelXnNZPj2WCgVfB9KSa2a0+
9d+qdfhAiN9yZ45PS6/Pu7lSLAbfBauZrHlYwx+F1SEKQclYo1MHebOcWOoeRjjwh9QSiVsXgo8V
A48YHZdi82/MSeAULZbXFD1ggPBguGp11YsZqJr94DmZ8KOZrngqYN6NCfOnQgRGn77VPfOuWU8/
pAkEgVxbl7d4J/ow289Cv02j6sxM9W2upO/0XbAsQnh1r0Q+5qCPBNilQvnoSyAyvrpMCPKuk6XW
HpZ0/G6ZzXyFVQvc3S6qbFbfGXoAyriKCYhV++wLgkSNeJCZSHW5dcQcSpYLCKF/Wb/yh8bn/z7W
0n/Y1FhY+nkc/rSn+V3W7C8I6F+/5LduxtFZrNJ5oISShrNF2fzKW7J/slXLNBwm3UArQXZjZ/4L
zZlICRocWiNV3zplSQ/yazdD8BcBeVsui2FpzAMd9R/pZpwtPOSPAxIQ7bZuMRzRNGH8jHb6fRe8
rPag0+/m8G2n6yRJP8OhUT0tVE/2VIAuUJrbNtaFu3T4n0Y8bZY9nXTsRCh8PqvO/KZpsInMHxlW
x12K8ReBWXM7OHPk2ll8sfXhsunXusGEaxspJ7UupJun0g1HM2EZJaLDGN9rqeMlUpt3kIBxHgNz
5hAWa1AasG+EyE3fRshTlPl9Y+gvasj+OkZC4seYb4r9Grfdmb8nqgyhfs8zGD8OE310Yaj0rJHF
WGcVgZYvLupI3BptMjFiYS6NEEZxIfAc4gprnsEsbhL1t7TJkxdD/KgjnOXjBNkhnh9EWjcuO4gK
Ey7HgGaATAsNrs48zK4qAHpRWgjwv76QTMUY03MeJeM+yYvrInYSV8XQDzUuxhvjYHo1MmPAUue8
m5sIxpzZAsGMqAWWYFzjN3BkbthvKJxPm3dmMxuYcgzk6Ddqrp7LusOe8ncbpCeT0kOyZ/k7DNLq
ornw6f7FBunEWMGlhPpBJKwsOmczBP3XNUjDz1T206jd/J8wSOubQZo78v8fg3TlrMspefrZIA21
6G1Qcc2Wg+IOCcv7PzFIZ6K81PFbB3O+35zmxeS4ul4esNWdVoEby6z7L01ErD0ResegLova/I5B
7KZje+ING7VQ2/iFwFlfl41oqG1swwnIYQbssMLCcKkk/MMoimb4lCARNzZiDCSx22iJooabGAJQ
7DaSojFbP8yNrbhulMV64y1mgBcX2UxMQ82nCiSjWWy4RdgFKVacnoHkdePwf9RTK6POV5Ux8Veb
f9MmWgXGubqNugitGQAZGhGz8bT5QSmzdjeAipxARmoFCHp7+UI2p4ebDTVHIbSGFgTaLveQws0u
4KOA16B+1ITuF+H4lOhLsh/HgZm/EV/aNhcoDNHIRjNOescIPXWuoVxONm7gsD81BUrDjYRZocxp
qgnYBUTfaX5E+fUxbOxMVn6+ttE0s7xX0KKWXzLVX5uNuFmWCZ6EcPSXUHVcEwsi23F5X5vtaw+w
E+thi25fR2hERZ7elIA95Ub4VEF9IrUUx2mjf2pgQFF+UXqbkEFV7FIx29FTvFFDk40f2q8GXFgB
Zceh8h42ymgkKb+nvnzE0G/gu4JFqvxMJc3hk04avZ69MUsL4KUw1kMYc7dldWg2tum6QU432OlG
PRXgTyGluPrGQxWAUQULL4RUnybA1OkJR0ayVjcdKFUFz3++oVU/p42zagJctTUujgQE67CxWFlI
DftuaoNk47TGfXTsVSSsZEHA3jJ6z0LElffGj3yjvOIPxS6GZVPbCLAVTs0zFeJtrVExFntj6j+G
jRnboXryYsi4+dQ+AMaBmaqYK8TRs8AYF1QiOy5Z8pX36TGq7UvdoK7X80kF3CCv1AZuLQuliDGn
x3v2XSk+8366KqrqatV04NA2SjWj4SeL1p8UFqC5ndZHaxRo1PUUR0/bnrN+zLxsndqTPgPGQiZR
t+10HA0qgnwtHJ+3ECM3cLHJVtnOiqd1avKDEzqXiPLhwOfxeuqRFg4F+ZG5OXoVjqRd2N4pS3Nj
VrDlVShy3WAbAVqG92ze2NRszfE9Ic9a1PAoJbCUITeB26dsqmwB5birFn3fq86tPtSXZkk7V23X
tzIu1P2U7sNYUo47O1hOGwBJuU0140arAai0Mr52Kkqjpk6ORZ/ezXHBSwz0xet7rAR6eoyL9Lxr
dBnvernSVK/re73WL9FsINY1KQFgoOWBU/ippswBYnTIhg1v4Jda8aEEHKe4SmsRMtHkz3WISx7V
x9meUO4izHst7T52h74OA0RAaYzdYAE0eE6GLgoMxHUuTsk8EHkDbCkxjrbmTJcSAwOc8syXEVXT
UDYpHrlll2upchqLBA5J1e9Lae/BnQhaw+OAypmlu590CsZtFjBlVSK66fSrsl6/dfl0L9vYQo3f
Alyr5fdCFxyYa0/ZI/L6Rs1XiFY8ZoWd8TRMDkDbgxxi1Kk1rLQCJftFVu8yXdNTPlIrdsltRScK
nTl/q4vlebQXxx/iEeS/NdYnXFj1KW0hGYGJ4/F35F0+Rier5m9fTJGAzzvTHa/xfjJhpWPxeg41
9jYiWR6AZBfo30gKqdtiU6eM15j+b1QwkGDX1SmIOZz7RHzPGOy7VYgsLO4mbBnV5OGZRx8eM/pw
xlJ/TaIfhZNjeFBS7WLT/VcIFdF0zeNp7Q/5uJi0r23rx3PkQ+1tb6ZFWXhyItVDpOmqqfre9Qgo
2XW1nl7i7atxc9SVVh/nOrxa0Ggd9XFckZyYwlV77SZcm11YkgIBXXqdlUe1/q5a2Dqd7lVViqtx
VX6YmLrLddxTlLt5vWyGxOo2HXF55M7j2oVoayo/YY8eYWSgPv+ZLm2O5TsDhWPFaz5J7TBuAmOW
6nIab9qK30nk79U0gaXDcAm9GD/NqJrXZSJRI83PRTFfIvj8hShuTS276jXr9CAL/c7JOIesgoMd
o75tXPeIgFnnKSfGNg95jNzSyK7y2diFEhnDktpen5ziMQsKg533Yp8ME9IMFm3TpL8NFS9Vb/To
mA8OqsveX+YyQJCCH1rZjZm505A4uaEt923dvmpr9bApqwpzL9vqoVCyTxDnUJSLs+7wPlWaSfzC
55ppj4wgL0taeuqyXaEh0tJSHmiErgYFsUlP0EjYBWVV3YbdcBlRY5sYW2bc1MBMD1NLTW9qOIfA
CNad3w+4WCaEPYnuj+NhkXmgDV6LKGWy5PUEkxbAhd+06gaFw88dXWMDe0SHdM16/V3ve39Uxkv/
68s74lzQ5blP21cpzF3BSdHozmMpw5MKROTnf6LRn4cMl425m4YSkHvxLhXY+JCZ6Bz2qdk/C6EG
a5mXHkqvXYvtmEUU10dTEjZSOTu9IvGGpVkb6One1K8G1Mro6f11jB6czLpSuvRDZJQHal8MuBgj
C/9dfmnGT70As8iBVqRPfQrGsBFK70meTLqMeyYgZdp5cT59pDnHlEk6mCtHvN/GAgpT9nnv9mN9
49xCf2qR61vY5Jbio5v7KsCBfIsFIkBiP79ara9iqnJbKyS4YKrh53V7kmm0YNL6BsrKflAj7cXm
mBdOazzMdnnHeY+DVpufCqinQYapliQAn2kd1onY/gC7pGDHX65xnUjXXMWPSzIknx3SSEwo9Q07
PfrchqEgFHHd7YuKwgwZFk7Qiz59GVH8NYz1j2JovXaMedhyaPiZ8sBueqG1G70tM/VQz2enR5ZV
6Wm+G2xzbyCtRn4AEKEfSbLQ6H/VqXxsh/BtmVjl2OqKWXVBFmxr6i0/na9s3TXRx8NcVkdM1fSu
6qS5PZpLr+itWxsNqJvE5oPdIdpFFdrCQVD2xRDewwxsfVNL7nH0fDjq/JI37XlhFP8wxcpHDjPV
IsjFn2rlTWm7Z8yYg1/1oDOyri79Dh3Yobaupu2kLUHdnzplepdj1x/t7BV0RR8ge5ZYa0irqXPl
Zs7yf/Fu/L/wrAm9F1vr/5jt/d9HUst/y9X9ddr0yxf9Om2yfxIY7Z0t/w2RhcZ06HfTJotCkLGR
LVQT5vD2o/66O2fmKe1fvmJLZf5t2iQFTHCLjbsK+pdVuOr8I9Mmuf38P0ybTIZgDK9sU98g40L/
G3YuFjQjVNeidUV0Z/NpPCdivtdMJT4MNe3DUrU+0Pxqp0ZV6MoECpzZ6vu4Zm6aDxZ0FANIV9Uq
TmBXLYD8OFz8Zsq4YhCJH3CU7Aa1CQMdoZmLQLDGnNWt7vtjjiDGTez40Bfzt74f0TPH1j2m0Y6G
MBaYUblHshUHL342CiRIYhzgX+OCMcmUje1B8yQtAA/TRrtR4+G2KeB2W1px1zpwdQpZHoQx/Cgb
BTbZXOl3k9jbi4AJkJOGYrbjuYij7oAJod5l44TunuddV3u/7dWJjKVUdzUwsJAH+9cWY24+MISb
avuK7DK4ljq/wjDDi0h1nbQT7budHsMOuWmZx7WbjXyjOYru09H4QgPuF6Lah5WsA6HRqqGk+8gk
yTZy5j8eCAuq+9G3Nh14IRjhM/EzgyVRj5GjOGctm++nCcJYYtrHLuv34DQ8p0FUbmnqmerG3hO0
EPnGAGs9D6U3jlO1a2eOtbkNTY6W6rsxGv2uAgaATzQND4l9RbF0mxihju8aV9CM9QIUqdWDJdh8
qlxbNTOudY0+cBhR+Ekm6E10VwjsSE1dZC6a7QEXduvlThgYmiVdGT7TnMVHu1rSfYbQ/2wb9Pic
7dWlG7h8Y7wV4DfmTwSxxh0wmt5Lk1y7chgGPrbC5K2xQGD3URm0zXxZktHwF9PTFm3x9NXKzml9
ELMSQR0Szt7qWgH6dIqO6oKLWEU+R5MDAgSIF8kdRCHh6h1OrAtiWFirYIMCqG8quuuoD3dFKqxD
M7KAWlPtCiF1FQwRAsWsL0a3Yn3jZiaN2myNrxhMCUvrWH4VbUlFP+QvBgWZs8wQPcYGPsqw7HUU
i8moXYXGhMa1KAyoOMslnrZIjozDWpXvddfOKO30p2mtv6jq5NJ8EeSTBSLLfsDpPOY1ddM0NcQI
hZusEqBh3X6r0mHnLP13qnIGDyVoZGT8X8uyXBxs4Ekuz3YxXJRpeEnyHhwejlCzW+LzZiMo7Fnb
JFsxOAD2KlUk7hKRXy1qe0+Szc1ICBOZfsPFVrS9Dcac+CkIx8I+wBA5FpmgbpLJq2Eu3+x+/G4O
XXI19h+lsuIWn5vmBNz70C9V7Rm5qmPODy3XMLTFX43+MPZ1vIuyReyimLp+qvBa8JZdZTVllxkh
r0admR7iLnfpc4iZKsfRVcL8NFp0Bl3FJwobDuNllTe0pEetSBeIQH/oWXk/hxhxYLoHXeqsGALW
r0nF3JTNUt2Di8nc3jFehw0VBexrvUjFvNMaTrAxLR8d/bus4HRUBkNkI/7WE9uFEaHteHPG0+z0
mVvBP5DqBCcIhIxhV1eRDojT5FaWU3QeZmSu5MQEucgo79JPVdcPQAtmNxblQyboe/ho5+XJHquv
MOHPRsXG3j9e8Grt5tR5YLvJsKhxvHS1npxqhF4URVhlm+444apsFd3wDBPuWJLK82imx368n5bc
wbcbQvnZ6A86yVWWtdPtDbpXD6QY6dSf5ZwFOuDGtdDxKCFWb5PmRQVKNxsq5VBlHFKdJReiWV4h
5QRmSvOaWQWbtW6zkKcop660UAAH5mBcQf/SgnKBhjWlwxlL1ohaMn2wRZl6Y31eYbk8CHWLSWNh
2jvMgqySPnyyPq02tPdaN7zLkMBBfrM8H1M/rLTvY4sRImkMB8U+0sIMllKpznDiswQvXHeZOh2f
lxF9OPbUPHSdpnqpyKarmgSwh1a1HqY1rd9rvRx8Z4KG1rdz5XH0c0RM5cheFdNpjHrZ1dWcpbcx
D2T0Mb+TSXOAmjddaVCqANnM6l7LawLXaKT6VG/OpuwnWgoiMYeFQcBAhhfNG9bxvrvh4CKoUfCR
tGPoTSKWQPmAAfIZmm7NZaYOB+Kqq/40OMUDxxuGE1PH8zFdCQviQRgZb9iPqnfjGb7Kem3L8qxX
DXBlI1ZPhs6qknHQYV71+ozDH3QGgWouNIvE0zFy+FCnoEU16RVg9jaIE3Ief65b/r1Q/F+mKv81
iYWAWNPS/nSh6FVJ8b399ntt5W9f9WuVZ/1k6dqmZDQcbloqF0S0v+0UCZYg1MUUkpmPaluUcn+p
8sRPhqrpkqWjgV/vDyEuzk+OZqusKIH/qwLD/z9S5Zna34quyXWz4DRDcYHhbLOl/KOy1iHvTE0E
YDjNKku/rIrnWVN2PUMNbs268kBVOF33I3Qs2v3wLp36Y9akqxfj/HdXe/aVDCKQ6AgnbYr7DhUK
I7jjUGYfrROedbu8n4YUCCSE26mzfSu6d7obE2wh46YdExVmAAS2VaSb5eIapOMJ0cMbzEmQq4mb
zPrTrNvfzLX02xFgoTAxOoRwZeY1QbJS5DtUDg8m/rYu07cwJUkuqplQpGE9c8AwyEolGUAb7lJq
hyv5blAoOAoBIpt7gcCnGYjFGHqrNQLay5wflVTfza4DXCPtGXuYNQKRRtdVpSBBQFgfZSK+Ma/D
z6h/Dlnz1GJo3mkck5kYX6PeoPws+3knAQP1FAeG3eD+p9G0n1K8xXMfNE39FDnVPY5wf+QuVSvX
qiquyFCFA4rBjvAvoJhHQ4VHmsYh4LcpcGTTYwYb6NwNJqExubWh+GjtWzlt6S1FDvg4pOLNI07t
Mk3vAFu0Tntg5Dcfi41jWJmh7lskl1bFDMFJy099go027MYdc12+rUFhzdk/tyLG0so81MJzDrg6
71xDVVSkSsOtBt3cLeI69SJr3GUVg35J9O4soYXNwAtQzX/YzqJ7VaZtqmzTY+OeXa+ppWJEW7RA
RKQQ6uvwYxokCNYXwOaav0DM85Bwn3MZnwrlResYlKnYvZtI6CSXNsJXbe4Vo5yi3ZBDxQhBxh2F
fF90xrmk/iVedW/XS3gamTMc87i5qSV8RnVl6oTF/JCoIqhyvEkhr2Cn0jq06ozjFD54XHQSZEhx
C8pSIyHRuFTZslt0rF11gkWafQ1Anh30ke6E5CeHf61rQLgd+YHPoNqVm7RkmoygN4arimGkayWR
ehA9aGxIg26TkF+bWeV8QWYz4uNR3tpEwTWeGodC6x/CtNwPFYkT+PtLkHogitmU6PZ7Hwty10bG
0LD+kGgRS7wq9DuWCdEsLZmrqF+hId7WGB3+igSMXYefWAqIJsjj7VAKBt03FMr145xiwGUp5UXA
IpMxNynWKVN6PKR6BtrQbl4HM6r9Tt/SePj2doUtYpwu4DBa/j5M+9GxBM1agL6bi8iVDj2Jk6sf
G/kcOT5IHdYqTJtzaHvplZrbp7w4OacqwqqyDhvEYWCkE/8o7fXDTMZTgdXdbZzpBZK2BrjL4yN2
7vP4hRSC61ER15MNnShmKmxceIrWwm0dVuIdVACqbRVdDb0bs9yB8cyMRybCm2IrOqg5x97lCuEy
g543VwZUBAL0Yme3qES5MM8nIGcaK68s4cM45Q8G9aa70lKpcYRXuypSL4mOhVnrXoFfMRjoUpet
XQVLDyBMlQsvUgk5aGtr063BrXHRQFIHRFaNmc5Iu95rW0PMYwwFclt4NRHxc1vbTB7LfZYv+blT
b5Ptop62K1v9+fLmFpfbdR7lYeyl2xU/b5d9rkVsbCy9PZhUAs1WEsitOGACdLZCsV7nb9VWPChU
EepWTgzUFdUy68DKIFx0c/HQgtgGpJXoZX6pzOG234oTdStTnK1gUbbSBSCnPC3NwE6VsibbChwm
ff68lTzWVvwMWxm0Ug8VSdLsu6ZR96CQYAluZZNO/cTSEfmZ2Q4BhMDBZZvHh3QruORWesGH4tXd
yrFwK8yarUSDSFO/d1RtzVa+ZVsh128lnSOdBZt7Q+2uQ1HoHM6VNbKtozAHccdT/iCIT4JXB2s5
s4hyGMwBc5atydtINPlFabxQanuHE+qe2Ggb1nrKkg30YxDVZhqUU8dumNxECIuJvKOP9tpchxim
lPU5BYTxuD6XBcIKoGO3akZfVot9EccQORQr9komCCYySeZvCwbg9VVroeiv1a7I+E8YipSeMx8g
znR+BTQuCHus1KtO/gcBi5wGifA6bTis9lTvjGTu9mXSI7G04wHOGOljs9Jcsno7eS0wtargiJ2G
DmK844X6Cj+yzj61VbQPa6GyIVE3JCNYDW6zwjd0j/AOF6qOydugU1Uz4YGRYOkcYcU9wkoTc1uM
7jK1rxPd3pU1ubKDMgCrYH9+zuTkr1FiHKxyS57WmOFLfPB2qOEzz7EeDuUbk4wc8DHwQVOBEoZE
Jgs/i9wOCgHZPyln5TipF3tiWUYoUxaUOamqs94zLoEHxzjiDVa+eVU4ESGpSzUeDVoszS4ynsn+
jkuGZwCOIU59VKXLLSGOTcBJZfOmgqGxh5pLuaPB0XQ/k4BtsfVClLZ1OJmkUXtVzr2RtAT9JFL4
UtHsC8ZF5LXiOTbRb/L8rQEFStc6kpsVtprZO3yQwuojGpcv5sic79PwBqslOjO0i49JCevT1PNn
G8fl87YILJOaJFrIb1aDrx0qoQB9Ues7+LWvg7FRZlfxLVbi+ykc37r6JmOxvi9jhvhTWhxNraiu
tdJSWICSodsP5XndEjnzoj8vKqRMhW0dXCLEvQl3kNFzvIkoPUPjAgnLNoJe/W1Zy4Wt5XSShtR8
JLQXiknI/GHL06uarhlz2TKoenGSR6uEsshg4Eq0GDfRKTDpGc2nRCSgUIq6xVeo1l657lKpd4xj
eGWZojHr1xpaL+Klch3ebW0YL1BnLOhKgL2rlANjWO2YTwgdTpl/G9po8ERj3vcKu2RDlJVbFV1+
VkFayxhw4qgtnQfGAhB3Ypf+BBbCzJn6NXP8w2D1EGhTmSNmE/IBQOSH2BRlVvkDZNp8nvPq7Dj9
N112z+lldubPcmR5xkbgSyiXqjeYBXKWlasZB5HmXLOw+GR5+u8Yy1/anf+8E3Is5087oZ/tYn/T
B/3yNb/1QTbthSSQEs3lNk3+fR9kC1SVtDJAyhySK//gFMMKSudEN0SgFybEv0671Z901RFM0Bmj
4+4S/1AfJJ3/2Smmbb8wrZipYVhzGLn/XluJtXoxbFEDM4ucJ0nMnTs7e9EQcdz196y0w3PFQ7fH
hv0Vo2pX4XzsreVljKyIYyYYmlSQnVgdcXZHblGrZ6sZ4QzP3yA6MawR2TNSG+QMFXS3pL41lUlc
mFjfEpL3NWYxV6RogmSoz2IsJ/bNjFpDO9sl+HF7fYRXp9r3KuEyu2KkGgwdgqNX1nszuPNAy7Sb
aiCpK79IfdCuW9gL7H0aw+sJXW5X5n4Jz3lfVTcESTU7x4qQexQpU4/0pqlRK2XJEcjidxN9fTun
9yXB9gDC0d+oOOhvDDv7Xupm8VYsJ2AIPUb6KffLBo6bJqmfFI1rQI/KvQb6qCARWrFax6tMs7iB
25UyREGbUoV0TRojauSkIFarAWQbovUykEoMb0K0VFyoQpCKNWXT+Usnb5s+vpUqtIfJZBjeColZ
YH3j4n2SIzW/ULcTcTSO6ZAoN+2DXPqbqhVcB+vrgAXVjEhYIi6aWXDufGuGfF9n048hRIxD2sh2
fK+f0O2vks0RjVHO4vfZDbL6WhvxmZOXsvb9vo1SFBZpckUgShCPsiGaZb6YoH1JQXhoKe7Lrql8
o7aSndlmcP+YP8LSHqv7PKEitRDDHjjEoWp3AZNOn5EielDmkxSNT0u000tnCcgRZ/k9qTlxVzMW
//XYGhMDv3+eSFh3X3aI56KsnRd9locmF8SChfdRVdtuuMbFnpCD06SnDpWluDeQQaJ3Azhsgl1O
Cvmepc51RcdzqeqexiSeD/1IPxkpo4+JPD00WWtwCaKn62sLyAiT2KTVj6W9W52+vtOgjHANw9Ru
yq9uyNurpNxcGAmGrVp71D7mIo8ODTx+BmN9ASwOCpJtTm+FxXJ2xXkCmhvqLutsTPZWJ16jVPtU
LIDDGdHPOwI9fKuTp5xC4BKBVb3l+gRZoMAFJ0xNjjl/sdBEwpZ0IIDnYS/NzEusAnznvO15Z7wb
GfN8LWHnLtqsDMa++BoXHpEsoqLqu+26yzV/XUJ6gSXQ0Hi4WQpk29z2tyEQSDDVNRLqjGno1H0p
a/+YyxpunGL4SWk+L06twZVPwSwmwvBEVHxOI5GvMhwuS6ned/n6sBFCcaa2bIL8odB7F7FWHrQt
VLAqSYMqrg+wk8YMDQoat4i89eZHyNMD1ZcENSYd8LMgGS4Tw4yh5BFXaZk63xlmvC8vXR4HA8Na
E0DIOryX6WcNcZZktrZGZ+KcnOgo4u9W1HgKOYOIq1xUaZTdxwx46pizzmHHX8sXthdYYNDgTW8r
8hSS4AJTeeu2n8WwIv2qun2i0KdBfWLvtZxHh7FC9ZCgx45RUzKo5DOHCqd7GcTOMm+19rQiM2iU
N7N/Mdph++Uih/3aYTFvGob9hVj4+8Co4KvK7VA2vscZ2QfIQxwOGkdDwcXMoSbjTBi+k8deq25c
+i4QYQcAF8HE90pAnaDXyCy/T81d3Dt78DH+/I0zjR7H78S8TzLys4ZrMq4O+mrvieVjdIP4nRH6
OqLFZsphR/A/SSWQiuUVuUMtvxusS110iKUW2remnR9lnqVnxm30LYBXWKaldCr2iP1T6ydvkTXA
7Kl8Fnqe3lAPE9KhlLdIZ7JD066HLMpV0pR1ApSiz6UGog7VUO4sodf7SO/SB0tfXxemzqyBkjiw
kzueQufUrHyjeZZpkJvgXvuydDzLShJENPatUODTJFVISH2eMRhfzTMy9vKGdDBezaqF4kNen8vE
8VlLbIB+FbYaxa6h31qwRSLC1P3C0lN2bhR7ERAGG1llTPF4bGsTIX7l3CP32JHAZTEUtN9pMk7o
Qju0iv0z8Ji9lF3rSh0VRRnBVIDZG+RKpruJU1/TS5+ElX1f0gV0XZv6UQvYQh3J+BLJ3UquhlvG
DiJEZnqoNo91hT2umzbElLJ+09VGo1knp7lNSRQoJOxKVczPXcNIgsshIsewxK4El28fTuOLPjYy
6HtsaImERN7E8prcDUYvsfMoefpnqhTE/xNIdMAp3rQkCAL7lbS3jHNaRCrh6fZtS1JKShANVonx
UtR9xBxy9lXDpoOz8tabaZmUej6mdJruusGt/j2QL3uyUv7zMhT96p+qLrxvXf8jr/4b5Wj58Tfq
C2g82xf/5vVB1wBuBC0Fvh1QK/zRb3N5DWGG3JQZoHuw/PxhLi+Z4juIe+hIdKnj0PmL18f5yYDS
wjDdAsIt/kGvj+ls6em/h29AvxHAWlT+t6WYm1u9+jtyQaGB7l1C2MpbTz5Nj461Qu8motTvZ87x
ri8vpQjfwtHIuBDq+k4xHFT2KZ2vqnXS07VpvtM6juUoN9FiVKztWMvro1Yw8xQHSl3t3DAzaBY1
WNao8kyNjX0xe2tfeFLOzhEqK/vAonutmakUKueq1iG/stw4vEHAwr6WQfi2hzy0DBMITmAi3xjk
jW6mmXS0/NhiWEJakg2kngw4COe1lyqsTtdQeH9nnpC92LdoUe1/bZ4QD7uzq0aEFP0/lSekyCQ/
rOr49M/lCSX5aJ6NuP9jntDQbdkwUInccfh/LE8oLKll0vkPeUJrnzyqujb78KOfiJD15rmLvGVm
EBs5X8R+UFAxVZnU+Xd5Qg4hzxOu77/mCanUpjqX7f/+PKFmDamYw8CsFB21Krj/vzNPaFZF+JxN
OWHjdvQMZjfzVoMHBmLctJ9X2BQ1XONyUlzZIFsWPcu5NulB01b1ZWlYHlQ0g2gUqGN0Y3XB2fJJ
yVp54AzDAjLBXofT6LBEgBrM5VlnHVuxOeJSdRBfLCGphRrywCUmatMkMNYYV8jARf44CPPR0HjU
mbX7c/816QypEeabxE/NNAlxdEOeCOFDxWGYk+6Glge5f2rzSyhzHqxYfNcBSQxp9OtuDKugIe/d
XVsyu9tw/JYR/sQczH6B3Xer5xkhwrGiQHcbUG+VfOM4dQKr0ZybcRWngog8f21pZ4vQfIf8wlpA
rGeKkQjtKUeQouZB7fQnBVp/zuwJliHD3eRWiugmiW3p//zy2L1l7KNE/5Eoy9dYqfXBKDTjYKdm
EthsEkAdYsgmfwbhgDmeNGt+WDBd7Il9oIMkTRy4teyR8jgfxrqYJ626mN0W8YLPw6fijT0dSfJB
n+OIpgGF+AJtNWAZbO9ZPwL27PZZHdt+Wlump9Lr4B5KtGOVgWpd4/qoZo4nhha+FXsMdnLsP2Ln
LWO+SvGMamcU+lPVk8yn8udmWzLi3tLM4onvFHMgV2hnEi3/wKZ8k5pIvJpyZWK6OJE7yUzxZ5xP
10qY9bs6X6wg5H2CjFPdZuyiKcUJItPWIgsQ0RBisfRAA8o80MOXnkXkgCojUFQ6fwKNsuulJkAE
G8jZ2rZ+K+s/p8OrpeKT1CmZ021DqJjjDuVb6uEiRUXFGlH+D/bOY0l25EqivzI2e7RBBoDFbBKp
KyuztNrASkLrgPz6OfGa5PQ0R5B7bkjr112vskQi4l53P670xITiCnop2HQPSm3Exgp6QCmQA1Lk
jCSZKW2yR6TEQnsc065cM79yyqBjUr6OkJMY00Gbmn00BGka304tOERzJKuZKT3UUcpo591oCKU9
gmkExL1UCmrdFZJ/MWys3A9yaXKXRG7NqhRtN7/OkGHZ2yMzY5XJ0HuRaTWvumuS8pFLn9XkP2hX
j/3eVspuZutovP3PpDTfWKm/eiFfen7FO6ULDwjEHkKxweqjGqf3bDHB+zlhz0k+8BOhfLbsnWnr
KsW5wqlNn+j3rNb0i1KlQ+RpCtdlEHeQag18i9WL5ptECYyOKXtEYohSMlJ2dkgbUAgO86wXAexi
3bTLwQq7COSzUsphL1Pp5SPZD6PJu6BYz8jqKfJ6SG42msDtI7tHyO8OvIUh3k6OduUOHPnM8a5S
68PuUhq3kaTsoBywzschwYf8rkPkH5TYXyJfov0zbdxlS/kDf7JYD8zmhjmjbSvHgBV3BxsLARev
I2uGb1ATYUpWrVdeA2ye2yVMYTPjJjCs8MWvwmsLn9LW1/QDxUg0A5vMgPPghfulrivKN6zXqaUp
edKp3rLptCqIOwfSi+ny1Jp8XVRgLfvo2RIe/V6NoPTPrD9k4V8pEvUx0ifWN+yN027b2jhbyf8t
/BbD1Anfe0cMG5HH9wPph8YXR7nwtcVsyLziDhbBwRhfB5ppas3H0DMSfF7K7pYmmENqOfE6AkzI
/Iiuk8BhHbP+1UuWS1qYJAksnRdDqHAi5kQwj1SaRLwcHbKIdr7TWDcFki5q/PZcm9wcXXNuiSDm
iRF4cuYF2wuLqoraeLO7+M1MVy/WjpUwmqd2ODDcRPvFobWsrtybWZp0I9kzfN0wyPN+3tbeky+G
NeGnh1BLixO0XXkI+3lfZbV1TMVy0PQiYfGZ4sF10y88ufc+aHfwf+SlvcoYdlXHHU/A1tulFSTn
Gq3SM7HYJ3BC9QFduiMRhqs13RlGqbMZUPUlc8LX0Z3Rh5INSTlK/pxPYXWEELFfQvJdqJ9dFdqj
DTGJ3qoKQkd/l9v2NyJdth6X6pOt7XU/RUfR1E8OGN0t6aeCtamVnvzlaGSGfQprezvX7WPjiCNk
5nNokfmGf08Nkr8Z9YQ7BdLv3H2NYbugvFyz3kXz92KLSy3ohpYfFSbjjO3bmAZdljwUY/LWz1V2
kOpcyzCO5tOxGuf2dqCYeKyZT/OqMgBFTNHeqummCjnFF9UiyjeWxscq2VE5so4rj8SjS0+n5WP8
HOr+zhgaGhU6gWmrx7E3ac6dRa+T10znf82L/+C8iK8KxeB/d+lv3//s0YfTqj7kb6qFrZuIEh7p
SNcxbYWs/NuUCB/C00E70N9g4KviX/2VCOEyCtommobNf+CwnvmvKVH8ht/Ls9AtwBgKBI9/xr3l
qpf236ZEV/cF6yTGRAZOmxf436dEIlHLHHOvW1k5kWNH4F2YAKhgNaE6xoBxXnZpuI46FrbuGGKT
ztxbZAWq/oSyvmgJim2EIR9bPbWBb7nm2wft3qtuDIFLpO36s7+E4XUpog+zusHnpu2cauo2lui1
Hc3Ih3bu2gDCenpjDCmUXUSFxOiwNZbmXT6M0BFm9eCdKB+kVk9r9IeGAs+gL6j7NtrR3oHjPfHg
Q06O6+Wk6elLH5rpden1t5697c1Yv/LHEZSnG7LQt4A4YbQ5iH641z246dOkX2JZzZDCtW2hN+1B
mtorQaztnM/PJOSgns4YkKPOJpvwCWE0Rv4dTG5LhOS0ZSP07hPFdQfI+K3Kzgckli8vA2yh4aJZ
Mv8NREuBDWrVOfJ1tvyXjuqboP+WmveDO4S7Q1UF4OG7VZzNb5MVP5oWf5JXxE8LKoVXZTS/NyNf
s25VO1dgHZr4YQVwCXd+FZnYtHscETkXpWb0Lh6dh8ubjz10xYbubJASk0UJQHl4TVtnn7nZu9dY
OyKotCY4OA8qMB5BlbJctazC2A6jd269Qu6cUHsn8HibKIfLhCB6zW4TTwb+pZhiAoKM2b1BwKEf
/HbnZtRz4pWgBKlZO4peYdFOs9IAWlDfoLAbxiV3yWHyjFxZkY1Lm6x3zb7aGcUb1S400bds8JeU
K7tTjy4cJTZ2dFOdZ0XW8L1i2w2/oiTUDsLeiGLz0Fl6dhrNaTj0VX+svRDY7EJBO7HSZuVn92lF
exnSUYx58FuL7Ph5TMp3Q+hbH3sA8Xi5px9SW6U+WgDw1CGIYhz6JpeZbDEAliuaSIuRIa6wNE35
QJouWj68kkYYzY+7K7p3qCsyNJ0lBSMVuUvjOczSu0wH/q44Jm0TQhxm/bxpFeWEQYqESUJ6sKcf
wjVu+U2P9lT1JTgjLH7JE3slwaa0ip+CjLd1Aaq4gFWKZIiw8tU3mWKucL5G23mwvi3zvQbKIoro
y1RKArAWe+ALIrN/KiXnIkV9N91AmjrsGH5clsOijb5Cpz/PDGumCnXFVHPFFqWAdu53Gz97cVQA
TJIEq1QkDDcfXXnuSaqwWK5iY1Vf4O+yiJJFXfc0OvGbp0Jm/O2bidTZouJnBTm0kDxaqdWfLvm0
RgXV+sa7M8twZ6oIG7f8mNAxqba+Rs/r/BtW4DkhGaJvpQrBzaThdBWLq/oIfxTsLvJyv4I0kKgy
9ld0GlDo+To1+QPGJ1zmKm9X03IuVAQP7PSuVqG8ukTkRP3vw47WRrhObVJTZBt697zrA+rm2pVp
NLi9im+bzJ85/ozmqceYDluMSKCpwoGNRuavUIHBjuRgl6OmxmQJN407fRsqXmiSMxxU4HAmeZio
CGKpwoh5vA3Dhg6AfnjERu6C0S9vDb917sEhbJXV8HmhzWOqcGFL/ruE1GOm4o9w0Vbk+MWKe7bn
LONLJMSmPOcXORGdHMlQVipMWalYZXhDTvGChZGSvl+xSxhiJHFsYqoqlGkQqliallzy50Rmkxv+
KilRYPtfcU5ynZM5vi0JIccvjcwnXY6891QMNNPbaeXGxWfseSerDckbmbwrm4c5vrbJzKs4qa2C
pUyiW6eN4l2nQqfdiJOVFKqu4qjYjzeSztuoP+hGDXRfYu2SIalPHHVawb3OhNwzTM5VbDT8ev1a
BCw3BXV9udnTjWa6tzFnR5CP+RnZ7TS6H8qbh+xc8CMA4RFO3+jAOHYwiC4yvM48ruSh4V7cynuV
xkBBtoZ7Npe3KU7IwGvLh2lsNjjix1X3EXO5W9H1TdGSC6h5eojz5SH0h0eGHfdkT6PKK+lvcGqu
3fE9TNwbguhYaFPt07Al3pjmLh/jB0t1/1aFmHkbQwNxx4++4vU4UzgE7lxQ/UTpKUcRzUbMYk71
3QvElZkeduBIKAY0GX9A3S9xSi7fizSPefnshfG4psS5CAy6Kjh+Oobh/MfhlhE0lfbcCPcLqskv
nllQMt9tPCtE9xr0K7IHGJhjABJ26n5KM752armz2vlBWFRjFI4eDK28UGf6ybblzUzpX6U0ts1S
jkV+bwQu1JU+uZ/wmN4yJ/toQmaYdNvYWY+70zgT8X2pGooMhEHTZg1gYiEwFo1PiXuV1ftyLL8G
jwKcsbxvKizbg7sb2gYT9KS9JJV/27jpqTXvYbWzJHkpi/IjiZC5araRxoyRII5eo9bDcBu9khLZ
GtgAzGh8Jmp+ttuF/X15LsPsMFm4yjpxF4X5mdObhpBreZqofsM41146kV1PufEwle7nZPlPY/hM
ofWnXKyj4xTrXnsgFxWEzJQOSRQdS+XQabd16Rya7Lkb+ud+NG5KNyUQbSVXvBZE5fouvoFSYDnq
vcrWm/bcGX9FllHYU9ovDAVb0fDTsj77ZErWlv1U2/2ybkWK0xF03uiiCmF4RqasJ9SMzzQzt60s
uw0VrxTn0oHYeeu8Nr+6TFC3hvmy7i6V8tdJ+CS2l+JQLRKL4Ih/IcRD94tkR5QRQIGVSsALqtWK
frpy5U1zGmgz415cI/bO8cWJOrxNtv5t1hi4Zt58s9lFK3pjcOAKjA6VQaNeGD5TGLp30qTaSseh
FTyzP2Qr8Xk2FYSwoXjkIoTfY4lvF0+/s5p23FC58DPkJYF9481WS60UcXh0X+syOflOcTYFPldK
hk6mwTYGF5eT1SfRxU8KfY5XON4PfQSvvbqf53Kfx65P4Wm+bXp0xRoO6MbOXkxTlAGI+SgoJ++r
w1uM6nkWAo8jxeYyaJllCQoEbYjllGfPeaRwNpQYH4dFbIRIvrTSvaV58R5TGHyMFEUkNL/9iehl
TYZnyvg8QnOuknrimTaMSRDVyxOxng35jJwsD+U79Peuw2J4mCsNN35GGkjXHzBVHygXm9Fz+X5m
miP5Xh3os6NwF5A+oiB7BOdLuLwWUenf7sxDkLjbGo7QjecW93TWvVmzzXNA3wEbRGhlmecm/PU+
hlyP3E6ag/TAv4YFOPZfcrAWR5lb979es5uBneE6uy4gSF6H9bJjA5eeuUQpfm55Kmo3vk9ngcNh
mh4Gr39Lyr5+DrEn0p+UbjK/K3ZCRJTpWLa9TfP5mNE9U2v5TBqtf/TH1jnO3qRt0oyn5b9Gy39w
tCQy839Kkbv+vf16/5Ml7vcP+psESbsD57xwCAFZQrfQGf8yXLq/QT6Hd++TU7SFsHSy2X+NBhm/
oT0y8+mGq1OXoEa+v0iQKgBu6Y76M9/VGTv/KdwgMaQ/DZdEg3hvYLLzMOxhwftTADzJ4qQfTJ/n
S0SgoHuxI0nvW8dG2GU1TDQcUGjJRkWfbHpWtaa+Medi43e2u1mmVtJBvRQkahttXfdKV4hYc/BG
qT4qw7mQnv9snJGQKKxOjZpJL8FuMOcdTl+11y5ZcPcsuovGICBgso1l0H3N1TZcccgDPaPGMQoR
NJsDtv0kqOvWPEyEZVb0qAlgSpSo9Lbc5WFzdhICkiKv0s2QY7SiqTxap2Mh99j4Yxw+7O0dtcE3
ZwCILk2HPvwFVvzEZtS+P2Hxj28qxdmv36fddIz1ZSYQw9ztKr3AVcqBkYZEKGkp2ieO8WML5zsT
idg1qsc9mWJnbY/JBVohjgxUiVLpE+FzhVjRGgQzq9lbR0rHaBA0CGvRdNDZb1qtGFQlNUBuvBxL
2foXQ3M3HWn8ldcouwzQKezDcUabjXUzT+I5VYoKc8s75sIBuYJVdM86zVb6y6yUmBlJZrQtmEZK
pYnVXsusCDJ6otx3Y7EqZBddasSdXKk8g9J7RvmTKv2HLsETBxmgmvLBKLzh2JjWbvY5jzKlHokB
UUbpSRZ+OSqEqLOJKVkHPNRZe1UUBjCStQSSVK+0qUGpVL++Pd0w70qlYJHIZzKN5vpa0yQXQhbD
GLoFUhDal6FUsHHhZEIVm5U+Rs4iC/BgP2FH5ABSKtqAVdm2r9IpTa5i9T9R0exHQpKHmTgpQSNC
GTqyblgbgDwoAacfdpP1Zh6wTljFD069jKoZFtvP1DM+WlqKMR2YjIG/eFjgUOrc6gI/ZxedKPnV
4EM5wdLt7DkXtjG+iutcjbO8WSZq6gci1gRjxJaSHurDluYZgtqJm8w+TWh8Y/9IaNdioul8nuC+
xSK5WC6ZpkaLTdX1nOVDjJ3Q3jEeKhMhuJFIjw6EGoajiJ1o0+liBzbYCeJw4EekNW90JikLlCy5
6VBg3dg2vcrVYXYJDFDkTg1xSGZl1uPPuLbuwrQoiWaHXWDX1XuNZhZwoZ3W4HLTDTkrcdSzcrtA
INtSnyU2+dx+WXGVrQ1e3Sq7ohGMCC49lgsPrCClwmdtTo15Lahin2ieWonMoMY2N1l76s1NW69L
XuSG+wj40VDRMo2iCUbyGdxKJiyz5KqtpbtMXkQFlc7qXl3P25ldS+9gI5yX98JgSjEi9rcObwaG
MfwFjCmic3EnNNj142U5tnh1SAW6r/OMPjD4Jx/W3ECrYoA8ye9V3drrAuNo4KNknXqbaMXQPULO
3mhzAv8uakCUtgZB/gSGU6a/GdqYH7WWimYvad5Kij53k6lTmGX6rK59+xLOr24FGKeBB5hi81pn
NEw4qmrCp2Y44JmuXSH3bDSgvw3v4QO9VKmiAddggVPFB54VKXhSzGAWxkAFwAjzDfIUVXhJhw96
HMz70DqbJG8cyUCSVr7F2gLSlis/fSqn1iJnPODetJnBcLhgjDNwxrNuUdNoZTv2bFuS58nKAX0s
u+JTjuTqpJe/4ljeFHUBJbnsh30MOBmW+FroMqDx/EgNZeC0vjwBYgUr4wwvsECYGcJJZTTD+EjE
ndjLgnGMP1mM2d9HubdnYTnzjEBqBuxcKsKzHn7Hivhc8xAyOnhDjc06ZRrlY6P40DWg6GzkCc1m
zLijB/5VxsO7SF2idY0T3XGCPBBC0HgMCOZE092ZWKxBfLWwVtn329295dkv9iSvJzJ3K91nEO7d
bNvEN4lhdaQLZwomaUuGZof1zckopbJ1akmNKQsGp0fMsyHS5a1Bb1LXX7kLF0ljafARx3N7qvW4
X1HKjiVuzHiV87zL44XkxxKTiM1cur9LkGS1pZ/1sRA3bZNeRRoCk62TzIgK6jlH3uKDxeOMntdD
xicitEoOLU2Wo20OB7oqzzaHAa+o2gkHTbuv2mbfjP42kpuRZvp9XmIQ18Kl5R+9QzLPkrnYCw9J
1d2083Dg+8zbQJvDcxhTj5VP3if9ey90uYtHb8aRUzGkTY19yLRivAxJ9hkKxsYG+Pk44otouJdX
g74tCmE8eQN4d1k4OAS5rGwsIF17d9KOYL0piw76vj4miwQ9BI/XHY3XZazfNH3UN3mazYGbdzeE
D1lA5ow+I8gJVBvnqfO9N8HctGlt4CS1H99Avsc2JJEv3fC6lXxoPmbJ1ucIMeaIjUqU7vDSHJIv
HvU3U+7cmA32zzQb56AeoGclYBlMivn2mPZ+mshj7m5yZBudGrF6mjdjNOibBJxfohPpHa3BPS5w
yqDQYagaql1fYF2dI281Jyas4cLnTevl1wMoORYu7I9Yn/DM0JCoxRSMhrnrWbIHA7rmWOnHUSHP
fZNSLVk9W6n2vZQWzvvEZSronYdKN3e1acmrMn2u4/q20kugJCGF6gMj2SYbEDYNhjRzZDlX1uZd
V7ERpw0Jxp3k4A1Hti+gC89TxlHPDXYviI82Kkc6ESgdVLI0VRnTWqVNw5ZKco+TDo6evo9m9mB1
Kk+jxL9qhIjrMdOhw2pvRn2MOcQ0beWrfGtqbHWVd60IvjaFFe5KorAlkdg5odNWEJKNVFrWU7nZ
xpjoOSWFGbJVHkc6m2NCtoZK2+rEbiuVv3X89tJGNaverg6P1Y1XEG4ktQDN1H7DpKYfCKMSWvbr
CMEZKjuFb2AMIVhgmViIpC/etzk9Z8SCOfOuJpUTzlViuDafYZ6uSpUkXogU/2uq+QenGtMw/8+p
5gTVKvnzVPP7B/1lqvF+M3TLhoYOCV13QUhhkfzLVINDkhwPzAPGE6QzIRg4/jrV6L/pCG9KTXMN
wUzEwPNfxkrENSYdTwd9rpNw+6cks7+baQzFTxeMSQC2HEdBr/5gq9TrsCsj01QykriDJstvX599
tWN/R53zw9KP4e8jMuiy6Lu6+d2x+W9lX9xUSSm7//j3v2tRA6PlWgZ6IAYf9S1RRs8/fEYuDZ5G
p3q78ifsTTnd4Vwr6o0vKM0t9Y9Rg6oUl7uojzem575TnHXdFcurMQ/BH6TN/+GViF+f6o+eUlc3
PLDxjHKEevG8/slTmlkoRhxvzaqrqwUSu0DMwQWOJWcrusjcuTlbaUmtIMeL/6Q7rD793KFY2R9x
X/g+KxVa+CrWx31F/ohKr4Ajaljhz6Q+2r5LYqbBtqxyUEDzy9Ly3LVnD/O+GlDGcp/OE5b2wq42
eUX7h6NaGmOQtlspOU2t1MI5QQXuRnewT4xuDXyVZMauMbXxQtyvytjuITixp7VK2mp4cCW691IP
E82ASQJYk317nWqHbPG2wo2edRESWOqX5xar1W5olgNbmYXW6NkmRDm1pynTMbNe562m3ToFneNa
n5YbOXsSj4xM1/kyLWfLrNp96rkJGpfR33h6wBrYCUYXdk3vynHf5yGGovwoXFQ0vevlYxi7r362
yINRkiGYuExo+R3HdhzUzHZb3Cz2pumqLy60aXAdlen8xFrroTXLdu07stgD3n/yYoRG3+sdVoyJ
tWO64Shi23tqygi3r1zzKtbO0BpHWZj3yD/W06yHqs6DxpFkuo4znFxoLFSVdDS2SBaBFX8FMZpv
nXjUVT/294RyBOHXzF+HvSpDFQfaceHmMoUS+4W/76shRivTaUf74Fe7+PyAey1ZtQtg+zzfVzAH
Sv+297mt0DE8pIx/8UTABx8/GY6FNDkPdSpc7R/JBFVLIzvKpr8vOwXRcYuC12O9VSWMBxBkxE8G
WyUsomjlm/ibDMAiLHABd3UlkA+dELTUz7arc5/NHukx/rLd8nNIi2o7ou1lHYtKgWxY1Sao0gTx
dKy7LSoXrrlcTA+EXmRenYR3tHv7aShjbR9+2IWwNsIx7k0NM0xrwRr2IouVrFY/u1r86HW6dU1p
CZa5bEuOwKRcBJRByz1VoHOdHZbvWn+TmUxV5FfvoTIlm8FxGZ6TJwGkI5L2jP8rZw8iAjznCW85
6ylCFOly+6ZMFnoOShvsv+kTamWfCd5qsA72tDF1KY8unqPFjD4d1M2wKNxjG+0ATuFNwqTkeNGH
xtN41U8IFO5yB3eMQnOse85yHzcFdzMcTzbOJ5PM9cqdsCJaTvLcM9hOvIT15OYa+LIYN+esecHk
0C5jpDW6BWCioYOJPWTaPtLwyclZ64N4MA9L4nFiJ9E5LuJXhlDAF/wkJu281HAiKh2jqhqnvfpM
NPinncB6zYR2s2uyIE8hQd4ZSU+oZG9FxFeVRwx6/UnlrX0PqikPeHQBOqqz72Qgmjxa2rfM42oN
HnVajypH7KhEsckFjPhNfiVU2pgviNVPad8VIfoY3WLvaO0U3/JQqSoYTb3KLfcqwcw75blevGJl
GCg8aYhFinMpAJ8JE5ao3vXSbRMHrF7oZhTr9CyB40E8+io5vagMtUGYWqhUtZc8cLF9nn0lQSyT
IhK3gamS2NHYXjsO2ezWGo+LSmvX0SuiG1FzleOODCVKqGy3Tsi7dbybhT06v07cUJvY767AzwU1
zMVGa1Xpna5tGumVZ9vIDpVKkutx1ewy/WIzI/F0vZOF9U7ykuRKPbw4Ko3uq1y6pxLqQmXVB2yh
m5hAmEqxu8TZU5Vrt1TCXRQhuK2xf0UyBS1F8DGri8+kIhQnVUKetZPNY/2Qq+y8r1Bn0JOf5jq6
tkXnXc/OQiGok26icOaxbUtGYkxOu9BHIEttMvooPYzAxMbgRW5J6UTkYVHQW5XtHwj5xyrtH9cv
CFENM+1waykegAAMkM0QAkrFCmC2I8FevFL83O5yCifwfKbLRvdHKHmDM234hgur0g6l4hCUAAnC
zv2akSRdHK+KV2DyDyDmy9cJlAHiAWAVRTeIwRx4inegK/JBhjmOuVQ7huAqVpXiI6SAEug0PmcD
u0JfmTNzYAoQKawgjHQTTsKcrousIPMGKSNf8G5XxdpOCx483fCoK06D9YvYALqhMNr8wEnKTizl
go+MCTQX1q8iPgjFfnDlcmV02hl4WxU4km8av5fNsVFs4ZTEyLprnV2VM8HKaHaOiZa+OX1hXEv7
obC9Ycc+mebefHxJm4WP8r8tO3xpveorMsiTTXDmr8yOfZZs2Az5XEZoADN5LEBZ4f+dKFs2UqQl
FxX5mqd8QaQJXVYm+mVe1xrne05GutQoZa4R4dHuPrP56tc/N/b0Pc7jiCLLRile+KIETgEvfc9K
uCuj3RwM5XSrAIFv8DT1qxbCCvbnjIYVd18uKdNZDuQfHkPnXrSfSbTQLJ0QxuTib9uhAb/oEBuV
+viW4/dm0dA/LyJyVk463gubfeiQsP5gp8Cx7kWHuk7qgPV6s+LX/KueoweEcQiA3QOYOokiQ245
qhrctjUrKN8LnKiFmyQTlFu9xK8MlmnK6sdRrYQ5GFn1iI2eQgdvNEz3sh3uGw+t1DphheGTW+Zr
6GPWTEe+V472Q2XBgRQakUtRQ3Xp5FM9b6Q7rkXP06WSHCA6Oy9WcdJe+fUXYEraeML7pGdOGrBn
rlpnYW4uMf1TVRzwuIK+KbF8+jqGYE3nazFJ/FUSJ7NMJ9DCLkwfzb8vwIzAHrOASTSMhlXk4zCN
8iAstINwKyCqA1oYMEt1yoH0qg39kKd0bs+s+Be8o9jmxa0+7N2Yvy/MmO6K0A+W91gFJYEjvQPg
4RaQ1d+VOteTk+lGNArgvgX46L8xgU4E6Hu2RhoebiuIveo96zJQovV5bOU3MzkZoViHAZ21N5qI
6TOfFXrDeBKmfz9qCd+WCJNRMrFoNW7D3l6nVnivSe9rqu+GMrlnAYc82ntwNM0020xVgPUHLU2q
jescPrJTuPhGwYPQfSoXVDbb1j+jLr/vzEdKTJ9SEETUHdxMsnSui+yYJs7OwnezssrHeOxZzPJA
w/NR4znq0/OiWaDGY4CsYF/dOnW23RTbWO9vABpdyEVUfD2pudV0Uqb0ezX91Rw200ZLsp/Yb/VT
l1FvYqbyPBIkQOF1uV1DC9mmU/2UE+Qw3Mgn9F8d/zXN/qPTLObNP8xIf1dyfEooofi7afbXB/1t
mlVMPBzppu4CPyCS98dpllieSX6QWIQHou8PBlAfNgVkCs+iRYzUoeBVqGmIgmPL+w1ZjUmWPeTv
IIx/ZprlYvunedbVGecE2AoYGC6eU17fH6fLCg+mWZRodE5oviBUkPAb/UdfFGfYpAxbYXdbgJhY
pf3OE1j6o3hvFCVrLiK4q7G2uGWhZLPcXyda8oFIiWNGPAxpr9wsTBJap5IU/p2pGft2iX9qerqo
H7u1p0s++U9d4mVB7fEM8hekCr0EVtPIzwo1YyXynyRlNw3fA6hdhzrVvMQjCIy84g06scAtLesN
AeURLzXMhksZslPuYz4sLB2uau6Twd5v5ekUDtoRuebqJx3Dqz7GLzBRfdG7rOhjDLBqGiFm+LWw
OgfSlT24VHGtHAnqt6h3jjosxwVExUI4MgVBg0L4I6wBU6BAW9RgtmlzDCWiEm9tbt+JW8Mm+F8t
MQ4qCd6t78afJbVuSpGjZerLoRznsyxYJQ/sarHpJYTkPc7/Ao4U5is8ifjMEqc4GcBbmaHcR89q
cBBZL9kYcu45uIaGnJt97HzoAu2mToGsYnvZw8FQ0S2JVzYJ34b0bNUdbTLehgj0Y5hS+FWbuBlJ
qtCFi8oG+lbA/2OfjNMDQvVCdivSoldOncvCrbgoE/HcqBCi5UPvEqnHp8F7m6bVA3vw5jQ63VkU
+nuZ3EUsQWlwYVXhVPw8vWjvDSzmB/9SjoNxNWvy0pPZaE08+MOZfppNbWEBNsv61McRgAQ5XaEU
LNuxwCGamJAH4n47+tZuoKz+KFku2yOtNhIJjQ2/vFrckqFKO81NxgZWSsAiMzi6xNMedV7Gnr3J
q+bTIWKZ43OmbiUMsKxKZbafu5KwmU4mwWHrPlXGF7ajcD+Z7U52c7XuRP0SRiXpkkm7KaoyuthA
Iky3dta67dNRzy/GoH+gzukQpWNeYkiaxCm4OYbTRfeGF6PGXQH45Qop5tuLjB+Nd4OvgwOf7JKZ
GVFLzh0Qt3l4wTcWndsYf5U+YsNKyg9sG9pr1rkbKW8sBqJDiQVr5XsR4orEskM7C55I+ciAS08A
CbeNnQP40xPUU7fYGi0rhaTFyBV65rM9dD0QjSy7Drl3uQJXB00UB1OhPKIpN8+UAhontj/NqYOm
HOhL+QSEw94sdBiRwo1QoNWaRaiFS6FWL7FawmRqHTOVsNtw8VWRvQRa3c4bVxteNJumvMZRC4Tu
zpRaCZ9AH1a6S5F4UbDW4X6vVSyDaM3wUR7tMZhM66BXCTRK3X3i11K90VknCdTwnUdLNYIY/HY2
b14UL7tIq/hpcODVUXutifYJVys4B3UoTr+Ox7iXZ29OXxN1dBKK+VnUYdr2VzgfnetlWJe1Z2wn
dey6nL/+cCPVcVyOuMb9pH3JqdHjMEeWWbL0PDfluyYFGDx1sNvlo60O+gFPuOke/Nq3rzPNOhpa
DDXYay6pnqzrSj8nwn9UhSidz01wk2Gep9XCCdDquLdPOBQr84qoJGGPwviwO1bWjFJ8y2wcoT4e
1JBUT01aSlnIK/spJ5WHWFynAI5vDYeQ2cx3h99F/oapgW3ZliTqtOfIzsa15XiYt2Ffef6+KXtq
gbie6fr4UOMtI/XrrUjGgHPU3rEuMt85gwM8ebmV6YjJCjx9k4ob0fjfAus0F+PhvmrcbW+hrFI7
tkpCWmilfW9o9keV3S1e8tpn6fOoGqIma6MX9mXu79O8Oxsp2ouPmKMVhRJ976rUw7oOtoOqW3ID
Iv5suc6qv2ERYO6Hee7IuhhAQKePUEO5cFj0LwpkqRmXkLXRqsySbp0Lqme6nmCBtNmm2efJA7s3
EOmSxoWU50+hLw6UIX8hdLM2YviPv2jZaJ3DqoNSxvLqbPSgsjPJs0ifuf933j4qXGajsAjoOsGz
7anDpqmvSlPsFiv+VJ/IHspzrANpdKZdoQmg3iM8SwdhJwljPJnIwisMLLdJ0d0lrg8vrSlp+ejb
Nys3r1DW9wXhrhUdVzSt+bjcMp8Zg96VbzowKaXN2BFazT6GWATnaDqptFeEWSRE3mzA1OYtS67M
SCjQEvuqKa4qrYGy6vX4z2Iar4YfSy7ZuhAZ9FlzxAMLcUazznOYTphy+59a29tx5wcInQnad/7u
Dvmh86ynTred/2eBra5Mf8qYmDD6qSazIQ5TSqpaSf+wwIZ/N+uismoGaV66SXQwHuKVHQNQtZx9
n/wne2eWXDlybdmp1ASgAuAAHDB79j5u3/CyJ4PkD4xkMNB3jh4zqinU75tYLY9UpjKzJJn0L5m6
iCQjyEtcwM8+e69dsF4S1rsVZfd4Iw9mk1zaUa3rqbkNIr5bMY4/oohOBQ7EBe+JML6aW+8EP58B
VGarBWDjagjmRxWYh98d5/6O5P0PvnaObx7VGB69wX/82iFEQYgsQAJmXtes/bbejFr4+flSO3V8
n9nesVfymvn3qupH+l12QXZXMQHY5EKk3b4lEj95kJzwMj3NjfqY511ocl/m2qyJXesuM2A9EIZO
hGl/QW//w92B+DsvPUYvXnwHaV4Euuzj9y991VLtXeiXXmHrXw+yuR6t7GmkNULaoMCYB81VNMPu
ATGwbrv0KpwZDg3NlAegyiRTLXdmDmVGEEwcxdfYcTFzo74eRpCdZZWtYzztK0ex8yzY9ZdJMK3T
iOotIomIGw2EHxJxyxBARy662yb3WeVidogesEGaK9qtj/+ZVv61acXmKM9b6x+H1W4r1b3nX5H6
+qOr8K+f+JurEE6eXsC5wnUZQAKuqd8ia8wjNBVrpgjzx58mFs/Fey5ZwvFZWAh/P7HwDJeOyWf+
5KH8W/s30mn/3+2ExZ8lpW07IKxd/08buBBCmJUwVpAOwqvX1gnAN9tYaIlCETH6u3EyoGvBLeGY
tK9nGDvSQ1eM7PrdY9o5uD1RCSzpfeMq3A37QTKR9Bl/TCHDl8j0uiOE211Ro/bVsYndyETvSJru
qQ1T75DZsKgiag9MUX/V7cWLH5LZ+5GiYlMKVoptpPplBWgAM3tYXFS9LDsnnL91NUv1xR6tjZNo
61jYNFup0Ict4GbrIenA/o/hd4sgisJb9iJLA6tUhJCWLAXtm7duWz5hkrxXttfso+wae8ld0tE/
Ih7Lyk42YZ08yM7hQD7saqTN42Av7d7N8q+uVWD/ponEvzdFN6GcePa0zldIVRl1ySUwav+h98f5
4Nuhj98hT+5LNmi563b73p7OTYf0HaSkUlD1Wg4HGg4OGRsSRC+se0w7w7aaFCysGYSn5d80zqPl
NOT3sdMRis7v0tm0jgmJDn0IrVvy4NTylRRKHsqiktsecPveNmLyzt9tUF3HOAc/PC4JFPaGLuo+
9NbFVJlb1LEK3WRTN8NnUPF/8iGX+yqYPoqIA30XRqAIyv6R4Nwz9RyUoA5SXLwquBQ68lSb4d1g
y/HaKZNi26fZF2PfwHmvAElLJ4Z0XJwaCWqjOU9Pfma7u0JUn6LntNSq+imbnbtQPKThEuHlbp9d
0aTb0SfT7rbLpbeNLT/qcBsbZb/u2S6MDcEnegU5jJUkP5yeeTPgypUMMAbu8DMZkJdxnMDrtcGH
2fQHlZLxDTMgx2PVfrZte9W3LTdg5TN9TYPcwp0Y15jLi5/tRHXJD2VJU7EZoc9vKFNzD5zfIUwt
QzFfen/OqHR0xoPXRRl2Vjp03Mm6ZBqgY6iOvjxOEryoWD41ZicPCWKIwdvMOo3XFFz9ipFcDEx8
s20f2kav2MrRvMoZt9EOeaqUFil/LGuwf9qXyAX542r4j4m/h+bAtYQKxA6rpLSktfhbNiYi1zlw
50OKWwVLTd9D0yq3I8dP3l8N/sV8uqujylnbiqVA6rlgieygQsKzMxRD/7UZ0xIibwHSxOVwiNeI
waN/HNVmqYx5A1y5P8ViPuQpa1zOM+bg7xOHU4YxyZfY5CKtbNkeqIO8mWOBk6qFSJbW+bMoCLgp
M8RlPHz09uijQaTullpcTm/SeOoSizXjMqdnyQS7yaJu57TUjSwDxSdB3xwclxk1K94CNTYrIyd/
qeaTlPmV63dsL7zy7HTNxevaifd++zo65VuxGAYozk81sBykI/4rcJ1kHbJTP/hqcKFxtA+F3bNe
gJmLkWcorlK7ewYT0h0JsAfrnvqFVeNX7rovxRddEufMY4HVDuw5GNBfK9O5nwSVs2zu3HVTOjHj
EN08aUQG0ntRKVWSSUcewUBUsFz2no7bKfB3+bRyyOKtCGVAxkOYqe34giQOnbsR3yKUDrAtqBuY
sOZnxZE1CP2WjB0af5W7+8Wd6UdJChAYOe4wVCRGer6wRdr3Zd/CZGiyk2gWeY5GBf6uO3HDT67Z
YA3I+LSH5mX91TTewqJguWYFG+2s0ZOrrB0NLFesypeMCSjqU8DsjvtjnBQDX9jsOd/XJ5++aEA3
Aygfyb7IUKncWLg4D1b1JMqd6vPhGKkYmSFPoW3j7S1JW2yCICRxG3fjDoX2YtRDerLz+s12uLwt
ivBkMcWkZd1r6u05FAaoEnMcbyWxTTZneqsPoQNmtesfzXZ655796cLPq4VNeJEDMIjvrDaDK4TC
pyGzvwfhzLzXeM2BFBx8HDyFhWd6p6H095hkv7GFsE42vdBr2gXDVaFh8SBhOhQk+4ucR7JNjGVc
s9vDSUxieDKGbsvtmSqcz6J23iaDVKUqJaHhBlu12UATcJNLrUaC3qO7Sn1xkU7/rCgCEKNExVte
YHTitx3Z9SUSNz2rggJbLopX7KKL6FU4nbJ3ZVTjbByy4rqZfUifvXUs+FHcBNIH1Wk9Tk3VHGdl
P/W9Px27rn+RU46YJ/LlhGkN256Ni8zvYDJWtH3uAGfSVwaNcqV7iVekfsnAyY6piO12VNF7k0+D
A2sa11+Umzv+661mZ9cYBqhpSEYb6p7A6QvxOJlODe3EvgMUPe6zub/vhiJjnVwCeKQhGi64tZ9i
DMXWEjLaAmTjSq8LHOXKPwCroMqVR3TYlCHTf/CU+0TQi5lygpF12dVkw2iyKvmN/SPRZobIkLUn
XrVDHDUboHH4H1wTj6wyQqigAbgVF0PjOM/HoZqe7BhHhAlrZx2Rulln1zaSIjGfDFuN2eC+G717
VmPboaRiY9GNCIH74Vj9Hc8KOB4lMgrRR+2We5p+KpOpdM89M9DCSmeJiS7kQ6cDAggYc++9BSl7
ZZEN60K534v2e9TR0pYpttaWw0VRCx6gjLxfgU0fhuW+JVmWMpl9JxnPTdvoHyY/X+4KbDqehRjJ
t1JRSY6sGo3rtpE8RtEauK2wDfVPZeJ+dvgwVk7DF8so95jNdIaIXtHWu8CdWwA62ioPd56lbsaw
yG8DT942Vfqd/FlChMx/HrAe7agNoek2Ns5xlplr5ZlbeFj2BlfYOrXLT8uO4FK1T3binEyT3vEg
muaNA4lya9f9HXI3yzZI9TtEaHgpJRqwtUT7aPC6S+3hceRw+MPpakoC+gWZu7u3k5tCtW8IC+Ar
bVTGqLQz5rngY4qh7iYiU/tCNT9S9Ft953npJlAICXUHPjLKihefvLrJdY344ZrzXagZQDKyinVI
bIESifxdlPE5tbCPGkF4kBwT10CDEswDoYXxIFs7cdAdnaL2N9zX8U+jNruYBjbNbJ4coHhbXJjt
vo5CnS2pH4vwfRDzOVDLhWbAgAELI5QHHJic+cxDjQhG4McZzivje2D1D/8ZtP7FQQvYIkPHPx+0
/gSPBAiuP+evMxbxLIlJES1EOMJlKvr9jCUhe5Dn4j4sXZyGjD+/ehytvzi4Exi7hF4n6XjWr1sh
klsBGBGPTic+3fSxJf73f/1BJmj/9OvfWw6hjPxpxuIPMvU8x1mDf9ET9UfdoFU0XlLdQq9mJBBY
CLVT8nQVdMOHR2GfoLivCKALe/RIjjGqeePey56OP0nZ32D2l163/6kgZhDo7mNqAcvIvIPexWPe
hMfQz2SyqA6/xU0Tn2cMH01sAZvzx28t7cixLh6kgJAV7wWrzI9ENxPWdI2v3GL8SEwyMhUsK3Do
jC8jRK/h1R3VV4v/YUXg49Oq8DRMzCQL7o1ugK7t0wHSGeqJc46/I/3B3Z+aSVzcp4z4wtipHYFM
Ks+dHGNDHWwT29PHRWS8vvXpImcpXmih3aeTb8A+MroSD4sNfyzlcW9X3Bx9h6a8PE1O5GLiHfsK
KhEo36uGvLg4i7mxlzLZwQdgrOkEM5ZJU1yHebKsOKKT5joaolXbzDPErqn2hRXwaF8EnTm0Pzq4
JZ0owGnHAoJHSkaUvvrRsRe4Son4erbumhRMkKK+IfrlP/YWxTbLkmxjRMcNj1DonJRFMjxk0zbh
fgIpY+5WoyDhEmfxYawDqpXBHOzYz+/rtBaHKmJeApjXbEp4XHDhmHiUycQQ1+ckpLKTTbhctTFZ
7yC8xDJVjwPtlRBG93nA0d/rflQjvYmKCtuziVKGPYY6mv0YwCSVwnsyNdmWuEO7iprpOOOkoYYL
95Pm4HLMQp+HjBuPAco1nKaWkaYCnguJj5vlT54uYN1JE3bJ7sxrhjp27SZHWBcKAYmfx1GTeYVm
9KbAentN7cXa5mwNQL6GJvpGNmxfW1N+CSjB+53K6Tn0lhuh68h7V8VH2ZDEjbrpXY2MupVmB9tA
hPF/EVLJ5fWs+cId9bZTT0Ju4QheaQbxAozYktmHA5w4DerrmAsEDZnABd5hrF1h/ehqpnGsqv3s
Nc+caNuj4CyJ+/aNXJEkCqN2DK33bQ0hWRdtHCtNTV7AJ5NU2BQceqlUgnRWVHhAogDasq0bKXtl
9ofAEs+LZjITKEcuNaOKcIBd3NSGQwlGqK2p1KOZfgks3fZuh9DgEzXzmZh8DgRuTrdKE6FjAzZ0
kNxVhs9fzdCy9sFHw2pOqWmEKD220mG+Yvs5F+n3ONAtnSBGFGxMcIDZoQVN3WlGtaVp1T7Y6sWp
3etIQLJONNM61XTrTnOuHU28hi+dnt0GCjarHLmmjmVXts57ME3HMMuv/Kh8TIr4wdvlcBdUOO8s
M33W/2TwaVDkf63nxfC/TYaxd9r4gbDhOR+dA9VT16Z1qz8gt4D6O/3TUi7XReyddI96IctzFij6
0U9MxcfE5bdqfCNsaPFjX838xzLyKxYZp4HDYmT4p1kup8VEH6ncU1rWj0GRv6EO7IEDXkcpzVtp
zTsxOmVVc/bH/Fl65V23JEeOvvSo1Huj5BQol63Ms60b+ae4Qng3xDlpshfKIc/wcOt5lw3WQwUg
rcjFuYuTB68pLp1BDxkuYEd2mFj9RzytR8vvvwGhu+mDibvlM1jBK3Mors1K3ETSuMvt5dLxYi25
tU9AohMph0VyVsGwE+op9XCDlulzZrNMDs29lN8ko/Ho4ris0ZnwPn3RxfdA3t4p1CPE+rsukM89
VZ5ALu+Hvj3Eo3VKqYXJPoVhfwZjux6LnBSKDI7K8z+jRL549fIUtM2e5f+W4oXNku2zpLnTX0fv
QMzDTLWsUggRptPtSjkMVLW1B5pmLlUCb0Xc+2V5JY2R7oPxSfAcyK362oj614HJ0F30mlwDqlzO
fIN7oO8Dsk5z56n5Cj8nsb4Gy3Z/15f9gdlxV8fTE4+Ko4jFlc2wbwF9RZG688kgDl11y8x1PzoI
aeZmiLxL2IaP7UhxVwCWX07rqHQZ6GyQF2ksWG7lzG9htnJc9yH0yxvZNC+ekWBHGlZD7d9yinsz
eqzIUxRU51Zl71W4PAjdEuuLD+zij5Zuj6Vy+s4b5XIpND99Uv4LwAGeUdKw9qOgOCSliFbpRlqy
0wwTlESEuq3WcDaWtdR3KS0LyuV21FJs2+mGW+rmHS7X/GTr9lu8FyE9qvxUdTOu5wJbbxVb9lz3
5hoDrmsjUmsDnY5e1zTezW6HmkHfbqabdx3dwTvVWb3OzeTQ637e/5wm/8XTJCo2x69/fJp8eC+7
d/U//6f4k2r/y+f97URJxgUcOe03P4Hjv0VmTFR3iuA9iwOlyXnyt+OkCP7C8RNMuXB5Ivw8M/56
nMRkJIVlBZLueJR2IL//znESvPmfjpNsJoTgsRkwqnrg6/60hvJ4CMteVuy7Mn31tDiH2hBg6SC+
oQ+tuDdC8/eakbeuQUv3YFOa17nzHoXidfDGV5K+cPK7TZ3l061LkNfTaTqnD48M9xxCXDzjbdyv
O7qitxJkIq0xHUck17nyqYTmAISl14UtR2iSjGE6LMepp8HGtrJLGZcssEwX3S4lnBw4b33Qi9PA
fcz15i8121d1Oqpt6PoJcUVcLkLez1n5MFsjgdvY+VaPPE4XbLqrekqeh8FsT7j7vFURoQcV+D5R
EQeyzO1CqDF/KmDarNPKqTYL1IMQ540tw2JfaYvz2rZdUEDVclOPmKcy2JC8E/u1nO3i1hH9PTgq
4wGI/D6Q6XUcVceyistnVnVId7N7kDZDfxZln40F/TKMPBK73HMlZ/nNgFC4IWPqnt5CDnTspttT
nyxUcZriWJTwtILynm5r1AtGylVi8KzpwjC6hDGt9gOO/rQTxSmP4F/b1XDoooAeDcKuTRGOByMd
kt1AzqdAkd+5bh+dlsG75niW6M4aiXlXmPGNKuHYyKQSoHTNG+pTC8IVjL9QrwAGEYxns0OFEimI
q0oOJzNS2aXxsx8z1UedMA8Ehcb3huiHo6wLHRFgRElTeP2b64mQsla82G6XQmqxpoNnqnHv9Ky6
0xtSNrM/k0vC4HRyo7he+zWhEEBfQOf6l9rkUexkmItb1szEV6x3WmDXsGW818K377miOJhcsUy5
9wputCXk6wZi6rrT/tYigCJWNOaPsUowQC0N6bABLaplk7aBNEXmJ05uKixFa/YS58AIGWKsZ7ta
HhDk39sYn7kdn8fW58Y+lfkmbezoumqcE+/q+l5BAAGIs5xkjTMMXCqAXfVg8t0dG8yhG3Mi/gii
dO3VXObVgBNsDOLvYV3d2v5wUbKSIGVmulPxjdNn/o466xMOGfmtmTOrr8XLXsuYmeLC18Im1++1
r6VO7ObupsAYXNjqTTpFeirhf3GIGHdc7BDmsrLb2Fo+TdFRYy2o0tEzHJ0SKMSTrQVX4JESRurP
8j2NgA1yWB2DjURr52o/oNpy5/oxOnwTg0bzuNAhEJdsgzgxcm+UVREoIovDNiCM2lBfM8SozTwQ
LioirDmjfYogBuqCK3kOrDk7LX53BFFwj8mlJ+CB8IzGtTJVPx+5IfZbVKC9YUIODrVgzd1mTV/J
8swV4a2iFB5djL5daaF70JK3z5iXEJWKJNowvDpkcZuz/MSLTwaYa1fBeho6dvpu9Ro1KV1ysIca
M06uZi25z1p8d4R3n8n21V+ids8YQH1x656LCFzzwm2i0yJ+ruV8hfJ/LIFphYbDwUaL/rgyefOx
Bwj0QoC+5J5KEpYEFtuCVq8NuuWz1GsEjGVvTO2vNDVMW6K2l7arz55ePQACvrL1LsJIrxGwtNT4
Ni7OcsBifyg7gv9UrQabNu93oJGGTTDL9FwzsW/4654bvQBx9Sqk00sRm+1Iw8HJ1uuShL2JpRco
k16lKHYqpV6uQEdmzfJz4cLmZWED47KJiZtgl6cmZsK6P5Vc0xsoH9cO2NoZfK1V4rzhOoAsOvUU
8bTjvaNpt4vkIZFoAq4NCnfUTFwEsIOp93thCLnDAZwbaoJuoVm6U80xaASvW49wdovplIPd7TWn
ZNAk3hIkbweatwXRK62JNwJvV97dO1q1Sj5SaaZv319gFi5E3dvvCSadiJuFz/N3m8VYDsECp51/
PSv/5E3dkwE22P7JD15OVQ9PGMBzsfU0Yzjh7tzHxtE2zMtI1sFPArIeYIlTs7+34KpEVSepM3qW
7SrXFOPGxJLR2NS6Np+xOzTbZlRUyDnNtUdboTa8YFCFimyzRtubRopdBnwgk/mN1AxlR9OUE6YG
eFXl3ilZ4LVAePa2ySaEBjE4zG374GXxdxMA6Qp5MgE5uBwJQ4pTmEyHJmC5UExefkUK7zEO+k3j
Pxea/IwYXmsSNIC6ek2zt7w1XZQezYtugQaAj+bvNDkl2tyI5x5Az7J1HVjT0A/A8DkF1ayaRB1o
JnUFnLrXlOoozWnTAlw9YXXL/HZYM09na+pboWjheyLLbW4zwNcBAOwJEDaFnvlOLzNHgcrPLTve
BGCzcQ7flRUJrkYTtVF21vb4ygLzGMKpPzmM3joR5wFfRSLycvR+8nKFTs6xx7olAHBtCpPhiUxT
RciuJNhmtKTuXOJ3IzE8FJ/NqHN5hMwecps1zBB1t4F1auqgvFYOlP66C78XfkOghyX3LlU7v27E
BVjJI37Kb63Du25oldhjduyOaH8Prs4NGh+jThG6xAmlf7J0upCdlc4aTj9XLSP5wy4EP00u6pRA
4FlnQnPvxg/KQKudU+SfNTHGNk+eRn++xcBz7dNMWpg52z9CKlOLX4FFCaz3PPyxsNLlmOSTkfSI
yrOneKtJGmFE4pnak6tsdMAyxi42SOuHKUBtNjxR1jBbDxTC0rumA5oeqntvlTCN5J1jbVIRZIey
OTc62NnoiCewt++hDn36Ov7pQzVbtToSCqqFxUFNJJi0KGS3YFPrAGk39g/Lz0gp2dJWh0wr1/qY
RVnTNKcfAayPa98ZL6DYce8Gu5pR8xlzxkMHxJ+bsLMJybPW5FpjHXA1ddQV0wI5TB1/lTFB2Eon
Yl2isWJM6Ju2wIbiMH7e9jZMHs/Kv5tWRahWx2srHbSNivtiIng7MZ/WYdMdAzK5S0s4l9JwHlA+
qHQ8toPkaDHpKG8S4cOGcyIUId9Mx31VHCvYk4gNs6jSTa9jwdGgA8I5D8LYXoy7YLnk48JJuFRX
uBDZb804JRc54d6I2csk07c2seeTN4bPbSu50wfHdKJaudKBZRJZu6Uq/JfI+5EbxbrLAaVGTugc
Z5zdOvXs6vzzoJPQiyvxFAi+RyPWzl4svkp7fUtt4k7pALmKaDi47i2suL52B3vaJoxdWGjLhtAO
YmqNvjVW1pJj5jtXEYCIhJ/sWIltb4z2NvZGjtnYzLU3OWLDwquEX7nQzmVbe5jb7jbF0pxrb3Nc
fmSDjyhiknyySt+4RDnNB9oR3boz3oKa9dMS9CMOAL1H+ZEP7tdikj7Tvups6F4K7bSGTldwkbw2
2oNtCNzYvfnRY85etEvbkvi1hW730w7uDit3oD3dQH1fWu3yHrF7D9r3PWIAdzCCezP3yUl7wydM
4qV2i2c2JhzZ9N9S6n53ixm+oF3Qpz0HT3aL6SUpFUtt7UAH3HQ1Y0n3saa32qMO5IQiNywBMvMF
CApK5jAyz7QMVBkCiyRavhPucLYXj6Z4bPCV9sPPmFFdDPIsgk+FTTqoveGHjH9+kjdmqZ7izIoO
OhHbwU+qvLA8LPZdY07vkdFcIxY2V4bP1d2CksRNLHVwGWlUpIeQKMg3ge8cMtsNhFKO1OOMoFG9
wIY65RlVDWaXRWsTKP7KKbqK9lDuKNyTKGBAKk+KbAPP9Koh7Vm4e2IlN0Mbq53TcW5Si4UsM24p
UxG/OEj/999ZUHxW9aySKO5+2Vf89sv/fqwK/v1f+nP+9pt6xfG3X12ST8V96kf3Tz9q/1Vdvxdf
7Z8/6A9/Mn/7X786nfn5wy+2P8f6u57J7/6Ls2z362JFf+S/+g//17/Ym2uzz8FJ90/Ega/uf/7v
x3v+J23gl0/7LYNk2UzdxJKIhRABDMA2/CYPILJTf8uqxzV1Culv2yY0ABJGVOfSb8au3JUM9b9m
kORfcPTxj7AB+hqp8W/JA/7fcanqBBR+Pr4OnLZSu1h/ZxD2x6BKMYlz18+cfp8KgONtQrZiEhc0
Ziq6JcToIrNuxikerxvcpd6AtuUUQ3EyS/MhbHt75bvTM8F5ez0v8b4qp2BTjjrATFiUqSE+1YZ3
5/MY3CUaaW2XZX1iFVufAEQZKzk4wcYazee2qV7LcI7OKrkFxUmgMF3Sk6je8iBsML/QiFlNjB8i
ZG4YqX/xiSRqoJSZL4eRlRY9Q7xvSu5qBMO9D8ufgz3PaESKar6v6uVdpu7VAnR9xd/Sk+k01lkc
oDSGWOOPdEqZ+8rx9xHE3rEA7xybrXGaDLqPyiY9upEbbWQGPE1Rg8uPerxkY+Ie6Ye5zeBPQOPl
Ye45RcS50bTPWcx3b8eHIkvDLUSwmOmsf2Eshdg2m+eGJTVn8vw5amW/tfwULaIqQGNQAe8nZ9cf
yB6IfNa577nq820fEEQYOSVTU6u+sWF641gT4SGggIcnJr4oGFwCLAgx4WANlw3fSpffeXYKMEr7
9uf02qrxqYhF3jRlfCds4qvArXZB7GyGdF/EhbU31fJaz1C8mXsurRXctosLsp5WD5RiqnYLhTXT
dTgiLlZ4JA4TrqDSeQQhUSPikPRoTxGwssgwkKRm+GhvenHnpED2KpPEfle0H9FQUA4l5mtDiv4w
OcbFSOb8wDL0qVrEleEasJvY0MMHCDgmcRLFizEe3Sy4dqbqKV9GdcpJf64rpc4mMxMzrWmvCj+t
j5OhmE1nU5ELJw6BePNMa9X9mLKyANFVBH32bpEbWAUKg0ulg6+jAZoulsvnPE3pfp6ocp97sHMt
4kkQJ3epGr8W95TPBffhHF07zYdzb8TlTS+RMOb+o+5fgnqeD3WQ5ieiVjt3tvdWke0D8kcH9OJm
o2uyaHvuKiNbp87EOFYpa2s5gMTCNGHB5QFsidp559NaHdVA7rAfuDddYMWbxoo5Ulec2H1zUbdR
QJ+N1bQvitqGJxaVD+U8kdan26phDBkawbELMlU0dtWRxVO0LpwaA32Cf9z102fKZrWWTHxmumsV
gK++C60D4juvcnrsJn7Usb8kaNvTUU3LtMnqJYFlx8MnQFBLldgOIUc/Z/xKesc/NK2ldq2VnhVw
LZfm94Ix6Gj7kXc71+G+NguXQI7/RiQk3Ld5HpwzNnqdI1I+VNz4i2fufYErv3+tCsQvb4j2YeyZ
j20efBd9N4O0wEonx+4SFYO/ifluNrXPCaJrIFWbdDsbonO3dt5FZE/EOiu6+Rhl021W9zeeJZoH
5QIEaIP8La4fTbLbt0NkrmPMVlekfEg7OnBwRDGdU6QERv4fBEjWZWRde2WTnDPh5NtWBcfENtdd
EzwJMcmjryJ6sAZxQNsgVRm0Pzy+pjPcitU8hSHswP7e19LhgoZoWjHsSi0r5lpgFCiNYckmiaRR
Dj7IQIgkbpJpYTLsRxuwV/kUkJZPHEJQPWzGVVihFlmV5a1ST7WnoIwgOCfk2A17wn5mfVu0JNpE
+UOMRjqglRpaNG20fNqio+Id+KLfGLcWAivAw7ccxZU1H/vCgLu/pP76EnhUWkXzsYgT6zXwWOs0
sgauqeknzTw4V2btddriuY+Zqbf1L7Ivm2UtBLsowsnABOahETdaLGaJzFyAHICKTJjklSIhZGUx
WDscGrpeKQW/81N+nnH8pNa3QQvTnZaoHTc6cJpiV69PNfp443LOGfWBx+PkEwfT7dBwEMNsuzHT
6TNI3JMr+Eniq4/wOYzfAAOK3WLwZ/V2v1/kwBTnDq9+KV5cDDo1YVs/zYZt7lR3qbWwOrXjiJX4
jvoQfw1Vpt10GUJcaN3IpdWnabJgAiSBA+1l30HZ76xRHODown3GiCzcmnHNdH6gpb+GHhbKxXZP
ikU9yyeKiKNMOesUGgPbq5Yf8iA2JI24jmf7hh1lgDaAjctJyw++Ngh6srmKMvxkodfe6yayRVas
7vPqoyjpGCgBH6FS04wYBBsACil5JsfcTdrzK1lbD/i627YYcZKqYhcHjtJz/sq36FM3fdyOPrA5
AvHBxvTig+cTTOkn/2NZcAiTQKOeQRwXE6N1jxiaqTffL/dmPLUIYP0rVRlUTEcJ9FviuHG3KARI
0oiqmMVmpkN97WS4Alhy1Cvhx/UuqzRpBYh7/DabvdhWHZmArON4LEsPZTPRvFC43OwPm4lYJOcG
k9U+nkTyBi32rLnb+vgBTiHuX+rjGpBRZKGjUER7u4ufMgN6Ja/Pk1X5wzXkxyEesn0XgMitxwLm
Hs+adegn3tkKvAvFCPW6NtJ4VWJ3WI3DZGAtrdQxLNo1rj7u6EV8noiUbd2y3FXAl/ih47VF6FcH
jQV3B26D5lL1jBIpwVLRnFUn/BUlCHQutHL+KK9M0KzbNL53Qwg9Tsi3l9idoMcrulciJ09MZwkA
/H4jDcbTsWW07ZuMB0KJQRGgK6jdhGA4552VGtK3ZZTZdqYwEauE+miW9LXJrFvRG0ytSGPcrGgp
AU6MJdlvb5XTWqtZSYC3mFEWSr83UkYfbk+obqr7bFdS1RMVyxqQ9T6NaeYjG/HVwE/LO6/dN127
MJ6gHbo2T8RE0DWecXCwm2WzTKwfWo8QAQUY6zkz4I/MJBSIpRw8uKGbeITTPgyghzqDiyDPsZY7
3WdhZe9igsmQZaB5y9D70SYTtW/LBHIBuZQ8Z9pCX56pdsHQYeb8eOaCbq9EGusyNIbTWGaCAT96
cbvgxUkpG/RKEjd9wsM1TK6Ya9ciKOXOGWxrE1rHdrCSnc+bYRngGKetBTzUfU/nVrdmk8CWuoyh
ZsrdTDRQ74rqmNbDAYmr2GKzIDw7OQ9FHKKr6n1Clnv5GlAIDR0cOEcbU0G36w3KgLIU/QoP7DbR
ue5oNi/RYPmrUA4Jb81qOw+YMHv9ikEDpnAusQ8D+/RVOxHFRDhN18kisReztuEqT0lvA8BEqOvW
I7Um2wEKCMgd7A9W737YHAA2pChWk9ejgnDMnOvO5rKxuT0WNeXeSUXhiHYxW2j3jPVkkgEKJT1t
9iyqIsUDNJ2NYOsUwTtawpvgBxuRz14lov9oG/E9oywIvaqEu6GFe2mh2fP9VCxHoEHTk2243FF8
HDS0KTaoXFULC7rkUXlQmXfiXvZuxwZ2SDoeCBTcDUKREaBflK5Qg9rTNuTZj2UCSOhRhP6GIHmz
5a4YrSYYVsRkODr7uk185FJkp0bGg5HYCoDzk81oDukwbrC3pZsk8GjzsWYorIragq6eoPOxTSSE
jIerqE5jNkZbQiaXybavuIuDENaboQjxJJoclLnapb5z4VbiRsu5CGe18lw1njjufGRux3ncEHtA
esildTpvk57EbFD35dnqBu7643TwuXFtixZdnnCGeRxccn1dnV65Mr61zdE9egFW+DoenV1Dm4Ul
l+/JnKjTIt0IPNT4ERb9cKX+H3tnslw3kmXbX0l7c8jg6DF4Nbh9w54USWkCoyTS0ff917/lIkMp
URFhipLZK1pZMmfJEEngAu7Hz9l7bZYZeyg3cRP3V2Zgn3deHZyTO7XVFLCJPM3iUPeju9VJWcDG
Afwq8rqbMiiO8Gxxs4xFCDuvz2i05f46TcCNRfUnbxIQPiuNVQ0RLCeQM8+2CYjogHOaDrlIznzZ
mFZLnV2nG1eLtoxDCCBwPw5Tw1SL6n8R++5mNlrGG0K/lAgqD+Fkb9ie3SXiewwjUXWwZgPJMyMz
3rTisnIGmi9dgB46Qh81zo22B2d1mtKT2ndlYHD+c/dQImpgPRVqE938qBmMiWLqqX5izRDTVJ/7
TUhSELYSW++4wnSXirE/5KRiLdykWdNYJ1HQLcnqkY9ez67ODA1DgUrp0P0CfXczLP8jk/hFmYTu
KNnAX3dCbqOH/OFfX4p/vWS4v+qIPP/zbx0RyKKmpwt0aviRPRWO/s3jqPSzOi4FQq9slazwTTBh
Ge+YRCJHA0L6Wn8r3uHKcFyC1v1/TmURSl77PWfTcQjQcvl5rkW0PBHzPzZEGpJHUlz66oQ1LTko
njB58/1yPcDBp4G5yQGXUUnCX2Ksffzurv2J5dkSykD56rfbtukYKI25Q0CNfvztLoG3g1agrRWt
CHC0IxRV8HV8Qi30wmLtxdWjiEmV6RLepKr6PDQg8mE8rqvaudeQHK2NCR+/1vglrw7gNHtbp/P1
mIPkDrpT2eKWSsziix2xUEYWEnheevSGuXObazZxNmW+lnp7Mw7Nk1cDgvDbVgFqKnIwHQx1mBtP
RMCMQo2wTVvbFPDiV5g96NWSZNZNcuA8mT3NTKfXIqKLEykHzSjiDa0uwHBhhRRlAqVg0G+q2Q7W
duDcW03nH/I8dFfIF5dDEB0trx4vwpFgQo8ecumNlKaWtnHZ65eFY33hJt6X8DAXcX+atdSsrgQM
7o7Yw4YPlpiUtWkASlbDZ0gNst66J58xTarjZqABgai1q0+cuHoqOEcdBfLACfnxZeZthnY295FZ
XgZt6R6awdlPPq2clkHVTvrDqlQpbHIoR6ST3X4Yq+TUC4KzynQ+Zjabvk9RIMpWoNI1rga98Q9y
ysi/LjLUhyXcquAqUp3+mswJV2h3bgDAsGietDhgwETk9aLpY7mTVvMZVlywlw3LJOB/Ka5Nau3I
qcW+TuMNUa3semkK+3tMdsIAbl8Y5F7Lan5EYUpag+XvMD+W62Sw6n0slC4GWxX8nvEhCvt9VegQ
sFF2O6Y8T7EYdlOrnURWcpcS0931qbzWrZErpC0QWTZrrV59GBCO7Ntrs7aq03A1Rj4THEvrt95g
lFvAGWehEMzmDJViJh8Zj/pxv05YxKGdRN4+Ff1jxmTDSLKTzuDUjxiA3L/Ua7Y+gX5txnhLrx/E
HPGLCTvCsXaYMu+8TsND5MjrhPTq3oOMwiOJLa5NCSirhbZi8LP2cr/YzYRQ4dWCHtFHR6P2zH01
2h80vQY5N87uTrUkZtl9agMU665M0A0LbUnD/qQuOn9LX/+p1WbcxXrAcK17EALtVBbFkPnDi2H2
6Vr2BCXRNuX8IEmldVsGfZgHtnrkMVCy5w1F1z0oQJxT8ensE10dzvsko+wNylOgVLdZ4bs7v7CP
Bnkki6F2H+B4YuPyyQ4QaYGChvPGwZ9BOAJuBa+AbEEC+DM8uggy/loD8D4RW7YpAt09r9kmQVph
V9bWpR7N14HfXZTojOgxZlepuIxhhV640b52Zx1BUhYt3FrmZ7JkjtE8Jo2NLqMezl3OZgBqmKaN
R+7ptvcaiCQzr7bfGru73u85y01dAxyueF/m5YaRkxgJ8+VVtAZlCA/DTzZMIj0Oz30wPBVlRTWf
uqqy1fpVLbsNLa6zyTPPOz0+M6bwBJvAtqxaPIN7PGT48qLL2XHppYbnRvpxTM3bsptPrfGprMc9
7/hF1edbxy52XYEL2lIgf8GMHnRd16INJcCCO7wdu2odTPmd5opbWlj3tYVwJ63XUtAy7rSzTu/O
wti8IT/nwsDPsAB7yJRuOjWjERaPRUA3E3yvRVrEsSLyjB0twbMsHvaBoFIkbZUwtAsYyGedElVM
x6yM9iX9PZcRZl2N57kMrlw9ItWY48BqHpKLzIrBD0dnnpMdZ9u/KpHXki1yUusFyhhARnaFmqjl
/CTvTdDtRmVcVChMFp0wF7Umr0vHOci43gXxvAGoeSikftKO8UfdF0dPiPO8js8apziCO1tCCNar
U5FaOyNPjpOZnOhFviX0/KJ185XMWcO5cpfeQlGPGxYLbNwYxIr36u563V1imIfanpHjQhDM5pPG
GyH55ebHcNIvKpPeqvZB3QGt9Pfq4gw00EM6XSyx1x/VlWZVckIW7DGajY/pbO4Crrp2zlxmrxMa
BUrgEFG3WzUXnu3+p1D71ZGVbliUU39XqKUP/7p6/Glm9fzvvulZhWM5AoKmQcGldKPfVWgCAxTf
sqhOXlVo4h2ME9sHUG4LE3A6pc3LzMoi9kooqxVUPf4bF9reH4O7l6Lo7xxStqoQfyySEMgqm5ZJ
/cTL+HWm9d3MquC3u0FhYp3uxHnkgeIB3srZ2dKX9Cuv05ke0uQcoalOWxDm6Lqi9x6ujnxiYZsD
TZ5pIb3FFozqwm20YtXaLM5EDo+mJDhvypaaTYK6V37q8vBuQH/BbHo6R/JNmzaGo+vZyNNSasNQ
VSzlTP+S2F6sIZjq86YFMjBSvQ3GTTxEd5VnW+u+6rc4Tj/GNZ1l6aT3U9S6m9AwPofm4CC5ST4g
7NgZdnE75x86yojTqSfFt5SjvXFYUTZlmdxUyED2sUZuDxK+hKOhMUUbLSJcPRpFuzrNQGAEkEi2
RjKflio0MEGVuu8EKKOITXemr7xBCnqdo+zbWEnkbiZrZnkJV82YvDc7JUAde6SHRjMucy/Zur22
cmhlkKNixJvIXzklMPe6qetlQbMCUc1w4wRrmlwEXVhFs2cD3NMVup0muXUjaW8r5nqpv6mICcqt
EgyubW5YlpNFbBj3hXRxNPv+o2jC+TjqLoIViczAE+U6AFCDUS3fBV2AiNWBDyZraPBUVxbm0qGa
QL0Fm1niMA80HoawXVYuYEC9ZIzGFcCBctLPZtqtOtldmao7MzEeWvXDRTS5N1VUOHupiZGRvKT/
zNwFOBLasalq1iZiTgOds9bChrJpKhn2lVfbzSF3wpOxsZNtIOD/CpQmvcURP7SCbnlvN6FxBDqy
wh+CZcWrzqrCvOmpnb1eBKuu8bfF3N0bk/kJ3z29h0ycZQKkW1vqW6cLIKRPWKU609mGYRxtEtvG
BtyDs6iymyxG/ZgjCdzS00U+S4Ivrv8G/YRd9Be9WYF70Mq19Ft2LFp+C9fL0Qz01rr1+rURxZ/m
ML505gA4a2830BF5iitZE0wcyQuAQuuwcC4S5DIrrNBfsl7fGeBEmsDBi8/Z2pGYRsSWZ6zbTGVG
Pi+jR8zNwQUsBoArJIy0Vr/3h2DvM/VrU3fTTPNprfVfwtmL90HtYyRsHtOylgfCR07tei7OMivr
CMgNNrmwVjTRaSkkFk+7UM+KCM/yztlSJiqdW+guB0H9lQvjNq8lvWa3PRpZUqwLGd2WtSnXXRjf
SNdslqXwDBx3gDT0sG7XNG3NApCY2U4bpzceQW9phyGYtwNxt5MFuEBjfLDovZJuJN0RHHB2newK
b6KbAmtBEzHha8j/aTXxj4qHaEDfzd8FmmAUgKMzf+HH8K9t58FEss1UVg1/KU6zShqXksFLW0/V
jqoX1hMVeRYT7jUOxnvLqe+KEX6OIKtpm5XxlcxsGjSa8ZjrTCpGCwCgMRsufv+cnE5GBii23sPI
BcnWO+eI8LZ+TyQMqJqdlJvA5NhST8c6qXzyfzOVoutB4XA+bKOmuKcm/0SlSFNQSy9C2plIlchF
zQLjUg/bJ5hw8XKK5X3Q+msSwC9EWw0HMN1MuIY+2KGZVUyUL4l4qlxJuSVB85nGLUqFYEFSBOV8
P6Sb2F0MdO3Xlj7Rgq8i0H9tdgmCfTv6UbCzIJqSaDRO3t4mAlvvTcgSI02kfq4/piPFPSoy65Qe
XYFLLiOZVaBNHhugaaH1Ps8qm0akG+5Kil41EUYdJYCXmCQoLJJD1RJZXlxYc7kzNT4kG9F+NJKi
FqVqZvKxrUvcqVWwnnzoZZHnXAdtccIAv4CuIu8Sn9+lhcmtO8TKGFpeMLPo1hoEhYU7VufaxIJJ
ZAXyya/d91oAdC/GYyZI+9ITq1nGVUxgfEWemtc9xIOuH82q36fk3AfRsGraNt3XM5pFV9kDKmcd
TvK9hvzcn/GPWxWBZUGNTK3esnQxHq9cznVkM1wd7NJR47WYZqiOu75Ii5UGeF4v0uvIyW5do6f1
TF9zYCLaxtFJH9VIbhl/lbH1NFX6l9Yqnuwc+3/vAnMA54ps4EQLjS+zoylmk0CAmQyPSNm3UKlh
PjMuYvjMlBGvWTvf5zVUMXNqz6trrTeD81Fa+1kAUrBaoNdeObwP+hmVKF4uBxqjTAN7VfXa+dhY
F2VeMVLTMD2hD7B4vYjTig923ufrvOME5qconYgjR4ORsQo0se6zF2mqs0wGceCyehgk62I83LSm
zLd57ECF5QHGz0q/H00XIj+tXZKhmplO9sHykk96Ko3zktTexcw4EE9wiHuEAHuirBNnF8Uu/lzk
WFkW7zwylJkQx9UmbLLzaaiWJg/iskTEi4ca5beo4mUBhuUMkfGpRXWb6yCP6CZ4zZwt58Bn8N1z
RA7dcNOPztVYwzTiYM2p00g2CL5oPMcDH19+zGCBrLskXEeF/xi1+UUUZDqZuue6Sc9pxFtNQYDs
dS6apZn1D1rZXqalOFoBeU9jX+y72JmPg72OY0Mijcf+C3n8tMYPLMcQ3gt4kIXX5kdHG/DIzhrw
RqKwQEZhKFbW4kKZjPEjb2dlO+6VAbmhk73r8STTL+FQq2zKvASI4ZR1ubKQvkplZ9aVsTlDnQ+6
1r2JtTMNbu7GViZooMlYHbT5JLIfg5FPPlaG6aKwHEyJPOjE2K/ASKyzwIxoYm9jZbf+T4v2V1u0
uvhbsdpt1Dx2r/uyX//Nt6ofWiF1va6qZ7S8KjH2W19WdWMxs1GpWj6bPnK0f3MRDF2p2Ph0Xcem
cfnvql9/h47BIfvJNuAf6o75T6p+IDw/Vf0KycAvsQ0ADtZrLoIXBi7DY9hyU574GyT/C9kjWR9d
vVl0EXNOWTMxbaxBYCSyD5UPc3RCMWUvxHlm0uPsPYOJnX5WaCXZLeGdX4UnHgthktNJLec70NYe
T3B/yLz5c+uHj7rVkVnekVwwhB/HExuyleUfjCAm2Bk2jDbGaOvLBg8SE/dIiM8W8QBmU9LzhAmK
iTqN1j3iWhJXsDlIezjV5/MBSUIzJe6idWQJz/jerViG8MviZYJHXUWjc6l0soNNzRD2iFO8tLqR
4BxYcfC4V7xKbKR5uDadYlibmq8dutJkKr/ImwkGjgMQOPdjeG6lb6zBnSxILKXD67PLylL7aLSD
vh8TxECslH4hiJwrtoHTX7vIVEWicq7oDQWkpqxylV8naL5TUxOCMDfWldFz7CBAMlCF1SK2RbbO
EA0uc5WKhxfrch7uhCO7owU6Gg3jjYmfjHa0V61cL3xqijvP6Fk+el1fFY441BBiMwtslWTW1qp8
vqIOr/rSRI09Kx4cbSyPML9SpfpVKcawyQCTV/cNUpJyq6sMQJ0wQGu23IMTaT3ILD70mDy7oGJ/
tQuoBE2bwHWWKG6YWXYaXUBdZQ76o7HuhT4pKNG0SVP3ou/yC+dJ2tFeYvEwVHphMPIBqzxDfgjQ
fxVxqLIOSzRdrRtfNBYpiFE252sC9T7K0b21UHVuJpWZiIyO7AdiFDOVpygFNBydiEUPGyRteGMT
M26LjOLAgWaA2NYnIdZwFMte5vtw7FhP9Zwi36hz49bR2PjGLDzvKpxDZIgaBI7x3CefY5UEORAJ
mRMN6SGLWen5rbaXxEbaKj/SV0GSKlHSUdmS6Hj2IWGT7tfUSWA72EGQtXs2piqjZm7mtf1OzuvK
DDZ0cytg3T4zWr/cWpEJkMonkBkdna8yLyfCL2k/C4LIEpq1iJgsDXaHBYKikDEvwEiaUUWM5qzy
NAtTPyPItNsKjtwIA5AfhA6HQbRmW3BUGBRUNqcvCRUsJ7c+MeYKCek8RDRnu2OmUj0RVxIhbOP7
GlTmp5nwjgBSWmQqD9TxodilKiM0FKSFluGF7obpRhAjyuuG6HJsT3HwgsdurmsCR32OgmZsM1WW
HMvaQFHrEZMWgXsDKTG8qoykP7Hn8SH29Q9l2oirBHnsgo/qwXCSCw5Oh1lwXjC3neaztXUNhjfo
xMuAruS28keit2oSxLphN3P2WYkEJuY0XBKzdJTA9tZxkyDpsa1EvaSnuOvig8XZnPcq30jF+c8k
ij/REb1SUBwF9XhKVgZUyMRYr6dygBgvmYIaXbhprIhUgOKQ0BuoVZOgoluA8nPctFTLm2iYYuXW
ik5N+z7os9uKZj+y+Q/wDJ1lRBcCX59LSGl8n6gGhUunYqBjMRkzloVE3snqphdDsIxLgGpGVjE+
Yd0TEa12UsRx56hmCIEYC6HaI5ZqlCCNPKefYi0J6rqL6aVIhzOS7DJCaIJ7OwGvVqGdKZxi1alG
jIxoyeiqOVOoNo3XVBtT3DhhT7jTME/bCpp2PAw8OPE1UFB9afn5sHay8MQZ5vMYmTIYzHRfKKQL
7cl80eH8Xw2WwWpldYsgp2dQCFxls5ueutioZncul1Ppyk04y4M3JEg+HTxJEXdrnSnATKZQM0i1
6q2/RpSimOQM2jP6sBgOcdtkJrP9NMaWpSebXkFsOoWzSWMCUMHbTHBucng3gKM8Np76vQ8JhyZ3
wbpKrQvmEdOg/Dho2ifPoTIWVvEI7uYD2tXKQS1QYJiZDDpTBEFsjLJ+kE0ws4zIS1nWywRTzlY6
/d5rwkdwNMm6sPOnvkcEXT4xKX1fNPW4cgnrJAKm3Uu8fHE7nXpZZt/49pCfh71xYpj1aig7ErxD
HFJjw/CdrSJ18ruOM/1aN2k0sG/gLiine09jkGcN8KMTlylSK20W9lnL11qjn5RIDlddSoir1gSb
PiOYoCKTr0KZu0CSG25aTb2TtrGcs/VX2Yhfo9kdWrHUp8e2GeReszOSipPW386jhv6v3BmzmxzF
hB5udFi5lJ9k7E/L2cnWbQIhrLdhrDRudpNEqXHSQqpnYhLbl800fokGzVi23VxsRecUp0lBLwAn
Zn10iynepg00TjO4tfAAMN4I1o5RLRu75RUuUYwFhdcsInFhOATlNHQ9ydHxP5UVHblaBpzUyAp0
SWdzT4V5EAYhxFHsIFZKGlrmJ1Ho+rsilSFSnqndSCP9lNJx5c/l1OhqZbHR0wBRGSPPWWf7MOva
2+a1eYSCE+JEjTGitlt4hd6+B84ukvHKGg3/OM0z5i1OjKlOj85JDGqZtl+RBc1hhfNWbCmXc5d/
ToJw3CGCpc8ABciamOv29tMk5ZWes2yQT0uHQZrYKtkJjU8R/ACUSCrq16w8dQoWS9Sk3knSiSVs
0hPPJ1IhQtKdZmxr2NRo/tBvTCe0xchx1shZSgD4Vr2LrPYYpXjWk2TAadhucToal24MabAJm8eM
R7qXoUTClFxOGonkhDJfuGGwQeSz6AFxLNCWe4yR6xI325MRI8ZU/uUVUvwC+iKYPYKn5kUbIlEv
AusqTEqYr3r3wKhil7iev7g+qx12Ey1sMe5GONpTh2oilHuj5ginh3LidOWsXWKoud7HOTBQFw19
sRQO7FnM6ywIKCMRPNfxukWrd5JoXvC/bEbxnQPnJ1/Nt2a9ct18jU69Kf57/9EfU4A//0G/bNSx
fqZ4fP2zvhqF/u6npA9t1HZfHon28d8hT7DxmHK2UYa0l/9f895ZKEEw3AjOP+rreb7y3f35qzvw
9xf3s3/p55/zw5/+uehyGndXjzIq8u8PcsLHOPTDyOcvLv7VT/jh4h3PYJZic3HfX7z7zucbnpoB
PX/9T138w5cMoFbUtHX0uf3+4l3PEtTTv3YDXv2Uf98AEH6uYbqcXlEDfX8D+PQRFtk8GC834Pk3
/f//9F/96c/zwP2X//t/lFbKVSKlX3kCXv2U726AIN4ZdhHs+JcLfX0fTN13aADQI/j6xVvCL3xT
98HSAUj85n0woUPi0eOJQk2mvl49D7wQqMKgorrP39afX703dR9MWjS/uCL85fPAfWCSzP+clwvl
B/74XgjSRV0Hl9vzF82it/Y8mLbuPv9Zz17Xb5vMP9kWSHzTof+hA3z+wH96Hlh/fEIc/nht3tx7
wbbFAm4xjP/tBYL4dgtu4/MH/mqncN7BPSVpQndeHog3dyPIAuR1/t0FQu0UdDQRsL5c56v7oOiy
HK7gdr18/y2+GI6rsnR+73nQ3xkoL2gyvdRFr14M750Jv0ypcl/uw1vcOFngfrdyoG5kdbCg9b5s
GPzA7xdK9x3gN7pY4o/78Pwivq0Nw9TN370PvBcO1gq6VfrzB/7Te2Hgfodo9/Jthal7cxuGgbb8
N98LngeofbbOzXh58H98HoD78dQhiFfjFPX1FgsIA1zB798HVltSr0wAiOrr1fPgvxMsDhZisufb
oD8vSG/qvfizUKe/OFr9dSHFharSgaPFn94H951j6LYjAD4+f73B/eKFn/57+4V4B2PCZXL3UjG+
eh7YL5gSUqr8cR/e4PrwZ0CQf/w8qI3RwbD93XV+v19QbxIGbGNoeXkeuE9vbZ00WL5e24H+6X1A
EurhRDYs+8/3C499kxvBAvFyH54X5re1PvyJ2va/cR9sRYbhgXheCF8dtFgfSA90TWrX5y/qrF99
Hn7hZr2wdj6njw/1f/0/AAAA//8=</cx:binary>
              </cx:geoCache>
            </cx:geography>
          </cx:layoutPr>
        </cx:series>
      </cx:plotAreaRegion>
    </cx:plotArea>
    <cx:legend pos="r" align="ctr"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strDim type="cat">
        <cx:f>_xlchart.v5.30</cx:f>
        <cx:nf>_xlchart.v5.29</cx:nf>
      </cx:strDim>
      <cx:numDim type="colorVal">
        <cx:f>_xlchart.v5.32</cx:f>
        <cx:nf>_xlchart.v5.31</cx:nf>
      </cx:numDim>
    </cx:data>
  </cx:chartData>
  <cx:chart>
    <cx:plotArea>
      <cx:plotAreaRegion>
        <cx:plotSurface>
          <cx:spPr>
            <a:solidFill>
              <a:srgbClr val="FFC000"/>
            </a:solidFill>
          </cx:spPr>
        </cx:plotSurface>
        <cx:series layoutId="regionMap" uniqueId="{7D85024E-A40A-4138-AA05-C850460FF396}">
          <cx:tx>
            <cx:txData>
              <cx:f>_xlchart.v5.31</cx:f>
              <cx:v>Estabele-
cimentos</cx:v>
            </cx:txData>
          </cx:tx>
          <cx:dataId val="0"/>
          <cx:layoutPr>
            <cx:geography viewedRegionType="dataOnly" cultureLanguage="pt-PT" cultureRegion="PT" attribution="Com tecnologia Bing">
              <cx:geoCache provider="{E9337A44-BEBE-4D9F-B70C-5C5E7DAFC167}">
                <cx:binary>1Hvbct04suWvOPw8dAEkAAIdXR0xIPddWzdLsq0XhqwLCd5AgDeQf3C+ZGJ+YV77xyYlS1WWSra7
p30ixrJNxwY2SBALyFy5MvX3a/e36/L2yr5xVVm3f7t2v7/Nuq7522+/tdfZbXXVvqvUtdWtvuve
XevqN313p65vf7uxV6Oq0998hMlv19mV7W7d23/8He6W3uoDfX3VKV2f9Ld2Or1t+7Jrv9P3ateb
q5tK1bFqO6uuO/z7W2mv0qv6n//r6u2b27pT3XQ2Nbe/v332tbdvfnt5s788+E0Jc+v6GxhL8DuK
REAEx+LhJ3z7ptR1+tjtsXecCiJCxL50C/707MOrCsb/S1N6mNDVzY29bVt4qYf/nw199gbPeq51
X3f3K5jCYv7+9ljbrk+vyrdvVKujL32Rvn+R47OHN//t+fL/4+8vGmAtXrR8hdDLhftR118Bus1/
IjZB+I77sPTE5+jhBz/HJnwnSMAFC8Mv3Sh4gc0PZvMNWB5GvUTkofHXAuN/DrfK6qcl+QlHBb0L
/SBkPn2BA39HWMhpQMnjGfGfHvrljPx4Iq8j8TTuBRZPzb8WGv/8r0Hbn3k4+DuGAkEYE984HJxg
4cPped1w/Xg+r4PyNO4FKE/NvxYoD9b7abP+hBMCzoT6Agn+tOjPDRZ/FyDBEOLBo8F6zZl8bzqv
Q/L4Fi8QeWz9tQCJrtruttRvYPL19U+0XYEAX8FISMWjKwET9bWbD4EFYEYDzB9Pi3iC4YsJ+9fn
9TpEL8e/wOpl9y8GmlbV559p2wh65yMS+D7Hr9o2OEcBDRk4ndcdTvTjCX0DpqeBL/F5av+1gFn1
V/bmJ/ocwIURRENK0JeFf0GWw3e+L3wa4sful2T5x/N5HZancS9QeWr+tUBZXv1MUgYc2Sch/GGP
JBg48NeGjb/DAQXSJvzHo8KeG7YfzeZ1QL6MegHHl8ZfC4wDoMjqJ54Q8DMhDimCY/K43i/hCAEs
xDh5PWT58XxeB+Rp3AtInpp/MVBU+1n/XFAQwoHwA/qq2RLvMPgSgoOnOJI8PyMHP5zPN0B5HPcS
lMfmXwuUe+XhqrxN7e3T4vznfBlOC76PXiCkfBWY8B3zEWUYP2oz4oXx+tfm9Do4X499AdDXXb8e
SD+RNYM45oN38SHmfxUf4GHUpwho2qOxexHP3C/kd6fzbWhg2CuoQOuvBcj7q7q7sv/839VPPTS+
AK2FU1jt566egHMRAj2SZgTs7ItM+iWG+Zfm8joiXw19gcpXPb8YMrfdP//P53sl9WdJycF9WMJw
iL46Dc/xAa0GU/aHlPwSn39hRt+A54+RL9H5o+PXAudCXdVXb270m8fA+OeBBCaNh2DPCKj+Dz8v
QhgOQgCgBGTg0aS90DL/nZm9DtZf7/ACtL9+4VcDr7x6c3r7M4/WfZaGgqOBs/WFN7+IcoAoBJiG
gf/IqhF+2jFfTN+F+hem9C24/hj6F5z+6PnVAGpv+6cF+s9ZHKgCoeA8hFTMq0cKsjghEigMw8f+
FyzuQv1gOt8C5mHYX0B5aP3/G5Bvzu5rV/TsS/9mVhOINeM+FiF9Yd4gZQYdPBRP5u2FD7pnbF/y
i9+eyutw/Dny2cT/+1OW305n/pH3ja+6q8VDwvirjOb3ex9eEvLYL4Z+jyx8WbHNze9vQx5QFMI2
/yMVfX+bZ2TsKV/yyqBb0MB/f+uF78BDUcDQFwwTUNWA7o23D12Q+qEUcgiYoICj+wT12zc1IJf9
/haQR34Ao3BIUOj7DGbR6v6hC7QgSmAYg5wp3Ba6nt7yWJdTqus/luTx85u6r461qrv297ccw52a
L9+7f0cKglMYQOjGKPEhpwGPhP7rq1MoCYCv4//hCjo77UwpOZrSqK/xUd2wz9i2Rznqdn5WF8sp
H+8GSmsZ5Mk2VM26rxLZhHiSNslinX3KUb0f3G3Rl/pTVQZydGkiPT2EJ9U2DSw6qibF5YiSQvqm
b+RE9alfiCtWzHgNdxcxylAuWaqJTD2exiUnwzJUHt4PyN3V2mmJXD2dU5Wv21SnkRXOngZ962I9
In+LbJpFOChumiIj27G2ZDFXxskxYeFinMxJVdk6Ju2wHmz1uR3LepXnbhdM2TIQXb9ISY3XLi1n
WYr6MlCTWedNeTE37LjaJtuR+3phR7eujJqjmgf+Ag/JKAcjxNqkS6aK27paOjSa5TB39SKpK7Si
7HTiiV12tGTRNLFpPcd6UERaM/rbpk7e65OqmMsoJTOP2iq57Ine9GUyR1hnwTK1wUUReN5ejNjb
u5Cu2RByiUykhBKyRQnZJtx8TELLD4Z0Ouxnc5fg/r3zvZuEZ0UUtIWLfDdOsme6lmOllrrMhKQF
3s8W7ZL2M8ytOev89MbkXbsibT4vVOFvmehUXHU0X+BKbGnV8JhmotuUdRGROsSyqLwsCmgzR+Eo
1kNFBpljb5vT8spDblzwFFdRFaaBJGg6GYOF55s0HnqnJE/SWgo1zREd6EkQZB+LBs3Sd/WdmoVZ
TZke4jYLP4+VK+I06JxESZ/J2rYAzZHOTlEyjDJVxRz3SXNnGM1kNrBu78/pyqs5WnM1okXCa7UM
CGuioOlP6DSRRZK6KW55biQoFlvftee+n0aFX1/zIYwYwX7cMgQrUKBIZ94Ola23GAlny9nxiwZP
KlZTegO76jj1XHkcYnsU2DJZqoA1q9HqiPQ2W5XTSGNs1BmxVS77PDMyJ+G1Z5ItMTWRlY3RiKsF
qoeoVbDxR6SlCcWdnw9y4uV8Unn9+9KMdeT0DSs8FTtMLxOfXPYquNVBGa4QcUaiDN4u7UOxTvh1
Mvs3s+0j13RMGhFc3h/rqBq6JEJZyKIqbZCsqihlju66VlPZtdM5DhspyDjINq1zSfzxxBf0czvP
pcyDfAt1G4u+I6cdMpkUQWFklaJKtgceTVWERzZGQdZNctTu3E3TZqSw8oES1YEYWBLVIQDuc57L
NDVxB+cqIXfdWB62qPakr8MPk18lC6e8/KCe4JkuJakUTXjuDyqBV3NFlA/iyCY5X6c4q9ZjKLD0
5ySTU+bDvX2DV0nZ+ZGo436oikaWU39qFB9XTYBOyg43skvomVANGCahdGw9T0RmtPs2LS/hH1pa
VS8qN5Ao0+Ug53QepEjCTjZq+IBn7ku/06Vsi7qRpPXaJaqplqLiNYy0aew8Pm25KwvZd/1Hv0Ru
wxQ6x8NoNsYFZ3RMdknap0d5jzd24ir2h6I61GmjoqE2Jx3NfKmSWcdF0dwlqK0ik2keKcNtPARZ
LbP5Y9j4bew10ydG+gvFg71DPZWY95ssGdSe9AhOjpFtHRbR5IVl1DN2Odr62pJICNwtGjznsum4
ZD0Zo1TkajEH861n627TM2QlJIUSmRS0jBSc3i3J9Iex5qs+sWw7dZZGdiKxxYChU70X2W6+US06
B6MnDrwyodLvYYegY2Yqydr6GpVERDh1izotQ1kV/V40+ngQ2Q1xg5BTAbsTURwVdZ4ujSfyGLX5
uCGmeY+bZD8Y48lidlsjGI0pxs1pbchWGT89HFxdxkPL0cL52Q7y+DejKq6wnt9nCF9wL/k8jfOu
buF0hJk6InXZHxfV6MdizgPJmtrKQSu9Lg26K0VmZRtmWdwwbKKgyJWclHeYlNWppcYeZKuEoNO2
/XTnMxUZg6/Al3dS2xlOEPfyhZd+7Oppkm2iOnBiGRzJdva3M5/qqB/XND9Kebph4TSuJuzWrMt9
sC6uixkLYMVZf2mq2o9SvCFFsIcSvqWq9XjVB2g913WkcnXXllmxT00P7jRBB7nXtjKHyUym51Fa
gD0Gc1QtdYiOuNLBqq0RA8ObHfn+/R40fWxu0MAOGe3TbR/ocpkXY5QTrZa2Ssa1rcCUpiKJta+H
dZUGm4H11daCQRMZmhauwOmeQcZkERg9y17QXCb1aWJCHZPC3yRJn0dszNstlALKQ6wnup2HUcUB
922cFm5aVEnKVhb3p2VaXHMfsM8q8mCopa1RdVFO1SZT6pAObIW58d47lyRrmhZStWWz64PhDoyb
AUMfrEOb4siaJtw0WXie+SiyVmyKZCoXtDZqV6X4cLRdZKu72uks9p0YdwaOdsW1kmXeZwdzNUeA
9HyM+fuiyy89rZ00kzXv27Y9SsvhuBDFtKmdHyWTSo9CV9NFOjXzYiwLvui8Oi7nwsReOfC4Dsdu
j3Lzye+7KbaluJlMis8yNqSruprl3H/ippOtyPCqqoKjlgT5IsdG2rIUuxLNyUprfqlRRWM2eyu/
aNnxtLV+Kh2dF62LOpzvbIvtMu8JX9PxNgws3nodWTSCICBm1UHezGrphcTFrpg3KZ9V3LpEywaH
+cbNx72u/LW1LZPYnQAZXZlwbqKuqi6KNFWyUr2JjEfSSCOsN8FYL+YioUtr4HgA56sm14AdCt4b
POTnyLQfPT73MkSzPcY6IPCcDLyZwFlMREePxjFgUViphWenpW7UFIHFMZIyU2ywdXihiKOy1V4R
dSFa9MMHTZ2JORi+NaqKVdfglWHtsrNhsaWjmdY4/ci8K78ZJlmZoDoqdD/sUDgfFFM1bGHHKTve
8kydlC0QCMZm2PXlsHPO5as0nK8Hj6pdHaaD5BaMO6o8BnSvL66QP2yGfFo2RXo6CHIBrG7hOXqY
iObA5dOB9W+CPPjMYIuTMF0gg4TkMzsI2YzBd5ZBPKpkT1mxYaK4S1W1mQOvXXTjrlEZWtQzMBiK
uvfd5K+KLCmjrgP7XFbjtdettD98hhc4rluudpjTUKZhEluBlSySeoJTwm89lMp06qOCFvmmMaEX
dyzbZGPY7rlrF4oWw6rLp1FmqtqG/hhsaK1uhimjkbgppixKjJB2ztbTYI442L5zqqfPaZ/czDXZ
zUYd+apWYEOIxM28xGWZRyYlxygku6Yy6aLS66k/xvmQHJXtGIczmJe0bIfIK5C3TOYKZj0n4Hja
mkoyN2deUNWwaa0XdaJRknp2Tcu0W2Y9eOpUgWFMed1sUcVOHGvsoWmJk5hN0WAtbAKdow0UYN2B
72uXVagideQBulIpdomTwi5axJea2Y8Q7wDJzryFAZssnc3H2OZ53IiWHcD++kgGc4cK50ncBfMy
TICDJKmRdV1fD+7MoFpOJU7juuoXOM/RWhXANbq633ZjctwY59YOe9Hohx0cSqMjL9FIijHf5xiR
hfGpWvnVdO7PJK5U15ypMFw09exkmFfR4DIRN2r2IpK4SRZ0Wfn4zp+mtWP4akiSk3v/skzEe5Yk
4HkCz0jiVcMS7N9xUCV6U3tpJV2CwJAmJbh/sQWzLGlJ1GHgrPR4CbSx9CEkER/FxM4dMaPMzbDV
XTUup1rkkpq5jIkLby13wV5kfjQ3E46tradVmlSbRFf2yAvpxvO8MapJDURbZeM+p/rDYBxEVZ49
dEBTds6kHzHKBtnRIj34uo75WWB6rZvJqjR7rCT/4+M/znQFfx8Km/9svC9E//PT/qmC/bvfWt3q
e8Gwffmle43hj3v9WUJ9H9X/UU/9Qin4UvP+FGD/O53PNIZnYsqTZncff2MBGui39YU/5Zg/FYaH
IY/qAnuHuX8vBNxnvjkiDAreHtWFALJ+IQ4IFzSA7N99GulRXCD+O0wou++BjCAHIelPcQG9Q1Dc
CAz/Xg8AkYn/O+ICvtcOvtYWAgzTQxzKiUCpYiD6PtcWRl2XM0F5+MA2N31z4wILkcJMjlq/Ywvg
h2c8gwgr7NtDUenmJNE93fRg/Ye2OatTIbaY6Q3jrVs2wJ/ir9byFfGD0JfzI5hDJSHwRxTCLDFg
8bX2MTapqrMAs8hzrFimfW6XLXKJNLuu94msh5IvM8HvRQPwXErnJ0A8yIJ66qRpOn8bztmGVUqf
G99FFhd9xEzPFr7ozwru1xHilTmi9WZOXbab2+rI8Ho6ZMJeGR2wOMnTbFNZ0i0geu+WSFckRvU9
yTPqCgFVPKyDMr0wZX6SBiyNbVboWAf4KmWGbEQwp8fDGASHtg4XIEecBmqsfrRE90vwDELCMbkv
qISUGCX4QT76Sh4ybNIh9fUU5QD2choKvnu4lKzjOzPqfkPHKgO+b4HIk6T8gFjKFhRo54pN1kXg
+fmuyMEDp9jtsgl7MS7KdOf6IRZKeSeN8z62tJx2Re8nJ6HXH839WJ5phg/TxiOr1qWhHBsICLK6
ZrPkuZZWZNMBVl3M/WwVVpZ/gLCzgognCHd5OYYf5gEB6crUdgo4AwkhQLGXBs3pRD0WfX8T3QuC
L1fovlg4YASK5qA45YWAZqaprdIsGKN2kplz/aYoWyTTbBxP8zJIDocuiOee5rshMR3QsTkbpUEd
i72+znekH/OdCLp9N9DDxpFiiXubL5LCpfvSsqPJJ8WedW25zyr/ssydv3po6kCjiAV4mAXQJnTi
96KIS+I1y9kIdOLuLxUFMoFHZNezaGZJyVCciCmXfp6yu6lsj2k9NCd2RgfjnDa7xgX6y4Xi5vEj
S5pF3WCyS1RBDiHgCQ5RrtV67Oy6yBq9L0Ku917SoahIA7HsgjTKuS4uaUnDJamKNIIVA2kNNe5g
Utlm4KrdDPefHppUlrqDplf5NgvLRTAW/c6rp27XNabe8SSiST5FU5GSwyZM7EGi2x/ZAB8s5HP4
mA8ZJyhCxVC+AjnFe3i/2uBeIdoSjq+LDPdQ7Gu/PMyy8BiWZZKiD+wqRbqLNeL5+Rh0wFi5Kc+q
Fi1NhtpFQl26tM7S9+XYbeuu46fgb0EGUtNhWQf5QRM0xWFbTLBxD8thMBfNBKSj0Ezvaz/jMkjn
amVqPu4bMuar7+9NDgryi5cLfAGOISBg8OEVXxi4Yc4Lhrt8jNw4fiYiGxeuztw+IZPapCkcKeTk
gB19n43JJzLVFy3G6sRjyXWmuNkiL8lOHprmIfSkYH2wemh7uFQsHGM26DROJrQqvUBdJG2frYe8
IDFPivzCazVbekItCtKTiAzUnT5cwmHaNN4wHILCN532emBb44M68dCZ2XI6DcKsjzrwAKsglZCQ
b4+rdAZpwSbAfcXI4oePD5fQ5iFEvjzdDWaCsH1sVZSwgF0xQY8LIIfnPmmGVR20EJkxf+EJrj7x
qfiEk9GcINzrYxw0a5eYZUoYhPPOijaGLSPgIc2immt9XuoyX7Rp4G9qjNgGCDKWM5qr3RzwMbLg
rZYo7E9Z7ZMjq4L0ImX+tqepPulzk140mQb5paanI2luvg8xfQViBiKmD9sX8A3Zff9X+5cLBVpT
MvfRwOkQQbR0klakONMTxLNz+zGtQ/opnSOvzXIJ9jrcfrkEHURAPD0sfFpuHbHNbqjzeem5OYvA
rZ1QPvCDh4tfVPwgKIleV1acqo6DkDeU/uUwiW4l8pAcVIOtt1PY7ZSFaASrwGxYG+CP2XzU9MI/
ACWqBCVA0B0iXbJOw/4iLd3wMZv450pTclPoTWeDddfoep/SfMgi0yyyvEXbzNt4ObbbohQEuDpE
ytssABn1yyU0LP7+cmL8F07AIKcCxdFQ28k5nBkgR1+vp/OwP1mQQaLRLTJG+m1ejWEpxzEbthVN
WCm9aeg2WcBkXlN6Wt5fOD5rfVAb8yFMD3tu1j3ceffnxYxd3LhkWJoORFEGpObcFONK5wx/oAZ0
V16NIDZYLRXK6HYq9bAC47kdKsivBNMipTo/5kLPpxXOwtgLEm9h3RzuMWkONPHJiS0gfK8pd1EZ
kA8ChFmIFsYpSnKDDkxwM7GQrYFCgchRE3vS3l+oP4xR34omNpQvTMfrQ4yndMNne4JEYXZ9D9oC
wglawkrNsvEaEWtXXfiZ23kYNIp8zLojFvagymG6e7jMc0J3pZddUifEqklab99DFmPfzkEhA3/t
dWVyDFq8OrHTDHpYh/aUQvapnfBaeMY/Du8vpnU4mrqgOHR67pYQf9CjKnPDIheg5SM0oFg0XnVI
rDdskjRnUddb+H1RXB7RDBT1hnblgR7IuJtDkArbstaXo3If+wbyRi5t6n0mkInmhNSXTdmdVb4e
D9psyk8eLnqeVgiUxm1l59rJJKS7cQrofsy9a450ff39XRf85RBDoi8U4H98EMRC+K2J55sunEu/
nnoQBTIbOzo0p9UwN2vbJAiyKlm4p71f70qRgxDko0JmVT8AqSw2w9Q2u8CV7brq6jtLK4dkpkW3
LlT4IakFuHab3RRKeKvMIyf1dKKLVMRF3RbLtsHeKZnGcd21/kqpSRw8XCqTjctE+W2EQcA6b4Ig
sqOaP3z/lWH3v4wOoJyAAfMC63X/61YQqTx/aSO6sedkKiS69/WTPnu4lEEm84z5p6NP8D51/FNb
0lamXcYiy3i1wQr4Jh0KdQGphvrAS8Qo9eDUBaR72HYcwhzyStDLEjZsSvhloqgdg+zCJVmywn1E
Z6WXU4PLc55nqQzbRZ8Y0H1Q2Z16ASrhSdptHz62pvKjLssEOElE7xwJyN5p8HdTx49twz1Q21uy
AE6/qpPORXVrIjy4cdPM5iIf7JnJ01RiZW7yxDRACc2lLg43baZueDE20ism0NjEZUKLSppZtrT7
NAXiYwuMNupvO4/f1YMv56bQkfNYK7NiunQBOLRA66jU4DGreZxlnU5XZlRZhAK9CllaRC4o22hm
ZCV06keqhJyrKUE/MSM/4huWzJeiq0c51eoQG2/RVfVxbodPuaXrIiyuuAlWwvBEYjqUkTZFF+kc
ZIQgqPByGPmh5VW3ool3NUP6Qo0zk8Ar1N6rQHDIw1RmXodlo4v3mDbLfhDAomhykav8o/XOGDPv
hykkm5xQBeJvd9nZqogHNn7waogdvL6MctPVoFN6RznHSdQjW0pSufOceH00sqVqx5U/zO+hBkzm
3nkmUsgA1mKfTM1JEXbNwqXDCuGGSGADMThjvdBqrKVxulpWFhILFicr69cfTNAGsY8grRuUfisR
BaGxJHO5RqItoh78exQM0gRWrQwOlrjwhJyzHkR/Q9ciT3M59MIsgya9hhSK54X8xjC0UVOfL32V
kSXuqmSTniaCtEtSeg4E7tTKkvZogfURxDxgnaqYhzk/r323qARooYTmEe9ruintAMirfoVtCcoW
5TTye+St/SGQw6BWdPAOSJJm25p2kH7RjRwhkQ7xdITLcFj1rpd+EmpJG5ceeE2xgzcLFx0ptUz8
REnT+5IY60HGEh2hBt9lXoN2g5+qZZYVNvLm+tT26Cz3Vv0wWMl5s2Z+E/s1BMlumDd+Q7eZKBuZ
O3bMG0iCwHp6sjEjpA+FlXTy8aFfzBezHepFSyiImD20g0MMlwys3pr6rZYuLxcEgt314KhbDKAr
qvpCdPyq0mKM1TrRwZ4Fjsddh7qVc9aeVSi8K22yGynJjhzIBpMFgjESgNMwtk8zqENo/Mw7xvN7
Q+vPLaQf8qxTcgYT0qpGJqkg62nOlz1kFYiP940Tx72f60Xb+6suwxLy6WXk8uLCQ+jKIyP4ovRD
qe8zj2g9sEEWZyrDrSw7kFd7HR51Th05DMnA7kMvGjiGjfg0W7YS1eTJuRji5t5RBZe566+z8BP2
2j5W4wT5IoO3/88FFBYScDHoGP+tBRRCj3XMoIBCkfx5AQVP6n4xT8N/WkDBIdNeBj+pgEKPzF8C
+fv3CyjyEgo72kZ50vjeHE8m0p3Xn4ygIXeMGkgb2FUz1cM+ZBPYdL+BKhbRr2kPub8hXPWG2i0r
V0MIydi+gNtUYfIxRazb5JNZVg3I/02GmrhGoCQr0523Sc7Whd8YuBmLUdDc9mov8Kma2F2e0XSp
VB0sUtvPEhsM/iSp9raZ5yVJpg9d0wLN90ccN8lYRC0bzSK0cHKx50NyWXXBsh2TGxxUt5yr8mNV
JAsoIqplqWbIOQTHtK3PPc+cWp+ZVVoc2rY/Ud3SjMFZrX0VJ416H3bkYKTDssnzeTP4c7uiRXnb
tVYtK+fG2GMuPUpCB/nvltwmJeuBzkGhiODvez5Oa+4nXFZNqU5rKDYoKe1Wve92pvu/1J1Zc+Q4
lqV/EdpIcH/l5vuiLUIRLzDFBgIgQXADl18/x6NmpjOr26q6rLqtZl7c0lMhyd1JAPee850rEaWJ
VAyO/Thk2tuA9ZS0hi82ee4ziVHutQsKomXNnM6Nb53/6oKfyKUlTb4l9ZNcHfcgZO4TpS5m6Kas
Vq4uIr3XTQtuoRLOjpIqF+IHjbfuUNXYEOcNBo3fded2YoAiltYpkl62JVgi09nvSYv/qC0IC7M4
3yoT9zdYBoXEXf6Kw/ZTZyHlJzaCUSvIJZirOjUOe7I0mq++Fk0xSfXTVJUtE9Fkc90PWeQHay4F
GjBnXd5itFxl47XfvYnH6Sj1mzfTJ+a9SLbxLGyHT4HXyWKOo9wEw3aZKClwqVlRET1lU6KzuWM9
rC2ee4Ees8CfvKxKGhy8bZgSlMWngZj3eV4SVCTJN6eb9r1sVlj74BfmdvhuxXS2UDrSvo/hpS02
KriAgGVE06RxxUqjcVE2KWFsWZXkc7UE+zZzCC0226yXCd1zRmt/hpXNVT75c3UIFvfiBOx5W/Sr
ctadi3uMhX1YdHMVpIr3txaYRLYK+U1u4b2XJNona82KJpyDNIANlQzddkqaj7qhsIikkWm70NOo
4u0vD+464WjC4WeaqD6HUb/dK0+hA52aM5ABqJD6xJVtTrr2mxP6iiANl/hX5OBYT7w89IO4jPql
SscqcsowjqZUk3DMcGgNuclXQGPpRMNpxz6oZRwlJkQbbeH0w3t+l/X6HtVeX8ZNpPaCLW/TOH9l
vnyoFs3Bto8WdyC8ECTQWS9VV4oaxinQmLpCoQgCI+uX+H0wkAkb79hHdXiCSIj64YeAEJF6wbjt
rZ5Av/iSoqowzrFvgRgk3RPgLVnYJIal9jj4Qpz1kRiLfiRFg5ecWjNHKdCtb1D7wtz3AZ31K1zE
TjFRNNrqTCnGAD4JoDNMffbe/U1Fe39w6xy0NnxWfy5CAsAkJKCBmJnvRsI7tP3RDDCcpsBRWQDQ
j6/DtYPw2FfbXFrTXJxa5GvPv1Yh7r+Z3WRUpRFFPTTjH4CCktkaRKfEgVsJy1UN0w/Bwz0ZfKjD
7eu8qVc1LksO0vUtWeeMLTPP6iku5pD8ouPG88pnBQDJOp/diKaRsYUS3UOBP8NWNZkatZsKfqSJ
3PbuMn5nS3yuUHdljE7vixP3h3U7jhPEA46OBpalSKt1OwS1fds2+IR1nMqxy4zvjWXdTSsuewrZ
Ay8JFkmxbUnuGlIQJqFfwV3cuWwEy1VvWSeoTodt9Etl0OpH4By6cdNF+CtucD+QJvX9k1ykOFWP
B950+3kKosM60KyZ27bsHDBtzLgqQ/lkpDcVUMBBxMSw2V/p0s97pS0ptmWCd+sRmWlNy8RNWGo3
JjKnBf+R1FuXAkFKOxffOjAryzUObmhfUaVqFEfreN8W3IOWw18F41YSJd1Cbt1nwex5rpO9FOze
NIIWcvLWPBgSsSOJN6NM2m6K0M9bV7TDBPvWVrdW47rF87AD9dKn3IFUMEl7DHFKwZENd1gaQdY1
7oQdufs6x2GVAkYDNxo0POt8H2xae5DEb1JX4W4nzO+h6VTfK+M9160BoTiGQ+ab9gO9KTYc0S05
bVDQUu6GR0fp8mGsl5tEm1Cv/Q+valXu4tWl6jSGdj4z6V03ZHsyqQQD9tHRyxZuWav7KA1xNKAL
AjNmnQ7tW67xIlHGt2PqYR2nvtt02VxVbg7o6EkGejt623BbYj4fWkcUTFZJ1q8h6kJwBN26fTTu
DMOcT5cuiIoBljPAgmoswiHCnt+ht6m27Rg6Jt7BLP6yrlPe2OScwPO208YgzcQh/JEe1vEkSJYE
djxPfn1Y7fBmqrogq9hKxTsvM72LQ0RM+aCcry6Z6yPpGy+NRfd10FRAop5F1tBkSJvEv7H1S9Sq
m+xgJ5OtijKCviB0t4/acXjRU1qCcDsLuohTLR+etMF6G6trz7s1C7dtzpc4BFbURFvR8Isn+h9i
hQ3dhEnpeBUvzBLFWSerDKaL+NQ4e9T1NxV4/M7H5c3HpmIW3RRwmHGcRFDR2NOykFw51XMjskCu
3rMVZk5JWPm7JlRruvbogCOVzM+BJgebQGpXw9l16Qfl9uAGTYjTzxbuqOXe8XUeYX/Z966w6GXH
MZs6kbtLl1kWESyg4Kkn1RdU4LmJ/a8Mpk+GsUdvivp7ZYcgJ51/s8vneEV7v72zKZJoxSWBxTjV
6eY/9IQ1sVlFz0oRd9ey8G1qzJ0HdPtR8znXIZnSkdB7NeJl6IpfjOlBoLBwvzoXh04VPlSyHqI0
DvDmlrrJ6Cb6fNBhdACOuQubBB3OZgocc58G439ghYl8AqaX1k6/ZoHTDHm1VR81b8E2z9nmpUyA
jhyMisp6YsegZig1ExxQrkvSio99Nj042npvZvwAMqH/HslYZe2MdeDVY8aD7Yfk5p17rUyjeTpP
UhqAtWiEEN3Nh81/aaYx7YkzH2JWvyp4ZpWsTr4K1zSmg8qrgMY549vntfVel1doVm1OcSAfCcgX
IAN4mQQANNkwDS4CoKuJ88XtgivcXZbFDNvVNjU/OUrSvi4DsAe7cbbfW3/Rh3boD3x2SqH0eKX3
eHJMCgV5KGFsbLBhJmySsEwfjEKajNbbkRbI5CRbaB4WjSUP7t3mFHHMOV7wkiUt9rxehnExCT/v
LFqslgN8UZ7WKW28TNg+3I82OqOoeWEtPJiV2mKYI1tMkHpcin0Rhk3QqXKe2QvbrtVKIA+sojuZ
ua5TBUwFjqi8qX7+YedtgIesjskSV5myOFOS3j2hth5xmv0a4vmtWzp76mNRjrb/Veml2WmCnZw5
X4ZWnEgzCmge2Ir4CBC+d2Mv5QmgYAPSsFjCws7AHNcGigCpSU7FRTLU/LXwPrxVfxCDCX7SNlkS
YZ0lXmY3eNEwO1gZLz52Jf8eLj4wlAAXKZzaDG+hHNtwy5t4o8Bw+bMzuTK3ff0WeaOT9pVZCtUx
9LYAq1E9NGBvUDGsoFlSseF2JM6AU+uOOhgelh8Fecfga41Ulz6tgsc/xK+z6rknqhgnt5xp86X3
j1HURMXKgi1nhBXgTFGb8SUqwvAtIACupxUKtdN6Eb7m46VObWkS/dKwvsEz2+QCP2drIX+Hs4uK
FPVrP3s2QzDgcZ+Qs2BueMAaUtjqN/9Mul1CjI8GW9G05sPJwHDLOgtCR6MYKGa4zBEJykosd67F
0Z+mJbeOkwcKEoGBFZX1ovm1oJa24TsJ65PyMsmUOI6qu3lx/T4rrVCP8DsgY1kGvfuzpsldbj3u
tnV6cQbA33HVDSlrQBuTpUyaGbcOpDpca/W1qm7jbGzuqBjdUzfvEkC2WAqflA9yduPWpLb2zsvo
q9wRKEbdTdhMuQlavEnlwca+wb3pU1dX1bmrWI7s6stUb+L+bKyjj2Yyz0YMF0K1Oi18vNTfdJXV
bEmw2IKDrdc2q8IB3Gov4zJsnEzz17Z3X0mdiomWzcbQIbgxnugPkXQHPY1741MJ4ULh9GuHo+kG
ldqmuW3KX0rt+uhL0M3+fqYWOMhDRC56CnfUG/h+sDiRZjcxR+3ST7rnXv6wjmijoNFx8cn0Hkfn
Jl955A2ZAWCC5gTIn1P1Y1HhrG47SN7jWoaW/lxGQY4z23azYtnqs25HAiAmNjZOjiLZW3Id9Grf
xmtRq9pPK4rSOhwXL116fFP7IWbIQnhdXVYv7pzWTYKOtMtlEH54AF9T4wGypjXPQMHRJz4PqMAB
QMMTA+uo4Q5KVDbLTN/8sP/cLlAL3GTlu8bIZ94EqOS083NoEhwCPkfEYaMRFGJdzpsDEm2e3vTK
IPDa8Ka8YJfYtgzQmO85L8fhqXec9dSrLinGqmlTIpH9sOGXHWZKviuHfwtjbVOP1PcpWiLc7tWa
NYw+OdX4q6YOKm/J39mYFLJu7u7YzcdkVgg+zJaB8A3P0zD8UO6vLgJiJjg2EY9+iiOXpXFdDSmx
2CIkyAul1wIRDrg/nSj6aWyeRlHtlkSwvZ9K4MTOssaHYAC6Yr0oVQtl2H76r/WyVvnZcXxo+H6b
Yv33eeNqfPLDkGSV/6abLkiXKar2xg3jq7+0wMfdEJ3Q6rBUHTu4i3F7B0249wguUkBeXLGghBT1
xczovXoJfWAixZpsiMTE4Qsb23MTwH1ncfIJByl2qUp9imZZH4hnIAQ6qLEZJP5o6W5kxS6mF8Rx
IB4EUH+tXzjtcmpc1IKO8gfsxyhx3HnLQjN8yNlxTvOjGZRjsAsXN+dQXNII9kI0VZdlG+ty82O/
6NkQlLo3U7rMHigBqBOeh1Z+BqAyu+pKJGsz1dcCfVbH95Hovrf1AIl46GyGmpi7L97WZyLskRWo
ZTl0dZKPdd2jnFV7F4dXCmR0xY62/XRiPaXgUvYQAkyhZr8/SETX04YYi/e2fIjKHiSE8myDBhx6
/FZTup/WEfukrz7XtMomW/MXZEkO87LJg/ADllZO92UmbDmML17vd5cqXxA4AvtK7C6eqdlNyXqt
XPeeuCD+cSf+7PIwwcVQzgSPRqLIAbH1EyZGinVynrC8cFyAvqZ1POySBOd+I3zUNR/Yy/CLYcxv
ET2uTXxbXXGUTLwIVCRLjBsoYNg55xELsO6BDvXuBLslacHF2wWRApu6VpxoH3sIWgRfyOOab/BF
9wEo6njov+E4IOD9iZ+14DiHIT737ZTsYBb+Gsn20yBElaP1+nBd1MiNkA6M8vsKXuY4qGZfJ6iV
dMDHFN3riDUcg38Q8aWeg62sR/sejVvKW3nZkpnuqu2wSTReEqg8TT5BuobE0QYnKqHRzX30sUTo
lkXCUazWLc0W2B/HBPmvcVWQARI+7DjFaQwEuuQSFkNXubJUjJQtc6IbHYecukjh1aQwMCxeWDLd
zYaehi3Nc+0+ST4jkSQOPfDcIhKNSKOea1BUKeS1n2oI8NnVkLLwQe5sPDyNcotTlYwUjTN5a4ig
SDD4JvWm7hccCJ6yqs55sND7HG9Nav3oV6OarI/dW6DiKZ16w9MhRLkMaxPcT1dV2QxJiy+9wVnG
PqPgZwVDvTKxoL5ERnyP1ervJsWg3zyaFTKsoF9Rdc49GLzRc1/nuHNfXdnuKCrmVDsL7KUYPTrQ
5BbsirPeo2k96lDzZxwf4wFuPe4Bv0oKNiwkA43IrgEKl2vsbFvB9YaUg2nRxqzJCQDJePVYjN6M
t2fhRv2VxHO1UzM6LPJJz+YXlziB3DYYz9i4J0Q82LpbUbmVkZ/8DCp5oojknGWzpP0ErmdxTQVK
uNbQKQ3KdqQSC+7Zb2RuTzpc9YFWAnKdcvurbtwgc804fpdLKtvOSx1POzsOb7QcEzidfQBNQNS6
z/vYmS9zNzXPSaTzDlXhs2l3zdgNzzAKC7u1MzQwHcKWlq3MKf4/UpthP4rDyEN7Aw4+3+Ix7PdI
pwzYsD4mJPnuUvbyWXhbcNqC6j0eiHj+/SBtXJeVj6YdaeNDFYr6ylAwP6M/APbgM3u0LYMjLYIB
GpDWJfDgZcdcg1hfbLz7VKOVcL9YUA3HqmXiSW1GPhEUsukysmn/+OJcN/6RkAFujLUmt52EbWp8
cofWNRfBpMJ86aoxJ/MwlFGihufk8dAPPtZgNV8dFfTPSbuyE978ezM2CLwoxzuKhsYvLPrODXpm
mOSIeuE4O7sBQVLJ87tz6BYknCeEN5m+0Gi5OBu1L039tsame0ZPPSMx5PU5gh1i9/upsyHbRX3R
lGsS/WgnLPzMyes51q914Pevvmp/qUQ757gb+tdY0wgcY5OUv7/Ixw67Nt9eV08+IzGXfJ4poleR
7pp9slkPUTD4qVY4JYtRgjrSW3aDFy4pEb5+oRyXEL0IdmU+6JeIImXlrcS/Nj5uF2Wy8L1d4vYX
FYqnABubSxVYJGM3Euah5Ms1qQQvqqG6b1wOMNCjD8/64dceDlfW9fG+V378pP3ul1xs+IOho34c
Oj4WzcdSV1+5dOxb7wkXbED0JGPi5m47duCnpjmf+kHvHvrpuQo6efQfrF7T0bORjQEgS6dffU9f
IxI6zzE5UQH9wvL5i1mb0oNLfPY9KOU+mY+bjF8r7mmYpQHYoQnLeumvkYStPMJ0zfCK1908FlCA
+rd+5N2LQqfkupdJrAiJuKwFSXl1oqDGcdDMx5UnPHORCjuNqJtC7fCzADmW18FrLL2MRC0aZG+Q
+5BEzwlR7TUgbIBhNleFIopeEOE58BofPT4Uluq5GT81iKUhHhPg3uKisCFsKb8lhcsM+xyg3Do6
wSOfF/wyEoEZI1vyrGT/us6EHr0+VhDd9FKMnqnOkFeeZilozhxkiWKx0AtwWwD4SPJgz3NXqBd1
CwRL7/pAhmkb9N1u7kjwtIa1vkGALpduTF70pJ+1MtHJ+gjkWl2XMUSkNHlAHnTi58lruqJZx+d+
/W2kUNgecdudva0Jjt2Ebb8KagCkyH86fnxqEvgemlpbegJJXur5GqTy9hX7L9tHKiIHUJkWtXK4
4yRpnt11bPf9w8Nsw3dvmMNDYIBIm3HxsRLEFZDou0S5cG37GOle3cS7DT3/bhi6uxoBqPC++jUP
bnz9/aCXcB91DdmvQASR1P054LQaNwnHvYu+KcgIQW0MfIEYVuxC/bPAWZSQqb+qJC5WmvDjGoqg
6JNwn+DAK9QwT7s4xI1qSBTlLgsPHudzhm4a+Et4V0QvB5x1CVhccjYVKJiVk2bPRuig2yJNTnxh
ss2a9RQRZCjdUKAX6B4oL1uGUmMdH0QT7bjpvO+N9nKzIk/mDs7n2l3XM/xBQBByUS9BG+auJ+PT
74dWgJMm/HNvG/0UNdx/1pSTPJ7eOUCW0oGNchTUrfa0Hb46bUQz2sgfPkUdEfM1fIpBVKZt8hB2
Ngi1QzSeNW3yZRuAOlqVh4o61ySBFNMZwvJNaX0PHXBdUTBWuVPD4Eez1X/QZPyR3NxtNs+IIBX+
XKPiaj0B2TOckE6PajAsfZxXaxOVkk9A+HT/0jQ/Ndf7VW3rjarQvLGZ/CAdWHUi16tY0FTESh2M
oNW5DlTGaSAvDulTY73g0zrq4NzFQ3yVBJn2bjWXrRJv3giHb1bcfVJjCCtuc1VKvJijYuUu8nIm
uWgrG+x4E7ToyYMAAnQXZIR5AgqzPSH47T/beDn1LaEH+mhQlCuqi458fkEa5mtcT0VIbVAoj7Oz
0VRDw6NzGlTOnCvsULvEW9enbfEP1WaiK1+GuWyHejxLGaDurOdSPv7/4ukeHETqD8q/1y2MxGTw
Nmjzo0U0OMIWJSdaDCuS0S6ayjduHtq69Ofzqv3otPTUhTVjYVAMPtnHK9s+1b6zI8gtf2Rj4M4X
l61bLnhHM9eJJKwigkU5reowt7U+/X6omYTYoCks1RkAbDKB/I/lt5i9TW4TaWTsMW8A+7lf1J3H
nrVgCSoOCE1uokrb8OR1CIfktUU4ES7bzd/i583FFq+3qS7tYnwwz2AZ1xiBeOnxK7p59IZdJ56G
/YaBCLz23CfoYuTiOnM5Ta53JC3zjnPcf9rgcu+qGNfci+KmQIQQqlOnm3PsNPsKeE+2bs0r0pj6
pCGR5ayeACH6fntjajK3YJLmhjkBezq8Vs3SnwbFwM86/PM8BusVi/TJIgzyK0Yj2g1IaWkkIe0W
BPm/1zntHBzgov8+E5LY0K/ONB01LPU8ZI80JQqso4k5AGNn2uGnBWkfEnRxfWzeotmxxUaSKV+8
xs86Wku4nuD9fMc4d5xDSICPenlNFhQpfSRNGZLwGI1QG7GuVD523VIKZ2K7po7WovXXocQ38JOo
hiiTSPm9hpbtADU0wG0C+YlvpRMO4dFrw591su6apWqf3WqkQHG1yeclatCjkDavJwc50ihsYLLV
9sKWIrTxSwKzUbdh8OIl0KN6Lj7qqoYKyHV/7higl8m5+cbl+7V3Xho35OcZBVLWv/eRCEoTTe4r
0y42REagwW4iOcL0zEakJlJhIyh3DrTsTLGk4BzSEcZS9OeoRjSYMSmzDemTElo+nAYXRFzSIavd
xogAZ/Vm6C1ZkFPfxsrb+w23e2YwnqCzRN2BvcHr78fr72eUdW4K9jJGRlnLYyvYhx/YCfjZEkKb
qKb9XG3tDnCgl0FfNc9dYsyzb3+ADdW3BHXDpUamMhq24MypwQNspmxzDcdIDm7vFKDRPVbxeMJ0
lzv3p2cn6t1rwur5dZavtHLo2+8n2nsxCaG3mtPXAPXxxQQaaQW5JV/WyBzQxFhIdqLeDUHHnoZg
bZ7+NgEJjweA4x+zNRFG+vrUg0YQBxRRrUc04Q/odqcqO1gGgEgAfMH4kcF5CmWYpJEnlsKXZjwl
jzCEcDVPnYk3uV4XLKJqRc60iREJdKYSR0qbqg7hZGwvM2Q0MCuV96mRvIYo4UbZ2lOQha0JoLy0
DPJi750gSD+AjRLcfRSDto/UeEF/0t7NIm/ILNnL7weywAzTC+aR/H7qyG9GwKhvaGQxzyDOBzsM
+9bG4QlTTapDLypxSiLfO6xadsdm+BpYHFdTFwI1dCZdlb4c3xtkuUYZN3f7eKgG3Nub5y6ZgOkE
lKVSdel5UDY9WoNXDvVbbcfgFFcBaBlk0+HrhZ+WqXfTBkF0yNdqv6HkSLcQ/CqaZgsSEfU8fo7/
xcNcDBKZhwXnnIDwuWkby3hX23b8rBfbpK2q9dXMm4Uo1y4Is7L2eYJCnMf1EpW/7zxP3ONoJJeO
L++ULfITLBnkN5aaH0fv8wKw5vn3Q+yjGEOyhpbtqa3q+tqysTsrTBUYI9K+mLGL0r99//wHaDgK
QV37URTSmAYhDTEt7U+3jxZR69iHPrJEcBN70cKU9trim1Ub+TKFY5BZYDj55ODfSDnOxybB5kYp
VCqDmA0umCwjtRjkImRwqWLTp9hUxH2Neo2pHhbijt+zG/H8b+1UL2hNAE5UDACccd8TzCvK9Yjz
a2iGZ1srUzK3hTTdwSF3Xe9eITdw+Ntv2X+8pT+tGCQS8Td+XLAabhL4f/2WnS6eR9ONfdpOrYWK
GmJkRrLmnm1pwTA2qdQLIMeBor12GXXOkQ5yB2MZbiPO5ptwMDmodfrxKDBQyCTh8HkRLTm2nYM5
M6gvvkz8YXnYazMh498hpYwSGt/Hq/Ba9R/WYV83bcarS3v4kN0AjLRdbh4Kx88VBnAcWdd8jpVz
dBtYGcigsJPbgOCEayVP0AQ+oyNqXv72R/LX8aUodijFBH0/wqeCmN5fJXy4obSSFvcy8axKIST9
DBvyS7io8zvyEOhd0AE2QOYZq0z8nVvwd37oT9cDv92LcSGAd3uu9xjY98db0NfJMAuBeTBs9T9q
Ir4uoX+wjUzybpNVqjARiMJSrfsCJixG9vjLh1/HY2bHadj/4x8EBArqhC7+cEcUYeLjH18KtkEi
Ww7HmVH9Yxl6VPbioGwVwGibTmGFCH3kb9O+7ehfPoX/PZHs/pf3+5ehWn9MD/8xTPxPZZf/dbHk
P03d+1Ms2cE4YGhaf7gE/2H22e+/TPLHP+P1O8/8f7/x7yeUo3/zKaVeglvYx+wx+og2/Z+Isvtv
SYwvoOhE6BRXFVcT+8lj/hmGSDpIC8QOphV6Hi61/49ElJFi/astBVso0tGYzIZxoZgn+vvrfziE
K88DJ1/DBkcBUkSSkVPQQlCAaE9z2Xp7krg6/41RNIAXe7n8v4RR+Ohc0hD6xD+BUYRxB5NgNf8k
RhFNDACyjkEP/kswCo+6HxWK2v92jIJxDNCwc/IPYRQYvTAfIG7+fYwCUlsLeKX/H8AoPJyGqWvi
fyVGsTbhtcMctz9hFNUcmFO8YKbW38Eo4Ae5pynAKJ+/i1F4Lj8NZvnPMQo/hIqAxMW/DKMYgi3M
alf8f4pRMLnrKPTK/wSj8OvGFoT8IxgFb9UpQoP8r8QoANVbzAUM/h2jaG2LXApE+/8SRuF8QTbk
H8MoNmcBGMS7/xJGgVGbJThm6CnCtNdJ68sSgHOtA/OTzjFoBUceOmJ/OMFyCTCmCZGzWzyzw+Db
g7M0d1V3HPYru7sGs5mglQJu0N5UMuUgdHlnAAxTVQcXTPC41RaDxrrqB8C8NudteI90W+C33THZ
wM0sh8u7KlDUoYiQhKuqp8nyb0s4FWTwCi8WKhcYI5r6mNeQkTAwhSTmgXhM9wAt1R72bABHQwIu
4wzD1NYaicoZiFnQZc7iPuYExVVJYasDCAeftAVJZvi2q91AZHgFV2IRXXNX7xs0q/dJxLs4shiR
BGQODumrFObaNs5wTKCZJMp3T+cERxDG3BCbVj18dhffXg+r2sman6M+GI4eDZ4XTCjYcKTPVQ8M
EJFjV2GUUmuaYh4g+gvnVzsBRsLEiuAQdsHrNN9BMcKGF7XIaNI/S8wFcGv5ffIx4WiDI4duYUDI
uh0yxqCBrpxnGLhazuN88yoBFAChvIb3n5ua+hlQ0Hyr9T5Bo5vCEDBFxOvT7ERAXYYKzHuSQHsF
86xb511GAJp0tHql36+mQLBgmFhcilcNQG63gDhZFPkUcP/AVj4cMJ9tyjHuMqonOKrgGWBV9VmI
eSbp6uWVngEqsQiNCT7GzZE7TSGsDQty1z4GVaSOEW8WhGc1g0LrorDEiE9dtqSXR5awSxj4qhCD
ApIiwq5YDT8t85OjmNmtrEe6FDPv2IOmN/+LvfNaktxKt/Or6AXA2AA23KVg0laW9zeI7qoueO/x
9PpAcjjkSIdnJkaa0JEmYngxbJbpzMTev1nrW9uYSGbrXsVHxoszYelXnNZPj2WCgVfB9KSa2a0+
9d+qdfhAiN9yZ45PS6/Pu7lSLAbfBauZrHlYwx+F1SEKQclYo1MHebOcWOoeRjjwh9QSiVsXgo8V
A48YHZdi82/MSeAULZbXFD1ggPBguGp11YsZqJr94DmZ8KOZrngqYN6NCfOnQgRGn77VPfOuWU8/
pAkEgVxbl7d4J/ow289Cv02j6sxM9W2upO/0XbAsQnh1r0Q+5qCPBNilQvnoSyAyvrpMCPKuk6XW
HpZ0/G6ZzXyFVQvc3S6qbFbfGXoAyriKCYhV++wLgkSNeJCZSHW5dcQcSpYLCKF/Wb/yh8bn/z7W
0n/Y1FhY+nkc/rSn+V3W7C8I6F+/5LduxtFZrNJ5oISShrNF2fzKW7J/slXLNBwm3UArQXZjZ/4L
zZlICRocWiNV3zplSQ/yazdD8BcBeVsui2FpzAMd9R/pZpwtPOSPAxIQ7bZuMRzRNGH8jHb6fRe8
rPag0+/m8G2n6yRJP8OhUT0tVE/2VIAuUJrbNtaFu3T4n0Y8bZY9nXTsRCh8PqvO/KZpsInMHxlW
x12K8ReBWXM7OHPk2ll8sfXhsunXusGEaxspJ7UupJun0g1HM2EZJaLDGN9rqeMlUpt3kIBxHgNz
5hAWa1AasG+EyE3fRshTlPl9Y+gvasj+OkZC4seYb4r9Grfdmb8nqgyhfs8zGD8OE310Yaj0rJHF
WGcVgZYvLupI3BptMjFiYS6NEEZxIfAc4gprnsEsbhL1t7TJkxdD/KgjnOXjBNkhnh9EWjcuO4gK
Ey7HgGaATAsNrs48zK4qAHpRWgjwv76QTMUY03MeJeM+yYvrInYSV8XQDzUuxhvjYHo1MmPAUue8
m5sIxpzZAsGMqAWWYFzjN3BkbthvKJxPm3dmMxuYcgzk6Ddqrp7LusOe8ncbpCeT0kOyZ/k7DNLq
ornw6f7FBunEWMGlhPpBJKwsOmczBP3XNUjDz1T206jd/J8wSOubQZo78v8fg3TlrMspefrZIA21
6G1Qcc2Wg+IOCcv7PzFIZ6K81PFbB3O+35zmxeS4ul4esNWdVoEby6z7L01ErD0ResegLova/I5B
7KZje+ING7VQ2/iFwFlfl41oqG1swwnIYQbssMLCcKkk/MMoimb4lCARNzZiDCSx22iJooabGAJQ
7DaSojFbP8yNrbhulMV64y1mgBcX2UxMQ82nCiSjWWy4RdgFKVacnoHkdePwf9RTK6POV5Ux8Veb
f9MmWgXGubqNugitGQAZGhGz8bT5QSmzdjeAipxARmoFCHp7+UI2p4ebDTVHIbSGFgTaLveQws0u
4KOA16B+1ITuF+H4lOhLsh/HgZm/EV/aNhcoDNHIRjNOescIPXWuoVxONm7gsD81BUrDjYRZocxp
qgnYBUTfaX5E+fUxbOxMVn6+ttE0s7xX0KKWXzLVX5uNuFmWCZ6EcPSXUHVcEwsi23F5X5vtaw+w
E+thi25fR2hERZ7elIA95Ub4VEF9IrUUx2mjf2pgQFF+UXqbkEFV7FIx29FTvFFDk40f2q8GXFgB
Zceh8h42ymgkKb+nvnzE0G/gu4JFqvxMJc3hk04avZ69MUsL4KUw1kMYc7dldWg2tum6QU432OlG
PRXgTyGluPrGQxWAUQULL4RUnybA1OkJR0ayVjcdKFUFz3++oVU/p42zagJctTUujgQE67CxWFlI
DftuaoNk47TGfXTsVSSsZEHA3jJ6z0LElffGj3yjvOIPxS6GZVPbCLAVTs0zFeJtrVExFntj6j+G
jRnboXryYsi4+dQ+AMaBmaqYK8TRs8AYF1QiOy5Z8pX36TGq7UvdoK7X80kF3CCv1AZuLQuliDGn
x3v2XSk+8366KqrqatV04NA2SjWj4SeL1p8UFqC5ndZHaxRo1PUUR0/bnrN+zLxsndqTPgPGQiZR
t+10HA0qgnwtHJ+3ECM3cLHJVtnOiqd1avKDEzqXiPLhwOfxeuqRFg4F+ZG5OXoVjqRd2N4pS3Nj
VrDlVShy3WAbAVqG92ze2NRszfE9Ic9a1PAoJbCUITeB26dsqmwB5birFn3fq86tPtSXZkk7V23X
tzIu1P2U7sNYUo47O1hOGwBJuU0140arAai0Mr52Kkqjpk6ORZ/ezXHBSwz0xet7rAR6eoyL9Lxr
dBnvernSVK/re73WL9FsINY1KQFgoOWBU/ippswBYnTIhg1v4Jda8aEEHKe4SmsRMtHkz3WISx7V
x9meUO4izHst7T52h74OA0RAaYzdYAE0eE6GLgoMxHUuTsk8EHkDbCkxjrbmTJcSAwOc8syXEVXT
UDYpHrlll2upchqLBA5J1e9Lae/BnQhaw+OAypmlu590CsZtFjBlVSK66fSrsl6/dfl0L9vYQo3f
Alyr5fdCFxyYa0/ZI/L6Rs1XiFY8ZoWd8TRMDkDbgxxi1Kk1rLQCJftFVu8yXdNTPlIrdsltRScK
nTl/q4vlebQXxx/iEeS/NdYnXFj1KW0hGYGJ4/F35F0+Rier5m9fTJGAzzvTHa/xfjJhpWPxeg41
9jYiWR6AZBfo30gKqdtiU6eM15j+b1QwkGDX1SmIOZz7RHzPGOy7VYgsLO4mbBnV5OGZRx8eM/pw
xlJ/TaIfhZNjeFBS7WLT/VcIFdF0zeNp7Q/5uJi0r23rx3PkQ+1tb6ZFWXhyItVDpOmqqfre9Qgo
2XW1nl7i7atxc9SVVh/nOrxa0Ggd9XFckZyYwlV77SZcm11YkgIBXXqdlUe1/q5a2Dqd7lVViqtx
VX6YmLrLddxTlLt5vWyGxOo2HXF55M7j2oVoayo/YY8eYWSgPv+ZLm2O5TsDhWPFaz5J7TBuAmOW
6nIab9qK30nk79U0gaXDcAm9GD/NqJrXZSJRI83PRTFfIvj8hShuTS276jXr9CAL/c7JOIesgoMd
o75tXPeIgFnnKSfGNg95jNzSyK7y2diFEhnDktpen5ziMQsKg533Yp8ME9IMFm3TpL8NFS9Vb/To
mA8OqsveX+YyQJCCH1rZjZm505A4uaEt923dvmpr9bApqwpzL9vqoVCyTxDnUJSLs+7wPlWaSfzC
55ppj4wgL0taeuqyXaEh0tJSHmiErgYFsUlP0EjYBWVV3YbdcBlRY5sYW2bc1MBMD1NLTW9qOIfA
CNad3w+4WCaEPYnuj+NhkXmgDV6LKGWy5PUEkxbAhd+06gaFw88dXWMDe0SHdM16/V3ve39Uxkv/
68s74lzQ5blP21cpzF3BSdHozmMpw5MKROTnf6LRn4cMl425m4YSkHvxLhXY+JCZ6Bz2qdk/C6EG
a5mXHkqvXYvtmEUU10dTEjZSOTu9IvGGpVkb6One1K8G1Mro6f11jB6czLpSuvRDZJQHal8MuBgj
C/9dfmnGT70As8iBVqRPfQrGsBFK70meTLqMeyYgZdp5cT59pDnHlEk6mCtHvN/GAgpT9nnv9mN9
49xCf2qR61vY5Jbio5v7KsCBfIsFIkBiP79ara9iqnJbKyS4YKrh53V7kmm0YNL6BsrKflAj7cXm
mBdOazzMdnnHeY+DVpufCqinQYapliQAn2kd1onY/gC7pGDHX65xnUjXXMWPSzIknx3SSEwo9Q07
PfrchqEgFHHd7YuKwgwZFk7Qiz59GVH8NYz1j2JovXaMedhyaPiZ8sBueqG1G70tM/VQz2enR5ZV
6Wm+G2xzbyCtRn4AEKEfSbLQ6H/VqXxsh/BtmVjl2OqKWXVBFmxr6i0/na9s3TXRx8NcVkdM1fSu
6qS5PZpLr+itWxsNqJvE5oPdIdpFFdrCQVD2xRDewwxsfVNL7nH0fDjq/JI37XlhFP8wxcpHDjPV
IsjFn2rlTWm7Z8yYg1/1oDOyri79Dh3Yobaupu2kLUHdnzplepdj1x/t7BV0RR8ge5ZYa0irqXPl
Zs7yf/Fu/L/wrAm9F1vr/5jt/d9HUst/y9X9ddr0yxf9Om2yfxIY7Z0t/w2RhcZ06HfTJotCkLGR
LVQT5vD2o/66O2fmKe1fvmJLZf5t2iQFTHCLjbsK+pdVuOr8I9Mmuf38P0ybTIZgDK9sU98g40L/
G3YuFjQjVNeidUV0Z/NpPCdivtdMJT4MNe3DUrU+0Pxqp0ZV6MoECpzZ6vu4Zm6aDxZ0FANIV9Uq
TmBXLYD8OFz8Zsq4YhCJH3CU7Aa1CQMdoZmLQLDGnNWt7vtjjiDGTez40Bfzt74f0TPH1j2m0Y6G
MBaYUblHshUHL342CiRIYhzgX+OCMcmUje1B8yQtAA/TRrtR4+G2KeB2W1px1zpwdQpZHoQx/Cgb
BTbZXOl3k9jbi4AJkJOGYrbjuYij7oAJod5l44TunuddV3u/7dWJjKVUdzUwsJAH+9cWY24+MISb
avuK7DK4ljq/wjDDi0h1nbQT7budHsMOuWmZx7WbjXyjOYru09H4QgPuF6Lah5WsA6HRqqGk+8gk
yTZy5j8eCAuq+9G3Nh14IRjhM/EzgyVRj5GjOGctm++nCcJYYtrHLuv34DQ8p0FUbmnqmerG3hO0
EPnGAGs9D6U3jlO1a2eOtbkNTY6W6rsxGv2uAgaATzQND4l9RbF0mxihju8aV9CM9QIUqdWDJdh8
qlxbNTOudY0+cBhR+Ekm6E10VwjsSE1dZC6a7QEXduvlThgYmiVdGT7TnMVHu1rSfYbQ/2wb9Pic
7dWlG7h8Y7wV4DfmTwSxxh0wmt5Lk1y7chgGPrbC5K2xQGD3URm0zXxZktHwF9PTFm3x9NXKzml9
ELMSQR0Szt7qWgH6dIqO6oKLWEU+R5MDAgSIF8kdRCHh6h1OrAtiWFirYIMCqG8quuuoD3dFKqxD
M7KAWlPtCiF1FQwRAsWsL0a3Yn3jZiaN2myNrxhMCUvrWH4VbUlFP+QvBgWZs8wQPcYGPsqw7HUU
i8moXYXGhMa1KAyoOMslnrZIjozDWpXvddfOKO30p2mtv6jq5NJ8EeSTBSLLfsDpPOY1ddM0NcQI
hZusEqBh3X6r0mHnLP13qnIGDyVoZGT8X8uyXBxs4Ekuz3YxXJRpeEnyHhwejlCzW+LzZiMo7Fnb
JFsxOAD2KlUk7hKRXy1qe0+Szc1ICBOZfsPFVrS9Dcac+CkIx8I+wBA5FpmgbpLJq2Eu3+x+/G4O
XXI19h+lsuIWn5vmBNz70C9V7Rm5qmPODy3XMLTFX43+MPZ1vIuyReyimLp+qvBa8JZdZTVllxkh
r0admR7iLnfpc4iZKsfRVcL8NFp0Bl3FJwobDuNllTe0pEetSBeIQH/oWXk/hxhxYLoHXeqsGALW
r0nF3JTNUt2Di8nc3jFehw0VBexrvUjFvNMaTrAxLR8d/bus4HRUBkNkI/7WE9uFEaHteHPG0+z0
mVvBP5DqBCcIhIxhV1eRDojT5FaWU3QeZmSu5MQEucgo79JPVdcPQAtmNxblQyboe/ho5+XJHquv
MOHPRsXG3j9e8Grt5tR5YLvJsKhxvHS1npxqhF4URVhlm+444apsFd3wDBPuWJLK82imx368n5bc
wbcbQvnZ6A86yVWWtdPtDbpXD6QY6dSf5ZwFOuDGtdDxKCFWb5PmRQVKNxsq5VBlHFKdJReiWV4h
5QRmSvOaWQWbtW6zkKcop660UAAH5mBcQf/SgnKBhjWlwxlL1ohaMn2wRZl6Y31eYbk8CHWLSWNh
2jvMgqySPnyyPq02tPdaN7zLkMBBfrM8H1M/rLTvY4sRImkMB8U+0sIMllKpznDiswQvXHeZOh2f
lxF9OPbUPHSdpnqpyKarmgSwh1a1HqY1rd9rvRx8Z4KG1rdz5XH0c0RM5cheFdNpjHrZ1dWcpbcx
D2T0Mb+TSXOAmjddaVCqANnM6l7LawLXaKT6VG/OpuwnWgoiMYeFQcBAhhfNG9bxvrvh4CKoUfCR
tGPoTSKWQPmAAfIZmm7NZaYOB+Kqq/40OMUDxxuGE1PH8zFdCQviQRgZb9iPqnfjGb7Kem3L8qxX
DXBlI1ZPhs6qknHQYV71+ozDH3QGgWouNIvE0zFy+FCnoEU16RVg9jaIE3Ief65b/r1Q/F+mKv81
iYWAWNPS/nSh6FVJ8b399ntt5W9f9WuVZ/1k6dqmZDQcbloqF0S0v+0UCZYg1MUUkpmPaluUcn+p
8sRPhqrpkqWjgV/vDyEuzk+OZqusKIH/qwLD/z9S5Zna34quyXWz4DRDcYHhbLOl/KOy1iHvTE0E
YDjNKku/rIrnWVN2PUMNbs268kBVOF33I3Qs2v3wLp36Y9akqxfj/HdXe/aVDCKQ6AgnbYr7DhUK
I7jjUGYfrROedbu8n4YUCCSE26mzfSu6d7obE2wh46YdExVmAAS2VaSb5eIapOMJ0cMbzEmQq4mb
zPrTrNvfzLX02xFgoTAxOoRwZeY1QbJS5DtUDg8m/rYu07cwJUkuqplQpGE9c8AwyEolGUAb7lJq
hyv5blAoOAoBIpt7gcCnGYjFGHqrNQLay5wflVTfza4DXCPtGXuYNQKRRtdVpSBBQFgfZSK+Ma/D
z6h/Dlnz1GJo3mkck5kYX6PeoPws+3knAQP1FAeG3eD+p9G0n1K8xXMfNE39FDnVPY5wf+QuVSvX
qiquyFCFA4rBjvAvoJhHQ4VHmsYh4LcpcGTTYwYb6NwNJqExubWh+GjtWzlt6S1FDvg4pOLNI07t
Mk3vAFu0Tntg5Dcfi41jWJmh7lskl1bFDMFJy099go027MYdc12+rUFhzdk/tyLG0so81MJzDrg6
71xDVVSkSsOtBt3cLeI69SJr3GUVg35J9O4soYXNwAtQzX/YzqJ7VaZtqmzTY+OeXa+ppWJEW7RA
RKQQ6uvwYxokCNYXwOaav0DM85Bwn3MZnwrlResYlKnYvZtI6CSXNsJXbe4Vo5yi3ZBDxQhBxh2F
fF90xrmk/iVedW/XS3gamTMc87i5qSV8RnVl6oTF/JCoIqhyvEkhr2Cn0jq06ozjFD54XHQSZEhx
C8pSIyHRuFTZslt0rF11gkWafQ1Anh30ke6E5CeHf61rQLgd+YHPoNqVm7RkmoygN4arimGkayWR
ehA9aGxIg26TkF+bWeV8QWYz4uNR3tpEwTWeGodC6x/CtNwPFYkT+PtLkHogitmU6PZ7Hwty10bG
0LD+kGgRS7wq9DuWCdEsLZmrqF+hId7WGB3+igSMXYefWAqIJsjj7VAKBt03FMr145xiwGUp5UXA
IpMxNynWKVN6PKR6BtrQbl4HM6r9Tt/SePj2doUtYpwu4DBa/j5M+9GxBM1agL6bi8iVDj2Jk6sf
G/kcOT5IHdYqTJtzaHvplZrbp7w4OacqwqqyDhvEYWCkE/8o7fXDTMZTgdXdbZzpBZK2BrjL4yN2
7vP4hRSC61ER15MNnShmKmxceIrWwm0dVuIdVACqbRVdDb0bs9yB8cyMRybCm2IrOqg5x97lCuEy
g543VwZUBAL0Yme3qES5MM8nIGcaK68s4cM45Q8G9aa70lKpcYRXuypSL4mOhVnrXoFfMRjoUpet
XQVLDyBMlQsvUgk5aGtr063BrXHRQFIHRFaNmc5Iu95rW0PMYwwFclt4NRHxc1vbTB7LfZYv+blT
b5Ptop62K1v9+fLmFpfbdR7lYeyl2xU/b5d9rkVsbCy9PZhUAs1WEsitOGACdLZCsV7nb9VWPChU
EepWTgzUFdUy68DKIFx0c/HQgtgGpJXoZX6pzOG234oTdStTnK1gUbbSBSCnPC3NwE6VsibbChwm
ff68lTzWVvwMWxm0Ug8VSdLsu6ZR96CQYAluZZNO/cTSEfmZ2Q4BhMDBZZvHh3QruORWesGH4tXd
yrFwK8yarUSDSFO/d1RtzVa+ZVsh128lnSOdBZt7Q+2uQ1HoHM6VNbKtozAHccdT/iCIT4JXB2s5
s4hyGMwBc5atydtINPlFabxQanuHE+qe2Ggb1nrKkg30YxDVZhqUU8dumNxECIuJvKOP9tpchxim
lPU5BYTxuD6XBcIKoGO3akZfVot9EccQORQr9komCCYySeZvCwbg9VVroeiv1a7I+E8YipSeMx8g
znR+BTQuCHus1KtO/gcBi5wGifA6bTis9lTvjGTu9mXSI7G04wHOGOljs9Jcsno7eS0wtargiJ2G
DmK844X6Cj+yzj61VbQPa6GyIVE3JCNYDW6zwjd0j/AOF6qOydugU1Uz4YGRYOkcYcU9wkoTc1uM
7jK1rxPd3pU1ubKDMgCrYH9+zuTkr1FiHKxyS57WmOFLfPB2qOEzz7EeDuUbk4wc8DHwQVOBEoZE
Jgs/i9wOCgHZPyln5TipF3tiWUYoUxaUOamqs94zLoEHxzjiDVa+eVU4ESGpSzUeDVoszS4ynsn+
jkuGZwCOIU59VKXLLSGOTcBJZfOmgqGxh5pLuaPB0XQ/k4BtsfVClLZ1OJmkUXtVzr2RtAT9JFL4
UtHsC8ZF5LXiOTbRb/L8rQEFStc6kpsVtprZO3yQwuojGpcv5sic79PwBqslOjO0i49JCevT1PNn
G8fl87YILJOaJFrIb1aDrx0qoQB9Ues7+LWvg7FRZlfxLVbi+ykc37r6JmOxvi9jhvhTWhxNraiu
tdJSWICSodsP5XndEjnzoj8vKqRMhW0dXCLEvQl3kNFzvIkoPUPjAgnLNoJe/W1Zy4Wt5XSShtR8
JLQXiknI/GHL06uarhlz2TKoenGSR6uEsshg4Eq0GDfRKTDpGc2nRCSgUIq6xVeo1l657lKpd4xj
eGWZojHr1xpaL+Klch3ebW0YL1BnLOhKgL2rlANjWO2YTwgdTpl/G9po8ERj3vcKu2RDlJVbFV1+
VkFayxhw4qgtnQfGAhB3Ypf+BBbCzJn6NXP8w2D1EGhTmSNmE/IBQOSH2BRlVvkDZNp8nvPq7Dj9
N112z+lldubPcmR5xkbgSyiXqjeYBXKWlasZB5HmXLOw+GR5+u8Yy1/anf+8E3Is5087oZ/tYn/T
B/3yNb/1QTbthSSQEs3lNk3+fR9kC1SVtDJAyhySK//gFMMKSudEN0SgFybEv0671Z901RFM0Bmj
4+4S/1AfJJ3/2Smmbb8wrZipYVhzGLn/XluJtXoxbFEDM4ucJ0nMnTs7e9EQcdz196y0w3PFQ7fH
hv0Vo2pX4XzsreVljKyIYyYYmlSQnVgdcXZHblGrZ6sZ4QzP3yA6MawR2TNSG+QMFXS3pL41lUlc
mFjfEpL3NWYxV6RogmSoz2IsJ/bNjFpDO9sl+HF7fYRXp9r3KuEyu2KkGgwdgqNX1nszuPNAy7Sb
aiCpK79IfdCuW9gL7H0aw+sJXW5X5n4Jz3lfVTcESTU7x4qQexQpU4/0pqlRK2XJEcjidxN9fTun
9yXB9gDC0d+oOOhvDDv7Xupm8VYsJ2AIPUb6KffLBo6bJqmfFI1rQI/KvQb6qCARWrFax6tMs7iB
25UyREGbUoV0TRojauSkIFarAWQbovUykEoMb0K0VFyoQpCKNWXT+Usnb5s+vpUqtIfJZBjeColZ
YH3j4n2SIzW/ULcTcTSO6ZAoN+2DXPqbqhVcB+vrgAXVjEhYIi6aWXDufGuGfF9n048hRIxD2sh2
fK+f0O2vks0RjVHO4vfZDbL6WhvxmZOXsvb9vo1SFBZpckUgShCPsiGaZb6YoH1JQXhoKe7Lrql8
o7aSndlmcP+YP8LSHqv7PKEitRDDHjjEoWp3AZNOn5EielDmkxSNT0u000tnCcgRZ/k9qTlxVzMW
//XYGhMDv3+eSFh3X3aI56KsnRd9locmF8SChfdRVdtuuMbFnpCD06SnDpWluDeQQaJ3Azhsgl1O
Cvmepc51RcdzqeqexiSeD/1IPxkpo4+JPD00WWtwCaKn62sLyAiT2KTVj6W9W52+vtOgjHANw9Ru
yq9uyNurpNxcGAmGrVp71D7mIo8ODTx+BmN9ASwOCpJtTm+FxXJ2xXkCmhvqLutsTPZWJ16jVPtU
LIDDGdHPOwI9fKuTp5xC4BKBVb3l+gRZoMAFJ0xNjjl/sdBEwpZ0IIDnYS/NzEusAnznvO15Z7wb
GfN8LWHnLtqsDMa++BoXHpEsoqLqu+26yzV/XUJ6gSXQ0Hi4WQpk29z2tyEQSDDVNRLqjGno1H0p
a/+YyxpunGL4SWk+L06twZVPwSwmwvBEVHxOI5GvMhwuS6ned/n6sBFCcaa2bIL8odB7F7FWHrQt
VLAqSYMqrg+wk8YMDQoat4i89eZHyNMD1ZcENSYd8LMgGS4Tw4yh5BFXaZk63xlmvC8vXR4HA8Na
E0DIOryX6WcNcZZktrZGZ+KcnOgo4u9W1HgKOYOIq1xUaZTdxwx46pizzmHHX8sXthdYYNDgTW8r
8hSS4AJTeeu2n8WwIv2qun2i0KdBfWLvtZxHh7FC9ZCgx45RUzKo5DOHCqd7GcTOMm+19rQiM2iU
N7N/Mdph++Uih/3aYTFvGob9hVj4+8Co4KvK7VA2vscZ2QfIQxwOGkdDwcXMoSbjTBi+k8deq25c
+i4QYQcAF8HE90pAnaDXyCy/T81d3Dt78DH+/I0zjR7H78S8TzLys4ZrMq4O+mrvieVjdIP4nRH6
OqLFZsphR/A/SSWQiuUVuUMtvxusS110iKUW2remnR9lnqVnxm30LYBXWKaldCr2iP1T6ydvkTXA
7Kl8Fnqe3lAPE9KhlLdIZ7JD066HLMpV0pR1ApSiz6UGog7VUO4sodf7SO/SB0tfXxemzqyBkjiw
kzueQufUrHyjeZZpkJvgXvuydDzLShJENPatUODTJFVISH2eMRhfzTMy9vKGdDBezaqF4kNen8vE
8VlLbIB+FbYaxa6h31qwRSLC1P3C0lN2bhR7ERAGG1llTPF4bGsTIX7l3CP32JHAZTEUtN9pMk7o
Qju0iv0z8Ji9lF3rSh0VRRnBVIDZG+RKpruJU1/TS5+ElX1f0gV0XZv6UQvYQh3J+BLJ3UquhlvG
DiJEZnqoNo91hT2umzbElLJ+09VGo1knp7lNSRQoJOxKVczPXcNIgsshIsewxK4El28fTuOLPjYy
6HtsaImERN7E8prcDUYvsfMoefpnqhTE/xNIdMAp3rQkCAL7lbS3jHNaRCrh6fZtS1JKShANVonx
UtR9xBxy9lXDpoOz8tabaZmUej6mdJruusGt/j2QL3uyUv7zMhT96p+qLrxvXf8jr/4b5Wj58Tfq
C2g82xf/5vVB1wBuBC0Fvh1QK/zRb3N5DWGG3JQZoHuw/PxhLi+Z4juIe+hIdKnj0PmL18f5yYDS
wjDdAsIt/kGvj+ls6em/h29AvxHAWlT+t6WYm1u9+jtyQaGB7l1C2MpbTz5Nj461Qu8motTvZ87x
ri8vpQjfwtHIuBDq+k4xHFT2KZ2vqnXS07VpvtM6juUoN9FiVKztWMvro1Yw8xQHSl3t3DAzaBY1
WNao8kyNjX0xe2tfeFLOzhEqK/vAonutmakUKueq1iG/stw4vEHAwr6WQfi2hzy0DBMITmAi3xjk
jW6mmXS0/NhiWEJakg2kngw4COe1lyqsTtdQeH9nnpC92LdoUe1/bZ4QD7uzq0aEFP0/lSekyCQ/
rOr49M/lCSX5aJ6NuP9jntDQbdkwUInccfh/LE8oLKll0vkPeUJrnzyqujb78KOfiJD15rmLvGVm
EBs5X8R+UFAxVZnU+Xd5Qg4hzxOu77/mCanUpjqX7f/+PKFmDamYw8CsFB21Krj/vzNPaFZF+JxN
OWHjdvQMZjfzVoMHBmLctJ9X2BQ1XONyUlzZIFsWPcu5NulB01b1ZWlYHlQ0g2gUqGN0Y3XB2fJJ
yVp54AzDAjLBXofT6LBEgBrM5VlnHVuxOeJSdRBfLCGphRrywCUmatMkMNYYV8jARf44CPPR0HjU
mbX7c/816QypEeabxE/NNAlxdEOeCOFDxWGYk+6Glge5f2rzSyhzHqxYfNcBSQxp9OtuDKugIe/d
XVsyu9tw/JYR/sQczH6B3Xer5xkhwrGiQHcbUG+VfOM4dQKr0ZybcRWngog8f21pZ4vQfIf8wlpA
rGeKkQjtKUeQouZB7fQnBVp/zuwJliHD3eRWiugmiW3p//zy2L1l7KNE/5Eoy9dYqfXBKDTjYKdm
EthsEkAdYsgmfwbhgDmeNGt+WDBd7Il9oIMkTRy4teyR8jgfxrqYJ626mN0W8YLPw6fijT0dSfJB
n+OIpgGF+AJtNWAZbO9ZPwL27PZZHdt+Wlump9Lr4B5KtGOVgWpd4/qoZo4nhha+FXsMdnLsP2Ln
LWO+SvGMamcU+lPVk8yn8udmWzLi3tLM4onvFHMgV2hnEi3/wKZ8k5pIvJpyZWK6OJE7yUzxZ5xP
10qY9bs6X6wg5H2CjFPdZuyiKcUJItPWIgsQ0RBisfRAA8o80MOXnkXkgCojUFQ6fwKNsuulJkAE
G8jZ2rZ+K+s/p8OrpeKT1CmZ021DqJjjDuVb6uEiRUXFGlH+D/bOY0l25EqivzI2e7RBBoDFbBKp
KyuztNrASkLrgPz6OfGa5PQ0R5B7bkjr112vskQi4l53P670xITiCnop2HQPSm3Exgp6QCmQA1Lk
jCSZKW2yR6TEQnsc065cM79yyqBjUr6OkJMY00Gbmn00BGka304tOERzJKuZKT3UUcpo591oCKU9
gmkExL1UCmrdFZJ/MWys3A9yaXKXRG7NqhRtN7/OkGHZ2yMzY5XJ0HuRaTWvumuS8pFLn9XkP2hX
j/3eVspuZutovP3PpDTfWKm/eiFfen7FO6ULDwjEHkKxweqjGqf3bDHB+zlhz0k+8BOhfLbsnWnr
KsW5wqlNn+j3rNb0i1KlQ+RpCtdlEHeQag18i9WL5ptECYyOKXtEYohSMlJ2dkgbUAgO86wXAexi
3bTLwQq7COSzUsphL1Pp5SPZD6PJu6BYz8jqKfJ6SG42msDtI7tHyO8OvIUh3k6OduUOHPnM8a5S
68PuUhq3kaTsoBywzschwYf8rkPkH5TYXyJfov0zbdxlS/kDf7JYD8zmhjmjbSvHgBV3BxsLARev
I2uGb1ATYUpWrVdeA2ye2yVMYTPjJjCs8MWvwmsLn9LW1/QDxUg0A5vMgPPghfulrivKN6zXqaUp
edKp3rLptCqIOwfSi+ny1Jp8XVRgLfvo2RIe/V6NoPTPrD9k4V8pEvUx0ifWN+yN027b2jhbyf8t
/BbD1Anfe0cMG5HH9wPph8YXR7nwtcVsyLziDhbBwRhfB5ppas3H0DMSfF7K7pYmmENqOfE6AkzI
/Iiuk8BhHbP+1UuWS1qYJAksnRdDqHAi5kQwj1SaRLwcHbKIdr7TWDcFki5q/PZcm9wcXXNuiSDm
iRF4cuYF2wuLqoraeLO7+M1MVy/WjpUwmqd2ODDcRPvFobWsrtybWZp0I9kzfN0wyPN+3tbeky+G
NeGnh1BLixO0XXkI+3lfZbV1TMVy0PQiYfGZ4sF10y88ufc+aHfwf+SlvcoYdlXHHU/A1tulFSTn
Gq3SM7HYJ3BC9QFduiMRhqs13RlGqbMZUPUlc8LX0Z3Rh5INSTlK/pxPYXWEELFfQvJdqJ9dFdqj
DTGJ3qoKQkd/l9v2NyJdth6X6pOt7XU/RUfR1E8OGN0t6aeCtamVnvzlaGSGfQprezvX7WPjiCNk
5nNokfmGf08Nkr8Z9YQ7BdLv3H2NYbugvFyz3kXz92KLSy3ohpYfFSbjjO3bmAZdljwUY/LWz1V2
kOpcyzCO5tOxGuf2dqCYeKyZT/OqMgBFTNHeqummCjnFF9UiyjeWxscq2VE5so4rj8SjS0+n5WP8
HOr+zhgaGhU6gWmrx7E3ac6dRa+T10znf82L/+C8iK8KxeB/d+lv3//s0YfTqj7kb6qFrZuIEh7p
SNcxbYWs/NuUCB/C00E70N9g4KviX/2VCOEyCtommobNf+CwnvmvKVH8ht/Ls9AtwBgKBI9/xr3l
qpf236ZEV/cF6yTGRAZOmxf436dEIlHLHHOvW1k5kWNH4F2YAKhgNaE6xoBxXnZpuI46FrbuGGKT
ztxbZAWq/oSyvmgJim2EIR9bPbWBb7nm2wft3qtuDIFLpO36s7+E4XUpog+zusHnpu2cauo2lui1
Hc3Ih3bu2gDCenpjDCmUXUSFxOiwNZbmXT6M0BFm9eCdKB+kVk9r9IeGAs+gL6j7NtrR3oHjPfHg
Q06O6+Wk6elLH5rpden1t5697c1Yv/LHEZSnG7LQt4A4YbQ5iH641z246dOkX2JZzZDCtW2hN+1B
mtorQaztnM/PJOSgns4YkKPOJpvwCWE0Rv4dTG5LhOS0ZSP07hPFdQfI+K3Kzgckli8vA2yh4aJZ
Mv8NREuBDWrVOfJ1tvyXjuqboP+WmveDO4S7Q1UF4OG7VZzNb5MVP5oWf5JXxE8LKoVXZTS/NyNf
s25VO1dgHZr4YQVwCXd+FZnYtHscETkXpWb0Lh6dh8ubjz10xYbubJASk0UJQHl4TVtnn7nZu9dY
OyKotCY4OA8qMB5BlbJctazC2A6jd269Qu6cUHsn8HibKIfLhCB6zW4TTwb+pZhiAoKM2b1BwKEf
/HbnZtRz4pWgBKlZO4peYdFOs9IAWlDfoLAbxiV3yWHyjFxZkY1Lm6x3zb7aGcUb1S400bds8JeU
K7tTjy4cJTZ2dFOdZ0XW8L1i2w2/oiTUDsLeiGLz0Fl6dhrNaTj0VX+svRDY7EJBO7HSZuVn92lF
exnSUYx58FuL7Ph5TMp3Q+hbH3sA8Xi5px9SW6U+WgDw1CGIYhz6JpeZbDEAliuaSIuRIa6wNE35
QJouWj68kkYYzY+7K7p3qCsyNJ0lBSMVuUvjOczSu0wH/q44Jm0TQhxm/bxpFeWEQYqESUJ6sKcf
wjVu+U2P9lT1JTgjLH7JE3slwaa0ip+CjLd1Aaq4gFWKZIiw8tU3mWKucL5G23mwvi3zvQbKIoro
y1RKArAWe+ALIrN/KiXnIkV9N91AmjrsGH5clsOijb5Cpz/PDGumCnXFVHPFFqWAdu53Gz97cVQA
TJIEq1QkDDcfXXnuSaqwWK5iY1Vf4O+yiJJFXfc0OvGbp0Jm/O2bidTZouJnBTm0kDxaqdWfLvm0
RgXV+sa7M8twZ6oIG7f8mNAxqba+Rs/r/BtW4DkhGaJvpQrBzaThdBWLq/oIfxTsLvJyv4I0kKgy
9ld0GlDo+To1+QPGJ1zmKm9X03IuVAQP7PSuVqG8ukTkRP3vw47WRrhObVJTZBt697zrA+rm2pVp
NLi9im+bzJ85/ozmqceYDluMSKCpwoGNRuavUIHBjuRgl6OmxmQJN407fRsqXmiSMxxU4HAmeZio
CGKpwoh5vA3Dhg6AfnjERu6C0S9vDb917sEhbJXV8HmhzWOqcGFL/ruE1GOm4o9w0Vbk+MWKe7bn
LONLJMSmPOcXORGdHMlQVipMWalYZXhDTvGChZGSvl+xSxhiJHFsYqoqlGkQqliallzy50Rmkxv+
KilRYPtfcU5ynZM5vi0JIccvjcwnXY6891QMNNPbaeXGxWfseSerDckbmbwrm4c5vrbJzKs4qa2C
pUyiW6eN4l2nQqfdiJOVFKqu4qjYjzeSztuoP+hGDXRfYu2SIalPHHVawb3OhNwzTM5VbDT8ev1a
BCw3BXV9udnTjWa6tzFnR5CP+RnZ7TS6H8qbh+xc8CMA4RFO3+jAOHYwiC4yvM48ruSh4V7cynuV
xkBBtoZ7Npe3KU7IwGvLh2lsNjjix1X3EXO5W9H1TdGSC6h5eojz5SH0h0eGHfdkT6PKK+lvcGqu
3fE9TNwbguhYaFPt07Al3pjmLh/jB0t1/1aFmHkbQwNxx4++4vU4UzgE7lxQ/UTpKUcRzUbMYk71
3QvElZkeduBIKAY0GX9A3S9xSi7fizSPefnshfG4psS5CAy6Kjh+Oobh/MfhlhE0lfbcCPcLqskv
nllQMt9tPCtE9xr0K7IHGJhjABJ26n5KM752armz2vlBWFRjFI4eDK28UGf6ybblzUzpX6U0ts1S
jkV+bwQu1JU+uZ/wmN4yJ/toQmaYdNvYWY+70zgT8X2pGooMhEHTZg1gYiEwFo1PiXuV1ftyLL8G
jwKcsbxvKizbg7sb2gYT9KS9JJV/27jpqTXvYbWzJHkpi/IjiZC5araRxoyRII5eo9bDcBu9khLZ
GtgAzGh8Jmp+ttuF/X15LsPsMFm4yjpxF4X5mdObhpBreZqofsM41146kV1PufEwle7nZPlPY/hM
ofWnXKyj4xTrXnsgFxWEzJQOSRQdS+XQabd16Rya7Lkb+ud+NG5KNyUQbSVXvBZE5fouvoFSYDnq
vcrWm/bcGX9FllHYU9ovDAVb0fDTsj77ZErWlv1U2/2ybkWK0xF03uiiCmF4RqasJ9SMzzQzt60s
uw0VrxTn0oHYeeu8Nr+6TFC3hvmy7i6V8tdJ+CS2l+JQLRKL4Ih/IcRD94tkR5QRQIGVSsALqtWK
frpy5U1zGmgz415cI/bO8cWJOrxNtv5t1hi4Zt58s9lFK3pjcOAKjA6VQaNeGD5TGLp30qTaSseh
FTyzP2Qr8Xk2FYSwoXjkIoTfY4lvF0+/s5p23FC58DPkJYF9481WS60UcXh0X+syOflOcTYFPldK
hk6mwTYGF5eT1SfRxU8KfY5XON4PfQSvvbqf53Kfx65P4Wm+bXp0xRoO6MbOXkxTlAGI+SgoJ++r
w1uM6nkWAo8jxeYyaJllCQoEbYjllGfPeaRwNpQYH4dFbIRIvrTSvaV58R5TGHyMFEUkNL/9iehl
TYZnyvg8QnOuknrimTaMSRDVyxOxng35jJwsD+U79Peuw2J4mCsNN35GGkjXHzBVHygXm9Fz+X5m
miP5Xh3os6NwF5A+oiB7BOdLuLwWUenf7sxDkLjbGo7QjecW93TWvVmzzXNA3wEbRGhlmecm/PU+
hlyP3E6ag/TAv4YFOPZfcrAWR5lb979es5uBneE6uy4gSF6H9bJjA5eeuUQpfm55Kmo3vk9ngcNh
mh4Gr39Lyr5+DrEn0p+UbjK/K3ZCRJTpWLa9TfP5mNE9U2v5TBqtf/TH1jnO3qRt0oyn5b9Gy39w
tCQy839Kkbv+vf16/5Ml7vcP+psESbsD57xwCAFZQrfQGf8yXLq/QT6Hd++TU7SFsHSy2X+NBhm/
oT0y8+mGq1OXoEa+v0iQKgBu6Y76M9/VGTv/KdwgMaQ/DZdEg3hvYLLzMOxhwftTADzJ4qQfTJ/n
S0SgoHuxI0nvW8dG2GU1TDQcUGjJRkWfbHpWtaa+Medi43e2u1mmVtJBvRQkahttXfdKV4hYc/BG
qT4qw7mQnv9snJGQKKxOjZpJL8FuMOcdTl+11y5ZcPcsuovGICBgso1l0H3N1TZcccgDPaPGMQoR
NJsDtv0kqOvWPEyEZVb0qAlgSpSo9Lbc5WFzdhICkiKv0s2QY7SiqTxap2Mh99j4Yxw+7O0dtcE3
ZwCILk2HPvwFVvzEZtS+P2Hxj28qxdmv36fddIz1ZSYQw9ztKr3AVcqBkYZEKGkp2ieO8WML5zsT
idg1qsc9mWJnbY/JBVohjgxUiVLpE+FzhVjRGgQzq9lbR0rHaBA0CGvRdNDZb1qtGFQlNUBuvBxL
2foXQ3M3HWn8ldcouwzQKezDcUabjXUzT+I5VYoKc8s75sIBuYJVdM86zVb6y6yUmBlJZrQtmEZK
pYnVXsusCDJ6otx3Y7EqZBddasSdXKk8g9J7RvmTKv2HLsETBxmgmvLBKLzh2JjWbvY5jzKlHokB
UUbpSRZ+OSqEqLOJKVkHPNRZe1UUBjCStQSSVK+0qUGpVL++Pd0w70qlYJHIZzKN5vpa0yQXQhbD
GLoFUhDal6FUsHHhZEIVm5U+Rs4iC/BgP2FH5ABSKtqAVdm2r9IpTa5i9T9R0exHQpKHmTgpQSNC
GTqyblgbgDwoAacfdpP1Zh6wTljFD069jKoZFtvP1DM+WlqKMR2YjIG/eFjgUOrc6gI/ZxedKPnV
4EM5wdLt7DkXtjG+iutcjbO8WSZq6gci1gRjxJaSHurDluYZgtqJm8w+TWh8Y/9IaNdioul8nuC+
xSK5WC6ZpkaLTdX1nOVDjJ3Q3jEeKhMhuJFIjw6EGoajiJ1o0+liBzbYCeJw4EekNW90JikLlCy5
6VBg3dg2vcrVYXYJDFDkTg1xSGZl1uPPuLbuwrQoiWaHXWDX1XuNZhZwoZ3W4HLTDTkrcdSzcrtA
INtSnyU2+dx+WXGVrQ1e3Sq7ohGMCC49lgsPrCClwmdtTo15Lahin2ieWonMoMY2N1l76s1NW69L
XuSG+wj40VDRMo2iCUbyGdxKJiyz5KqtpbtMXkQFlc7qXl3P25ldS+9gI5yX98JgSjEi9rcObwaG
MfwFjCmic3EnNNj142U5tnh1SAW6r/OMPjD4Jx/W3ECrYoA8ye9V3drrAuNo4KNknXqbaMXQPULO
3mhzAv8uakCUtgZB/gSGU6a/GdqYH7WWimYvad5Kij53k6lTmGX6rK59+xLOr24FGKeBB5hi81pn
NEw4qmrCp2Y44JmuXSH3bDSgvw3v4QO9VKmiAddggVPFB54VKXhSzGAWxkAFwAjzDfIUVXhJhw96
HMz70DqbJG8cyUCSVr7F2gLSlis/fSqn1iJnPODetJnBcLhgjDNwxrNuUdNoZTv2bFuS58nKAX0s
u+JTjuTqpJe/4ljeFHUBJbnsh30MOBmW+FroMqDx/EgNZeC0vjwBYgUr4wwvsECYGcJJZTTD+EjE
ndjLgnGMP1mM2d9HubdnYTnzjEBqBuxcKsKzHn7Hivhc8xAyOnhDjc06ZRrlY6P40DWg6GzkCc1m
zLijB/5VxsO7SF2idY0T3XGCPBBC0HgMCOZE092ZWKxBfLWwVtn329295dkv9iSvJzJ3K91nEO7d
bNvEN4lhdaQLZwomaUuGZof1zckopbJ1akmNKQsGp0fMsyHS5a1Bb1LXX7kLF0ljafARx3N7qvW4
X1HKjiVuzHiV87zL44XkxxKTiM1cur9LkGS1pZ/1sRA3bZNeRRoCk62TzIgK6jlH3uKDxeOMntdD
xicitEoOLU2Wo20OB7oqzzaHAa+o2gkHTbuv2mbfjP42kpuRZvp9XmIQ18Kl5R+9QzLPkrnYCw9J
1d2083Dg+8zbQJvDcxhTj5VP3if9ey90uYtHb8aRUzGkTY19yLRivAxJ9hkKxsYG+Pk44otouJdX
g74tCmE8eQN4d1k4OAS5rGwsIF17d9KOYL0piw76vj4miwQ9BI/XHY3XZazfNH3UN3mazYGbdzeE
D1lA5ow+I8gJVBvnqfO9N8HctGlt4CS1H99Avsc2JJEv3fC6lXxoPmbJ1ucIMeaIjUqU7vDSHJIv
HvU3U+7cmA32zzQb56AeoGclYBlMivn2mPZ+mshj7m5yZBudGrF6mjdjNOibBJxfohPpHa3BPS5w
yqDQYagaql1fYF2dI281Jyas4cLnTevl1wMoORYu7I9Yn/DM0JCoxRSMhrnrWbIHA7rmWOnHUSHP
fZNSLVk9W6n2vZQWzvvEZSronYdKN3e1acmrMn2u4/q20kugJCGF6gMj2SYbEDYNhjRzZDlX1uZd
V7ERpw0Jxp3k4A1Hti+gC89TxlHPDXYviI82Kkc6ESgdVLI0VRnTWqVNw5ZKco+TDo6evo9m9mB1
Kk+jxL9qhIjrMdOhw2pvRn2MOcQ0beWrfGtqbHWVd60IvjaFFe5KorAlkdg5odNWEJKNVFrWU7nZ
xpjoOSWFGbJVHkc6m2NCtoZK2+rEbiuVv3X89tJGNaverg6P1Y1XEG4ktQDN1H7DpKYfCKMSWvbr
CMEZKjuFb2AMIVhgmViIpC/etzk9Z8SCOfOuJpUTzlViuDafYZ6uSpUkXogU/2uq+QenGtMw/8+p
5gTVKvnzVPP7B/1lqvF+M3TLhoYOCV13QUhhkfzLVINDkhwPzAPGE6QzIRg4/jrV6L/pCG9KTXMN
wUzEwPNfxkrENSYdTwd9rpNw+6cks7+baQzFTxeMSQC2HEdBr/5gq9TrsCsj01QykriDJstvX599
tWN/R53zw9KP4e8jMuiy6Lu6+d2x+W9lX9xUSSm7//j3v2tRA6PlWgZ6IAYf9S1RRs8/fEYuDZ5G
p3q78ifsTTnd4Vwr6o0vKM0t9Y9Rg6oUl7uojzem575TnHXdFcurMQ/BH6TN/+GViF+f6o+eUlc3
PLDxjHKEevG8/slTmlkoRhxvzaqrqwUSu0DMwQWOJWcrusjcuTlbaUmtIMeL/6Q7rD793KFY2R9x
X/g+KxVa+CrWx31F/ohKr4Ajaljhz6Q+2r5LYqbBtqxyUEDzy9Ly3LVnD/O+GlDGcp/OE5b2wq42
eUX7h6NaGmOQtlspOU2t1MI5QQXuRnewT4xuDXyVZMauMbXxQtyvytjuITixp7VK2mp4cCW691IP
E82ASQJYk317nWqHbPG2wo2edRESWOqX5xar1W5olgNbmYXW6NkmRDm1pynTMbNe562m3ToFneNa
n5YbOXsSj4xM1/kyLWfLrNp96rkJGpfR33h6wBrYCUYXdk3vynHf5yGGovwoXFQ0vevlYxi7r362
yINRkiGYuExo+R3HdhzUzHZb3Cz2pumqLy60aXAdlen8xFrroTXLdu07stgD3n/yYoRG3+sdVoyJ
tWO64Shi23tqygi3r1zzKtbO0BpHWZj3yD/W06yHqs6DxpFkuo4znFxoLFSVdDS2SBaBFX8FMZpv
nXjUVT/294RyBOHXzF+HvSpDFQfaceHmMoUS+4W/76shRivTaUf74Fe7+PyAey1ZtQtg+zzfVzAH
Sv+297mt0DE8pIx/8UTABx8/GY6FNDkPdSpc7R/JBFVLIzvKpr8vOwXRcYuC12O9VSWMBxBkxE8G
WyUsomjlm/ibDMAiLHABd3UlkA+dELTUz7arc5/NHukx/rLd8nNIi2o7ou1lHYtKgWxY1Sao0gTx
dKy7LSoXrrlcTA+EXmRenYR3tHv7aShjbR9+2IWwNsIx7k0NM0xrwRr2IouVrFY/u1r86HW6dU1p
CZa5bEuOwKRcBJRByz1VoHOdHZbvWn+TmUxV5FfvoTIlm8FxGZ6TJwGkI5L2jP8rZw8iAjznCW85
6ylCFOly+6ZMFnoOShvsv+kTamWfCd5qsA72tDF1KY8unqPFjD4d1M2wKNxjG+0ATuFNwqTkeNGH
xtN41U8IFO5yB3eMQnOse85yHzcFdzMcTzbOJ5PM9cqdsCJaTvLcM9hOvIT15OYa+LIYN+esecHk
0C5jpDW6BWCioYOJPWTaPtLwyclZ64N4MA9L4nFiJ9E5LuJXhlDAF/wkJu281HAiKh2jqhqnvfpM
NPinncB6zYR2s2uyIE8hQd4ZSU+oZG9FxFeVRwx6/UnlrX0PqikPeHQBOqqz72Qgmjxa2rfM42oN
HnVajypH7KhEsckFjPhNfiVU2pgviNVPad8VIfoY3WLvaO0U3/JQqSoYTb3KLfcqwcw75blevGJl
GCg8aYhFinMpAJ8JE5ao3vXSbRMHrF7oZhTr9CyB40E8+io5vagMtUGYWqhUtZc8cLF9nn0lQSyT
IhK3gamS2NHYXjsO2ezWGo+LSmvX0SuiG1FzleOODCVKqGy3Tsi7dbybhT06v07cUJvY767AzwU1
zMVGa1Xpna5tGumVZ9vIDpVKkutx1ewy/WIzI/F0vZOF9U7ykuRKPbw4Ko3uq1y6pxLqQmXVB2yh
m5hAmEqxu8TZU5Vrt1TCXRQhuK2xf0UyBS1F8DGri8+kIhQnVUKetZPNY/2Qq+y8r1Bn0JOf5jq6
tkXnXc/OQiGok26icOaxbUtGYkxOu9BHIEttMvooPYzAxMbgRW5J6UTkYVHQW5XtHwj5xyrtH9cv
CFENM+1waykegAAMkM0QAkrFCmC2I8FevFL83O5yCifwfKbLRvdHKHmDM234hgur0g6l4hCUAAnC
zv2akSRdHK+KV2DyDyDmy9cJlAHiAWAVRTeIwRx4inegK/JBhjmOuVQ7huAqVpXiI6SAEug0PmcD
u0JfmTNzYAoQKawgjHQTTsKcrousIPMGKSNf8G5XxdpOCx483fCoK06D9YvYALqhMNr8wEnKTizl
go+MCTQX1q8iPgjFfnDlcmV02hl4WxU4km8av5fNsVFs4ZTEyLprnV2VM8HKaHaOiZa+OX1hXEv7
obC9Ycc+mebefHxJm4WP8r8tO3xpveorMsiTTXDmr8yOfZZs2Az5XEZoADN5LEBZ4f+dKFs2UqQl
FxX5mqd8QaQJXVYm+mVe1xrne05GutQoZa4R4dHuPrP56tc/N/b0Pc7jiCLLRile+KIETgEvfc9K
uCuj3RwM5XSrAIFv8DT1qxbCCvbnjIYVd18uKdNZDuQfHkPnXrSfSbTQLJ0QxuTib9uhAb/oEBuV
+viW4/dm0dA/LyJyVk463gubfeiQsP5gp8Cx7kWHuk7qgPV6s+LX/KueoweEcQiA3QOYOokiQ245
qhrctjUrKN8LnKiFmyQTlFu9xK8MlmnK6sdRrYQ5GFn1iI2eQgdvNEz3sh3uGw+t1DphheGTW+Zr
6GPWTEe+V472Q2XBgRQakUtRQ3Xp5FM9b6Q7rkXP06WSHCA6Oy9WcdJe+fUXYEraeML7pGdOGrBn
rlpnYW4uMf1TVRzwuIK+KbF8+jqGYE3nazFJ/FUSJ7NMJ9DCLkwfzb8vwIzAHrOASTSMhlXk4zCN
8iAstINwKyCqA1oYMEt1yoH0qg39kKd0bs+s+Be8o9jmxa0+7N2Yvy/MmO6K0A+W91gFJYEjvQPg
4RaQ1d+VOteTk+lGNArgvgX46L8xgU4E6Hu2RhoebiuIveo96zJQovV5bOU3MzkZoViHAZ21N5qI
6TOfFXrDeBKmfz9qCd+WCJNRMrFoNW7D3l6nVnivSe9rqu+GMrlnAYc82ntwNM0020xVgPUHLU2q
jescPrJTuPhGwYPQfSoXVDbb1j+jLr/vzEdKTJ9SEETUHdxMsnSui+yYJs7OwnezssrHeOxZzPJA
w/NR4znq0/OiWaDGY4CsYF/dOnW23RTbWO9vABpdyEVUfD2pudV0Uqb0ezX91Rw200ZLsp/Yb/VT
l1FvYqbyPBIkQOF1uV1DC9mmU/2UE+Qw3Mgn9F8d/zXN/qPTLObNP8xIf1dyfEooofi7afbXB/1t
mlVMPBzppu4CPyCS98dpllieSX6QWIQHou8PBlAfNgVkCs+iRYzUoeBVqGmIgmPL+w1ZjUmWPeTv
IIx/ZprlYvunedbVGecE2AoYGC6eU17fH6fLCg+mWZRodE5oviBUkPAb/UdfFGfYpAxbYXdbgJhY
pf3OE1j6o3hvFCVrLiK4q7G2uGWhZLPcXyda8oFIiWNGPAxpr9wsTBJap5IU/p2pGft2iX9qerqo
H7u1p0s++U9d4mVB7fEM8hekCr0EVtPIzwo1YyXynyRlNw3fA6hdhzrVvMQjCIy84g06scAtLesN
AeURLzXMhksZslPuYz4sLB2uau6Twd5v5ekUDtoRuebqJx3Dqz7GLzBRfdG7rOhjDLBqGiFm+LWw
OgfSlT24VHGtHAnqt6h3jjosxwVExUI4MgVBg0L4I6wBU6BAW9RgtmlzDCWiEm9tbt+JW8Mm+F8t
MQ4qCd6t78afJbVuSpGjZerLoRznsyxYJQ/sarHpJYTkPc7/Ao4U5is8ifjMEqc4GcBbmaHcR89q
cBBZL9kYcu45uIaGnJt97HzoAu2mToGsYnvZw8FQ0S2JVzYJ34b0bNUdbTLehgj0Y5hS+FWbuBlJ
qtCFi8oG+lbA/2OfjNMDQvVCdivSoldOncvCrbgoE/HcqBCi5UPvEqnHp8F7m6bVA3vw5jQ63VkU
+nuZ3EUsQWlwYVXhVPw8vWjvDSzmB/9SjoNxNWvy0pPZaE08+MOZfppNbWEBNsv61McRgAQ5XaEU
LNuxwCGamJAH4n47+tZuoKz+KFku2yOtNhIJjQ2/vFrckqFKO81NxgZWSsAiMzi6xNMedV7Gnr3J
q+bTIWKZ43OmbiUMsKxKZbafu5KwmU4mwWHrPlXGF7ajcD+Z7U52c7XuRP0SRiXpkkm7KaoyuthA
Iky3dta67dNRzy/GoH+gzukQpWNeYkiaxCm4OYbTRfeGF6PGXQH45Qop5tuLjB+Nd4OvgwOf7JKZ
GVFLzh0Qt3l4wTcWndsYf5U+YsNKyg9sG9pr1rkbKW8sBqJDiQVr5XsR4orEskM7C55I+ciAS08A
CbeNnQP40xPUU7fYGi0rhaTFyBV65rM9dD0QjSy7Drl3uQJXB00UB1OhPKIpN8+UAhontj/NqYOm
HOhL+QSEw94sdBiRwo1QoNWaRaiFS6FWL7FawmRqHTOVsNtw8VWRvQRa3c4bVxteNJumvMZRC4Tu
zpRaCZ9AH1a6S5F4UbDW4X6vVSyDaM3wUR7tMZhM66BXCTRK3X3i11K90VknCdTwnUdLNYIY/HY2
b14UL7tIq/hpcODVUXutifYJVys4B3UoTr+Ox7iXZ29OXxN1dBKK+VnUYdr2VzgfnetlWJe1Z2wn
dey6nL/+cCPVcVyOuMb9pH3JqdHjMEeWWbL0PDfluyYFGDx1sNvlo60O+gFPuOke/Nq3rzPNOhpa
DDXYay6pnqzrSj8nwn9UhSidz01wk2Gep9XCCdDquLdPOBQr84qoJGGPwviwO1bWjFJ8y2wcoT4e
1JBUT01aSlnIK/spJ5WHWFynAI5vDYeQ2cx3h99F/oapgW3ZliTqtOfIzsa15XiYt2Ffef6+KXtq
gbie6fr4UOMtI/XrrUjGgHPU3rEuMt85gwM8ebmV6YjJCjx9k4ob0fjfAus0F+PhvmrcbW+hrFI7
tkpCWmilfW9o9keV3S1e8tpn6fOoGqIma6MX9mXu79O8Oxsp2ouPmKMVhRJ976rUw7oOtoOqW3ID
Iv5suc6qv2ERYO6Hee7IuhhAQKePUEO5cFj0LwpkqRmXkLXRqsySbp0Lqme6nmCBtNmm2efJA7s3
EOmSxoWU50+hLw6UIX8hdLM2YviPv2jZaJ3DqoNSxvLqbPSgsjPJs0ifuf933j4qXGajsAjoOsGz
7anDpqmvSlPsFiv+VJ/IHspzrANpdKZdoQmg3iM8SwdhJwljPJnIwisMLLdJ0d0lrg8vrSlp+ejb
Nys3r1DW9wXhrhUdVzSt+bjcMp8Zg96VbzowKaXN2BFazT6GWATnaDqptFeEWSRE3mzA1OYtS67M
SCjQEvuqKa4qrYGy6vX4z2Iar4YfSy7ZuhAZ9FlzxAMLcUazznOYTphy+59a29tx5wcInQnad/7u
Dvmh86ynTred/2eBra5Mf8qYmDD6qSazIQ5TSqpaSf+wwIZ/N+uismoGaV66SXQwHuKVHQNQtZx9
n/wne2eWXDlybdmp1ASgAuAAHDB79j5u3/CyJ4PkD4xkMNB3jh4zqinU75tYLY9UpjKzJJn0L5m6
iCQjyEtcwM8+e69dsF4S1rsVZfd4Iw9mk1zaUa3rqbkNIr5bMY4/oohOBQ7EBe+JML6aW+8EP58B
VGarBWDjagjmRxWYh98d5/6O5P0PvnaObx7VGB69wX/82iFEQYgsQAJmXtes/bbejFr4+flSO3V8
n9nesVfymvn3qupH+l12QXZXMQHY5EKk3b4lEj95kJzwMj3NjfqY511ocl/m2qyJXesuM2A9EIZO
hGl/QW//w92B+DsvPUYvXnwHaV4Euuzj9y991VLtXeiXXmHrXw+yuR6t7GmkNULaoMCYB81VNMPu
ATGwbrv0KpwZDg3NlAegyiRTLXdmDmVGEEwcxdfYcTFzo74eRpCdZZWtYzztK0ex8yzY9ZdJMK3T
iOotIomIGw2EHxJxyxBARy662yb3WeVidogesEGaK9qtj/+ZVv61acXmKM9b6x+H1W4r1b3nX5H6
+qOr8K+f+JurEE6eXsC5wnUZQAKuqd8ia8wjNBVrpgjzx58mFs/Fey5ZwvFZWAh/P7HwDJeOyWf+
5KH8W/s30mn/3+2ExZ8lpW07IKxd/08buBBCmJUwVpAOwqvX1gnAN9tYaIlCETH6u3EyoGvBLeGY
tK9nGDvSQ1eM7PrdY9o5uD1RCSzpfeMq3A37QTKR9Bl/TCHDl8j0uiOE211Ro/bVsYndyETvSJru
qQ1T75DZsKgiag9MUX/V7cWLH5LZ+5GiYlMKVoptpPplBWgAM3tYXFS9LDsnnL91NUv1xR6tjZNo
61jYNFup0Ict4GbrIenA/o/hd4sgisJb9iJLA6tUhJCWLAXtm7duWz5hkrxXttfso+wae8ld0tE/
Ih7Lyk42YZ08yM7hQD7saqTN42Av7d7N8q+uVWD/ponEvzdFN6GcePa0zldIVRl1ySUwav+h98f5
4Nuhj98hT+5LNmi563b73p7OTYf0HaSkUlD1Wg4HGg4OGRsSRC+se0w7w7aaFCysGYSn5d80zqPl
NOT3sdMRis7v0tm0jgmJDn0IrVvy4NTylRRKHsqiktsecPveNmLyzt9tUF3HOAc/PC4JFPaGLuo+
9NbFVJlb1LEK3WRTN8NnUPF/8iGX+yqYPoqIA30XRqAIyv6R4Nwz9RyUoA5SXLwquBQ68lSb4d1g
y/HaKZNi26fZF2PfwHmvAElLJ4Z0XJwaCWqjOU9Pfma7u0JUn6LntNSq+imbnbtQPKThEuHlbp9d
0aTb0SfT7rbLpbeNLT/qcBsbZb/u2S6MDcEnegU5jJUkP5yeeTPgypUMMAbu8DMZkJdxnMDrtcGH
2fQHlZLxDTMgx2PVfrZte9W3LTdg5TN9TYPcwp0Y15jLi5/tRHXJD2VJU7EZoc9vKFNzD5zfIUwt
QzFfen/OqHR0xoPXRRl2Vjp03Mm6ZBqgY6iOvjxOEryoWD41ZicPCWKIwdvMOo3XFFz9ipFcDEx8
s20f2kav2MrRvMoZt9EOeaqUFil/LGuwf9qXyAX542r4j4m/h+bAtYQKxA6rpLSktfhbNiYi1zlw
50OKWwVLTd9D0yq3I8dP3l8N/sV8uqujylnbiqVA6rlgieygQsKzMxRD/7UZ0xIibwHSxOVwiNeI
waN/HNVmqYx5A1y5P8ViPuQpa1zOM+bg7xOHU4YxyZfY5CKtbNkeqIO8mWOBk6qFSJbW+bMoCLgp
M8RlPHz09uijQaTullpcTm/SeOoSizXjMqdnyQS7yaJu57TUjSwDxSdB3xwclxk1K94CNTYrIyd/
qeaTlPmV63dsL7zy7HTNxevaifd++zo65VuxGAYozk81sBykI/4rcJ1kHbJTP/hqcKFxtA+F3bNe
gJmLkWcorlK7ewYT0h0JsAfrnvqFVeNX7rovxRddEufMY4HVDuw5GNBfK9O5nwSVs2zu3HVTOjHj
EN08aUQG0ntRKVWSSUcewUBUsFz2no7bKfB3+bRyyOKtCGVAxkOYqe34giQOnbsR3yKUDrAtqBuY
sOZnxZE1CP2WjB0af5W7+8Wd6UdJChAYOe4wVCRGer6wRdr3Zd/CZGiyk2gWeY5GBf6uO3HDT67Z
YA3I+LSH5mX91TTewqJguWYFG+2s0ZOrrB0NLFesypeMCSjqU8DsjvtjnBQDX9jsOd/XJ5++aEA3
Aygfyb7IUKncWLg4D1b1JMqd6vPhGKkYmSFPoW3j7S1JW2yCICRxG3fjDoX2YtRDerLz+s12uLwt
ivBkMcWkZd1r6u05FAaoEnMcbyWxTTZneqsPoQNmtesfzXZ655796cLPq4VNeJEDMIjvrDaDK4TC
pyGzvwfhzLzXeM2BFBx8HDyFhWd6p6H095hkv7GFsE42vdBr2gXDVaFh8SBhOhQk+4ucR7JNjGVc
s9vDSUxieDKGbsvtmSqcz6J23iaDVKUqJaHhBlu12UATcJNLrUaC3qO7Sn1xkU7/rCgCEKNExVte
YHTitx3Z9SUSNz2rggJbLopX7KKL6FU4nbJ3ZVTjbByy4rqZfUifvXUs+FHcBNIH1Wk9Tk3VHGdl
P/W9Px27rn+RU46YJ/LlhGkN256Ni8zvYDJWtH3uAGfSVwaNcqV7iVekfsnAyY6piO12VNF7k0+D
A2sa11+Umzv+661mZ9cYBqhpSEYb6p7A6QvxOJlODe3EvgMUPe6zub/vhiJjnVwCeKQhGi64tZ9i
DMXWEjLaAmTjSq8LHOXKPwCroMqVR3TYlCHTf/CU+0TQi5lygpF12dVkw2iyKvmN/SPRZobIkLUn
XrVDHDUboHH4H1wTj6wyQqigAbgVF0PjOM/HoZqe7BhHhAlrZx2Rulln1zaSIjGfDFuN2eC+G717
VmPboaRiY9GNCIH74Vj9Hc8KOB4lMgrRR+2We5p+KpOpdM89M9DCSmeJiS7kQ6cDAggYc++9BSl7
ZZEN60K534v2e9TR0pYpttaWw0VRCx6gjLxfgU0fhuW+JVmWMpl9JxnPTdvoHyY/X+4KbDqehRjJ
t1JRSY6sGo3rtpE8RtEauK2wDfVPZeJ+dvgwVk7DF8so95jNdIaIXtHWu8CdWwA62ioPd56lbsaw
yG8DT942Vfqd/FlChMx/HrAe7agNoek2Ns5xlplr5ZlbeFj2BlfYOrXLT8uO4FK1T3binEyT3vEg
muaNA4lya9f9HXI3yzZI9TtEaHgpJRqwtUT7aPC6S+3hceRw+MPpakoC+gWZu7u3k5tCtW8IC+Ar
bVTGqLQz5rngY4qh7iYiU/tCNT9S9Ft953npJlAICXUHPjLKihefvLrJdY344ZrzXagZQDKyinVI
bIESifxdlPE5tbCPGkF4kBwT10CDEswDoYXxIFs7cdAdnaL2N9zX8U+jNruYBjbNbJ4coHhbXJjt
vo5CnS2pH4vwfRDzOVDLhWbAgAELI5QHHJic+cxDjQhG4McZzivje2D1D/8ZtP7FQQvYIkPHPx+0
/gSPBAiuP+evMxbxLIlJES1EOMJlKvr9jCUhe5Dn4j4sXZyGjD+/ehytvzi4Exi7hF4n6XjWr1sh
klsBGBGPTic+3fSxJf73f/1BJmj/9OvfWw6hjPxpxuIPMvU8x1mDf9ET9UfdoFU0XlLdQq9mJBBY
CLVT8nQVdMOHR2GfoLivCKALe/RIjjGqeePey56OP0nZ32D2l163/6kgZhDo7mNqAcvIvIPexWPe
hMfQz2SyqA6/xU0Tn2cMH01sAZvzx28t7cixLh6kgJAV7wWrzI9ENxPWdI2v3GL8SEwyMhUsK3Do
jC8jRK/h1R3VV4v/YUXg49Oq8DRMzCQL7o1ugK7t0wHSGeqJc46/I/3B3Z+aSVzcp4z4wtipHYFM
Ks+dHGNDHWwT29PHRWS8vvXpImcpXmih3aeTb8A+MroSD4sNfyzlcW9X3Bx9h6a8PE1O5GLiHfsK
KhEo36uGvLg4i7mxlzLZwQdgrOkEM5ZJU1yHebKsOKKT5joaolXbzDPErqn2hRXwaF8EnTm0Pzq4
JZ0owGnHAoJHSkaUvvrRsRe4Son4erbumhRMkKK+IfrlP/YWxTbLkmxjRMcNj1DonJRFMjxk0zbh
fgIpY+5WoyDhEmfxYawDqpXBHOzYz+/rtBaHKmJeApjXbEp4XHDhmHiUycQQ1+ckpLKTTbhctTFZ
7yC8xDJVjwPtlRBG93nA0d/rflQjvYmKCtuziVKGPYY6mv0YwCSVwnsyNdmWuEO7iprpOOOkoYYL
95Pm4HLMQp+HjBuPAco1nKaWkaYCnguJj5vlT54uYN1JE3bJ7sxrhjp27SZHWBcKAYmfx1GTeYVm
9KbAentN7cXa5mwNQL6GJvpGNmxfW1N+CSjB+53K6Tn0lhuh68h7V8VH2ZDEjbrpXY2MupVmB9tA
hPF/EVLJ5fWs+cId9bZTT0Ju4QheaQbxAozYktmHA5w4DerrmAsEDZnABd5hrF1h/ehqpnGsqv3s
Nc+caNuj4CyJ+/aNXJEkCqN2DK33bQ0hWRdtHCtNTV7AJ5NU2BQceqlUgnRWVHhAogDasq0bKXtl
9ofAEs+LZjITKEcuNaOKcIBd3NSGQwlGqK2p1KOZfgks3fZuh9DgEzXzmZh8DgRuTrdKE6FjAzZ0
kNxVhs9fzdCy9sFHw2pOqWmEKD220mG+Yvs5F+n3ONAtnSBGFGxMcIDZoQVN3WlGtaVp1T7Y6sWp
3etIQLJONNM61XTrTnOuHU28hi+dnt0GCjarHLmmjmVXts57ME3HMMuv/Kh8TIr4wdvlcBdUOO8s
M33W/2TwaVDkf63nxfC/TYaxd9r4gbDhOR+dA9VT16Z1qz8gt4D6O/3TUi7XReyddI96IctzFij6
0U9MxcfE5bdqfCNsaPFjX838xzLyKxYZp4HDYmT4p1kup8VEH6ncU1rWj0GRv6EO7IEDXkcpzVtp
zTsxOmVVc/bH/Fl65V23JEeOvvSo1Huj5BQol63Ms60b+ae4Qng3xDlpshfKIc/wcOt5lw3WQwUg
rcjFuYuTB68pLp1BDxkuYEd2mFj9RzytR8vvvwGhu+mDibvlM1jBK3Mors1K3ETSuMvt5dLxYi25
tU9AohMph0VyVsGwE+op9XCDlulzZrNMDs29lN8ko/Ho4ris0ZnwPn3RxfdA3t4p1CPE+rsukM89
VZ5ALu+Hvj3Eo3VKqYXJPoVhfwZjux6LnBSKDI7K8z+jRL549fIUtM2e5f+W4oXNku2zpLnTX0fv
QMzDTLWsUggRptPtSjkMVLW1B5pmLlUCb0Xc+2V5JY2R7oPxSfAcyK362oj614HJ0F30mlwDqlzO
fIN7oO8Dsk5z56n5Cj8nsb4Gy3Z/15f9gdlxV8fTE4+Ko4jFlc2wbwF9RZG688kgDl11y8x1PzoI
aeZmiLxL2IaP7UhxVwCWX07rqHQZ6GyQF2ksWG7lzG9htnJc9yH0yxvZNC+ekWBHGlZD7d9yinsz
eqzIUxRU51Zl71W4PAjdEuuLD+zij5Zuj6Vy+s4b5XIpND99Uv4LwAGeUdKw9qOgOCSliFbpRlqy
0wwTlESEuq3WcDaWtdR3KS0LyuV21FJs2+mGW+rmHS7X/GTr9lu8FyE9qvxUdTOu5wJbbxVb9lz3
5hoDrmsjUmsDnY5e1zTezW6HmkHfbqabdx3dwTvVWb3OzeTQ637e/5wm/8XTJCo2x69/fJp8eC+7
d/U//6f4k2r/y+f97URJxgUcOe03P4Hjv0VmTFR3iuA9iwOlyXnyt+OkCP7C8RNMuXB5Ivw8M/56
nMRkJIVlBZLueJR2IL//znESvPmfjpNsJoTgsRkwqnrg6/60hvJ4CMteVuy7Mn31tDiH2hBg6SC+
oQ+tuDdC8/eakbeuQUv3YFOa17nzHoXidfDGV5K+cPK7TZ3l061LkNfTaTqnD48M9xxCXDzjbdyv
O7qitxJkIq0xHUck17nyqYTmAISl14UtR2iSjGE6LMepp8HGtrJLGZcssEwX3S4lnBw4b33Qi9PA
fcz15i8121d1Oqpt6PoJcUVcLkLez1n5MFsjgdvY+VaPPE4XbLqrekqeh8FsT7j7vFURoQcV+D5R
EQeyzO1CqDF/KmDarNPKqTYL1IMQ540tw2JfaYvz2rZdUEDVclOPmKcy2JC8E/u1nO3i1hH9PTgq
4wGI/D6Q6XUcVceyistnVnVId7N7kDZDfxZln40F/TKMPBK73HMlZ/nNgFC4IWPqnt5CDnTspttT
nyxUcZriWJTwtILynm5r1AtGylVi8KzpwjC6hDGt9gOO/rQTxSmP4F/b1XDoooAeDcKuTRGOByMd
kt1AzqdAkd+5bh+dlsG75niW6M4aiXlXmPGNKuHYyKQSoHTNG+pTC8IVjL9QrwAGEYxns0OFEimI
q0oOJzNS2aXxsx8z1UedMA8Ehcb3huiHo6wLHRFgRElTeP2b64mQsla82G6XQmqxpoNnqnHv9Ky6
0xtSNrM/k0vC4HRyo7he+zWhEEBfQOf6l9rkUexkmItb1szEV6x3WmDXsGW818K377miOJhcsUy5
9wputCXk6wZi6rrT/tYigCJWNOaPsUowQC0N6bABLaplk7aBNEXmJ05uKixFa/YS58AIGWKsZ7ta
HhDk39sYn7kdn8fW58Y+lfkmbezoumqcE+/q+l5BAAGIs5xkjTMMXCqAXfVg8t0dG8yhG3Mi/gii
dO3VXObVgBNsDOLvYV3d2v5wUbKSIGVmulPxjdNn/o466xMOGfmtmTOrr8XLXsuYmeLC18Im1++1
r6VO7ObupsAYXNjqTTpFeirhf3GIGHdc7BDmsrLb2Fo+TdFRYy2o0tEzHJ0SKMSTrQVX4JESRurP
8j2NgA1yWB2DjURr52o/oNpy5/oxOnwTg0bzuNAhEJdsgzgxcm+UVREoIovDNiCM2lBfM8SozTwQ
LioirDmjfYogBuqCK3kOrDk7LX53BFFwj8mlJ+CB8IzGtTJVPx+5IfZbVKC9YUIODrVgzd1mTV/J
8swV4a2iFB5djL5daaF70JK3z5iXEJWKJNowvDpkcZuz/MSLTwaYa1fBeho6dvpu9Ro1KV1ysIca
M06uZi25z1p8d4R3n8n21V+ids8YQH1x656LCFzzwm2i0yJ+ruV8hfJ/LIFphYbDwUaL/rgyefOx
Bwj0QoC+5J5KEpYEFtuCVq8NuuWz1GsEjGVvTO2vNDVMW6K2l7arz55ePQACvrL1LsJIrxGwtNT4
Ni7OcsBifyg7gv9UrQabNu93oJGGTTDL9FwzsW/4654bvQBx9Sqk00sRm+1Iw8HJ1uuShL2JpRco
k16lKHYqpV6uQEdmzfJz4cLmZWED47KJiZtgl6cmZsK6P5Vc0xsoH9cO2NoZfK1V4rzhOoAsOvUU
8bTjvaNpt4vkIZFoAq4NCnfUTFwEsIOp93thCLnDAZwbaoJuoVm6U80xaASvW49wdovplIPd7TWn
ZNAk3hIkbweatwXRK62JNwJvV97dO1q1Sj5SaaZv319gFi5E3dvvCSadiJuFz/N3m8VYDsECp51/
PSv/5E3dkwE22P7JD15OVQ9PGMBzsfU0Yzjh7tzHxtE2zMtI1sFPArIeYIlTs7+34KpEVSepM3qW
7SrXFOPGxJLR2NS6Np+xOzTbZlRUyDnNtUdboTa8YFCFimyzRtubRopdBnwgk/mN1AxlR9OUE6YG
eFXl3ilZ4LVAePa2ySaEBjE4zG374GXxdxMA6Qp5MgE5uBwJQ4pTmEyHJmC5UExefkUK7zEO+k3j
Pxea/IwYXmsSNIC6ek2zt7w1XZQezYtugQaAj+bvNDkl2tyI5x5Az7J1HVjT0A/A8DkF1ayaRB1o
JnUFnLrXlOoozWnTAlw9YXXL/HZYM09na+pboWjheyLLbW4zwNcBAOwJEDaFnvlOLzNHgcrPLTve
BGCzcQ7flRUJrkYTtVF21vb4ygLzGMKpPzmM3joR5wFfRSLycvR+8nKFTs6xx7olAHBtCpPhiUxT
RciuJNhmtKTuXOJ3IzE8FJ/NqHN5hMwecps1zBB1t4F1auqgvFYOlP66C78XfkOghyX3LlU7v27E
BVjJI37Kb63Du25oldhjduyOaH8Prs4NGh+jThG6xAmlf7J0upCdlc4aTj9XLSP5wy4EP00u6pRA
4FlnQnPvxg/KQKudU+SfNTHGNk+eRn++xcBz7dNMWpg52z9CKlOLX4FFCaz3PPyxsNLlmOSTkfSI
yrOneKtJGmFE4pnak6tsdMAyxi42SOuHKUBtNjxR1jBbDxTC0rumA5oeqntvlTCN5J1jbVIRZIey
OTc62NnoiCewt++hDn36Ov7pQzVbtToSCqqFxUFNJJi0KGS3YFPrAGk39g/Lz0gp2dJWh0wr1/qY
RVnTNKcfAayPa98ZL6DYce8Gu5pR8xlzxkMHxJ+bsLMJybPW5FpjHXA1ddQV0wI5TB1/lTFB2Eon
Yl2isWJM6Ju2wIbiMH7e9jZMHs/Kv5tWRahWx2srHbSNivtiIng7MZ/WYdMdAzK5S0s4l9JwHlA+
qHQ8toPkaDHpKG8S4cOGcyIUId9Mx31VHCvYk4gNs6jSTa9jwdGgA8I5D8LYXoy7YLnk48JJuFRX
uBDZb804JRc54d6I2csk07c2seeTN4bPbSu50wfHdKJaudKBZRJZu6Uq/JfI+5EbxbrLAaVGTugc
Z5zdOvXs6vzzoJPQiyvxFAi+RyPWzl4svkp7fUtt4k7pALmKaDi47i2suL52B3vaJoxdWGjLhtAO
YmqNvjVW1pJj5jtXEYCIhJ/sWIltb4z2NvZGjtnYzLU3OWLDwquEX7nQzmVbe5jb7jbF0pxrb3Nc
fmSDjyhiknyySt+4RDnNB9oR3boz3oKa9dMS9CMOAL1H+ZEP7tdikj7Tvups6F4K7bSGTldwkbw2
2oNtCNzYvfnRY85etEvbkvi1hW730w7uDit3oD3dQH1fWu3yHrF7D9r3PWIAdzCCezP3yUl7wydM
4qV2i2c2JhzZ9N9S6n53ixm+oF3Qpz0HT3aL6SUpFUtt7UAH3HQ1Y0n3saa32qMO5IQiNywBMvMF
CApK5jAyz7QMVBkCiyRavhPucLYXj6Z4bPCV9sPPmFFdDPIsgk+FTTqoveGHjH9+kjdmqZ7izIoO
OhHbwU+qvLA8LPZdY07vkdFcIxY2V4bP1d2CksRNLHVwGWlUpIeQKMg3ge8cMtsNhFKO1OOMoFG9
wIY65RlVDWaXRWsTKP7KKbqK9lDuKNyTKGBAKk+KbAPP9Koh7Vm4e2IlN0Mbq53TcW5Si4UsM24p
UxG/OEj/999ZUHxW9aySKO5+2Vf89sv/fqwK/v1f+nP+9pt6xfG3X12ST8V96kf3Tz9q/1Vdvxdf
7Z8/6A9/Mn/7X786nfn5wy+2P8f6u57J7/6Ls2z362JFf+S/+g//17/Ym2uzz8FJ90/Ega/uf/7v
x3v+J23gl0/7LYNk2UzdxJKIhRABDMA2/CYPILJTf8uqxzV1Culv2yY0ABJGVOfSb8au3JUM9b9m
kORfcPTxj7AB+hqp8W/JA/7fcanqBBR+Pr4OnLZSu1h/ZxD2x6BKMYlz18+cfp8KgONtQrZiEhc0
Ziq6JcToIrNuxikerxvcpd6AtuUUQ3EyS/MhbHt75bvTM8F5ez0v8b4qp2BTjjrATFiUqSE+1YZ3
5/MY3CUaaW2XZX1iFVufAEQZKzk4wcYazee2qV7LcI7OKrkFxUmgMF3Sk6je8iBsML/QiFlNjB8i
ZG4YqX/xiSRqoJSZL4eRlRY9Q7xvSu5qBMO9D8ufgz3PaESKar6v6uVdpu7VAnR9xd/Sk+k01lkc
oDSGWOOPdEqZ+8rx9xHE3rEA7xybrXGaDLqPyiY9upEbbWQGPE1Rg8uPerxkY+Ie6Ye5zeBPQOPl
Ye45RcS50bTPWcx3b8eHIkvDLUSwmOmsf2Eshdg2m+eGJTVn8vw5amW/tfwULaIqQGNQAe8nZ9cf
yB6IfNa577nq820fEEQYOSVTU6u+sWF641gT4SGggIcnJr4oGFwCLAgx4WANlw3fSpffeXYKMEr7
9uf02qrxqYhF3jRlfCds4qvArXZB7GyGdF/EhbU31fJaz1C8mXsurRXctosLsp5WD5RiqnYLhTXT
dTgiLlZ4JA4TrqDSeQQhUSPikPRoTxGwssgwkKRm+GhvenHnpED2KpPEfle0H9FQUA4l5mtDiv4w
OcbFSOb8wDL0qVrEleEasJvY0MMHCDgmcRLFizEe3Sy4dqbqKV9GdcpJf64rpc4mMxMzrWmvCj+t
j5OhmE1nU5ELJw6BePNMa9X9mLKyANFVBH32bpEbWAUKg0ulg6+jAZoulsvnPE3pfp6ocp97sHMt
4kkQJ3epGr8W95TPBffhHF07zYdzb8TlTS+RMOb+o+5fgnqeD3WQ5ieiVjt3tvdWke0D8kcH9OJm
o2uyaHvuKiNbp87EOFYpa2s5gMTCNGHB5QFsidp559NaHdVA7rAfuDddYMWbxoo5Ulec2H1zUbdR
QJ+N1bQvitqGJxaVD+U8kdan26phDBkawbELMlU0dtWRxVO0LpwaA32Cf9z102fKZrWWTHxmumsV
gK++C60D4juvcnrsJn7Usb8kaNvTUU3LtMnqJYFlx8MnQFBLldgOIUc/Z/xKesc/NK2ldq2VnhVw
LZfm94Ix6Gj7kXc71+G+NguXQI7/RiQk3Ld5HpwzNnqdI1I+VNz4i2fufYErv3+tCsQvb4j2YeyZ
j20efBd9N4O0wEonx+4SFYO/ifluNrXPCaJrIFWbdDsbonO3dt5FZE/EOiu6+Rhl021W9zeeJZoH
5QIEaIP8La4fTbLbt0NkrmPMVlekfEg7OnBwRDGdU6QERv4fBEjWZWRde2WTnDPh5NtWBcfENtdd
EzwJMcmjryJ6sAZxQNsgVRm0Pzy+pjPcitU8hSHswP7e19LhgoZoWjHsSi0r5lpgFCiNYckmiaRR
Dj7IQIgkbpJpYTLsRxuwV/kUkJZPHEJQPWzGVVihFlmV5a1ST7WnoIwgOCfk2A17wn5mfVu0JNpE
+UOMRjqglRpaNG20fNqio+Id+KLfGLcWAivAw7ccxZU1H/vCgLu/pP76EnhUWkXzsYgT6zXwWOs0
sgauqeknzTw4V2btddriuY+Zqbf1L7Ivm2UtBLsowsnABOahETdaLGaJzFyAHICKTJjklSIhZGUx
WDscGrpeKQW/81N+nnH8pNa3QQvTnZaoHTc6cJpiV69PNfp443LOGfWBx+PkEwfT7dBwEMNsuzHT
6TNI3JMr+Eniq4/wOYzfAAOK3WLwZ/V2v1/kwBTnDq9+KV5cDDo1YVs/zYZt7lR3qbWwOrXjiJX4
jvoQfw1Vpt10GUJcaN3IpdWnabJgAiSBA+1l30HZ76xRHODown3GiCzcmnHNdH6gpb+GHhbKxXZP
ikU9yyeKiKNMOesUGgPbq5Yf8iA2JI24jmf7hh1lgDaAjctJyw++Ngh6srmKMvxkodfe6yayRVas
7vPqoyjpGCgBH6FS04wYBBsACil5JsfcTdrzK1lbD/i627YYcZKqYhcHjtJz/sq36FM3fdyOPrA5
AvHBxvTig+cTTOkn/2NZcAiTQKOeQRwXE6N1jxiaqTffL/dmPLUIYP0rVRlUTEcJ9FviuHG3KARI
0oiqmMVmpkN97WS4Alhy1Cvhx/UuqzRpBYh7/DabvdhWHZmArON4LEsPZTPRvFC43OwPm4lYJOcG
k9U+nkTyBi32rLnb+vgBTiHuX+rjGpBRZKGjUER7u4ufMgN6Ja/Pk1X5wzXkxyEesn0XgMitxwLm
Hs+adegn3tkKvAvFCPW6NtJ4VWJ3WI3DZGAtrdQxLNo1rj7u6EV8noiUbd2y3FXAl/ih47VF6FcH
jQV3B26D5lL1jBIpwVLRnFUn/BUlCHQutHL+KK9M0KzbNL53Qwg9Tsi3l9idoMcrulciJ09MZwkA
/H4jDcbTsWW07ZuMB0KJQRGgK6jdhGA4552VGtK3ZZTZdqYwEauE+miW9LXJrFvRG0ytSGPcrGgp
AU6MJdlvb5XTWqtZSYC3mFEWSr83UkYfbk+obqr7bFdS1RMVyxqQ9T6NaeYjG/HVwE/LO6/dN127
MJ6gHbo2T8RE0DWecXCwm2WzTKwfWo8QAQUY6zkz4I/MJBSIpRw8uKGbeITTPgyghzqDiyDPsZY7
3WdhZe9igsmQZaB5y9D70SYTtW/LBHIBuZQ8Z9pCX56pdsHQYeb8eOaCbq9EGusyNIbTWGaCAT96
cbvgxUkpG/RKEjd9wsM1TK6Ya9ciKOXOGWxrE1rHdrCSnc+bYRngGKetBTzUfU/nVrdmk8CWuoyh
ZsrdTDRQ74rqmNbDAYmr2GKzIDw7OQ9FHKKr6n1Clnv5GlAIDR0cOEcbU0G36w3KgLIU/QoP7DbR
ue5oNi/RYPmrUA4Jb81qOw+YMHv9ikEDpnAusQ8D+/RVOxHFRDhN18kisReztuEqT0lvA8BEqOvW
I7Um2wEKCMgd7A9W737YHAA2pChWk9ejgnDMnOvO5rKxuT0WNeXeSUXhiHYxW2j3jPVkkgEKJT1t
9iyqIsUDNJ2NYOsUwTtawpvgBxuRz14lov9oG/E9oywIvaqEu6GFe2mh2fP9VCxHoEHTk2243FF8
HDS0KTaoXFULC7rkUXlQmXfiXvZuxwZ2SDoeCBTcDUKREaBflK5Qg9rTNuTZj2UCSOhRhP6GIHmz
5a4YrSYYVsRkODr7uk185FJkp0bGg5HYCoDzk81oDukwbrC3pZsk8GjzsWYorIragq6eoPOxTSSE
jIerqE5jNkZbQiaXybavuIuDENaboQjxJJoclLnapb5z4VbiRsu5CGe18lw1njjufGRux3ncEHtA
esildTpvk57EbFD35dnqBu7643TwuXFtixZdnnCGeRxccn1dnV65Mr61zdE9egFW+DoenV1Dm4Ul
l+/JnKjTIt0IPNT4ERb9cKX+H3tnslw3kmXbX0l7c8jg6DF4Nbh9w54USWkCoyTS0ff917/lIkMp
URFhipLZK1pZMmfJEEngAu7Hz9l7bZYZeyg3cRP3V2Zgn3deHZyTO7XVFLCJPM3iUPeju9VJWcDG
Afwq8rqbMiiO8Gxxs4xFCDuvz2i05f46TcCNRfUnbxIQPiuNVQ0RLCeQM8+2CYjogHOaDrlIznzZ
mFZLnV2nG1eLtoxDCCBwPw5Tw1SL6n8R++5mNlrGG0K/lAgqD+Fkb9ie3SXiewwjUXWwZgPJMyMz
3rTisnIGmi9dgB46Qh81zo22B2d1mtKT2ndlYHD+c/dQImpgPRVqE938qBmMiWLqqX5izRDTVJ/7
TUhSELYSW++4wnSXirE/5KRiLdykWdNYJ1HQLcnqkY9ez67ODA1DgUrp0P0CfXczLP8jk/hFmYTu
KNnAX3dCbqOH/OFfX4p/vWS4v+qIPP/zbx0RyKKmpwt0aviRPRWO/s3jqPSzOi4FQq9slazwTTBh
Ge+YRCJHA0L6Wn8r3uHKcFyC1v1/TmURSl77PWfTcQjQcvl5rkW0PBHzPzZEGpJHUlz66oQ1LTko
njB58/1yPcDBp4G5yQGXUUnCX2Ksffzurv2J5dkSykD56rfbtukYKI25Q0CNfvztLoG3g1agrRWt
CHC0IxRV8HV8Qi30wmLtxdWjiEmV6RLepKr6PDQg8mE8rqvaudeQHK2NCR+/1vglrw7gNHtbp/P1
mIPkDrpT2eKWSsziix2xUEYWEnheevSGuXObazZxNmW+lnp7Mw7Nk1cDgvDbVgFqKnIwHQx1mBtP
RMCMQo2wTVvbFPDiV5g96NWSZNZNcuA8mT3NTKfXIqKLEykHzSjiDa0uwHBhhRRlAqVg0G+q2Q7W
duDcW03nH/I8dFfIF5dDEB0trx4vwpFgQo8ecumNlKaWtnHZ65eFY33hJt6X8DAXcX+atdSsrgQM
7o7Yw4YPlpiUtWkASlbDZ0gNst66J58xTarjZqABgai1q0+cuHoqOEcdBfLACfnxZeZthnY295FZ
XgZt6R6awdlPPq2clkHVTvrDqlQpbHIoR6ST3X4Yq+TUC4KzynQ+Zjabvk9RIMpWoNI1rga98Q9y
ysi/LjLUhyXcquAqUp3+mswJV2h3bgDAsGietDhgwETk9aLpY7mTVvMZVlywlw3LJOB/Ka5Nau3I
qcW+TuMNUa3semkK+3tMdsIAbl8Y5F7Lan5EYUpag+XvMD+W62Sw6n0slC4GWxX8nvEhCvt9VegQ
sFF2O6Y8T7EYdlOrnURWcpcS0931qbzWrZErpC0QWTZrrV59GBCO7Ntrs7aq03A1Rj4THEvrt95g
lFvAGWehEMzmDJViJh8Zj/pxv05YxKGdRN4+Ff1jxmTDSLKTzuDUjxiA3L/Ua7Y+gX5txnhLrx/E
HPGLCTvCsXaYMu+8TsND5MjrhPTq3oOMwiOJLa5NCSirhbZi8LP2cr/YzYRQ4dWCHtFHR6P2zH01
2h80vQY5N87uTrUkZtl9agMU665M0A0LbUnD/qQuOn9LX/+p1WbcxXrAcK17EALtVBbFkPnDi2H2
6Vr2BCXRNuX8IEmldVsGfZgHtnrkMVCy5w1F1z0oQJxT8ensE10dzvsko+wNylOgVLdZ4bs7v7CP
Bnkki6F2H+B4YuPyyQ4QaYGChvPGwZ9BOAJuBa+AbEEC+DM8uggy/loD8D4RW7YpAt09r9kmQVph
V9bWpR7N14HfXZTojOgxZlepuIxhhV640b52Zx1BUhYt3FrmZ7JkjtE8Jo2NLqMezl3OZgBqmKaN
R+7ptvcaiCQzr7bfGru73u85y01dAxyueF/m5YaRkxgJ8+VVtAZlCA/DTzZMIj0Oz30wPBVlRTWf
uqqy1fpVLbsNLa6zyTPPOz0+M6bwBJvAtqxaPIN7PGT48qLL2XHppYbnRvpxTM3bsptPrfGprMc9
7/hF1edbxy52XYEL2lIgf8GMHnRd16INJcCCO7wdu2odTPmd5opbWlj3tYVwJ63XUtAy7rSzTu/O
wti8IT/nwsDPsAB7yJRuOjWjERaPRUA3E3yvRVrEsSLyjB0twbMsHvaBoFIkbZUwtAsYyGedElVM
x6yM9iX9PZcRZl2N57kMrlw9ItWY48BqHpKLzIrBD0dnnpMdZ9u/KpHXki1yUusFyhhARnaFmqjl
/CTvTdDtRmVcVChMFp0wF7Umr0vHOci43gXxvAGoeSikftKO8UfdF0dPiPO8js8apziCO1tCCNar
U5FaOyNPjpOZnOhFviX0/KJ185XMWcO5cpfeQlGPGxYLbNwYxIr36u563V1imIfanpHjQhDM5pPG
GyH55ebHcNIvKpPeqvZB3QGt9Pfq4gw00EM6XSyx1x/VlWZVckIW7DGajY/pbO4Crrp2zlxmrxMa
BUrgEFG3WzUXnu3+p1D71ZGVbliUU39XqKUP/7p6/Glm9fzvvulZhWM5AoKmQcGldKPfVWgCAxTf
sqhOXlVo4h2ME9sHUG4LE3A6pc3LzMoi9kooqxVUPf4bF9reH4O7l6Lo7xxStqoQfyySEMgqm5ZJ
/cTL+HWm9d3MquC3u0FhYp3uxHnkgeIB3srZ2dKX9Cuv05ke0uQcoalOWxDm6Lqi9x6ujnxiYZsD
TZ5pIb3FFozqwm20YtXaLM5EDo+mJDhvypaaTYK6V37q8vBuQH/BbHo6R/JNmzaGo+vZyNNSasNQ
VSzlTP+S2F6sIZjq86YFMjBSvQ3GTTxEd5VnW+u+6rc4Tj/GNZ1l6aT3U9S6m9AwPofm4CC5ST4g
7NgZdnE75x86yojTqSfFt5SjvXFYUTZlmdxUyED2sUZuDxK+hKOhMUUbLSJcPRpFuzrNQGAEkEi2
RjKflio0MEGVuu8EKKOITXemr7xBCnqdo+zbWEnkbiZrZnkJV82YvDc7JUAde6SHRjMucy/Zur22
cmhlkKNixJvIXzklMPe6qetlQbMCUc1w4wRrmlwEXVhFs2cD3NMVup0muXUjaW8r5nqpv6mICcqt
EgyubW5YlpNFbBj3hXRxNPv+o2jC+TjqLoIViczAE+U6AFCDUS3fBV2AiNWBDyZraPBUVxbm0qGa
QL0Fm1niMA80HoawXVYuYEC9ZIzGFcCBctLPZtqtOtldmao7MzEeWvXDRTS5N1VUOHupiZGRvKT/
zNwFOBLasalq1iZiTgOds9bChrJpKhn2lVfbzSF3wpOxsZNtIOD/CpQmvcURP7SCbnlvN6FxBDqy
wh+CZcWrzqrCvOmpnb1eBKuu8bfF3N0bk/kJ3z29h0ycZQKkW1vqW6cLIKRPWKU609mGYRxtEtvG
BtyDs6iymyxG/ZgjCdzS00U+S4Ivrv8G/YRd9Be9WYF70Mq19Ft2LFp+C9fL0Qz01rr1+rURxZ/m
ML505gA4a2830BF5iitZE0wcyQuAQuuwcC4S5DIrrNBfsl7fGeBEmsDBi8/Z2pGYRsSWZ6zbTGVG
Pi+jR8zNwQUsBoArJIy0Vr/3h2DvM/VrU3fTTPNprfVfwtmL90HtYyRsHtOylgfCR07tei7OMivr
CMgNNrmwVjTRaSkkFk+7UM+KCM/yztlSJiqdW+guB0H9lQvjNq8lvWa3PRpZUqwLGd2WtSnXXRjf
SNdslqXwDBx3gDT0sG7XNG3NApCY2U4bpzceQW9phyGYtwNxt5MFuEBjfLDovZJuJN0RHHB2newK
b6KbAmtBEzHha8j/aTXxj4qHaEDfzd8FmmAUgKMzf+HH8K9t58FEss1UVg1/KU6zShqXksFLW0/V
jqoX1hMVeRYT7jUOxnvLqe+KEX6OIKtpm5XxlcxsGjSa8ZjrTCpGCwCgMRsufv+cnE5GBii23sPI
BcnWO+eI8LZ+TyQMqJqdlJvA5NhST8c6qXzyfzOVoutB4XA+bKOmuKcm/0SlSFNQSy9C2plIlchF
zQLjUg/bJ5hw8XKK5X3Q+msSwC9EWw0HMN1MuIY+2KGZVUyUL4l4qlxJuSVB85nGLUqFYEFSBOV8
P6Sb2F0MdO3Xlj7Rgq8i0H9tdgmCfTv6UbCzIJqSaDRO3t4mAlvvTcgSI02kfq4/piPFPSoy65Qe
XYFLLiOZVaBNHhugaaH1Ps8qm0akG+5Kil41EUYdJYCXmCQoLJJD1RJZXlxYc7kzNT4kG9F+NJKi
FqVqZvKxrUvcqVWwnnzoZZHnXAdtccIAv4CuIu8Sn9+lhcmtO8TKGFpeMLPo1hoEhYU7VufaxIJJ
ZAXyya/d91oAdC/GYyZI+9ITq1nGVUxgfEWemtc9xIOuH82q36fk3AfRsGraNt3XM5pFV9kDKmcd
TvK9hvzcn/GPWxWBZUGNTK3esnQxHq9cznVkM1wd7NJR47WYZqiOu75Ii5UGeF4v0uvIyW5do6f1
TF9zYCLaxtFJH9VIbhl/lbH1NFX6l9Yqnuwc+3/vAnMA54ps4EQLjS+zoylmk0CAmQyPSNm3UKlh
PjMuYvjMlBGvWTvf5zVUMXNqz6trrTeD81Fa+1kAUrBaoNdeObwP+hmVKF4uBxqjTAN7VfXa+dhY
F2VeMVLTMD2hD7B4vYjTig923ufrvOME5qconYgjR4ORsQo0se6zF2mqs0wGceCyehgk62I83LSm
zLd57ECF5QHGz0q/H00XIj+tXZKhmplO9sHykk96Ko3zktTexcw4EE9wiHuEAHuirBNnF8Uu/lzk
WFkW7zwylJkQx9UmbLLzaaiWJg/iskTEi4ca5beo4mUBhuUMkfGpRXWb6yCP6CZ4zZwt58Bn8N1z
RA7dcNOPztVYwzTiYM2p00g2CL5oPMcDH19+zGCBrLskXEeF/xi1+UUUZDqZuue6Sc9pxFtNQYDs
dS6apZn1D1rZXqalOFoBeU9jX+y72JmPg72OY0Mijcf+C3n8tMYPLMcQ3gt4kIXX5kdHG/DIzhrw
RqKwQEZhKFbW4kKZjPEjb2dlO+6VAbmhk73r8STTL+FQq2zKvASI4ZR1ubKQvkplZ9aVsTlDnQ+6
1r2JtTMNbu7GViZooMlYHbT5JLIfg5FPPlaG6aKwHEyJPOjE2K/ASKyzwIxoYm9jZbf+T4v2V1u0
uvhbsdpt1Dx2r/uyX//Nt6ofWiF1va6qZ7S8KjH2W19WdWMxs1GpWj6bPnK0f3MRDF2p2Ph0Xcem
cfnvql9/h47BIfvJNuAf6o75T6p+IDw/Vf0KycAvsQ0ADtZrLoIXBi7DY9hyU574GyT/C9kjWR9d
vVl0EXNOWTMxbaxBYCSyD5UPc3RCMWUvxHlm0uPsPYOJnX5WaCXZLeGdX4UnHgthktNJLec70NYe
T3B/yLz5c+uHj7rVkVnekVwwhB/HExuyleUfjCAm2Bk2jDbGaOvLBg8SE/dIiM8W8QBmU9LzhAmK
iTqN1j3iWhJXsDlIezjV5/MBSUIzJe6idWQJz/jerViG8MviZYJHXUWjc6l0soNNzRD2iFO8tLqR
4BxYcfC4V7xKbKR5uDadYlibmq8dutJkKr/ImwkGjgMQOPdjeG6lb6zBnSxILKXD67PLylL7aLSD
vh8TxECslH4hiJwrtoHTX7vIVEWicq7oDQWkpqxylV8naL5TUxOCMDfWldFz7CBAMlCF1SK2RbbO
EA0uc5WKhxfrch7uhCO7owU6Gg3jjYmfjHa0V61cL3xqijvP6Fk+el1fFY441BBiMwtslWTW1qp8
vqIOr/rSRI09Kx4cbSyPML9SpfpVKcawyQCTV/cNUpJyq6sMQJ0wQGu23IMTaT3ILD70mDy7oGJ/
tQuoBE2bwHWWKG6YWXYaXUBdZQ76o7HuhT4pKNG0SVP3ou/yC+dJ2tFeYvEwVHphMPIBqzxDfgjQ
fxVxqLIOSzRdrRtfNBYpiFE252sC9T7K0b21UHVuJpWZiIyO7AdiFDOVpygFNBydiEUPGyRteGMT
M26LjOLAgWaA2NYnIdZwFMte5vtw7FhP9Zwi36hz49bR2PjGLDzvKpxDZIgaBI7x3CefY5UEORAJ
mRMN6SGLWen5rbaXxEbaKj/SV0GSKlHSUdmS6Hj2IWGT7tfUSWA72EGQtXs2piqjZm7mtf1OzuvK
DDZ0cytg3T4zWr/cWpEJkMonkBkdna8yLyfCL2k/C4LIEpq1iJgsDXaHBYKikDEvwEiaUUWM5qzy
NAtTPyPItNsKjtwIA5AfhA6HQbRmW3BUGBRUNqcvCRUsJ7c+MeYKCek8RDRnu2OmUj0RVxIhbOP7
GlTmp5nwjgBSWmQqD9TxodilKiM0FKSFluGF7obpRhAjyuuG6HJsT3HwgsdurmsCR32OgmZsM1WW
HMvaQFHrEZMWgXsDKTG8qoykP7Hn8SH29Q9l2oirBHnsgo/qwXCSCw5Oh1lwXjC3neaztXUNhjfo
xMuAruS28keit2oSxLphN3P2WYkEJuY0XBKzdJTA9tZxkyDpsa1EvaSnuOvig8XZnPcq30jF+c8k
ij/REb1SUBwF9XhKVgZUyMRYr6dygBgvmYIaXbhprIhUgOKQ0BuoVZOgoluA8nPctFTLm2iYYuXW
ik5N+z7os9uKZj+y+Q/wDJ1lRBcCX59LSGl8n6gGhUunYqBjMRkzloVE3snqphdDsIxLgGpGVjE+
Yd0TEa12UsRx56hmCIEYC6HaI5ZqlCCNPKefYi0J6rqL6aVIhzOS7DJCaIJ7OwGvVqGdKZxi1alG
jIxoyeiqOVOoNo3XVBtT3DhhT7jTME/bCpp2PAw8OPE1UFB9afn5sHay8MQZ5vMYmTIYzHRfKKQL
7cl80eH8Xw2WwWpldYsgp2dQCFxls5ueutioZncul1Ppyk04y4M3JEg+HTxJEXdrnSnATKZQM0i1
6q2/RpSimOQM2jP6sBgOcdtkJrP9NMaWpSebXkFsOoWzSWMCUMHbTHBucng3gKM8Np76vQ8JhyZ3
wbpKrQvmEdOg/Dho2ifPoTIWVvEI7uYD2tXKQS1QYJiZDDpTBEFsjLJ+kE0ws4zIS1nWywRTzlY6
/d5rwkdwNMm6sPOnvkcEXT4xKX1fNPW4cgnrJAKm3Uu8fHE7nXpZZt/49pCfh71xYpj1aig7ErxD
HFJjw/CdrSJ18ruOM/1aN2k0sG/gLiine09jkGcN8KMTlylSK20W9lnL11qjn5RIDlddSoir1gSb
PiOYoCKTr0KZu0CSG25aTb2TtrGcs/VX2Yhfo9kdWrHUp8e2GeReszOSipPW386jhv6v3BmzmxzF
hB5udFi5lJ9k7E/L2cnWbQIhrLdhrDRudpNEqXHSQqpnYhLbl800fokGzVi23VxsRecUp0lBLwAn
Zn10iynepg00TjO4tfAAMN4I1o5RLRu75RUuUYwFhdcsInFhOATlNHQ9ydHxP5UVHblaBpzUyAp0
SWdzT4V5EAYhxFHsIFZKGlrmJ1Ho+rsilSFSnqndSCP9lNJx5c/l1OhqZbHR0wBRGSPPWWf7MOva
2+a1eYSCE+JEjTGitlt4hd6+B84ukvHKGg3/OM0z5i1OjKlOj85JDGqZtl+RBc1hhfNWbCmXc5d/
ToJw3CGCpc8ABciamOv29tMk5ZWes2yQT0uHQZrYKtkJjU8R/ACUSCrq16w8dQoWS9Sk3knSiSVs
0hPPJ1IhQtKdZmxr2NRo/tBvTCe0xchx1shZSgD4Vr2LrPYYpXjWk2TAadhucToal24MabAJm8eM
R7qXoUTClFxOGonkhDJfuGGwQeSz6AFxLNCWe4yR6xI325MRI8ZU/uUVUvwC+iKYPYKn5kUbIlEv
AusqTEqYr3r3wKhil7iev7g+qx12Ey1sMe5GONpTh2oilHuj5ginh3LidOWsXWKoud7HOTBQFw19
sRQO7FnM6ywIKCMRPNfxukWrd5JoXvC/bEbxnQPnJ1/Nt2a9ct18jU69Kf57/9EfU4A//0G/bNSx
fqZ4fP2zvhqF/u6npA9t1HZfHon28d8hT7DxmHK2UYa0l/9f895ZKEEw3AjOP+rreb7y3f35qzvw
9xf3s3/p55/zw5/+uehyGndXjzIq8u8PcsLHOPTDyOcvLv7VT/jh4h3PYJZic3HfX7z7zucbnpoB
PX/9T138w5cMoFbUtHX0uf3+4l3PEtTTv3YDXv2Uf98AEH6uYbqcXlEDfX8D+PQRFtk8GC834Pk3
/f//9F/96c/zwP2X//t/lFbKVSKlX3kCXv2U726AIN4ZdhHs+JcLfX0fTN13aADQI/j6xVvCL3xT
98HSAUj85n0woUPi0eOJQk2mvl49D7wQqMKgorrP39afX703dR9MWjS/uCL85fPAfWCSzP+clwvl
B/74XgjSRV0Hl9vzF82it/Y8mLbuPv9Zz17Xb5vMP9kWSHzTof+hA3z+wH96Hlh/fEIc/nht3tx7
wbbFAm4xjP/tBYL4dgtu4/MH/mqncN7BPSVpQndeHog3dyPIAuR1/t0FQu0UdDQRsL5c56v7oOiy
HK7gdr18/y2+GI6rsnR+73nQ3xkoL2gyvdRFr14M750Jv0ypcl/uw1vcOFngfrdyoG5kdbCg9b5s
GPzA7xdK9x3gN7pY4o/78Pwivq0Nw9TN370PvBcO1gq6VfrzB/7Te2Hgfodo9/Jthal7cxuGgbb8
N98LngeofbbOzXh58H98HoD78dQhiFfjFPX1FgsIA1zB798HVltSr0wAiOrr1fPgvxMsDhZisufb
oD8vSG/qvfizUKe/OFr9dSHFharSgaPFn94H951j6LYjAD4+f73B/eKFn/57+4V4B2PCZXL3UjG+
eh7YL5gSUqr8cR/e4PrwZ0CQf/w8qI3RwbD93XV+v19QbxIGbGNoeXkeuE9vbZ00WL5e24H+6X1A
EurhRDYs+8/3C499kxvBAvFyH54X5re1PvyJ2va/cR9sRYbhgXheCF8dtFgfSA90TWrX5y/qrF99
Hn7hZr2wdj6njw/1f/0/AAAA//8=</cx:binary>
              </cx:geoCache>
            </cx:geography>
          </cx:layoutPr>
        </cx:series>
      </cx:plotAreaRegion>
    </cx:plotArea>
    <cx:legend pos="r" align="min"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strDim type="cat">
        <cx:f>_xlchart.v5.34</cx:f>
        <cx:nf>_xlchart.v5.33</cx:nf>
      </cx:strDim>
      <cx:numDim type="colorVal">
        <cx:f>_xlchart.v5.36</cx:f>
        <cx:nf>_xlchart.v5.35</cx:nf>
      </cx:numDim>
    </cx:data>
  </cx:chartData>
  <cx:chart>
    <cx:plotArea>
      <cx:plotAreaRegion>
        <cx:series layoutId="regionMap" uniqueId="{3A8DE203-C1A2-40A5-8DDC-F8AD0564F2E1}">
          <cx:tx>
            <cx:txData>
              <cx:f>_xlchart.v5.35</cx:f>
              <cx:v>Pessoas ao serviço</cx:v>
            </cx:txData>
          </cx:tx>
          <cx:dataId val="0"/>
          <cx:layoutPr>
            <cx:regionLabelLayout val="none"/>
            <cx:geography viewedRegionType="dataOnly" cultureLanguage="pt-PT" cultureRegion="PT" attribution="Com tecnologia Bing">
              <cx:geoCache provider="{E9337A44-BEBE-4D9F-B70C-5C5E7DAFC167}">
                <cx:binary>1Hvbct04suWvOPw8dAEkAAIdXR0xIPddWzdLsq0XhqwLCd5AgDeQf3C+ZGJ+YV77xyYlS1WWSra7
p30ixrJNxwY2SBALyFy5MvX3a/e36/L2yr5xVVm3f7t2v7/Nuq7522+/tdfZbXXVvqvUtdWtvuve
XevqN313p65vf7uxV6Oq0998hMlv19mV7W7d23/8He6W3uoDfX3VKV2f9Ld2Or1t+7Jrv9P3ateb
q5tK1bFqO6uuO/z7W2mv0qv6n//r6u2b27pT3XQ2Nbe/v332tbdvfnt5s788+E0Jc+v6GxhL8DuK
REAEx+LhJ3z7ptR1+tjtsXecCiJCxL50C/707MOrCsb/S1N6mNDVzY29bVt4qYf/nw199gbPeq51
X3f3K5jCYv7+9ljbrk+vyrdvVKujL32Rvn+R47OHN//t+fL/4+8vGmAtXrR8hdDLhftR118Bus1/
IjZB+I77sPTE5+jhBz/HJnwnSMAFC8Mv3Sh4gc0PZvMNWB5GvUTkofHXAuN/DrfK6qcl+QlHBb0L
/SBkPn2BA39HWMhpQMnjGfGfHvrljPx4Iq8j8TTuBRZPzb8WGv/8r0Hbn3k4+DuGAkEYE984HJxg
4cPped1w/Xg+r4PyNO4FKE/NvxYoD9b7abP+hBMCzoT6Agn+tOjPDRZ/FyDBEOLBo8F6zZl8bzqv
Q/L4Fi8QeWz9tQCJrtruttRvYPL19U+0XYEAX8FISMWjKwET9bWbD4EFYEYDzB9Pi3iC4YsJ+9fn
9TpEL8e/wOpl9y8GmlbV559p2wh65yMS+D7Hr9o2OEcBDRk4ndcdTvTjCX0DpqeBL/F5av+1gFn1
V/bmJ/ocwIURRENK0JeFf0GWw3e+L3wa4sful2T5x/N5HZancS9QeWr+tUBZXv1MUgYc2Sch/GGP
JBg48NeGjb/DAQXSJvzHo8KeG7YfzeZ1QL6MegHHl8ZfC4wDoMjqJ54Q8DMhDimCY/K43i/hCAEs
xDh5PWT58XxeB+Rp3AtInpp/MVBU+1n/XFAQwoHwA/qq2RLvMPgSgoOnOJI8PyMHP5zPN0B5HPcS
lMfmXwuUe+XhqrxN7e3T4vznfBlOC76PXiCkfBWY8B3zEWUYP2oz4oXx+tfm9Do4X499AdDXXb8e
SD+RNYM45oN38SHmfxUf4GHUpwho2qOxexHP3C/kd6fzbWhg2CuoQOuvBcj7q7q7sv/839VPPTS+
AK2FU1jt566egHMRAj2SZgTs7ItM+iWG+Zfm8joiXw19gcpXPb8YMrfdP//P53sl9WdJycF9WMJw
iL46Dc/xAa0GU/aHlPwSn39hRt+A54+RL9H5o+PXAudCXdVXb270m8fA+OeBBCaNh2DPCKj+Dz8v
QhgOQgCgBGTg0aS90DL/nZm9DtZf7/ACtL9+4VcDr7x6c3r7M4/WfZaGgqOBs/WFN7+IcoAoBJiG
gf/IqhF+2jFfTN+F+hem9C24/hj6F5z+6PnVAGpv+6cF+s9ZHKgCoeA8hFTMq0cKsjghEigMw8f+
FyzuQv1gOt8C5mHYX0B5aP3/G5Bvzu5rV/TsS/9mVhOINeM+FiF9Yd4gZQYdPBRP5u2FD7pnbF/y
i9+eyutw/Dny2cT/+1OW305n/pH3ja+6q8VDwvirjOb3ex9eEvLYL4Z+jyx8WbHNze9vQx5QFMI2
/yMVfX+bZ2TsKV/yyqBb0MB/f+uF78BDUcDQFwwTUNWA7o23D12Q+qEUcgiYoICj+wT12zc1IJf9
/haQR34Ao3BIUOj7DGbR6v6hC7QgSmAYg5wp3Ba6nt7yWJdTqus/luTx85u6r461qrv297ccw52a
L9+7f0cKglMYQOjGKPEhpwGPhP7rq1MoCYCv4//hCjo77UwpOZrSqK/xUd2wz9i2Rznqdn5WF8sp
H+8GSmsZ5Mk2VM26rxLZhHiSNslinX3KUb0f3G3Rl/pTVQZydGkiPT2EJ9U2DSw6qibF5YiSQvqm
b+RE9alfiCtWzHgNdxcxylAuWaqJTD2exiUnwzJUHt4PyN3V2mmJXD2dU5Wv21SnkRXOngZ962I9
In+LbJpFOChumiIj27G2ZDFXxskxYeFinMxJVdk6Ju2wHmz1uR3LepXnbhdM2TIQXb9ISY3XLi1n
WYr6MlCTWedNeTE37LjaJtuR+3phR7eujJqjmgf+Ag/JKAcjxNqkS6aK27paOjSa5TB39SKpK7Si
7HTiiV12tGTRNLFpPcd6UERaM/rbpk7e65OqmMsoJTOP2iq57Ine9GUyR1hnwTK1wUUReN5ejNjb
u5Cu2RByiUykhBKyRQnZJtx8TELLD4Z0Ouxnc5fg/r3zvZuEZ0UUtIWLfDdOsme6lmOllrrMhKQF
3s8W7ZL2M8ytOev89MbkXbsibT4vVOFvmehUXHU0X+BKbGnV8JhmotuUdRGROsSyqLwsCmgzR+Eo
1kNFBpljb5vT8spDblzwFFdRFaaBJGg6GYOF55s0HnqnJE/SWgo1zREd6EkQZB+LBs3Sd/WdmoVZ
TZke4jYLP4+VK+I06JxESZ/J2rYAzZHOTlEyjDJVxRz3SXNnGM1kNrBu78/pyqs5WnM1okXCa7UM
CGuioOlP6DSRRZK6KW55biQoFlvftee+n0aFX1/zIYwYwX7cMgQrUKBIZ94Ola23GAlny9nxiwZP
KlZTegO76jj1XHkcYnsU2DJZqoA1q9HqiPQ2W5XTSGNs1BmxVS77PDMyJ+G1Z5ItMTWRlY3RiKsF
qoeoVbDxR6SlCcWdnw9y4uV8Unn9+9KMdeT0DSs8FTtMLxOfXPYquNVBGa4QcUaiDN4u7UOxTvh1
Mvs3s+0j13RMGhFc3h/rqBq6JEJZyKIqbZCsqihlju66VlPZtdM5DhspyDjINq1zSfzxxBf0czvP
pcyDfAt1G4u+I6cdMpkUQWFklaJKtgceTVWERzZGQdZNctTu3E3TZqSw8oES1YEYWBLVIQDuc57L
NDVxB+cqIXfdWB62qPakr8MPk18lC6e8/KCe4JkuJakUTXjuDyqBV3NFlA/iyCY5X6c4q9ZjKLD0
5ySTU+bDvX2DV0nZ+ZGo436oikaWU39qFB9XTYBOyg43skvomVANGCahdGw9T0RmtPs2LS/hH1pa
VS8qN5Ao0+Ug53QepEjCTjZq+IBn7ku/06Vsi7qRpPXaJaqplqLiNYy0aew8Pm25KwvZd/1Hv0Ru
wxQ6x8NoNsYFZ3RMdknap0d5jzd24ir2h6I61GmjoqE2Jx3NfKmSWcdF0dwlqK0ik2keKcNtPARZ
LbP5Y9j4bew10ydG+gvFg71DPZWY95ssGdSe9AhOjpFtHRbR5IVl1DN2Odr62pJICNwtGjznsum4
ZD0Zo1TkajEH861n627TM2QlJIUSmRS0jBSc3i3J9Iex5qs+sWw7dZZGdiKxxYChU70X2W6+US06
B6MnDrwyodLvYYegY2Yqydr6GpVERDh1izotQ1kV/V40+ngQ2Q1xg5BTAbsTURwVdZ4ujSfyGLX5
uCGmeY+bZD8Y48lidlsjGI0pxs1pbchWGT89HFxdxkPL0cL52Q7y+DejKq6wnt9nCF9wL/k8jfOu
buF0hJk6InXZHxfV6MdizgPJmtrKQSu9Lg26K0VmZRtmWdwwbKKgyJWclHeYlNWppcYeZKuEoNO2
/XTnMxUZg6/Al3dS2xlOEPfyhZd+7Oppkm2iOnBiGRzJdva3M5/qqB/XND9Kebph4TSuJuzWrMt9
sC6uixkLYMVZf2mq2o9SvCFFsIcSvqWq9XjVB2g913WkcnXXllmxT00P7jRBB7nXtjKHyUym51Fa
gD0Gc1QtdYiOuNLBqq0RA8ObHfn+/R40fWxu0MAOGe3TbR/ocpkXY5QTrZa2Ssa1rcCUpiKJta+H
dZUGm4H11daCQRMZmhauwOmeQcZkERg9y17QXCb1aWJCHZPC3yRJn0dszNstlALKQ6wnup2HUcUB
922cFm5aVEnKVhb3p2VaXHMfsM8q8mCopa1RdVFO1SZT6pAObIW58d47lyRrmhZStWWz64PhDoyb
AUMfrEOb4siaJtw0WXie+SiyVmyKZCoXtDZqV6X4cLRdZKu72uks9p0YdwaOdsW1kmXeZwdzNUeA
9HyM+fuiyy89rZ00kzXv27Y9SsvhuBDFtKmdHyWTSo9CV9NFOjXzYiwLvui8Oi7nwsReOfC4Dsdu
j3Lzye+7KbaluJlMis8yNqSruprl3H/ippOtyPCqqoKjlgT5IsdG2rIUuxLNyUprfqlRRWM2eyu/
aNnxtLV+Kh2dF62LOpzvbIvtMu8JX9PxNgws3nodWTSCICBm1UHezGrphcTFrpg3KZ9V3LpEywaH
+cbNx72u/LW1LZPYnQAZXZlwbqKuqi6KNFWyUr2JjEfSSCOsN8FYL+YioUtr4HgA56sm14AdCt4b
POTnyLQfPT73MkSzPcY6IPCcDLyZwFlMREePxjFgUViphWenpW7UFIHFMZIyU2ywdXihiKOy1V4R
dSFa9MMHTZ2JORi+NaqKVdfglWHtsrNhsaWjmdY4/ci8K78ZJlmZoDoqdD/sUDgfFFM1bGHHKTve
8kydlC0QCMZm2PXlsHPO5as0nK8Hj6pdHaaD5BaMO6o8BnSvL66QP2yGfFo2RXo6CHIBrG7hOXqY
iObA5dOB9W+CPPjMYIuTMF0gg4TkMzsI2YzBd5ZBPKpkT1mxYaK4S1W1mQOvXXTjrlEZWtQzMBiK
uvfd5K+KLCmjrgP7XFbjtdettD98hhc4rluudpjTUKZhEluBlSySeoJTwm89lMp06qOCFvmmMaEX
dyzbZGPY7rlrF4oWw6rLp1FmqtqG/hhsaK1uhimjkbgppixKjJB2ztbTYI442L5zqqfPaZ/czDXZ
zUYd+apWYEOIxM28xGWZRyYlxygku6Yy6aLS66k/xvmQHJXtGIczmJe0bIfIK5C3TOYKZj0n4Hja
mkoyN2deUNWwaa0XdaJRknp2Tcu0W2Y9eOpUgWFMed1sUcVOHGvsoWmJk5hN0WAtbAKdow0UYN2B
72uXVagideQBulIpdomTwi5axJea2Y8Q7wDJzryFAZssnc3H2OZ53IiWHcD++kgGc4cK50ncBfMy
TICDJKmRdV1fD+7MoFpOJU7juuoXOM/RWhXANbq633ZjctwY59YOe9Hohx0cSqMjL9FIijHf5xiR
hfGpWvnVdO7PJK5U15ypMFw09exkmFfR4DIRN2r2IpK4SRZ0Wfn4zp+mtWP4akiSk3v/skzEe5Yk
4HkCz0jiVcMS7N9xUCV6U3tpJV2CwJAmJbh/sQWzLGlJ1GHgrPR4CbSx9CEkER/FxM4dMaPMzbDV
XTUup1rkkpq5jIkLby13wV5kfjQ3E46tradVmlSbRFf2yAvpxvO8MapJDURbZeM+p/rDYBxEVZ49
dEBTds6kHzHKBtnRIj34uo75WWB6rZvJqjR7rCT/4+M/znQFfx8Km/9svC9E//PT/qmC/bvfWt3q
e8Gwffmle43hj3v9WUJ9H9X/UU/9Qin4UvP+FGD/O53PNIZnYsqTZncff2MBGui39YU/5Zg/FYaH
IY/qAnuHuX8vBNxnvjkiDAreHtWFALJ+IQ4IFzSA7N99GulRXCD+O0wou++BjCAHIelPcQG9Q1Dc
CAz/Xg8AkYn/O+ICvtcOvtYWAgzTQxzKiUCpYiD6PtcWRl2XM0F5+MA2N31z4wILkcJMjlq/Ywvg
h2c8gwgr7NtDUenmJNE93fRg/Ye2OatTIbaY6Q3jrVs2wJ/ir9byFfGD0JfzI5hDJSHwRxTCLDFg
8bX2MTapqrMAs8hzrFimfW6XLXKJNLuu94msh5IvM8HvRQPwXErnJ0A8yIJ66qRpOn8bztmGVUqf
G99FFhd9xEzPFr7ozwru1xHilTmi9WZOXbab2+rI8Ho6ZMJeGR2wOMnTbFNZ0i0geu+WSFckRvU9
yTPqCgFVPKyDMr0wZX6SBiyNbVboWAf4KmWGbEQwp8fDGASHtg4XIEecBmqsfrRE90vwDELCMbkv
qISUGCX4QT76Sh4ybNIh9fUU5QD2choKvnu4lKzjOzPqfkPHKgO+b4HIk6T8gFjKFhRo54pN1kXg
+fmuyMEDp9jtsgl7MS7KdOf6IRZKeSeN8z62tJx2Re8nJ6HXH839WJ5phg/TxiOr1qWhHBsICLK6
ZrPkuZZWZNMBVl3M/WwVVpZ/gLCzgognCHd5OYYf5gEB6crUdgo4AwkhQLGXBs3pRD0WfX8T3QuC
L1fovlg4YASK5qA45YWAZqaprdIsGKN2kplz/aYoWyTTbBxP8zJIDocuiOee5rshMR3QsTkbpUEd
i72+znekH/OdCLp9N9DDxpFiiXubL5LCpfvSsqPJJ8WedW25zyr/ssydv3po6kCjiAV4mAXQJnTi
96KIS+I1y9kIdOLuLxUFMoFHZNezaGZJyVCciCmXfp6yu6lsj2k9NCd2RgfjnDa7xgX6y4Xi5vEj
S5pF3WCyS1RBDiHgCQ5RrtV67Oy6yBq9L0Ku917SoahIA7HsgjTKuS4uaUnDJamKNIIVA2kNNe5g
Utlm4KrdDPefHppUlrqDplf5NgvLRTAW/c6rp27XNabe8SSiST5FU5GSwyZM7EGi2x/ZAB8s5HP4
mA8ZJyhCxVC+AjnFe3i/2uBeIdoSjq+LDPdQ7Gu/PMyy8BiWZZKiD+wqRbqLNeL5+Rh0wFi5Kc+q
Fi1NhtpFQl26tM7S9+XYbeuu46fgb0EGUtNhWQf5QRM0xWFbTLBxD8thMBfNBKSj0Ezvaz/jMkjn
amVqPu4bMuar7+9NDgryi5cLfAGOISBg8OEVXxi4Yc4Lhrt8jNw4fiYiGxeuztw+IZPapCkcKeTk
gB19n43JJzLVFy3G6sRjyXWmuNkiL8lOHprmIfSkYH2wemh7uFQsHGM26DROJrQqvUBdJG2frYe8
IDFPivzCazVbekItCtKTiAzUnT5cwmHaNN4wHILCN532emBb44M68dCZ2XI6DcKsjzrwAKsglZCQ
b4+rdAZpwSbAfcXI4oePD5fQ5iFEvjzdDWaCsH1sVZSwgF0xQY8LIIfnPmmGVR20EJkxf+EJrj7x
qfiEk9GcINzrYxw0a5eYZUoYhPPOijaGLSPgIc2immt9XuoyX7Rp4G9qjNgGCDKWM5qr3RzwMbLg
rZYo7E9Z7ZMjq4L0ImX+tqepPulzk140mQb5paanI2luvg8xfQViBiKmD9sX8A3Zff9X+5cLBVpT
MvfRwOkQQbR0klakONMTxLNz+zGtQ/opnSOvzXIJ9jrcfrkEHURAPD0sfFpuHbHNbqjzeem5OYvA
rZ1QPvCDh4tfVPwgKIleV1acqo6DkDeU/uUwiW4l8pAcVIOtt1PY7ZSFaASrwGxYG+CP2XzU9MI/
ACWqBCVA0B0iXbJOw/4iLd3wMZv450pTclPoTWeDddfoep/SfMgi0yyyvEXbzNt4ObbbohQEuDpE
ytssABn1yyU0LP7+cmL8F07AIKcCxdFQ28k5nBkgR1+vp/OwP1mQQaLRLTJG+m1ejWEpxzEbthVN
WCm9aeg2WcBkXlN6Wt5fOD5rfVAb8yFMD3tu1j3ceffnxYxd3LhkWJoORFEGpObcFONK5wx/oAZ0
V16NIDZYLRXK6HYq9bAC47kdKsivBNMipTo/5kLPpxXOwtgLEm9h3RzuMWkONPHJiS0gfK8pd1EZ
kA8ChFmIFsYpSnKDDkxwM7GQrYFCgchRE3vS3l+oP4xR34omNpQvTMfrQ4yndMNne4JEYXZ9D9oC
wglawkrNsvEaEWtXXfiZ23kYNIp8zLojFvagymG6e7jMc0J3pZddUifEqklab99DFmPfzkEhA3/t
dWVyDFq8OrHTDHpYh/aUQvapnfBaeMY/Du8vpnU4mrqgOHR67pYQf9CjKnPDIheg5SM0oFg0XnVI
rDdskjRnUddb+H1RXB7RDBT1hnblgR7IuJtDkArbstaXo3If+wbyRi5t6n0mkInmhNSXTdmdVb4e
D9psyk8eLnqeVgiUxm1l59rJJKS7cQrofsy9a450ff39XRf85RBDoi8U4H98EMRC+K2J55sunEu/
nnoQBTIbOzo0p9UwN2vbJAiyKlm4p71f70qRgxDko0JmVT8AqSw2w9Q2u8CV7brq6jtLK4dkpkW3
LlT4IakFuHab3RRKeKvMIyf1dKKLVMRF3RbLtsHeKZnGcd21/kqpSRw8XCqTjctE+W2EQcA6b4Ig
sqOaP3z/lWH3v4wOoJyAAfMC63X/61YQqTx/aSO6sedkKiS69/WTPnu4lEEm84z5p6NP8D51/FNb
0lamXcYiy3i1wQr4Jh0KdQGphvrAS8Qo9eDUBaR72HYcwhzyStDLEjZsSvhloqgdg+zCJVmywn1E
Z6WXU4PLc55nqQzbRZ8Y0H1Q2Z16ASrhSdptHz62pvKjLssEOElE7xwJyN5p8HdTx49twz1Q21uy
AE6/qpPORXVrIjy4cdPM5iIf7JnJ01RiZW7yxDRACc2lLg43baZueDE20ism0NjEZUKLSppZtrT7
NAXiYwuMNupvO4/f1YMv56bQkfNYK7NiunQBOLRA66jU4DGreZxlnU5XZlRZhAK9CllaRC4o22hm
ZCV06keqhJyrKUE/MSM/4huWzJeiq0c51eoQG2/RVfVxbodPuaXrIiyuuAlWwvBEYjqUkTZFF+kc
ZIQgqPByGPmh5VW3ool3NUP6Qo0zk8Ar1N6rQHDIw1RmXodlo4v3mDbLfhDAomhykav8o/XOGDPv
hykkm5xQBeJvd9nZqogHNn7waogdvL6MctPVoFN6RznHSdQjW0pSufOceH00sqVqx5U/zO+hBkzm
3nkmUsgA1mKfTM1JEXbNwqXDCuGGSGADMThjvdBqrKVxulpWFhILFicr69cfTNAGsY8grRuUfisR
BaGxJHO5RqItoh78exQM0gRWrQwOlrjwhJyzHkR/Q9ciT3M59MIsgya9hhSK54X8xjC0UVOfL32V
kSXuqmSTniaCtEtSeg4E7tTKkvZogfURxDxgnaqYhzk/r323qARooYTmEe9ruintAMirfoVtCcoW
5TTye+St/SGQw6BWdPAOSJJm25p2kH7RjRwhkQ7xdITLcFj1rpd+EmpJG5ceeE2xgzcLFx0ptUz8
REnT+5IY60HGEh2hBt9lXoN2g5+qZZYVNvLm+tT26Cz3Vv0wWMl5s2Z+E/s1BMlumDd+Q7eZKBuZ
O3bMG0iCwHp6sjEjpA+FlXTy8aFfzBezHepFSyiImD20g0MMlwys3pr6rZYuLxcEgt314KhbDKAr
qvpCdPyq0mKM1TrRwZ4Fjsddh7qVc9aeVSi8K22yGynJjhzIBpMFgjESgNMwtk8zqENo/Mw7xvN7
Q+vPLaQf8qxTcgYT0qpGJqkg62nOlz1kFYiP940Tx72f60Xb+6suwxLy6WXk8uLCQ+jKIyP4ovRD
qe8zj2g9sEEWZyrDrSw7kFd7HR51Th05DMnA7kMvGjiGjfg0W7YS1eTJuRji5t5RBZe566+z8BP2
2j5W4wT5IoO3/88FFBYScDHoGP+tBRRCj3XMoIBCkfx5AQVP6n4xT8N/WkDBIdNeBj+pgEKPzF8C
+fv3CyjyEgo72kZ50vjeHE8m0p3Xn4ygIXeMGkgb2FUz1cM+ZBPYdL+BKhbRr2kPub8hXPWG2i0r
V0MIydi+gNtUYfIxRazb5JNZVg3I/02GmrhGoCQr0523Sc7Whd8YuBmLUdDc9mov8Kma2F2e0XSp
VB0sUtvPEhsM/iSp9raZ5yVJpg9d0wLN90ccN8lYRC0bzSK0cHKx50NyWXXBsh2TGxxUt5yr8mNV
JAsoIqplqWbIOQTHtK3PPc+cWp+ZVVoc2rY/Ud3SjMFZrX0VJ416H3bkYKTDssnzeTP4c7uiRXnb
tVYtK+fG2GMuPUpCB/nvltwmJeuBzkGhiODvez5Oa+4nXFZNqU5rKDYoKe1Wve92pvu/1J1Zc+Q4
lqV/EdpIcH/l5vuiLUIRLzDFBgIgQXADl18/x6NmpjOr26q6rLqtZl7c0lMhyd1JAPee850rEaWJ
VAyO/Thk2tuA9ZS0hi82ee4ziVHutQsKomXNnM6Nb53/6oKfyKUlTb4l9ZNcHfcgZO4TpS5m6Kas
Vq4uIr3XTQtuoRLOjpIqF+IHjbfuUNXYEOcNBo3fded2YoAiltYpkl62JVgi09nvSYv/qC0IC7M4
3yoT9zdYBoXEXf6Kw/ZTZyHlJzaCUSvIJZirOjUOe7I0mq++Fk0xSfXTVJUtE9Fkc90PWeQHay4F
GjBnXd5itFxl47XfvYnH6Sj1mzfTJ+a9SLbxLGyHT4HXyWKOo9wEw3aZKClwqVlRET1lU6KzuWM9
rC2ee4Ees8CfvKxKGhy8bZgSlMWngZj3eV4SVCTJN6eb9r1sVlj74BfmdvhuxXS2UDrSvo/hpS02
KriAgGVE06RxxUqjcVE2KWFsWZXkc7UE+zZzCC0226yXCd1zRmt/hpXNVT75c3UIFvfiBOx5W/Sr
ctadi3uMhX1YdHMVpIr3txaYRLYK+U1u4b2XJNona82KJpyDNIANlQzddkqaj7qhsIikkWm70NOo
4u0vD+464WjC4WeaqD6HUb/dK0+hA52aM5ABqJD6xJVtTrr2mxP6iiANl/hX5OBYT7w89IO4jPql
SscqcsowjqZUk3DMcGgNuclXQGPpRMNpxz6oZRwlJkQbbeH0w3t+l/X6HtVeX8ZNpPaCLW/TOH9l
vnyoFs3Bto8WdyC8ECTQWS9VV4oaxinQmLpCoQgCI+uX+H0wkAkb79hHdXiCSIj64YeAEJF6wbjt
rZ5Av/iSoqowzrFvgRgk3RPgLVnYJIal9jj4Qpz1kRiLfiRFg5ecWjNHKdCtb1D7wtz3AZ31K1zE
TjFRNNrqTCnGAD4JoDNMffbe/U1Fe39w6xy0NnxWfy5CAsAkJKCBmJnvRsI7tP3RDDCcpsBRWQDQ
j6/DtYPw2FfbXFrTXJxa5GvPv1Yh7r+Z3WRUpRFFPTTjH4CCktkaRKfEgVsJy1UN0w/Bwz0ZfKjD
7eu8qVc1LksO0vUtWeeMLTPP6iku5pD8ouPG88pnBQDJOp/diKaRsYUS3UOBP8NWNZkatZsKfqSJ
3PbuMn5nS3yuUHdljE7vixP3h3U7jhPEA46OBpalSKt1OwS1fds2+IR1nMqxy4zvjWXdTSsuewrZ
Ay8JFkmxbUnuGlIQJqFfwV3cuWwEy1VvWSeoTodt9Etl0OpH4By6cdNF+CtucD+QJvX9k1ykOFWP
B950+3kKosM60KyZ27bsHDBtzLgqQ/lkpDcVUMBBxMSw2V/p0s97pS0ptmWCd+sRmWlNy8RNWGo3
JjKnBf+R1FuXAkFKOxffOjAryzUObmhfUaVqFEfreN8W3IOWw18F41YSJd1Cbt1nwex5rpO9FOze
NIIWcvLWPBgSsSOJN6NM2m6K0M9bV7TDBPvWVrdW47rF87AD9dKn3IFUMEl7DHFKwZENd1gaQdY1
7oQdufs6x2GVAkYDNxo0POt8H2xae5DEb1JX4W4nzO+h6VTfK+M9160BoTiGQ+ab9gO9KTYc0S05
bVDQUu6GR0fp8mGsl5tEm1Cv/Q+valXu4tWl6jSGdj4z6V03ZHsyqQQD9tHRyxZuWav7KA1xNKAL
AjNmnQ7tW67xIlHGt2PqYR2nvtt02VxVbg7o6EkGejt623BbYj4fWkcUTFZJ1q8h6kJwBN26fTTu
DMOcT5cuiIoBljPAgmoswiHCnt+ht6m27Rg6Jt7BLP6yrlPe2OScwPO208YgzcQh/JEe1vEkSJYE
djxPfn1Y7fBmqrogq9hKxTsvM72LQ0RM+aCcry6Z6yPpGy+NRfd10FRAop5F1tBkSJvEv7H1S9Sq
m+xgJ5OtijKCviB0t4/acXjRU1qCcDsLuohTLR+etMF6G6trz7s1C7dtzpc4BFbURFvR8Isn+h9i
hQ3dhEnpeBUvzBLFWSerDKaL+NQ4e9T1NxV4/M7H5c3HpmIW3RRwmHGcRFDR2NOykFw51XMjskCu
3rMVZk5JWPm7JlRruvbogCOVzM+BJgebQGpXw9l16Qfl9uAGTYjTzxbuqOXe8XUeYX/Z966w6GXH
MZs6kbtLl1kWESyg4Kkn1RdU4LmJ/a8Mpk+GsUdvivp7ZYcgJ51/s8vneEV7v72zKZJoxSWBxTjV
6eY/9IQ1sVlFz0oRd9ey8G1qzJ0HdPtR8znXIZnSkdB7NeJl6IpfjOlBoLBwvzoXh04VPlSyHqI0
DvDmlrrJ6Cb6fNBhdACOuQubBB3OZgocc58G439ghYl8AqaX1k6/ZoHTDHm1VR81b8E2z9nmpUyA
jhyMisp6YsegZig1ExxQrkvSio99Nj042npvZvwAMqH/HslYZe2MdeDVY8aD7Yfk5p17rUyjeTpP
UhqAtWiEEN3Nh81/aaYx7YkzH2JWvyp4ZpWsTr4K1zSmg8qrgMY549vntfVel1doVm1OcSAfCcgX
IAN4mQQANNkwDS4CoKuJ88XtgivcXZbFDNvVNjU/OUrSvi4DsAe7cbbfW3/Rh3boD3x2SqH0eKX3
eHJMCgV5KGFsbLBhJmySsEwfjEKajNbbkRbI5CRbaB4WjSUP7t3mFHHMOV7wkiUt9rxehnExCT/v
LFqslgN8UZ7WKW28TNg+3I82OqOoeWEtPJiV2mKYI1tMkHpcin0Rhk3QqXKe2QvbrtVKIA+sojuZ
ua5TBUwFjqi8qX7+YedtgIesjskSV5myOFOS3j2hth5xmv0a4vmtWzp76mNRjrb/Veml2WmCnZw5
X4ZWnEgzCmge2Ir4CBC+d2Mv5QmgYAPSsFjCws7AHNcGigCpSU7FRTLU/LXwPrxVfxCDCX7SNlkS
YZ0lXmY3eNEwO1gZLz52Jf8eLj4wlAAXKZzaDG+hHNtwy5t4o8Bw+bMzuTK3ff0WeaOT9pVZCtUx
9LYAq1E9NGBvUDGsoFlSseF2JM6AU+uOOhgelh8Fecfga41Ulz6tgsc/xK+z6rknqhgnt5xp86X3
j1HURMXKgi1nhBXgTFGb8SUqwvAtIACupxUKtdN6Eb7m46VObWkS/dKwvsEz2+QCP2drIX+Hs4uK
FPVrP3s2QzDgcZ+Qs2BueMAaUtjqN/9Mul1CjI8GW9G05sPJwHDLOgtCR6MYKGa4zBEJykosd67F
0Z+mJbeOkwcKEoGBFZX1ovm1oJa24TsJ65PyMsmUOI6qu3lx/T4rrVCP8DsgY1kGvfuzpsldbj3u
tnV6cQbA33HVDSlrQBuTpUyaGbcOpDpca/W1qm7jbGzuqBjdUzfvEkC2WAqflA9yduPWpLb2zsvo
q9wRKEbdTdhMuQlavEnlwca+wb3pU1dX1bmrWI7s6stUb+L+bKyjj2Yyz0YMF0K1Oi18vNTfdJXV
bEmw2IKDrdc2q8IB3Gov4zJsnEzz17Z3X0mdiomWzcbQIbgxnugPkXQHPY1741MJ4ULh9GuHo+kG
ldqmuW3KX0rt+uhL0M3+fqYWOMhDRC56CnfUG/h+sDiRZjcxR+3ST7rnXv6wjmijoNFx8cn0Hkfn
Jl955A2ZAWCC5gTIn1P1Y1HhrG47SN7jWoaW/lxGQY4z23azYtnqs25HAiAmNjZOjiLZW3Id9Grf
xmtRq9pPK4rSOhwXL116fFP7IWbIQnhdXVYv7pzWTYKOtMtlEH54AF9T4wGypjXPQMHRJz4PqMAB
QMMTA+uo4Q5KVDbLTN/8sP/cLlAL3GTlu8bIZ94EqOS083NoEhwCPkfEYaMRFGJdzpsDEm2e3vTK
IPDa8Ka8YJfYtgzQmO85L8fhqXec9dSrLinGqmlTIpH9sOGXHWZKviuHfwtjbVOP1PcpWiLc7tWa
NYw+OdX4q6YOKm/J39mYFLJu7u7YzcdkVgg+zJaB8A3P0zD8UO6vLgJiJjg2EY9+iiOXpXFdDSmx
2CIkyAul1wIRDrg/nSj6aWyeRlHtlkSwvZ9K4MTOssaHYAC6Yr0oVQtl2H76r/WyVvnZcXxo+H6b
Yv33eeNqfPLDkGSV/6abLkiXKar2xg3jq7+0wMfdEJ3Q6rBUHTu4i3F7B0249wguUkBeXLGghBT1
xczovXoJfWAixZpsiMTE4Qsb23MTwH1ncfIJByl2qUp9imZZH4hnIAQ6qLEZJP5o6W5kxS6mF8Rx
IB4EUH+tXzjtcmpc1IKO8gfsxyhx3HnLQjN8yNlxTvOjGZRjsAsXN+dQXNII9kI0VZdlG+ty82O/
6NkQlLo3U7rMHigBqBOeh1Z+BqAyu+pKJGsz1dcCfVbH95Hovrf1AIl46GyGmpi7L97WZyLskRWo
ZTl0dZKPdd2jnFV7F4dXCmR0xY62/XRiPaXgUvYQAkyhZr8/SETX04YYi/e2fIjKHiSE8myDBhx6
/FZTup/WEfukrz7XtMomW/MXZEkO87LJg/ADllZO92UmbDmML17vd5cqXxA4AvtK7C6eqdlNyXqt
XPeeuCD+cSf+7PIwwcVQzgSPRqLIAbH1EyZGinVynrC8cFyAvqZ1POySBOd+I3zUNR/Yy/CLYcxv
ET2uTXxbXXGUTLwIVCRLjBsoYNg55xELsO6BDvXuBLslacHF2wWRApu6VpxoH3sIWgRfyOOab/BF
9wEo6njov+E4IOD9iZ+14DiHIT737ZTsYBb+Gsn20yBElaP1+nBd1MiNkA6M8vsKXuY4qGZfJ6iV
dMDHFN3riDUcg38Q8aWeg62sR/sejVvKW3nZkpnuqu2wSTReEqg8TT5BuobE0QYnKqHRzX30sUTo
lkXCUazWLc0W2B/HBPmvcVWQARI+7DjFaQwEuuQSFkNXubJUjJQtc6IbHYecukjh1aQwMCxeWDLd
zYaehi3Nc+0+ST4jkSQOPfDcIhKNSKOea1BUKeS1n2oI8NnVkLLwQe5sPDyNcotTlYwUjTN5a4ig
SDD4JvWm7hccCJ6yqs55sND7HG9Nav3oV6OarI/dW6DiKZ16w9MhRLkMaxPcT1dV2QxJiy+9wVnG
PqPgZwVDvTKxoL5ERnyP1ervJsWg3zyaFTKsoF9Rdc49GLzRc1/nuHNfXdnuKCrmVDsL7KUYPTrQ
5BbsirPeo2k96lDzZxwf4wFuPe4Bv0oKNiwkA43IrgEKl2vsbFvB9YaUg2nRxqzJCQDJePVYjN6M
t2fhRv2VxHO1UzM6LPJJz+YXlziB3DYYz9i4J0Q82LpbUbmVkZ/8DCp5oojknGWzpP0ErmdxTQVK
uNbQKQ3KdqQSC+7Zb2RuTzpc9YFWAnKdcvurbtwgc804fpdLKtvOSx1POzsOb7QcEzidfQBNQNS6
z/vYmS9zNzXPSaTzDlXhs2l3zdgNzzAKC7u1MzQwHcKWlq3MKf4/UpthP4rDyEN7Aw4+3+Ix7PdI
pwzYsD4mJPnuUvbyWXhbcNqC6j0eiHj+/SBtXJeVj6YdaeNDFYr6ylAwP6M/APbgM3u0LYMjLYIB
GpDWJfDgZcdcg1hfbLz7VKOVcL9YUA3HqmXiSW1GPhEUsukysmn/+OJcN/6RkAFujLUmt52EbWp8
cofWNRfBpMJ86aoxJ/MwlFGihufk8dAPPtZgNV8dFfTPSbuyE978ezM2CLwoxzuKhsYvLPrODXpm
mOSIeuE4O7sBQVLJ87tz6BYknCeEN5m+0Gi5OBu1L039tsame0ZPPSMx5PU5gh1i9/upsyHbRX3R
lGsS/WgnLPzMyes51q914Pevvmp/qUQ757gb+tdY0wgcY5OUv7/Ixw67Nt9eV08+IzGXfJ4poleR
7pp9slkPUTD4qVY4JYtRgjrSW3aDFy4pEb5+oRyXEL0IdmU+6JeIImXlrcS/Nj5uF2Wy8L1d4vYX
FYqnABubSxVYJGM3Euah5Ms1qQQvqqG6b1wOMNCjD8/64dceDlfW9fG+V378pP3ul1xs+IOho34c
Oj4WzcdSV1+5dOxb7wkXbED0JGPi5m47duCnpjmf+kHvHvrpuQo6efQfrF7T0bORjQEgS6dffU9f
IxI6zzE5UQH9wvL5i1mb0oNLfPY9KOU+mY+bjF8r7mmYpQHYoQnLeumvkYStPMJ0zfCK1908FlCA
+rd+5N2LQqfkupdJrAiJuKwFSXl1oqDGcdDMx5UnPHORCjuNqJtC7fCzADmW18FrLL2MRC0aZG+Q
+5BEzwlR7TUgbIBhNleFIopeEOE58BofPT4Uluq5GT81iKUhHhPg3uKisCFsKb8lhcsM+xyg3Do6
wSOfF/wyEoEZI1vyrGT/us6EHr0+VhDd9FKMnqnOkFeeZilozhxkiWKx0AtwWwD4SPJgz3NXqBd1
CwRL7/pAhmkb9N1u7kjwtIa1vkGALpduTF70pJ+1MtHJ+gjkWl2XMUSkNHlAHnTi58lruqJZx+d+
/W2kUNgecdudva0Jjt2Ebb8KagCkyH86fnxqEvgemlpbegJJXur5GqTy9hX7L9tHKiIHUJkWtXK4
4yRpnt11bPf9w8Nsw3dvmMNDYIBIm3HxsRLEFZDou0S5cG37GOle3cS7DT3/bhi6uxoBqPC++jUP
bnz9/aCXcB91DdmvQASR1P054LQaNwnHvYu+KcgIQW0MfIEYVuxC/bPAWZSQqb+qJC5WmvDjGoqg
6JNwn+DAK9QwT7s4xI1qSBTlLgsPHudzhm4a+Et4V0QvB5x1CVhccjYVKJiVk2bPRuig2yJNTnxh
ss2a9RQRZCjdUKAX6B4oL1uGUmMdH0QT7bjpvO+N9nKzIk/mDs7n2l3XM/xBQBByUS9BG+auJ+PT
74dWgJMm/HNvG/0UNdx/1pSTPJ7eOUCW0oGNchTUrfa0Hb46bUQz2sgfPkUdEfM1fIpBVKZt8hB2
Ngi1QzSeNW3yZRuAOlqVh4o61ySBFNMZwvJNaX0PHXBdUTBWuVPD4Eez1X/QZPyR3NxtNs+IIBX+
XKPiaj0B2TOckE6PajAsfZxXaxOVkk9A+HT/0jQ/Ndf7VW3rjarQvLGZ/CAdWHUi16tY0FTESh2M
oNW5DlTGaSAvDulTY73g0zrq4NzFQ3yVBJn2bjWXrRJv3giHb1bcfVJjCCtuc1VKvJijYuUu8nIm
uWgrG+x4E7ToyYMAAnQXZIR5AgqzPSH47T/beDn1LaEH+mhQlCuqi458fkEa5mtcT0VIbVAoj7Oz
0VRDw6NzGlTOnCvsULvEW9enbfEP1WaiK1+GuWyHejxLGaDurOdSPv7/4ukeHETqD8q/1y2MxGTw
Nmjzo0U0OMIWJSdaDCuS0S6ayjduHtq69Ofzqv3otPTUhTVjYVAMPtnHK9s+1b6zI8gtf2Rj4M4X
l61bLnhHM9eJJKwigkU5reowt7U+/X6omYTYoCks1RkAbDKB/I/lt5i9TW4TaWTsMW8A+7lf1J3H
nrVgCSoOCE1uokrb8OR1CIfktUU4ES7bzd/i583FFq+3qS7tYnwwz2AZ1xiBeOnxK7p59IZdJ56G
/YaBCLz23CfoYuTiOnM5Ta53JC3zjnPcf9rgcu+qGNfci+KmQIQQqlOnm3PsNPsKeE+2bs0r0pj6
pCGR5ayeACH6fntjajK3YJLmhjkBezq8Vs3SnwbFwM86/PM8BusVi/TJIgzyK0Yj2g1IaWkkIe0W
BPm/1zntHBzgov8+E5LY0K/ONB01LPU8ZI80JQqso4k5AGNn2uGnBWkfEnRxfWzeotmxxUaSKV+8
xs86Wku4nuD9fMc4d5xDSICPenlNFhQpfSRNGZLwGI1QG7GuVD523VIKZ2K7po7WovXXocQ38JOo
hiiTSPm9hpbtADU0wG0C+YlvpRMO4dFrw591su6apWqf3WqkQHG1yeclatCjkDavJwc50ihsYLLV
9sKWIrTxSwKzUbdh8OIl0KN6Lj7qqoYKyHV/7higl8m5+cbl+7V3Xho35OcZBVLWv/eRCEoTTe4r
0y42REagwW4iOcL0zEakJlJhIyh3DrTsTLGk4BzSEcZS9OeoRjSYMSmzDemTElo+nAYXRFzSIavd
xogAZ/Vm6C1ZkFPfxsrb+w23e2YwnqCzRN2BvcHr78fr72eUdW4K9jJGRlnLYyvYhx/YCfjZEkKb
qKb9XG3tDnCgl0FfNc9dYsyzb3+ADdW3BHXDpUamMhq24MypwQNspmxzDcdIDm7vFKDRPVbxeMJ0
lzv3p2cn6t1rwur5dZavtHLo2+8n2nsxCaG3mtPXAPXxxQQaaQW5JV/WyBzQxFhIdqLeDUHHnoZg
bZ7+NgEJjweA4x+zNRFG+vrUg0YQBxRRrUc04Q/odqcqO1gGgEgAfMH4kcF5CmWYpJEnlsKXZjwl
jzCEcDVPnYk3uV4XLKJqRc60iREJdKYSR0qbqg7hZGwvM2Q0MCuV96mRvIYo4UbZ2lOQha0JoLy0
DPJi750gSD+AjRLcfRSDto/UeEF/0t7NIm/ILNnL7weywAzTC+aR/H7qyG9GwKhvaGQxzyDOBzsM
+9bG4QlTTapDLypxSiLfO6xadsdm+BpYHFdTFwI1dCZdlb4c3xtkuUYZN3f7eKgG3Nub5y6ZgOkE
lKVSdel5UDY9WoNXDvVbbcfgFFcBaBlk0+HrhZ+WqXfTBkF0yNdqv6HkSLcQ/CqaZgsSEfU8fo7/
xcNcDBKZhwXnnIDwuWkby3hX23b8rBfbpK2q9dXMm4Uo1y4Is7L2eYJCnMf1EpW/7zxP3ONoJJeO
L++ULfITLBnkN5aaH0fv8wKw5vn3Q+yjGEOyhpbtqa3q+tqysTsrTBUYI9K+mLGL0r99//wHaDgK
QV37URTSmAYhDTEt7U+3jxZR69iHPrJEcBN70cKU9trim1Ub+TKFY5BZYDj55ODfSDnOxybB5kYp
VCqDmA0umCwjtRjkImRwqWLTp9hUxH2Neo2pHhbijt+zG/H8b+1UL2hNAE5UDACccd8TzCvK9Yjz
a2iGZ1srUzK3hTTdwSF3Xe9eITdw+Ntv2X+8pT+tGCQS8Td+XLAabhL4f/2WnS6eR9ONfdpOrYWK
GmJkRrLmnm1pwTA2qdQLIMeBor12GXXOkQ5yB2MZbiPO5ptwMDmodfrxKDBQyCTh8HkRLTm2nYM5
M6gvvkz8YXnYazMh498hpYwSGt/Hq/Ba9R/WYV83bcarS3v4kN0AjLRdbh4Kx88VBnAcWdd8jpVz
dBtYGcigsJPbgOCEayVP0AQ+oyNqXv72R/LX8aUodijFBH0/wqeCmN5fJXy4obSSFvcy8axKIST9
DBvyS7io8zvyEOhd0AE2QOYZq0z8nVvwd37oT9cDv92LcSGAd3uu9xjY98db0NfJMAuBeTBs9T9q
Ir4uoX+wjUzybpNVqjARiMJSrfsCJixG9vjLh1/HY2bHadj/4x8EBArqhC7+cEcUYeLjH18KtkEi
Ww7HmVH9Yxl6VPbioGwVwGibTmGFCH3kb9O+7ehfPoX/PZHs/pf3+5ehWn9MD/8xTPxPZZf/dbHk
P03d+1Ms2cE4YGhaf7gE/2H22e+/TPLHP+P1O8/8f7/x7yeUo3/zKaVeglvYx+wx+og2/Z+Isvtv
SYwvoOhE6BRXFVcT+8lj/hmGSDpIC8QOphV6Hi61/49ElJFi/astBVso0tGYzIZxoZgn+vvrfziE
K88DJ1/DBkcBUkSSkVPQQlCAaE9z2Xp7krg6/41RNIAXe7n8v4RR+Ohc0hD6xD+BUYRxB5NgNf8k
RhFNDACyjkEP/kswCo+6HxWK2v92jIJxDNCwc/IPYRQYvTAfIG7+fYwCUlsLeKX/H8AoPJyGqWvi
fyVGsTbhtcMctz9hFNUcmFO8YKbW38Eo4Ae5pynAKJ+/i1F4Lj8NZvnPMQo/hIqAxMW/DKMYgi3M
alf8f4pRMLnrKPTK/wSj8OvGFoT8IxgFb9UpQoP8r8QoANVbzAUM/h2jaG2LXApE+/8SRuF8QTbk
H8MoNmcBGMS7/xJGgVGbJThm6CnCtNdJ68sSgHOtA/OTzjFoBUceOmJ/OMFyCTCmCZGzWzyzw+Db
g7M0d1V3HPYru7sGs5mglQJu0N5UMuUgdHlnAAxTVQcXTPC41RaDxrrqB8C8NudteI90W+C33THZ
wM0sh8u7KlDUoYiQhKuqp8nyb0s4FWTwCi8WKhcYI5r6mNeQkTAwhSTmgXhM9wAt1R72bABHQwIu
4wzD1NYaicoZiFnQZc7iPuYExVVJYasDCAeftAVJZvi2q91AZHgFV2IRXXNX7xs0q/dJxLs4shiR
BGQODumrFObaNs5wTKCZJMp3T+cERxDG3BCbVj18dhffXg+r2sman6M+GI4eDZ4XTCjYcKTPVQ8M
EJFjV2GUUmuaYh4g+gvnVzsBRsLEiuAQdsHrNN9BMcKGF7XIaNI/S8wFcGv5ffIx4WiDI4duYUDI
uh0yxqCBrpxnGLhazuN88yoBFAChvIb3n5ua+hlQ0Hyr9T5Bo5vCEDBFxOvT7ERAXYYKzHuSQHsF
86xb511GAJp0tHql36+mQLBgmFhcilcNQG63gDhZFPkUcP/AVj4cMJ9tyjHuMqonOKrgGWBV9VmI
eSbp6uWVngEqsQiNCT7GzZE7TSGsDQty1z4GVaSOEW8WhGc1g0LrorDEiE9dtqSXR5awSxj4qhCD
ApIiwq5YDT8t85OjmNmtrEe6FDPv2IOmN/+LvfNaktxKt/Or6AXA2AA23KVg0laW9zeI7qoueO/x
9PpAcjjkSIdnJkaa0JEmYngxbJbpzMTev1nrW9uYSGbrXsVHxoszYelXnNZPj2WCgVfB9KSa2a0+
9d+qdfhAiN9yZ45PS6/Pu7lSLAbfBauZrHlYwx+F1SEKQclYo1MHebOcWOoeRjjwh9QSiVsXgo8V
A48YHZdi82/MSeAULZbXFD1ggPBguGp11YsZqJr94DmZ8KOZrngqYN6NCfOnQgRGn77VPfOuWU8/
pAkEgVxbl7d4J/ow289Cv02j6sxM9W2upO/0XbAsQnh1r0Q+5qCPBNilQvnoSyAyvrpMCPKuk6XW
HpZ0/G6ZzXyFVQvc3S6qbFbfGXoAyriKCYhV++wLgkSNeJCZSHW5dcQcSpYLCKF/Wb/yh8bn/z7W
0n/Y1FhY+nkc/rSn+V3W7C8I6F+/5LduxtFZrNJ5oISShrNF2fzKW7J/slXLNBwm3UArQXZjZ/4L
zZlICRocWiNV3zplSQ/yazdD8BcBeVsui2FpzAMd9R/pZpwtPOSPAxIQ7bZuMRzRNGH8jHb6fRe8
rPag0+/m8G2n6yRJP8OhUT0tVE/2VIAuUJrbNtaFu3T4n0Y8bZY9nXTsRCh8PqvO/KZpsInMHxlW
x12K8ReBWXM7OHPk2ll8sfXhsunXusGEaxspJ7UupJun0g1HM2EZJaLDGN9rqeMlUpt3kIBxHgNz
5hAWa1AasG+EyE3fRshTlPl9Y+gvasj+OkZC4seYb4r9Grfdmb8nqgyhfs8zGD8OE310Yaj0rJHF
WGcVgZYvLupI3BptMjFiYS6NEEZxIfAc4gprnsEsbhL1t7TJkxdD/KgjnOXjBNkhnh9EWjcuO4gK
Ey7HgGaATAsNrs48zK4qAHpRWgjwv76QTMUY03MeJeM+yYvrInYSV8XQDzUuxhvjYHo1MmPAUue8
m5sIxpzZAsGMqAWWYFzjN3BkbthvKJxPm3dmMxuYcgzk6Ddqrp7LusOe8ncbpCeT0kOyZ/k7DNLq
ornw6f7FBunEWMGlhPpBJKwsOmczBP3XNUjDz1T206jd/J8wSOubQZo78v8fg3TlrMspefrZIA21
6G1Qcc2Wg+IOCcv7PzFIZ6K81PFbB3O+35zmxeS4ul4esNWdVoEby6z7L01ErD0ResegLova/I5B
7KZje+ING7VQ2/iFwFlfl41oqG1swwnIYQbssMLCcKkk/MMoimb4lCARNzZiDCSx22iJooabGAJQ
7DaSojFbP8yNrbhulMV64y1mgBcX2UxMQ82nCiSjWWy4RdgFKVacnoHkdePwf9RTK6POV5Ux8Veb
f9MmWgXGubqNugitGQAZGhGz8bT5QSmzdjeAipxARmoFCHp7+UI2p4ebDTVHIbSGFgTaLveQws0u
4KOA16B+1ITuF+H4lOhLsh/HgZm/EV/aNhcoDNHIRjNOescIPXWuoVxONm7gsD81BUrDjYRZocxp
qgnYBUTfaX5E+fUxbOxMVn6+ttE0s7xX0KKWXzLVX5uNuFmWCZ6EcPSXUHVcEwsi23F5X5vtaw+w
E+thi25fR2hERZ7elIA95Ub4VEF9IrUUx2mjf2pgQFF+UXqbkEFV7FIx29FTvFFDk40f2q8GXFgB
Zceh8h42ymgkKb+nvnzE0G/gu4JFqvxMJc3hk04avZ69MUsL4KUw1kMYc7dldWg2tum6QU432OlG
PRXgTyGluPrGQxWAUQULL4RUnybA1OkJR0ayVjcdKFUFz3++oVU/p42zagJctTUujgQE67CxWFlI
DftuaoNk47TGfXTsVSSsZEHA3jJ6z0LElffGj3yjvOIPxS6GZVPbCLAVTs0zFeJtrVExFntj6j+G
jRnboXryYsi4+dQ+AMaBmaqYK8TRs8AYF1QiOy5Z8pX36TGq7UvdoK7X80kF3CCv1AZuLQuliDGn
x3v2XSk+8366KqrqatV04NA2SjWj4SeL1p8UFqC5ndZHaxRo1PUUR0/bnrN+zLxsndqTPgPGQiZR
t+10HA0qgnwtHJ+3ECM3cLHJVtnOiqd1avKDEzqXiPLhwOfxeuqRFg4F+ZG5OXoVjqRd2N4pS3Nj
VrDlVShy3WAbAVqG92ze2NRszfE9Ic9a1PAoJbCUITeB26dsqmwB5birFn3fq86tPtSXZkk7V23X
tzIu1P2U7sNYUo47O1hOGwBJuU0140arAai0Mr52Kkqjpk6ORZ/ezXHBSwz0xet7rAR6eoyL9Lxr
dBnvernSVK/re73WL9FsINY1KQFgoOWBU/ippswBYnTIhg1v4Jda8aEEHKe4SmsRMtHkz3WISx7V
x9meUO4izHst7T52h74OA0RAaYzdYAE0eE6GLgoMxHUuTsk8EHkDbCkxjrbmTJcSAwOc8syXEVXT
UDYpHrlll2upchqLBA5J1e9Lae/BnQhaw+OAypmlu590CsZtFjBlVSK66fSrsl6/dfl0L9vYQo3f
Alyr5fdCFxyYa0/ZI/L6Rs1XiFY8ZoWd8TRMDkDbgxxi1Kk1rLQCJftFVu8yXdNTPlIrdsltRScK
nTl/q4vlebQXxx/iEeS/NdYnXFj1KW0hGYGJ4/F35F0+Rier5m9fTJGAzzvTHa/xfjJhpWPxeg41
9jYiWR6AZBfo30gKqdtiU6eM15j+b1QwkGDX1SmIOZz7RHzPGOy7VYgsLO4mbBnV5OGZRx8eM/pw
xlJ/TaIfhZNjeFBS7WLT/VcIFdF0zeNp7Q/5uJi0r23rx3PkQ+1tb6ZFWXhyItVDpOmqqfre9Qgo
2XW1nl7i7atxc9SVVh/nOrxa0Ggd9XFckZyYwlV77SZcm11YkgIBXXqdlUe1/q5a2Dqd7lVViqtx
VX6YmLrLddxTlLt5vWyGxOo2HXF55M7j2oVoayo/YY8eYWSgPv+ZLm2O5TsDhWPFaz5J7TBuAmOW
6nIab9qK30nk79U0gaXDcAm9GD/NqJrXZSJRI83PRTFfIvj8hShuTS276jXr9CAL/c7JOIesgoMd
o75tXPeIgFnnKSfGNg95jNzSyK7y2diFEhnDktpen5ziMQsKg533Yp8ME9IMFm3TpL8NFS9Vb/To
mA8OqsveX+YyQJCCH1rZjZm505A4uaEt923dvmpr9bApqwpzL9vqoVCyTxDnUJSLs+7wPlWaSfzC
55ppj4wgL0taeuqyXaEh0tJSHmiErgYFsUlP0EjYBWVV3YbdcBlRY5sYW2bc1MBMD1NLTW9qOIfA
CNad3w+4WCaEPYnuj+NhkXmgDV6LKGWy5PUEkxbAhd+06gaFw88dXWMDe0SHdM16/V3ve39Uxkv/
68s74lzQ5blP21cpzF3BSdHozmMpw5MKROTnf6LRn4cMl425m4YSkHvxLhXY+JCZ6Bz2qdk/C6EG
a5mXHkqvXYvtmEUU10dTEjZSOTu9IvGGpVkb6One1K8G1Mro6f11jB6czLpSuvRDZJQHal8MuBgj
C/9dfmnGT70As8iBVqRPfQrGsBFK70meTLqMeyYgZdp5cT59pDnHlEk6mCtHvN/GAgpT9nnv9mN9
49xCf2qR61vY5Jbio5v7KsCBfIsFIkBiP79ara9iqnJbKyS4YKrh53V7kmm0YNL6BsrKflAj7cXm
mBdOazzMdnnHeY+DVpufCqinQYapliQAn2kd1onY/gC7pGDHX65xnUjXXMWPSzIknx3SSEwo9Q07
PfrchqEgFHHd7YuKwgwZFk7Qiz59GVH8NYz1j2JovXaMedhyaPiZ8sBueqG1G70tM/VQz2enR5ZV
6Wm+G2xzbyCtRn4AEKEfSbLQ6H/VqXxsh/BtmVjl2OqKWXVBFmxr6i0/na9s3TXRx8NcVkdM1fSu
6qS5PZpLr+itWxsNqJvE5oPdIdpFFdrCQVD2xRDewwxsfVNL7nH0fDjq/JI37XlhFP8wxcpHDjPV
IsjFn2rlTWm7Z8yYg1/1oDOyri79Dh3Yobaupu2kLUHdnzplepdj1x/t7BV0RR8ge5ZYa0irqXPl
Zs7yf/Fu/L/wrAm9F1vr/5jt/d9HUst/y9X9ddr0yxf9Om2yfxIY7Z0t/w2RhcZ06HfTJotCkLGR
LVQT5vD2o/66O2fmKe1fvmJLZf5t2iQFTHCLjbsK+pdVuOr8I9Mmuf38P0ybTIZgDK9sU98g40L/
G3YuFjQjVNeidUV0Z/NpPCdivtdMJT4MNe3DUrU+0Pxqp0ZV6MoECpzZ6vu4Zm6aDxZ0FANIV9Uq
TmBXLYD8OFz8Zsq4YhCJH3CU7Aa1CQMdoZmLQLDGnNWt7vtjjiDGTez40Bfzt74f0TPH1j2m0Y6G
MBaYUblHshUHL342CiRIYhzgX+OCMcmUje1B8yQtAA/TRrtR4+G2KeB2W1px1zpwdQpZHoQx/Cgb
BTbZXOl3k9jbi4AJkJOGYrbjuYij7oAJod5l44TunuddV3u/7dWJjKVUdzUwsJAH+9cWY24+MISb
avuK7DK4ljq/wjDDi0h1nbQT7budHsMOuWmZx7WbjXyjOYru09H4QgPuF6Lah5WsA6HRqqGk+8gk
yTZy5j8eCAuq+9G3Nh14IRjhM/EzgyVRj5GjOGctm++nCcJYYtrHLuv34DQ8p0FUbmnqmerG3hO0
EPnGAGs9D6U3jlO1a2eOtbkNTY6W6rsxGv2uAgaATzQND4l9RbF0mxihju8aV9CM9QIUqdWDJdh8
qlxbNTOudY0+cBhR+Ekm6E10VwjsSE1dZC6a7QEXduvlThgYmiVdGT7TnMVHu1rSfYbQ/2wb9Pic
7dWlG7h8Y7wV4DfmTwSxxh0wmt5Lk1y7chgGPrbC5K2xQGD3URm0zXxZktHwF9PTFm3x9NXKzml9
ELMSQR0Szt7qWgH6dIqO6oKLWEU+R5MDAgSIF8kdRCHh6h1OrAtiWFirYIMCqG8quuuoD3dFKqxD
M7KAWlPtCiF1FQwRAsWsL0a3Yn3jZiaN2myNrxhMCUvrWH4VbUlFP+QvBgWZs8wQPcYGPsqw7HUU
i8moXYXGhMa1KAyoOMslnrZIjozDWpXvddfOKO30p2mtv6jq5NJ8EeSTBSLLfsDpPOY1ddM0NcQI
hZusEqBh3X6r0mHnLP13qnIGDyVoZGT8X8uyXBxs4Ekuz3YxXJRpeEnyHhwejlCzW+LzZiMo7Fnb
JFsxOAD2KlUk7hKRXy1qe0+Szc1ICBOZfsPFVrS9Dcac+CkIx8I+wBA5FpmgbpLJq2Eu3+x+/G4O
XXI19h+lsuIWn5vmBNz70C9V7Rm5qmPODy3XMLTFX43+MPZ1vIuyReyimLp+qvBa8JZdZTVllxkh
r0admR7iLnfpc4iZKsfRVcL8NFp0Bl3FJwobDuNllTe0pEetSBeIQH/oWXk/hxhxYLoHXeqsGALW
r0nF3JTNUt2Di8nc3jFehw0VBexrvUjFvNMaTrAxLR8d/bus4HRUBkNkI/7WE9uFEaHteHPG0+z0
mVvBP5DqBCcIhIxhV1eRDojT5FaWU3QeZmSu5MQEucgo79JPVdcPQAtmNxblQyboe/ho5+XJHquv
MOHPRsXG3j9e8Grt5tR5YLvJsKhxvHS1npxqhF4URVhlm+444apsFd3wDBPuWJLK82imx368n5bc
wbcbQvnZ6A86yVWWtdPtDbpXD6QY6dSf5ZwFOuDGtdDxKCFWb5PmRQVKNxsq5VBlHFKdJReiWV4h
5QRmSvOaWQWbtW6zkKcop660UAAH5mBcQf/SgnKBhjWlwxlL1ohaMn2wRZl6Y31eYbk8CHWLSWNh
2jvMgqySPnyyPq02tPdaN7zLkMBBfrM8H1M/rLTvY4sRImkMB8U+0sIMllKpznDiswQvXHeZOh2f
lxF9OPbUPHSdpnqpyKarmgSwh1a1HqY1rd9rvRx8Z4KG1rdz5XH0c0RM5cheFdNpjHrZ1dWcpbcx
D2T0Mb+TSXOAmjddaVCqANnM6l7LawLXaKT6VG/OpuwnWgoiMYeFQcBAhhfNG9bxvrvh4CKoUfCR
tGPoTSKWQPmAAfIZmm7NZaYOB+Kqq/40OMUDxxuGE1PH8zFdCQviQRgZb9iPqnfjGb7Kem3L8qxX
DXBlI1ZPhs6qknHQYV71+ozDH3QGgWouNIvE0zFy+FCnoEU16RVg9jaIE3Ief65b/r1Q/F+mKv81
iYWAWNPS/nSh6FVJ8b399ntt5W9f9WuVZ/1k6dqmZDQcbloqF0S0v+0UCZYg1MUUkpmPaluUcn+p
8sRPhqrpkqWjgV/vDyEuzk+OZqusKIH/qwLD/z9S5Zna34quyXWz4DRDcYHhbLOl/KOy1iHvTE0E
YDjNKku/rIrnWVN2PUMNbs268kBVOF33I3Qs2v3wLp36Y9akqxfj/HdXe/aVDCKQ6AgnbYr7DhUK
I7jjUGYfrROedbu8n4YUCCSE26mzfSu6d7obE2wh46YdExVmAAS2VaSb5eIapOMJ0cMbzEmQq4mb
zPrTrNvfzLX02xFgoTAxOoRwZeY1QbJS5DtUDg8m/rYu07cwJUkuqplQpGE9c8AwyEolGUAb7lJq
hyv5blAoOAoBIpt7gcCnGYjFGHqrNQLay5wflVTfza4DXCPtGXuYNQKRRtdVpSBBQFgfZSK+Ma/D
z6h/Dlnz1GJo3mkck5kYX6PeoPws+3knAQP1FAeG3eD+p9G0n1K8xXMfNE39FDnVPY5wf+QuVSvX
qiquyFCFA4rBjvAvoJhHQ4VHmsYh4LcpcGTTYwYb6NwNJqExubWh+GjtWzlt6S1FDvg4pOLNI07t
Mk3vAFu0Tntg5Dcfi41jWJmh7lskl1bFDMFJy099go027MYdc12+rUFhzdk/tyLG0so81MJzDrg6
71xDVVSkSsOtBt3cLeI69SJr3GUVg35J9O4soYXNwAtQzX/YzqJ7VaZtqmzTY+OeXa+ppWJEW7RA
RKQQ6uvwYxokCNYXwOaav0DM85Bwn3MZnwrlResYlKnYvZtI6CSXNsJXbe4Vo5yi3ZBDxQhBxh2F
fF90xrmk/iVedW/XS3gamTMc87i5qSV8RnVl6oTF/JCoIqhyvEkhr2Cn0jq06ozjFD54XHQSZEhx
C8pSIyHRuFTZslt0rF11gkWafQ1Anh30ke6E5CeHf61rQLgd+YHPoNqVm7RkmoygN4arimGkayWR
ehA9aGxIg26TkF+bWeV8QWYz4uNR3tpEwTWeGodC6x/CtNwPFYkT+PtLkHogitmU6PZ7Hwty10bG
0LD+kGgRS7wq9DuWCdEsLZmrqF+hId7WGB3+igSMXYefWAqIJsjj7VAKBt03FMr145xiwGUp5UXA
IpMxNynWKVN6PKR6BtrQbl4HM6r9Tt/SePj2doUtYpwu4DBa/j5M+9GxBM1agL6bi8iVDj2Jk6sf
G/kcOT5IHdYqTJtzaHvplZrbp7w4OacqwqqyDhvEYWCkE/8o7fXDTMZTgdXdbZzpBZK2BrjL4yN2
7vP4hRSC61ER15MNnShmKmxceIrWwm0dVuIdVACqbRVdDb0bs9yB8cyMRybCm2IrOqg5x97lCuEy
g543VwZUBAL0Yme3qES5MM8nIGcaK68s4cM45Q8G9aa70lKpcYRXuypSL4mOhVnrXoFfMRjoUpet
XQVLDyBMlQsvUgk5aGtr063BrXHRQFIHRFaNmc5Iu95rW0PMYwwFclt4NRHxc1vbTB7LfZYv+blT
b5Ptop62K1v9+fLmFpfbdR7lYeyl2xU/b5d9rkVsbCy9PZhUAs1WEsitOGACdLZCsV7nb9VWPChU
EepWTgzUFdUy68DKIFx0c/HQgtgGpJXoZX6pzOG234oTdStTnK1gUbbSBSCnPC3NwE6VsibbChwm
ff68lTzWVvwMWxm0Ug8VSdLsu6ZR96CQYAluZZNO/cTSEfmZ2Q4BhMDBZZvHh3QruORWesGH4tXd
yrFwK8yarUSDSFO/d1RtzVa+ZVsh128lnSOdBZt7Q+2uQ1HoHM6VNbKtozAHccdT/iCIT4JXB2s5
s4hyGMwBc5atydtINPlFabxQanuHE+qe2Ggb1nrKkg30YxDVZhqUU8dumNxECIuJvKOP9tpchxim
lPU5BYTxuD6XBcIKoGO3akZfVot9EccQORQr9komCCYySeZvCwbg9VVroeiv1a7I+E8YipSeMx8g
znR+BTQuCHus1KtO/gcBi5wGifA6bTis9lTvjGTu9mXSI7G04wHOGOljs9Jcsno7eS0wtargiJ2G
DmK844X6Cj+yzj61VbQPa6GyIVE3JCNYDW6zwjd0j/AOF6qOydugU1Uz4YGRYOkcYcU9wkoTc1uM
7jK1rxPd3pU1ubKDMgCrYH9+zuTkr1FiHKxyS57WmOFLfPB2qOEzz7EeDuUbk4wc8DHwQVOBEoZE
Jgs/i9wOCgHZPyln5TipF3tiWUYoUxaUOamqs94zLoEHxzjiDVa+eVU4ESGpSzUeDVoszS4ynsn+
jkuGZwCOIU59VKXLLSGOTcBJZfOmgqGxh5pLuaPB0XQ/k4BtsfVClLZ1OJmkUXtVzr2RtAT9JFL4
UtHsC8ZF5LXiOTbRb/L8rQEFStc6kpsVtprZO3yQwuojGpcv5sic79PwBqslOjO0i49JCevT1PNn
G8fl87YILJOaJFrIb1aDrx0qoQB9Ues7+LWvg7FRZlfxLVbi+ykc37r6JmOxvi9jhvhTWhxNraiu
tdJSWICSodsP5XndEjnzoj8vKqRMhW0dXCLEvQl3kNFzvIkoPUPjAgnLNoJe/W1Zy4Wt5XSShtR8
JLQXiknI/GHL06uarhlz2TKoenGSR6uEsshg4Eq0GDfRKTDpGc2nRCSgUIq6xVeo1l657lKpd4xj
eGWZojHr1xpaL+Klch3ebW0YL1BnLOhKgL2rlANjWO2YTwgdTpl/G9po8ERj3vcKu2RDlJVbFV1+
VkFayxhw4qgtnQfGAhB3Ypf+BBbCzJn6NXP8w2D1EGhTmSNmE/IBQOSH2BRlVvkDZNp8nvPq7Dj9
N112z+lldubPcmR5xkbgSyiXqjeYBXKWlasZB5HmXLOw+GR5+u8Yy1/anf+8E3Is5087oZ/tYn/T
B/3yNb/1QTbthSSQEs3lNk3+fR9kC1SVtDJAyhySK//gFMMKSudEN0SgFybEv0671Z901RFM0Bmj
4+4S/1AfJJ3/2Smmbb8wrZipYVhzGLn/XluJtXoxbFEDM4ucJ0nMnTs7e9EQcdz196y0w3PFQ7fH
hv0Vo2pX4XzsreVljKyIYyYYmlSQnVgdcXZHblGrZ6sZ4QzP3yA6MawR2TNSG+QMFXS3pL41lUlc
mFjfEpL3NWYxV6RogmSoz2IsJ/bNjFpDO9sl+HF7fYRXp9r3KuEyu2KkGgwdgqNX1nszuPNAy7Sb
aiCpK79IfdCuW9gL7H0aw+sJXW5X5n4Jz3lfVTcESTU7x4qQexQpU4/0pqlRK2XJEcjidxN9fTun
9yXB9gDC0d+oOOhvDDv7Xupm8VYsJ2AIPUb6KffLBo6bJqmfFI1rQI/KvQb6qCARWrFax6tMs7iB
25UyREGbUoV0TRojauSkIFarAWQbovUykEoMb0K0VFyoQpCKNWXT+Usnb5s+vpUqtIfJZBjeColZ
YH3j4n2SIzW/ULcTcTSO6ZAoN+2DXPqbqhVcB+vrgAXVjEhYIi6aWXDufGuGfF9n048hRIxD2sh2
fK+f0O2vks0RjVHO4vfZDbL6WhvxmZOXsvb9vo1SFBZpckUgShCPsiGaZb6YoH1JQXhoKe7Lrql8
o7aSndlmcP+YP8LSHqv7PKEitRDDHjjEoWp3AZNOn5EielDmkxSNT0u000tnCcgRZ/k9qTlxVzMW
//XYGhMDv3+eSFh3X3aI56KsnRd9locmF8SChfdRVdtuuMbFnpCD06SnDpWluDeQQaJ3Azhsgl1O
Cvmepc51RcdzqeqexiSeD/1IPxkpo4+JPD00WWtwCaKn62sLyAiT2KTVj6W9W52+vtOgjHANw9Ru
yq9uyNurpNxcGAmGrVp71D7mIo8ODTx+BmN9ASwOCpJtTm+FxXJ2xXkCmhvqLutsTPZWJ16jVPtU
LIDDGdHPOwI9fKuTp5xC4BKBVb3l+gRZoMAFJ0xNjjl/sdBEwpZ0IIDnYS/NzEusAnznvO15Z7wb
GfN8LWHnLtqsDMa++BoXHpEsoqLqu+26yzV/XUJ6gSXQ0Hi4WQpk29z2tyEQSDDVNRLqjGno1H0p
a/+YyxpunGL4SWk+L06twZVPwSwmwvBEVHxOI5GvMhwuS6ned/n6sBFCcaa2bIL8odB7F7FWHrQt
VLAqSYMqrg+wk8YMDQoat4i89eZHyNMD1ZcENSYd8LMgGS4Tw4yh5BFXaZk63xlmvC8vXR4HA8Na
E0DIOryX6WcNcZZktrZGZ+KcnOgo4u9W1HgKOYOIq1xUaZTdxwx46pizzmHHX8sXthdYYNDgTW8r
8hSS4AJTeeu2n8WwIv2qun2i0KdBfWLvtZxHh7FC9ZCgx45RUzKo5DOHCqd7GcTOMm+19rQiM2iU
N7N/Mdph++Uih/3aYTFvGob9hVj4+8Co4KvK7VA2vscZ2QfIQxwOGkdDwcXMoSbjTBi+k8deq25c
+i4QYQcAF8HE90pAnaDXyCy/T81d3Dt78DH+/I0zjR7H78S8TzLys4ZrMq4O+mrvieVjdIP4nRH6
OqLFZsphR/A/SSWQiuUVuUMtvxusS110iKUW2remnR9lnqVnxm30LYBXWKaldCr2iP1T6ydvkTXA
7Kl8Fnqe3lAPE9KhlLdIZ7JD066HLMpV0pR1ApSiz6UGog7VUO4sodf7SO/SB0tfXxemzqyBkjiw
kzueQufUrHyjeZZpkJvgXvuydDzLShJENPatUODTJFVISH2eMRhfzTMy9vKGdDBezaqF4kNen8vE
8VlLbIB+FbYaxa6h31qwRSLC1P3C0lN2bhR7ERAGG1llTPF4bGsTIX7l3CP32JHAZTEUtN9pMk7o
Qju0iv0z8Ji9lF3rSh0VRRnBVIDZG+RKpruJU1/TS5+ElX1f0gV0XZv6UQvYQh3J+BLJ3UquhlvG
DiJEZnqoNo91hT2umzbElLJ+09VGo1knp7lNSRQoJOxKVczPXcNIgsshIsewxK4El28fTuOLPjYy
6HtsaImERN7E8prcDUYvsfMoefpnqhTE/xNIdMAp3rQkCAL7lbS3jHNaRCrh6fZtS1JKShANVonx
UtR9xBxy9lXDpoOz8tabaZmUej6mdJruusGt/j2QL3uyUv7zMhT96p+qLrxvXf8jr/4b5Wj58Tfq
C2g82xf/5vVB1wBuBC0Fvh1QK/zRb3N5DWGG3JQZoHuw/PxhLi+Z4juIe+hIdKnj0PmL18f5yYDS
wjDdAsIt/kGvj+ls6em/h29AvxHAWlT+t6WYm1u9+jtyQaGB7l1C2MpbTz5Nj461Qu8motTvZ87x
ri8vpQjfwtHIuBDq+k4xHFT2KZ2vqnXS07VpvtM6juUoN9FiVKztWMvro1Yw8xQHSl3t3DAzaBY1
WNao8kyNjX0xe2tfeFLOzhEqK/vAonutmakUKueq1iG/stw4vEHAwr6WQfi2hzy0DBMITmAi3xjk
jW6mmXS0/NhiWEJakg2kngw4COe1lyqsTtdQeH9nnpC92LdoUe1/bZ4QD7uzq0aEFP0/lSekyCQ/
rOr49M/lCSX5aJ6NuP9jntDQbdkwUInccfh/LE8oLKll0vkPeUJrnzyqujb78KOfiJD15rmLvGVm
EBs5X8R+UFAxVZnU+Xd5Qg4hzxOu77/mCanUpjqX7f/+PKFmDamYw8CsFB21Krj/vzNPaFZF+JxN
OWHjdvQMZjfzVoMHBmLctJ9X2BQ1XONyUlzZIFsWPcu5NulB01b1ZWlYHlQ0g2gUqGN0Y3XB2fJJ
yVp54AzDAjLBXofT6LBEgBrM5VlnHVuxOeJSdRBfLCGphRrywCUmatMkMNYYV8jARf44CPPR0HjU
mbX7c/816QypEeabxE/NNAlxdEOeCOFDxWGYk+6Glge5f2rzSyhzHqxYfNcBSQxp9OtuDKugIe/d
XVsyu9tw/JYR/sQczH6B3Xer5xkhwrGiQHcbUG+VfOM4dQKr0ZybcRWngog8f21pZ4vQfIf8wlpA
rGeKkQjtKUeQouZB7fQnBVp/zuwJliHD3eRWiugmiW3p//zy2L1l7KNE/5Eoy9dYqfXBKDTjYKdm
EthsEkAdYsgmfwbhgDmeNGt+WDBd7Il9oIMkTRy4teyR8jgfxrqYJ626mN0W8YLPw6fijT0dSfJB
n+OIpgGF+AJtNWAZbO9ZPwL27PZZHdt+Wlump9Lr4B5KtGOVgWpd4/qoZo4nhha+FXsMdnLsP2Ln
LWO+SvGMamcU+lPVk8yn8udmWzLi3tLM4onvFHMgV2hnEi3/wKZ8k5pIvJpyZWK6OJE7yUzxZ5xP
10qY9bs6X6wg5H2CjFPdZuyiKcUJItPWIgsQ0RBisfRAA8o80MOXnkXkgCojUFQ6fwKNsuulJkAE
G8jZ2rZ+K+s/p8OrpeKT1CmZ021DqJjjDuVb6uEiRUXFGlH+D/bOY0l25EqivzI2e7RBBoDFbBKp
KyuztNrASkLrgPz6OfGa5PQ0R5B7bkjr112vskQi4l53P670xITiCnop2HQPSm3Exgp6QCmQA1Lk
jCSZKW2yR6TEQnsc065cM79yyqBjUr6OkJMY00Gbmn00BGka304tOERzJKuZKT3UUcpo591oCKU9
gmkExL1UCmrdFZJ/MWys3A9yaXKXRG7NqhRtN7/OkGHZ2yMzY5XJ0HuRaTWvumuS8pFLn9XkP2hX
j/3eVspuZutovP3PpDTfWKm/eiFfen7FO6ULDwjEHkKxweqjGqf3bDHB+zlhz0k+8BOhfLbsnWnr
KsW5wqlNn+j3rNb0i1KlQ+RpCtdlEHeQag18i9WL5ptECYyOKXtEYohSMlJ2dkgbUAgO86wXAexi
3bTLwQq7COSzUsphL1Pp5SPZD6PJu6BYz8jqKfJ6SG42msDtI7tHyO8OvIUh3k6OduUOHPnM8a5S
68PuUhq3kaTsoBywzschwYf8rkPkH5TYXyJfov0zbdxlS/kDf7JYD8zmhjmjbSvHgBV3BxsLARev
I2uGb1ATYUpWrVdeA2ye2yVMYTPjJjCs8MWvwmsLn9LW1/QDxUg0A5vMgPPghfulrivKN6zXqaUp
edKp3rLptCqIOwfSi+ny1Jp8XVRgLfvo2RIe/V6NoPTPrD9k4V8pEvUx0ifWN+yN027b2jhbyf8t
/BbD1Anfe0cMG5HH9wPph8YXR7nwtcVsyLziDhbBwRhfB5ppas3H0DMSfF7K7pYmmENqOfE6AkzI
/Iiuk8BhHbP+1UuWS1qYJAksnRdDqHAi5kQwj1SaRLwcHbKIdr7TWDcFki5q/PZcm9wcXXNuiSDm
iRF4cuYF2wuLqoraeLO7+M1MVy/WjpUwmqd2ODDcRPvFobWsrtybWZp0I9kzfN0wyPN+3tbeky+G
NeGnh1BLixO0XXkI+3lfZbV1TMVy0PQiYfGZ4sF10y88ufc+aHfwf+SlvcoYdlXHHU/A1tulFSTn
Gq3SM7HYJ3BC9QFduiMRhqs13RlGqbMZUPUlc8LX0Z3Rh5INSTlK/pxPYXWEELFfQvJdqJ9dFdqj
DTGJ3qoKQkd/l9v2NyJdth6X6pOt7XU/RUfR1E8OGN0t6aeCtamVnvzlaGSGfQprezvX7WPjiCNk
5nNokfmGf08Nkr8Z9YQ7BdLv3H2NYbugvFyz3kXz92KLSy3ohpYfFSbjjO3bmAZdljwUY/LWz1V2
kOpcyzCO5tOxGuf2dqCYeKyZT/OqMgBFTNHeqummCjnFF9UiyjeWxscq2VE5so4rj8SjS0+n5WP8
HOr+zhgaGhU6gWmrx7E3ac6dRa+T10znf82L/+C8iK8KxeB/d+lv3//s0YfTqj7kb6qFrZuIEh7p
SNcxbYWs/NuUCB/C00E70N9g4KviX/2VCOEyCtommobNf+CwnvmvKVH8ht/Ls9AtwBgKBI9/xr3l
qpf236ZEV/cF6yTGRAZOmxf436dEIlHLHHOvW1k5kWNH4F2YAKhgNaE6xoBxXnZpuI46FrbuGGKT
ztxbZAWq/oSyvmgJim2EIR9bPbWBb7nm2wft3qtuDIFLpO36s7+E4XUpog+zusHnpu2cauo2lui1
Hc3Ih3bu2gDCenpjDCmUXUSFxOiwNZbmXT6M0BFm9eCdKB+kVk9r9IeGAs+gL6j7NtrR3oHjPfHg
Q06O6+Wk6elLH5rpden1t5697c1Yv/LHEZSnG7LQt4A4YbQ5iH641z246dOkX2JZzZDCtW2hN+1B
mtorQaztnM/PJOSgns4YkKPOJpvwCWE0Rv4dTG5LhOS0ZSP07hPFdQfI+K3Kzgckli8vA2yh4aJZ
Mv8NREuBDWrVOfJ1tvyXjuqboP+WmveDO4S7Q1UF4OG7VZzNb5MVP5oWf5JXxE8LKoVXZTS/NyNf
s25VO1dgHZr4YQVwCXd+FZnYtHscETkXpWb0Lh6dh8ubjz10xYbubJASk0UJQHl4TVtnn7nZu9dY
OyKotCY4OA8qMB5BlbJctazC2A6jd269Qu6cUHsn8HibKIfLhCB6zW4TTwb+pZhiAoKM2b1BwKEf
/HbnZtRz4pWgBKlZO4peYdFOs9IAWlDfoLAbxiV3yWHyjFxZkY1Lm6x3zb7aGcUb1S400bds8JeU
K7tTjy4cJTZ2dFOdZ0XW8L1i2w2/oiTUDsLeiGLz0Fl6dhrNaTj0VX+svRDY7EJBO7HSZuVn92lF
exnSUYx58FuL7Ph5TMp3Q+hbH3sA8Xi5px9SW6U+WgDw1CGIYhz6JpeZbDEAliuaSIuRIa6wNE35
QJouWj68kkYYzY+7K7p3qCsyNJ0lBSMVuUvjOczSu0wH/q44Jm0TQhxm/bxpFeWEQYqESUJ6sKcf
wjVu+U2P9lT1JTgjLH7JE3slwaa0ip+CjLd1Aaq4gFWKZIiw8tU3mWKucL5G23mwvi3zvQbKIoro
y1RKArAWe+ALIrN/KiXnIkV9N91AmjrsGH5clsOijb5Cpz/PDGumCnXFVHPFFqWAdu53Gz97cVQA
TJIEq1QkDDcfXXnuSaqwWK5iY1Vf4O+yiJJFXfc0OvGbp0Jm/O2bidTZouJnBTm0kDxaqdWfLvm0
RgXV+sa7M8twZ6oIG7f8mNAxqba+Rs/r/BtW4DkhGaJvpQrBzaThdBWLq/oIfxTsLvJyv4I0kKgy
9ld0GlDo+To1+QPGJ1zmKm9X03IuVAQP7PSuVqG8ukTkRP3vw47WRrhObVJTZBt697zrA+rm2pVp
NLi9im+bzJ85/ozmqceYDluMSKCpwoGNRuavUIHBjuRgl6OmxmQJN407fRsqXmiSMxxU4HAmeZio
CGKpwoh5vA3Dhg6AfnjERu6C0S9vDb917sEhbJXV8HmhzWOqcGFL/ruE1GOm4o9w0Vbk+MWKe7bn
LONLJMSmPOcXORGdHMlQVipMWalYZXhDTvGChZGSvl+xSxhiJHFsYqoqlGkQqliallzy50Rmkxv+
KilRYPtfcU5ynZM5vi0JIccvjcwnXY6891QMNNPbaeXGxWfseSerDckbmbwrm4c5vrbJzKs4qa2C
pUyiW6eN4l2nQqfdiJOVFKqu4qjYjzeSztuoP+hGDXRfYu2SIalPHHVawb3OhNwzTM5VbDT8ev1a
BCw3BXV9udnTjWa6tzFnR5CP+RnZ7TS6H8qbh+xc8CMA4RFO3+jAOHYwiC4yvM48ruSh4V7cynuV
xkBBtoZ7Npe3KU7IwGvLh2lsNjjix1X3EXO5W9H1TdGSC6h5eojz5SH0h0eGHfdkT6PKK+lvcGqu
3fE9TNwbguhYaFPt07Al3pjmLh/jB0t1/1aFmHkbQwNxx4++4vU4UzgE7lxQ/UTpKUcRzUbMYk71
3QvElZkeduBIKAY0GX9A3S9xSi7fizSPefnshfG4psS5CAy6Kjh+Oobh/MfhlhE0lfbcCPcLqskv
nllQMt9tPCtE9xr0K7IHGJhjABJ26n5KM752armz2vlBWFRjFI4eDK28UGf6ybblzUzpX6U0ts1S
jkV+bwQu1JU+uZ/wmN4yJ/toQmaYdNvYWY+70zgT8X2pGooMhEHTZg1gYiEwFo1PiXuV1ftyLL8G
jwKcsbxvKizbg7sb2gYT9KS9JJV/27jpqTXvYbWzJHkpi/IjiZC5araRxoyRII5eo9bDcBu9khLZ
GtgAzGh8Jmp+ttuF/X15LsPsMFm4yjpxF4X5mdObhpBreZqofsM41146kV1PufEwle7nZPlPY/hM
ofWnXKyj4xTrXnsgFxWEzJQOSRQdS+XQabd16Rya7Lkb+ud+NG5KNyUQbSVXvBZE5fouvoFSYDnq
vcrWm/bcGX9FllHYU9ovDAVb0fDTsj77ZErWlv1U2/2ybkWK0xF03uiiCmF4RqasJ9SMzzQzt60s
uw0VrxTn0oHYeeu8Nr+6TFC3hvmy7i6V8tdJ+CS2l+JQLRKL4Ih/IcRD94tkR5QRQIGVSsALqtWK
frpy5U1zGmgz415cI/bO8cWJOrxNtv5t1hi4Zt58s9lFK3pjcOAKjA6VQaNeGD5TGLp30qTaSseh
FTyzP2Qr8Xk2FYSwoXjkIoTfY4lvF0+/s5p23FC58DPkJYF9481WS60UcXh0X+syOflOcTYFPldK
hk6mwTYGF5eT1SfRxU8KfY5XON4PfQSvvbqf53Kfx65P4Wm+bXp0xRoO6MbOXkxTlAGI+SgoJ++r
w1uM6nkWAo8jxeYyaJllCQoEbYjllGfPeaRwNpQYH4dFbIRIvrTSvaV58R5TGHyMFEUkNL/9iehl
TYZnyvg8QnOuknrimTaMSRDVyxOxng35jJwsD+U79Peuw2J4mCsNN35GGkjXHzBVHygXm9Fz+X5m
miP5Xh3os6NwF5A+oiB7BOdLuLwWUenf7sxDkLjbGo7QjecW93TWvVmzzXNA3wEbRGhlmecm/PU+
hlyP3E6ag/TAv4YFOPZfcrAWR5lb979es5uBneE6uy4gSF6H9bJjA5eeuUQpfm55Kmo3vk9ngcNh
mh4Gr39Lyr5+DrEn0p+UbjK/K3ZCRJTpWLa9TfP5mNE9U2v5TBqtf/TH1jnO3qRt0oyn5b9Gy39w
tCQy839Kkbv+vf16/5Ml7vcP+psESbsD57xwCAFZQrfQGf8yXLq/QT6Hd++TU7SFsHSy2X+NBhm/
oT0y8+mGq1OXoEa+v0iQKgBu6Y76M9/VGTv/KdwgMaQ/DZdEg3hvYLLzMOxhwftTADzJ4qQfTJ/n
S0SgoHuxI0nvW8dG2GU1TDQcUGjJRkWfbHpWtaa+Medi43e2u1mmVtJBvRQkahttXfdKV4hYc/BG
qT4qw7mQnv9snJGQKKxOjZpJL8FuMOcdTl+11y5ZcPcsuovGICBgso1l0H3N1TZcccgDPaPGMQoR
NJsDtv0kqOvWPEyEZVb0qAlgSpSo9Lbc5WFzdhICkiKv0s2QY7SiqTxap2Mh99j4Yxw+7O0dtcE3
ZwCILk2HPvwFVvzEZtS+P2Hxj28qxdmv36fddIz1ZSYQw9ztKr3AVcqBkYZEKGkp2ieO8WML5zsT
idg1qsc9mWJnbY/JBVohjgxUiVLpE+FzhVjRGgQzq9lbR0rHaBA0CGvRdNDZb1qtGFQlNUBuvBxL
2foXQ3M3HWn8ldcouwzQKezDcUabjXUzT+I5VYoKc8s75sIBuYJVdM86zVb6y6yUmBlJZrQtmEZK
pYnVXsusCDJ6otx3Y7EqZBddasSdXKk8g9J7RvmTKv2HLsETBxmgmvLBKLzh2JjWbvY5jzKlHokB
UUbpSRZ+OSqEqLOJKVkHPNRZe1UUBjCStQSSVK+0qUGpVL++Pd0w70qlYJHIZzKN5vpa0yQXQhbD
GLoFUhDal6FUsHHhZEIVm5U+Rs4iC/BgP2FH5ABSKtqAVdm2r9IpTa5i9T9R0exHQpKHmTgpQSNC
GTqyblgbgDwoAacfdpP1Zh6wTljFD069jKoZFtvP1DM+WlqKMR2YjIG/eFjgUOrc6gI/ZxedKPnV
4EM5wdLt7DkXtjG+iutcjbO8WSZq6gci1gRjxJaSHurDluYZgtqJm8w+TWh8Y/9IaNdioul8nuC+
xSK5WC6ZpkaLTdX1nOVDjJ3Q3jEeKhMhuJFIjw6EGoajiJ1o0+liBzbYCeJw4EekNW90JikLlCy5
6VBg3dg2vcrVYXYJDFDkTg1xSGZl1uPPuLbuwrQoiWaHXWDX1XuNZhZwoZ3W4HLTDTkrcdSzcrtA
INtSnyU2+dx+WXGVrQ1e3Sq7ohGMCC49lgsPrCClwmdtTo15Lahin2ieWonMoMY2N1l76s1NW69L
XuSG+wj40VDRMo2iCUbyGdxKJiyz5KqtpbtMXkQFlc7qXl3P25ldS+9gI5yX98JgSjEi9rcObwaG
MfwFjCmic3EnNNj142U5tnh1SAW6r/OMPjD4Jx/W3ECrYoA8ye9V3drrAuNo4KNknXqbaMXQPULO
3mhzAv8uakCUtgZB/gSGU6a/GdqYH7WWimYvad5Kij53k6lTmGX6rK59+xLOr24FGKeBB5hi81pn
NEw4qmrCp2Y44JmuXSH3bDSgvw3v4QO9VKmiAddggVPFB54VKXhSzGAWxkAFwAjzDfIUVXhJhw96
HMz70DqbJG8cyUCSVr7F2gLSlis/fSqn1iJnPODetJnBcLhgjDNwxrNuUdNoZTv2bFuS58nKAX0s
u+JTjuTqpJe/4ljeFHUBJbnsh30MOBmW+FroMqDx/EgNZeC0vjwBYgUr4wwvsECYGcJJZTTD+EjE
ndjLgnGMP1mM2d9HubdnYTnzjEBqBuxcKsKzHn7Hivhc8xAyOnhDjc06ZRrlY6P40DWg6GzkCc1m
zLijB/5VxsO7SF2idY0T3XGCPBBC0HgMCOZE092ZWKxBfLWwVtn329295dkv9iSvJzJ3K91nEO7d
bNvEN4lhdaQLZwomaUuGZof1zckopbJ1akmNKQsGp0fMsyHS5a1Bb1LXX7kLF0ljafARx3N7qvW4
X1HKjiVuzHiV87zL44XkxxKTiM1cur9LkGS1pZ/1sRA3bZNeRRoCk62TzIgK6jlH3uKDxeOMntdD
xicitEoOLU2Wo20OB7oqzzaHAa+o2gkHTbuv2mbfjP42kpuRZvp9XmIQ18Kl5R+9QzLPkrnYCw9J
1d2083Dg+8zbQJvDcxhTj5VP3if9ey90uYtHb8aRUzGkTY19yLRivAxJ9hkKxsYG+Pk44otouJdX
g74tCmE8eQN4d1k4OAS5rGwsIF17d9KOYL0piw76vj4miwQ9BI/XHY3XZazfNH3UN3mazYGbdzeE
D1lA5ow+I8gJVBvnqfO9N8HctGlt4CS1H99Avsc2JJEv3fC6lXxoPmbJ1ucIMeaIjUqU7vDSHJIv
HvU3U+7cmA32zzQb56AeoGclYBlMivn2mPZ+mshj7m5yZBudGrF6mjdjNOibBJxfohPpHa3BPS5w
yqDQYagaql1fYF2dI281Jyas4cLnTevl1wMoORYu7I9Yn/DM0JCoxRSMhrnrWbIHA7rmWOnHUSHP
fZNSLVk9W6n2vZQWzvvEZSronYdKN3e1acmrMn2u4/q20kugJCGF6gMj2SYbEDYNhjRzZDlX1uZd
V7ERpw0Jxp3k4A1Hti+gC89TxlHPDXYviI82Kkc6ESgdVLI0VRnTWqVNw5ZKco+TDo6evo9m9mB1
Kk+jxL9qhIjrMdOhw2pvRn2MOcQ0beWrfGtqbHWVd60IvjaFFe5KorAlkdg5odNWEJKNVFrWU7nZ
xpjoOSWFGbJVHkc6m2NCtoZK2+rEbiuVv3X89tJGNaverg6P1Y1XEG4ktQDN1H7DpKYfCKMSWvbr
CMEZKjuFb2AMIVhgmViIpC/etzk9Z8SCOfOuJpUTzlViuDafYZ6uSpUkXogU/2uq+QenGtMw/8+p
5gTVKvnzVPP7B/1lqvF+M3TLhoYOCV13QUhhkfzLVINDkhwPzAPGE6QzIRg4/jrV6L/pCG9KTXMN
wUzEwPNfxkrENSYdTwd9rpNw+6cks7+baQzFTxeMSQC2HEdBr/5gq9TrsCsj01QykriDJstvX599
tWN/R53zw9KP4e8jMuiy6Lu6+d2x+W9lX9xUSSm7//j3v2tRA6PlWgZ6IAYf9S1RRs8/fEYuDZ5G
p3q78ifsTTnd4Vwr6o0vKM0t9Y9Rg6oUl7uojzem575TnHXdFcurMQ/BH6TN/+GViF+f6o+eUlc3
PLDxjHKEevG8/slTmlkoRhxvzaqrqwUSu0DMwQWOJWcrusjcuTlbaUmtIMeL/6Q7rD793KFY2R9x
X/g+KxVa+CrWx31F/ohKr4Ajaljhz6Q+2r5LYqbBtqxyUEDzy9Ly3LVnD/O+GlDGcp/OE5b2wq42
eUX7h6NaGmOQtlspOU2t1MI5QQXuRnewT4xuDXyVZMauMbXxQtyvytjuITixp7VK2mp4cCW691IP
E82ASQJYk317nWqHbPG2wo2edRESWOqX5xar1W5olgNbmYXW6NkmRDm1pynTMbNe562m3ToFneNa
n5YbOXsSj4xM1/kyLWfLrNp96rkJGpfR33h6wBrYCUYXdk3vynHf5yGGovwoXFQ0vevlYxi7r362
yINRkiGYuExo+R3HdhzUzHZb3Cz2pumqLy60aXAdlen8xFrroTXLdu07stgD3n/yYoRG3+sdVoyJ
tWO64Shi23tqygi3r1zzKtbO0BpHWZj3yD/W06yHqs6DxpFkuo4znFxoLFSVdDS2SBaBFX8FMZpv
nXjUVT/294RyBOHXzF+HvSpDFQfaceHmMoUS+4W/76shRivTaUf74Fe7+PyAey1ZtQtg+zzfVzAH
Sv+297mt0DE8pIx/8UTABx8/GY6FNDkPdSpc7R/JBFVLIzvKpr8vOwXRcYuC12O9VSWMBxBkxE8G
WyUsomjlm/ibDMAiLHABd3UlkA+dELTUz7arc5/NHukx/rLd8nNIi2o7ou1lHYtKgWxY1Sao0gTx
dKy7LSoXrrlcTA+EXmRenYR3tHv7aShjbR9+2IWwNsIx7k0NM0xrwRr2IouVrFY/u1r86HW6dU1p
CZa5bEuOwKRcBJRByz1VoHOdHZbvWn+TmUxV5FfvoTIlm8FxGZ6TJwGkI5L2jP8rZw8iAjznCW85
6ylCFOly+6ZMFnoOShvsv+kTamWfCd5qsA72tDF1KY8unqPFjD4d1M2wKNxjG+0ATuFNwqTkeNGH
xtN41U8IFO5yB3eMQnOse85yHzcFdzMcTzbOJ5PM9cqdsCJaTvLcM9hOvIT15OYa+LIYN+esecHk
0C5jpDW6BWCioYOJPWTaPtLwyclZ64N4MA9L4nFiJ9E5LuJXhlDAF/wkJu281HAiKh2jqhqnvfpM
NPinncB6zYR2s2uyIE8hQd4ZSU+oZG9FxFeVRwx6/UnlrX0PqikPeHQBOqqz72Qgmjxa2rfM42oN
HnVajypH7KhEsckFjPhNfiVU2pgviNVPad8VIfoY3WLvaO0U3/JQqSoYTb3KLfcqwcw75blevGJl
GCg8aYhFinMpAJ8JE5ao3vXSbRMHrF7oZhTr9CyB40E8+io5vagMtUGYWqhUtZc8cLF9nn0lQSyT
IhK3gamS2NHYXjsO2ezWGo+LSmvX0SuiG1FzleOODCVKqGy3Tsi7dbybhT06v07cUJvY767AzwU1
zMVGa1Xpna5tGumVZ9vIDpVKkutx1ewy/WIzI/F0vZOF9U7ykuRKPbw4Ko3uq1y6pxLqQmXVB2yh
m5hAmEqxu8TZU5Vrt1TCXRQhuK2xf0UyBS1F8DGri8+kIhQnVUKetZPNY/2Qq+y8r1Bn0JOf5jq6
tkXnXc/OQiGok26icOaxbUtGYkxOu9BHIEttMvooPYzAxMbgRW5J6UTkYVHQW5XtHwj5xyrtH9cv
CFENM+1waykegAAMkM0QAkrFCmC2I8FevFL83O5yCifwfKbLRvdHKHmDM234hgur0g6l4hCUAAnC
zv2akSRdHK+KV2DyDyDmy9cJlAHiAWAVRTeIwRx4inegK/JBhjmOuVQ7huAqVpXiI6SAEug0PmcD
u0JfmTNzYAoQKawgjHQTTsKcrousIPMGKSNf8G5XxdpOCx483fCoK06D9YvYALqhMNr8wEnKTizl
go+MCTQX1q8iPgjFfnDlcmV02hl4WxU4km8av5fNsVFs4ZTEyLprnV2VM8HKaHaOiZa+OX1hXEv7
obC9Ycc+mebefHxJm4WP8r8tO3xpveorMsiTTXDmr8yOfZZs2Az5XEZoADN5LEBZ4f+dKFs2UqQl
FxX5mqd8QaQJXVYm+mVe1xrne05GutQoZa4R4dHuPrP56tc/N/b0Pc7jiCLLRile+KIETgEvfc9K
uCuj3RwM5XSrAIFv8DT1qxbCCvbnjIYVd18uKdNZDuQfHkPnXrSfSbTQLJ0QxuTib9uhAb/oEBuV
+viW4/dm0dA/LyJyVk463gubfeiQsP5gp8Cx7kWHuk7qgPV6s+LX/KueoweEcQiA3QOYOokiQ245
qhrctjUrKN8LnKiFmyQTlFu9xK8MlmnK6sdRrYQ5GFn1iI2eQgdvNEz3sh3uGw+t1DphheGTW+Zr
6GPWTEe+V472Q2XBgRQakUtRQ3Xp5FM9b6Q7rkXP06WSHCA6Oy9WcdJe+fUXYEraeML7pGdOGrBn
rlpnYW4uMf1TVRzwuIK+KbF8+jqGYE3nazFJ/FUSJ7NMJ9DCLkwfzb8vwIzAHrOASTSMhlXk4zCN
8iAstINwKyCqA1oYMEt1yoH0qg39kKd0bs+s+Be8o9jmxa0+7N2Yvy/MmO6K0A+W91gFJYEjvQPg
4RaQ1d+VOteTk+lGNArgvgX46L8xgU4E6Hu2RhoebiuIveo96zJQovV5bOU3MzkZoViHAZ21N5qI
6TOfFXrDeBKmfz9qCd+WCJNRMrFoNW7D3l6nVnivSe9rqu+GMrlnAYc82ntwNM0020xVgPUHLU2q
jescPrJTuPhGwYPQfSoXVDbb1j+jLr/vzEdKTJ9SEETUHdxMsnSui+yYJs7OwnezssrHeOxZzPJA
w/NR4znq0/OiWaDGY4CsYF/dOnW23RTbWO9vABpdyEVUfD2pudV0Uqb0ezX91Rw200ZLsp/Yb/VT
l1FvYqbyPBIkQOF1uV1DC9mmU/2UE+Qw3Mgn9F8d/zXN/qPTLObNP8xIf1dyfEooofi7afbXB/1t
mlVMPBzppu4CPyCS98dpllieSX6QWIQHou8PBlAfNgVkCs+iRYzUoeBVqGmIgmPL+w1ZjUmWPeTv
IIx/ZprlYvunedbVGecE2AoYGC6eU17fH6fLCg+mWZRodE5oviBUkPAb/UdfFGfYpAxbYXdbgJhY
pf3OE1j6o3hvFCVrLiK4q7G2uGWhZLPcXyda8oFIiWNGPAxpr9wsTBJap5IU/p2pGft2iX9qerqo
H7u1p0s++U9d4mVB7fEM8hekCr0EVtPIzwo1YyXynyRlNw3fA6hdhzrVvMQjCIy84g06scAtLesN
AeURLzXMhksZslPuYz4sLB2uau6Twd5v5ekUDtoRuebqJx3Dqz7GLzBRfdG7rOhjDLBqGiFm+LWw
OgfSlT24VHGtHAnqt6h3jjosxwVExUI4MgVBg0L4I6wBU6BAW9RgtmlzDCWiEm9tbt+JW8Mm+F8t
MQ4qCd6t78afJbVuSpGjZerLoRznsyxYJQ/sarHpJYTkPc7/Ao4U5is8ifjMEqc4GcBbmaHcR89q
cBBZL9kYcu45uIaGnJt97HzoAu2mToGsYnvZw8FQ0S2JVzYJ34b0bNUdbTLehgj0Y5hS+FWbuBlJ
qtCFi8oG+lbA/2OfjNMDQvVCdivSoldOncvCrbgoE/HcqBCi5UPvEqnHp8F7m6bVA3vw5jQ63VkU
+nuZ3EUsQWlwYVXhVPw8vWjvDSzmB/9SjoNxNWvy0pPZaE08+MOZfppNbWEBNsv61McRgAQ5XaEU
LNuxwCGamJAH4n47+tZuoKz+KFku2yOtNhIJjQ2/vFrckqFKO81NxgZWSsAiMzi6xNMedV7Gnr3J
q+bTIWKZ43OmbiUMsKxKZbafu5KwmU4mwWHrPlXGF7ajcD+Z7U52c7XuRP0SRiXpkkm7KaoyuthA
Iky3dta67dNRzy/GoH+gzukQpWNeYkiaxCm4OYbTRfeGF6PGXQH45Qop5tuLjB+Nd4OvgwOf7JKZ
GVFLzh0Qt3l4wTcWndsYf5U+YsNKyg9sG9pr1rkbKW8sBqJDiQVr5XsR4orEskM7C55I+ciAS08A
CbeNnQP40xPUU7fYGi0rhaTFyBV65rM9dD0QjSy7Drl3uQJXB00UB1OhPKIpN8+UAhontj/NqYOm
HOhL+QSEw94sdBiRwo1QoNWaRaiFS6FWL7FawmRqHTOVsNtw8VWRvQRa3c4bVxteNJumvMZRC4Tu
zpRaCZ9AH1a6S5F4UbDW4X6vVSyDaM3wUR7tMZhM66BXCTRK3X3i11K90VknCdTwnUdLNYIY/HY2
b14UL7tIq/hpcODVUXutifYJVys4B3UoTr+Ox7iXZ29OXxN1dBKK+VnUYdr2VzgfnetlWJe1Z2wn
dey6nL/+cCPVcVyOuMb9pH3JqdHjMEeWWbL0PDfluyYFGDx1sNvlo60O+gFPuOke/Nq3rzPNOhpa
DDXYay6pnqzrSj8nwn9UhSidz01wk2Gep9XCCdDquLdPOBQr84qoJGGPwviwO1bWjFJ8y2wcoT4e
1JBUT01aSlnIK/spJ5WHWFynAI5vDYeQ2cx3h99F/oapgW3ZliTqtOfIzsa15XiYt2Ffef6+KXtq
gbie6fr4UOMtI/XrrUjGgHPU3rEuMt85gwM8ebmV6YjJCjx9k4ob0fjfAus0F+PhvmrcbW+hrFI7
tkpCWmilfW9o9keV3S1e8tpn6fOoGqIma6MX9mXu79O8Oxsp2ouPmKMVhRJ976rUw7oOtoOqW3ID
Iv5suc6qv2ERYO6Hee7IuhhAQKePUEO5cFj0LwpkqRmXkLXRqsySbp0Lqme6nmCBtNmm2efJA7s3
EOmSxoWU50+hLw6UIX8hdLM2YviPv2jZaJ3DqoNSxvLqbPSgsjPJs0ifuf933j4qXGajsAjoOsGz
7anDpqmvSlPsFiv+VJ/IHspzrANpdKZdoQmg3iM8SwdhJwljPJnIwisMLLdJ0d0lrg8vrSlp+ejb
Nys3r1DW9wXhrhUdVzSt+bjcMp8Zg96VbzowKaXN2BFazT6GWATnaDqptFeEWSRE3mzA1OYtS67M
SCjQEvuqKa4qrYGy6vX4z2Iar4YfSy7ZuhAZ9FlzxAMLcUazznOYTphy+59a29tx5wcInQnad/7u
Dvmh86ynTred/2eBra5Mf8qYmDD6qSazIQ5TSqpaSf+wwIZ/N+uismoGaV66SXQwHuKVHQNQtZx9
n/wne2eWXDlybdmp1ASgAuAAHDB79j5u3/CyJ4PkD4xkMNB3jh4zqinU75tYLY9UpjKzJJn0L5m6
iCQjyEtcwM8+e69dsF4S1rsVZfd4Iw9mk1zaUa3rqbkNIr5bMY4/oohOBQ7EBe+JML6aW+8EP58B
VGarBWDjagjmRxWYh98d5/6O5P0PvnaObx7VGB69wX/82iFEQYgsQAJmXtes/bbejFr4+flSO3V8
n9nesVfymvn3qupH+l12QXZXMQHY5EKk3b4lEj95kJzwMj3NjfqY511ocl/m2qyJXesuM2A9EIZO
hGl/QW//w92B+DsvPUYvXnwHaV4Euuzj9y991VLtXeiXXmHrXw+yuR6t7GmkNULaoMCYB81VNMPu
ATGwbrv0KpwZDg3NlAegyiRTLXdmDmVGEEwcxdfYcTFzo74eRpCdZZWtYzztK0ex8yzY9ZdJMK3T
iOotIomIGw2EHxJxyxBARy662yb3WeVidogesEGaK9qtj/+ZVv61acXmKM9b6x+H1W4r1b3nX5H6
+qOr8K+f+JurEE6eXsC5wnUZQAKuqd8ia8wjNBVrpgjzx58mFs/Fey5ZwvFZWAh/P7HwDJeOyWf+
5KH8W/s30mn/3+2ExZ8lpW07IKxd/08buBBCmJUwVpAOwqvX1gnAN9tYaIlCETH6u3EyoGvBLeGY
tK9nGDvSQ1eM7PrdY9o5uD1RCSzpfeMq3A37QTKR9Bl/TCHDl8j0uiOE211Ro/bVsYndyETvSJru
qQ1T75DZsKgiag9MUX/V7cWLH5LZ+5GiYlMKVoptpPplBWgAM3tYXFS9LDsnnL91NUv1xR6tjZNo
61jYNFup0Ict4GbrIenA/o/hd4sgisJb9iJLA6tUhJCWLAXtm7duWz5hkrxXttfso+wae8ld0tE/
Ih7Lyk42YZ08yM7hQD7saqTN42Av7d7N8q+uVWD/ponEvzdFN6GcePa0zldIVRl1ySUwav+h98f5
4Nuhj98hT+5LNmi563b73p7OTYf0HaSkUlD1Wg4HGg4OGRsSRC+se0w7w7aaFCysGYSn5d80zqPl
NOT3sdMRis7v0tm0jgmJDn0IrVvy4NTylRRKHsqiktsecPveNmLyzt9tUF3HOAc/PC4JFPaGLuo+
9NbFVJlb1LEK3WRTN8NnUPF/8iGX+yqYPoqIA30XRqAIyv6R4Nwz9RyUoA5SXLwquBQ68lSb4d1g
y/HaKZNi26fZF2PfwHmvAElLJ4Z0XJwaCWqjOU9Pfma7u0JUn6LntNSq+imbnbtQPKThEuHlbp9d
0aTb0SfT7rbLpbeNLT/qcBsbZb/u2S6MDcEnegU5jJUkP5yeeTPgypUMMAbu8DMZkJdxnMDrtcGH
2fQHlZLxDTMgx2PVfrZte9W3LTdg5TN9TYPcwp0Y15jLi5/tRHXJD2VJU7EZoc9vKFNzD5zfIUwt
QzFfen/OqHR0xoPXRRl2Vjp03Mm6ZBqgY6iOvjxOEryoWD41ZicPCWKIwdvMOo3XFFz9ipFcDEx8
s20f2kav2MrRvMoZt9EOeaqUFil/LGuwf9qXyAX542r4j4m/h+bAtYQKxA6rpLSktfhbNiYi1zlw
50OKWwVLTd9D0yq3I8dP3l8N/sV8uqujylnbiqVA6rlgieygQsKzMxRD/7UZ0xIibwHSxOVwiNeI
waN/HNVmqYx5A1y5P8ViPuQpa1zOM+bg7xOHU4YxyZfY5CKtbNkeqIO8mWOBk6qFSJbW+bMoCLgp
M8RlPHz09uijQaTullpcTm/SeOoSizXjMqdnyQS7yaJu57TUjSwDxSdB3xwclxk1K94CNTYrIyd/
qeaTlPmV63dsL7zy7HTNxevaifd++zo65VuxGAYozk81sBykI/4rcJ1kHbJTP/hqcKFxtA+F3bNe
gJmLkWcorlK7ewYT0h0JsAfrnvqFVeNX7rovxRddEufMY4HVDuw5GNBfK9O5nwSVs2zu3HVTOjHj
EN08aUQG0ntRKVWSSUcewUBUsFz2no7bKfB3+bRyyOKtCGVAxkOYqe34giQOnbsR3yKUDrAtqBuY
sOZnxZE1CP2WjB0af5W7+8Wd6UdJChAYOe4wVCRGer6wRdr3Zd/CZGiyk2gWeY5GBf6uO3HDT67Z
YA3I+LSH5mX91TTewqJguWYFG+2s0ZOrrB0NLFesypeMCSjqU8DsjvtjnBQDX9jsOd/XJ5++aEA3
Aygfyb7IUKncWLg4D1b1JMqd6vPhGKkYmSFPoW3j7S1JW2yCICRxG3fjDoX2YtRDerLz+s12uLwt
ivBkMcWkZd1r6u05FAaoEnMcbyWxTTZneqsPoQNmtesfzXZ655796cLPq4VNeJEDMIjvrDaDK4TC
pyGzvwfhzLzXeM2BFBx8HDyFhWd6p6H095hkv7GFsE42vdBr2gXDVaFh8SBhOhQk+4ucR7JNjGVc
s9vDSUxieDKGbsvtmSqcz6J23iaDVKUqJaHhBlu12UATcJNLrUaC3qO7Sn1xkU7/rCgCEKNExVte
YHTitx3Z9SUSNz2rggJbLopX7KKL6FU4nbJ3ZVTjbByy4rqZfUifvXUs+FHcBNIH1Wk9Tk3VHGdl
P/W9Px27rn+RU46YJ/LlhGkN256Ni8zvYDJWtH3uAGfSVwaNcqV7iVekfsnAyY6piO12VNF7k0+D
A2sa11+Umzv+661mZ9cYBqhpSEYb6p7A6QvxOJlODe3EvgMUPe6zub/vhiJjnVwCeKQhGi64tZ9i
DMXWEjLaAmTjSq8LHOXKPwCroMqVR3TYlCHTf/CU+0TQi5lygpF12dVkw2iyKvmN/SPRZobIkLUn
XrVDHDUboHH4H1wTj6wyQqigAbgVF0PjOM/HoZqe7BhHhAlrZx2Rulln1zaSIjGfDFuN2eC+G717
VmPboaRiY9GNCIH74Vj9Hc8KOB4lMgrRR+2We5p+KpOpdM89M9DCSmeJiS7kQ6cDAggYc++9BSl7
ZZEN60K534v2e9TR0pYpttaWw0VRCx6gjLxfgU0fhuW+JVmWMpl9JxnPTdvoHyY/X+4KbDqehRjJ
t1JRSY6sGo3rtpE8RtEauK2wDfVPZeJ+dvgwVk7DF8so95jNdIaIXtHWu8CdWwA62ioPd56lbsaw
yG8DT942Vfqd/FlChMx/HrAe7agNoek2Ns5xlplr5ZlbeFj2BlfYOrXLT8uO4FK1T3binEyT3vEg
muaNA4lya9f9HXI3yzZI9TtEaHgpJRqwtUT7aPC6S+3hceRw+MPpakoC+gWZu7u3k5tCtW8IC+Ar
bVTGqLQz5rngY4qh7iYiU/tCNT9S9Ft953npJlAICXUHPjLKihefvLrJdY344ZrzXagZQDKyinVI
bIESifxdlPE5tbCPGkF4kBwT10CDEswDoYXxIFs7cdAdnaL2N9zX8U+jNruYBjbNbJ4coHhbXJjt
vo5CnS2pH4vwfRDzOVDLhWbAgAELI5QHHJic+cxDjQhG4McZzivje2D1D/8ZtP7FQQvYIkPHPx+0
/gSPBAiuP+evMxbxLIlJES1EOMJlKvr9jCUhe5Dn4j4sXZyGjD+/ehytvzi4Exi7hF4n6XjWr1sh
klsBGBGPTic+3fSxJf73f/1BJmj/9OvfWw6hjPxpxuIPMvU8x1mDf9ET9UfdoFU0XlLdQq9mJBBY
CLVT8nQVdMOHR2GfoLivCKALe/RIjjGqeePey56OP0nZ32D2l163/6kgZhDo7mNqAcvIvIPexWPe
hMfQz2SyqA6/xU0Tn2cMH01sAZvzx28t7cixLh6kgJAV7wWrzI9ENxPWdI2v3GL8SEwyMhUsK3Do
jC8jRK/h1R3VV4v/YUXg49Oq8DRMzCQL7o1ugK7t0wHSGeqJc46/I/3B3Z+aSVzcp4z4wtipHYFM
Ks+dHGNDHWwT29PHRWS8vvXpImcpXmih3aeTb8A+MroSD4sNfyzlcW9X3Bx9h6a8PE1O5GLiHfsK
KhEo36uGvLg4i7mxlzLZwQdgrOkEM5ZJU1yHebKsOKKT5joaolXbzDPErqn2hRXwaF8EnTm0Pzq4
JZ0owGnHAoJHSkaUvvrRsRe4Son4erbumhRMkKK+IfrlP/YWxTbLkmxjRMcNj1DonJRFMjxk0zbh
fgIpY+5WoyDhEmfxYawDqpXBHOzYz+/rtBaHKmJeApjXbEp4XHDhmHiUycQQ1+ckpLKTTbhctTFZ
7yC8xDJVjwPtlRBG93nA0d/rflQjvYmKCtuziVKGPYY6mv0YwCSVwnsyNdmWuEO7iprpOOOkoYYL
95Pm4HLMQp+HjBuPAco1nKaWkaYCnguJj5vlT54uYN1JE3bJ7sxrhjp27SZHWBcKAYmfx1GTeYVm
9KbAentN7cXa5mwNQL6GJvpGNmxfW1N+CSjB+53K6Tn0lhuh68h7V8VH2ZDEjbrpXY2MupVmB9tA
hPF/EVLJ5fWs+cId9bZTT0Ju4QheaQbxAozYktmHA5w4DerrmAsEDZnABd5hrF1h/ehqpnGsqv3s
Nc+caNuj4CyJ+/aNXJEkCqN2DK33bQ0hWRdtHCtNTV7AJ5NU2BQceqlUgnRWVHhAogDasq0bKXtl
9ofAEs+LZjITKEcuNaOKcIBd3NSGQwlGqK2p1KOZfgks3fZuh9DgEzXzmZh8DgRuTrdKE6FjAzZ0
kNxVhs9fzdCy9sFHw2pOqWmEKD220mG+Yvs5F+n3ONAtnSBGFGxMcIDZoQVN3WlGtaVp1T7Y6sWp
3etIQLJONNM61XTrTnOuHU28hi+dnt0GCjarHLmmjmVXts57ME3HMMuv/Kh8TIr4wdvlcBdUOO8s
M33W/2TwaVDkf63nxfC/TYaxd9r4gbDhOR+dA9VT16Z1qz8gt4D6O/3TUi7XReyddI96IctzFij6
0U9MxcfE5bdqfCNsaPFjX838xzLyKxYZp4HDYmT4p1kup8VEH6ncU1rWj0GRv6EO7IEDXkcpzVtp
zTsxOmVVc/bH/Fl65V23JEeOvvSo1Huj5BQol63Ms60b+ae4Qng3xDlpshfKIc/wcOt5lw3WQwUg
rcjFuYuTB68pLp1BDxkuYEd2mFj9RzytR8vvvwGhu+mDibvlM1jBK3Mors1K3ETSuMvt5dLxYi25
tU9AohMph0VyVsGwE+op9XCDlulzZrNMDs29lN8ko/Ho4ris0ZnwPn3RxfdA3t4p1CPE+rsukM89
VZ5ALu+Hvj3Eo3VKqYXJPoVhfwZjux6LnBSKDI7K8z+jRL549fIUtM2e5f+W4oXNku2zpLnTX0fv
QMzDTLWsUggRptPtSjkMVLW1B5pmLlUCb0Xc+2V5JY2R7oPxSfAcyK362oj614HJ0F30mlwDqlzO
fIN7oO8Dsk5z56n5Cj8nsb4Gy3Z/15f9gdlxV8fTE4+Ko4jFlc2wbwF9RZG688kgDl11y8x1PzoI
aeZmiLxL2IaP7UhxVwCWX07rqHQZ6GyQF2ksWG7lzG9htnJc9yH0yxvZNC+ekWBHGlZD7d9yinsz
eqzIUxRU51Zl71W4PAjdEuuLD+zij5Zuj6Vy+s4b5XIpND99Uv4LwAGeUdKw9qOgOCSliFbpRlqy
0wwTlESEuq3WcDaWtdR3KS0LyuV21FJs2+mGW+rmHS7X/GTr9lu8FyE9qvxUdTOu5wJbbxVb9lz3
5hoDrmsjUmsDnY5e1zTezW6HmkHfbqabdx3dwTvVWb3OzeTQ637e/5wm/8XTJCo2x69/fJp8eC+7
d/U//6f4k2r/y+f97URJxgUcOe03P4Hjv0VmTFR3iuA9iwOlyXnyt+OkCP7C8RNMuXB5Ivw8M/56
nMRkJIVlBZLueJR2IL//znESvPmfjpNsJoTgsRkwqnrg6/60hvJ4CMteVuy7Mn31tDiH2hBg6SC+
oQ+tuDdC8/eakbeuQUv3YFOa17nzHoXidfDGV5K+cPK7TZ3l061LkNfTaTqnD48M9xxCXDzjbdyv
O7qitxJkIq0xHUck17nyqYTmAISl14UtR2iSjGE6LMepp8HGtrJLGZcssEwX3S4lnBw4b33Qi9PA
fcz15i8121d1Oqpt6PoJcUVcLkLez1n5MFsjgdvY+VaPPE4XbLqrekqeh8FsT7j7vFURoQcV+D5R
EQeyzO1CqDF/KmDarNPKqTYL1IMQ540tw2JfaYvz2rZdUEDVclOPmKcy2JC8E/u1nO3i1hH9PTgq
4wGI/D6Q6XUcVceyistnVnVId7N7kDZDfxZln40F/TKMPBK73HMlZ/nNgFC4IWPqnt5CDnTspttT
nyxUcZriWJTwtILynm5r1AtGylVi8KzpwjC6hDGt9gOO/rQTxSmP4F/b1XDoooAeDcKuTRGOByMd
kt1AzqdAkd+5bh+dlsG75niW6M4aiXlXmPGNKuHYyKQSoHTNG+pTC8IVjL9QrwAGEYxns0OFEimI
q0oOJzNS2aXxsx8z1UedMA8Ehcb3huiHo6wLHRFgRElTeP2b64mQsla82G6XQmqxpoNnqnHv9Ky6
0xtSNrM/k0vC4HRyo7he+zWhEEBfQOf6l9rkUexkmItb1szEV6x3WmDXsGW818K377miOJhcsUy5
9wputCXk6wZi6rrT/tYigCJWNOaPsUowQC0N6bABLaplk7aBNEXmJ05uKixFa/YS58AIGWKsZ7ta
HhDk39sYn7kdn8fW58Y+lfkmbezoumqcE+/q+l5BAAGIs5xkjTMMXCqAXfVg8t0dG8yhG3Mi/gii
dO3VXObVgBNsDOLvYV3d2v5wUbKSIGVmulPxjdNn/o466xMOGfmtmTOrr8XLXsuYmeLC18Im1++1
r6VO7ObupsAYXNjqTTpFeirhf3GIGHdc7BDmsrLb2Fo+TdFRYy2o0tEzHJ0SKMSTrQVX4JESRurP
8j2NgA1yWB2DjURr52o/oNpy5/oxOnwTg0bzuNAhEJdsgzgxcm+UVREoIovDNiCM2lBfM8SozTwQ
LioirDmjfYogBuqCK3kOrDk7LX53BFFwj8mlJ+CB8IzGtTJVPx+5IfZbVKC9YUIODrVgzd1mTV/J
8swV4a2iFB5djL5daaF70JK3z5iXEJWKJNowvDpkcZuz/MSLTwaYa1fBeho6dvpu9Ro1KV1ysIca
M06uZi25z1p8d4R3n8n21V+ids8YQH1x656LCFzzwm2i0yJ+ruV8hfJ/LIFphYbDwUaL/rgyefOx
Bwj0QoC+5J5KEpYEFtuCVq8NuuWz1GsEjGVvTO2vNDVMW6K2l7arz55ePQACvrL1LsJIrxGwtNT4
Ni7OcsBifyg7gv9UrQabNu93oJGGTTDL9FwzsW/4654bvQBx9Sqk00sRm+1Iw8HJ1uuShL2JpRco
k16lKHYqpV6uQEdmzfJz4cLmZWED47KJiZtgl6cmZsK6P5Vc0xsoH9cO2NoZfK1V4rzhOoAsOvUU
8bTjvaNpt4vkIZFoAq4NCnfUTFwEsIOp93thCLnDAZwbaoJuoVm6U80xaASvW49wdovplIPd7TWn
ZNAk3hIkbweatwXRK62JNwJvV97dO1q1Sj5SaaZv319gFi5E3dvvCSadiJuFz/N3m8VYDsECp51/
PSv/5E3dkwE22P7JD15OVQ9PGMBzsfU0Yzjh7tzHxtE2zMtI1sFPArIeYIlTs7+34KpEVSepM3qW
7SrXFOPGxJLR2NS6Np+xOzTbZlRUyDnNtUdboTa8YFCFimyzRtubRopdBnwgk/mN1AxlR9OUE6YG
eFXl3ilZ4LVAePa2ySaEBjE4zG374GXxdxMA6Qp5MgE5uBwJQ4pTmEyHJmC5UExefkUK7zEO+k3j
Pxea/IwYXmsSNIC6ek2zt7w1XZQezYtugQaAj+bvNDkl2tyI5x5Az7J1HVjT0A/A8DkF1ayaRB1o
JnUFnLrXlOoozWnTAlw9YXXL/HZYM09na+pboWjheyLLbW4zwNcBAOwJEDaFnvlOLzNHgcrPLTve
BGCzcQ7flRUJrkYTtVF21vb4ygLzGMKpPzmM3joR5wFfRSLycvR+8nKFTs6xx7olAHBtCpPhiUxT
RciuJNhmtKTuXOJ3IzE8FJ/NqHN5hMwecps1zBB1t4F1auqgvFYOlP66C78XfkOghyX3LlU7v27E
BVjJI37Kb63Du25oldhjduyOaH8Prs4NGh+jThG6xAmlf7J0upCdlc4aTj9XLSP5wy4EP00u6pRA
4FlnQnPvxg/KQKudU+SfNTHGNk+eRn++xcBz7dNMWpg52z9CKlOLX4FFCaz3PPyxsNLlmOSTkfSI
yrOneKtJGmFE4pnak6tsdMAyxi42SOuHKUBtNjxR1jBbDxTC0rumA5oeqntvlTCN5J1jbVIRZIey
OTc62NnoiCewt++hDn36Ov7pQzVbtToSCqqFxUFNJJi0KGS3YFPrAGk39g/Lz0gp2dJWh0wr1/qY
RVnTNKcfAayPa98ZL6DYce8Gu5pR8xlzxkMHxJ+bsLMJybPW5FpjHXA1ddQV0wI5TB1/lTFB2Eon
Yl2isWJM6Ju2wIbiMH7e9jZMHs/Kv5tWRahWx2srHbSNivtiIng7MZ/WYdMdAzK5S0s4l9JwHlA+
qHQ8toPkaDHpKG8S4cOGcyIUId9Mx31VHCvYk4gNs6jSTa9jwdGgA8I5D8LYXoy7YLnk48JJuFRX
uBDZb804JRc54d6I2csk07c2seeTN4bPbSu50wfHdKJaudKBZRJZu6Uq/JfI+5EbxbrLAaVGTugc
Z5zdOvXs6vzzoJPQiyvxFAi+RyPWzl4svkp7fUtt4k7pALmKaDi47i2suL52B3vaJoxdWGjLhtAO
YmqNvjVW1pJj5jtXEYCIhJ/sWIltb4z2NvZGjtnYzLU3OWLDwquEX7nQzmVbe5jb7jbF0pxrb3Nc
fmSDjyhiknyySt+4RDnNB9oR3boz3oKa9dMS9CMOAL1H+ZEP7tdikj7Tvups6F4K7bSGTldwkbw2
2oNtCNzYvfnRY85etEvbkvi1hW730w7uDit3oD3dQH1fWu3yHrF7D9r3PWIAdzCCezP3yUl7wydM
4qV2i2c2JhzZ9N9S6n53ixm+oF3Qpz0HT3aL6SUpFUtt7UAH3HQ1Y0n3saa32qMO5IQiNywBMvMF
CApK5jAyz7QMVBkCiyRavhPucLYXj6Z4bPCV9sPPmFFdDPIsgk+FTTqoveGHjH9+kjdmqZ7izIoO
OhHbwU+qvLA8LPZdY07vkdFcIxY2V4bP1d2CksRNLHVwGWlUpIeQKMg3ge8cMtsNhFKO1OOMoFG9
wIY65RlVDWaXRWsTKP7KKbqK9lDuKNyTKGBAKk+KbAPP9Koh7Vm4e2IlN0Mbq53TcW5Si4UsM24p
UxG/OEj/999ZUHxW9aySKO5+2Vf89sv/fqwK/v1f+nP+9pt6xfG3X12ST8V96kf3Tz9q/1Vdvxdf
7Z8/6A9/Mn/7X786nfn5wy+2P8f6u57J7/6Ls2z362JFf+S/+g//17/Ym2uzz8FJ90/Ega/uf/7v
x3v+J23gl0/7LYNk2UzdxJKIhRABDMA2/CYPILJTf8uqxzV1Culv2yY0ABJGVOfSb8au3JUM9b9m
kORfcPTxj7AB+hqp8W/JA/7fcanqBBR+Pr4OnLZSu1h/ZxD2x6BKMYlz18+cfp8KgONtQrZiEhc0
Ziq6JcToIrNuxikerxvcpd6AtuUUQ3EyS/MhbHt75bvTM8F5ez0v8b4qp2BTjjrATFiUqSE+1YZ3
5/MY3CUaaW2XZX1iFVufAEQZKzk4wcYazee2qV7LcI7OKrkFxUmgMF3Sk6je8iBsML/QiFlNjB8i
ZG4YqX/xiSRqoJSZL4eRlRY9Q7xvSu5qBMO9D8ufgz3PaESKar6v6uVdpu7VAnR9xd/Sk+k01lkc
oDSGWOOPdEqZ+8rx9xHE3rEA7xybrXGaDLqPyiY9upEbbWQGPE1Rg8uPerxkY+Ie6Ye5zeBPQOPl
Ye45RcS50bTPWcx3b8eHIkvDLUSwmOmsf2Eshdg2m+eGJTVn8vw5amW/tfwULaIqQGNQAe8nZ9cf
yB6IfNa577nq820fEEQYOSVTU6u+sWF641gT4SGggIcnJr4oGFwCLAgx4WANlw3fSpffeXYKMEr7
9uf02qrxqYhF3jRlfCds4qvArXZB7GyGdF/EhbU31fJaz1C8mXsurRXctosLsp5WD5RiqnYLhTXT
dTgiLlZ4JA4TrqDSeQQhUSPikPRoTxGwssgwkKRm+GhvenHnpED2KpPEfle0H9FQUA4l5mtDiv4w
OcbFSOb8wDL0qVrEleEasJvY0MMHCDgmcRLFizEe3Sy4dqbqKV9GdcpJf64rpc4mMxMzrWmvCj+t
j5OhmE1nU5ELJw6BePNMa9X9mLKyANFVBH32bpEbWAUKg0ulg6+jAZoulsvnPE3pfp6ocp97sHMt
4kkQJ3epGr8W95TPBffhHF07zYdzb8TlTS+RMOb+o+5fgnqeD3WQ5ieiVjt3tvdWke0D8kcH9OJm
o2uyaHvuKiNbp87EOFYpa2s5gMTCNGHB5QFsidp559NaHdVA7rAfuDddYMWbxoo5Ulec2H1zUbdR
QJ+N1bQvitqGJxaVD+U8kdan26phDBkawbELMlU0dtWRxVO0LpwaA32Cf9z102fKZrWWTHxmumsV
gK++C60D4juvcnrsJn7Usb8kaNvTUU3LtMnqJYFlx8MnQFBLldgOIUc/Z/xKesc/NK2ldq2VnhVw
LZfm94Ix6Gj7kXc71+G+NguXQI7/RiQk3Ld5HpwzNnqdI1I+VNz4i2fufYErv3+tCsQvb4j2YeyZ
j20efBd9N4O0wEonx+4SFYO/ifluNrXPCaJrIFWbdDsbonO3dt5FZE/EOiu6+Rhl021W9zeeJZoH
5QIEaIP8La4fTbLbt0NkrmPMVlekfEg7OnBwRDGdU6QERv4fBEjWZWRde2WTnDPh5NtWBcfENtdd
EzwJMcmjryJ6sAZxQNsgVRm0Pzy+pjPcitU8hSHswP7e19LhgoZoWjHsSi0r5lpgFCiNYckmiaRR
Dj7IQIgkbpJpYTLsRxuwV/kUkJZPHEJQPWzGVVihFlmV5a1ST7WnoIwgOCfk2A17wn5mfVu0JNpE
+UOMRjqglRpaNG20fNqio+Id+KLfGLcWAivAw7ccxZU1H/vCgLu/pP76EnhUWkXzsYgT6zXwWOs0
sgauqeknzTw4V2btddriuY+Zqbf1L7Ivm2UtBLsowsnABOahETdaLGaJzFyAHICKTJjklSIhZGUx
WDscGrpeKQW/81N+nnH8pNa3QQvTnZaoHTc6cJpiV69PNfp443LOGfWBx+PkEwfT7dBwEMNsuzHT
6TNI3JMr+Eniq4/wOYzfAAOK3WLwZ/V2v1/kwBTnDq9+KV5cDDo1YVs/zYZt7lR3qbWwOrXjiJX4
jvoQfw1Vpt10GUJcaN3IpdWnabJgAiSBA+1l30HZ76xRHODown3GiCzcmnHNdH6gpb+GHhbKxXZP
ikU9yyeKiKNMOesUGgPbq5Yf8iA2JI24jmf7hh1lgDaAjctJyw++Ngh6srmKMvxkodfe6yayRVas
7vPqoyjpGCgBH6FS04wYBBsACil5JsfcTdrzK1lbD/i627YYcZKqYhcHjtJz/sq36FM3fdyOPrA5
AvHBxvTig+cTTOkn/2NZcAiTQKOeQRwXE6N1jxiaqTffL/dmPLUIYP0rVRlUTEcJ9FviuHG3KARI
0oiqmMVmpkN97WS4Alhy1Cvhx/UuqzRpBYh7/DabvdhWHZmArON4LEsPZTPRvFC43OwPm4lYJOcG
k9U+nkTyBi32rLnb+vgBTiHuX+rjGpBRZKGjUER7u4ufMgN6Ja/Pk1X5wzXkxyEesn0XgMitxwLm
Hs+adegn3tkKvAvFCPW6NtJ4VWJ3WI3DZGAtrdQxLNo1rj7u6EV8noiUbd2y3FXAl/ih47VF6FcH
jQV3B26D5lL1jBIpwVLRnFUn/BUlCHQutHL+KK9M0KzbNL53Qwg9Tsi3l9idoMcrulciJ09MZwkA
/H4jDcbTsWW07ZuMB0KJQRGgK6jdhGA4552VGtK3ZZTZdqYwEauE+miW9LXJrFvRG0ytSGPcrGgp
AU6MJdlvb5XTWqtZSYC3mFEWSr83UkYfbk+obqr7bFdS1RMVyxqQ9T6NaeYjG/HVwE/LO6/dN127
MJ6gHbo2T8RE0DWecXCwm2WzTKwfWo8QAQUY6zkz4I/MJBSIpRw8uKGbeITTPgyghzqDiyDPsZY7
3WdhZe9igsmQZaB5y9D70SYTtW/LBHIBuZQ8Z9pCX56pdsHQYeb8eOaCbq9EGusyNIbTWGaCAT96
cbvgxUkpG/RKEjd9wsM1TK6Ya9ciKOXOGWxrE1rHdrCSnc+bYRngGKetBTzUfU/nVrdmk8CWuoyh
ZsrdTDRQ74rqmNbDAYmr2GKzIDw7OQ9FHKKr6n1Clnv5GlAIDR0cOEcbU0G36w3KgLIU/QoP7DbR
ue5oNi/RYPmrUA4Jb81qOw+YMHv9ikEDpnAusQ8D+/RVOxHFRDhN18kisReztuEqT0lvA8BEqOvW
I7Um2wEKCMgd7A9W737YHAA2pChWk9ejgnDMnOvO5rKxuT0WNeXeSUXhiHYxW2j3jPVkkgEKJT1t
9iyqIsUDNJ2NYOsUwTtawpvgBxuRz14lov9oG/E9oywIvaqEu6GFe2mh2fP9VCxHoEHTk2243FF8
HDS0KTaoXFULC7rkUXlQmXfiXvZuxwZ2SDoeCBTcDUKREaBflK5Qg9rTNuTZj2UCSOhRhP6GIHmz
5a4YrSYYVsRkODr7uk185FJkp0bGg5HYCoDzk81oDukwbrC3pZsk8GjzsWYorIragq6eoPOxTSSE
jIerqE5jNkZbQiaXybavuIuDENaboQjxJJoclLnapb5z4VbiRsu5CGe18lw1njjufGRux3ncEHtA
esildTpvk57EbFD35dnqBu7643TwuXFtixZdnnCGeRxccn1dnV65Mr61zdE9egFW+DoenV1Dm4Ul
l+/JnKjTIt0IPNT4ERb9cKX+H3tnslw3kmXbX0l7c8jg6DF4Nbh9w54USWkCoyTS0ff917/lIkMp
URFhipLZK1pZMmfJEEngAu7Hz9l7bZYZeyg3cRP3V2Zgn3deHZyTO7XVFLCJPM3iUPeju9VJWcDG
Afwq8rqbMiiO8Gxxs4xFCDuvz2i05f46TcCNRfUnbxIQPiuNVQ0RLCeQM8+2CYjogHOaDrlIznzZ
mFZLnV2nG1eLtoxDCCBwPw5Tw1SL6n8R++5mNlrGG0K/lAgqD+Fkb9ie3SXiewwjUXWwZgPJMyMz
3rTisnIGmi9dgB46Qh81zo22B2d1mtKT2ndlYHD+c/dQImpgPRVqE938qBmMiWLqqX5izRDTVJ/7
TUhSELYSW++4wnSXirE/5KRiLdykWdNYJ1HQLcnqkY9ez67ODA1DgUrp0P0CfXczLP8jk/hFmYTu
KNnAX3dCbqOH/OFfX4p/vWS4v+qIPP/zbx0RyKKmpwt0aviRPRWO/s3jqPSzOi4FQq9slazwTTBh
Ge+YRCJHA0L6Wn8r3uHKcFyC1v1/TmURSl77PWfTcQjQcvl5rkW0PBHzPzZEGpJHUlz66oQ1LTko
njB58/1yPcDBp4G5yQGXUUnCX2Ksffzurv2J5dkSykD56rfbtukYKI25Q0CNfvztLoG3g1agrRWt
CHC0IxRV8HV8Qi30wmLtxdWjiEmV6RLepKr6PDQg8mE8rqvaudeQHK2NCR+/1vglrw7gNHtbp/P1
mIPkDrpT2eKWSsziix2xUEYWEnheevSGuXObazZxNmW+lnp7Mw7Nk1cDgvDbVgFqKnIwHQx1mBtP
RMCMQo2wTVvbFPDiV5g96NWSZNZNcuA8mT3NTKfXIqKLEykHzSjiDa0uwHBhhRRlAqVg0G+q2Q7W
duDcW03nH/I8dFfIF5dDEB0trx4vwpFgQo8ecumNlKaWtnHZ65eFY33hJt6X8DAXcX+atdSsrgQM
7o7Yw4YPlpiUtWkASlbDZ0gNst66J58xTarjZqABgai1q0+cuHoqOEcdBfLACfnxZeZthnY295FZ
XgZt6R6awdlPPq2clkHVTvrDqlQpbHIoR6ST3X4Yq+TUC4KzynQ+Zjabvk9RIMpWoNI1rga98Q9y
ysi/LjLUhyXcquAqUp3+mswJV2h3bgDAsGietDhgwETk9aLpY7mTVvMZVlywlw3LJOB/Ka5Nau3I
qcW+TuMNUa3semkK+3tMdsIAbl8Y5F7Lan5EYUpag+XvMD+W62Sw6n0slC4GWxX8nvEhCvt9VegQ
sFF2O6Y8T7EYdlOrnURWcpcS0931qbzWrZErpC0QWTZrrV59GBCO7Ntrs7aq03A1Rj4THEvrt95g
lFvAGWehEMzmDJViJh8Zj/pxv05YxKGdRN4+Ff1jxmTDSLKTzuDUjxiA3L/Ua7Y+gX5txnhLrx/E
HPGLCTvCsXaYMu+8TsND5MjrhPTq3oOMwiOJLa5NCSirhbZi8LP2cr/YzYRQ4dWCHtFHR6P2zH01
2h80vQY5N87uTrUkZtl9agMU665M0A0LbUnD/qQuOn9LX/+p1WbcxXrAcK17EALtVBbFkPnDi2H2
6Vr2BCXRNuX8IEmldVsGfZgHtnrkMVCy5w1F1z0oQJxT8ensE10dzvsko+wNylOgVLdZ4bs7v7CP
Bnkki6F2H+B4YuPyyQ4QaYGChvPGwZ9BOAJuBa+AbEEC+DM8uggy/loD8D4RW7YpAt09r9kmQVph
V9bWpR7N14HfXZTojOgxZlepuIxhhV640b52Zx1BUhYt3FrmZ7JkjtE8Jo2NLqMezl3OZgBqmKaN
R+7ptvcaiCQzr7bfGru73u85y01dAxyueF/m5YaRkxgJ8+VVtAZlCA/DTzZMIj0Oz30wPBVlRTWf
uqqy1fpVLbsNLa6zyTPPOz0+M6bwBJvAtqxaPIN7PGT48qLL2XHppYbnRvpxTM3bsptPrfGprMc9
7/hF1edbxy52XYEL2lIgf8GMHnRd16INJcCCO7wdu2odTPmd5opbWlj3tYVwJ63XUtAy7rSzTu/O
wti8IT/nwsDPsAB7yJRuOjWjERaPRUA3E3yvRVrEsSLyjB0twbMsHvaBoFIkbZUwtAsYyGedElVM
x6yM9iX9PZcRZl2N57kMrlw9ItWY48BqHpKLzIrBD0dnnpMdZ9u/KpHXki1yUusFyhhARnaFmqjl
/CTvTdDtRmVcVChMFp0wF7Umr0vHOci43gXxvAGoeSikftKO8UfdF0dPiPO8js8apziCO1tCCNar
U5FaOyNPjpOZnOhFviX0/KJ185XMWcO5cpfeQlGPGxYLbNwYxIr36u563V1imIfanpHjQhDM5pPG
GyH55ebHcNIvKpPeqvZB3QGt9Pfq4gw00EM6XSyx1x/VlWZVckIW7DGajY/pbO4Crrp2zlxmrxMa
BUrgEFG3WzUXnu3+p1D71ZGVbliUU39XqKUP/7p6/Glm9fzvvulZhWM5AoKmQcGldKPfVWgCAxTf
sqhOXlVo4h2ME9sHUG4LE3A6pc3LzMoi9kooqxVUPf4bF9reH4O7l6Lo7xxStqoQfyySEMgqm5ZJ
/cTL+HWm9d3MquC3u0FhYp3uxHnkgeIB3srZ2dKX9Cuv05ke0uQcoalOWxDm6Lqi9x6ujnxiYZsD
TZ5pIb3FFozqwm20YtXaLM5EDo+mJDhvypaaTYK6V37q8vBuQH/BbHo6R/JNmzaGo+vZyNNSasNQ
VSzlTP+S2F6sIZjq86YFMjBSvQ3GTTxEd5VnW+u+6rc4Tj/GNZ1l6aT3U9S6m9AwPofm4CC5ST4g
7NgZdnE75x86yojTqSfFt5SjvXFYUTZlmdxUyED2sUZuDxK+hKOhMUUbLSJcPRpFuzrNQGAEkEi2
RjKflio0MEGVuu8EKKOITXemr7xBCnqdo+zbWEnkbiZrZnkJV82YvDc7JUAde6SHRjMucy/Zur22
cmhlkKNixJvIXzklMPe6qetlQbMCUc1w4wRrmlwEXVhFs2cD3NMVup0muXUjaW8r5nqpv6mICcqt
EgyubW5YlpNFbBj3hXRxNPv+o2jC+TjqLoIViczAE+U6AFCDUS3fBV2AiNWBDyZraPBUVxbm0qGa
QL0Fm1niMA80HoawXVYuYEC9ZIzGFcCBctLPZtqtOtldmao7MzEeWvXDRTS5N1VUOHupiZGRvKT/
zNwFOBLasalq1iZiTgOds9bChrJpKhn2lVfbzSF3wpOxsZNtIOD/CpQmvcURP7SCbnlvN6FxBDqy
wh+CZcWrzqrCvOmpnb1eBKuu8bfF3N0bk/kJ3z29h0ycZQKkW1vqW6cLIKRPWKU609mGYRxtEtvG
BtyDs6iymyxG/ZgjCdzS00U+S4Ivrv8G/YRd9Be9WYF70Mq19Ft2LFp+C9fL0Qz01rr1+rURxZ/m
ML505gA4a2830BF5iitZE0wcyQuAQuuwcC4S5DIrrNBfsl7fGeBEmsDBi8/Z2pGYRsSWZ6zbTGVG
Pi+jR8zNwQUsBoArJIy0Vr/3h2DvM/VrU3fTTPNprfVfwtmL90HtYyRsHtOylgfCR07tei7OMivr
CMgNNrmwVjTRaSkkFk+7UM+KCM/yztlSJiqdW+guB0H9lQvjNq8lvWa3PRpZUqwLGd2WtSnXXRjf
SNdslqXwDBx3gDT0sG7XNG3NApCY2U4bpzceQW9phyGYtwNxt5MFuEBjfLDovZJuJN0RHHB2newK
b6KbAmtBEzHha8j/aTXxj4qHaEDfzd8FmmAUgKMzf+HH8K9t58FEss1UVg1/KU6zShqXksFLW0/V
jqoX1hMVeRYT7jUOxnvLqe+KEX6OIKtpm5XxlcxsGjSa8ZjrTCpGCwCgMRsufv+cnE5GBii23sPI
BcnWO+eI8LZ+TyQMqJqdlJvA5NhST8c6qXzyfzOVoutB4XA+bKOmuKcm/0SlSFNQSy9C2plIlchF
zQLjUg/bJ5hw8XKK5X3Q+msSwC9EWw0HMN1MuIY+2KGZVUyUL4l4qlxJuSVB85nGLUqFYEFSBOV8
P6Sb2F0MdO3Xlj7Rgq8i0H9tdgmCfTv6UbCzIJqSaDRO3t4mAlvvTcgSI02kfq4/piPFPSoy65Qe
XYFLLiOZVaBNHhugaaH1Ps8qm0akG+5Kil41EUYdJYCXmCQoLJJD1RJZXlxYc7kzNT4kG9F+NJKi
FqVqZvKxrUvcqVWwnnzoZZHnXAdtccIAv4CuIu8Sn9+lhcmtO8TKGFpeMLPo1hoEhYU7VufaxIJJ
ZAXyya/d91oAdC/GYyZI+9ITq1nGVUxgfEWemtc9xIOuH82q36fk3AfRsGraNt3XM5pFV9kDKmcd
TvK9hvzcn/GPWxWBZUGNTK3esnQxHq9cznVkM1wd7NJR47WYZqiOu75Ii5UGeF4v0uvIyW5do6f1
TF9zYCLaxtFJH9VIbhl/lbH1NFX6l9Yqnuwc+3/vAnMA54ps4EQLjS+zoylmk0CAmQyPSNm3UKlh
PjMuYvjMlBGvWTvf5zVUMXNqz6trrTeD81Fa+1kAUrBaoNdeObwP+hmVKF4uBxqjTAN7VfXa+dhY
F2VeMVLTMD2hD7B4vYjTig923ufrvOME5qconYgjR4ORsQo0se6zF2mqs0wGceCyehgk62I83LSm
zLd57ECF5QHGz0q/H00XIj+tXZKhmplO9sHykk96Ko3zktTexcw4EE9wiHuEAHuirBNnF8Uu/lzk
WFkW7zwylJkQx9UmbLLzaaiWJg/iskTEi4ca5beo4mUBhuUMkfGpRXWb6yCP6CZ4zZwt58Bn8N1z
RA7dcNOPztVYwzTiYM2p00g2CL5oPMcDH19+zGCBrLskXEeF/xi1+UUUZDqZuue6Sc9pxFtNQYDs
dS6apZn1D1rZXqalOFoBeU9jX+y72JmPg72OY0Mijcf+C3n8tMYPLMcQ3gt4kIXX5kdHG/DIzhrw
RqKwQEZhKFbW4kKZjPEjb2dlO+6VAbmhk73r8STTL+FQq2zKvASI4ZR1ubKQvkplZ9aVsTlDnQ+6
1r2JtTMNbu7GViZooMlYHbT5JLIfg5FPPlaG6aKwHEyJPOjE2K/ASKyzwIxoYm9jZbf+T4v2V1u0
uvhbsdpt1Dx2r/uyX//Nt6ofWiF1va6qZ7S8KjH2W19WdWMxs1GpWj6bPnK0f3MRDF2p2Ph0Xcem
cfnvql9/h47BIfvJNuAf6o75T6p+IDw/Vf0KycAvsQ0ADtZrLoIXBi7DY9hyU574GyT/C9kjWR9d
vVl0EXNOWTMxbaxBYCSyD5UPc3RCMWUvxHlm0uPsPYOJnX5WaCXZLeGdX4UnHgthktNJLec70NYe
T3B/yLz5c+uHj7rVkVnekVwwhB/HExuyleUfjCAm2Bk2jDbGaOvLBg8SE/dIiM8W8QBmU9LzhAmK
iTqN1j3iWhJXsDlIezjV5/MBSUIzJe6idWQJz/jerViG8MviZYJHXUWjc6l0soNNzRD2iFO8tLqR
4BxYcfC4V7xKbKR5uDadYlibmq8dutJkKr/ImwkGjgMQOPdjeG6lb6zBnSxILKXD67PLylL7aLSD
vh8TxECslH4hiJwrtoHTX7vIVEWicq7oDQWkpqxylV8naL5TUxOCMDfWldFz7CBAMlCF1SK2RbbO
EA0uc5WKhxfrch7uhCO7owU6Gg3jjYmfjHa0V61cL3xqijvP6Fk+el1fFY441BBiMwtslWTW1qp8
vqIOr/rSRI09Kx4cbSyPML9SpfpVKcawyQCTV/cNUpJyq6sMQJ0wQGu23IMTaT3ILD70mDy7oGJ/
tQuoBE2bwHWWKG6YWXYaXUBdZQ76o7HuhT4pKNG0SVP3ou/yC+dJ2tFeYvEwVHphMPIBqzxDfgjQ
fxVxqLIOSzRdrRtfNBYpiFE252sC9T7K0b21UHVuJpWZiIyO7AdiFDOVpygFNBydiEUPGyRteGMT
M26LjOLAgWaA2NYnIdZwFMte5vtw7FhP9Zwi36hz49bR2PjGLDzvKpxDZIgaBI7x3CefY5UEORAJ
mRMN6SGLWen5rbaXxEbaKj/SV0GSKlHSUdmS6Hj2IWGT7tfUSWA72EGQtXs2piqjZm7mtf1OzuvK
DDZ0cytg3T4zWr/cWpEJkMonkBkdna8yLyfCL2k/C4LIEpq1iJgsDXaHBYKikDEvwEiaUUWM5qzy
NAtTPyPItNsKjtwIA5AfhA6HQbRmW3BUGBRUNqcvCRUsJ7c+MeYKCek8RDRnu2OmUj0RVxIhbOP7
GlTmp5nwjgBSWmQqD9TxodilKiM0FKSFluGF7obpRhAjyuuG6HJsT3HwgsdurmsCR32OgmZsM1WW
HMvaQFHrEZMWgXsDKTG8qoykP7Hn8SH29Q9l2oirBHnsgo/qwXCSCw5Oh1lwXjC3neaztXUNhjfo
xMuAruS28keit2oSxLphN3P2WYkEJuY0XBKzdJTA9tZxkyDpsa1EvaSnuOvig8XZnPcq30jF+c8k
ij/REb1SUBwF9XhKVgZUyMRYr6dygBgvmYIaXbhprIhUgOKQ0BuoVZOgoluA8nPctFTLm2iYYuXW
ik5N+z7os9uKZj+y+Q/wDJ1lRBcCX59LSGl8n6gGhUunYqBjMRkzloVE3snqphdDsIxLgGpGVjE+
Yd0TEa12UsRx56hmCIEYC6HaI5ZqlCCNPKefYi0J6rqL6aVIhzOS7DJCaIJ7OwGvVqGdKZxi1alG
jIxoyeiqOVOoNo3XVBtT3DhhT7jTME/bCpp2PAw8OPE1UFB9afn5sHay8MQZ5vMYmTIYzHRfKKQL
7cl80eH8Xw2WwWpldYsgp2dQCFxls5ueutioZncul1Ppyk04y4M3JEg+HTxJEXdrnSnATKZQM0i1
6q2/RpSimOQM2jP6sBgOcdtkJrP9NMaWpSebXkFsOoWzSWMCUMHbTHBucng3gKM8Np76vQ8JhyZ3
wbpKrQvmEdOg/Dho2ifPoTIWVvEI7uYD2tXKQS1QYJiZDDpTBEFsjLJ+kE0ws4zIS1nWywRTzlY6
/d5rwkdwNMm6sPOnvkcEXT4xKX1fNPW4cgnrJAKm3Uu8fHE7nXpZZt/49pCfh71xYpj1aig7ErxD
HFJjw/CdrSJ18ruOM/1aN2k0sG/gLiine09jkGcN8KMTlylSK20W9lnL11qjn5RIDlddSoir1gSb
PiOYoCKTr0KZu0CSG25aTb2TtrGcs/VX2Yhfo9kdWrHUp8e2GeReszOSipPW386jhv6v3BmzmxzF
hB5udFi5lJ9k7E/L2cnWbQIhrLdhrDRudpNEqXHSQqpnYhLbl800fokGzVi23VxsRecUp0lBLwAn
Zn10iynepg00TjO4tfAAMN4I1o5RLRu75RUuUYwFhdcsInFhOATlNHQ9ydHxP5UVHblaBpzUyAp0
SWdzT4V5EAYhxFHsIFZKGlrmJ1Ho+rsilSFSnqndSCP9lNJx5c/l1OhqZbHR0wBRGSPPWWf7MOva
2+a1eYSCE+JEjTGitlt4hd6+B84ukvHKGg3/OM0z5i1OjKlOj85JDGqZtl+RBc1hhfNWbCmXc5d/
ToJw3CGCpc8ABciamOv29tMk5ZWes2yQT0uHQZrYKtkJjU8R/ACUSCrq16w8dQoWS9Sk3knSiSVs
0hPPJ1IhQtKdZmxr2NRo/tBvTCe0xchx1shZSgD4Vr2LrPYYpXjWk2TAadhucToal24MabAJm8eM
R7qXoUTClFxOGonkhDJfuGGwQeSz6AFxLNCWe4yR6xI325MRI8ZU/uUVUvwC+iKYPYKn5kUbIlEv
AusqTEqYr3r3wKhil7iev7g+qx12Ey1sMe5GONpTh2oilHuj5ginh3LidOWsXWKoud7HOTBQFw19
sRQO7FnM6ywIKCMRPNfxukWrd5JoXvC/bEbxnQPnJ1/Nt2a9ct18jU69Kf57/9EfU4A//0G/bNSx
fqZ4fP2zvhqF/u6npA9t1HZfHon28d8hT7DxmHK2UYa0l/9f895ZKEEw3AjOP+rreb7y3f35qzvw
9xf3s3/p55/zw5/+uehyGndXjzIq8u8PcsLHOPTDyOcvLv7VT/jh4h3PYJZic3HfX7z7zucbnpoB
PX/9T138w5cMoFbUtHX0uf3+4l3PEtTTv3YDXv2Uf98AEH6uYbqcXlEDfX8D+PQRFtk8GC834Pk3
/f//9F/96c/zwP2X//t/lFbKVSKlX3kCXv2U726AIN4ZdhHs+JcLfX0fTN13aADQI/j6xVvCL3xT
98HSAUj85n0woUPi0eOJQk2mvl49D7wQqMKgorrP39afX703dR9MWjS/uCL85fPAfWCSzP+clwvl
B/74XgjSRV0Hl9vzF82it/Y8mLbuPv9Zz17Xb5vMP9kWSHzTof+hA3z+wH96Hlh/fEIc/nht3tx7
wbbFAm4xjP/tBYL4dgtu4/MH/mqncN7BPSVpQndeHog3dyPIAuR1/t0FQu0UdDQRsL5c56v7oOiy
HK7gdr18/y2+GI6rsnR+73nQ3xkoL2gyvdRFr14M750Jv0ypcl/uw1vcOFngfrdyoG5kdbCg9b5s
GPzA7xdK9x3gN7pY4o/78Pwivq0Nw9TN370PvBcO1gq6VfrzB/7Te2Hgfodo9/Jthal7cxuGgbb8
N98LngeofbbOzXh58H98HoD78dQhiFfjFPX1FgsIA1zB798HVltSr0wAiOrr1fPgvxMsDhZisufb
oD8vSG/qvfizUKe/OFr9dSHFharSgaPFn94H951j6LYjAD4+f73B/eKFn/57+4V4B2PCZXL3UjG+
eh7YL5gSUqr8cR/e4PrwZ0CQf/w8qI3RwbD93XV+v19QbxIGbGNoeXkeuE9vbZ00WL5e24H+6X1A
EurhRDYs+8/3C499kxvBAvFyH54X5re1PvyJ2va/cR9sRYbhgXheCF8dtFgfSA90TWrX5y/qrF99
Hn7hZr2wdj6njw/1f/0/AAAA//8=</cx:binary>
              </cx:geoCache>
            </cx:geography>
          </cx:layoutPr>
        </cx:series>
      </cx:plotAreaRegion>
    </cx:plotArea>
    <cx:legend pos="r" align="ctr"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withinLinear" id="14">
  <a:schemeClr val="accent1"/>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withinLinear" id="14">
  <a:schemeClr val="accent1"/>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20.xml><?xml version="1.0" encoding="utf-8"?>
<cs:colorStyle xmlns:cs="http://schemas.microsoft.com/office/drawing/2012/chartStyle" xmlns:a="http://schemas.openxmlformats.org/drawingml/2006/main" meth="withinLinear" id="14">
  <a:schemeClr val="accent1"/>
</cs:colorStyle>
</file>

<file path=xl/charts/colors121.xml><?xml version="1.0" encoding="utf-8"?>
<cs:colorStyle xmlns:cs="http://schemas.microsoft.com/office/drawing/2012/chartStyle" xmlns:a="http://schemas.openxmlformats.org/drawingml/2006/main" meth="withinLinear" id="14">
  <a:schemeClr val="accent1"/>
</cs:colorStyle>
</file>

<file path=xl/charts/colors122.xml><?xml version="1.0" encoding="utf-8"?>
<cs:colorStyle xmlns:cs="http://schemas.microsoft.com/office/drawing/2012/chartStyle" xmlns:a="http://schemas.openxmlformats.org/drawingml/2006/main" meth="withinLinear" id="14">
  <a:schemeClr val="accent1"/>
</cs:colorStyle>
</file>

<file path=xl/charts/colors123.xml><?xml version="1.0" encoding="utf-8"?>
<cs:colorStyle xmlns:cs="http://schemas.microsoft.com/office/drawing/2012/chartStyle" xmlns:a="http://schemas.openxmlformats.org/drawingml/2006/main" meth="withinLinear" id="14">
  <a:schemeClr val="accent1"/>
</cs:colorStyle>
</file>

<file path=xl/charts/colors1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withinLinearReversed" id="26">
  <a:schemeClr val="accent6"/>
</cs:colorStyle>
</file>

<file path=xl/charts/colors126.xml><?xml version="1.0" encoding="utf-8"?>
<cs:colorStyle xmlns:cs="http://schemas.microsoft.com/office/drawing/2012/chartStyle" xmlns:a="http://schemas.openxmlformats.org/drawingml/2006/main" meth="withinLinear" id="14">
  <a:schemeClr val="accent1"/>
</cs:colorStyle>
</file>

<file path=xl/charts/colors1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withinLinearReversed" id="26">
  <a:schemeClr val="accent6"/>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withinLinearReversed" id="26">
  <a:schemeClr val="accent6"/>
</cs:colorStyle>
</file>

<file path=xl/charts/colors131.xml><?xml version="1.0" encoding="utf-8"?>
<cs:colorStyle xmlns:cs="http://schemas.microsoft.com/office/drawing/2012/chartStyle" xmlns:a="http://schemas.openxmlformats.org/drawingml/2006/main" meth="withinLinear" id="14">
  <a:schemeClr val="accent1"/>
</cs:colorStyle>
</file>

<file path=xl/charts/colors132.xml><?xml version="1.0" encoding="utf-8"?>
<cs:colorStyle xmlns:cs="http://schemas.microsoft.com/office/drawing/2012/chartStyle" xmlns:a="http://schemas.openxmlformats.org/drawingml/2006/main" meth="withinLinear" id="14">
  <a:schemeClr val="accent1"/>
</cs:colorStyle>
</file>

<file path=xl/charts/colors133.xml><?xml version="1.0" encoding="utf-8"?>
<cs:colorStyle xmlns:cs="http://schemas.microsoft.com/office/drawing/2012/chartStyle" xmlns:a="http://schemas.openxmlformats.org/drawingml/2006/main" meth="withinLinear" id="14">
  <a:schemeClr val="accent1"/>
</cs:colorStyle>
</file>

<file path=xl/charts/colors134.xml><?xml version="1.0" encoding="utf-8"?>
<cs:colorStyle xmlns:cs="http://schemas.microsoft.com/office/drawing/2012/chartStyle" xmlns:a="http://schemas.openxmlformats.org/drawingml/2006/main" meth="withinLinear" id="14">
  <a:schemeClr val="accent1"/>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withinLinear" id="14">
  <a:schemeClr val="accent1"/>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50.xml><?xml version="1.0" encoding="utf-8"?>
<cs:colorStyle xmlns:cs="http://schemas.microsoft.com/office/drawing/2012/chartStyle" xmlns:a="http://schemas.openxmlformats.org/drawingml/2006/main" meth="withinLinear" id="14">
  <a:schemeClr val="accent1"/>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withinLinear" id="14">
  <a:schemeClr val="accent1"/>
</cs:colorStyle>
</file>

<file path=xl/charts/colors159.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60.xml><?xml version="1.0" encoding="utf-8"?>
<cs:colorStyle xmlns:cs="http://schemas.microsoft.com/office/drawing/2012/chartStyle" xmlns:a="http://schemas.openxmlformats.org/drawingml/2006/main" meth="withinLinear" id="14">
  <a:schemeClr val="accent1"/>
</cs:colorStyle>
</file>

<file path=xl/charts/colors161.xml><?xml version="1.0" encoding="utf-8"?>
<cs:colorStyle xmlns:cs="http://schemas.microsoft.com/office/drawing/2012/chartStyle" xmlns:a="http://schemas.openxmlformats.org/drawingml/2006/main" meth="withinLinear" id="14">
  <a:schemeClr val="accent1"/>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withinLinear" id="14">
  <a:schemeClr val="accent1"/>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withinLinear" id="14">
  <a:schemeClr val="accent1"/>
</cs:colorStyle>
</file>

<file path=xl/charts/colors18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withinLinear" id="14">
  <a:schemeClr val="accent1"/>
</cs:colorStyle>
</file>

<file path=xl/charts/colors18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withinLinear" id="14">
  <a:schemeClr val="accent1"/>
</cs:colorStyle>
</file>

<file path=xl/charts/colors18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Reversed" id="26">
  <a:schemeClr val="accent6"/>
</cs:colorStyle>
</file>

<file path=xl/charts/colors19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withinLinear" id="14">
  <a:schemeClr val="accent1"/>
</cs:colorStyle>
</file>

<file path=xl/charts/colors193.xml><?xml version="1.0" encoding="utf-8"?>
<cs:colorStyle xmlns:cs="http://schemas.microsoft.com/office/drawing/2012/chartStyle" xmlns:a="http://schemas.openxmlformats.org/drawingml/2006/main" meth="withinLinear" id="14">
  <a:schemeClr val="accent1"/>
</cs:colorStyle>
</file>

<file path=xl/charts/colors194.xml><?xml version="1.0" encoding="utf-8"?>
<cs:colorStyle xmlns:cs="http://schemas.microsoft.com/office/drawing/2012/chartStyle" xmlns:a="http://schemas.openxmlformats.org/drawingml/2006/main" meth="withinLinear" id="14">
  <a:schemeClr val="accent1"/>
</cs:colorStyle>
</file>

<file path=xl/charts/colors19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Reversed" id="26">
  <a:schemeClr val="accent6"/>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26.xml><?xml version="1.0" encoding="utf-8"?>
<cs:colorStyle xmlns:cs="http://schemas.microsoft.com/office/drawing/2012/chartStyle" xmlns:a="http://schemas.openxmlformats.org/drawingml/2006/main" meth="withinLinear" id="14">
  <a:schemeClr val="accent1"/>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52.xml><?xml version="1.0" encoding="utf-8"?>
<cs:colorStyle xmlns:cs="http://schemas.microsoft.com/office/drawing/2012/chartStyle" xmlns:a="http://schemas.openxmlformats.org/drawingml/2006/main" meth="withinLinear" id="14">
  <a:schemeClr val="accent1"/>
</cs:colorStyle>
</file>

<file path=xl/charts/colors53.xml><?xml version="1.0" encoding="utf-8"?>
<cs:colorStyle xmlns:cs="http://schemas.microsoft.com/office/drawing/2012/chartStyle" xmlns:a="http://schemas.openxmlformats.org/drawingml/2006/main" meth="withinLinear" id="14">
  <a:schemeClr val="accent1"/>
</cs:colorStyle>
</file>

<file path=xl/charts/colors54.xml><?xml version="1.0" encoding="utf-8"?>
<cs:colorStyle xmlns:cs="http://schemas.microsoft.com/office/drawing/2012/chartStyle" xmlns:a="http://schemas.openxmlformats.org/drawingml/2006/main" meth="withinLinear" id="14">
  <a:schemeClr val="accent1"/>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60.xml><?xml version="1.0" encoding="utf-8"?>
<cs:colorStyle xmlns:cs="http://schemas.microsoft.com/office/drawing/2012/chartStyle" xmlns:a="http://schemas.openxmlformats.org/drawingml/2006/main" meth="withinLinear" id="14">
  <a:schemeClr val="accent1"/>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withinLinear" id="14">
  <a:schemeClr val="accent1"/>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withinLinear" id="14">
  <a:schemeClr val="accent1"/>
</cs:colorStyle>
</file>

<file path=xl/charts/colors7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withinLinear" id="14">
  <a:schemeClr val="accent1"/>
</cs:colorStyle>
</file>

<file path=xl/charts/colors7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withinLinear" id="14">
  <a:schemeClr val="accent1"/>
</cs:colorStyle>
</file>

<file path=xl/charts/colors7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80.xml><?xml version="1.0" encoding="utf-8"?>
<cs:colorStyle xmlns:cs="http://schemas.microsoft.com/office/drawing/2012/chartStyle" xmlns:a="http://schemas.openxmlformats.org/drawingml/2006/main" meth="withinLinear" id="14">
  <a:schemeClr val="accent1"/>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withinLinear" id="14">
  <a:schemeClr val="accent1"/>
</cs:colorStyle>
</file>

<file path=xl/charts/colors89.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withinLinear" id="14">
  <a:schemeClr val="accent1"/>
</cs:colorStyle>
</file>

<file path=xl/charts/colors9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withinLinear" id="14">
  <a:schemeClr val="accent1"/>
</cs:colorStyle>
</file>

<file path=xl/charts/colors94.xml><?xml version="1.0" encoding="utf-8"?>
<cs:colorStyle xmlns:cs="http://schemas.microsoft.com/office/drawing/2012/chartStyle" xmlns:a="http://schemas.openxmlformats.org/drawingml/2006/main" meth="withinLinear" id="14">
  <a:schemeClr val="accent1"/>
</cs:colorStyle>
</file>

<file path=xl/charts/colors9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withinLinear" id="14">
  <a:schemeClr val="accent1"/>
</cs:colorStyle>
</file>

<file path=xl/charts/colors97.xml><?xml version="1.0" encoding="utf-8"?>
<cs:colorStyle xmlns:cs="http://schemas.microsoft.com/office/drawing/2012/chartStyle" xmlns:a="http://schemas.openxmlformats.org/drawingml/2006/main" meth="withinLinear" id="14">
  <a:schemeClr val="accent1"/>
</cs:colorStyle>
</file>

<file path=xl/charts/colors9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19.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0.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1.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7.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8.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9.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0.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3.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4.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9.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0.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1.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9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3.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4.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0.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8.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9.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4.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7.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22" fmlaLink="q1_q2_q5_q6_Fig!$Q$3" fmlaRange="q1_q2_q5_q6_Fig!$A$2:$A$3" sel="1" val="0"/>
</file>

<file path=xl/ctrlProps/ctrlProp10.xml><?xml version="1.0" encoding="utf-8"?>
<formControlPr xmlns="http://schemas.microsoft.com/office/spreadsheetml/2009/9/main" objectType="Drop" dropLines="11" dropStyle="combo" dx="31" fmlaLink="q4_8_12_16_25_37_Fig!$CF$2" fmlaRange="q4_8_12_16_25_37_Fig!$G$2:$G$12" noThreeD="1" sel="11" val="0"/>
</file>

<file path=xl/ctrlProps/ctrlProp11.xml><?xml version="1.0" encoding="utf-8"?>
<formControlPr xmlns="http://schemas.microsoft.com/office/spreadsheetml/2009/9/main" objectType="Drop" dropLines="7" dropStyle="combo" dx="22" fmlaLink="q4_8_12_16_25_37_Fig!$P$2" fmlaRange="q4_8_12_16_25_37_Fig!$A$2:$A$8" sel="4" val="0"/>
</file>

<file path=xl/ctrlProps/ctrlProp12.xml><?xml version="1.0" encoding="utf-8"?>
<formControlPr xmlns="http://schemas.microsoft.com/office/spreadsheetml/2009/9/main" objectType="Drop" dropLines="11" dropStyle="combo" dx="31" fmlaLink="q4_8_12_16_25_37_Fig_b!$AQ$2" fmlaRange="q4_8_12_16_25_37_Fig_b!$G$2:$G$12" noThreeD="1" sel="11" val="0"/>
</file>

<file path=xl/ctrlProps/ctrlProp13.xml><?xml version="1.0" encoding="utf-8"?>
<formControlPr xmlns="http://schemas.microsoft.com/office/spreadsheetml/2009/9/main" objectType="Drop" dropLines="5" dropStyle="combo" dx="22" fmlaLink="q4_8_12_16_25_37_Fig_b!$P$2" fmlaRange="q4_8_12_16_25_37_Fig_b!$A$2:$A$6" sel="3" val="0"/>
</file>

<file path=xl/ctrlProps/ctrlProp14.xml><?xml version="1.0" encoding="utf-8"?>
<formControlPr xmlns="http://schemas.microsoft.com/office/spreadsheetml/2009/9/main" objectType="Drop" dropLines="11" dropStyle="combo" dx="31" fmlaLink="q4_8_12_16_25_37_Fig_b!$BL$2" fmlaRange="q4_8_12_16_25_37_Fig_b!$G$2:$G$12" noThreeD="1" sel="11" val="0"/>
</file>

<file path=xl/ctrlProps/ctrlProp15.xml><?xml version="1.0" encoding="utf-8"?>
<formControlPr xmlns="http://schemas.microsoft.com/office/spreadsheetml/2009/9/main" objectType="Drop" dropLines="11" dropStyle="combo" dx="31" fmlaLink="q4_8_12_16_25_37_Fig_b!$CF$2" fmlaRange="q4_8_12_16_25_37_Fig_b!$G$2:$G$12" noThreeD="1" sel="11" val="0"/>
</file>

<file path=xl/ctrlProps/ctrlProp16.xml><?xml version="1.0" encoding="utf-8"?>
<formControlPr xmlns="http://schemas.microsoft.com/office/spreadsheetml/2009/9/main" objectType="Drop" dropLines="11" dropStyle="combo" dx="22" fmlaLink="q17_a_q19_q26_a_q29_q38_q41_Fig!$P$9" fmlaRange="q17_a_q19_q26_a_q29_q38_q41_Fig!$A$2:$A$12" noThreeD="1" sel="11" val="0"/>
</file>

<file path=xl/ctrlProps/ctrlProp17.xml><?xml version="1.0" encoding="utf-8"?>
<formControlPr xmlns="http://schemas.microsoft.com/office/spreadsheetml/2009/9/main" objectType="Drop" dropLines="11" dropStyle="combo" dx="22" fmlaLink="q17_a_q19_q26_a_q29_q38_q41_Fig!$P$9" fmlaRange="q17_a_q19_q26_a_q29_q38_q41_Fig!$A$2:$A$12" noThreeD="1" sel="11" val="0"/>
</file>

<file path=xl/ctrlProps/ctrlProp18.xml><?xml version="1.0" encoding="utf-8"?>
<formControlPr xmlns="http://schemas.microsoft.com/office/spreadsheetml/2009/9/main" objectType="Drop" dropLines="2" dropStyle="combo" dx="22" fmlaLink="q9_13_16_27_28_39_40_E_Fig!$Q$3" fmlaRange="q9_13_16_27_28_39_40_E_Fig!$A$2:$A$3" sel="1" val="0"/>
</file>

<file path=xl/ctrlProps/ctrlProp19.xml><?xml version="1.0" encoding="utf-8"?>
<formControlPr xmlns="http://schemas.microsoft.com/office/spreadsheetml/2009/9/main" objectType="Drop" dropLines="11" dropStyle="combo" dx="22" fmlaLink="q9_13_16_27_28_39_40_E_Fig!$W$91" fmlaRange="q9_13_16_27_28_39_40_E_Fig!$P$95:$P$105" sel="11" val="0"/>
</file>

<file path=xl/ctrlProps/ctrlProp2.xml><?xml version="1.0" encoding="utf-8"?>
<formControlPr xmlns="http://schemas.microsoft.com/office/spreadsheetml/2009/9/main" objectType="Drop" dropLines="2" dropStyle="combo" dx="22" fmlaLink="q11_q13_q15_q17_Fig!$Q$3" fmlaRange="q11_q13_q15_q17_Fig!$A$2:$A$3" sel="2" val="0"/>
</file>

<file path=xl/ctrlProps/ctrlProp20.xml><?xml version="1.0" encoding="utf-8"?>
<formControlPr xmlns="http://schemas.microsoft.com/office/spreadsheetml/2009/9/main" objectType="Drop" dropLines="11" dropStyle="combo" dx="22" fmlaLink="q9_13_16_27_28_39_40_E_Fig!$U$236" fmlaRange="q9_13_16_27_28_39_40_E_Fig!$P$95:$P$105" sel="11" val="0"/>
</file>

<file path=xl/ctrlProps/ctrlProp21.xml><?xml version="1.0" encoding="utf-8"?>
<formControlPr xmlns="http://schemas.microsoft.com/office/spreadsheetml/2009/9/main" objectType="Drop" dropLines="11" dropStyle="combo" dx="22" fmlaLink="q9_13_16_27_28_39_40_E_Fig!$S$288" fmlaRange="q9_13_16_27_28_39_40_E_Fig!$P$95:$P$105" sel="11" val="0"/>
</file>

<file path=xl/ctrlProps/ctrlProp22.xml><?xml version="1.0" encoding="utf-8"?>
<formControlPr xmlns="http://schemas.microsoft.com/office/spreadsheetml/2009/9/main" objectType="Drop" dropLines="2" dropStyle="combo" dx="22" fmlaLink="q31_q33_Fig!$A$30" fmlaRange="q31_q33_Fig!$N$2:$N$3" noThreeD="1" sel="2" val="0"/>
</file>

<file path=xl/ctrlProps/ctrlProp23.xml><?xml version="1.0" encoding="utf-8"?>
<formControlPr xmlns="http://schemas.microsoft.com/office/spreadsheetml/2009/9/main" objectType="Drop" dropLines="2" dropStyle="combo" dx="22" fmlaLink="q1_q2_q5_q6_Fig!$Q$3" fmlaRange="$A$2:$A$3" sel="1" val="0"/>
</file>

<file path=xl/ctrlProps/ctrlProp24.xml><?xml version="1.0" encoding="utf-8"?>
<formControlPr xmlns="http://schemas.microsoft.com/office/spreadsheetml/2009/9/main" objectType="Drop" dropLines="2" dropStyle="combo" dx="22" fmlaLink="q11_q13_q15_q17_Fig!$Q$3" fmlaRange="q11_q13_q15_q17_Fig!$A$2:$A$3" sel="2" val="0"/>
</file>

<file path=xl/ctrlProps/ctrlProp25.xml><?xml version="1.0" encoding="utf-8"?>
<formControlPr xmlns="http://schemas.microsoft.com/office/spreadsheetml/2009/9/main" objectType="Drop" dropLines="2" dropStyle="combo" dx="22" fmlaLink="q9_13_16_27_28_39_40_E_Fig!$Q$3" fmlaRange="q9_13_16_27_28_39_40_E_Fig!$A$2:$A$3" sel="1" val="0"/>
</file>

<file path=xl/ctrlProps/ctrlProp26.xml><?xml version="1.0" encoding="utf-8"?>
<formControlPr xmlns="http://schemas.microsoft.com/office/spreadsheetml/2009/9/main" objectType="Drop" dropLines="11" dropStyle="combo" dx="22" fmlaLink="$W$91" fmlaRange="$P$95:$P$105" noThreeD="1" sel="11" val="0"/>
</file>

<file path=xl/ctrlProps/ctrlProp27.xml><?xml version="1.0" encoding="utf-8"?>
<formControlPr xmlns="http://schemas.microsoft.com/office/spreadsheetml/2009/9/main" objectType="Drop" dropLines="11" dropStyle="combo" dx="22" fmlaLink="$W$91" fmlaRange="$P$95:$P$105" noThreeD="1" sel="11" val="0"/>
</file>

<file path=xl/ctrlProps/ctrlProp28.xml><?xml version="1.0" encoding="utf-8"?>
<formControlPr xmlns="http://schemas.microsoft.com/office/spreadsheetml/2009/9/main" objectType="Drop" dropLines="11" dropStyle="combo" dx="22" fmlaLink="$V$163" fmlaRange="$P$95:$P$105" noThreeD="1" sel="1" val="0"/>
</file>

<file path=xl/ctrlProps/ctrlProp29.xml><?xml version="1.0" encoding="utf-8"?>
<formControlPr xmlns="http://schemas.microsoft.com/office/spreadsheetml/2009/9/main" objectType="Drop" dropLines="11" dropStyle="combo" dx="22" fmlaLink="$W$91" fmlaRange="$P$95:$P$105" noThreeD="1" sel="11" val="0"/>
</file>

<file path=xl/ctrlProps/ctrlProp3.xml><?xml version="1.0" encoding="utf-8"?>
<formControlPr xmlns="http://schemas.microsoft.com/office/spreadsheetml/2009/9/main" objectType="Drop" dropLines="11" dropStyle="combo" dx="22" fmlaLink="q22_q23_q34_q35_Fig!$BL$16" fmlaRange="q22_q23_q34_q35_Fig!$BL$2:$BL$12" noThreeD="1" sel="11" val="0"/>
</file>

<file path=xl/ctrlProps/ctrlProp30.xml><?xml version="1.0" encoding="utf-8"?>
<formControlPr xmlns="http://schemas.microsoft.com/office/spreadsheetml/2009/9/main" objectType="Drop" dropLines="11" dropStyle="combo" dx="22" fmlaLink="q9_13_16_27_28_39_40_E_Fig!$U$236" fmlaRange="q9_13_16_27_28_39_40_E_Fig!$P$95:$P$105" noThreeD="1" sel="11" val="0"/>
</file>

<file path=xl/ctrlProps/ctrlProp31.xml><?xml version="1.0" encoding="utf-8"?>
<formControlPr xmlns="http://schemas.microsoft.com/office/spreadsheetml/2009/9/main" objectType="Drop" dropLines="11" dropStyle="combo" dx="22" fmlaLink="$S$288" fmlaRange="$P$95:$P$105" noThreeD="1" sel="11" val="0"/>
</file>

<file path=xl/ctrlProps/ctrlProp32.xml><?xml version="1.0" encoding="utf-8"?>
<formControlPr xmlns="http://schemas.microsoft.com/office/spreadsheetml/2009/9/main" objectType="Drop" dropLines="11" dropStyle="combo" dx="22" fmlaLink="q9_13_16_27_28_39_40_E_Fig!$U$236" fmlaRange="q9_13_16_27_28_39_40_E_Fig!$P$95:$P$105" noThreeD="1" sel="11" val="0"/>
</file>

<file path=xl/ctrlProps/ctrlProp33.xml><?xml version="1.0" encoding="utf-8"?>
<formControlPr xmlns="http://schemas.microsoft.com/office/spreadsheetml/2009/9/main" objectType="Drop" dropLines="11" dropStyle="combo" dx="22" fmlaLink="$S$288" fmlaRange="$P$95:$P$105" noThreeD="1" sel="11" val="0"/>
</file>

<file path=xl/ctrlProps/ctrlProp34.xml><?xml version="1.0" encoding="utf-8"?>
<formControlPr xmlns="http://schemas.microsoft.com/office/spreadsheetml/2009/9/main" objectType="Drop" dropLines="11" dropStyle="combo" dx="22" fmlaLink="q22_q23_q34_q35_Fig!$BL$16" fmlaRange="q22_q23_q34_q35_Fig!$BL$2:$BL$12" noThreeD="1" sel="11" val="0"/>
</file>

<file path=xl/ctrlProps/ctrlProp35.xml><?xml version="1.0" encoding="utf-8"?>
<formControlPr xmlns="http://schemas.microsoft.com/office/spreadsheetml/2009/9/main" objectType="Drop" dropLines="18" dropStyle="combo" dx="22" fmlaLink="$Q$2" fmlaRange="$A$2:$A$19" noThreeD="1" sel="11" val="0"/>
</file>

<file path=xl/ctrlProps/ctrlProp36.xml><?xml version="1.0" encoding="utf-8"?>
<formControlPr xmlns="http://schemas.microsoft.com/office/spreadsheetml/2009/9/main" objectType="Drop" dropLines="11" dropStyle="combo" dx="31" fmlaLink="q3_q7_q11_q15_q24_q36_Fig!$AL$16" fmlaRange="q3_q7_q11_q15_q24_q36_Fig!$D$2:$D$12" noThreeD="1" sel="11" val="0"/>
</file>

<file path=xl/ctrlProps/ctrlProp37.xml><?xml version="1.0" encoding="utf-8"?>
<formControlPr xmlns="http://schemas.microsoft.com/office/spreadsheetml/2009/9/main" objectType="Drop" dropLines="11" dropStyle="combo" dx="31" fmlaLink="q3_q7_q11_q15_q24_q36_Fig!$AS$16" fmlaRange="q3_q7_q11_q15_q24_q36_Fig!$D$2:$D$12" noThreeD="1" sel="11" val="0"/>
</file>

<file path=xl/ctrlProps/ctrlProp38.xml><?xml version="1.0" encoding="utf-8"?>
<formControlPr xmlns="http://schemas.microsoft.com/office/spreadsheetml/2009/9/main" objectType="Drop" dropLines="11" dropStyle="combo" dx="31" fmlaLink="q3_q7_q11_q15_q24_q36_Fig!$AZ$16" fmlaRange="q3_q7_q11_q15_q24_q36_Fig!$D$2:$D$12" noThreeD="1" sel="11" val="0"/>
</file>

<file path=xl/ctrlProps/ctrlProp39.xml><?xml version="1.0" encoding="utf-8"?>
<formControlPr xmlns="http://schemas.microsoft.com/office/spreadsheetml/2009/9/main" objectType="Drop" dropLines="11" dropStyle="combo" dx="31" fmlaLink="q3_q7_q11_q15_q24_q36_Fig!$AL$16" fmlaRange="q3_q7_q11_q15_q24_q36_Fig!$D$2:$D$12" noThreeD="1" sel="11" val="0"/>
</file>

<file path=xl/ctrlProps/ctrlProp4.xml><?xml version="1.0" encoding="utf-8"?>
<formControlPr xmlns="http://schemas.microsoft.com/office/spreadsheetml/2009/9/main" objectType="Drop" dropLines="18" dropStyle="combo" dx="22" fmlaLink="q3_q7_q11_q15_q24_q36_Fig!$Q$2" fmlaRange="q3_q7_q11_q15_q24_q36_Fig!$A$2:$A$19" sel="11" val="0"/>
</file>

<file path=xl/ctrlProps/ctrlProp40.xml><?xml version="1.0" encoding="utf-8"?>
<formControlPr xmlns="http://schemas.microsoft.com/office/spreadsheetml/2009/9/main" objectType="Drop" dropLines="11" dropStyle="combo" dx="31" fmlaLink="q3_q7_q11_q15_q24_q36_Fig!$AS$16" fmlaRange="q3_q7_q11_q15_q24_q36_Fig!$D$2:$D$12" noThreeD="1" sel="11" val="0"/>
</file>

<file path=xl/ctrlProps/ctrlProp41.xml><?xml version="1.0" encoding="utf-8"?>
<formControlPr xmlns="http://schemas.microsoft.com/office/spreadsheetml/2009/9/main" objectType="Drop" dropLines="11" dropStyle="combo" dx="31" fmlaLink="q3_q7_q11_q15_q24_q36_Fig!$AZ$16" fmlaRange="q3_q7_q11_q15_q24_q36_Fig!$D$2:$D$12" noThreeD="1" sel="11" val="0"/>
</file>

<file path=xl/ctrlProps/ctrlProp42.xml><?xml version="1.0" encoding="utf-8"?>
<formControlPr xmlns="http://schemas.microsoft.com/office/spreadsheetml/2009/9/main" objectType="Drop" dropLines="7" dropStyle="combo" dx="22" fmlaLink="$P$2" fmlaRange="$A$2:$A$8" noThreeD="1" sel="4" val="0"/>
</file>

<file path=xl/ctrlProps/ctrlProp43.xml><?xml version="1.0" encoding="utf-8"?>
<formControlPr xmlns="http://schemas.microsoft.com/office/spreadsheetml/2009/9/main" objectType="Drop" dropLines="11" dropStyle="combo" dx="22" fmlaLink="$AQ$2" fmlaRange="$G$2:$G$12" noThreeD="1" sel="11" val="0"/>
</file>

<file path=xl/ctrlProps/ctrlProp44.xml><?xml version="1.0" encoding="utf-8"?>
<formControlPr xmlns="http://schemas.microsoft.com/office/spreadsheetml/2009/9/main" objectType="Drop" dropLines="11" dropStyle="combo" dx="22" fmlaLink="$BL$2" fmlaRange="$G$2:$G$12" noThreeD="1" sel="11" val="0"/>
</file>

<file path=xl/ctrlProps/ctrlProp45.xml><?xml version="1.0" encoding="utf-8"?>
<formControlPr xmlns="http://schemas.microsoft.com/office/spreadsheetml/2009/9/main" objectType="Drop" dropLines="11" dropStyle="combo" dx="22" fmlaLink="$CF$2" fmlaRange="$G$2:$G$12" noThreeD="1" sel="11" val="0"/>
</file>

<file path=xl/ctrlProps/ctrlProp46.xml><?xml version="1.0" encoding="utf-8"?>
<formControlPr xmlns="http://schemas.microsoft.com/office/spreadsheetml/2009/9/main" objectType="Drop" dropLines="5" dropStyle="combo" dx="22" fmlaLink="$P$2" fmlaRange="$A$2:$A$6" noThreeD="1" sel="3" val="0"/>
</file>

<file path=xl/ctrlProps/ctrlProp47.xml><?xml version="1.0" encoding="utf-8"?>
<formControlPr xmlns="http://schemas.microsoft.com/office/spreadsheetml/2009/9/main" objectType="Drop" dropLines="11" dropStyle="combo" dx="22" fmlaLink="$AQ$2" fmlaRange="$G$2:$G$12" noThreeD="1" sel="11" val="0"/>
</file>

<file path=xl/ctrlProps/ctrlProp48.xml><?xml version="1.0" encoding="utf-8"?>
<formControlPr xmlns="http://schemas.microsoft.com/office/spreadsheetml/2009/9/main" objectType="Drop" dropLines="11" dropStyle="combo" dx="22" fmlaLink="$BL$2" fmlaRange="$G$2:$G$12" noThreeD="1" sel="11" val="0"/>
</file>

<file path=xl/ctrlProps/ctrlProp49.xml><?xml version="1.0" encoding="utf-8"?>
<formControlPr xmlns="http://schemas.microsoft.com/office/spreadsheetml/2009/9/main" objectType="Drop" dropLines="11" dropStyle="combo" dx="22" fmlaLink="$CF$2" fmlaRange="$G$2:$G$12" noThreeD="1" sel="11" val="0"/>
</file>

<file path=xl/ctrlProps/ctrlProp5.xml><?xml version="1.0" encoding="utf-8"?>
<formControlPr xmlns="http://schemas.microsoft.com/office/spreadsheetml/2009/9/main" objectType="Drop" dropLines="11" dropStyle="combo" dx="31" fmlaLink="q3_q7_q11_q15_q24_q36_Fig!$AL$16" fmlaRange="q3_q7_q11_q15_q24_q36_Fig!$D$2:$D$12" noThreeD="1" sel="11" val="0"/>
</file>

<file path=xl/ctrlProps/ctrlProp50.xml><?xml version="1.0" encoding="utf-8"?>
<formControlPr xmlns="http://schemas.microsoft.com/office/spreadsheetml/2009/9/main" objectType="Drop" dropLines="5" dropStyle="combo" dx="22" fmlaLink="$P$2" fmlaRange="$A$2:$A$6" noThreeD="1" sel="3" val="0"/>
</file>

<file path=xl/ctrlProps/ctrlProp51.xml><?xml version="1.0" encoding="utf-8"?>
<formControlPr xmlns="http://schemas.microsoft.com/office/spreadsheetml/2009/9/main" objectType="Drop" dropLines="5" dropStyle="combo" dx="22" fmlaLink="$P$2" fmlaRange="$A$2:$A$6" noThreeD="1" sel="3" val="0"/>
</file>

<file path=xl/ctrlProps/ctrlProp52.xml><?xml version="1.0" encoding="utf-8"?>
<formControlPr xmlns="http://schemas.microsoft.com/office/spreadsheetml/2009/9/main" objectType="Drop" dropLines="11" dropStyle="combo" dx="22" fmlaLink="q17_a_q19_q26_a_q29_q38_q41_Fig!$P$9" fmlaRange="q17_a_q19_q26_a_q29_q38_q41_Fig!$A$2:$A$12" noThreeD="1" sel="11" val="0"/>
</file>

<file path=xl/ctrlProps/ctrlProp53.xml><?xml version="1.0" encoding="utf-8"?>
<formControlPr xmlns="http://schemas.microsoft.com/office/spreadsheetml/2009/9/main" objectType="Drop" dropLines="11" dropStyle="combo" dx="22" fmlaLink="q17_a_q19_q26_a_q29_q38_q41_Fig!$P$9" fmlaRange="q17_a_q19_q26_a_q29_q38_q41_Fig!$A$2:$A$12" noThreeD="1" sel="11" val="0"/>
</file>

<file path=xl/ctrlProps/ctrlProp54.xml><?xml version="1.0" encoding="utf-8"?>
<formControlPr xmlns="http://schemas.microsoft.com/office/spreadsheetml/2009/9/main" objectType="Drop" dropLines="11" dropStyle="combo" dx="22" fmlaLink="q17_a_q19_q26_a_q29_q38_q41_Fig!$P$9" fmlaRange="q17_a_q19_q26_a_q29_q38_q41_Fig!$A$2:$A$12" noThreeD="1" sel="11" val="0"/>
</file>

<file path=xl/ctrlProps/ctrlProp55.xml><?xml version="1.0" encoding="utf-8"?>
<formControlPr xmlns="http://schemas.microsoft.com/office/spreadsheetml/2009/9/main" objectType="Drop" dropLines="11" dropStyle="combo" dx="22" fmlaLink="q17_a_q19_q26_a_q29_q38_q41_Fig!$P$9" fmlaRange="q17_a_q19_q26_a_q29_q38_q41_Fig!$A$2:$A$12" noThreeD="1" sel="11" val="0"/>
</file>

<file path=xl/ctrlProps/ctrlProp56.xml><?xml version="1.0" encoding="utf-8"?>
<formControlPr xmlns="http://schemas.microsoft.com/office/spreadsheetml/2009/9/main" objectType="Drop" dropLines="11" dropStyle="combo" dx="22" fmlaLink="q17_a_q19_q26_a_q29_q38_q41_Fig!$P$9" fmlaRange="q17_a_q19_q26_a_q29_q38_q41_Fig!$A$2:$A$12" noThreeD="1" sel="11" val="0"/>
</file>

<file path=xl/ctrlProps/ctrlProp57.xml><?xml version="1.0" encoding="utf-8"?>
<formControlPr xmlns="http://schemas.microsoft.com/office/spreadsheetml/2009/9/main" objectType="Drop" dropLines="11" dropStyle="combo" dx="22" fmlaLink="q17_a_q19_q26_a_q29_q38_q41_Fig!$P$9" fmlaRange="q17_a_q19_q26_a_q29_q38_q41_Fig!$A$2:$A$12" noThreeD="1" sel="11" val="0"/>
</file>

<file path=xl/ctrlProps/ctrlProp58.xml><?xml version="1.0" encoding="utf-8"?>
<formControlPr xmlns="http://schemas.microsoft.com/office/spreadsheetml/2009/9/main" objectType="Drop" dropLines="11" dropStyle="combo" dx="22" fmlaLink="q17_a_q19_q26_a_q29_q38_q41_Fig!$P$9" fmlaRange="q17_a_q19_q26_a_q29_q38_q41_Fig!$A$2:$A$12" noThreeD="1" sel="11" val="0"/>
</file>

<file path=xl/ctrlProps/ctrlProp59.xml><?xml version="1.0" encoding="utf-8"?>
<formControlPr xmlns="http://schemas.microsoft.com/office/spreadsheetml/2009/9/main" objectType="Drop" dropLines="2" dropStyle="combo" dx="22" fmlaLink="q31_q33_Fig!$A$30" fmlaRange="q31_q33_Fig!$N$2:$N$3" noThreeD="1" sel="2" val="0"/>
</file>

<file path=xl/ctrlProps/ctrlProp6.xml><?xml version="1.0" encoding="utf-8"?>
<formControlPr xmlns="http://schemas.microsoft.com/office/spreadsheetml/2009/9/main" objectType="Drop" dropLines="11" dropStyle="combo" dx="31" fmlaLink="q3_q7_q11_q15_q24_q36_Fig!$AS$16" fmlaRange="q3_q7_q11_q15_q24_q36_Fig!$D$2:$D$12" noThreeD="1" sel="11" val="0"/>
</file>

<file path=xl/ctrlProps/ctrlProp60.xml><?xml version="1.0" encoding="utf-8"?>
<formControlPr xmlns="http://schemas.microsoft.com/office/spreadsheetml/2009/9/main" objectType="Drop" dropLines="2" dropStyle="combo" dx="22" fmlaLink="q31_q33_Fig!$A$30" fmlaRange="q31_q33_Fig!$N$2:$N$3" noThreeD="1" sel="2" val="0"/>
</file>

<file path=xl/ctrlProps/ctrlProp61.xml><?xml version="1.0" encoding="utf-8"?>
<formControlPr xmlns="http://schemas.microsoft.com/office/spreadsheetml/2009/9/main" objectType="Drop" dropLines="2" dropStyle="combo" dx="22" fmlaLink="q31_q33_Fig!$A$30" fmlaRange="q31_q33_Fig!$N$2:$N$3" noThreeD="1" sel="2" val="0"/>
</file>

<file path=xl/ctrlProps/ctrlProp62.xml><?xml version="1.0" encoding="utf-8"?>
<formControlPr xmlns="http://schemas.microsoft.com/office/spreadsheetml/2009/9/main" objectType="Drop" dropLines="2" dropStyle="combo" dx="22" fmlaLink="q31_q33_Fig!$A$30" fmlaRange="q31_q33_Fig!$N$2:$N$3" noThreeD="1" sel="2" val="0"/>
</file>

<file path=xl/ctrlProps/ctrlProp63.xml><?xml version="1.0" encoding="utf-8"?>
<formControlPr xmlns="http://schemas.microsoft.com/office/spreadsheetml/2009/9/main" objectType="Drop" dropLines="2" dropStyle="combo" dx="22" fmlaLink="q31_q33_Fig!$A$30" fmlaRange="q31_q33_Fig!$N$2:$N$3" noThreeD="1" sel="2" val="0"/>
</file>

<file path=xl/ctrlProps/ctrlProp7.xml><?xml version="1.0" encoding="utf-8"?>
<formControlPr xmlns="http://schemas.microsoft.com/office/spreadsheetml/2009/9/main" objectType="Drop" dropLines="11" dropStyle="combo" dx="31" fmlaLink="q3_q7_q11_q15_q24_q36_Fig!$AZ$16" fmlaRange="q3_q7_q11_q15_q24_q36_Fig!$D$2:$D$12" noThreeD="1" sel="11" val="0"/>
</file>

<file path=xl/ctrlProps/ctrlProp8.xml><?xml version="1.0" encoding="utf-8"?>
<formControlPr xmlns="http://schemas.microsoft.com/office/spreadsheetml/2009/9/main" objectType="Drop" dropLines="11" dropStyle="combo" dx="31" fmlaLink="q4_8_12_16_25_37_Fig!$AQ$2" fmlaRange="q4_8_12_16_25_37_Fig!$G$2:$G$12" noThreeD="1" sel="11" val="0"/>
</file>

<file path=xl/ctrlProps/ctrlProp9.xml><?xml version="1.0" encoding="utf-8"?>
<formControlPr xmlns="http://schemas.microsoft.com/office/spreadsheetml/2009/9/main" objectType="Drop" dropLines="11" dropStyle="combo" dx="31" fmlaLink="q4_8_12_16_25_37_Fig!$BL$2" fmlaRange="q4_8_12_16_25_37_Fig!$G$2:$G$12" noThreeD="1" sel="11" val="0"/>
</file>

<file path=xl/drawings/_rels/drawing1.xml.rels><?xml version="1.0" encoding="UTF-8" standalone="yes"?>
<Relationships xmlns="http://schemas.openxmlformats.org/package/2006/relationships"><Relationship Id="rId8" Type="http://schemas.openxmlformats.org/officeDocument/2006/relationships/hyperlink" Target="#'Estrutura Empresarial_Rem'!A1"/><Relationship Id="rId3" Type="http://schemas.openxmlformats.org/officeDocument/2006/relationships/hyperlink" Target="#Desigualdade_Contratacao!A1"/><Relationship Id="rId7" Type="http://schemas.openxmlformats.org/officeDocument/2006/relationships/hyperlink" Target="#'NUTS 2024'!A1"/><Relationship Id="rId2" Type="http://schemas.openxmlformats.org/officeDocument/2006/relationships/hyperlink" Target="#'Caracteristicas TCO_1'!A1"/><Relationship Id="rId1" Type="http://schemas.openxmlformats.org/officeDocument/2006/relationships/hyperlink" Target="#'Estrutura Empresarial'!A1"/><Relationship Id="rId6" Type="http://schemas.openxmlformats.org/officeDocument/2006/relationships/hyperlink" Target="#Distritos!A1"/><Relationship Id="rId5" Type="http://schemas.openxmlformats.org/officeDocument/2006/relationships/hyperlink" Target="#'Caracteristicas TCO_2'!A1"/><Relationship Id="rId10" Type="http://schemas.openxmlformats.org/officeDocument/2006/relationships/hyperlink" Target="#'Pessoas e TCO_Estrangeiros'!A1"/><Relationship Id="rId4" Type="http://schemas.openxmlformats.org/officeDocument/2006/relationships/hyperlink" Target="#'Introdu&#231;&#227;o e Metainforma&#231;&#227;o'!A1"/><Relationship Id="rId9" Type="http://schemas.openxmlformats.org/officeDocument/2006/relationships/hyperlink" Target="#'NUTS 2013'!A1"/></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10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10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10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10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10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10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0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0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0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1.xml.rels><?xml version="1.0" encoding="UTF-8" standalone="yes"?>
<Relationships xmlns="http://schemas.openxmlformats.org/package/2006/relationships"><Relationship Id="rId8" Type="http://schemas.microsoft.com/office/2014/relationships/chartEx" Target="../charts/chartEx3.xml"/><Relationship Id="rId13" Type="http://schemas.openxmlformats.org/officeDocument/2006/relationships/chart" Target="../charts/chart19.xml"/><Relationship Id="rId3" Type="http://schemas.microsoft.com/office/2014/relationships/chartEx" Target="../charts/chartEx1.xml"/><Relationship Id="rId7" Type="http://schemas.openxmlformats.org/officeDocument/2006/relationships/chart" Target="../charts/chart17.xml"/><Relationship Id="rId12" Type="http://schemas.openxmlformats.org/officeDocument/2006/relationships/chart" Target="../charts/chart18.xml"/><Relationship Id="rId17" Type="http://schemas.openxmlformats.org/officeDocument/2006/relationships/image" Target="../media/image1.png"/><Relationship Id="rId2" Type="http://schemas.openxmlformats.org/officeDocument/2006/relationships/chart" Target="../charts/chart14.xml"/><Relationship Id="rId16" Type="http://schemas.openxmlformats.org/officeDocument/2006/relationships/hyperlink" Target="#Capa_Indice!A1"/><Relationship Id="rId1" Type="http://schemas.openxmlformats.org/officeDocument/2006/relationships/chart" Target="../charts/chart13.xml"/><Relationship Id="rId6" Type="http://schemas.openxmlformats.org/officeDocument/2006/relationships/chart" Target="../charts/chart16.xml"/><Relationship Id="rId11" Type="http://schemas.microsoft.com/office/2014/relationships/chartEx" Target="../charts/chartEx6.xml"/><Relationship Id="rId5" Type="http://schemas.openxmlformats.org/officeDocument/2006/relationships/chart" Target="../charts/chart15.xml"/><Relationship Id="rId15" Type="http://schemas.openxmlformats.org/officeDocument/2006/relationships/chart" Target="../charts/chart21.xml"/><Relationship Id="rId10" Type="http://schemas.microsoft.com/office/2014/relationships/chartEx" Target="../charts/chartEx5.xml"/><Relationship Id="rId4" Type="http://schemas.microsoft.com/office/2014/relationships/chartEx" Target="../charts/chartEx2.xml"/><Relationship Id="rId9" Type="http://schemas.microsoft.com/office/2014/relationships/chartEx" Target="../charts/chartEx4.xml"/><Relationship Id="rId14" Type="http://schemas.openxmlformats.org/officeDocument/2006/relationships/chart" Target="../charts/chart20.xml"/></Relationships>
</file>

<file path=xl/drawings/_rels/drawing1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11.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237;ndice de quadros'!A1"/></Relationships>
</file>

<file path=xl/drawings/_rels/drawing1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1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1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1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1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2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237;ndice de quadros'!A1"/></Relationships>
</file>

<file path=xl/drawings/_rels/drawing12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237;ndice de quadros'!A1"/></Relationships>
</file>

<file path=xl/drawings/_rels/drawing12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237;ndice de quadros'!A1"/></Relationships>
</file>

<file path=xl/drawings/_rels/drawing12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237;ndice de quadros'!A1"/></Relationships>
</file>

<file path=xl/drawings/_rels/drawing12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237;ndice de quadros'!A1"/></Relationships>
</file>

<file path=xl/drawings/_rels/drawing12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237;ndice de quadros'!A1"/></Relationships>
</file>

<file path=xl/drawings/_rels/drawing12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237;ndice de quadros'!A1"/></Relationships>
</file>

<file path=xl/drawings/_rels/drawing12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237;ndice de quadros'!A1"/></Relationships>
</file>

<file path=xl/drawings/_rels/drawing12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237;ndice de quadros'!A1"/></Relationships>
</file>

<file path=xl/drawings/_rels/drawing12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237;ndice de quadros'!A1"/></Relationships>
</file>

<file path=xl/drawings/_rels/drawing13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237;ndice de quadros'!A1"/></Relationships>
</file>

<file path=xl/drawings/_rels/drawing13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237;ndice de quadros'!A1"/></Relationships>
</file>

<file path=xl/drawings/_rels/drawing13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237;ndice de quadros'!A1"/></Relationships>
</file>

<file path=xl/drawings/_rels/drawing13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237;ndice de quadros'!A1"/></Relationships>
</file>

<file path=xl/drawings/_rels/drawing135.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hyperlink" Target="#'&#237;ndice de quadros'!A1"/></Relationships>
</file>

<file path=xl/drawings/_rels/drawing136.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hyperlink" Target="#'&#237;ndice de quadros'!A1"/></Relationships>
</file>

<file path=xl/drawings/_rels/drawing137.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hyperlink" Target="#'&#237;ndice de quadros'!A1"/></Relationships>
</file>

<file path=xl/drawings/_rels/drawing15.xml.rels><?xml version="1.0" encoding="UTF-8" standalone="yes"?>
<Relationships xmlns="http://schemas.openxmlformats.org/package/2006/relationships"><Relationship Id="rId13" Type="http://schemas.openxmlformats.org/officeDocument/2006/relationships/chart" Target="../charts/chart32.xml"/><Relationship Id="rId18" Type="http://schemas.openxmlformats.org/officeDocument/2006/relationships/chart" Target="../charts/chart35.xml"/><Relationship Id="rId26" Type="http://schemas.openxmlformats.org/officeDocument/2006/relationships/chart" Target="../charts/chart43.xml"/><Relationship Id="rId3" Type="http://schemas.openxmlformats.org/officeDocument/2006/relationships/chart" Target="../charts/chart24.xml"/><Relationship Id="rId21" Type="http://schemas.openxmlformats.org/officeDocument/2006/relationships/chart" Target="../charts/chart38.xml"/><Relationship Id="rId34" Type="http://schemas.openxmlformats.org/officeDocument/2006/relationships/chart" Target="../charts/chart51.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4.xml"/><Relationship Id="rId25" Type="http://schemas.openxmlformats.org/officeDocument/2006/relationships/chart" Target="../charts/chart42.xml"/><Relationship Id="rId33" Type="http://schemas.openxmlformats.org/officeDocument/2006/relationships/chart" Target="../charts/chart50.xml"/><Relationship Id="rId2" Type="http://schemas.openxmlformats.org/officeDocument/2006/relationships/chart" Target="../charts/chart23.xml"/><Relationship Id="rId16" Type="http://schemas.openxmlformats.org/officeDocument/2006/relationships/chart" Target="../charts/chart33.xml"/><Relationship Id="rId20" Type="http://schemas.openxmlformats.org/officeDocument/2006/relationships/chart" Target="../charts/chart37.xml"/><Relationship Id="rId29" Type="http://schemas.openxmlformats.org/officeDocument/2006/relationships/chart" Target="../charts/chart46.xml"/><Relationship Id="rId1" Type="http://schemas.openxmlformats.org/officeDocument/2006/relationships/chart" Target="../charts/chart22.xml"/><Relationship Id="rId6" Type="http://schemas.openxmlformats.org/officeDocument/2006/relationships/chart" Target="../charts/chart25.xml"/><Relationship Id="rId11" Type="http://schemas.openxmlformats.org/officeDocument/2006/relationships/chart" Target="../charts/chart30.xml"/><Relationship Id="rId24" Type="http://schemas.openxmlformats.org/officeDocument/2006/relationships/chart" Target="../charts/chart41.xml"/><Relationship Id="rId32" Type="http://schemas.openxmlformats.org/officeDocument/2006/relationships/chart" Target="../charts/chart49.xml"/><Relationship Id="rId5" Type="http://schemas.openxmlformats.org/officeDocument/2006/relationships/image" Target="../media/image4.png"/><Relationship Id="rId15" Type="http://schemas.microsoft.com/office/2007/relationships/hdphoto" Target="../media/hdphoto2.wdp"/><Relationship Id="rId23" Type="http://schemas.openxmlformats.org/officeDocument/2006/relationships/chart" Target="../charts/chart40.xml"/><Relationship Id="rId28" Type="http://schemas.openxmlformats.org/officeDocument/2006/relationships/chart" Target="../charts/chart45.xml"/><Relationship Id="rId10" Type="http://schemas.openxmlformats.org/officeDocument/2006/relationships/chart" Target="../charts/chart29.xml"/><Relationship Id="rId19" Type="http://schemas.openxmlformats.org/officeDocument/2006/relationships/chart" Target="../charts/chart36.xml"/><Relationship Id="rId31" Type="http://schemas.openxmlformats.org/officeDocument/2006/relationships/chart" Target="../charts/chart48.xml"/><Relationship Id="rId4" Type="http://schemas.openxmlformats.org/officeDocument/2006/relationships/hyperlink" Target="#Capa_Indice!A1"/><Relationship Id="rId9" Type="http://schemas.openxmlformats.org/officeDocument/2006/relationships/chart" Target="../charts/chart28.xml"/><Relationship Id="rId14" Type="http://schemas.openxmlformats.org/officeDocument/2006/relationships/image" Target="../media/image5.png"/><Relationship Id="rId22" Type="http://schemas.openxmlformats.org/officeDocument/2006/relationships/chart" Target="../charts/chart39.xml"/><Relationship Id="rId27" Type="http://schemas.openxmlformats.org/officeDocument/2006/relationships/chart" Target="../charts/chart44.xml"/><Relationship Id="rId30" Type="http://schemas.openxmlformats.org/officeDocument/2006/relationships/chart" Target="../charts/chart47.xml"/><Relationship Id="rId35" Type="http://schemas.openxmlformats.org/officeDocument/2006/relationships/image" Target="../media/image1.png"/><Relationship Id="rId8" Type="http://schemas.openxmlformats.org/officeDocument/2006/relationships/chart" Target="../charts/chart27.xml"/></Relationships>
</file>

<file path=xl/drawings/_rels/drawing19.xml.rels><?xml version="1.0" encoding="UTF-8" standalone="yes"?>
<Relationships xmlns="http://schemas.openxmlformats.org/package/2006/relationships"><Relationship Id="rId8" Type="http://schemas.openxmlformats.org/officeDocument/2006/relationships/image" Target="../media/image1.png"/><Relationship Id="rId13" Type="http://schemas.openxmlformats.org/officeDocument/2006/relationships/chart" Target="../charts/chart61.xml"/><Relationship Id="rId18" Type="http://schemas.openxmlformats.org/officeDocument/2006/relationships/chart" Target="../charts/chart65.xml"/><Relationship Id="rId26" Type="http://schemas.openxmlformats.org/officeDocument/2006/relationships/chart" Target="../charts/chart72.xml"/><Relationship Id="rId3" Type="http://schemas.openxmlformats.org/officeDocument/2006/relationships/chart" Target="../charts/chart54.xml"/><Relationship Id="rId21" Type="http://schemas.openxmlformats.org/officeDocument/2006/relationships/chart" Target="../charts/chart68.xml"/><Relationship Id="rId7" Type="http://schemas.openxmlformats.org/officeDocument/2006/relationships/chart" Target="../charts/chart57.xml"/><Relationship Id="rId12" Type="http://schemas.openxmlformats.org/officeDocument/2006/relationships/chart" Target="../charts/chart60.xml"/><Relationship Id="rId17" Type="http://schemas.openxmlformats.org/officeDocument/2006/relationships/chart" Target="../charts/chart64.xml"/><Relationship Id="rId25" Type="http://schemas.openxmlformats.org/officeDocument/2006/relationships/chart" Target="../charts/chart71.xml"/><Relationship Id="rId2" Type="http://schemas.openxmlformats.org/officeDocument/2006/relationships/chart" Target="../charts/chart53.xml"/><Relationship Id="rId16" Type="http://schemas.openxmlformats.org/officeDocument/2006/relationships/image" Target="../media/image7.png"/><Relationship Id="rId20" Type="http://schemas.openxmlformats.org/officeDocument/2006/relationships/chart" Target="../charts/chart67.xml"/><Relationship Id="rId29" Type="http://schemas.openxmlformats.org/officeDocument/2006/relationships/chart" Target="../charts/chart75.xml"/><Relationship Id="rId1" Type="http://schemas.openxmlformats.org/officeDocument/2006/relationships/chart" Target="../charts/chart52.xml"/><Relationship Id="rId6" Type="http://schemas.openxmlformats.org/officeDocument/2006/relationships/chart" Target="../charts/chart56.xml"/><Relationship Id="rId11" Type="http://schemas.openxmlformats.org/officeDocument/2006/relationships/chart" Target="../charts/chart59.xml"/><Relationship Id="rId24" Type="http://schemas.openxmlformats.org/officeDocument/2006/relationships/chart" Target="../charts/chart70.xml"/><Relationship Id="rId5" Type="http://schemas.openxmlformats.org/officeDocument/2006/relationships/chart" Target="../charts/chart55.xml"/><Relationship Id="rId15" Type="http://schemas.openxmlformats.org/officeDocument/2006/relationships/chart" Target="../charts/chart63.xml"/><Relationship Id="rId23" Type="http://schemas.openxmlformats.org/officeDocument/2006/relationships/image" Target="../media/image8.png"/><Relationship Id="rId28" Type="http://schemas.openxmlformats.org/officeDocument/2006/relationships/chart" Target="../charts/chart74.xml"/><Relationship Id="rId10" Type="http://schemas.openxmlformats.org/officeDocument/2006/relationships/chart" Target="../charts/chart58.xml"/><Relationship Id="rId19" Type="http://schemas.openxmlformats.org/officeDocument/2006/relationships/chart" Target="../charts/chart66.xml"/><Relationship Id="rId4" Type="http://schemas.openxmlformats.org/officeDocument/2006/relationships/hyperlink" Target="#Capa_Indice!A1"/><Relationship Id="rId9" Type="http://schemas.openxmlformats.org/officeDocument/2006/relationships/image" Target="../media/image6.png"/><Relationship Id="rId14" Type="http://schemas.openxmlformats.org/officeDocument/2006/relationships/chart" Target="../charts/chart62.xml"/><Relationship Id="rId22" Type="http://schemas.openxmlformats.org/officeDocument/2006/relationships/chart" Target="../charts/chart69.xml"/><Relationship Id="rId27" Type="http://schemas.openxmlformats.org/officeDocument/2006/relationships/chart" Target="../charts/chart73.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apa_Indice!A1"/></Relationships>
</file>

<file path=xl/drawings/_rels/drawing23.xml.rels><?xml version="1.0" encoding="UTF-8" standalone="yes"?>
<Relationships xmlns="http://schemas.openxmlformats.org/package/2006/relationships"><Relationship Id="rId8" Type="http://schemas.openxmlformats.org/officeDocument/2006/relationships/chart" Target="../charts/chart83.xml"/><Relationship Id="rId3" Type="http://schemas.openxmlformats.org/officeDocument/2006/relationships/chart" Target="../charts/chart78.xml"/><Relationship Id="rId7" Type="http://schemas.openxmlformats.org/officeDocument/2006/relationships/chart" Target="../charts/chart82.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5" Type="http://schemas.openxmlformats.org/officeDocument/2006/relationships/chart" Target="../charts/chart80.xml"/><Relationship Id="rId10" Type="http://schemas.openxmlformats.org/officeDocument/2006/relationships/image" Target="../media/image1.png"/><Relationship Id="rId4" Type="http://schemas.openxmlformats.org/officeDocument/2006/relationships/chart" Target="../charts/chart79.xml"/><Relationship Id="rId9" Type="http://schemas.openxmlformats.org/officeDocument/2006/relationships/hyperlink" Target="#Capa_Indice!A1"/></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8" Type="http://schemas.openxmlformats.org/officeDocument/2006/relationships/chart" Target="../charts/chart90.xml"/><Relationship Id="rId3" Type="http://schemas.openxmlformats.org/officeDocument/2006/relationships/chart" Target="../charts/chart85.xml"/><Relationship Id="rId7" Type="http://schemas.openxmlformats.org/officeDocument/2006/relationships/chart" Target="../charts/chart89.xml"/><Relationship Id="rId2" Type="http://schemas.openxmlformats.org/officeDocument/2006/relationships/chart" Target="../charts/chart84.xml"/><Relationship Id="rId1" Type="http://schemas.openxmlformats.org/officeDocument/2006/relationships/hyperlink" Target="#Capa_Indice!A1"/><Relationship Id="rId6" Type="http://schemas.openxmlformats.org/officeDocument/2006/relationships/chart" Target="../charts/chart88.xml"/><Relationship Id="rId11" Type="http://schemas.openxmlformats.org/officeDocument/2006/relationships/image" Target="../media/image1.png"/><Relationship Id="rId5" Type="http://schemas.openxmlformats.org/officeDocument/2006/relationships/chart" Target="../charts/chart87.xml"/><Relationship Id="rId10" Type="http://schemas.openxmlformats.org/officeDocument/2006/relationships/hyperlink" Target="#'Introdu&#231;&#227;o e Metainforma&#231;&#227;o'!A1"/><Relationship Id="rId4" Type="http://schemas.openxmlformats.org/officeDocument/2006/relationships/chart" Target="../charts/chart86.xml"/><Relationship Id="rId9" Type="http://schemas.openxmlformats.org/officeDocument/2006/relationships/chart" Target="../charts/chart91.xml"/></Relationships>
</file>

<file path=xl/drawings/_rels/drawing27.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8" Type="http://schemas.openxmlformats.org/officeDocument/2006/relationships/chart" Target="../charts/chart96.xml"/><Relationship Id="rId13" Type="http://schemas.openxmlformats.org/officeDocument/2006/relationships/chart" Target="../charts/chart99.xml"/><Relationship Id="rId18" Type="http://schemas.openxmlformats.org/officeDocument/2006/relationships/chart" Target="../charts/chart104.xml"/><Relationship Id="rId3" Type="http://schemas.openxmlformats.org/officeDocument/2006/relationships/chart" Target="../charts/chart92.xml"/><Relationship Id="rId7" Type="http://schemas.openxmlformats.org/officeDocument/2006/relationships/chart" Target="../charts/chart95.xml"/><Relationship Id="rId12" Type="http://schemas.openxmlformats.org/officeDocument/2006/relationships/chart" Target="../charts/chart98.xml"/><Relationship Id="rId17" Type="http://schemas.openxmlformats.org/officeDocument/2006/relationships/chart" Target="../charts/chart103.xml"/><Relationship Id="rId2" Type="http://schemas.openxmlformats.org/officeDocument/2006/relationships/image" Target="../media/image1.png"/><Relationship Id="rId16" Type="http://schemas.openxmlformats.org/officeDocument/2006/relationships/chart" Target="../charts/chart102.xml"/><Relationship Id="rId1" Type="http://schemas.openxmlformats.org/officeDocument/2006/relationships/hyperlink" Target="#Capa_Indice!A1"/><Relationship Id="rId6" Type="http://schemas.openxmlformats.org/officeDocument/2006/relationships/chart" Target="../charts/chart94.xml"/><Relationship Id="rId11" Type="http://schemas.openxmlformats.org/officeDocument/2006/relationships/chart" Target="../charts/chart97.xml"/><Relationship Id="rId5" Type="http://schemas.openxmlformats.org/officeDocument/2006/relationships/chart" Target="../charts/chart93.xml"/><Relationship Id="rId15" Type="http://schemas.openxmlformats.org/officeDocument/2006/relationships/chart" Target="../charts/chart101.xml"/><Relationship Id="rId10" Type="http://schemas.microsoft.com/office/2007/relationships/hdphoto" Target="../media/hdphoto2.wdp"/><Relationship Id="rId19" Type="http://schemas.openxmlformats.org/officeDocument/2006/relationships/chart" Target="../charts/chart105.xml"/><Relationship Id="rId4" Type="http://schemas.openxmlformats.org/officeDocument/2006/relationships/hyperlink" Target="#'Introdu&#231;&#227;o e Metainforma&#231;&#227;o'!A1"/><Relationship Id="rId9" Type="http://schemas.openxmlformats.org/officeDocument/2006/relationships/image" Target="../media/image5.png"/><Relationship Id="rId14" Type="http://schemas.openxmlformats.org/officeDocument/2006/relationships/chart" Target="../charts/chart100.xml"/></Relationships>
</file>

<file path=xl/drawings/_rels/drawing3.xml.rels><?xml version="1.0" encoding="UTF-8" standalone="yes"?>
<Relationships xmlns="http://schemas.openxmlformats.org/package/2006/relationships"><Relationship Id="rId8" Type="http://schemas.openxmlformats.org/officeDocument/2006/relationships/hyperlink" Target="#Capa_Indice!A1"/><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hyperlink" Target="#'Introdu&#231;&#227;o e Metainforma&#231;&#227;o'!A1"/><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 Id="rId9"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Capa_Indice!A1"/><Relationship Id="rId7" Type="http://schemas.openxmlformats.org/officeDocument/2006/relationships/chart" Target="../charts/chart110.xml"/><Relationship Id="rId2" Type="http://schemas.openxmlformats.org/officeDocument/2006/relationships/chart" Target="../charts/chart107.xml"/><Relationship Id="rId1" Type="http://schemas.openxmlformats.org/officeDocument/2006/relationships/chart" Target="../charts/chart106.xml"/><Relationship Id="rId6" Type="http://schemas.openxmlformats.org/officeDocument/2006/relationships/chart" Target="../charts/chart109.xml"/><Relationship Id="rId5" Type="http://schemas.openxmlformats.org/officeDocument/2006/relationships/chart" Target="../charts/chart108.xml"/><Relationship Id="rId10" Type="http://schemas.openxmlformats.org/officeDocument/2006/relationships/chart" Target="../charts/chart112.xml"/><Relationship Id="rId4" Type="http://schemas.openxmlformats.org/officeDocument/2006/relationships/image" Target="../media/image9.png"/><Relationship Id="rId9" Type="http://schemas.openxmlformats.org/officeDocument/2006/relationships/chart" Target="../charts/chart111.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15.xml"/><Relationship Id="rId2" Type="http://schemas.openxmlformats.org/officeDocument/2006/relationships/chart" Target="../charts/chart114.xml"/><Relationship Id="rId1" Type="http://schemas.openxmlformats.org/officeDocument/2006/relationships/chart" Target="../charts/chart113.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18.xml"/><Relationship Id="rId2" Type="http://schemas.openxmlformats.org/officeDocument/2006/relationships/chart" Target="../charts/chart117.xml"/><Relationship Id="rId1" Type="http://schemas.openxmlformats.org/officeDocument/2006/relationships/chart" Target="../charts/chart116.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125.xml"/><Relationship Id="rId13" Type="http://schemas.openxmlformats.org/officeDocument/2006/relationships/image" Target="../media/image5.png"/><Relationship Id="rId18" Type="http://schemas.openxmlformats.org/officeDocument/2006/relationships/chart" Target="../charts/chart133.xml"/><Relationship Id="rId26" Type="http://schemas.openxmlformats.org/officeDocument/2006/relationships/chart" Target="../charts/chart141.xml"/><Relationship Id="rId3" Type="http://schemas.openxmlformats.org/officeDocument/2006/relationships/image" Target="../media/image10.png"/><Relationship Id="rId21" Type="http://schemas.openxmlformats.org/officeDocument/2006/relationships/chart" Target="../charts/chart136.xml"/><Relationship Id="rId7" Type="http://schemas.openxmlformats.org/officeDocument/2006/relationships/chart" Target="../charts/chart124.xml"/><Relationship Id="rId12" Type="http://schemas.openxmlformats.org/officeDocument/2006/relationships/chart" Target="../charts/chart129.xml"/><Relationship Id="rId17" Type="http://schemas.openxmlformats.org/officeDocument/2006/relationships/chart" Target="../charts/chart132.xml"/><Relationship Id="rId25" Type="http://schemas.openxmlformats.org/officeDocument/2006/relationships/chart" Target="../charts/chart140.xml"/><Relationship Id="rId2" Type="http://schemas.openxmlformats.org/officeDocument/2006/relationships/chart" Target="../charts/chart120.xml"/><Relationship Id="rId16" Type="http://schemas.openxmlformats.org/officeDocument/2006/relationships/chart" Target="../charts/chart131.xml"/><Relationship Id="rId20" Type="http://schemas.openxmlformats.org/officeDocument/2006/relationships/chart" Target="../charts/chart135.xml"/><Relationship Id="rId29" Type="http://schemas.openxmlformats.org/officeDocument/2006/relationships/chart" Target="../charts/chart144.xml"/><Relationship Id="rId1" Type="http://schemas.openxmlformats.org/officeDocument/2006/relationships/chart" Target="../charts/chart119.xml"/><Relationship Id="rId6" Type="http://schemas.openxmlformats.org/officeDocument/2006/relationships/chart" Target="../charts/chart123.xml"/><Relationship Id="rId11" Type="http://schemas.openxmlformats.org/officeDocument/2006/relationships/chart" Target="../charts/chart128.xml"/><Relationship Id="rId24" Type="http://schemas.openxmlformats.org/officeDocument/2006/relationships/chart" Target="../charts/chart139.xml"/><Relationship Id="rId32" Type="http://schemas.openxmlformats.org/officeDocument/2006/relationships/chart" Target="../charts/chart147.xml"/><Relationship Id="rId5" Type="http://schemas.openxmlformats.org/officeDocument/2006/relationships/chart" Target="../charts/chart122.xml"/><Relationship Id="rId15" Type="http://schemas.openxmlformats.org/officeDocument/2006/relationships/chart" Target="../charts/chart130.xml"/><Relationship Id="rId23" Type="http://schemas.openxmlformats.org/officeDocument/2006/relationships/chart" Target="../charts/chart138.xml"/><Relationship Id="rId28" Type="http://schemas.openxmlformats.org/officeDocument/2006/relationships/chart" Target="../charts/chart143.xml"/><Relationship Id="rId10" Type="http://schemas.openxmlformats.org/officeDocument/2006/relationships/chart" Target="../charts/chart127.xml"/><Relationship Id="rId19" Type="http://schemas.openxmlformats.org/officeDocument/2006/relationships/chart" Target="../charts/chart134.xml"/><Relationship Id="rId31" Type="http://schemas.openxmlformats.org/officeDocument/2006/relationships/chart" Target="../charts/chart146.xml"/><Relationship Id="rId4" Type="http://schemas.openxmlformats.org/officeDocument/2006/relationships/chart" Target="../charts/chart121.xml"/><Relationship Id="rId9" Type="http://schemas.openxmlformats.org/officeDocument/2006/relationships/chart" Target="../charts/chart126.xml"/><Relationship Id="rId14" Type="http://schemas.microsoft.com/office/2007/relationships/hdphoto" Target="../media/hdphoto2.wdp"/><Relationship Id="rId22" Type="http://schemas.openxmlformats.org/officeDocument/2006/relationships/chart" Target="../charts/chart137.xml"/><Relationship Id="rId27" Type="http://schemas.openxmlformats.org/officeDocument/2006/relationships/chart" Target="../charts/chart142.xml"/><Relationship Id="rId30" Type="http://schemas.openxmlformats.org/officeDocument/2006/relationships/chart" Target="../charts/chart145.xml"/></Relationships>
</file>

<file path=xl/drawings/_rels/drawing43.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3" Type="http://schemas.openxmlformats.org/officeDocument/2006/relationships/chart" Target="../charts/chart150.xml"/><Relationship Id="rId2" Type="http://schemas.openxmlformats.org/officeDocument/2006/relationships/chart" Target="../charts/chart149.xml"/><Relationship Id="rId1" Type="http://schemas.openxmlformats.org/officeDocument/2006/relationships/chart" Target="../charts/chart148.xml"/><Relationship Id="rId4" Type="http://schemas.openxmlformats.org/officeDocument/2006/relationships/chart" Target="../charts/chart151.xml"/></Relationships>
</file>

<file path=xl/drawings/_rels/drawing45.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chart" Target="../charts/chart152.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153.xml"/></Relationships>
</file>

<file path=xl/drawings/_rels/drawing4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5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5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237;ndice de quadros'!A1"/></Relationships>
</file>

<file path=xl/drawings/_rels/drawing52.xml.rels><?xml version="1.0" encoding="UTF-8" standalone="yes"?>
<Relationships xmlns="http://schemas.openxmlformats.org/package/2006/relationships"><Relationship Id="rId8" Type="http://schemas.microsoft.com/office/2014/relationships/chartEx" Target="../charts/chartEx9.xml"/><Relationship Id="rId13" Type="http://schemas.openxmlformats.org/officeDocument/2006/relationships/chart" Target="../charts/chart160.xml"/><Relationship Id="rId3" Type="http://schemas.openxmlformats.org/officeDocument/2006/relationships/chart" Target="../charts/chart156.xml"/><Relationship Id="rId7" Type="http://schemas.openxmlformats.org/officeDocument/2006/relationships/chart" Target="../charts/chart158.xml"/><Relationship Id="rId12" Type="http://schemas.openxmlformats.org/officeDocument/2006/relationships/chart" Target="../charts/chart159.xml"/><Relationship Id="rId2" Type="http://schemas.openxmlformats.org/officeDocument/2006/relationships/chart" Target="../charts/chart155.xml"/><Relationship Id="rId1" Type="http://schemas.openxmlformats.org/officeDocument/2006/relationships/chart" Target="../charts/chart154.xml"/><Relationship Id="rId6" Type="http://schemas.microsoft.com/office/2014/relationships/chartEx" Target="../charts/chartEx8.xml"/><Relationship Id="rId11" Type="http://schemas.microsoft.com/office/2014/relationships/chartEx" Target="../charts/chartEx12.xml"/><Relationship Id="rId5" Type="http://schemas.microsoft.com/office/2014/relationships/chartEx" Target="../charts/chartEx7.xml"/><Relationship Id="rId15" Type="http://schemas.openxmlformats.org/officeDocument/2006/relationships/chart" Target="../charts/chart162.xml"/><Relationship Id="rId10" Type="http://schemas.microsoft.com/office/2014/relationships/chartEx" Target="../charts/chartEx11.xml"/><Relationship Id="rId4" Type="http://schemas.openxmlformats.org/officeDocument/2006/relationships/chart" Target="../charts/chart157.xml"/><Relationship Id="rId9" Type="http://schemas.microsoft.com/office/2014/relationships/chartEx" Target="../charts/chartEx10.xml"/><Relationship Id="rId14" Type="http://schemas.openxmlformats.org/officeDocument/2006/relationships/chart" Target="../charts/chart161.xml"/></Relationships>
</file>

<file path=xl/drawings/_rels/drawing56.xml.rels><?xml version="1.0" encoding="UTF-8" standalone="yes"?>
<Relationships xmlns="http://schemas.openxmlformats.org/package/2006/relationships"><Relationship Id="rId13" Type="http://schemas.openxmlformats.org/officeDocument/2006/relationships/image" Target="../media/image5.png"/><Relationship Id="rId18" Type="http://schemas.openxmlformats.org/officeDocument/2006/relationships/chart" Target="../charts/chart177.xml"/><Relationship Id="rId26" Type="http://schemas.openxmlformats.org/officeDocument/2006/relationships/chart" Target="../charts/chart185.xml"/><Relationship Id="rId39" Type="http://schemas.openxmlformats.org/officeDocument/2006/relationships/image" Target="../media/image20.png"/><Relationship Id="rId21" Type="http://schemas.openxmlformats.org/officeDocument/2006/relationships/chart" Target="../charts/chart180.xml"/><Relationship Id="rId34" Type="http://schemas.openxmlformats.org/officeDocument/2006/relationships/image" Target="../media/image17.png"/><Relationship Id="rId42" Type="http://schemas.microsoft.com/office/2007/relationships/hdphoto" Target="../media/hdphoto6.wdp"/><Relationship Id="rId7" Type="http://schemas.openxmlformats.org/officeDocument/2006/relationships/chart" Target="../charts/chart168.xml"/><Relationship Id="rId2" Type="http://schemas.openxmlformats.org/officeDocument/2006/relationships/chart" Target="../charts/chart164.xml"/><Relationship Id="rId16" Type="http://schemas.openxmlformats.org/officeDocument/2006/relationships/chart" Target="../charts/chart175.xml"/><Relationship Id="rId20" Type="http://schemas.openxmlformats.org/officeDocument/2006/relationships/chart" Target="../charts/chart179.xml"/><Relationship Id="rId29" Type="http://schemas.openxmlformats.org/officeDocument/2006/relationships/chart" Target="../charts/chart188.xml"/><Relationship Id="rId41" Type="http://schemas.openxmlformats.org/officeDocument/2006/relationships/image" Target="../media/image21.png"/><Relationship Id="rId1" Type="http://schemas.openxmlformats.org/officeDocument/2006/relationships/chart" Target="../charts/chart163.xml"/><Relationship Id="rId6" Type="http://schemas.openxmlformats.org/officeDocument/2006/relationships/chart" Target="../charts/chart167.xml"/><Relationship Id="rId11" Type="http://schemas.openxmlformats.org/officeDocument/2006/relationships/chart" Target="../charts/chart172.xml"/><Relationship Id="rId24" Type="http://schemas.openxmlformats.org/officeDocument/2006/relationships/chart" Target="../charts/chart183.xml"/><Relationship Id="rId32" Type="http://schemas.openxmlformats.org/officeDocument/2006/relationships/chart" Target="../charts/chart191.xml"/><Relationship Id="rId37" Type="http://schemas.microsoft.com/office/2007/relationships/hdphoto" Target="../media/hdphoto4.wdp"/><Relationship Id="rId40" Type="http://schemas.microsoft.com/office/2007/relationships/hdphoto" Target="../media/hdphoto5.wdp"/><Relationship Id="rId5" Type="http://schemas.openxmlformats.org/officeDocument/2006/relationships/chart" Target="../charts/chart166.xml"/><Relationship Id="rId15" Type="http://schemas.openxmlformats.org/officeDocument/2006/relationships/chart" Target="../charts/chart174.xml"/><Relationship Id="rId23" Type="http://schemas.openxmlformats.org/officeDocument/2006/relationships/chart" Target="../charts/chart182.xml"/><Relationship Id="rId28" Type="http://schemas.openxmlformats.org/officeDocument/2006/relationships/chart" Target="../charts/chart187.xml"/><Relationship Id="rId36" Type="http://schemas.openxmlformats.org/officeDocument/2006/relationships/image" Target="../media/image18.png"/><Relationship Id="rId10" Type="http://schemas.openxmlformats.org/officeDocument/2006/relationships/chart" Target="../charts/chart171.xml"/><Relationship Id="rId19" Type="http://schemas.openxmlformats.org/officeDocument/2006/relationships/chart" Target="../charts/chart178.xml"/><Relationship Id="rId31" Type="http://schemas.openxmlformats.org/officeDocument/2006/relationships/chart" Target="../charts/chart190.xml"/><Relationship Id="rId4" Type="http://schemas.openxmlformats.org/officeDocument/2006/relationships/image" Target="../media/image16.png"/><Relationship Id="rId9" Type="http://schemas.openxmlformats.org/officeDocument/2006/relationships/chart" Target="../charts/chart170.xml"/><Relationship Id="rId14" Type="http://schemas.microsoft.com/office/2007/relationships/hdphoto" Target="../media/hdphoto2.wdp"/><Relationship Id="rId22" Type="http://schemas.openxmlformats.org/officeDocument/2006/relationships/chart" Target="../charts/chart181.xml"/><Relationship Id="rId27" Type="http://schemas.openxmlformats.org/officeDocument/2006/relationships/chart" Target="../charts/chart186.xml"/><Relationship Id="rId30" Type="http://schemas.openxmlformats.org/officeDocument/2006/relationships/chart" Target="../charts/chart189.xml"/><Relationship Id="rId35" Type="http://schemas.microsoft.com/office/2007/relationships/hdphoto" Target="../media/hdphoto3.wdp"/><Relationship Id="rId8" Type="http://schemas.openxmlformats.org/officeDocument/2006/relationships/chart" Target="../charts/chart169.xml"/><Relationship Id="rId3" Type="http://schemas.openxmlformats.org/officeDocument/2006/relationships/chart" Target="../charts/chart165.xml"/><Relationship Id="rId12" Type="http://schemas.openxmlformats.org/officeDocument/2006/relationships/chart" Target="../charts/chart173.xml"/><Relationship Id="rId17" Type="http://schemas.openxmlformats.org/officeDocument/2006/relationships/chart" Target="../charts/chart176.xml"/><Relationship Id="rId25" Type="http://schemas.openxmlformats.org/officeDocument/2006/relationships/chart" Target="../charts/chart184.xml"/><Relationship Id="rId33" Type="http://schemas.openxmlformats.org/officeDocument/2006/relationships/chart" Target="../charts/chart192.xml"/><Relationship Id="rId38" Type="http://schemas.openxmlformats.org/officeDocument/2006/relationships/image" Target="../media/image19.png"/></Relationships>
</file>

<file path=xl/drawings/_rels/drawing60.xml.rels><?xml version="1.0" encoding="UTF-8" standalone="yes"?>
<Relationships xmlns="http://schemas.openxmlformats.org/package/2006/relationships"><Relationship Id="rId13" Type="http://schemas.openxmlformats.org/officeDocument/2006/relationships/image" Target="../media/image19.png"/><Relationship Id="rId18" Type="http://schemas.openxmlformats.org/officeDocument/2006/relationships/image" Target="../media/image22.png"/><Relationship Id="rId26" Type="http://schemas.openxmlformats.org/officeDocument/2006/relationships/chart" Target="../charts/chart207.xml"/><Relationship Id="rId21" Type="http://schemas.openxmlformats.org/officeDocument/2006/relationships/chart" Target="../charts/chart203.xml"/><Relationship Id="rId34" Type="http://schemas.openxmlformats.org/officeDocument/2006/relationships/chart" Target="../charts/chart214.xml"/><Relationship Id="rId7" Type="http://schemas.openxmlformats.org/officeDocument/2006/relationships/chart" Target="../charts/chart199.xml"/><Relationship Id="rId12" Type="http://schemas.microsoft.com/office/2007/relationships/hdphoto" Target="../media/hdphoto4.wdp"/><Relationship Id="rId17" Type="http://schemas.microsoft.com/office/2007/relationships/hdphoto" Target="../media/hdphoto6.wdp"/><Relationship Id="rId25" Type="http://schemas.openxmlformats.org/officeDocument/2006/relationships/image" Target="../media/image23.png"/><Relationship Id="rId33" Type="http://schemas.openxmlformats.org/officeDocument/2006/relationships/chart" Target="../charts/chart213.xml"/><Relationship Id="rId38" Type="http://schemas.openxmlformats.org/officeDocument/2006/relationships/chart" Target="../charts/chart218.xml"/><Relationship Id="rId2" Type="http://schemas.openxmlformats.org/officeDocument/2006/relationships/chart" Target="../charts/chart194.xml"/><Relationship Id="rId16" Type="http://schemas.openxmlformats.org/officeDocument/2006/relationships/image" Target="../media/image21.png"/><Relationship Id="rId20" Type="http://schemas.openxmlformats.org/officeDocument/2006/relationships/chart" Target="../charts/chart202.xml"/><Relationship Id="rId29" Type="http://schemas.openxmlformats.org/officeDocument/2006/relationships/chart" Target="../charts/chart210.xml"/><Relationship Id="rId1" Type="http://schemas.openxmlformats.org/officeDocument/2006/relationships/chart" Target="../charts/chart193.xml"/><Relationship Id="rId6" Type="http://schemas.openxmlformats.org/officeDocument/2006/relationships/chart" Target="../charts/chart198.xml"/><Relationship Id="rId11" Type="http://schemas.openxmlformats.org/officeDocument/2006/relationships/image" Target="../media/image18.png"/><Relationship Id="rId24" Type="http://schemas.openxmlformats.org/officeDocument/2006/relationships/chart" Target="../charts/chart206.xml"/><Relationship Id="rId32" Type="http://schemas.openxmlformats.org/officeDocument/2006/relationships/image" Target="../media/image24.png"/><Relationship Id="rId37" Type="http://schemas.openxmlformats.org/officeDocument/2006/relationships/chart" Target="../charts/chart217.xml"/><Relationship Id="rId5" Type="http://schemas.openxmlformats.org/officeDocument/2006/relationships/chart" Target="../charts/chart197.xml"/><Relationship Id="rId15" Type="http://schemas.microsoft.com/office/2007/relationships/hdphoto" Target="../media/hdphoto5.wdp"/><Relationship Id="rId23" Type="http://schemas.openxmlformats.org/officeDocument/2006/relationships/chart" Target="../charts/chart205.xml"/><Relationship Id="rId28" Type="http://schemas.openxmlformats.org/officeDocument/2006/relationships/chart" Target="../charts/chart209.xml"/><Relationship Id="rId36" Type="http://schemas.openxmlformats.org/officeDocument/2006/relationships/chart" Target="../charts/chart216.xml"/><Relationship Id="rId10" Type="http://schemas.microsoft.com/office/2007/relationships/hdphoto" Target="../media/hdphoto3.wdp"/><Relationship Id="rId19" Type="http://schemas.openxmlformats.org/officeDocument/2006/relationships/chart" Target="../charts/chart201.xml"/><Relationship Id="rId31" Type="http://schemas.openxmlformats.org/officeDocument/2006/relationships/chart" Target="../charts/chart212.xml"/><Relationship Id="rId4" Type="http://schemas.openxmlformats.org/officeDocument/2006/relationships/chart" Target="../charts/chart196.xml"/><Relationship Id="rId9" Type="http://schemas.openxmlformats.org/officeDocument/2006/relationships/image" Target="../media/image17.png"/><Relationship Id="rId14" Type="http://schemas.openxmlformats.org/officeDocument/2006/relationships/image" Target="../media/image20.png"/><Relationship Id="rId22" Type="http://schemas.openxmlformats.org/officeDocument/2006/relationships/chart" Target="../charts/chart204.xml"/><Relationship Id="rId27" Type="http://schemas.openxmlformats.org/officeDocument/2006/relationships/chart" Target="../charts/chart208.xml"/><Relationship Id="rId30" Type="http://schemas.openxmlformats.org/officeDocument/2006/relationships/chart" Target="../charts/chart211.xml"/><Relationship Id="rId35" Type="http://schemas.openxmlformats.org/officeDocument/2006/relationships/chart" Target="../charts/chart215.xml"/><Relationship Id="rId8" Type="http://schemas.openxmlformats.org/officeDocument/2006/relationships/chart" Target="../charts/chart200.xml"/><Relationship Id="rId3" Type="http://schemas.openxmlformats.org/officeDocument/2006/relationships/chart" Target="../charts/chart195.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221.xml"/><Relationship Id="rId2" Type="http://schemas.openxmlformats.org/officeDocument/2006/relationships/chart" Target="../charts/chart220.xml"/><Relationship Id="rId1" Type="http://schemas.openxmlformats.org/officeDocument/2006/relationships/chart" Target="../charts/chart219.xml"/><Relationship Id="rId4" Type="http://schemas.openxmlformats.org/officeDocument/2006/relationships/chart" Target="../charts/chart222.xml"/></Relationships>
</file>

<file path=xl/drawings/_rels/drawing65.xml.rels><?xml version="1.0" encoding="UTF-8" standalone="yes"?>
<Relationships xmlns="http://schemas.openxmlformats.org/package/2006/relationships"><Relationship Id="rId8" Type="http://schemas.openxmlformats.org/officeDocument/2006/relationships/chart" Target="../charts/chart230.xml"/><Relationship Id="rId13" Type="http://schemas.openxmlformats.org/officeDocument/2006/relationships/chart" Target="../charts/chart235.xml"/><Relationship Id="rId3" Type="http://schemas.openxmlformats.org/officeDocument/2006/relationships/chart" Target="../charts/chart225.xml"/><Relationship Id="rId7" Type="http://schemas.openxmlformats.org/officeDocument/2006/relationships/chart" Target="../charts/chart229.xml"/><Relationship Id="rId12" Type="http://schemas.openxmlformats.org/officeDocument/2006/relationships/chart" Target="../charts/chart234.xml"/><Relationship Id="rId2" Type="http://schemas.openxmlformats.org/officeDocument/2006/relationships/chart" Target="../charts/chart224.xml"/><Relationship Id="rId16" Type="http://schemas.openxmlformats.org/officeDocument/2006/relationships/chart" Target="../charts/chart238.xml"/><Relationship Id="rId1" Type="http://schemas.openxmlformats.org/officeDocument/2006/relationships/chart" Target="../charts/chart223.xml"/><Relationship Id="rId6" Type="http://schemas.openxmlformats.org/officeDocument/2006/relationships/chart" Target="../charts/chart228.xml"/><Relationship Id="rId11" Type="http://schemas.openxmlformats.org/officeDocument/2006/relationships/chart" Target="../charts/chart233.xml"/><Relationship Id="rId5" Type="http://schemas.openxmlformats.org/officeDocument/2006/relationships/chart" Target="../charts/chart227.xml"/><Relationship Id="rId15" Type="http://schemas.openxmlformats.org/officeDocument/2006/relationships/chart" Target="../charts/chart237.xml"/><Relationship Id="rId10" Type="http://schemas.openxmlformats.org/officeDocument/2006/relationships/chart" Target="../charts/chart232.xml"/><Relationship Id="rId4" Type="http://schemas.openxmlformats.org/officeDocument/2006/relationships/chart" Target="../charts/chart226.xml"/><Relationship Id="rId9" Type="http://schemas.openxmlformats.org/officeDocument/2006/relationships/chart" Target="../charts/chart231.xml"/><Relationship Id="rId14" Type="http://schemas.openxmlformats.org/officeDocument/2006/relationships/chart" Target="../charts/chart236.xml"/></Relationships>
</file>

<file path=xl/drawings/_rels/drawing66.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67.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68.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69.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7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7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237;ndice de quadros'!A1"/></Relationships>
</file>

<file path=xl/drawings/_rels/drawing73.xml.rels><?xml version="1.0" encoding="UTF-8" standalone="yes"?>
<Relationships xmlns="http://schemas.openxmlformats.org/package/2006/relationships"><Relationship Id="rId2" Type="http://schemas.openxmlformats.org/officeDocument/2006/relationships/chart" Target="../charts/chart240.xml"/><Relationship Id="rId1" Type="http://schemas.openxmlformats.org/officeDocument/2006/relationships/chart" Target="../charts/chart239.xml"/></Relationships>
</file>

<file path=xl/drawings/_rels/drawing74.xml.rels><?xml version="1.0" encoding="UTF-8" standalone="yes"?>
<Relationships xmlns="http://schemas.openxmlformats.org/package/2006/relationships"><Relationship Id="rId3" Type="http://schemas.openxmlformats.org/officeDocument/2006/relationships/chart" Target="../charts/chart243.xml"/><Relationship Id="rId2" Type="http://schemas.openxmlformats.org/officeDocument/2006/relationships/chart" Target="../charts/chart242.xml"/><Relationship Id="rId1" Type="http://schemas.openxmlformats.org/officeDocument/2006/relationships/chart" Target="../charts/chart241.xml"/><Relationship Id="rId4" Type="http://schemas.openxmlformats.org/officeDocument/2006/relationships/image" Target="../media/image9.png"/></Relationships>
</file>

<file path=xl/drawings/_rels/drawing75.xml.rels><?xml version="1.0" encoding="UTF-8" standalone="yes"?>
<Relationships xmlns="http://schemas.openxmlformats.org/package/2006/relationships"><Relationship Id="rId2" Type="http://schemas.openxmlformats.org/officeDocument/2006/relationships/chart" Target="../charts/chart245.xml"/><Relationship Id="rId1" Type="http://schemas.openxmlformats.org/officeDocument/2006/relationships/chart" Target="../charts/chart244.xml"/></Relationships>
</file>

<file path=xl/drawings/_rels/drawing76.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237;ndice de quadros'!A1"/></Relationships>
</file>

<file path=xl/drawings/_rels/drawing77.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237;ndice de quadros'!A1"/></Relationships>
</file>

<file path=xl/drawings/_rels/drawing78.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237;ndice de quadros'!A1"/></Relationships>
</file>

<file path=xl/drawings/_rels/drawing79.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237;ndice de quadros'!A1"/></Relationships>
</file>

<file path=xl/drawings/_rels/drawing8.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9.xml"/><Relationship Id="rId7" Type="http://schemas.openxmlformats.org/officeDocument/2006/relationships/chart" Target="../charts/chart12.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1.xml"/><Relationship Id="rId5" Type="http://schemas.openxmlformats.org/officeDocument/2006/relationships/hyperlink" Target="#Capa_Indice!A1"/><Relationship Id="rId4" Type="http://schemas.openxmlformats.org/officeDocument/2006/relationships/chart" Target="../charts/chart10.xml"/></Relationships>
</file>

<file path=xl/drawings/_rels/drawing80.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237;ndice de quadros'!A1"/></Relationships>
</file>

<file path=xl/drawings/_rels/drawing81.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237;ndice de quadros'!A1"/></Relationships>
</file>

<file path=xl/drawings/_rels/drawing82.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237;ndice de quadros'!A1"/></Relationships>
</file>

<file path=xl/drawings/_rels/drawing83.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237;ndice de quadros'!A1"/></Relationships>
</file>

<file path=xl/drawings/_rels/drawing84.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237;ndice de quadros'!A1"/></Relationships>
</file>

<file path=xl/drawings/_rels/drawing85.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237;ndice de quadros'!A1"/></Relationships>
</file>

<file path=xl/drawings/_rels/drawing8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8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8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8.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8.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9.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30.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30.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30.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30.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32.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28.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33.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9.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9.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9.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9.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9.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9.pn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28.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9.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28.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xdr:from>
      <xdr:col>0</xdr:col>
      <xdr:colOff>69849</xdr:colOff>
      <xdr:row>5</xdr:row>
      <xdr:rowOff>177800</xdr:rowOff>
    </xdr:from>
    <xdr:to>
      <xdr:col>11</xdr:col>
      <xdr:colOff>217713</xdr:colOff>
      <xdr:row>9</xdr:row>
      <xdr:rowOff>27214</xdr:rowOff>
    </xdr:to>
    <xdr:sp macro="" textlink="">
      <xdr:nvSpPr>
        <xdr:cNvPr id="2" name="Rectangle 13">
          <a:extLst>
            <a:ext uri="{FF2B5EF4-FFF2-40B4-BE49-F238E27FC236}">
              <a16:creationId xmlns:a16="http://schemas.microsoft.com/office/drawing/2014/main" id="{00000000-0008-0000-0000-000002000000}"/>
            </a:ext>
          </a:extLst>
        </xdr:cNvPr>
        <xdr:cNvSpPr>
          <a:spLocks noChangeArrowheads="1"/>
        </xdr:cNvSpPr>
      </xdr:nvSpPr>
      <xdr:spPr bwMode="auto">
        <a:xfrm>
          <a:off x="69849" y="1130300"/>
          <a:ext cx="6539139" cy="611414"/>
        </a:xfrm>
        <a:prstGeom prst="rect">
          <a:avLst/>
        </a:prstGeom>
        <a:solidFill>
          <a:srgbClr val="00467A"/>
        </a:solidFill>
        <a:ln w="9525">
          <a:solidFill>
            <a:srgbClr val="004A82"/>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0</xdr:col>
      <xdr:colOff>0</xdr:colOff>
      <xdr:row>3</xdr:row>
      <xdr:rowOff>100012</xdr:rowOff>
    </xdr:from>
    <xdr:to>
      <xdr:col>5</xdr:col>
      <xdr:colOff>219075</xdr:colOff>
      <xdr:row>10</xdr:row>
      <xdr:rowOff>146047</xdr:rowOff>
    </xdr:to>
    <xdr:grpSp>
      <xdr:nvGrpSpPr>
        <xdr:cNvPr id="3" name="Group 14">
          <a:extLst>
            <a:ext uri="{FF2B5EF4-FFF2-40B4-BE49-F238E27FC236}">
              <a16:creationId xmlns:a16="http://schemas.microsoft.com/office/drawing/2014/main" id="{00000000-0008-0000-0000-000003000000}"/>
            </a:ext>
          </a:extLst>
        </xdr:cNvPr>
        <xdr:cNvGrpSpPr>
          <a:grpSpLocks/>
        </xdr:cNvGrpSpPr>
      </xdr:nvGrpSpPr>
      <xdr:grpSpPr bwMode="auto">
        <a:xfrm>
          <a:off x="0" y="557212"/>
          <a:ext cx="5886450" cy="1112835"/>
          <a:chOff x="198" y="603"/>
          <a:chExt cx="1962" cy="839"/>
        </a:xfrm>
      </xdr:grpSpPr>
      <xdr:sp macro="" textlink="">
        <xdr:nvSpPr>
          <xdr:cNvPr id="4" name="Rectangle 15">
            <a:extLst>
              <a:ext uri="{FF2B5EF4-FFF2-40B4-BE49-F238E27FC236}">
                <a16:creationId xmlns:a16="http://schemas.microsoft.com/office/drawing/2014/main" id="{00000000-0008-0000-0000-000004000000}"/>
              </a:ext>
            </a:extLst>
          </xdr:cNvPr>
          <xdr:cNvSpPr>
            <a:spLocks noChangeArrowheads="1"/>
          </xdr:cNvSpPr>
        </xdr:nvSpPr>
        <xdr:spPr bwMode="auto">
          <a:xfrm>
            <a:off x="198" y="603"/>
            <a:ext cx="1962" cy="192"/>
          </a:xfrm>
          <a:prstGeom prst="rect">
            <a:avLst/>
          </a:prstGeom>
          <a:solidFill>
            <a:srgbClr val="FFFF00"/>
          </a:solidFill>
          <a:ln>
            <a:noFill/>
          </a:ln>
          <a:extLst>
            <a:ext uri="{91240B29-F687-4F45-9708-019B960494DF}">
              <a14:hiddenLine xmlns:a14="http://schemas.microsoft.com/office/drawing/2010/main" w="12700" cap="rnd">
                <a:solidFill>
                  <a:srgbClr val="000000"/>
                </a:solidFill>
                <a:prstDash val="sysDot"/>
                <a:miter lim="800000"/>
                <a:headEnd/>
                <a:tailEnd/>
              </a14:hiddenLine>
            </a:ext>
          </a:extLst>
        </xdr:spPr>
        <xdr:txBody>
          <a:bodyPr wrap="square"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5" name="Rectangle 16">
            <a:extLst>
              <a:ext uri="{FF2B5EF4-FFF2-40B4-BE49-F238E27FC236}">
                <a16:creationId xmlns:a16="http://schemas.microsoft.com/office/drawing/2014/main" id="{00000000-0008-0000-0000-000005000000}"/>
              </a:ext>
            </a:extLst>
          </xdr:cNvPr>
          <xdr:cNvSpPr>
            <a:spLocks noChangeArrowheads="1"/>
          </xdr:cNvSpPr>
        </xdr:nvSpPr>
        <xdr:spPr bwMode="auto">
          <a:xfrm rot="5393061">
            <a:off x="-95" y="916"/>
            <a:ext cx="819" cy="234"/>
          </a:xfrm>
          <a:prstGeom prst="rect">
            <a:avLst/>
          </a:prstGeom>
          <a:solidFill>
            <a:srgbClr val="FFFF00"/>
          </a:solidFill>
          <a:ln>
            <a:noFill/>
          </a:ln>
          <a:extLst>
            <a:ext uri="{91240B29-F687-4F45-9708-019B960494DF}">
              <a14:hiddenLine xmlns:a14="http://schemas.microsoft.com/office/drawing/2010/main" w="12700" cap="rnd">
                <a:solidFill>
                  <a:srgbClr val="000000"/>
                </a:solidFill>
                <a:prstDash val="sysDot"/>
                <a:miter lim="800000"/>
                <a:headEnd/>
                <a:tailEnd/>
              </a14:hiddenLine>
            </a:ext>
          </a:extLst>
        </xdr:spPr>
        <xdr:txBody>
          <a:bodyPr wrap="square"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grpSp>
    <xdr:clientData/>
  </xdr:twoCellAnchor>
  <xdr:twoCellAnchor>
    <xdr:from>
      <xdr:col>0</xdr:col>
      <xdr:colOff>217488</xdr:colOff>
      <xdr:row>4</xdr:row>
      <xdr:rowOff>127000</xdr:rowOff>
    </xdr:from>
    <xdr:to>
      <xdr:col>11</xdr:col>
      <xdr:colOff>598714</xdr:colOff>
      <xdr:row>8</xdr:row>
      <xdr:rowOff>122464</xdr:rowOff>
    </xdr:to>
    <xdr:sp macro="" textlink="">
      <xdr:nvSpPr>
        <xdr:cNvPr id="6" name="Rectangle 17">
          <a:extLst>
            <a:ext uri="{FF2B5EF4-FFF2-40B4-BE49-F238E27FC236}">
              <a16:creationId xmlns:a16="http://schemas.microsoft.com/office/drawing/2014/main" id="{00000000-0008-0000-0000-000006000000}"/>
            </a:ext>
          </a:extLst>
        </xdr:cNvPr>
        <xdr:cNvSpPr>
          <a:spLocks noChangeArrowheads="1"/>
        </xdr:cNvSpPr>
      </xdr:nvSpPr>
      <xdr:spPr bwMode="auto">
        <a:xfrm>
          <a:off x="217488" y="889000"/>
          <a:ext cx="6772501" cy="757464"/>
        </a:xfrm>
        <a:prstGeom prst="rect">
          <a:avLst/>
        </a:prstGeom>
        <a:solidFill>
          <a:srgbClr val="002060"/>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defTabSz="988538">
            <a:defRPr/>
          </a:pPr>
          <a:r>
            <a:rPr lang="pt-PT" sz="2100" b="1" i="1">
              <a:solidFill>
                <a:schemeClr val="bg1"/>
              </a:solidFill>
              <a:effectLst>
                <a:outerShdw blurRad="38100" dist="38100" dir="2700000" algn="tl">
                  <a:srgbClr val="000000"/>
                </a:outerShdw>
              </a:effectLst>
              <a:latin typeface="Arial" panose="020B0604020202020204" pitchFamily="34" charset="0"/>
              <a:cs typeface="Arial" panose="020B0604020202020204" pitchFamily="34" charset="0"/>
            </a:rPr>
            <a:t>Dashboard / Excel Interativo</a:t>
          </a:r>
        </a:p>
        <a:p>
          <a:pPr marL="0" marR="0" lvl="0" indent="0" algn="l" defTabSz="988538" rtl="0" eaLnBrk="0" fontAlgn="base" latinLnBrk="0" hangingPunct="0">
            <a:lnSpc>
              <a:spcPct val="100000"/>
            </a:lnSpc>
            <a:spcBef>
              <a:spcPct val="0"/>
            </a:spcBef>
            <a:spcAft>
              <a:spcPct val="0"/>
            </a:spcAft>
            <a:buClrTx/>
            <a:buSzTx/>
            <a:buFontTx/>
            <a:buNone/>
            <a:tabLst/>
            <a:defRPr/>
          </a:pPr>
          <a:r>
            <a:rPr lang="pt-PT" sz="2500" b="1" i="1" kern="1200">
              <a:solidFill>
                <a:schemeClr val="bg1"/>
              </a:solidFill>
              <a:effectLst>
                <a:outerShdw blurRad="38100" dist="38100" dir="2700000" algn="tl" rotWithShape="0">
                  <a:srgbClr val="000000"/>
                </a:outerShdw>
              </a:effectLst>
              <a:latin typeface="Arial" panose="020B0604020202020204" pitchFamily="34" charset="0"/>
              <a:ea typeface="+mn-ea"/>
              <a:cs typeface="Arial" panose="020B0604020202020204" pitchFamily="34" charset="0"/>
            </a:rPr>
            <a:t>	   </a:t>
          </a:r>
          <a:r>
            <a:rPr lang="pt-PT" sz="2100" b="1" i="1" kern="1200">
              <a:solidFill>
                <a:schemeClr val="bg1"/>
              </a:solidFill>
              <a:effectLst>
                <a:outerShdw blurRad="38100" dist="38100" dir="2700000" algn="tl" rotWithShape="0">
                  <a:srgbClr val="000000"/>
                </a:outerShdw>
              </a:effectLst>
              <a:latin typeface="Arial" panose="020B0604020202020204" pitchFamily="34" charset="0"/>
              <a:ea typeface="+mn-ea"/>
              <a:cs typeface="Arial" panose="020B0604020202020204" pitchFamily="34" charset="0"/>
            </a:rPr>
            <a:t>Séries Cronológicas:</a:t>
          </a:r>
          <a:endParaRPr lang="pt-PT" sz="2100" i="1">
            <a:solidFill>
              <a:schemeClr val="bg1"/>
            </a:solidFill>
            <a:effectLst/>
            <a:latin typeface="Arial" panose="020B0604020202020204" pitchFamily="34" charset="0"/>
            <a:cs typeface="Arial" panose="020B0604020202020204" pitchFamily="34" charset="0"/>
          </a:endParaRPr>
        </a:p>
      </xdr:txBody>
    </xdr:sp>
    <xdr:clientData/>
  </xdr:twoCellAnchor>
  <xdr:twoCellAnchor>
    <xdr:from>
      <xdr:col>9</xdr:col>
      <xdr:colOff>198438</xdr:colOff>
      <xdr:row>5</xdr:row>
      <xdr:rowOff>114300</xdr:rowOff>
    </xdr:from>
    <xdr:to>
      <xdr:col>9</xdr:col>
      <xdr:colOff>419100</xdr:colOff>
      <xdr:row>10</xdr:row>
      <xdr:rowOff>142875</xdr:rowOff>
    </xdr:to>
    <xdr:sp macro="" textlink="">
      <xdr:nvSpPr>
        <xdr:cNvPr id="7" name="Rectangle 19">
          <a:extLst>
            <a:ext uri="{FF2B5EF4-FFF2-40B4-BE49-F238E27FC236}">
              <a16:creationId xmlns:a16="http://schemas.microsoft.com/office/drawing/2014/main" id="{00000000-0008-0000-0000-000007000000}"/>
            </a:ext>
          </a:extLst>
        </xdr:cNvPr>
        <xdr:cNvSpPr>
          <a:spLocks noChangeArrowheads="1"/>
        </xdr:cNvSpPr>
      </xdr:nvSpPr>
      <xdr:spPr bwMode="auto">
        <a:xfrm>
          <a:off x="5427663" y="1066800"/>
          <a:ext cx="220662" cy="981075"/>
        </a:xfrm>
        <a:prstGeom prst="rect">
          <a:avLst/>
        </a:prstGeom>
        <a:solidFill>
          <a:srgbClr val="FFFF00"/>
        </a:solidFill>
        <a:ln>
          <a:noFill/>
        </a:ln>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8</xdr:col>
      <xdr:colOff>387350</xdr:colOff>
      <xdr:row>5</xdr:row>
      <xdr:rowOff>114300</xdr:rowOff>
    </xdr:from>
    <xdr:to>
      <xdr:col>11</xdr:col>
      <xdr:colOff>157163</xdr:colOff>
      <xdr:row>5</xdr:row>
      <xdr:rowOff>115888</xdr:rowOff>
    </xdr:to>
    <xdr:sp macro="" textlink="">
      <xdr:nvSpPr>
        <xdr:cNvPr id="8" name="Line 21">
          <a:extLst>
            <a:ext uri="{FF2B5EF4-FFF2-40B4-BE49-F238E27FC236}">
              <a16:creationId xmlns:a16="http://schemas.microsoft.com/office/drawing/2014/main" id="{00000000-0008-0000-0000-000008000000}"/>
            </a:ext>
          </a:extLst>
        </xdr:cNvPr>
        <xdr:cNvSpPr>
          <a:spLocks noChangeShapeType="1"/>
        </xdr:cNvSpPr>
      </xdr:nvSpPr>
      <xdr:spPr bwMode="auto">
        <a:xfrm>
          <a:off x="5035550" y="1066800"/>
          <a:ext cx="1512888" cy="1588"/>
        </a:xfrm>
        <a:prstGeom prst="line">
          <a:avLst/>
        </a:prstGeom>
        <a:noFill/>
        <a:ln w="28575">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3</xdr:col>
      <xdr:colOff>398463</xdr:colOff>
      <xdr:row>10</xdr:row>
      <xdr:rowOff>142875</xdr:rowOff>
    </xdr:from>
    <xdr:to>
      <xdr:col>9</xdr:col>
      <xdr:colOff>417513</xdr:colOff>
      <xdr:row>10</xdr:row>
      <xdr:rowOff>142875</xdr:rowOff>
    </xdr:to>
    <xdr:sp macro="" textlink="">
      <xdr:nvSpPr>
        <xdr:cNvPr id="9" name="Line 22">
          <a:extLst>
            <a:ext uri="{FF2B5EF4-FFF2-40B4-BE49-F238E27FC236}">
              <a16:creationId xmlns:a16="http://schemas.microsoft.com/office/drawing/2014/main" id="{00000000-0008-0000-0000-000009000000}"/>
            </a:ext>
          </a:extLst>
        </xdr:cNvPr>
        <xdr:cNvSpPr>
          <a:spLocks noChangeShapeType="1"/>
        </xdr:cNvSpPr>
      </xdr:nvSpPr>
      <xdr:spPr bwMode="auto">
        <a:xfrm>
          <a:off x="2141538" y="2047875"/>
          <a:ext cx="3505200" cy="0"/>
        </a:xfrm>
        <a:prstGeom prst="line">
          <a:avLst/>
        </a:prstGeom>
        <a:noFill/>
        <a:ln w="28575">
          <a:solidFill>
            <a:srgbClr val="FFFF00"/>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6</xdr:col>
      <xdr:colOff>428625</xdr:colOff>
      <xdr:row>10</xdr:row>
      <xdr:rowOff>163513</xdr:rowOff>
    </xdr:from>
    <xdr:to>
      <xdr:col>9</xdr:col>
      <xdr:colOff>168275</xdr:colOff>
      <xdr:row>12</xdr:row>
      <xdr:rowOff>147835</xdr:rowOff>
    </xdr:to>
    <xdr:sp macro="" textlink="">
      <xdr:nvSpPr>
        <xdr:cNvPr id="10" name="Text Box 26">
          <a:extLst>
            <a:ext uri="{FF2B5EF4-FFF2-40B4-BE49-F238E27FC236}">
              <a16:creationId xmlns:a16="http://schemas.microsoft.com/office/drawing/2014/main" id="{00000000-0008-0000-0000-00000A000000}"/>
            </a:ext>
          </a:extLst>
        </xdr:cNvPr>
        <xdr:cNvSpPr txBox="1">
          <a:spLocks noChangeArrowheads="1"/>
        </xdr:cNvSpPr>
      </xdr:nvSpPr>
      <xdr:spPr bwMode="auto">
        <a:xfrm>
          <a:off x="7885339" y="1977799"/>
          <a:ext cx="3468007" cy="347179"/>
        </a:xfrm>
        <a:prstGeom prst="rect">
          <a:avLst/>
        </a:prstGeom>
        <a:noFill/>
        <a:ln>
          <a:noFill/>
        </a:ln>
        <a:effectLst>
          <a:outerShdw dist="563972" dir="14049741" sx="125000" sy="125000" algn="tl" rotWithShape="0">
            <a:srgbClr val="C7DFD3"/>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9050">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r"/>
          <a:r>
            <a:rPr lang="pt-PT" altLang="pt-PT" sz="1700" b="1">
              <a:solidFill>
                <a:schemeClr val="bg1"/>
              </a:solidFill>
              <a:latin typeface="Arial" charset="0"/>
            </a:rPr>
            <a:t>2014 - 2024</a:t>
          </a:r>
        </a:p>
      </xdr:txBody>
    </xdr:sp>
    <xdr:clientData/>
  </xdr:twoCellAnchor>
  <xdr:twoCellAnchor>
    <xdr:from>
      <xdr:col>0</xdr:col>
      <xdr:colOff>152400</xdr:colOff>
      <xdr:row>56</xdr:row>
      <xdr:rowOff>1212850</xdr:rowOff>
    </xdr:from>
    <xdr:to>
      <xdr:col>11</xdr:col>
      <xdr:colOff>639763</xdr:colOff>
      <xdr:row>56</xdr:row>
      <xdr:rowOff>1536820</xdr:rowOff>
    </xdr:to>
    <xdr:sp macro="" textlink="">
      <xdr:nvSpPr>
        <xdr:cNvPr id="11" name="Rectangle 28">
          <a:extLst>
            <a:ext uri="{FF2B5EF4-FFF2-40B4-BE49-F238E27FC236}">
              <a16:creationId xmlns:a16="http://schemas.microsoft.com/office/drawing/2014/main" id="{00000000-0008-0000-0000-00000B000000}"/>
            </a:ext>
          </a:extLst>
        </xdr:cNvPr>
        <xdr:cNvSpPr>
          <a:spLocks noChangeArrowheads="1"/>
        </xdr:cNvSpPr>
      </xdr:nvSpPr>
      <xdr:spPr bwMode="auto">
        <a:xfrm>
          <a:off x="152400" y="9747250"/>
          <a:ext cx="13269913" cy="323970"/>
        </a:xfrm>
        <a:prstGeom prst="rect">
          <a:avLst/>
        </a:prstGeom>
        <a:noFill/>
        <a:ln>
          <a:noFill/>
        </a:ln>
        <a:effectLst>
          <a:outerShdw dist="563972" dir="14049741" sx="125000" sy="125000" algn="tl" rotWithShape="0">
            <a:srgbClr val="C7DFD3"/>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9050">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altLang="pt-PT" sz="800" b="1">
              <a:solidFill>
                <a:schemeClr val="bg1"/>
              </a:solidFill>
              <a:latin typeface="Arial" charset="0"/>
            </a:rPr>
            <a:t>Direção-Geral de Coordenação e Planeamento (DGCP)</a:t>
          </a:r>
        </a:p>
        <a:p>
          <a:r>
            <a:rPr lang="pt-PT" altLang="pt-PT" sz="700">
              <a:solidFill>
                <a:schemeClr val="bg1"/>
              </a:solidFill>
              <a:latin typeface="Arial" charset="0"/>
            </a:rPr>
            <a:t>MINISTÉRIO DO TRABALHO, SOLIDARIEDADE E SEGURANÇA SOCIAL (MTSSS)</a:t>
          </a:r>
        </a:p>
      </xdr:txBody>
    </xdr:sp>
    <xdr:clientData/>
  </xdr:twoCellAnchor>
  <xdr:twoCellAnchor>
    <xdr:from>
      <xdr:col>4</xdr:col>
      <xdr:colOff>165100</xdr:colOff>
      <xdr:row>8</xdr:row>
      <xdr:rowOff>114300</xdr:rowOff>
    </xdr:from>
    <xdr:to>
      <xdr:col>9</xdr:col>
      <xdr:colOff>257175</xdr:colOff>
      <xdr:row>11</xdr:row>
      <xdr:rowOff>62564</xdr:rowOff>
    </xdr:to>
    <xdr:sp macro="" textlink="">
      <xdr:nvSpPr>
        <xdr:cNvPr id="12" name="Text Box 24">
          <a:extLst>
            <a:ext uri="{FF2B5EF4-FFF2-40B4-BE49-F238E27FC236}">
              <a16:creationId xmlns:a16="http://schemas.microsoft.com/office/drawing/2014/main" id="{00000000-0008-0000-0000-00000C000000}"/>
            </a:ext>
          </a:extLst>
        </xdr:cNvPr>
        <xdr:cNvSpPr txBox="1">
          <a:spLocks noChangeArrowheads="1"/>
        </xdr:cNvSpPr>
      </xdr:nvSpPr>
      <xdr:spPr bwMode="auto">
        <a:xfrm>
          <a:off x="4914900" y="1333500"/>
          <a:ext cx="6029325" cy="40546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9050">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altLang="pt-PT" sz="2100" b="1">
              <a:solidFill>
                <a:srgbClr val="FFFFFF"/>
              </a:solidFill>
              <a:latin typeface="Arial Narrow" pitchFamily="34" charset="0"/>
            </a:rPr>
            <a:t>QUADROS</a:t>
          </a:r>
          <a:r>
            <a:rPr lang="pt-PT" altLang="pt-PT" sz="2100" b="1" baseline="0">
              <a:solidFill>
                <a:srgbClr val="FFFFFF"/>
              </a:solidFill>
              <a:latin typeface="Arial Narrow" pitchFamily="34" charset="0"/>
            </a:rPr>
            <a:t> DE PESSOAL</a:t>
          </a:r>
          <a:endParaRPr lang="pt-PT" altLang="pt-PT" sz="2100" b="1">
            <a:solidFill>
              <a:srgbClr val="FFFFFF"/>
            </a:solidFill>
            <a:latin typeface="Arial Narrow" pitchFamily="34" charset="0"/>
          </a:endParaRPr>
        </a:p>
      </xdr:txBody>
    </xdr:sp>
    <xdr:clientData/>
  </xdr:twoCellAnchor>
  <xdr:twoCellAnchor>
    <xdr:from>
      <xdr:col>6</xdr:col>
      <xdr:colOff>508000</xdr:colOff>
      <xdr:row>0</xdr:row>
      <xdr:rowOff>136551</xdr:rowOff>
    </xdr:from>
    <xdr:to>
      <xdr:col>10</xdr:col>
      <xdr:colOff>307975</xdr:colOff>
      <xdr:row>0</xdr:row>
      <xdr:rowOff>136551</xdr:rowOff>
    </xdr:to>
    <xdr:sp macro="" textlink="">
      <xdr:nvSpPr>
        <xdr:cNvPr id="13" name="Line 18">
          <a:extLst>
            <a:ext uri="{FF2B5EF4-FFF2-40B4-BE49-F238E27FC236}">
              <a16:creationId xmlns:a16="http://schemas.microsoft.com/office/drawing/2014/main" id="{00000000-0008-0000-0000-00000D000000}"/>
            </a:ext>
          </a:extLst>
        </xdr:cNvPr>
        <xdr:cNvSpPr>
          <a:spLocks noChangeShapeType="1"/>
        </xdr:cNvSpPr>
      </xdr:nvSpPr>
      <xdr:spPr bwMode="auto">
        <a:xfrm>
          <a:off x="3994150" y="136551"/>
          <a:ext cx="2124075" cy="0"/>
        </a:xfrm>
        <a:prstGeom prst="line">
          <a:avLst/>
        </a:prstGeom>
        <a:noFill/>
        <a:ln w="25400">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203200</xdr:colOff>
      <xdr:row>0</xdr:row>
      <xdr:rowOff>26</xdr:rowOff>
    </xdr:from>
    <xdr:to>
      <xdr:col>9</xdr:col>
      <xdr:colOff>219075</xdr:colOff>
      <xdr:row>12</xdr:row>
      <xdr:rowOff>157189</xdr:rowOff>
    </xdr:to>
    <xdr:sp macro="" textlink="">
      <xdr:nvSpPr>
        <xdr:cNvPr id="14" name="Line 20">
          <a:extLst>
            <a:ext uri="{FF2B5EF4-FFF2-40B4-BE49-F238E27FC236}">
              <a16:creationId xmlns:a16="http://schemas.microsoft.com/office/drawing/2014/main" id="{00000000-0008-0000-0000-00000E000000}"/>
            </a:ext>
          </a:extLst>
        </xdr:cNvPr>
        <xdr:cNvSpPr>
          <a:spLocks noChangeShapeType="1"/>
        </xdr:cNvSpPr>
      </xdr:nvSpPr>
      <xdr:spPr bwMode="auto">
        <a:xfrm rot="5421033" flipH="1">
          <a:off x="4218781" y="1213670"/>
          <a:ext cx="2443163" cy="15875"/>
        </a:xfrm>
        <a:prstGeom prst="line">
          <a:avLst/>
        </a:prstGeom>
        <a:noFill/>
        <a:ln w="2857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418182</xdr:colOff>
      <xdr:row>2</xdr:row>
      <xdr:rowOff>28608</xdr:rowOff>
    </xdr:from>
    <xdr:to>
      <xdr:col>9</xdr:col>
      <xdr:colOff>438053</xdr:colOff>
      <xdr:row>13</xdr:row>
      <xdr:rowOff>47617</xdr:rowOff>
    </xdr:to>
    <xdr:sp macro="" textlink="">
      <xdr:nvSpPr>
        <xdr:cNvPr id="15" name="Line 23">
          <a:extLst>
            <a:ext uri="{FF2B5EF4-FFF2-40B4-BE49-F238E27FC236}">
              <a16:creationId xmlns:a16="http://schemas.microsoft.com/office/drawing/2014/main" id="{00000000-0008-0000-0000-00000F000000}"/>
            </a:ext>
          </a:extLst>
        </xdr:cNvPr>
        <xdr:cNvSpPr>
          <a:spLocks noChangeShapeType="1"/>
        </xdr:cNvSpPr>
      </xdr:nvSpPr>
      <xdr:spPr bwMode="auto">
        <a:xfrm rot="5397016">
          <a:off x="4600088" y="1456927"/>
          <a:ext cx="2114509" cy="19871"/>
        </a:xfrm>
        <a:prstGeom prst="line">
          <a:avLst/>
        </a:prstGeom>
        <a:noFill/>
        <a:ln w="1460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0</xdr:col>
      <xdr:colOff>28575</xdr:colOff>
      <xdr:row>13</xdr:row>
      <xdr:rowOff>9524</xdr:rowOff>
    </xdr:from>
    <xdr:to>
      <xdr:col>11</xdr:col>
      <xdr:colOff>752475</xdr:colOff>
      <xdr:row>17</xdr:row>
      <xdr:rowOff>47924</xdr:rowOff>
    </xdr:to>
    <xdr:sp macro="" textlink="">
      <xdr:nvSpPr>
        <xdr:cNvPr id="16" name="Rectangle 3">
          <a:extLst>
            <a:ext uri="{FF2B5EF4-FFF2-40B4-BE49-F238E27FC236}">
              <a16:creationId xmlns:a16="http://schemas.microsoft.com/office/drawing/2014/main" id="{00000000-0008-0000-0000-000010000000}"/>
            </a:ext>
          </a:extLst>
        </xdr:cNvPr>
        <xdr:cNvSpPr>
          <a:spLocks noChangeArrowheads="1"/>
        </xdr:cNvSpPr>
      </xdr:nvSpPr>
      <xdr:spPr bwMode="auto">
        <a:xfrm>
          <a:off x="28575" y="1990724"/>
          <a:ext cx="13785850" cy="648000"/>
        </a:xfrm>
        <a:prstGeom prst="rect">
          <a:avLst/>
        </a:prstGeom>
        <a:solidFill>
          <a:srgbClr val="FFFF00"/>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rgbClr val="00467A"/>
            </a:solidFill>
            <a:effectLst>
              <a:outerShdw blurRad="38100" dist="38100" dir="2700000" algn="tl">
                <a:srgbClr val="000000"/>
              </a:outerShdw>
            </a:effectLst>
            <a:latin typeface="Arial" charset="0"/>
          </a:endParaRPr>
        </a:p>
      </xdr:txBody>
    </xdr:sp>
    <xdr:clientData/>
  </xdr:twoCellAnchor>
  <xdr:twoCellAnchor>
    <xdr:from>
      <xdr:col>2</xdr:col>
      <xdr:colOff>1136651</xdr:colOff>
      <xdr:row>12</xdr:row>
      <xdr:rowOff>139701</xdr:rowOff>
    </xdr:from>
    <xdr:to>
      <xdr:col>5</xdr:col>
      <xdr:colOff>266701</xdr:colOff>
      <xdr:row>18</xdr:row>
      <xdr:rowOff>25400</xdr:rowOff>
    </xdr:to>
    <xdr:sp macro="" textlink="">
      <xdr:nvSpPr>
        <xdr:cNvPr id="17" name="Text Box 10">
          <a:extLst>
            <a:ext uri="{FF2B5EF4-FFF2-40B4-BE49-F238E27FC236}">
              <a16:creationId xmlns:a16="http://schemas.microsoft.com/office/drawing/2014/main" id="{00000000-0008-0000-0000-000011000000}"/>
            </a:ext>
          </a:extLst>
        </xdr:cNvPr>
        <xdr:cNvSpPr txBox="1">
          <a:spLocks noChangeArrowheads="1"/>
        </xdr:cNvSpPr>
      </xdr:nvSpPr>
      <xdr:spPr bwMode="auto">
        <a:xfrm>
          <a:off x="3511551" y="1968501"/>
          <a:ext cx="2692400" cy="800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lvl="0" indent="0" algn="l" rtl="0" eaLnBrk="0" fontAlgn="base" hangingPunct="0">
            <a:spcBef>
              <a:spcPct val="50000"/>
            </a:spcBef>
            <a:spcAft>
              <a:spcPct val="0"/>
            </a:spcAft>
          </a:pPr>
          <a:r>
            <a:rPr lang="pt-PT" sz="1500" b="1" kern="1200">
              <a:solidFill>
                <a:srgbClr val="00467A"/>
              </a:solidFill>
              <a:latin typeface="+mn-lt"/>
              <a:ea typeface="+mn-ea"/>
              <a:cs typeface="+mn-cs"/>
            </a:rPr>
            <a:t>Empresas</a:t>
          </a:r>
        </a:p>
        <a:p>
          <a:pPr marL="0" lvl="0" indent="0" algn="l" rtl="0" eaLnBrk="0" fontAlgn="base" hangingPunct="0">
            <a:spcBef>
              <a:spcPct val="50000"/>
            </a:spcBef>
            <a:spcAft>
              <a:spcPct val="0"/>
            </a:spcAft>
          </a:pPr>
          <a:r>
            <a:rPr lang="pt-PT" sz="1500" b="1" kern="1200">
              <a:solidFill>
                <a:srgbClr val="00467A"/>
              </a:solidFill>
              <a:latin typeface="+mn-lt"/>
              <a:ea typeface="+mn-ea"/>
              <a:cs typeface="+mn-cs"/>
            </a:rPr>
            <a:t>Estabelecimentos</a:t>
          </a:r>
        </a:p>
        <a:p>
          <a:pPr algn="l">
            <a:spcBef>
              <a:spcPct val="50000"/>
            </a:spcBef>
          </a:pPr>
          <a:endParaRPr lang="en-US" altLang="pt-PT" sz="1500" b="1">
            <a:solidFill>
              <a:srgbClr val="00467A"/>
            </a:solidFill>
            <a:latin typeface="+mn-lt"/>
          </a:endParaRPr>
        </a:p>
      </xdr:txBody>
    </xdr:sp>
    <xdr:clientData/>
  </xdr:twoCellAnchor>
  <xdr:twoCellAnchor>
    <xdr:from>
      <xdr:col>5</xdr:col>
      <xdr:colOff>590549</xdr:colOff>
      <xdr:row>12</xdr:row>
      <xdr:rowOff>146049</xdr:rowOff>
    </xdr:from>
    <xdr:to>
      <xdr:col>7</xdr:col>
      <xdr:colOff>698500</xdr:colOff>
      <xdr:row>17</xdr:row>
      <xdr:rowOff>67538</xdr:rowOff>
    </xdr:to>
    <xdr:sp macro="" textlink="">
      <xdr:nvSpPr>
        <xdr:cNvPr id="18" name="Text Box 10">
          <a:extLst>
            <a:ext uri="{FF2B5EF4-FFF2-40B4-BE49-F238E27FC236}">
              <a16:creationId xmlns:a16="http://schemas.microsoft.com/office/drawing/2014/main" id="{00000000-0008-0000-0000-000012000000}"/>
            </a:ext>
          </a:extLst>
        </xdr:cNvPr>
        <xdr:cNvSpPr txBox="1">
          <a:spLocks noChangeArrowheads="1"/>
        </xdr:cNvSpPr>
      </xdr:nvSpPr>
      <xdr:spPr bwMode="auto">
        <a:xfrm>
          <a:off x="6527799" y="1974849"/>
          <a:ext cx="2482851" cy="683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lvl="0" indent="0" algn="l" rtl="0" eaLnBrk="0" fontAlgn="base" hangingPunct="0">
            <a:spcBef>
              <a:spcPct val="50000"/>
            </a:spcBef>
            <a:spcAft>
              <a:spcPct val="0"/>
            </a:spcAft>
          </a:pPr>
          <a:r>
            <a:rPr lang="pt-PT" sz="1500" b="1" kern="1200">
              <a:solidFill>
                <a:srgbClr val="00467A"/>
              </a:solidFill>
              <a:latin typeface="+mn-lt"/>
              <a:ea typeface="+mn-ea"/>
              <a:cs typeface="+mn-cs"/>
            </a:rPr>
            <a:t>Pessoas ao Serviço</a:t>
          </a:r>
        </a:p>
        <a:p>
          <a:pPr marL="0" lvl="0" indent="0" algn="l" rtl="0" eaLnBrk="0" fontAlgn="base" hangingPunct="0">
            <a:spcBef>
              <a:spcPct val="50000"/>
            </a:spcBef>
            <a:spcAft>
              <a:spcPct val="0"/>
            </a:spcAft>
          </a:pPr>
          <a:r>
            <a:rPr lang="pt-PT" sz="1500" b="1" kern="1200">
              <a:solidFill>
                <a:srgbClr val="00467A"/>
              </a:solidFill>
              <a:latin typeface="+mn-lt"/>
              <a:ea typeface="+mn-ea"/>
              <a:cs typeface="+mn-cs"/>
            </a:rPr>
            <a:t>TCO</a:t>
          </a:r>
        </a:p>
      </xdr:txBody>
    </xdr:sp>
    <xdr:clientData/>
  </xdr:twoCellAnchor>
  <xdr:twoCellAnchor>
    <xdr:from>
      <xdr:col>8</xdr:col>
      <xdr:colOff>88901</xdr:colOff>
      <xdr:row>13</xdr:row>
      <xdr:rowOff>6351</xdr:rowOff>
    </xdr:from>
    <xdr:to>
      <xdr:col>11</xdr:col>
      <xdr:colOff>1</xdr:colOff>
      <xdr:row>18</xdr:row>
      <xdr:rowOff>12700</xdr:rowOff>
    </xdr:to>
    <xdr:sp macro="" textlink="">
      <xdr:nvSpPr>
        <xdr:cNvPr id="19" name="Text Box 10">
          <a:extLst>
            <a:ext uri="{FF2B5EF4-FFF2-40B4-BE49-F238E27FC236}">
              <a16:creationId xmlns:a16="http://schemas.microsoft.com/office/drawing/2014/main" id="{00000000-0008-0000-0000-000013000000}"/>
            </a:ext>
          </a:extLst>
        </xdr:cNvPr>
        <xdr:cNvSpPr txBox="1">
          <a:spLocks noChangeArrowheads="1"/>
        </xdr:cNvSpPr>
      </xdr:nvSpPr>
      <xdr:spPr bwMode="auto">
        <a:xfrm>
          <a:off x="9588501" y="1987551"/>
          <a:ext cx="3473450" cy="768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lvl="0" indent="0" algn="l" rtl="0" eaLnBrk="0" fontAlgn="base" hangingPunct="0">
            <a:spcBef>
              <a:spcPct val="50000"/>
            </a:spcBef>
            <a:spcAft>
              <a:spcPct val="0"/>
            </a:spcAft>
          </a:pPr>
          <a:r>
            <a:rPr lang="pt-PT" sz="1500" b="1" kern="1200">
              <a:solidFill>
                <a:srgbClr val="00467A"/>
              </a:solidFill>
              <a:latin typeface="+mn-lt"/>
              <a:ea typeface="+mn-ea"/>
              <a:cs typeface="+mn-cs"/>
            </a:rPr>
            <a:t>Remuneração mensal base</a:t>
          </a:r>
        </a:p>
        <a:p>
          <a:pPr marL="0" lvl="0" indent="0" algn="l" rtl="0" eaLnBrk="0" fontAlgn="base" hangingPunct="0">
            <a:spcBef>
              <a:spcPct val="50000"/>
            </a:spcBef>
            <a:spcAft>
              <a:spcPct val="0"/>
            </a:spcAft>
          </a:pPr>
          <a:r>
            <a:rPr lang="pt-PT" sz="1500" b="1" kern="1200">
              <a:solidFill>
                <a:srgbClr val="00467A"/>
              </a:solidFill>
              <a:latin typeface="+mn-lt"/>
              <a:ea typeface="+mn-ea"/>
              <a:cs typeface="+mn-cs"/>
            </a:rPr>
            <a:t>Remuneração mensal ganho</a:t>
          </a:r>
        </a:p>
        <a:p>
          <a:pPr algn="l">
            <a:spcBef>
              <a:spcPct val="50000"/>
            </a:spcBef>
          </a:pPr>
          <a:endParaRPr lang="en-US" altLang="pt-PT" sz="1500" b="1">
            <a:solidFill>
              <a:srgbClr val="00467A"/>
            </a:solidFill>
            <a:latin typeface="+mn-lt"/>
          </a:endParaRPr>
        </a:p>
      </xdr:txBody>
    </xdr:sp>
    <xdr:clientData/>
  </xdr:twoCellAnchor>
  <xdr:twoCellAnchor>
    <xdr:from>
      <xdr:col>0</xdr:col>
      <xdr:colOff>57151</xdr:colOff>
      <xdr:row>13</xdr:row>
      <xdr:rowOff>38101</xdr:rowOff>
    </xdr:from>
    <xdr:to>
      <xdr:col>2</xdr:col>
      <xdr:colOff>939801</xdr:colOff>
      <xdr:row>15</xdr:row>
      <xdr:rowOff>95227</xdr:rowOff>
    </xdr:to>
    <xdr:sp macro="" textlink="">
      <xdr:nvSpPr>
        <xdr:cNvPr id="20" name="Text Box 10">
          <a:extLst>
            <a:ext uri="{FF2B5EF4-FFF2-40B4-BE49-F238E27FC236}">
              <a16:creationId xmlns:a16="http://schemas.microsoft.com/office/drawing/2014/main" id="{00000000-0008-0000-0000-000014000000}"/>
            </a:ext>
          </a:extLst>
        </xdr:cNvPr>
        <xdr:cNvSpPr txBox="1">
          <a:spLocks noChangeArrowheads="1"/>
        </xdr:cNvSpPr>
      </xdr:nvSpPr>
      <xdr:spPr bwMode="auto">
        <a:xfrm>
          <a:off x="57151" y="2019301"/>
          <a:ext cx="3257550" cy="361926"/>
        </a:xfrm>
        <a:prstGeom prst="rect">
          <a:avLst/>
        </a:prstGeom>
        <a:noFill/>
        <a:ln w="28575">
          <a:noFill/>
          <a:miter lim="800000"/>
          <a:headEnd/>
          <a:tailEnd/>
        </a:ln>
        <a:extLst>
          <a:ext uri="{909E8E84-426E-40DD-AFC4-6F175D3DCCD1}">
            <a14:hiddenFill xmlns:a14="http://schemas.microsoft.com/office/drawing/2010/main">
              <a:solidFill>
                <a:srgbClr val="FFFFFF"/>
              </a:solidFill>
            </a14:hiddenFill>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800" b="1" u="sng">
              <a:solidFill>
                <a:srgbClr val="00467A"/>
              </a:solidFill>
              <a:latin typeface="Arial" charset="0"/>
            </a:rPr>
            <a:t>Variáveis:</a:t>
          </a:r>
        </a:p>
      </xdr:txBody>
    </xdr:sp>
    <xdr:clientData/>
  </xdr:twoCellAnchor>
  <xdr:twoCellAnchor>
    <xdr:from>
      <xdr:col>0</xdr:col>
      <xdr:colOff>44450</xdr:colOff>
      <xdr:row>22</xdr:row>
      <xdr:rowOff>92754</xdr:rowOff>
    </xdr:from>
    <xdr:to>
      <xdr:col>10</xdr:col>
      <xdr:colOff>552450</xdr:colOff>
      <xdr:row>26</xdr:row>
      <xdr:rowOff>139143</xdr:rowOff>
    </xdr:to>
    <xdr:grpSp>
      <xdr:nvGrpSpPr>
        <xdr:cNvPr id="29" name="Agrupar 28">
          <a:extLst>
            <a:ext uri="{FF2B5EF4-FFF2-40B4-BE49-F238E27FC236}">
              <a16:creationId xmlns:a16="http://schemas.microsoft.com/office/drawing/2014/main" id="{00000000-0008-0000-0000-00001D000000}"/>
            </a:ext>
          </a:extLst>
        </xdr:cNvPr>
        <xdr:cNvGrpSpPr/>
      </xdr:nvGrpSpPr>
      <xdr:grpSpPr>
        <a:xfrm>
          <a:off x="44450" y="3445554"/>
          <a:ext cx="11842750" cy="655989"/>
          <a:chOff x="87368" y="4457925"/>
          <a:chExt cx="6359071" cy="968963"/>
        </a:xfrm>
      </xdr:grpSpPr>
      <xdr:grpSp>
        <xdr:nvGrpSpPr>
          <xdr:cNvPr id="30" name="Agrupar 29">
            <a:extLst>
              <a:ext uri="{FF2B5EF4-FFF2-40B4-BE49-F238E27FC236}">
                <a16:creationId xmlns:a16="http://schemas.microsoft.com/office/drawing/2014/main" id="{00000000-0008-0000-0000-00001E000000}"/>
              </a:ext>
            </a:extLst>
          </xdr:cNvPr>
          <xdr:cNvGrpSpPr/>
        </xdr:nvGrpSpPr>
        <xdr:grpSpPr>
          <a:xfrm>
            <a:off x="87368" y="4457925"/>
            <a:ext cx="6359071" cy="968963"/>
            <a:chOff x="87368" y="4457925"/>
            <a:chExt cx="6359071" cy="968963"/>
          </a:xfrm>
        </xdr:grpSpPr>
        <xdr:sp macro="" textlink="">
          <xdr:nvSpPr>
            <xdr:cNvPr id="32" name="Rectangle 2">
              <a:extLst>
                <a:ext uri="{FF2B5EF4-FFF2-40B4-BE49-F238E27FC236}">
                  <a16:creationId xmlns:a16="http://schemas.microsoft.com/office/drawing/2014/main" id="{00000000-0008-0000-0000-000020000000}"/>
                </a:ext>
              </a:extLst>
            </xdr:cNvPr>
            <xdr:cNvSpPr>
              <a:spLocks noChangeArrowheads="1"/>
            </xdr:cNvSpPr>
          </xdr:nvSpPr>
          <xdr:spPr bwMode="auto">
            <a:xfrm>
              <a:off x="87368" y="4619850"/>
              <a:ext cx="6359071" cy="735012"/>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33" name="Rectangle 3">
              <a:hlinkClick xmlns:r="http://schemas.openxmlformats.org/officeDocument/2006/relationships" r:id="rId1"/>
              <a:extLst>
                <a:ext uri="{FF2B5EF4-FFF2-40B4-BE49-F238E27FC236}">
                  <a16:creationId xmlns:a16="http://schemas.microsoft.com/office/drawing/2014/main" id="{00000000-0008-0000-0000-000021000000}"/>
                </a:ext>
              </a:extLst>
            </xdr:cNvPr>
            <xdr:cNvSpPr>
              <a:spLocks noChangeArrowheads="1"/>
            </xdr:cNvSpPr>
          </xdr:nvSpPr>
          <xdr:spPr bwMode="auto">
            <a:xfrm>
              <a:off x="112384" y="4457925"/>
              <a:ext cx="3301093" cy="728662"/>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34" name="Text Box 10">
              <a:hlinkClick xmlns:r="http://schemas.openxmlformats.org/officeDocument/2006/relationships" r:id="rId1" tooltip="Estrutura Empresarial"/>
              <a:extLst>
                <a:ext uri="{FF2B5EF4-FFF2-40B4-BE49-F238E27FC236}">
                  <a16:creationId xmlns:a16="http://schemas.microsoft.com/office/drawing/2014/main" id="{00000000-0008-0000-0000-000022000000}"/>
                </a:ext>
              </a:extLst>
            </xdr:cNvPr>
            <xdr:cNvSpPr txBox="1">
              <a:spLocks noChangeArrowheads="1"/>
            </xdr:cNvSpPr>
          </xdr:nvSpPr>
          <xdr:spPr bwMode="auto">
            <a:xfrm>
              <a:off x="156925" y="4562993"/>
              <a:ext cx="2459492" cy="46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Estrutura</a:t>
              </a:r>
              <a:r>
                <a:rPr lang="en-US" altLang="pt-PT" sz="1500" b="1" baseline="0">
                  <a:solidFill>
                    <a:srgbClr val="00467A"/>
                  </a:solidFill>
                  <a:latin typeface="Arial" charset="0"/>
                </a:rPr>
                <a:t> Empresarial</a:t>
              </a:r>
              <a:endParaRPr lang="en-US" altLang="pt-PT" sz="1500" b="1">
                <a:solidFill>
                  <a:srgbClr val="00467A"/>
                </a:solidFill>
                <a:latin typeface="Arial" charset="0"/>
              </a:endParaRPr>
            </a:p>
          </xdr:txBody>
        </xdr:sp>
        <xdr:sp macro="" textlink="">
          <xdr:nvSpPr>
            <xdr:cNvPr id="35" name="CaixaDeTexto 34">
              <a:extLst>
                <a:ext uri="{FF2B5EF4-FFF2-40B4-BE49-F238E27FC236}">
                  <a16:creationId xmlns:a16="http://schemas.microsoft.com/office/drawing/2014/main" id="{00000000-0008-0000-0000-000023000000}"/>
                </a:ext>
              </a:extLst>
            </xdr:cNvPr>
            <xdr:cNvSpPr txBox="1"/>
          </xdr:nvSpPr>
          <xdr:spPr>
            <a:xfrm>
              <a:off x="3484249" y="4531959"/>
              <a:ext cx="1937617" cy="89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050" b="1" u="sng">
                  <a:solidFill>
                    <a:schemeClr val="bg1"/>
                  </a:solidFill>
                </a:rPr>
                <a:t>Variáveis</a:t>
              </a:r>
              <a:r>
                <a:rPr lang="pt-PT" sz="1050" b="1" u="none">
                  <a:solidFill>
                    <a:schemeClr val="bg1"/>
                  </a:solidFill>
                </a:rPr>
                <a:t> p</a:t>
              </a:r>
              <a:r>
                <a:rPr lang="pt-PT" sz="1050" b="1">
                  <a:solidFill>
                    <a:schemeClr val="bg1"/>
                  </a:solidFill>
                </a:rPr>
                <a:t>or:</a:t>
              </a:r>
            </a:p>
            <a:p>
              <a:r>
                <a:rPr lang="pt-PT" sz="1000">
                  <a:solidFill>
                    <a:schemeClr val="bg1"/>
                  </a:solidFill>
                </a:rPr>
                <a:t>- Atividade económica da empresa/ estabelecimento</a:t>
              </a:r>
            </a:p>
            <a:p>
              <a:r>
                <a:rPr lang="pt-PT" sz="1000">
                  <a:solidFill>
                    <a:schemeClr val="bg1"/>
                  </a:solidFill>
                </a:rPr>
                <a:t>- Dimensão da empresa</a:t>
              </a:r>
              <a:r>
                <a:rPr lang="pt-PT" sz="1000" baseline="0">
                  <a:solidFill>
                    <a:schemeClr val="bg1"/>
                  </a:solidFill>
                </a:rPr>
                <a:t>/</a:t>
              </a:r>
              <a:r>
                <a:rPr lang="pt-PT" sz="1000">
                  <a:solidFill>
                    <a:schemeClr val="bg1"/>
                  </a:solidFill>
                  <a:latin typeface="+mn-lt"/>
                  <a:ea typeface="+mn-ea"/>
                  <a:cs typeface="+mn-cs"/>
                </a:rPr>
                <a:t>estabelecimento</a:t>
              </a:r>
            </a:p>
          </xdr:txBody>
        </xdr:sp>
      </xdr:grpSp>
      <xdr:sp macro="" textlink="">
        <xdr:nvSpPr>
          <xdr:cNvPr id="31" name="WordArt 4">
            <a:extLst>
              <a:ext uri="{FF2B5EF4-FFF2-40B4-BE49-F238E27FC236}">
                <a16:creationId xmlns:a16="http://schemas.microsoft.com/office/drawing/2014/main" id="{00000000-0008-0000-0000-00001F000000}"/>
              </a:ext>
            </a:extLst>
          </xdr:cNvPr>
          <xdr:cNvSpPr>
            <a:spLocks noChangeArrowheads="1" noChangeShapeType="1" noTextEdit="1"/>
          </xdr:cNvSpPr>
        </xdr:nvSpPr>
        <xdr:spPr bwMode="auto">
          <a:xfrm>
            <a:off x="6076950" y="4762046"/>
            <a:ext cx="55464" cy="478581"/>
          </a:xfrm>
          <a:prstGeom prst="rect">
            <a:avLst/>
          </a:prstGeom>
          <a:solidFill>
            <a:srgbClr val="FFFFFF"/>
          </a:solidFill>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grpSp>
    <xdr:clientData/>
  </xdr:twoCellAnchor>
  <xdr:twoCellAnchor>
    <xdr:from>
      <xdr:col>0</xdr:col>
      <xdr:colOff>69850</xdr:colOff>
      <xdr:row>45</xdr:row>
      <xdr:rowOff>146945</xdr:rowOff>
    </xdr:from>
    <xdr:to>
      <xdr:col>10</xdr:col>
      <xdr:colOff>576400</xdr:colOff>
      <xdr:row>50</xdr:row>
      <xdr:rowOff>87445</xdr:rowOff>
    </xdr:to>
    <xdr:grpSp>
      <xdr:nvGrpSpPr>
        <xdr:cNvPr id="36" name="Agrupar 35">
          <a:extLst>
            <a:ext uri="{FF2B5EF4-FFF2-40B4-BE49-F238E27FC236}">
              <a16:creationId xmlns:a16="http://schemas.microsoft.com/office/drawing/2014/main" id="{00000000-0008-0000-0000-000024000000}"/>
            </a:ext>
          </a:extLst>
        </xdr:cNvPr>
        <xdr:cNvGrpSpPr/>
      </xdr:nvGrpSpPr>
      <xdr:grpSpPr>
        <a:xfrm>
          <a:off x="69850" y="7004945"/>
          <a:ext cx="11841300" cy="702500"/>
          <a:chOff x="29714" y="7603029"/>
          <a:chExt cx="6361601" cy="1089141"/>
        </a:xfrm>
      </xdr:grpSpPr>
      <xdr:sp macro="" textlink="">
        <xdr:nvSpPr>
          <xdr:cNvPr id="37" name="Rectangle 8">
            <a:extLst>
              <a:ext uri="{FF2B5EF4-FFF2-40B4-BE49-F238E27FC236}">
                <a16:creationId xmlns:a16="http://schemas.microsoft.com/office/drawing/2014/main" id="{00000000-0008-0000-0000-000025000000}"/>
              </a:ext>
            </a:extLst>
          </xdr:cNvPr>
          <xdr:cNvSpPr>
            <a:spLocks noChangeArrowheads="1"/>
          </xdr:cNvSpPr>
        </xdr:nvSpPr>
        <xdr:spPr bwMode="auto">
          <a:xfrm>
            <a:off x="32244" y="7737477"/>
            <a:ext cx="6359071" cy="836791"/>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38" name="Rectangle 9">
            <a:hlinkClick xmlns:r="http://schemas.openxmlformats.org/officeDocument/2006/relationships" r:id="rId2"/>
            <a:extLst>
              <a:ext uri="{FF2B5EF4-FFF2-40B4-BE49-F238E27FC236}">
                <a16:creationId xmlns:a16="http://schemas.microsoft.com/office/drawing/2014/main" id="{00000000-0008-0000-0000-000026000000}"/>
              </a:ext>
            </a:extLst>
          </xdr:cNvPr>
          <xdr:cNvSpPr>
            <a:spLocks noChangeArrowheads="1"/>
          </xdr:cNvSpPr>
        </xdr:nvSpPr>
        <xdr:spPr bwMode="auto">
          <a:xfrm>
            <a:off x="57593" y="7603029"/>
            <a:ext cx="3301093" cy="722312"/>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39" name="CaixaDeTexto 38">
            <a:extLst>
              <a:ext uri="{FF2B5EF4-FFF2-40B4-BE49-F238E27FC236}">
                <a16:creationId xmlns:a16="http://schemas.microsoft.com/office/drawing/2014/main" id="{00000000-0008-0000-0000-000027000000}"/>
              </a:ext>
            </a:extLst>
          </xdr:cNvPr>
          <xdr:cNvSpPr txBox="1"/>
        </xdr:nvSpPr>
        <xdr:spPr>
          <a:xfrm>
            <a:off x="3450279" y="7673677"/>
            <a:ext cx="2104686" cy="101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050" b="1" u="sng">
                <a:solidFill>
                  <a:schemeClr val="bg1"/>
                </a:solidFill>
              </a:rPr>
              <a:t>Variáveis</a:t>
            </a:r>
            <a:r>
              <a:rPr lang="pt-PT" sz="1050" b="1" u="none">
                <a:solidFill>
                  <a:schemeClr val="bg1"/>
                </a:solidFill>
              </a:rPr>
              <a:t> p</a:t>
            </a:r>
            <a:r>
              <a:rPr lang="pt-PT" sz="1050" b="1">
                <a:solidFill>
                  <a:schemeClr val="bg1"/>
                </a:solidFill>
              </a:rPr>
              <a:t>or:</a:t>
            </a:r>
          </a:p>
          <a:p>
            <a:pPr lvl="0"/>
            <a:r>
              <a:rPr lang="pt-PT" sz="1000" u="none">
                <a:solidFill>
                  <a:schemeClr val="bg1"/>
                </a:solidFill>
                <a:effectLst/>
                <a:latin typeface="+mn-lt"/>
                <a:ea typeface="+mn-ea"/>
                <a:cs typeface="+mn-cs"/>
              </a:rPr>
              <a:t>- Grupo Etário e Sexo</a:t>
            </a:r>
          </a:p>
          <a:p>
            <a:pPr lvl="0"/>
            <a:r>
              <a:rPr lang="pt-PT" sz="1000" u="none">
                <a:solidFill>
                  <a:schemeClr val="bg1"/>
                </a:solidFill>
                <a:effectLst/>
                <a:latin typeface="+mn-lt"/>
                <a:ea typeface="+mn-ea"/>
                <a:cs typeface="+mn-cs"/>
              </a:rPr>
              <a:t>-</a:t>
            </a:r>
            <a:r>
              <a:rPr lang="pt-PT" sz="1000" u="none" baseline="0">
                <a:solidFill>
                  <a:schemeClr val="bg1"/>
                </a:solidFill>
                <a:effectLst/>
                <a:latin typeface="+mn-lt"/>
                <a:ea typeface="+mn-ea"/>
                <a:cs typeface="+mn-cs"/>
              </a:rPr>
              <a:t> </a:t>
            </a:r>
            <a:r>
              <a:rPr lang="pt-PT" sz="1000" u="none">
                <a:solidFill>
                  <a:schemeClr val="bg1"/>
                </a:solidFill>
                <a:effectLst/>
                <a:latin typeface="+mn-lt"/>
                <a:ea typeface="+mn-ea"/>
                <a:cs typeface="+mn-cs"/>
              </a:rPr>
              <a:t>Nível de Habilitação </a:t>
            </a:r>
          </a:p>
        </xdr:txBody>
      </xdr:sp>
      <xdr:sp macro="" textlink="">
        <xdr:nvSpPr>
          <xdr:cNvPr id="40" name="Text Box 12">
            <a:hlinkClick xmlns:r="http://schemas.openxmlformats.org/officeDocument/2006/relationships" r:id="rId2" tooltip="Características dos Trabalhadores por Conta de Outrem (TCO)"/>
            <a:extLst>
              <a:ext uri="{FF2B5EF4-FFF2-40B4-BE49-F238E27FC236}">
                <a16:creationId xmlns:a16="http://schemas.microsoft.com/office/drawing/2014/main" id="{00000000-0008-0000-0000-000028000000}"/>
              </a:ext>
            </a:extLst>
          </xdr:cNvPr>
          <xdr:cNvSpPr txBox="1">
            <a:spLocks noChangeArrowheads="1"/>
          </xdr:cNvSpPr>
        </xdr:nvSpPr>
        <xdr:spPr bwMode="auto">
          <a:xfrm>
            <a:off x="29714" y="7637015"/>
            <a:ext cx="3169418" cy="623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Características dos Trabalhadores</a:t>
            </a:r>
            <a:r>
              <a:rPr lang="en-US" altLang="pt-PT" sz="1500" b="1" baseline="0">
                <a:solidFill>
                  <a:srgbClr val="00467A"/>
                </a:solidFill>
                <a:latin typeface="Arial" charset="0"/>
              </a:rPr>
              <a:t> por Conta de Outrem (TCO)_1</a:t>
            </a:r>
            <a:endParaRPr lang="en-US" altLang="pt-PT" sz="1500" b="1">
              <a:solidFill>
                <a:srgbClr val="00467A"/>
              </a:solidFill>
              <a:latin typeface="Arial" charset="0"/>
            </a:endParaRPr>
          </a:p>
        </xdr:txBody>
      </xdr:sp>
      <xdr:sp macro="" textlink="">
        <xdr:nvSpPr>
          <xdr:cNvPr id="41" name="WordArt 37">
            <a:extLst>
              <a:ext uri="{FF2B5EF4-FFF2-40B4-BE49-F238E27FC236}">
                <a16:creationId xmlns:a16="http://schemas.microsoft.com/office/drawing/2014/main" id="{00000000-0008-0000-0000-000029000000}"/>
              </a:ext>
            </a:extLst>
          </xdr:cNvPr>
          <xdr:cNvSpPr>
            <a:spLocks noChangeArrowheads="1" noChangeShapeType="1" noTextEdit="1"/>
          </xdr:cNvSpPr>
        </xdr:nvSpPr>
        <xdr:spPr bwMode="auto">
          <a:xfrm>
            <a:off x="5923565" y="7878534"/>
            <a:ext cx="203472" cy="502323"/>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solidFill>
                  <a:schemeClr val="bg1"/>
                </a:solidFill>
                <a:latin typeface="Arial Black"/>
              </a:rPr>
              <a:t>VI</a:t>
            </a:r>
          </a:p>
        </xdr:txBody>
      </xdr:sp>
    </xdr:grpSp>
    <xdr:clientData/>
  </xdr:twoCellAnchor>
  <xdr:twoCellAnchor>
    <xdr:from>
      <xdr:col>0</xdr:col>
      <xdr:colOff>103411</xdr:colOff>
      <xdr:row>56</xdr:row>
      <xdr:rowOff>599149</xdr:rowOff>
    </xdr:from>
    <xdr:to>
      <xdr:col>10</xdr:col>
      <xdr:colOff>611411</xdr:colOff>
      <xdr:row>56</xdr:row>
      <xdr:rowOff>1339390</xdr:rowOff>
    </xdr:to>
    <xdr:grpSp>
      <xdr:nvGrpSpPr>
        <xdr:cNvPr id="42" name="Agrupar 41">
          <a:extLst>
            <a:ext uri="{FF2B5EF4-FFF2-40B4-BE49-F238E27FC236}">
              <a16:creationId xmlns:a16="http://schemas.microsoft.com/office/drawing/2014/main" id="{00000000-0008-0000-0000-00002A000000}"/>
            </a:ext>
          </a:extLst>
        </xdr:cNvPr>
        <xdr:cNvGrpSpPr/>
      </xdr:nvGrpSpPr>
      <xdr:grpSpPr>
        <a:xfrm>
          <a:off x="103411" y="9133549"/>
          <a:ext cx="11842750" cy="740241"/>
          <a:chOff x="78831" y="8761440"/>
          <a:chExt cx="6359071" cy="938562"/>
        </a:xfrm>
      </xdr:grpSpPr>
      <xdr:sp macro="" textlink="">
        <xdr:nvSpPr>
          <xdr:cNvPr id="43" name="Rectangle 8">
            <a:extLst>
              <a:ext uri="{FF2B5EF4-FFF2-40B4-BE49-F238E27FC236}">
                <a16:creationId xmlns:a16="http://schemas.microsoft.com/office/drawing/2014/main" id="{00000000-0008-0000-0000-00002B000000}"/>
              </a:ext>
            </a:extLst>
          </xdr:cNvPr>
          <xdr:cNvSpPr>
            <a:spLocks noChangeArrowheads="1"/>
          </xdr:cNvSpPr>
        </xdr:nvSpPr>
        <xdr:spPr bwMode="auto">
          <a:xfrm>
            <a:off x="78831" y="8801547"/>
            <a:ext cx="6359071" cy="735013"/>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44" name="Rectangle 9">
            <a:hlinkClick xmlns:r="http://schemas.openxmlformats.org/officeDocument/2006/relationships" r:id="rId3"/>
            <a:extLst>
              <a:ext uri="{FF2B5EF4-FFF2-40B4-BE49-F238E27FC236}">
                <a16:creationId xmlns:a16="http://schemas.microsoft.com/office/drawing/2014/main" id="{00000000-0008-0000-0000-00002C000000}"/>
              </a:ext>
            </a:extLst>
          </xdr:cNvPr>
          <xdr:cNvSpPr>
            <a:spLocks noChangeArrowheads="1"/>
          </xdr:cNvSpPr>
        </xdr:nvSpPr>
        <xdr:spPr bwMode="auto">
          <a:xfrm>
            <a:off x="105779" y="8761440"/>
            <a:ext cx="3301093" cy="547739"/>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45" name="CaixaDeTexto 44">
            <a:extLst>
              <a:ext uri="{FF2B5EF4-FFF2-40B4-BE49-F238E27FC236}">
                <a16:creationId xmlns:a16="http://schemas.microsoft.com/office/drawing/2014/main" id="{00000000-0008-0000-0000-00002D000000}"/>
              </a:ext>
            </a:extLst>
          </xdr:cNvPr>
          <xdr:cNvSpPr txBox="1"/>
        </xdr:nvSpPr>
        <xdr:spPr>
          <a:xfrm>
            <a:off x="3413466" y="8813179"/>
            <a:ext cx="1937617" cy="886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pt-PT" sz="1000" u="none">
                <a:solidFill>
                  <a:schemeClr val="bg1"/>
                </a:solidFill>
                <a:effectLst/>
                <a:latin typeface="+mn-lt"/>
                <a:ea typeface="+mn-ea"/>
                <a:cs typeface="+mn-cs"/>
              </a:rPr>
              <a:t>- TCO por escalões de remuneração</a:t>
            </a:r>
          </a:p>
          <a:p>
            <a:pPr lvl="0"/>
            <a:r>
              <a:rPr lang="pt-PT" sz="1000" u="none">
                <a:solidFill>
                  <a:schemeClr val="bg1"/>
                </a:solidFill>
                <a:effectLst/>
                <a:latin typeface="+mn-lt"/>
                <a:ea typeface="+mn-ea"/>
                <a:cs typeface="+mn-cs"/>
              </a:rPr>
              <a:t>- </a:t>
            </a:r>
            <a:r>
              <a:rPr lang="pt-PT" sz="1000" u="none" baseline="0">
                <a:solidFill>
                  <a:schemeClr val="bg1"/>
                </a:solidFill>
                <a:effectLst/>
                <a:latin typeface="+mn-lt"/>
                <a:ea typeface="+mn-ea"/>
                <a:cs typeface="+mn-cs"/>
              </a:rPr>
              <a:t> Medidas de localização</a:t>
            </a:r>
            <a:endParaRPr lang="pt-PT" sz="1000" u="none">
              <a:solidFill>
                <a:schemeClr val="bg1"/>
              </a:solidFill>
              <a:effectLst/>
              <a:latin typeface="+mn-lt"/>
              <a:ea typeface="+mn-ea"/>
              <a:cs typeface="+mn-cs"/>
            </a:endParaRPr>
          </a:p>
          <a:p>
            <a:pPr lvl="0"/>
            <a:r>
              <a:rPr lang="pt-PT" sz="1000" u="none">
                <a:solidFill>
                  <a:schemeClr val="bg1"/>
                </a:solidFill>
                <a:effectLst/>
                <a:latin typeface="+mn-lt"/>
                <a:ea typeface="+mn-ea"/>
                <a:cs typeface="+mn-cs"/>
              </a:rPr>
              <a:t>- TCO abrangidos e remunerações médias por tipo de IRCT</a:t>
            </a:r>
          </a:p>
        </xdr:txBody>
      </xdr:sp>
      <xdr:sp macro="" textlink="">
        <xdr:nvSpPr>
          <xdr:cNvPr id="46" name="Text Box 12">
            <a:hlinkClick xmlns:r="http://schemas.openxmlformats.org/officeDocument/2006/relationships" r:id="rId3" tooltip="Desigualdade e Contratação Coletiva"/>
            <a:extLst>
              <a:ext uri="{FF2B5EF4-FFF2-40B4-BE49-F238E27FC236}">
                <a16:creationId xmlns:a16="http://schemas.microsoft.com/office/drawing/2014/main" id="{00000000-0008-0000-0000-00002E000000}"/>
              </a:ext>
            </a:extLst>
          </xdr:cNvPr>
          <xdr:cNvSpPr txBox="1">
            <a:spLocks noChangeArrowheads="1"/>
          </xdr:cNvSpPr>
        </xdr:nvSpPr>
        <xdr:spPr bwMode="auto">
          <a:xfrm>
            <a:off x="85445" y="8825760"/>
            <a:ext cx="2459492" cy="31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Desigualdade e Contratação Coletiva</a:t>
            </a:r>
          </a:p>
        </xdr:txBody>
      </xdr:sp>
      <xdr:sp macro="" textlink="">
        <xdr:nvSpPr>
          <xdr:cNvPr id="47" name="WordArt 41">
            <a:extLst>
              <a:ext uri="{FF2B5EF4-FFF2-40B4-BE49-F238E27FC236}">
                <a16:creationId xmlns:a16="http://schemas.microsoft.com/office/drawing/2014/main" id="{00000000-0008-0000-0000-00002F000000}"/>
              </a:ext>
            </a:extLst>
          </xdr:cNvPr>
          <xdr:cNvSpPr>
            <a:spLocks noChangeArrowheads="1" noChangeShapeType="1" noTextEdit="1"/>
          </xdr:cNvSpPr>
        </xdr:nvSpPr>
        <xdr:spPr bwMode="auto">
          <a:xfrm>
            <a:off x="5996779" y="8934337"/>
            <a:ext cx="203367" cy="410804"/>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solidFill>
                  <a:schemeClr val="bg1"/>
                </a:solidFill>
                <a:latin typeface="Arial Black"/>
              </a:rPr>
              <a:t>IX</a:t>
            </a:r>
          </a:p>
        </xdr:txBody>
      </xdr:sp>
    </xdr:grpSp>
    <xdr:clientData/>
  </xdr:twoCellAnchor>
  <xdr:twoCellAnchor>
    <xdr:from>
      <xdr:col>0</xdr:col>
      <xdr:colOff>57150</xdr:colOff>
      <xdr:row>18</xdr:row>
      <xdr:rowOff>66446</xdr:rowOff>
    </xdr:from>
    <xdr:to>
      <xdr:col>10</xdr:col>
      <xdr:colOff>565150</xdr:colOff>
      <xdr:row>21</xdr:row>
      <xdr:rowOff>113246</xdr:rowOff>
    </xdr:to>
    <xdr:grpSp>
      <xdr:nvGrpSpPr>
        <xdr:cNvPr id="56" name="Agrupar 55">
          <a:extLst>
            <a:ext uri="{FF2B5EF4-FFF2-40B4-BE49-F238E27FC236}">
              <a16:creationId xmlns:a16="http://schemas.microsoft.com/office/drawing/2014/main" id="{00000000-0008-0000-0000-000038000000}"/>
            </a:ext>
          </a:extLst>
        </xdr:cNvPr>
        <xdr:cNvGrpSpPr/>
      </xdr:nvGrpSpPr>
      <xdr:grpSpPr>
        <a:xfrm>
          <a:off x="57150" y="2809646"/>
          <a:ext cx="11842750" cy="504000"/>
          <a:chOff x="104886" y="4457925"/>
          <a:chExt cx="6359071" cy="896937"/>
        </a:xfrm>
      </xdr:grpSpPr>
      <xdr:sp macro="" textlink="">
        <xdr:nvSpPr>
          <xdr:cNvPr id="57" name="Rectangle 2">
            <a:extLst>
              <a:ext uri="{FF2B5EF4-FFF2-40B4-BE49-F238E27FC236}">
                <a16:creationId xmlns:a16="http://schemas.microsoft.com/office/drawing/2014/main" id="{00000000-0008-0000-0000-000039000000}"/>
              </a:ext>
            </a:extLst>
          </xdr:cNvPr>
          <xdr:cNvSpPr>
            <a:spLocks noChangeArrowheads="1"/>
          </xdr:cNvSpPr>
        </xdr:nvSpPr>
        <xdr:spPr bwMode="auto">
          <a:xfrm>
            <a:off x="104886" y="4619850"/>
            <a:ext cx="6359071" cy="735012"/>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58" name="Rectangle 3">
            <a:hlinkClick xmlns:r="http://schemas.openxmlformats.org/officeDocument/2006/relationships" r:id="rId4"/>
            <a:extLst>
              <a:ext uri="{FF2B5EF4-FFF2-40B4-BE49-F238E27FC236}">
                <a16:creationId xmlns:a16="http://schemas.microsoft.com/office/drawing/2014/main" id="{00000000-0008-0000-0000-00003A000000}"/>
              </a:ext>
            </a:extLst>
          </xdr:cNvPr>
          <xdr:cNvSpPr>
            <a:spLocks noChangeArrowheads="1"/>
          </xdr:cNvSpPr>
        </xdr:nvSpPr>
        <xdr:spPr bwMode="auto">
          <a:xfrm>
            <a:off x="121143" y="4457925"/>
            <a:ext cx="3301093" cy="728662"/>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59" name="Text Box 10">
            <a:hlinkClick xmlns:r="http://schemas.openxmlformats.org/officeDocument/2006/relationships" r:id="rId4" tooltip="Introdução e Metainformação"/>
            <a:extLst>
              <a:ext uri="{FF2B5EF4-FFF2-40B4-BE49-F238E27FC236}">
                <a16:creationId xmlns:a16="http://schemas.microsoft.com/office/drawing/2014/main" id="{00000000-0008-0000-0000-00003B000000}"/>
              </a:ext>
            </a:extLst>
          </xdr:cNvPr>
          <xdr:cNvSpPr txBox="1">
            <a:spLocks noChangeArrowheads="1"/>
          </xdr:cNvSpPr>
        </xdr:nvSpPr>
        <xdr:spPr bwMode="auto">
          <a:xfrm>
            <a:off x="151785" y="4533584"/>
            <a:ext cx="2459492" cy="472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Introdução e Metainformação</a:t>
            </a:r>
          </a:p>
        </xdr:txBody>
      </xdr:sp>
    </xdr:grpSp>
    <xdr:clientData/>
  </xdr:twoCellAnchor>
  <xdr:twoCellAnchor>
    <xdr:from>
      <xdr:col>0</xdr:col>
      <xdr:colOff>66675</xdr:colOff>
      <xdr:row>50</xdr:row>
      <xdr:rowOff>130179</xdr:rowOff>
    </xdr:from>
    <xdr:to>
      <xdr:col>10</xdr:col>
      <xdr:colOff>573225</xdr:colOff>
      <xdr:row>55</xdr:row>
      <xdr:rowOff>58525</xdr:rowOff>
    </xdr:to>
    <xdr:grpSp>
      <xdr:nvGrpSpPr>
        <xdr:cNvPr id="67" name="Agrupar 66">
          <a:extLst>
            <a:ext uri="{FF2B5EF4-FFF2-40B4-BE49-F238E27FC236}">
              <a16:creationId xmlns:a16="http://schemas.microsoft.com/office/drawing/2014/main" id="{00000000-0008-0000-0000-000043000000}"/>
            </a:ext>
          </a:extLst>
        </xdr:cNvPr>
        <xdr:cNvGrpSpPr/>
      </xdr:nvGrpSpPr>
      <xdr:grpSpPr>
        <a:xfrm>
          <a:off x="66675" y="7750179"/>
          <a:ext cx="11841300" cy="690346"/>
          <a:chOff x="29714" y="7602677"/>
          <a:chExt cx="6361601" cy="1089493"/>
        </a:xfrm>
      </xdr:grpSpPr>
      <xdr:sp macro="" textlink="">
        <xdr:nvSpPr>
          <xdr:cNvPr id="70" name="Rectangle 8">
            <a:extLst>
              <a:ext uri="{FF2B5EF4-FFF2-40B4-BE49-F238E27FC236}">
                <a16:creationId xmlns:a16="http://schemas.microsoft.com/office/drawing/2014/main" id="{00000000-0008-0000-0000-000046000000}"/>
              </a:ext>
            </a:extLst>
          </xdr:cNvPr>
          <xdr:cNvSpPr>
            <a:spLocks noChangeArrowheads="1"/>
          </xdr:cNvSpPr>
        </xdr:nvSpPr>
        <xdr:spPr bwMode="auto">
          <a:xfrm>
            <a:off x="32244" y="7737477"/>
            <a:ext cx="6359071" cy="836791"/>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71" name="Rectangle 9">
            <a:hlinkClick xmlns:r="http://schemas.openxmlformats.org/officeDocument/2006/relationships" r:id="rId5"/>
            <a:extLst>
              <a:ext uri="{FF2B5EF4-FFF2-40B4-BE49-F238E27FC236}">
                <a16:creationId xmlns:a16="http://schemas.microsoft.com/office/drawing/2014/main" id="{00000000-0008-0000-0000-000047000000}"/>
              </a:ext>
            </a:extLst>
          </xdr:cNvPr>
          <xdr:cNvSpPr>
            <a:spLocks noChangeArrowheads="1"/>
          </xdr:cNvSpPr>
        </xdr:nvSpPr>
        <xdr:spPr bwMode="auto">
          <a:xfrm>
            <a:off x="60856" y="7602677"/>
            <a:ext cx="3301093" cy="722311"/>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72" name="CaixaDeTexto 71">
            <a:extLst>
              <a:ext uri="{FF2B5EF4-FFF2-40B4-BE49-F238E27FC236}">
                <a16:creationId xmlns:a16="http://schemas.microsoft.com/office/drawing/2014/main" id="{00000000-0008-0000-0000-000048000000}"/>
              </a:ext>
            </a:extLst>
          </xdr:cNvPr>
          <xdr:cNvSpPr txBox="1"/>
        </xdr:nvSpPr>
        <xdr:spPr>
          <a:xfrm>
            <a:off x="3450279" y="7673677"/>
            <a:ext cx="2104686" cy="101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050" b="1" u="sng">
                <a:solidFill>
                  <a:schemeClr val="bg1"/>
                </a:solidFill>
              </a:rPr>
              <a:t>Variáveis</a:t>
            </a:r>
            <a:r>
              <a:rPr lang="pt-PT" sz="1050" b="1" u="none">
                <a:solidFill>
                  <a:schemeClr val="bg1"/>
                </a:solidFill>
              </a:rPr>
              <a:t> p</a:t>
            </a:r>
            <a:r>
              <a:rPr lang="pt-PT" sz="1050" b="1">
                <a:solidFill>
                  <a:schemeClr val="bg1"/>
                </a:solidFill>
              </a:rPr>
              <a:t>or:</a:t>
            </a:r>
          </a:p>
          <a:p>
            <a:pPr lvl="0"/>
            <a:r>
              <a:rPr lang="pt-PT" sz="1000" u="none">
                <a:solidFill>
                  <a:schemeClr val="bg1"/>
                </a:solidFill>
                <a:effectLst/>
                <a:latin typeface="+mn-lt"/>
                <a:ea typeface="+mn-ea"/>
                <a:cs typeface="+mn-cs"/>
              </a:rPr>
              <a:t>-</a:t>
            </a:r>
            <a:r>
              <a:rPr lang="pt-PT" sz="1000" u="none" baseline="0">
                <a:solidFill>
                  <a:schemeClr val="bg1"/>
                </a:solidFill>
                <a:effectLst/>
                <a:latin typeface="+mn-lt"/>
                <a:ea typeface="+mn-ea"/>
                <a:cs typeface="+mn-cs"/>
              </a:rPr>
              <a:t> </a:t>
            </a:r>
            <a:r>
              <a:rPr lang="pt-PT" sz="1000" u="none">
                <a:solidFill>
                  <a:schemeClr val="bg1"/>
                </a:solidFill>
                <a:effectLst/>
                <a:latin typeface="+mn-lt"/>
                <a:ea typeface="+mn-ea"/>
                <a:cs typeface="+mn-cs"/>
              </a:rPr>
              <a:t>Nível de Qualificação e Sexo</a:t>
            </a:r>
          </a:p>
          <a:p>
            <a:pPr lvl="0"/>
            <a:r>
              <a:rPr lang="pt-PT" sz="1000" u="none">
                <a:solidFill>
                  <a:schemeClr val="bg1"/>
                </a:solidFill>
                <a:effectLst/>
                <a:latin typeface="+mn-lt"/>
                <a:ea typeface="+mn-ea"/>
                <a:cs typeface="+mn-cs"/>
              </a:rPr>
              <a:t>- Profissão</a:t>
            </a:r>
          </a:p>
        </xdr:txBody>
      </xdr:sp>
      <xdr:sp macro="" textlink="">
        <xdr:nvSpPr>
          <xdr:cNvPr id="73" name="Text Box 12">
            <a:hlinkClick xmlns:r="http://schemas.openxmlformats.org/officeDocument/2006/relationships" r:id="rId5" tooltip="Características dos Trabalhadores por Conta de Outrem (TCO)"/>
            <a:extLst>
              <a:ext uri="{FF2B5EF4-FFF2-40B4-BE49-F238E27FC236}">
                <a16:creationId xmlns:a16="http://schemas.microsoft.com/office/drawing/2014/main" id="{00000000-0008-0000-0000-000049000000}"/>
              </a:ext>
            </a:extLst>
          </xdr:cNvPr>
          <xdr:cNvSpPr txBox="1">
            <a:spLocks noChangeArrowheads="1"/>
          </xdr:cNvSpPr>
        </xdr:nvSpPr>
        <xdr:spPr bwMode="auto">
          <a:xfrm>
            <a:off x="29714" y="7637015"/>
            <a:ext cx="3169418" cy="623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Características dos Trabalhadores</a:t>
            </a:r>
            <a:r>
              <a:rPr lang="en-US" altLang="pt-PT" sz="1500" b="1" baseline="0">
                <a:solidFill>
                  <a:srgbClr val="00467A"/>
                </a:solidFill>
                <a:latin typeface="Arial" charset="0"/>
              </a:rPr>
              <a:t> por Conta de Outrem (TCO)_2</a:t>
            </a:r>
            <a:endParaRPr lang="en-US" altLang="pt-PT" sz="1500" b="1">
              <a:solidFill>
                <a:srgbClr val="00467A"/>
              </a:solidFill>
              <a:latin typeface="Arial" charset="0"/>
            </a:endParaRPr>
          </a:p>
        </xdr:txBody>
      </xdr:sp>
      <xdr:sp macro="" textlink="">
        <xdr:nvSpPr>
          <xdr:cNvPr id="74" name="WordArt 37">
            <a:extLst>
              <a:ext uri="{FF2B5EF4-FFF2-40B4-BE49-F238E27FC236}">
                <a16:creationId xmlns:a16="http://schemas.microsoft.com/office/drawing/2014/main" id="{00000000-0008-0000-0000-00004A000000}"/>
              </a:ext>
            </a:extLst>
          </xdr:cNvPr>
          <xdr:cNvSpPr>
            <a:spLocks noChangeArrowheads="1" noChangeShapeType="1" noTextEdit="1"/>
          </xdr:cNvSpPr>
        </xdr:nvSpPr>
        <xdr:spPr bwMode="auto">
          <a:xfrm>
            <a:off x="5913777" y="7878535"/>
            <a:ext cx="240467" cy="511332"/>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solidFill>
                  <a:schemeClr val="bg1"/>
                </a:solidFill>
                <a:latin typeface="Arial Black"/>
              </a:rPr>
              <a:t>VII</a:t>
            </a:r>
          </a:p>
        </xdr:txBody>
      </xdr:sp>
    </xdr:grpSp>
    <xdr:clientData/>
  </xdr:twoCellAnchor>
  <xdr:twoCellAnchor>
    <xdr:from>
      <xdr:col>0</xdr:col>
      <xdr:colOff>57150</xdr:colOff>
      <xdr:row>36</xdr:row>
      <xdr:rowOff>117026</xdr:rowOff>
    </xdr:from>
    <xdr:to>
      <xdr:col>10</xdr:col>
      <xdr:colOff>565150</xdr:colOff>
      <xdr:row>40</xdr:row>
      <xdr:rowOff>66663</xdr:rowOff>
    </xdr:to>
    <xdr:grpSp>
      <xdr:nvGrpSpPr>
        <xdr:cNvPr id="68" name="Agrupar 67">
          <a:extLst>
            <a:ext uri="{FF2B5EF4-FFF2-40B4-BE49-F238E27FC236}">
              <a16:creationId xmlns:a16="http://schemas.microsoft.com/office/drawing/2014/main" id="{00000000-0008-0000-0000-000044000000}"/>
            </a:ext>
          </a:extLst>
        </xdr:cNvPr>
        <xdr:cNvGrpSpPr/>
      </xdr:nvGrpSpPr>
      <xdr:grpSpPr>
        <a:xfrm>
          <a:off x="57150" y="5603426"/>
          <a:ext cx="11842750" cy="559237"/>
          <a:chOff x="0" y="6136826"/>
          <a:chExt cx="12382500" cy="559237"/>
        </a:xfrm>
      </xdr:grpSpPr>
      <xdr:grpSp>
        <xdr:nvGrpSpPr>
          <xdr:cNvPr id="60" name="Agrupar 59">
            <a:extLst>
              <a:ext uri="{FF2B5EF4-FFF2-40B4-BE49-F238E27FC236}">
                <a16:creationId xmlns:a16="http://schemas.microsoft.com/office/drawing/2014/main" id="{00000000-0008-0000-0000-00003C000000}"/>
              </a:ext>
            </a:extLst>
          </xdr:cNvPr>
          <xdr:cNvGrpSpPr/>
        </xdr:nvGrpSpPr>
        <xdr:grpSpPr>
          <a:xfrm>
            <a:off x="0" y="6136826"/>
            <a:ext cx="12382500" cy="559237"/>
            <a:chOff x="81583" y="6572250"/>
            <a:chExt cx="6359071" cy="894023"/>
          </a:xfrm>
        </xdr:grpSpPr>
        <xdr:sp macro="" textlink="">
          <xdr:nvSpPr>
            <xdr:cNvPr id="61" name="Rectangle 8">
              <a:extLst>
                <a:ext uri="{FF2B5EF4-FFF2-40B4-BE49-F238E27FC236}">
                  <a16:creationId xmlns:a16="http://schemas.microsoft.com/office/drawing/2014/main" id="{00000000-0008-0000-0000-00003D000000}"/>
                </a:ext>
              </a:extLst>
            </xdr:cNvPr>
            <xdr:cNvSpPr>
              <a:spLocks noChangeArrowheads="1"/>
            </xdr:cNvSpPr>
          </xdr:nvSpPr>
          <xdr:spPr bwMode="auto">
            <a:xfrm>
              <a:off x="81583" y="6727825"/>
              <a:ext cx="6359071" cy="738448"/>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62" name="Rectangle 9">
              <a:hlinkClick xmlns:r="http://schemas.openxmlformats.org/officeDocument/2006/relationships" r:id="rId6"/>
              <a:extLst>
                <a:ext uri="{FF2B5EF4-FFF2-40B4-BE49-F238E27FC236}">
                  <a16:creationId xmlns:a16="http://schemas.microsoft.com/office/drawing/2014/main" id="{00000000-0008-0000-0000-00003E000000}"/>
                </a:ext>
              </a:extLst>
            </xdr:cNvPr>
            <xdr:cNvSpPr>
              <a:spLocks noChangeArrowheads="1"/>
            </xdr:cNvSpPr>
          </xdr:nvSpPr>
          <xdr:spPr bwMode="auto">
            <a:xfrm>
              <a:off x="106598" y="6572250"/>
              <a:ext cx="3301093" cy="722313"/>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63" name="Text Box 12">
              <a:hlinkClick xmlns:r="http://schemas.openxmlformats.org/officeDocument/2006/relationships" r:id="rId7" tooltip="NUTS 2024"/>
              <a:extLst>
                <a:ext uri="{FF2B5EF4-FFF2-40B4-BE49-F238E27FC236}">
                  <a16:creationId xmlns:a16="http://schemas.microsoft.com/office/drawing/2014/main" id="{00000000-0008-0000-0000-00003F000000}"/>
                </a:ext>
              </a:extLst>
            </xdr:cNvPr>
            <xdr:cNvSpPr txBox="1">
              <a:spLocks noChangeArrowheads="1"/>
            </xdr:cNvSpPr>
          </xdr:nvSpPr>
          <xdr:spPr bwMode="auto">
            <a:xfrm>
              <a:off x="121523" y="6676458"/>
              <a:ext cx="2459492" cy="450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NUTS</a:t>
              </a:r>
              <a:r>
                <a:rPr lang="en-US" altLang="pt-PT" sz="1500" b="1" baseline="0">
                  <a:solidFill>
                    <a:srgbClr val="00467A"/>
                  </a:solidFill>
                  <a:latin typeface="Arial" charset="0"/>
                </a:rPr>
                <a:t> 2024</a:t>
              </a:r>
              <a:endParaRPr lang="en-US" altLang="pt-PT" sz="1500" b="1">
                <a:solidFill>
                  <a:srgbClr val="00467A"/>
                </a:solidFill>
                <a:latin typeface="Arial" charset="0"/>
              </a:endParaRPr>
            </a:p>
          </xdr:txBody>
        </xdr:sp>
        <xdr:sp macro="" textlink="">
          <xdr:nvSpPr>
            <xdr:cNvPr id="65" name="CaixaDeTexto 64">
              <a:extLst>
                <a:ext uri="{FF2B5EF4-FFF2-40B4-BE49-F238E27FC236}">
                  <a16:creationId xmlns:a16="http://schemas.microsoft.com/office/drawing/2014/main" id="{00000000-0008-0000-0000-000041000000}"/>
                </a:ext>
              </a:extLst>
            </xdr:cNvPr>
            <xdr:cNvSpPr txBox="1"/>
          </xdr:nvSpPr>
          <xdr:spPr>
            <a:xfrm>
              <a:off x="3493865" y="6748085"/>
              <a:ext cx="1937617" cy="6875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050" b="1" u="sng">
                  <a:solidFill>
                    <a:schemeClr val="bg1"/>
                  </a:solidFill>
                </a:rPr>
                <a:t>Variáveis</a:t>
              </a:r>
              <a:r>
                <a:rPr lang="pt-PT" sz="1050" b="1" u="none">
                  <a:solidFill>
                    <a:schemeClr val="bg1"/>
                  </a:solidFill>
                </a:rPr>
                <a:t> p</a:t>
              </a:r>
              <a:r>
                <a:rPr lang="pt-PT" sz="1050" b="1">
                  <a:solidFill>
                    <a:schemeClr val="bg1"/>
                  </a:solidFill>
                </a:rPr>
                <a:t>or:</a:t>
              </a:r>
            </a:p>
            <a:p>
              <a:r>
                <a:rPr lang="pt-PT" sz="1000">
                  <a:solidFill>
                    <a:schemeClr val="bg1"/>
                  </a:solidFill>
                </a:rPr>
                <a:t>- NUTS</a:t>
              </a:r>
              <a:r>
                <a:rPr lang="pt-PT" sz="1000" baseline="0">
                  <a:solidFill>
                    <a:schemeClr val="bg1"/>
                  </a:solidFill>
                </a:rPr>
                <a:t> II e III</a:t>
              </a:r>
              <a:endParaRPr lang="pt-PT" sz="1000">
                <a:solidFill>
                  <a:schemeClr val="bg1"/>
                </a:solidFill>
              </a:endParaRPr>
            </a:p>
          </xdr:txBody>
        </xdr:sp>
      </xdr:grpSp>
      <xdr:sp macro="" textlink="">
        <xdr:nvSpPr>
          <xdr:cNvPr id="81" name="WordArt 37">
            <a:extLst>
              <a:ext uri="{FF2B5EF4-FFF2-40B4-BE49-F238E27FC236}">
                <a16:creationId xmlns:a16="http://schemas.microsoft.com/office/drawing/2014/main" id="{00000000-0008-0000-0000-000051000000}"/>
              </a:ext>
            </a:extLst>
          </xdr:cNvPr>
          <xdr:cNvSpPr>
            <a:spLocks noChangeArrowheads="1" noChangeShapeType="1" noTextEdit="1"/>
          </xdr:cNvSpPr>
        </xdr:nvSpPr>
        <xdr:spPr bwMode="auto">
          <a:xfrm>
            <a:off x="11512550" y="6311900"/>
            <a:ext cx="396000" cy="3240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solidFill>
                  <a:schemeClr val="bg1"/>
                </a:solidFill>
                <a:latin typeface="Arial Black"/>
              </a:rPr>
              <a:t>IV</a:t>
            </a:r>
          </a:p>
        </xdr:txBody>
      </xdr:sp>
    </xdr:grpSp>
    <xdr:clientData/>
  </xdr:twoCellAnchor>
  <xdr:twoCellAnchor>
    <xdr:from>
      <xdr:col>0</xdr:col>
      <xdr:colOff>63500</xdr:colOff>
      <xdr:row>32</xdr:row>
      <xdr:rowOff>39916</xdr:rowOff>
    </xdr:from>
    <xdr:to>
      <xdr:col>10</xdr:col>
      <xdr:colOff>571500</xdr:colOff>
      <xdr:row>35</xdr:row>
      <xdr:rowOff>141952</xdr:rowOff>
    </xdr:to>
    <xdr:grpSp>
      <xdr:nvGrpSpPr>
        <xdr:cNvPr id="66" name="Agrupar 65">
          <a:extLst>
            <a:ext uri="{FF2B5EF4-FFF2-40B4-BE49-F238E27FC236}">
              <a16:creationId xmlns:a16="http://schemas.microsoft.com/office/drawing/2014/main" id="{00000000-0008-0000-0000-000042000000}"/>
            </a:ext>
          </a:extLst>
        </xdr:cNvPr>
        <xdr:cNvGrpSpPr/>
      </xdr:nvGrpSpPr>
      <xdr:grpSpPr>
        <a:xfrm>
          <a:off x="63500" y="4916716"/>
          <a:ext cx="11842750" cy="559236"/>
          <a:chOff x="0" y="5456466"/>
          <a:chExt cx="12382500" cy="559236"/>
        </a:xfrm>
      </xdr:grpSpPr>
      <xdr:grpSp>
        <xdr:nvGrpSpPr>
          <xdr:cNvPr id="21" name="Agrupar 20">
            <a:extLst>
              <a:ext uri="{FF2B5EF4-FFF2-40B4-BE49-F238E27FC236}">
                <a16:creationId xmlns:a16="http://schemas.microsoft.com/office/drawing/2014/main" id="{00000000-0008-0000-0000-000015000000}"/>
              </a:ext>
            </a:extLst>
          </xdr:cNvPr>
          <xdr:cNvGrpSpPr/>
        </xdr:nvGrpSpPr>
        <xdr:grpSpPr>
          <a:xfrm>
            <a:off x="0" y="5456466"/>
            <a:ext cx="12382500" cy="559236"/>
            <a:chOff x="81583" y="6572250"/>
            <a:chExt cx="6359071" cy="894023"/>
          </a:xfrm>
        </xdr:grpSpPr>
        <xdr:sp macro="" textlink="">
          <xdr:nvSpPr>
            <xdr:cNvPr id="22" name="Rectangle 8">
              <a:extLst>
                <a:ext uri="{FF2B5EF4-FFF2-40B4-BE49-F238E27FC236}">
                  <a16:creationId xmlns:a16="http://schemas.microsoft.com/office/drawing/2014/main" id="{00000000-0008-0000-0000-000016000000}"/>
                </a:ext>
              </a:extLst>
            </xdr:cNvPr>
            <xdr:cNvSpPr>
              <a:spLocks noChangeArrowheads="1"/>
            </xdr:cNvSpPr>
          </xdr:nvSpPr>
          <xdr:spPr bwMode="auto">
            <a:xfrm>
              <a:off x="81583" y="6727825"/>
              <a:ext cx="6359071" cy="738448"/>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23" name="Rectangle 9">
              <a:hlinkClick xmlns:r="http://schemas.openxmlformats.org/officeDocument/2006/relationships" r:id="rId6"/>
              <a:extLst>
                <a:ext uri="{FF2B5EF4-FFF2-40B4-BE49-F238E27FC236}">
                  <a16:creationId xmlns:a16="http://schemas.microsoft.com/office/drawing/2014/main" id="{00000000-0008-0000-0000-000017000000}"/>
                </a:ext>
              </a:extLst>
            </xdr:cNvPr>
            <xdr:cNvSpPr>
              <a:spLocks noChangeArrowheads="1"/>
            </xdr:cNvSpPr>
          </xdr:nvSpPr>
          <xdr:spPr bwMode="auto">
            <a:xfrm>
              <a:off x="106598" y="6572250"/>
              <a:ext cx="3301093" cy="722313"/>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24" name="Text Box 12">
              <a:hlinkClick xmlns:r="http://schemas.openxmlformats.org/officeDocument/2006/relationships" r:id="rId6" tooltip="Distritos"/>
              <a:extLst>
                <a:ext uri="{FF2B5EF4-FFF2-40B4-BE49-F238E27FC236}">
                  <a16:creationId xmlns:a16="http://schemas.microsoft.com/office/drawing/2014/main" id="{00000000-0008-0000-0000-000018000000}"/>
                </a:ext>
              </a:extLst>
            </xdr:cNvPr>
            <xdr:cNvSpPr txBox="1">
              <a:spLocks noChangeArrowheads="1"/>
            </xdr:cNvSpPr>
          </xdr:nvSpPr>
          <xdr:spPr bwMode="auto">
            <a:xfrm>
              <a:off x="131716" y="6641715"/>
              <a:ext cx="2459492" cy="484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Distritos</a:t>
              </a:r>
            </a:p>
          </xdr:txBody>
        </xdr:sp>
        <xdr:sp macro="" textlink="">
          <xdr:nvSpPr>
            <xdr:cNvPr id="26" name="CaixaDeTexto 25">
              <a:extLst>
                <a:ext uri="{FF2B5EF4-FFF2-40B4-BE49-F238E27FC236}">
                  <a16:creationId xmlns:a16="http://schemas.microsoft.com/office/drawing/2014/main" id="{00000000-0008-0000-0000-00001A000000}"/>
                </a:ext>
              </a:extLst>
            </xdr:cNvPr>
            <xdr:cNvSpPr txBox="1"/>
          </xdr:nvSpPr>
          <xdr:spPr>
            <a:xfrm>
              <a:off x="3493865" y="6748087"/>
              <a:ext cx="1937617" cy="68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050" b="1" u="sng">
                  <a:solidFill>
                    <a:schemeClr val="bg1"/>
                  </a:solidFill>
                </a:rPr>
                <a:t>Variáveis</a:t>
              </a:r>
              <a:r>
                <a:rPr lang="pt-PT" sz="1050" b="1" u="none">
                  <a:solidFill>
                    <a:schemeClr val="bg1"/>
                  </a:solidFill>
                </a:rPr>
                <a:t> p</a:t>
              </a:r>
              <a:r>
                <a:rPr lang="pt-PT" sz="1050" b="1">
                  <a:solidFill>
                    <a:schemeClr val="bg1"/>
                  </a:solidFill>
                </a:rPr>
                <a:t>or:</a:t>
              </a:r>
            </a:p>
            <a:p>
              <a:r>
                <a:rPr lang="pt-PT" sz="1000">
                  <a:solidFill>
                    <a:schemeClr val="bg1"/>
                  </a:solidFill>
                </a:rPr>
                <a:t>- Distrito</a:t>
              </a:r>
            </a:p>
          </xdr:txBody>
        </xdr:sp>
      </xdr:grpSp>
      <xdr:sp macro="" textlink="">
        <xdr:nvSpPr>
          <xdr:cNvPr id="83" name="WordArt 37">
            <a:extLst>
              <a:ext uri="{FF2B5EF4-FFF2-40B4-BE49-F238E27FC236}">
                <a16:creationId xmlns:a16="http://schemas.microsoft.com/office/drawing/2014/main" id="{00000000-0008-0000-0000-000053000000}"/>
              </a:ext>
            </a:extLst>
          </xdr:cNvPr>
          <xdr:cNvSpPr>
            <a:spLocks noChangeArrowheads="1" noChangeShapeType="1" noTextEdit="1"/>
          </xdr:cNvSpPr>
        </xdr:nvSpPr>
        <xdr:spPr bwMode="auto">
          <a:xfrm>
            <a:off x="11518900" y="5613400"/>
            <a:ext cx="396000" cy="3240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solidFill>
                  <a:schemeClr val="bg1"/>
                </a:solidFill>
                <a:latin typeface="Arial Black"/>
              </a:rPr>
              <a:t>II</a:t>
            </a:r>
            <a:r>
              <a:rPr lang="pt-PT" sz="1300" b="1" kern="10" baseline="0">
                <a:ln w="9525">
                  <a:solidFill>
                    <a:schemeClr val="bg1"/>
                  </a:solidFill>
                  <a:round/>
                  <a:headEnd/>
                  <a:tailEnd/>
                </a:ln>
                <a:solidFill>
                  <a:schemeClr val="bg1"/>
                </a:solidFill>
                <a:latin typeface="Arial Black"/>
              </a:rPr>
              <a:t>I</a:t>
            </a:r>
            <a:endParaRPr lang="pt-PT" sz="1300" b="1" kern="10">
              <a:ln w="9525">
                <a:solidFill>
                  <a:schemeClr val="bg1"/>
                </a:solidFill>
                <a:round/>
                <a:headEnd/>
                <a:tailEnd/>
              </a:ln>
              <a:solidFill>
                <a:schemeClr val="bg1"/>
              </a:solidFill>
              <a:latin typeface="Arial Black"/>
            </a:endParaRPr>
          </a:p>
        </xdr:txBody>
      </xdr:sp>
    </xdr:grpSp>
    <xdr:clientData/>
  </xdr:twoCellAnchor>
  <xdr:twoCellAnchor>
    <xdr:from>
      <xdr:col>0</xdr:col>
      <xdr:colOff>58964</xdr:colOff>
      <xdr:row>27</xdr:row>
      <xdr:rowOff>92087</xdr:rowOff>
    </xdr:from>
    <xdr:to>
      <xdr:col>10</xdr:col>
      <xdr:colOff>566630</xdr:colOff>
      <xdr:row>32</xdr:row>
      <xdr:rowOff>9525</xdr:rowOff>
    </xdr:to>
    <xdr:grpSp>
      <xdr:nvGrpSpPr>
        <xdr:cNvPr id="64" name="Agrupar 63">
          <a:extLst>
            <a:ext uri="{FF2B5EF4-FFF2-40B4-BE49-F238E27FC236}">
              <a16:creationId xmlns:a16="http://schemas.microsoft.com/office/drawing/2014/main" id="{00000000-0008-0000-0000-000040000000}"/>
            </a:ext>
          </a:extLst>
        </xdr:cNvPr>
        <xdr:cNvGrpSpPr/>
      </xdr:nvGrpSpPr>
      <xdr:grpSpPr>
        <a:xfrm>
          <a:off x="58964" y="4206887"/>
          <a:ext cx="11842416" cy="679438"/>
          <a:chOff x="58964" y="4391037"/>
          <a:chExt cx="12382166" cy="679438"/>
        </a:xfrm>
      </xdr:grpSpPr>
      <xdr:grpSp>
        <xdr:nvGrpSpPr>
          <xdr:cNvPr id="49" name="Agrupar 48">
            <a:extLst>
              <a:ext uri="{FF2B5EF4-FFF2-40B4-BE49-F238E27FC236}">
                <a16:creationId xmlns:a16="http://schemas.microsoft.com/office/drawing/2014/main" id="{00000000-0008-0000-0000-000031000000}"/>
              </a:ext>
            </a:extLst>
          </xdr:cNvPr>
          <xdr:cNvGrpSpPr/>
        </xdr:nvGrpSpPr>
        <xdr:grpSpPr>
          <a:xfrm>
            <a:off x="58964" y="4391037"/>
            <a:ext cx="12382166" cy="679438"/>
            <a:chOff x="97064" y="5488668"/>
            <a:chExt cx="6338632" cy="990520"/>
          </a:xfrm>
        </xdr:grpSpPr>
        <xdr:sp macro="" textlink="">
          <xdr:nvSpPr>
            <xdr:cNvPr id="51" name="Rectangle 5">
              <a:extLst>
                <a:ext uri="{FF2B5EF4-FFF2-40B4-BE49-F238E27FC236}">
                  <a16:creationId xmlns:a16="http://schemas.microsoft.com/office/drawing/2014/main" id="{00000000-0008-0000-0000-000033000000}"/>
                </a:ext>
              </a:extLst>
            </xdr:cNvPr>
            <xdr:cNvSpPr>
              <a:spLocks noChangeArrowheads="1"/>
            </xdr:cNvSpPr>
          </xdr:nvSpPr>
          <xdr:spPr bwMode="auto">
            <a:xfrm>
              <a:off x="97064" y="5635399"/>
              <a:ext cx="6338632" cy="736599"/>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52" name="Rectangle 6">
              <a:hlinkClick xmlns:r="http://schemas.openxmlformats.org/officeDocument/2006/relationships" r:id="rId8"/>
              <a:extLst>
                <a:ext uri="{FF2B5EF4-FFF2-40B4-BE49-F238E27FC236}">
                  <a16:creationId xmlns:a16="http://schemas.microsoft.com/office/drawing/2014/main" id="{00000000-0008-0000-0000-000034000000}"/>
                </a:ext>
              </a:extLst>
            </xdr:cNvPr>
            <xdr:cNvSpPr>
              <a:spLocks noChangeArrowheads="1"/>
            </xdr:cNvSpPr>
          </xdr:nvSpPr>
          <xdr:spPr bwMode="auto">
            <a:xfrm>
              <a:off x="116313" y="5488668"/>
              <a:ext cx="3301093" cy="727075"/>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53" name="Text Box 11">
              <a:hlinkClick xmlns:r="http://schemas.openxmlformats.org/officeDocument/2006/relationships" r:id="rId8" tooltip="Estrutura Empresarial - Remunerações"/>
              <a:extLst>
                <a:ext uri="{FF2B5EF4-FFF2-40B4-BE49-F238E27FC236}">
                  <a16:creationId xmlns:a16="http://schemas.microsoft.com/office/drawing/2014/main" id="{00000000-0008-0000-0000-000035000000}"/>
                </a:ext>
              </a:extLst>
            </xdr:cNvPr>
            <xdr:cNvSpPr txBox="1">
              <a:spLocks noChangeArrowheads="1"/>
            </xdr:cNvSpPr>
          </xdr:nvSpPr>
          <xdr:spPr bwMode="auto">
            <a:xfrm>
              <a:off x="150934" y="5548873"/>
              <a:ext cx="2459492" cy="538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Estrutura Empresarial</a:t>
              </a:r>
              <a:r>
                <a:rPr lang="en-US" altLang="pt-PT" sz="1500" b="1" baseline="0">
                  <a:solidFill>
                    <a:srgbClr val="00467A"/>
                  </a:solidFill>
                  <a:latin typeface="Arial" charset="0"/>
                </a:rPr>
                <a:t> - </a:t>
              </a:r>
              <a:r>
                <a:rPr lang="en-US" altLang="pt-PT" sz="1500" b="1">
                  <a:solidFill>
                    <a:srgbClr val="00467A"/>
                  </a:solidFill>
                  <a:latin typeface="Arial" charset="0"/>
                </a:rPr>
                <a:t>Remunerações</a:t>
              </a:r>
            </a:p>
          </xdr:txBody>
        </xdr:sp>
        <xdr:sp macro="" textlink="">
          <xdr:nvSpPr>
            <xdr:cNvPr id="55" name="CaixaDeTexto 54">
              <a:extLst>
                <a:ext uri="{FF2B5EF4-FFF2-40B4-BE49-F238E27FC236}">
                  <a16:creationId xmlns:a16="http://schemas.microsoft.com/office/drawing/2014/main" id="{00000000-0008-0000-0000-000037000000}"/>
                </a:ext>
              </a:extLst>
            </xdr:cNvPr>
            <xdr:cNvSpPr txBox="1"/>
          </xdr:nvSpPr>
          <xdr:spPr>
            <a:xfrm>
              <a:off x="3481099" y="5556175"/>
              <a:ext cx="1931439" cy="923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050" b="1" u="sng">
                  <a:solidFill>
                    <a:schemeClr val="bg1"/>
                  </a:solidFill>
                </a:rPr>
                <a:t>Remunerações</a:t>
              </a:r>
              <a:r>
                <a:rPr lang="pt-PT" sz="1050" b="1" u="none">
                  <a:solidFill>
                    <a:schemeClr val="bg1"/>
                  </a:solidFill>
                </a:rPr>
                <a:t> p</a:t>
              </a:r>
              <a:r>
                <a:rPr lang="pt-PT" sz="1050" b="1">
                  <a:solidFill>
                    <a:schemeClr val="bg1"/>
                  </a:solidFill>
                </a:rPr>
                <a:t>or:</a:t>
              </a:r>
            </a:p>
            <a:p>
              <a:r>
                <a:rPr lang="pt-PT" sz="1000">
                  <a:solidFill>
                    <a:schemeClr val="bg1"/>
                  </a:solidFill>
                </a:rPr>
                <a:t>- </a:t>
              </a:r>
              <a:r>
                <a:rPr lang="pt-PT" sz="1000">
                  <a:solidFill>
                    <a:schemeClr val="bg1"/>
                  </a:solidFill>
                  <a:latin typeface="+mn-lt"/>
                  <a:ea typeface="+mn-ea"/>
                  <a:cs typeface="+mn-cs"/>
                </a:rPr>
                <a:t>Atividade económica do estabelecimento</a:t>
              </a:r>
            </a:p>
            <a:p>
              <a:r>
                <a:rPr lang="pt-PT" sz="1000">
                  <a:solidFill>
                    <a:schemeClr val="bg1"/>
                  </a:solidFill>
                  <a:latin typeface="+mn-lt"/>
                  <a:ea typeface="+mn-ea"/>
                  <a:cs typeface="+mn-cs"/>
                </a:rPr>
                <a:t>- Dimensão do estabelecimento</a:t>
              </a:r>
            </a:p>
          </xdr:txBody>
        </xdr:sp>
      </xdr:grpSp>
      <xdr:sp macro="" textlink="">
        <xdr:nvSpPr>
          <xdr:cNvPr id="84" name="WordArt 37">
            <a:extLst>
              <a:ext uri="{FF2B5EF4-FFF2-40B4-BE49-F238E27FC236}">
                <a16:creationId xmlns:a16="http://schemas.microsoft.com/office/drawing/2014/main" id="{00000000-0008-0000-0000-000054000000}"/>
              </a:ext>
            </a:extLst>
          </xdr:cNvPr>
          <xdr:cNvSpPr>
            <a:spLocks noChangeArrowheads="1" noChangeShapeType="1" noTextEdit="1"/>
          </xdr:cNvSpPr>
        </xdr:nvSpPr>
        <xdr:spPr bwMode="auto">
          <a:xfrm>
            <a:off x="11563350" y="4578350"/>
            <a:ext cx="424752" cy="3240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solidFill>
                  <a:schemeClr val="bg1"/>
                </a:solidFill>
                <a:latin typeface="Arial Black"/>
              </a:rPr>
              <a:t>I</a:t>
            </a:r>
            <a:r>
              <a:rPr lang="pt-PT" sz="1300" b="1" kern="10" baseline="0">
                <a:ln w="9525">
                  <a:solidFill>
                    <a:schemeClr val="bg1"/>
                  </a:solidFill>
                  <a:round/>
                  <a:headEnd/>
                  <a:tailEnd/>
                </a:ln>
                <a:solidFill>
                  <a:schemeClr val="bg1"/>
                </a:solidFill>
                <a:latin typeface="Arial Black"/>
              </a:rPr>
              <a:t>I</a:t>
            </a:r>
            <a:endParaRPr lang="pt-PT" sz="1300" b="1" kern="10">
              <a:ln w="9525">
                <a:solidFill>
                  <a:schemeClr val="bg1"/>
                </a:solidFill>
                <a:round/>
                <a:headEnd/>
                <a:tailEnd/>
              </a:ln>
              <a:solidFill>
                <a:schemeClr val="bg1"/>
              </a:solidFill>
              <a:latin typeface="Arial Black"/>
            </a:endParaRPr>
          </a:p>
        </xdr:txBody>
      </xdr:sp>
    </xdr:grpSp>
    <xdr:clientData/>
  </xdr:twoCellAnchor>
  <xdr:twoCellAnchor>
    <xdr:from>
      <xdr:col>0</xdr:col>
      <xdr:colOff>57150</xdr:colOff>
      <xdr:row>41</xdr:row>
      <xdr:rowOff>57150</xdr:rowOff>
    </xdr:from>
    <xdr:to>
      <xdr:col>10</xdr:col>
      <xdr:colOff>565150</xdr:colOff>
      <xdr:row>45</xdr:row>
      <xdr:rowOff>6787</xdr:rowOff>
    </xdr:to>
    <xdr:grpSp>
      <xdr:nvGrpSpPr>
        <xdr:cNvPr id="85" name="Agrupar 84">
          <a:extLst>
            <a:ext uri="{FF2B5EF4-FFF2-40B4-BE49-F238E27FC236}">
              <a16:creationId xmlns:a16="http://schemas.microsoft.com/office/drawing/2014/main" id="{00000000-0008-0000-0000-000055000000}"/>
            </a:ext>
          </a:extLst>
        </xdr:cNvPr>
        <xdr:cNvGrpSpPr/>
      </xdr:nvGrpSpPr>
      <xdr:grpSpPr>
        <a:xfrm>
          <a:off x="57150" y="6305550"/>
          <a:ext cx="11842750" cy="559237"/>
          <a:chOff x="0" y="6136826"/>
          <a:chExt cx="12382500" cy="559237"/>
        </a:xfrm>
      </xdr:grpSpPr>
      <xdr:grpSp>
        <xdr:nvGrpSpPr>
          <xdr:cNvPr id="86" name="Agrupar 85">
            <a:extLst>
              <a:ext uri="{FF2B5EF4-FFF2-40B4-BE49-F238E27FC236}">
                <a16:creationId xmlns:a16="http://schemas.microsoft.com/office/drawing/2014/main" id="{00000000-0008-0000-0000-000056000000}"/>
              </a:ext>
            </a:extLst>
          </xdr:cNvPr>
          <xdr:cNvGrpSpPr/>
        </xdr:nvGrpSpPr>
        <xdr:grpSpPr>
          <a:xfrm>
            <a:off x="0" y="6136826"/>
            <a:ext cx="12382500" cy="559237"/>
            <a:chOff x="81583" y="6572250"/>
            <a:chExt cx="6359071" cy="894023"/>
          </a:xfrm>
        </xdr:grpSpPr>
        <xdr:sp macro="" textlink="">
          <xdr:nvSpPr>
            <xdr:cNvPr id="88" name="Rectangle 8">
              <a:extLst>
                <a:ext uri="{FF2B5EF4-FFF2-40B4-BE49-F238E27FC236}">
                  <a16:creationId xmlns:a16="http://schemas.microsoft.com/office/drawing/2014/main" id="{00000000-0008-0000-0000-000058000000}"/>
                </a:ext>
              </a:extLst>
            </xdr:cNvPr>
            <xdr:cNvSpPr>
              <a:spLocks noChangeArrowheads="1"/>
            </xdr:cNvSpPr>
          </xdr:nvSpPr>
          <xdr:spPr bwMode="auto">
            <a:xfrm>
              <a:off x="81583" y="6727825"/>
              <a:ext cx="6359071" cy="738448"/>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89" name="Rectangle 9">
              <a:hlinkClick xmlns:r="http://schemas.openxmlformats.org/officeDocument/2006/relationships" r:id="rId6"/>
              <a:extLst>
                <a:ext uri="{FF2B5EF4-FFF2-40B4-BE49-F238E27FC236}">
                  <a16:creationId xmlns:a16="http://schemas.microsoft.com/office/drawing/2014/main" id="{00000000-0008-0000-0000-000059000000}"/>
                </a:ext>
              </a:extLst>
            </xdr:cNvPr>
            <xdr:cNvSpPr>
              <a:spLocks noChangeArrowheads="1"/>
            </xdr:cNvSpPr>
          </xdr:nvSpPr>
          <xdr:spPr bwMode="auto">
            <a:xfrm>
              <a:off x="106598" y="6572250"/>
              <a:ext cx="3301093" cy="722313"/>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90" name="Text Box 12">
              <a:hlinkClick xmlns:r="http://schemas.openxmlformats.org/officeDocument/2006/relationships" r:id="rId9" tooltip="NUTS 2024"/>
              <a:extLst>
                <a:ext uri="{FF2B5EF4-FFF2-40B4-BE49-F238E27FC236}">
                  <a16:creationId xmlns:a16="http://schemas.microsoft.com/office/drawing/2014/main" id="{00000000-0008-0000-0000-00005A000000}"/>
                </a:ext>
              </a:extLst>
            </xdr:cNvPr>
            <xdr:cNvSpPr txBox="1">
              <a:spLocks noChangeArrowheads="1"/>
            </xdr:cNvSpPr>
          </xdr:nvSpPr>
          <xdr:spPr bwMode="auto">
            <a:xfrm>
              <a:off x="121523" y="6676458"/>
              <a:ext cx="2459492" cy="450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NUTS</a:t>
              </a:r>
              <a:r>
                <a:rPr lang="en-US" altLang="pt-PT" sz="1500" b="1" baseline="0">
                  <a:solidFill>
                    <a:srgbClr val="00467A"/>
                  </a:solidFill>
                  <a:latin typeface="Arial" charset="0"/>
                </a:rPr>
                <a:t> 2013</a:t>
              </a:r>
              <a:endParaRPr lang="en-US" altLang="pt-PT" sz="1500" b="1">
                <a:solidFill>
                  <a:srgbClr val="00467A"/>
                </a:solidFill>
                <a:latin typeface="Arial" charset="0"/>
              </a:endParaRPr>
            </a:p>
          </xdr:txBody>
        </xdr:sp>
        <xdr:sp macro="" textlink="">
          <xdr:nvSpPr>
            <xdr:cNvPr id="91" name="CaixaDeTexto 90">
              <a:extLst>
                <a:ext uri="{FF2B5EF4-FFF2-40B4-BE49-F238E27FC236}">
                  <a16:creationId xmlns:a16="http://schemas.microsoft.com/office/drawing/2014/main" id="{00000000-0008-0000-0000-00005B000000}"/>
                </a:ext>
              </a:extLst>
            </xdr:cNvPr>
            <xdr:cNvSpPr txBox="1"/>
          </xdr:nvSpPr>
          <xdr:spPr>
            <a:xfrm>
              <a:off x="3493865" y="6748085"/>
              <a:ext cx="1937617" cy="6875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050" b="1" u="sng">
                  <a:solidFill>
                    <a:schemeClr val="bg1"/>
                  </a:solidFill>
                </a:rPr>
                <a:t>Variáveis</a:t>
              </a:r>
              <a:r>
                <a:rPr lang="pt-PT" sz="1050" b="1" u="none">
                  <a:solidFill>
                    <a:schemeClr val="bg1"/>
                  </a:solidFill>
                </a:rPr>
                <a:t> p</a:t>
              </a:r>
              <a:r>
                <a:rPr lang="pt-PT" sz="1050" b="1">
                  <a:solidFill>
                    <a:schemeClr val="bg1"/>
                  </a:solidFill>
                </a:rPr>
                <a:t>or:</a:t>
              </a:r>
            </a:p>
            <a:p>
              <a:r>
                <a:rPr lang="pt-PT" sz="1000">
                  <a:solidFill>
                    <a:schemeClr val="bg1"/>
                  </a:solidFill>
                </a:rPr>
                <a:t>- NUTS</a:t>
              </a:r>
              <a:r>
                <a:rPr lang="pt-PT" sz="1000" baseline="0">
                  <a:solidFill>
                    <a:schemeClr val="bg1"/>
                  </a:solidFill>
                </a:rPr>
                <a:t> II e III</a:t>
              </a:r>
              <a:endParaRPr lang="pt-PT" sz="1000">
                <a:solidFill>
                  <a:schemeClr val="bg1"/>
                </a:solidFill>
              </a:endParaRPr>
            </a:p>
          </xdr:txBody>
        </xdr:sp>
      </xdr:grpSp>
      <xdr:sp macro="" textlink="">
        <xdr:nvSpPr>
          <xdr:cNvPr id="87" name="WordArt 37">
            <a:extLst>
              <a:ext uri="{FF2B5EF4-FFF2-40B4-BE49-F238E27FC236}">
                <a16:creationId xmlns:a16="http://schemas.microsoft.com/office/drawing/2014/main" id="{00000000-0008-0000-0000-000057000000}"/>
              </a:ext>
            </a:extLst>
          </xdr:cNvPr>
          <xdr:cNvSpPr>
            <a:spLocks noChangeArrowheads="1" noChangeShapeType="1" noTextEdit="1"/>
          </xdr:cNvSpPr>
        </xdr:nvSpPr>
        <xdr:spPr bwMode="auto">
          <a:xfrm>
            <a:off x="11550650" y="6311900"/>
            <a:ext cx="324000" cy="3240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solidFill>
                  <a:schemeClr val="bg1"/>
                </a:solidFill>
                <a:latin typeface="Arial Black"/>
              </a:rPr>
              <a:t>V</a:t>
            </a:r>
          </a:p>
        </xdr:txBody>
      </xdr:sp>
    </xdr:grpSp>
    <xdr:clientData/>
  </xdr:twoCellAnchor>
  <xdr:twoCellAnchor>
    <xdr:from>
      <xdr:col>0</xdr:col>
      <xdr:colOff>76200</xdr:colOff>
      <xdr:row>55</xdr:row>
      <xdr:rowOff>31750</xdr:rowOff>
    </xdr:from>
    <xdr:to>
      <xdr:col>10</xdr:col>
      <xdr:colOff>582750</xdr:colOff>
      <xdr:row>56</xdr:row>
      <xdr:rowOff>569696</xdr:rowOff>
    </xdr:to>
    <xdr:grpSp>
      <xdr:nvGrpSpPr>
        <xdr:cNvPr id="92" name="Agrupar 91">
          <a:extLst>
            <a:ext uri="{FF2B5EF4-FFF2-40B4-BE49-F238E27FC236}">
              <a16:creationId xmlns:a16="http://schemas.microsoft.com/office/drawing/2014/main" id="{00000000-0008-0000-0000-00005C000000}"/>
            </a:ext>
          </a:extLst>
        </xdr:cNvPr>
        <xdr:cNvGrpSpPr/>
      </xdr:nvGrpSpPr>
      <xdr:grpSpPr>
        <a:xfrm>
          <a:off x="76200" y="8413750"/>
          <a:ext cx="11841300" cy="690346"/>
          <a:chOff x="29714" y="7602677"/>
          <a:chExt cx="6361601" cy="1089493"/>
        </a:xfrm>
      </xdr:grpSpPr>
      <xdr:sp macro="" textlink="">
        <xdr:nvSpPr>
          <xdr:cNvPr id="93" name="Rectangle 8">
            <a:extLst>
              <a:ext uri="{FF2B5EF4-FFF2-40B4-BE49-F238E27FC236}">
                <a16:creationId xmlns:a16="http://schemas.microsoft.com/office/drawing/2014/main" id="{00000000-0008-0000-0000-00005D000000}"/>
              </a:ext>
            </a:extLst>
          </xdr:cNvPr>
          <xdr:cNvSpPr>
            <a:spLocks noChangeArrowheads="1"/>
          </xdr:cNvSpPr>
        </xdr:nvSpPr>
        <xdr:spPr bwMode="auto">
          <a:xfrm>
            <a:off x="32244" y="7737477"/>
            <a:ext cx="6359071" cy="836791"/>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94" name="Rectangle 9">
            <a:hlinkClick xmlns:r="http://schemas.openxmlformats.org/officeDocument/2006/relationships" r:id="rId5"/>
            <a:extLst>
              <a:ext uri="{FF2B5EF4-FFF2-40B4-BE49-F238E27FC236}">
                <a16:creationId xmlns:a16="http://schemas.microsoft.com/office/drawing/2014/main" id="{00000000-0008-0000-0000-00005E000000}"/>
              </a:ext>
            </a:extLst>
          </xdr:cNvPr>
          <xdr:cNvSpPr>
            <a:spLocks noChangeArrowheads="1"/>
          </xdr:cNvSpPr>
        </xdr:nvSpPr>
        <xdr:spPr bwMode="auto">
          <a:xfrm>
            <a:off x="60856" y="7602677"/>
            <a:ext cx="3301093" cy="722311"/>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95" name="CaixaDeTexto 94">
            <a:extLst>
              <a:ext uri="{FF2B5EF4-FFF2-40B4-BE49-F238E27FC236}">
                <a16:creationId xmlns:a16="http://schemas.microsoft.com/office/drawing/2014/main" id="{00000000-0008-0000-0000-00005F000000}"/>
              </a:ext>
            </a:extLst>
          </xdr:cNvPr>
          <xdr:cNvSpPr txBox="1"/>
        </xdr:nvSpPr>
        <xdr:spPr>
          <a:xfrm>
            <a:off x="3414460" y="7673676"/>
            <a:ext cx="2704718" cy="10184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050" b="1" u="sng">
                <a:solidFill>
                  <a:schemeClr val="bg1"/>
                </a:solidFill>
              </a:rPr>
              <a:t>Variáveis</a:t>
            </a:r>
            <a:r>
              <a:rPr lang="pt-PT" sz="1050" b="1" u="none">
                <a:solidFill>
                  <a:schemeClr val="bg1"/>
                </a:solidFill>
              </a:rPr>
              <a:t> p</a:t>
            </a:r>
            <a:r>
              <a:rPr lang="pt-PT" sz="1050" b="1">
                <a:solidFill>
                  <a:schemeClr val="bg1"/>
                </a:solidFill>
              </a:rPr>
              <a:t>or:</a:t>
            </a:r>
          </a:p>
          <a:p>
            <a:pPr lvl="0"/>
            <a:r>
              <a:rPr lang="pt-PT" sz="1000" u="none">
                <a:solidFill>
                  <a:schemeClr val="bg1"/>
                </a:solidFill>
                <a:effectLst/>
                <a:latin typeface="+mn-lt"/>
                <a:ea typeface="+mn-ea"/>
                <a:cs typeface="+mn-cs"/>
              </a:rPr>
              <a:t>-</a:t>
            </a:r>
            <a:r>
              <a:rPr lang="pt-PT" sz="1000" u="none" baseline="0">
                <a:solidFill>
                  <a:schemeClr val="bg1"/>
                </a:solidFill>
                <a:effectLst/>
                <a:latin typeface="+mn-lt"/>
                <a:ea typeface="+mn-ea"/>
                <a:cs typeface="+mn-cs"/>
              </a:rPr>
              <a:t> </a:t>
            </a:r>
            <a:r>
              <a:rPr lang="pt-PT" sz="1000" u="none">
                <a:solidFill>
                  <a:schemeClr val="bg1"/>
                </a:solidFill>
                <a:effectLst/>
                <a:latin typeface="+mn-lt"/>
                <a:ea typeface="+mn-ea"/>
                <a:cs typeface="+mn-cs"/>
              </a:rPr>
              <a:t>Nível de Qualificação e Sexo                     -Atividade</a:t>
            </a:r>
            <a:r>
              <a:rPr lang="pt-PT" sz="1000" u="none" baseline="0">
                <a:solidFill>
                  <a:schemeClr val="bg1"/>
                </a:solidFill>
                <a:effectLst/>
                <a:latin typeface="+mn-lt"/>
                <a:ea typeface="+mn-ea"/>
                <a:cs typeface="+mn-cs"/>
              </a:rPr>
              <a:t> económica do estabelecimento</a:t>
            </a:r>
            <a:endParaRPr lang="pt-PT" sz="1000" u="none">
              <a:solidFill>
                <a:schemeClr val="bg1"/>
              </a:solidFill>
              <a:effectLst/>
              <a:latin typeface="+mn-lt"/>
              <a:ea typeface="+mn-ea"/>
              <a:cs typeface="+mn-cs"/>
            </a:endParaRPr>
          </a:p>
          <a:p>
            <a:pPr lvl="0"/>
            <a:r>
              <a:rPr lang="pt-PT" sz="1000" u="none">
                <a:solidFill>
                  <a:schemeClr val="bg1"/>
                </a:solidFill>
                <a:effectLst/>
                <a:latin typeface="+mn-lt"/>
                <a:ea typeface="+mn-ea"/>
                <a:cs typeface="+mn-cs"/>
              </a:rPr>
              <a:t>- Profissão                                                       - NUTS II e III (versão 2024) do estabelecimento</a:t>
            </a:r>
          </a:p>
        </xdr:txBody>
      </xdr:sp>
      <xdr:sp macro="" textlink="">
        <xdr:nvSpPr>
          <xdr:cNvPr id="96" name="Text Box 12">
            <a:hlinkClick xmlns:r="http://schemas.openxmlformats.org/officeDocument/2006/relationships" r:id="rId10" tooltip="Características dos Trabalhadores por Conta de Outrem (TCO)"/>
            <a:extLst>
              <a:ext uri="{FF2B5EF4-FFF2-40B4-BE49-F238E27FC236}">
                <a16:creationId xmlns:a16="http://schemas.microsoft.com/office/drawing/2014/main" id="{00000000-0008-0000-0000-000060000000}"/>
              </a:ext>
            </a:extLst>
          </xdr:cNvPr>
          <xdr:cNvSpPr txBox="1">
            <a:spLocks noChangeArrowheads="1"/>
          </xdr:cNvSpPr>
        </xdr:nvSpPr>
        <xdr:spPr bwMode="auto">
          <a:xfrm>
            <a:off x="29714" y="7637015"/>
            <a:ext cx="3169418" cy="623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Pessoas ao serviço e TCO</a:t>
            </a:r>
            <a:r>
              <a:rPr lang="en-US" altLang="pt-PT" sz="1500" b="1" baseline="0">
                <a:solidFill>
                  <a:srgbClr val="00467A"/>
                </a:solidFill>
                <a:latin typeface="Arial" charset="0"/>
              </a:rPr>
              <a:t> de Nacionalidade Estrangeira</a:t>
            </a:r>
            <a:endParaRPr lang="en-US" altLang="pt-PT" sz="1500" b="1">
              <a:solidFill>
                <a:srgbClr val="00467A"/>
              </a:solidFill>
              <a:latin typeface="Arial" charset="0"/>
            </a:endParaRPr>
          </a:p>
        </xdr:txBody>
      </xdr:sp>
      <xdr:sp macro="" textlink="">
        <xdr:nvSpPr>
          <xdr:cNvPr id="97" name="WordArt 37">
            <a:extLst>
              <a:ext uri="{FF2B5EF4-FFF2-40B4-BE49-F238E27FC236}">
                <a16:creationId xmlns:a16="http://schemas.microsoft.com/office/drawing/2014/main" id="{00000000-0008-0000-0000-000061000000}"/>
              </a:ext>
            </a:extLst>
          </xdr:cNvPr>
          <xdr:cNvSpPr>
            <a:spLocks noChangeArrowheads="1" noChangeShapeType="1" noTextEdit="1"/>
          </xdr:cNvSpPr>
        </xdr:nvSpPr>
        <xdr:spPr bwMode="auto">
          <a:xfrm>
            <a:off x="5913777" y="7878536"/>
            <a:ext cx="277461" cy="511332"/>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solidFill>
                  <a:schemeClr val="bg1"/>
                </a:solidFill>
                <a:latin typeface="Arial Black"/>
              </a:rPr>
              <a:t>VIII</a:t>
            </a:r>
          </a:p>
        </xdr:txBody>
      </xdr:sp>
    </xdr:grpSp>
    <xdr:clientData/>
  </xdr:twoCellAnchor>
</xdr:wsDr>
</file>

<file path=xl/drawings/drawing10.xml><?xml version="1.0" encoding="utf-8"?>
<c:userShapes xmlns:c="http://schemas.openxmlformats.org/drawingml/2006/chart">
  <cdr:relSizeAnchor xmlns:cdr="http://schemas.openxmlformats.org/drawingml/2006/chartDrawing">
    <cdr:from>
      <cdr:x>0.63774</cdr:x>
      <cdr:y>0.08462</cdr:y>
    </cdr:from>
    <cdr:to>
      <cdr:x>0.73468</cdr:x>
      <cdr:y>0.21154</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2790812" y="175709"/>
          <a:ext cx="424219" cy="263543"/>
          <a:chOff x="1958149" y="369817"/>
          <a:chExt cx="473434" cy="291245"/>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4"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58149" y="374649"/>
            <a:ext cx="180567" cy="27132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100.xml><?xml version="1.0" encoding="utf-8"?>
<xdr:wsDr xmlns:xdr="http://schemas.openxmlformats.org/drawingml/2006/spreadsheetDrawing" xmlns:a="http://schemas.openxmlformats.org/drawingml/2006/main">
  <xdr:twoCellAnchor editAs="absolute">
    <xdr:from>
      <xdr:col>10</xdr:col>
      <xdr:colOff>228600</xdr:colOff>
      <xdr:row>0</xdr:row>
      <xdr:rowOff>228600</xdr:rowOff>
    </xdr:from>
    <xdr:to>
      <xdr:col>11</xdr:col>
      <xdr:colOff>482500</xdr:colOff>
      <xdr:row>1</xdr:row>
      <xdr:rowOff>107911</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8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137400" y="228600"/>
          <a:ext cx="825400" cy="317461"/>
        </a:xfrm>
        <a:prstGeom prst="rect">
          <a:avLst/>
        </a:prstGeom>
        <a:noFill/>
        <a:ln w="1">
          <a:noFill/>
          <a:miter lim="800000"/>
          <a:headEnd/>
          <a:tailEnd type="none" w="med" len="med"/>
        </a:ln>
        <a:effectLst/>
      </xdr:spPr>
    </xdr:pic>
    <xdr:clientData fPrintsWithSheet="0"/>
  </xdr:twoCellAnchor>
</xdr:wsDr>
</file>

<file path=xl/drawings/drawing101.xml><?xml version="1.0" encoding="utf-8"?>
<xdr:wsDr xmlns:xdr="http://schemas.openxmlformats.org/drawingml/2006/spreadsheetDrawing" xmlns:a="http://schemas.openxmlformats.org/drawingml/2006/main">
  <xdr:twoCellAnchor editAs="absolute">
    <xdr:from>
      <xdr:col>11</xdr:col>
      <xdr:colOff>133350</xdr:colOff>
      <xdr:row>0</xdr:row>
      <xdr:rowOff>266700</xdr:rowOff>
    </xdr:from>
    <xdr:to>
      <xdr:col>12</xdr:col>
      <xdr:colOff>428625</xdr:colOff>
      <xdr:row>2</xdr:row>
      <xdr:rowOff>28575</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9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819775" y="266700"/>
          <a:ext cx="800100" cy="314325"/>
        </a:xfrm>
        <a:prstGeom prst="rect">
          <a:avLst/>
        </a:prstGeom>
        <a:noFill/>
        <a:ln w="1">
          <a:noFill/>
          <a:miter lim="800000"/>
          <a:headEnd/>
          <a:tailEnd type="none" w="med" len="med"/>
        </a:ln>
        <a:effectLst/>
      </xdr:spPr>
    </xdr:pic>
    <xdr:clientData fPrintsWithSheet="0"/>
  </xdr:twoCellAnchor>
</xdr:wsDr>
</file>

<file path=xl/drawings/drawing102.xml><?xml version="1.0" encoding="utf-8"?>
<xdr:wsDr xmlns:xdr="http://schemas.openxmlformats.org/drawingml/2006/spreadsheetDrawing" xmlns:a="http://schemas.openxmlformats.org/drawingml/2006/main">
  <xdr:twoCellAnchor editAs="absolute">
    <xdr:from>
      <xdr:col>11</xdr:col>
      <xdr:colOff>104775</xdr:colOff>
      <xdr:row>0</xdr:row>
      <xdr:rowOff>276225</xdr:rowOff>
    </xdr:from>
    <xdr:to>
      <xdr:col>12</xdr:col>
      <xdr:colOff>400050</xdr:colOff>
      <xdr:row>2</xdr:row>
      <xdr:rowOff>38100</xdr:rowOff>
    </xdr:to>
    <xdr:pic>
      <xdr:nvPicPr>
        <xdr:cNvPr id="3" name="Picture 4">
          <a:hlinkClick xmlns:r="http://schemas.openxmlformats.org/officeDocument/2006/relationships" r:id="rId1"/>
          <a:extLst>
            <a:ext uri="{FF2B5EF4-FFF2-40B4-BE49-F238E27FC236}">
              <a16:creationId xmlns:a16="http://schemas.microsoft.com/office/drawing/2014/main" id="{00000000-0008-0000-3A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448425" y="276225"/>
          <a:ext cx="800100" cy="314325"/>
        </a:xfrm>
        <a:prstGeom prst="rect">
          <a:avLst/>
        </a:prstGeom>
        <a:noFill/>
        <a:ln w="1">
          <a:noFill/>
          <a:miter lim="800000"/>
          <a:headEnd/>
          <a:tailEnd type="none" w="med" len="med"/>
        </a:ln>
        <a:effectLst/>
      </xdr:spPr>
    </xdr:pic>
    <xdr:clientData fPrintsWithSheet="0"/>
  </xdr:twoCellAnchor>
</xdr:wsDr>
</file>

<file path=xl/drawings/drawing103.xml><?xml version="1.0" encoding="utf-8"?>
<xdr:wsDr xmlns:xdr="http://schemas.openxmlformats.org/drawingml/2006/spreadsheetDrawing" xmlns:a="http://schemas.openxmlformats.org/drawingml/2006/main">
  <xdr:twoCellAnchor editAs="absolute">
    <xdr:from>
      <xdr:col>11</xdr:col>
      <xdr:colOff>377825</xdr:colOff>
      <xdr:row>0</xdr:row>
      <xdr:rowOff>133350</xdr:rowOff>
    </xdr:from>
    <xdr:to>
      <xdr:col>13</xdr:col>
      <xdr:colOff>111125</xdr:colOff>
      <xdr:row>2</xdr:row>
      <xdr:rowOff>25400</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543925" y="133350"/>
          <a:ext cx="812800" cy="304800"/>
        </a:xfrm>
        <a:prstGeom prst="rect">
          <a:avLst/>
        </a:prstGeom>
        <a:noFill/>
        <a:ln w="1">
          <a:noFill/>
          <a:miter lim="800000"/>
          <a:headEnd/>
          <a:tailEnd type="none" w="med" len="med"/>
        </a:ln>
        <a:effectLst/>
      </xdr:spPr>
    </xdr:pic>
    <xdr:clientData fPrintsWithSheet="0"/>
  </xdr:twoCellAnchor>
</xdr:wsDr>
</file>

<file path=xl/drawings/drawing104.xml><?xml version="1.0" encoding="utf-8"?>
<xdr:wsDr xmlns:xdr="http://schemas.openxmlformats.org/drawingml/2006/spreadsheetDrawing" xmlns:a="http://schemas.openxmlformats.org/drawingml/2006/main">
  <xdr:twoCellAnchor editAs="absolute">
    <xdr:from>
      <xdr:col>10</xdr:col>
      <xdr:colOff>57150</xdr:colOff>
      <xdr:row>0</xdr:row>
      <xdr:rowOff>257175</xdr:rowOff>
    </xdr:from>
    <xdr:to>
      <xdr:col>11</xdr:col>
      <xdr:colOff>352425</xdr:colOff>
      <xdr:row>2</xdr:row>
      <xdr:rowOff>19050</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C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581775" y="257175"/>
          <a:ext cx="800100" cy="314325"/>
        </a:xfrm>
        <a:prstGeom prst="rect">
          <a:avLst/>
        </a:prstGeom>
        <a:noFill/>
        <a:ln w="1">
          <a:noFill/>
          <a:miter lim="800000"/>
          <a:headEnd/>
          <a:tailEnd type="none" w="med" len="med"/>
        </a:ln>
        <a:effectLst/>
      </xdr:spPr>
    </xdr:pic>
    <xdr:clientData fPrintsWithSheet="0"/>
  </xdr:twoCellAnchor>
</xdr:wsDr>
</file>

<file path=xl/drawings/drawing105.xml><?xml version="1.0" encoding="utf-8"?>
<xdr:wsDr xmlns:xdr="http://schemas.openxmlformats.org/drawingml/2006/spreadsheetDrawing" xmlns:a="http://schemas.openxmlformats.org/drawingml/2006/main">
  <xdr:twoCellAnchor>
    <xdr:from>
      <xdr:col>6</xdr:col>
      <xdr:colOff>425450</xdr:colOff>
      <xdr:row>2</xdr:row>
      <xdr:rowOff>28575</xdr:rowOff>
    </xdr:from>
    <xdr:to>
      <xdr:col>10</xdr:col>
      <xdr:colOff>225425</xdr:colOff>
      <xdr:row>2</xdr:row>
      <xdr:rowOff>28575</xdr:rowOff>
    </xdr:to>
    <xdr:sp macro="" textlink="">
      <xdr:nvSpPr>
        <xdr:cNvPr id="2" name="Line 3">
          <a:extLst>
            <a:ext uri="{FF2B5EF4-FFF2-40B4-BE49-F238E27FC236}">
              <a16:creationId xmlns:a16="http://schemas.microsoft.com/office/drawing/2014/main" id="{00000000-0008-0000-3D00-000002000000}"/>
            </a:ext>
          </a:extLst>
        </xdr:cNvPr>
        <xdr:cNvSpPr>
          <a:spLocks noChangeShapeType="1"/>
        </xdr:cNvSpPr>
      </xdr:nvSpPr>
      <xdr:spPr bwMode="auto">
        <a:xfrm>
          <a:off x="3911600" y="409575"/>
          <a:ext cx="2124075" cy="0"/>
        </a:xfrm>
        <a:prstGeom prst="line">
          <a:avLst/>
        </a:prstGeom>
        <a:noFill/>
        <a:ln w="25400">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136525</xdr:colOff>
      <xdr:row>7</xdr:row>
      <xdr:rowOff>60325</xdr:rowOff>
    </xdr:from>
    <xdr:to>
      <xdr:col>9</xdr:col>
      <xdr:colOff>355600</xdr:colOff>
      <xdr:row>12</xdr:row>
      <xdr:rowOff>173038</xdr:rowOff>
    </xdr:to>
    <xdr:sp macro="" textlink="">
      <xdr:nvSpPr>
        <xdr:cNvPr id="3" name="Rectangle 5">
          <a:extLst>
            <a:ext uri="{FF2B5EF4-FFF2-40B4-BE49-F238E27FC236}">
              <a16:creationId xmlns:a16="http://schemas.microsoft.com/office/drawing/2014/main" id="{00000000-0008-0000-3D00-000003000000}"/>
            </a:ext>
          </a:extLst>
        </xdr:cNvPr>
        <xdr:cNvSpPr>
          <a:spLocks noChangeArrowheads="1"/>
        </xdr:cNvSpPr>
      </xdr:nvSpPr>
      <xdr:spPr bwMode="auto">
        <a:xfrm>
          <a:off x="5365750" y="1393825"/>
          <a:ext cx="219075" cy="1065213"/>
        </a:xfrm>
        <a:prstGeom prst="rect">
          <a:avLst/>
        </a:prstGeom>
        <a:solidFill>
          <a:srgbClr val="FFFF00"/>
        </a:solidFill>
        <a:ln>
          <a:noFill/>
        </a:ln>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9</xdr:col>
      <xdr:colOff>120650</xdr:colOff>
      <xdr:row>0</xdr:row>
      <xdr:rowOff>0</xdr:rowOff>
    </xdr:from>
    <xdr:to>
      <xdr:col>9</xdr:col>
      <xdr:colOff>136525</xdr:colOff>
      <xdr:row>12</xdr:row>
      <xdr:rowOff>157163</xdr:rowOff>
    </xdr:to>
    <xdr:sp macro="" textlink="">
      <xdr:nvSpPr>
        <xdr:cNvPr id="4" name="Line 6">
          <a:extLst>
            <a:ext uri="{FF2B5EF4-FFF2-40B4-BE49-F238E27FC236}">
              <a16:creationId xmlns:a16="http://schemas.microsoft.com/office/drawing/2014/main" id="{00000000-0008-0000-3D00-000004000000}"/>
            </a:ext>
          </a:extLst>
        </xdr:cNvPr>
        <xdr:cNvSpPr>
          <a:spLocks noChangeShapeType="1"/>
        </xdr:cNvSpPr>
      </xdr:nvSpPr>
      <xdr:spPr bwMode="auto">
        <a:xfrm rot="5421033" flipH="1">
          <a:off x="4136231" y="1213644"/>
          <a:ext cx="2443163" cy="15875"/>
        </a:xfrm>
        <a:prstGeom prst="line">
          <a:avLst/>
        </a:prstGeom>
        <a:noFill/>
        <a:ln w="2857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8</xdr:col>
      <xdr:colOff>325437</xdr:colOff>
      <xdr:row>7</xdr:row>
      <xdr:rowOff>57151</xdr:rowOff>
    </xdr:from>
    <xdr:to>
      <xdr:col>10</xdr:col>
      <xdr:colOff>533400</xdr:colOff>
      <xdr:row>7</xdr:row>
      <xdr:rowOff>58739</xdr:rowOff>
    </xdr:to>
    <xdr:sp macro="" textlink="">
      <xdr:nvSpPr>
        <xdr:cNvPr id="5" name="Line 7">
          <a:extLst>
            <a:ext uri="{FF2B5EF4-FFF2-40B4-BE49-F238E27FC236}">
              <a16:creationId xmlns:a16="http://schemas.microsoft.com/office/drawing/2014/main" id="{00000000-0008-0000-3D00-000005000000}"/>
            </a:ext>
          </a:extLst>
        </xdr:cNvPr>
        <xdr:cNvSpPr>
          <a:spLocks noChangeShapeType="1"/>
        </xdr:cNvSpPr>
      </xdr:nvSpPr>
      <xdr:spPr bwMode="auto">
        <a:xfrm flipV="1">
          <a:off x="4973637" y="1390651"/>
          <a:ext cx="1370013" cy="1588"/>
        </a:xfrm>
        <a:prstGeom prst="line">
          <a:avLst/>
        </a:prstGeom>
        <a:noFill/>
        <a:ln w="28575">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3</xdr:col>
      <xdr:colOff>336550</xdr:colOff>
      <xdr:row>12</xdr:row>
      <xdr:rowOff>173038</xdr:rowOff>
    </xdr:from>
    <xdr:to>
      <xdr:col>9</xdr:col>
      <xdr:colOff>355600</xdr:colOff>
      <xdr:row>12</xdr:row>
      <xdr:rowOff>173038</xdr:rowOff>
    </xdr:to>
    <xdr:sp macro="" textlink="">
      <xdr:nvSpPr>
        <xdr:cNvPr id="6" name="Line 11">
          <a:extLst>
            <a:ext uri="{FF2B5EF4-FFF2-40B4-BE49-F238E27FC236}">
              <a16:creationId xmlns:a16="http://schemas.microsoft.com/office/drawing/2014/main" id="{00000000-0008-0000-3D00-000006000000}"/>
            </a:ext>
          </a:extLst>
        </xdr:cNvPr>
        <xdr:cNvSpPr>
          <a:spLocks noChangeShapeType="1"/>
        </xdr:cNvSpPr>
      </xdr:nvSpPr>
      <xdr:spPr bwMode="auto">
        <a:xfrm>
          <a:off x="2079625" y="2459038"/>
          <a:ext cx="3505200" cy="0"/>
        </a:xfrm>
        <a:prstGeom prst="line">
          <a:avLst/>
        </a:prstGeom>
        <a:noFill/>
        <a:ln w="28575">
          <a:solidFill>
            <a:srgbClr val="FFFF00"/>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352425</xdr:colOff>
      <xdr:row>2</xdr:row>
      <xdr:rowOff>28575</xdr:rowOff>
    </xdr:from>
    <xdr:to>
      <xdr:col>9</xdr:col>
      <xdr:colOff>355600</xdr:colOff>
      <xdr:row>14</xdr:row>
      <xdr:rowOff>82550</xdr:rowOff>
    </xdr:to>
    <xdr:sp macro="" textlink="">
      <xdr:nvSpPr>
        <xdr:cNvPr id="7" name="Line 12">
          <a:extLst>
            <a:ext uri="{FF2B5EF4-FFF2-40B4-BE49-F238E27FC236}">
              <a16:creationId xmlns:a16="http://schemas.microsoft.com/office/drawing/2014/main" id="{00000000-0008-0000-3D00-000007000000}"/>
            </a:ext>
          </a:extLst>
        </xdr:cNvPr>
        <xdr:cNvSpPr>
          <a:spLocks noChangeShapeType="1"/>
        </xdr:cNvSpPr>
      </xdr:nvSpPr>
      <xdr:spPr bwMode="auto">
        <a:xfrm rot="5397016">
          <a:off x="4413250" y="1577975"/>
          <a:ext cx="2339975" cy="3175"/>
        </a:xfrm>
        <a:prstGeom prst="line">
          <a:avLst/>
        </a:prstGeom>
        <a:noFill/>
        <a:ln w="1460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0</xdr:col>
      <xdr:colOff>0</xdr:colOff>
      <xdr:row>32</xdr:row>
      <xdr:rowOff>73025</xdr:rowOff>
    </xdr:from>
    <xdr:to>
      <xdr:col>10</xdr:col>
      <xdr:colOff>536575</xdr:colOff>
      <xdr:row>36</xdr:row>
      <xdr:rowOff>46038</xdr:rowOff>
    </xdr:to>
    <xdr:sp macro="" textlink="">
      <xdr:nvSpPr>
        <xdr:cNvPr id="8" name="Rectangle 2">
          <a:extLst>
            <a:ext uri="{FF2B5EF4-FFF2-40B4-BE49-F238E27FC236}">
              <a16:creationId xmlns:a16="http://schemas.microsoft.com/office/drawing/2014/main" id="{00000000-0008-0000-3D00-000008000000}"/>
            </a:ext>
          </a:extLst>
        </xdr:cNvPr>
        <xdr:cNvSpPr>
          <a:spLocks noChangeArrowheads="1"/>
        </xdr:cNvSpPr>
      </xdr:nvSpPr>
      <xdr:spPr bwMode="auto">
        <a:xfrm>
          <a:off x="0" y="5407025"/>
          <a:ext cx="6346825" cy="735013"/>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0</xdr:col>
      <xdr:colOff>147637</xdr:colOff>
      <xdr:row>31</xdr:row>
      <xdr:rowOff>101600</xdr:rowOff>
    </xdr:from>
    <xdr:to>
      <xdr:col>5</xdr:col>
      <xdr:colOff>547687</xdr:colOff>
      <xdr:row>35</xdr:row>
      <xdr:rowOff>68263</xdr:rowOff>
    </xdr:to>
    <xdr:sp macro="" textlink="">
      <xdr:nvSpPr>
        <xdr:cNvPr id="9" name="Rectangle 3">
          <a:extLst>
            <a:ext uri="{FF2B5EF4-FFF2-40B4-BE49-F238E27FC236}">
              <a16:creationId xmlns:a16="http://schemas.microsoft.com/office/drawing/2014/main" id="{00000000-0008-0000-3D00-000009000000}"/>
            </a:ext>
          </a:extLst>
        </xdr:cNvPr>
        <xdr:cNvSpPr>
          <a:spLocks noChangeArrowheads="1"/>
        </xdr:cNvSpPr>
      </xdr:nvSpPr>
      <xdr:spPr bwMode="auto">
        <a:xfrm>
          <a:off x="147637" y="5245100"/>
          <a:ext cx="3305175" cy="728663"/>
        </a:xfrm>
        <a:prstGeom prst="rect">
          <a:avLst/>
        </a:prstGeom>
        <a:solidFill>
          <a:srgbClr val="FFE600"/>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clientData/>
  </xdr:twoCellAnchor>
  <xdr:twoCellAnchor>
    <xdr:from>
      <xdr:col>0</xdr:col>
      <xdr:colOff>158750</xdr:colOff>
      <xdr:row>32</xdr:row>
      <xdr:rowOff>147638</xdr:rowOff>
    </xdr:from>
    <xdr:to>
      <xdr:col>4</xdr:col>
      <xdr:colOff>277812</xdr:colOff>
      <xdr:row>34</xdr:row>
      <xdr:rowOff>84321</xdr:rowOff>
    </xdr:to>
    <xdr:sp macro="" textlink="">
      <xdr:nvSpPr>
        <xdr:cNvPr id="10" name="Text Box 10">
          <a:extLst>
            <a:ext uri="{FF2B5EF4-FFF2-40B4-BE49-F238E27FC236}">
              <a16:creationId xmlns:a16="http://schemas.microsoft.com/office/drawing/2014/main" id="{00000000-0008-0000-3D00-00000A000000}"/>
            </a:ext>
          </a:extLst>
        </xdr:cNvPr>
        <xdr:cNvSpPr txBox="1">
          <a:spLocks noChangeArrowheads="1"/>
        </xdr:cNvSpPr>
      </xdr:nvSpPr>
      <xdr:spPr bwMode="auto">
        <a:xfrm>
          <a:off x="158750" y="5481638"/>
          <a:ext cx="2443162" cy="317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Remunerações</a:t>
          </a:r>
        </a:p>
      </xdr:txBody>
    </xdr:sp>
    <xdr:clientData/>
  </xdr:twoCellAnchor>
  <xdr:twoCellAnchor>
    <xdr:from>
      <xdr:col>10</xdr:col>
      <xdr:colOff>196850</xdr:colOff>
      <xdr:row>33</xdr:row>
      <xdr:rowOff>11113</xdr:rowOff>
    </xdr:from>
    <xdr:to>
      <xdr:col>10</xdr:col>
      <xdr:colOff>307975</xdr:colOff>
      <xdr:row>35</xdr:row>
      <xdr:rowOff>100013</xdr:rowOff>
    </xdr:to>
    <xdr:sp macro="" textlink="">
      <xdr:nvSpPr>
        <xdr:cNvPr id="11" name="WordArt 4">
          <a:extLst>
            <a:ext uri="{FF2B5EF4-FFF2-40B4-BE49-F238E27FC236}">
              <a16:creationId xmlns:a16="http://schemas.microsoft.com/office/drawing/2014/main" id="{00000000-0008-0000-3D00-00000B000000}"/>
            </a:ext>
          </a:extLst>
        </xdr:cNvPr>
        <xdr:cNvSpPr>
          <a:spLocks noChangeArrowheads="1" noChangeShapeType="1" noTextEdit="1"/>
        </xdr:cNvSpPr>
      </xdr:nvSpPr>
      <xdr:spPr bwMode="auto">
        <a:xfrm>
          <a:off x="6007100" y="5535613"/>
          <a:ext cx="111125"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clientData/>
  </xdr:twoCellAnchor>
  <xdr:twoCellAnchor>
    <xdr:from>
      <xdr:col>9</xdr:col>
      <xdr:colOff>552450</xdr:colOff>
      <xdr:row>33</xdr:row>
      <xdr:rowOff>0</xdr:rowOff>
    </xdr:from>
    <xdr:to>
      <xdr:col>10</xdr:col>
      <xdr:colOff>83025</xdr:colOff>
      <xdr:row>35</xdr:row>
      <xdr:rowOff>90600</xdr:rowOff>
    </xdr:to>
    <xdr:sp macro="" textlink="">
      <xdr:nvSpPr>
        <xdr:cNvPr id="12" name="Text Box 1">
          <a:extLst>
            <a:ext uri="{FF2B5EF4-FFF2-40B4-BE49-F238E27FC236}">
              <a16:creationId xmlns:a16="http://schemas.microsoft.com/office/drawing/2014/main" id="{00000000-0008-0000-3D00-00000C000000}"/>
            </a:ext>
          </a:extLst>
        </xdr:cNvPr>
        <xdr:cNvSpPr txBox="1">
          <a:spLocks noChangeArrowheads="1"/>
        </xdr:cNvSpPr>
      </xdr:nvSpPr>
      <xdr:spPr bwMode="auto">
        <a:xfrm>
          <a:off x="5781675" y="5524500"/>
          <a:ext cx="111600" cy="471600"/>
        </a:xfrm>
        <a:prstGeom prst="rect">
          <a:avLst/>
        </a:prstGeom>
        <a:solidFill>
          <a:srgbClr val="00467A"/>
        </a:solidFill>
        <a:ln w="9525">
          <a:solidFill>
            <a:schemeClr val="bg1"/>
          </a:solidFill>
          <a:miter lim="800000"/>
          <a:headEnd/>
          <a:tailEnd/>
        </a:ln>
      </xdr:spPr>
      <xdr:txBody>
        <a:bodyPr vertOverflow="clip" wrap="square" lIns="27432" tIns="22860" rIns="0" bIns="0" anchor="t" upright="1"/>
        <a:lstStyle/>
        <a:p>
          <a:pPr algn="l" rtl="0">
            <a:defRPr sz="1000"/>
          </a:pPr>
          <a:endParaRPr lang="pt-PT" sz="1000" b="0" i="0" u="none" strike="noStrike" baseline="0">
            <a:solidFill>
              <a:srgbClr val="000000"/>
            </a:solidFill>
            <a:latin typeface="Arial"/>
            <a:cs typeface="Arial"/>
          </a:endParaRPr>
        </a:p>
      </xdr:txBody>
    </xdr:sp>
    <xdr:clientData/>
  </xdr:twoCellAnchor>
  <xdr:twoCellAnchor>
    <xdr:from>
      <xdr:col>9</xdr:col>
      <xdr:colOff>333375</xdr:colOff>
      <xdr:row>33</xdr:row>
      <xdr:rowOff>0</xdr:rowOff>
    </xdr:from>
    <xdr:to>
      <xdr:col>9</xdr:col>
      <xdr:colOff>444975</xdr:colOff>
      <xdr:row>35</xdr:row>
      <xdr:rowOff>90600</xdr:rowOff>
    </xdr:to>
    <xdr:sp macro="" textlink="">
      <xdr:nvSpPr>
        <xdr:cNvPr id="41985" name="Text Box 1">
          <a:extLst>
            <a:ext uri="{FF2B5EF4-FFF2-40B4-BE49-F238E27FC236}">
              <a16:creationId xmlns:a16="http://schemas.microsoft.com/office/drawing/2014/main" id="{00000000-0008-0000-3D00-000001A40000}"/>
            </a:ext>
          </a:extLst>
        </xdr:cNvPr>
        <xdr:cNvSpPr txBox="1">
          <a:spLocks noChangeArrowheads="1"/>
        </xdr:cNvSpPr>
      </xdr:nvSpPr>
      <xdr:spPr bwMode="auto">
        <a:xfrm>
          <a:off x="5562600" y="6286500"/>
          <a:ext cx="111600" cy="471600"/>
        </a:xfrm>
        <a:prstGeom prst="rect">
          <a:avLst/>
        </a:prstGeom>
        <a:solidFill>
          <a:srgbClr val="00467A"/>
        </a:solidFill>
        <a:ln w="9525">
          <a:solidFill>
            <a:schemeClr val="bg1"/>
          </a:solidFill>
          <a:miter lim="800000"/>
          <a:headEnd/>
          <a:tailEnd/>
        </a:ln>
      </xdr:spPr>
      <xdr:txBody>
        <a:bodyPr vertOverflow="clip" wrap="square" lIns="27432" tIns="22860" rIns="0" bIns="0" anchor="t" upright="1"/>
        <a:lstStyle/>
        <a:p>
          <a:pPr algn="l" rtl="0">
            <a:defRPr sz="1000"/>
          </a:pPr>
          <a:endParaRPr lang="pt-PT" sz="1000" b="0" i="0" u="none" strike="noStrike" baseline="0">
            <a:solidFill>
              <a:srgbClr val="000000"/>
            </a:solidFill>
            <a:latin typeface="Arial"/>
            <a:cs typeface="Arial"/>
          </a:endParaRPr>
        </a:p>
      </xdr:txBody>
    </xdr:sp>
    <xdr:clientData/>
  </xdr:twoCellAnchor>
</xdr:wsDr>
</file>

<file path=xl/drawings/drawing106.xml><?xml version="1.0" encoding="utf-8"?>
<xdr:wsDr xmlns:xdr="http://schemas.openxmlformats.org/drawingml/2006/spreadsheetDrawing" xmlns:a="http://schemas.openxmlformats.org/drawingml/2006/main">
  <xdr:oneCellAnchor>
    <xdr:from>
      <xdr:col>10</xdr:col>
      <xdr:colOff>152400</xdr:colOff>
      <xdr:row>0</xdr:row>
      <xdr:rowOff>323851</xdr:rowOff>
    </xdr:from>
    <xdr:ext cx="780952" cy="295274"/>
    <xdr:pic>
      <xdr:nvPicPr>
        <xdr:cNvPr id="3" name="Picture 6">
          <a:hlinkClick xmlns:r="http://schemas.openxmlformats.org/officeDocument/2006/relationships" r:id="rId1"/>
          <a:extLst>
            <a:ext uri="{FF2B5EF4-FFF2-40B4-BE49-F238E27FC236}">
              <a16:creationId xmlns:a16="http://schemas.microsoft.com/office/drawing/2014/main" id="{00000000-0008-0000-3E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305425" y="323851"/>
          <a:ext cx="780952" cy="295274"/>
        </a:xfrm>
        <a:prstGeom prst="rect">
          <a:avLst/>
        </a:prstGeom>
        <a:noFill/>
        <a:ln w="1">
          <a:noFill/>
          <a:miter lim="800000"/>
          <a:headEnd/>
          <a:tailEnd type="none" w="med" len="med"/>
        </a:ln>
        <a:effectLst/>
      </xdr:spPr>
    </xdr:pic>
    <xdr:clientData fPrintsWithSheet="0"/>
  </xdr:oneCellAnchor>
</xdr:wsDr>
</file>

<file path=xl/drawings/drawing107.xml><?xml version="1.0" encoding="utf-8"?>
<xdr:wsDr xmlns:xdr="http://schemas.openxmlformats.org/drawingml/2006/spreadsheetDrawing" xmlns:a="http://schemas.openxmlformats.org/drawingml/2006/main">
  <xdr:twoCellAnchor editAs="absolute">
    <xdr:from>
      <xdr:col>10</xdr:col>
      <xdr:colOff>342900</xdr:colOff>
      <xdr:row>0</xdr:row>
      <xdr:rowOff>247651</xdr:rowOff>
    </xdr:from>
    <xdr:to>
      <xdr:col>12</xdr:col>
      <xdr:colOff>266602</xdr:colOff>
      <xdr:row>1</xdr:row>
      <xdr:rowOff>190463</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3F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838825" y="247651"/>
          <a:ext cx="780952" cy="304762"/>
        </a:xfrm>
        <a:prstGeom prst="rect">
          <a:avLst/>
        </a:prstGeom>
        <a:noFill/>
        <a:ln w="1">
          <a:noFill/>
          <a:miter lim="800000"/>
          <a:headEnd/>
          <a:tailEnd type="none" w="med" len="med"/>
        </a:ln>
        <a:effectLst/>
      </xdr:spPr>
    </xdr:pic>
    <xdr:clientData fPrintsWithSheet="0"/>
  </xdr:twoCellAnchor>
</xdr:wsDr>
</file>

<file path=xl/drawings/drawing108.xml><?xml version="1.0" encoding="utf-8"?>
<xdr:wsDr xmlns:xdr="http://schemas.openxmlformats.org/drawingml/2006/spreadsheetDrawing" xmlns:a="http://schemas.openxmlformats.org/drawingml/2006/main">
  <xdr:twoCellAnchor editAs="absolute">
    <xdr:from>
      <xdr:col>11</xdr:col>
      <xdr:colOff>19050</xdr:colOff>
      <xdr:row>0</xdr:row>
      <xdr:rowOff>238125</xdr:rowOff>
    </xdr:from>
    <xdr:to>
      <xdr:col>12</xdr:col>
      <xdr:colOff>371377</xdr:colOff>
      <xdr:row>1</xdr:row>
      <xdr:rowOff>180937</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40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019675" y="238125"/>
          <a:ext cx="780952" cy="304762"/>
        </a:xfrm>
        <a:prstGeom prst="rect">
          <a:avLst/>
        </a:prstGeom>
        <a:noFill/>
        <a:ln w="1">
          <a:noFill/>
          <a:miter lim="800000"/>
          <a:headEnd/>
          <a:tailEnd type="none" w="med" len="med"/>
        </a:ln>
        <a:effectLst/>
      </xdr:spPr>
    </xdr:pic>
    <xdr:clientData fPrintsWithSheet="0"/>
  </xdr:twoCellAnchor>
</xdr:wsDr>
</file>

<file path=xl/drawings/drawing109.xml><?xml version="1.0" encoding="utf-8"?>
<xdr:wsDr xmlns:xdr="http://schemas.openxmlformats.org/drawingml/2006/spreadsheetDrawing" xmlns:a="http://schemas.openxmlformats.org/drawingml/2006/main">
  <xdr:twoCellAnchor editAs="absolute">
    <xdr:from>
      <xdr:col>10</xdr:col>
      <xdr:colOff>28574</xdr:colOff>
      <xdr:row>0</xdr:row>
      <xdr:rowOff>228600</xdr:rowOff>
    </xdr:from>
    <xdr:to>
      <xdr:col>11</xdr:col>
      <xdr:colOff>390524</xdr:colOff>
      <xdr:row>1</xdr:row>
      <xdr:rowOff>171412</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41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029199" y="228600"/>
          <a:ext cx="790575" cy="304762"/>
        </a:xfrm>
        <a:prstGeom prst="rect">
          <a:avLst/>
        </a:prstGeom>
        <a:noFill/>
        <a:ln w="1">
          <a:noFill/>
          <a:miter lim="800000"/>
          <a:headEnd/>
          <a:tailEnd type="none" w="med" len="med"/>
        </a:ln>
        <a:effectLst/>
      </xdr:spPr>
    </xdr:pic>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xdr:row>
      <xdr:rowOff>107671</xdr:rowOff>
    </xdr:from>
    <xdr:to>
      <xdr:col>7</xdr:col>
      <xdr:colOff>366150</xdr:colOff>
      <xdr:row>6</xdr:row>
      <xdr:rowOff>29957</xdr:rowOff>
    </xdr:to>
    <xdr:grpSp>
      <xdr:nvGrpSpPr>
        <xdr:cNvPr id="2" name="Agrupar 1">
          <a:extLst>
            <a:ext uri="{FF2B5EF4-FFF2-40B4-BE49-F238E27FC236}">
              <a16:creationId xmlns:a16="http://schemas.microsoft.com/office/drawing/2014/main" id="{00000000-0008-0000-0400-000002000000}"/>
            </a:ext>
          </a:extLst>
        </xdr:cNvPr>
        <xdr:cNvGrpSpPr/>
      </xdr:nvGrpSpPr>
      <xdr:grpSpPr>
        <a:xfrm>
          <a:off x="0" y="917296"/>
          <a:ext cx="4299975" cy="303286"/>
          <a:chOff x="230187" y="644543"/>
          <a:chExt cx="5846763" cy="466707"/>
        </a:xfrm>
      </xdr:grpSpPr>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4" name="Text Box 10">
            <a:extLst>
              <a:ext uri="{FF2B5EF4-FFF2-40B4-BE49-F238E27FC236}">
                <a16:creationId xmlns:a16="http://schemas.microsoft.com/office/drawing/2014/main" id="{00000000-0008-0000-0400-000004000000}"/>
              </a:ext>
            </a:extLst>
          </xdr:cNvPr>
          <xdr:cNvSpPr txBox="1">
            <a:spLocks noChangeArrowheads="1"/>
          </xdr:cNvSpPr>
        </xdr:nvSpPr>
        <xdr:spPr bwMode="auto">
          <a:xfrm>
            <a:off x="307902" y="644543"/>
            <a:ext cx="2564358" cy="389306"/>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Empresas e Estabelecimentos</a:t>
            </a:r>
            <a:endParaRPr lang="en-US" altLang="pt-PT" sz="1200" b="1">
              <a:solidFill>
                <a:srgbClr val="00467A"/>
              </a:solidFill>
              <a:latin typeface="Arial" charset="0"/>
            </a:endParaRPr>
          </a:p>
        </xdr:txBody>
      </xdr:sp>
    </xdr:grpSp>
    <xdr:clientData/>
  </xdr:twoCellAnchor>
  <xdr:twoCellAnchor>
    <xdr:from>
      <xdr:col>1</xdr:col>
      <xdr:colOff>417362</xdr:colOff>
      <xdr:row>0</xdr:row>
      <xdr:rowOff>0</xdr:rowOff>
    </xdr:from>
    <xdr:to>
      <xdr:col>22</xdr:col>
      <xdr:colOff>577850</xdr:colOff>
      <xdr:row>2</xdr:row>
      <xdr:rowOff>76200</xdr:rowOff>
    </xdr:to>
    <xdr:sp macro="" textlink="">
      <xdr:nvSpPr>
        <xdr:cNvPr id="6" name="Rectangle 17">
          <a:extLst>
            <a:ext uri="{FF2B5EF4-FFF2-40B4-BE49-F238E27FC236}">
              <a16:creationId xmlns:a16="http://schemas.microsoft.com/office/drawing/2014/main" id="{00000000-0008-0000-0400-000006000000}"/>
            </a:ext>
          </a:extLst>
        </xdr:cNvPr>
        <xdr:cNvSpPr>
          <a:spLocks noChangeArrowheads="1"/>
        </xdr:cNvSpPr>
      </xdr:nvSpPr>
      <xdr:spPr bwMode="auto">
        <a:xfrm rot="5400000">
          <a:off x="6779344" y="-5800007"/>
          <a:ext cx="457200" cy="12057213"/>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vert="vert270"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1600" b="1" i="1">
              <a:solidFill>
                <a:schemeClr val="bg1"/>
              </a:solidFill>
              <a:effectLst>
                <a:outerShdw blurRad="38100" dist="38100" dir="2700000" algn="tl">
                  <a:srgbClr val="000000"/>
                </a:outerShdw>
              </a:effectLst>
              <a:latin typeface="Arial" charset="0"/>
            </a:rPr>
            <a:t>Séries Cronológicas 2014 - 2024: Quadros de Pessoal</a:t>
          </a:r>
        </a:p>
        <a:p>
          <a:pPr defTabSz="988538">
            <a:defRPr/>
          </a:pPr>
          <a:r>
            <a:rPr lang="pt-PT" sz="1600" b="1" i="1">
              <a:solidFill>
                <a:srgbClr val="FFE600"/>
              </a:solidFill>
              <a:effectLst>
                <a:outerShdw blurRad="38100" dist="38100" dir="2700000" algn="tl">
                  <a:srgbClr val="000000"/>
                </a:outerShdw>
              </a:effectLst>
              <a:latin typeface="Arial" charset="0"/>
            </a:rPr>
            <a:t>Distritos</a:t>
          </a:r>
        </a:p>
      </xdr:txBody>
    </xdr:sp>
    <xdr:clientData/>
  </xdr:twoCellAnchor>
  <xdr:twoCellAnchor>
    <xdr:from>
      <xdr:col>7</xdr:col>
      <xdr:colOff>409575</xdr:colOff>
      <xdr:row>4</xdr:row>
      <xdr:rowOff>89698</xdr:rowOff>
    </xdr:from>
    <xdr:to>
      <xdr:col>15</xdr:col>
      <xdr:colOff>229625</xdr:colOff>
      <xdr:row>6</xdr:row>
      <xdr:rowOff>45398</xdr:rowOff>
    </xdr:to>
    <xdr:grpSp>
      <xdr:nvGrpSpPr>
        <xdr:cNvPr id="33" name="Agrupar 32">
          <a:extLst>
            <a:ext uri="{FF2B5EF4-FFF2-40B4-BE49-F238E27FC236}">
              <a16:creationId xmlns:a16="http://schemas.microsoft.com/office/drawing/2014/main" id="{00000000-0008-0000-0400-000021000000}"/>
            </a:ext>
          </a:extLst>
        </xdr:cNvPr>
        <xdr:cNvGrpSpPr/>
      </xdr:nvGrpSpPr>
      <xdr:grpSpPr>
        <a:xfrm>
          <a:off x="4343400" y="899323"/>
          <a:ext cx="4277750" cy="336700"/>
          <a:chOff x="230187" y="612160"/>
          <a:chExt cx="5846763" cy="499090"/>
        </a:xfrm>
      </xdr:grpSpPr>
      <xdr:sp macro="" textlink="">
        <xdr:nvSpPr>
          <xdr:cNvPr id="37" name="Rectangle 3">
            <a:extLst>
              <a:ext uri="{FF2B5EF4-FFF2-40B4-BE49-F238E27FC236}">
                <a16:creationId xmlns:a16="http://schemas.microsoft.com/office/drawing/2014/main" id="{00000000-0008-0000-0400-000025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38" name="Text Box 10">
            <a:extLst>
              <a:ext uri="{FF2B5EF4-FFF2-40B4-BE49-F238E27FC236}">
                <a16:creationId xmlns:a16="http://schemas.microsoft.com/office/drawing/2014/main" id="{00000000-0008-0000-0400-000026000000}"/>
              </a:ext>
            </a:extLst>
          </xdr:cNvPr>
          <xdr:cNvSpPr txBox="1">
            <a:spLocks noChangeArrowheads="1"/>
          </xdr:cNvSpPr>
        </xdr:nvSpPr>
        <xdr:spPr bwMode="auto">
          <a:xfrm>
            <a:off x="273049" y="612160"/>
            <a:ext cx="2074661" cy="413240"/>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Pessoas ao serviço e TCO</a:t>
            </a:r>
          </a:p>
        </xdr:txBody>
      </xdr:sp>
    </xdr:grpSp>
    <xdr:clientData/>
  </xdr:twoCellAnchor>
  <xdr:twoCellAnchor>
    <xdr:from>
      <xdr:col>15</xdr:col>
      <xdr:colOff>279400</xdr:colOff>
      <xdr:row>4</xdr:row>
      <xdr:rowOff>81233</xdr:rowOff>
    </xdr:from>
    <xdr:to>
      <xdr:col>23</xdr:col>
      <xdr:colOff>23200</xdr:colOff>
      <xdr:row>6</xdr:row>
      <xdr:rowOff>36933</xdr:rowOff>
    </xdr:to>
    <xdr:grpSp>
      <xdr:nvGrpSpPr>
        <xdr:cNvPr id="43" name="Agrupar 42">
          <a:extLst>
            <a:ext uri="{FF2B5EF4-FFF2-40B4-BE49-F238E27FC236}">
              <a16:creationId xmlns:a16="http://schemas.microsoft.com/office/drawing/2014/main" id="{00000000-0008-0000-0400-00002B000000}"/>
            </a:ext>
          </a:extLst>
        </xdr:cNvPr>
        <xdr:cNvGrpSpPr/>
      </xdr:nvGrpSpPr>
      <xdr:grpSpPr>
        <a:xfrm>
          <a:off x="8670925" y="890858"/>
          <a:ext cx="4368800" cy="336700"/>
          <a:chOff x="230187" y="612158"/>
          <a:chExt cx="5846763" cy="499092"/>
        </a:xfrm>
      </xdr:grpSpPr>
      <xdr:sp macro="" textlink="">
        <xdr:nvSpPr>
          <xdr:cNvPr id="44" name="Rectangle 3">
            <a:extLst>
              <a:ext uri="{FF2B5EF4-FFF2-40B4-BE49-F238E27FC236}">
                <a16:creationId xmlns:a16="http://schemas.microsoft.com/office/drawing/2014/main" id="{00000000-0008-0000-0400-00002C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45" name="Text Box 10">
            <a:extLst>
              <a:ext uri="{FF2B5EF4-FFF2-40B4-BE49-F238E27FC236}">
                <a16:creationId xmlns:a16="http://schemas.microsoft.com/office/drawing/2014/main" id="{00000000-0008-0000-0400-00002D000000}"/>
              </a:ext>
            </a:extLst>
          </xdr:cNvPr>
          <xdr:cNvSpPr txBox="1">
            <a:spLocks noChangeArrowheads="1"/>
          </xdr:cNvSpPr>
        </xdr:nvSpPr>
        <xdr:spPr bwMode="auto">
          <a:xfrm>
            <a:off x="264329" y="612158"/>
            <a:ext cx="2533750" cy="425733"/>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Remunerações</a:t>
            </a:r>
            <a:r>
              <a:rPr lang="en-US" altLang="pt-PT" sz="1000" b="1" baseline="0">
                <a:solidFill>
                  <a:srgbClr val="00467A"/>
                </a:solidFill>
                <a:latin typeface="+mn-lt"/>
              </a:rPr>
              <a:t> médias mensais</a:t>
            </a:r>
            <a:endParaRPr lang="en-US" altLang="pt-PT" sz="1000" b="1">
              <a:solidFill>
                <a:srgbClr val="00467A"/>
              </a:solidFill>
              <a:latin typeface="+mn-lt"/>
            </a:endParaRPr>
          </a:p>
        </xdr:txBody>
      </xdr:sp>
    </xdr:grpSp>
    <xdr:clientData/>
  </xdr:twoCellAnchor>
  <xdr:twoCellAnchor>
    <xdr:from>
      <xdr:col>0</xdr:col>
      <xdr:colOff>47996</xdr:colOff>
      <xdr:row>2</xdr:row>
      <xdr:rowOff>120650</xdr:rowOff>
    </xdr:from>
    <xdr:to>
      <xdr:col>22</xdr:col>
      <xdr:colOff>577849</xdr:colOff>
      <xdr:row>4</xdr:row>
      <xdr:rowOff>50800</xdr:rowOff>
    </xdr:to>
    <xdr:grpSp>
      <xdr:nvGrpSpPr>
        <xdr:cNvPr id="20" name="Agrupar 19">
          <a:extLst>
            <a:ext uri="{FF2B5EF4-FFF2-40B4-BE49-F238E27FC236}">
              <a16:creationId xmlns:a16="http://schemas.microsoft.com/office/drawing/2014/main" id="{00000000-0008-0000-0400-000014000000}"/>
            </a:ext>
          </a:extLst>
        </xdr:cNvPr>
        <xdr:cNvGrpSpPr/>
      </xdr:nvGrpSpPr>
      <xdr:grpSpPr>
        <a:xfrm>
          <a:off x="47996" y="549275"/>
          <a:ext cx="12988553" cy="311150"/>
          <a:chOff x="47996" y="590550"/>
          <a:chExt cx="13610853" cy="298450"/>
        </a:xfrm>
      </xdr:grpSpPr>
      <xdr:sp macro="" textlink="">
        <xdr:nvSpPr>
          <xdr:cNvPr id="88" name="Text Box 10">
            <a:extLst>
              <a:ext uri="{FF2B5EF4-FFF2-40B4-BE49-F238E27FC236}">
                <a16:creationId xmlns:a16="http://schemas.microsoft.com/office/drawing/2014/main" id="{00000000-0008-0000-0400-000058000000}"/>
              </a:ext>
            </a:extLst>
          </xdr:cNvPr>
          <xdr:cNvSpPr txBox="1">
            <a:spLocks noChangeArrowheads="1"/>
          </xdr:cNvSpPr>
        </xdr:nvSpPr>
        <xdr:spPr bwMode="auto">
          <a:xfrm>
            <a:off x="47996" y="590550"/>
            <a:ext cx="13610853" cy="298450"/>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endParaRPr lang="en-US" altLang="pt-PT" sz="1200" b="1">
              <a:solidFill>
                <a:srgbClr val="00467A"/>
              </a:solidFill>
              <a:latin typeface="Arial" charset="0"/>
            </a:endParaRPr>
          </a:p>
        </xdr:txBody>
      </xdr:sp>
      <mc:AlternateContent xmlns:mc="http://schemas.openxmlformats.org/markup-compatibility/2006">
        <mc:Choice xmlns:a14="http://schemas.microsoft.com/office/drawing/2010/main" Requires="a14">
          <xdr:sp macro="" textlink="">
            <xdr:nvSpPr>
              <xdr:cNvPr id="132100" name="Drop Down 4" hidden="1">
                <a:extLst>
                  <a:ext uri="{63B3BB69-23CF-44E3-9099-C40C66FF867C}">
                    <a14:compatExt spid="_x0000_s132100"/>
                  </a:ext>
                  <a:ext uri="{FF2B5EF4-FFF2-40B4-BE49-F238E27FC236}">
                    <a16:creationId xmlns:a16="http://schemas.microsoft.com/office/drawing/2014/main" id="{00000000-0008-0000-0400-000004040200}"/>
                  </a:ext>
                </a:extLst>
              </xdr:cNvPr>
              <xdr:cNvSpPr/>
            </xdr:nvSpPr>
            <xdr:spPr bwMode="auto">
              <a:xfrm>
                <a:off x="1619929" y="625863"/>
                <a:ext cx="1123950" cy="196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89" name="Text Box 10">
            <a:extLst>
              <a:ext uri="{FF2B5EF4-FFF2-40B4-BE49-F238E27FC236}">
                <a16:creationId xmlns:a16="http://schemas.microsoft.com/office/drawing/2014/main" id="{00000000-0008-0000-0400-000059000000}"/>
              </a:ext>
            </a:extLst>
          </xdr:cNvPr>
          <xdr:cNvSpPr txBox="1">
            <a:spLocks noChangeArrowheads="1"/>
          </xdr:cNvSpPr>
        </xdr:nvSpPr>
        <xdr:spPr bwMode="auto">
          <a:xfrm>
            <a:off x="150340" y="613164"/>
            <a:ext cx="1434396" cy="241300"/>
          </a:xfrm>
          <a:prstGeom prst="rect">
            <a:avLst/>
          </a:prstGeom>
          <a:solidFill>
            <a:srgbClr val="00467A"/>
          </a:solidFill>
          <a:ln>
            <a:noFill/>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distrito</a:t>
            </a:r>
            <a:endParaRPr lang="en-US" altLang="pt-PT" sz="1200" b="1">
              <a:solidFill>
                <a:schemeClr val="bg1"/>
              </a:solidFill>
              <a:latin typeface="Arial" charset="0"/>
            </a:endParaRPr>
          </a:p>
        </xdr:txBody>
      </xdr:sp>
    </xdr:grpSp>
    <xdr:clientData/>
  </xdr:twoCellAnchor>
  <xdr:twoCellAnchor>
    <xdr:from>
      <xdr:col>0</xdr:col>
      <xdr:colOff>88900</xdr:colOff>
      <xdr:row>10</xdr:row>
      <xdr:rowOff>120650</xdr:rowOff>
    </xdr:from>
    <xdr:to>
      <xdr:col>7</xdr:col>
      <xdr:colOff>275050</xdr:colOff>
      <xdr:row>26</xdr:row>
      <xdr:rowOff>41550</xdr:rowOff>
    </xdr:to>
    <xdr:grpSp>
      <xdr:nvGrpSpPr>
        <xdr:cNvPr id="90" name="Agrupar 89">
          <a:extLst>
            <a:ext uri="{FF2B5EF4-FFF2-40B4-BE49-F238E27FC236}">
              <a16:creationId xmlns:a16="http://schemas.microsoft.com/office/drawing/2014/main" id="{00000000-0008-0000-0400-00005A000000}"/>
            </a:ext>
          </a:extLst>
        </xdr:cNvPr>
        <xdr:cNvGrpSpPr/>
      </xdr:nvGrpSpPr>
      <xdr:grpSpPr>
        <a:xfrm>
          <a:off x="88900" y="2073275"/>
          <a:ext cx="4119975" cy="2968900"/>
          <a:chOff x="36182300" y="8426450"/>
          <a:chExt cx="4819650" cy="2597244"/>
        </a:xfrm>
      </xdr:grpSpPr>
      <xdr:graphicFrame macro="">
        <xdr:nvGraphicFramePr>
          <xdr:cNvPr id="91" name="Gráfico 90">
            <a:extLst>
              <a:ext uri="{FF2B5EF4-FFF2-40B4-BE49-F238E27FC236}">
                <a16:creationId xmlns:a16="http://schemas.microsoft.com/office/drawing/2014/main" id="{00000000-0008-0000-0400-00005B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92" name="CaixaDeTexto 91">
            <a:extLst>
              <a:ext uri="{FF2B5EF4-FFF2-40B4-BE49-F238E27FC236}">
                <a16:creationId xmlns:a16="http://schemas.microsoft.com/office/drawing/2014/main" id="{00000000-0008-0000-0400-00005C000000}"/>
              </a:ext>
            </a:extLst>
          </xdr:cNvPr>
          <xdr:cNvSpPr txBox="1"/>
        </xdr:nvSpPr>
        <xdr:spPr>
          <a:xfrm>
            <a:off x="39836722" y="8902700"/>
            <a:ext cx="913867"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Empresas</a:t>
            </a:r>
          </a:p>
        </xdr:txBody>
      </xdr:sp>
      <xdr:sp macro="" textlink="">
        <xdr:nvSpPr>
          <xdr:cNvPr id="93" name="CaixaDeTexto 92">
            <a:extLst>
              <a:ext uri="{FF2B5EF4-FFF2-40B4-BE49-F238E27FC236}">
                <a16:creationId xmlns:a16="http://schemas.microsoft.com/office/drawing/2014/main" id="{00000000-0008-0000-0400-00005D000000}"/>
              </a:ext>
            </a:extLst>
          </xdr:cNvPr>
          <xdr:cNvSpPr txBox="1"/>
        </xdr:nvSpPr>
        <xdr:spPr>
          <a:xfrm>
            <a:off x="39833549" y="9721850"/>
            <a:ext cx="913497"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Estabelecimentos</a:t>
            </a:r>
          </a:p>
        </xdr:txBody>
      </xdr:sp>
      <xdr:sp macro="" textlink="q3_q7_q11_q15_q24_q36_Fig!$AG$23">
        <xdr:nvSpPr>
          <xdr:cNvPr id="94" name="CaixaDeTexto 93">
            <a:extLst>
              <a:ext uri="{FF2B5EF4-FFF2-40B4-BE49-F238E27FC236}">
                <a16:creationId xmlns:a16="http://schemas.microsoft.com/office/drawing/2014/main" id="{00000000-0008-0000-0400-00005E000000}"/>
              </a:ext>
            </a:extLst>
          </xdr:cNvPr>
          <xdr:cNvSpPr txBox="1"/>
        </xdr:nvSpPr>
        <xdr:spPr>
          <a:xfrm>
            <a:off x="39839898" y="9994900"/>
            <a:ext cx="913867" cy="258246"/>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32E978C-36E4-4EF9-9691-B755701A40E7}" type="TxLink">
              <a:rPr lang="en-US" sz="1000" b="1" i="0" u="none" strike="noStrike">
                <a:solidFill>
                  <a:schemeClr val="bg1"/>
                </a:solidFill>
                <a:latin typeface="Arial"/>
                <a:ea typeface="+mn-ea"/>
                <a:cs typeface="Arial"/>
              </a:rPr>
              <a:pPr marL="0" indent="0" algn="ctr"/>
              <a:t>7,4%</a:t>
            </a:fld>
            <a:endParaRPr lang="pt-PT" sz="1000" b="1" i="0" u="none" strike="noStrike">
              <a:solidFill>
                <a:schemeClr val="bg1"/>
              </a:solidFill>
              <a:latin typeface="+mn-lt"/>
              <a:ea typeface="+mn-ea"/>
              <a:cs typeface="Arial"/>
            </a:endParaRPr>
          </a:p>
        </xdr:txBody>
      </xdr:sp>
      <xdr:sp macro="" textlink="q3_q7_q11_q15_q24_q36_Fig!$AG$22">
        <xdr:nvSpPr>
          <xdr:cNvPr id="95" name="CaixaDeTexto 94">
            <a:extLst>
              <a:ext uri="{FF2B5EF4-FFF2-40B4-BE49-F238E27FC236}">
                <a16:creationId xmlns:a16="http://schemas.microsoft.com/office/drawing/2014/main" id="{00000000-0008-0000-0400-00005F000000}"/>
              </a:ext>
            </a:extLst>
          </xdr:cNvPr>
          <xdr:cNvSpPr txBox="1"/>
        </xdr:nvSpPr>
        <xdr:spPr>
          <a:xfrm>
            <a:off x="39839898" y="9201150"/>
            <a:ext cx="913867" cy="25824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EC43F0F-F246-42EF-943E-C5ACB6D9EB24}" type="TxLink">
              <a:rPr lang="en-US" sz="1000" b="1" i="0" u="none" strike="noStrike">
                <a:solidFill>
                  <a:schemeClr val="bg1"/>
                </a:solidFill>
                <a:latin typeface="Arial"/>
                <a:cs typeface="Arial"/>
              </a:rPr>
              <a:pPr algn="ctr"/>
              <a:t>9,3%</a:t>
            </a:fld>
            <a:endParaRPr lang="pt-PT" sz="1000" b="1">
              <a:solidFill>
                <a:schemeClr val="bg1"/>
              </a:solidFill>
              <a:latin typeface="+mn-lt"/>
            </a:endParaRPr>
          </a:p>
        </xdr:txBody>
      </xdr:sp>
    </xdr:grpSp>
    <xdr:clientData/>
  </xdr:twoCellAnchor>
  <xdr:twoCellAnchor>
    <xdr:from>
      <xdr:col>0</xdr:col>
      <xdr:colOff>152400</xdr:colOff>
      <xdr:row>32</xdr:row>
      <xdr:rowOff>38100</xdr:rowOff>
    </xdr:from>
    <xdr:to>
      <xdr:col>6</xdr:col>
      <xdr:colOff>560550</xdr:colOff>
      <xdr:row>54</xdr:row>
      <xdr:rowOff>23100</xdr:rowOff>
    </xdr:to>
    <xdr:grpSp>
      <xdr:nvGrpSpPr>
        <xdr:cNvPr id="13" name="Agrupar 12">
          <a:extLst>
            <a:ext uri="{FF2B5EF4-FFF2-40B4-BE49-F238E27FC236}">
              <a16:creationId xmlns:a16="http://schemas.microsoft.com/office/drawing/2014/main" id="{00000000-0008-0000-0400-00000D000000}"/>
            </a:ext>
          </a:extLst>
        </xdr:cNvPr>
        <xdr:cNvGrpSpPr/>
      </xdr:nvGrpSpPr>
      <xdr:grpSpPr>
        <a:xfrm>
          <a:off x="152400" y="6124575"/>
          <a:ext cx="3780000" cy="4176000"/>
          <a:chOff x="152400" y="5626100"/>
          <a:chExt cx="3993314" cy="4140000"/>
        </a:xfrm>
      </xdr:grpSpPr>
      <xdr:graphicFrame macro="">
        <xdr:nvGraphicFramePr>
          <xdr:cNvPr id="98" name="Gráfico 97">
            <a:extLst>
              <a:ext uri="{FF2B5EF4-FFF2-40B4-BE49-F238E27FC236}">
                <a16:creationId xmlns:a16="http://schemas.microsoft.com/office/drawing/2014/main" id="{00000000-0008-0000-0400-000062000000}"/>
              </a:ext>
            </a:extLst>
          </xdr:cNvPr>
          <xdr:cNvGraphicFramePr/>
        </xdr:nvGraphicFramePr>
        <xdr:xfrm>
          <a:off x="152400" y="5626100"/>
          <a:ext cx="2700000" cy="4140000"/>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100" name="Agrupar 99">
            <a:extLst>
              <a:ext uri="{FF2B5EF4-FFF2-40B4-BE49-F238E27FC236}">
                <a16:creationId xmlns:a16="http://schemas.microsoft.com/office/drawing/2014/main" id="{00000000-0008-0000-0400-000064000000}"/>
              </a:ext>
            </a:extLst>
          </xdr:cNvPr>
          <xdr:cNvGrpSpPr/>
        </xdr:nvGrpSpPr>
        <xdr:grpSpPr>
          <a:xfrm>
            <a:off x="2133577" y="5715000"/>
            <a:ext cx="2012137" cy="3886200"/>
            <a:chOff x="25929945" y="6707910"/>
            <a:chExt cx="2164306" cy="3088635"/>
          </a:xfrm>
        </xdr:grpSpPr>
        <mc:AlternateContent xmlns:mc="http://schemas.openxmlformats.org/markup-compatibility/2006">
          <mc:Choice xmlns:cx4="http://schemas.microsoft.com/office/drawing/2016/5/10/chartex" Requires="cx4">
            <xdr:graphicFrame macro="">
              <xdr:nvGraphicFramePr>
                <xdr:cNvPr id="101" name="Gráfico 100">
                  <a:extLst>
                    <a:ext uri="{FF2B5EF4-FFF2-40B4-BE49-F238E27FC236}">
                      <a16:creationId xmlns:a16="http://schemas.microsoft.com/office/drawing/2014/main" id="{00000000-0008-0000-0400-000065000000}"/>
                    </a:ext>
                  </a:extLst>
                </xdr:cNvPr>
                <xdr:cNvGraphicFramePr/>
              </xdr:nvGraphicFramePr>
              <xdr:xfrm>
                <a:off x="25929945" y="6707910"/>
                <a:ext cx="2075527" cy="1529773"/>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25929945" y="6707910"/>
                  <a:ext cx="2075527" cy="1529773"/>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mc:AlternateContent xmlns:mc="http://schemas.openxmlformats.org/markup-compatibility/2006">
          <mc:Choice xmlns:cx4="http://schemas.microsoft.com/office/drawing/2016/5/10/chartex" Requires="cx4">
            <xdr:graphicFrame macro="">
              <xdr:nvGraphicFramePr>
                <xdr:cNvPr id="102" name="Gráfico 101">
                  <a:extLst>
                    <a:ext uri="{FF2B5EF4-FFF2-40B4-BE49-F238E27FC236}">
                      <a16:creationId xmlns:a16="http://schemas.microsoft.com/office/drawing/2014/main" id="{00000000-0008-0000-0400-000066000000}"/>
                    </a:ext>
                  </a:extLst>
                </xdr:cNvPr>
                <xdr:cNvGraphicFramePr/>
              </xdr:nvGraphicFramePr>
              <xdr:xfrm>
                <a:off x="26018728" y="8266545"/>
                <a:ext cx="2075523" cy="153000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6018728" y="8266545"/>
                  <a:ext cx="2075523" cy="1530000"/>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xdr:grpSp>
    </xdr:grpSp>
    <xdr:clientData/>
  </xdr:twoCellAnchor>
  <xdr:twoCellAnchor>
    <xdr:from>
      <xdr:col>8</xdr:col>
      <xdr:colOff>47625</xdr:colOff>
      <xdr:row>10</xdr:row>
      <xdr:rowOff>133350</xdr:rowOff>
    </xdr:from>
    <xdr:to>
      <xdr:col>15</xdr:col>
      <xdr:colOff>249650</xdr:colOff>
      <xdr:row>26</xdr:row>
      <xdr:rowOff>54250</xdr:rowOff>
    </xdr:to>
    <xdr:grpSp>
      <xdr:nvGrpSpPr>
        <xdr:cNvPr id="103" name="Agrupar 102">
          <a:extLst>
            <a:ext uri="{FF2B5EF4-FFF2-40B4-BE49-F238E27FC236}">
              <a16:creationId xmlns:a16="http://schemas.microsoft.com/office/drawing/2014/main" id="{00000000-0008-0000-0400-000067000000}"/>
            </a:ext>
          </a:extLst>
        </xdr:cNvPr>
        <xdr:cNvGrpSpPr/>
      </xdr:nvGrpSpPr>
      <xdr:grpSpPr>
        <a:xfrm>
          <a:off x="4543425" y="2085975"/>
          <a:ext cx="4097750" cy="2968900"/>
          <a:chOff x="36182300" y="8426450"/>
          <a:chExt cx="4819650" cy="2597244"/>
        </a:xfrm>
      </xdr:grpSpPr>
      <xdr:graphicFrame macro="">
        <xdr:nvGraphicFramePr>
          <xdr:cNvPr id="104" name="Gráfico 103">
            <a:extLst>
              <a:ext uri="{FF2B5EF4-FFF2-40B4-BE49-F238E27FC236}">
                <a16:creationId xmlns:a16="http://schemas.microsoft.com/office/drawing/2014/main" id="{00000000-0008-0000-0400-000068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105" name="CaixaDeTexto 104">
            <a:extLst>
              <a:ext uri="{FF2B5EF4-FFF2-40B4-BE49-F238E27FC236}">
                <a16:creationId xmlns:a16="http://schemas.microsoft.com/office/drawing/2014/main" id="{00000000-0008-0000-0400-000069000000}"/>
              </a:ext>
            </a:extLst>
          </xdr:cNvPr>
          <xdr:cNvSpPr txBox="1"/>
        </xdr:nvSpPr>
        <xdr:spPr>
          <a:xfrm>
            <a:off x="39836724" y="8902700"/>
            <a:ext cx="918824"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Pessoas ao serviço</a:t>
            </a:r>
          </a:p>
        </xdr:txBody>
      </xdr:sp>
      <xdr:sp macro="" textlink="">
        <xdr:nvSpPr>
          <xdr:cNvPr id="106" name="CaixaDeTexto 105">
            <a:extLst>
              <a:ext uri="{FF2B5EF4-FFF2-40B4-BE49-F238E27FC236}">
                <a16:creationId xmlns:a16="http://schemas.microsoft.com/office/drawing/2014/main" id="{00000000-0008-0000-0400-00006A000000}"/>
              </a:ext>
            </a:extLst>
          </xdr:cNvPr>
          <xdr:cNvSpPr txBox="1"/>
        </xdr:nvSpPr>
        <xdr:spPr>
          <a:xfrm>
            <a:off x="39833550" y="9721850"/>
            <a:ext cx="918824"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TCO</a:t>
            </a:r>
          </a:p>
        </xdr:txBody>
      </xdr:sp>
      <xdr:sp macro="" textlink="q3_q7_q11_q15_q24_q36_Fig!$AG$63">
        <xdr:nvSpPr>
          <xdr:cNvPr id="107" name="CaixaDeTexto 106">
            <a:extLst>
              <a:ext uri="{FF2B5EF4-FFF2-40B4-BE49-F238E27FC236}">
                <a16:creationId xmlns:a16="http://schemas.microsoft.com/office/drawing/2014/main" id="{00000000-0008-0000-0400-00006B000000}"/>
              </a:ext>
            </a:extLst>
          </xdr:cNvPr>
          <xdr:cNvSpPr txBox="1"/>
        </xdr:nvSpPr>
        <xdr:spPr>
          <a:xfrm>
            <a:off x="39839899" y="9994900"/>
            <a:ext cx="918824" cy="258246"/>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02D5924-8C9A-41C8-91E0-F846F9A251E2}" type="TxLink">
              <a:rPr lang="en-US" sz="1000" b="1" i="0" u="none" strike="noStrike">
                <a:solidFill>
                  <a:schemeClr val="bg1"/>
                </a:solidFill>
                <a:latin typeface="Arial"/>
                <a:ea typeface="+mn-ea"/>
                <a:cs typeface="Arial"/>
              </a:rPr>
              <a:pPr marL="0" indent="0" algn="ctr"/>
              <a:t>41,7%</a:t>
            </a:fld>
            <a:endParaRPr lang="pt-PT" sz="1000" b="1" i="0" u="none" strike="noStrike">
              <a:solidFill>
                <a:schemeClr val="bg1"/>
              </a:solidFill>
              <a:latin typeface="+mn-lt"/>
              <a:ea typeface="+mn-ea"/>
              <a:cs typeface="Arial"/>
            </a:endParaRPr>
          </a:p>
        </xdr:txBody>
      </xdr:sp>
      <xdr:sp macro="" textlink="q3_q7_q11_q15_q24_q36_Fig!$AG$62">
        <xdr:nvSpPr>
          <xdr:cNvPr id="108" name="CaixaDeTexto 107">
            <a:extLst>
              <a:ext uri="{FF2B5EF4-FFF2-40B4-BE49-F238E27FC236}">
                <a16:creationId xmlns:a16="http://schemas.microsoft.com/office/drawing/2014/main" id="{00000000-0008-0000-0400-00006C000000}"/>
              </a:ext>
            </a:extLst>
          </xdr:cNvPr>
          <xdr:cNvSpPr txBox="1"/>
        </xdr:nvSpPr>
        <xdr:spPr>
          <a:xfrm>
            <a:off x="39839900" y="9201150"/>
            <a:ext cx="918824" cy="25824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6DB01A9-3583-4425-97F6-0D959BD0A5C1}" type="TxLink">
              <a:rPr lang="en-US" sz="1000" b="1" i="0" u="none" strike="noStrike">
                <a:solidFill>
                  <a:schemeClr val="bg1"/>
                </a:solidFill>
                <a:latin typeface="Arial"/>
                <a:cs typeface="Arial"/>
              </a:rPr>
              <a:pPr algn="ctr"/>
              <a:t>39,8%</a:t>
            </a:fld>
            <a:endParaRPr lang="pt-PT" sz="1000" b="1">
              <a:solidFill>
                <a:schemeClr val="bg1"/>
              </a:solidFill>
              <a:latin typeface="+mn-lt"/>
            </a:endParaRPr>
          </a:p>
        </xdr:txBody>
      </xdr:sp>
    </xdr:grpSp>
    <xdr:clientData/>
  </xdr:twoCellAnchor>
  <xdr:twoCellAnchor>
    <xdr:from>
      <xdr:col>15</xdr:col>
      <xdr:colOff>419100</xdr:colOff>
      <xdr:row>11</xdr:row>
      <xdr:rowOff>99479</xdr:rowOff>
    </xdr:from>
    <xdr:to>
      <xdr:col>22</xdr:col>
      <xdr:colOff>471900</xdr:colOff>
      <xdr:row>26</xdr:row>
      <xdr:rowOff>118529</xdr:rowOff>
    </xdr:to>
    <xdr:grpSp>
      <xdr:nvGrpSpPr>
        <xdr:cNvPr id="113" name="Agrupar 112">
          <a:extLst>
            <a:ext uri="{FF2B5EF4-FFF2-40B4-BE49-F238E27FC236}">
              <a16:creationId xmlns:a16="http://schemas.microsoft.com/office/drawing/2014/main" id="{00000000-0008-0000-0400-000071000000}"/>
            </a:ext>
          </a:extLst>
        </xdr:cNvPr>
        <xdr:cNvGrpSpPr/>
      </xdr:nvGrpSpPr>
      <xdr:grpSpPr>
        <a:xfrm>
          <a:off x="8810625" y="2242604"/>
          <a:ext cx="4119975" cy="2876550"/>
          <a:chOff x="36182300" y="8426450"/>
          <a:chExt cx="4819650" cy="2597244"/>
        </a:xfrm>
      </xdr:grpSpPr>
      <xdr:graphicFrame macro="">
        <xdr:nvGraphicFramePr>
          <xdr:cNvPr id="114" name="Gráfico 113">
            <a:extLst>
              <a:ext uri="{FF2B5EF4-FFF2-40B4-BE49-F238E27FC236}">
                <a16:creationId xmlns:a16="http://schemas.microsoft.com/office/drawing/2014/main" id="{00000000-0008-0000-0400-000072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115" name="CaixaDeTexto 114">
            <a:extLst>
              <a:ext uri="{FF2B5EF4-FFF2-40B4-BE49-F238E27FC236}">
                <a16:creationId xmlns:a16="http://schemas.microsoft.com/office/drawing/2014/main" id="{00000000-0008-0000-0400-000073000000}"/>
              </a:ext>
            </a:extLst>
          </xdr:cNvPr>
          <xdr:cNvSpPr txBox="1"/>
        </xdr:nvSpPr>
        <xdr:spPr>
          <a:xfrm>
            <a:off x="39836724" y="8902700"/>
            <a:ext cx="913867" cy="266537"/>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a:t>
            </a:r>
            <a:r>
              <a:rPr lang="pt-PT" sz="800" b="1" baseline="0">
                <a:solidFill>
                  <a:schemeClr val="bg1"/>
                </a:solidFill>
                <a:latin typeface="+mn-lt"/>
                <a:ea typeface="+mn-ea"/>
                <a:cs typeface="+mn-cs"/>
              </a:rPr>
              <a:t> Base</a:t>
            </a:r>
          </a:p>
        </xdr:txBody>
      </xdr:sp>
      <xdr:sp macro="" textlink="">
        <xdr:nvSpPr>
          <xdr:cNvPr id="116" name="CaixaDeTexto 115">
            <a:extLst>
              <a:ext uri="{FF2B5EF4-FFF2-40B4-BE49-F238E27FC236}">
                <a16:creationId xmlns:a16="http://schemas.microsoft.com/office/drawing/2014/main" id="{00000000-0008-0000-0400-000074000000}"/>
              </a:ext>
            </a:extLst>
          </xdr:cNvPr>
          <xdr:cNvSpPr txBox="1"/>
        </xdr:nvSpPr>
        <xdr:spPr>
          <a:xfrm>
            <a:off x="39833549" y="9721850"/>
            <a:ext cx="913867" cy="266537"/>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 Ganho</a:t>
            </a:r>
          </a:p>
        </xdr:txBody>
      </xdr:sp>
      <xdr:sp macro="" textlink="q3_q7_q11_q15_q24_q36_Fig!$AG$103">
        <xdr:nvSpPr>
          <xdr:cNvPr id="117" name="CaixaDeTexto 116">
            <a:extLst>
              <a:ext uri="{FF2B5EF4-FFF2-40B4-BE49-F238E27FC236}">
                <a16:creationId xmlns:a16="http://schemas.microsoft.com/office/drawing/2014/main" id="{00000000-0008-0000-0400-000075000000}"/>
              </a:ext>
            </a:extLst>
          </xdr:cNvPr>
          <xdr:cNvSpPr txBox="1"/>
        </xdr:nvSpPr>
        <xdr:spPr>
          <a:xfrm>
            <a:off x="39839897" y="9994900"/>
            <a:ext cx="913867" cy="266537"/>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BEB6391-2DA1-4399-8E59-5272F0F21967}" type="TxLink">
              <a:rPr lang="en-US" sz="1000" b="1" i="0" u="none" strike="noStrike">
                <a:solidFill>
                  <a:schemeClr val="bg1"/>
                </a:solidFill>
                <a:latin typeface="Arial"/>
                <a:ea typeface="+mn-ea"/>
                <a:cs typeface="Arial"/>
              </a:rPr>
              <a:pPr marL="0" indent="0" algn="ctr"/>
              <a:t>36,2%</a:t>
            </a:fld>
            <a:endParaRPr lang="pt-PT" sz="1000" b="1" i="0" u="none" strike="noStrike">
              <a:solidFill>
                <a:schemeClr val="bg1"/>
              </a:solidFill>
              <a:latin typeface="+mn-lt"/>
              <a:ea typeface="+mn-ea"/>
              <a:cs typeface="Arial"/>
            </a:endParaRPr>
          </a:p>
        </xdr:txBody>
      </xdr:sp>
      <xdr:sp macro="" textlink="q3_q7_q11_q15_q24_q36_Fig!$AG$102">
        <xdr:nvSpPr>
          <xdr:cNvPr id="118" name="CaixaDeTexto 117">
            <a:extLst>
              <a:ext uri="{FF2B5EF4-FFF2-40B4-BE49-F238E27FC236}">
                <a16:creationId xmlns:a16="http://schemas.microsoft.com/office/drawing/2014/main" id="{00000000-0008-0000-0400-000076000000}"/>
              </a:ext>
            </a:extLst>
          </xdr:cNvPr>
          <xdr:cNvSpPr txBox="1"/>
        </xdr:nvSpPr>
        <xdr:spPr>
          <a:xfrm>
            <a:off x="39839901" y="9201150"/>
            <a:ext cx="913867" cy="266537"/>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28287C6-FD56-4FDB-A45D-6AFD0E0E070A}" type="TxLink">
              <a:rPr lang="en-US" sz="1000" b="1" i="0" u="none" strike="noStrike">
                <a:solidFill>
                  <a:schemeClr val="bg1"/>
                </a:solidFill>
                <a:latin typeface="Arial"/>
                <a:cs typeface="Arial"/>
              </a:rPr>
              <a:pPr algn="ctr"/>
              <a:t>36,3%</a:t>
            </a:fld>
            <a:endParaRPr lang="pt-PT" sz="1000" b="1">
              <a:solidFill>
                <a:schemeClr val="bg1"/>
              </a:solidFill>
              <a:latin typeface="+mn-lt"/>
            </a:endParaRPr>
          </a:p>
        </xdr:txBody>
      </xdr:sp>
    </xdr:grpSp>
    <xdr:clientData/>
  </xdr:twoCellAnchor>
  <xdr:twoCellAnchor>
    <xdr:from>
      <xdr:col>8</xdr:col>
      <xdr:colOff>86785</xdr:colOff>
      <xdr:row>32</xdr:row>
      <xdr:rowOff>32805</xdr:rowOff>
    </xdr:from>
    <xdr:to>
      <xdr:col>14</xdr:col>
      <xdr:colOff>552085</xdr:colOff>
      <xdr:row>54</xdr:row>
      <xdr:rowOff>17805</xdr:rowOff>
    </xdr:to>
    <xdr:grpSp>
      <xdr:nvGrpSpPr>
        <xdr:cNvPr id="14" name="Agrupar 13">
          <a:extLst>
            <a:ext uri="{FF2B5EF4-FFF2-40B4-BE49-F238E27FC236}">
              <a16:creationId xmlns:a16="http://schemas.microsoft.com/office/drawing/2014/main" id="{00000000-0008-0000-0400-00000E000000}"/>
            </a:ext>
          </a:extLst>
        </xdr:cNvPr>
        <xdr:cNvGrpSpPr/>
      </xdr:nvGrpSpPr>
      <xdr:grpSpPr>
        <a:xfrm>
          <a:off x="4582585" y="6119280"/>
          <a:ext cx="3780000" cy="4176000"/>
          <a:chOff x="4686304" y="5695949"/>
          <a:chExt cx="4047546" cy="4140000"/>
        </a:xfrm>
      </xdr:grpSpPr>
      <xdr:graphicFrame macro="">
        <xdr:nvGraphicFramePr>
          <xdr:cNvPr id="111" name="Gráfico 110">
            <a:extLst>
              <a:ext uri="{FF2B5EF4-FFF2-40B4-BE49-F238E27FC236}">
                <a16:creationId xmlns:a16="http://schemas.microsoft.com/office/drawing/2014/main" id="{00000000-0008-0000-0400-00006F000000}"/>
              </a:ext>
            </a:extLst>
          </xdr:cNvPr>
          <xdr:cNvGraphicFramePr/>
        </xdr:nvGraphicFramePr>
        <xdr:xfrm>
          <a:off x="4686304" y="5695949"/>
          <a:ext cx="2700000" cy="4140000"/>
        </xdr:xfrm>
        <a:graphic>
          <a:graphicData uri="http://schemas.openxmlformats.org/drawingml/2006/chart">
            <c:chart xmlns:c="http://schemas.openxmlformats.org/drawingml/2006/chart" xmlns:r="http://schemas.openxmlformats.org/officeDocument/2006/relationships" r:id="rId7"/>
          </a:graphicData>
        </a:graphic>
      </xdr:graphicFrame>
      <xdr:grpSp>
        <xdr:nvGrpSpPr>
          <xdr:cNvPr id="60" name="Agrupar 59">
            <a:extLst>
              <a:ext uri="{FF2B5EF4-FFF2-40B4-BE49-F238E27FC236}">
                <a16:creationId xmlns:a16="http://schemas.microsoft.com/office/drawing/2014/main" id="{00000000-0008-0000-0400-00003C000000}"/>
              </a:ext>
            </a:extLst>
          </xdr:cNvPr>
          <xdr:cNvGrpSpPr/>
        </xdr:nvGrpSpPr>
        <xdr:grpSpPr>
          <a:xfrm>
            <a:off x="6775450" y="5772150"/>
            <a:ext cx="1958400" cy="3888000"/>
            <a:chOff x="30699366" y="10194636"/>
            <a:chExt cx="1935370" cy="3790590"/>
          </a:xfrm>
        </xdr:grpSpPr>
        <mc:AlternateContent xmlns:mc="http://schemas.openxmlformats.org/markup-compatibility/2006">
          <mc:Choice xmlns:cx4="http://schemas.microsoft.com/office/drawing/2016/5/10/chartex" Requires="cx4">
            <xdr:graphicFrame macro="">
              <xdr:nvGraphicFramePr>
                <xdr:cNvPr id="61" name="Gráfico 60">
                  <a:extLst>
                    <a:ext uri="{FF2B5EF4-FFF2-40B4-BE49-F238E27FC236}">
                      <a16:creationId xmlns:a16="http://schemas.microsoft.com/office/drawing/2014/main" id="{00000000-0008-0000-0400-00003D000000}"/>
                    </a:ext>
                  </a:extLst>
                </xdr:cNvPr>
                <xdr:cNvGraphicFramePr/>
              </xdr:nvGraphicFramePr>
              <xdr:xfrm>
                <a:off x="30705136" y="10194636"/>
                <a:ext cx="1929600" cy="1925999"/>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30705136" y="10194636"/>
                  <a:ext cx="1929600" cy="1925999"/>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mc:AlternateContent xmlns:mc="http://schemas.openxmlformats.org/markup-compatibility/2006">
          <mc:Choice xmlns:cx4="http://schemas.microsoft.com/office/drawing/2016/5/10/chartex" Requires="cx4">
            <xdr:graphicFrame macro="">
              <xdr:nvGraphicFramePr>
                <xdr:cNvPr id="62" name="Gráfico 61">
                  <a:extLst>
                    <a:ext uri="{FF2B5EF4-FFF2-40B4-BE49-F238E27FC236}">
                      <a16:creationId xmlns:a16="http://schemas.microsoft.com/office/drawing/2014/main" id="{00000000-0008-0000-0400-00003E000000}"/>
                    </a:ext>
                  </a:extLst>
                </xdr:cNvPr>
                <xdr:cNvGraphicFramePr/>
              </xdr:nvGraphicFramePr>
              <xdr:xfrm>
                <a:off x="30699366" y="12059227"/>
                <a:ext cx="1929600" cy="1925999"/>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30699366" y="12059227"/>
                  <a:ext cx="1929600" cy="1925999"/>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xdr:grpSp>
    </xdr:grpSp>
    <xdr:clientData/>
  </xdr:twoCellAnchor>
  <xdr:twoCellAnchor>
    <xdr:from>
      <xdr:col>15</xdr:col>
      <xdr:colOff>529166</xdr:colOff>
      <xdr:row>32</xdr:row>
      <xdr:rowOff>38100</xdr:rowOff>
    </xdr:from>
    <xdr:to>
      <xdr:col>22</xdr:col>
      <xdr:colOff>241991</xdr:colOff>
      <xdr:row>54</xdr:row>
      <xdr:rowOff>23100</xdr:rowOff>
    </xdr:to>
    <xdr:grpSp>
      <xdr:nvGrpSpPr>
        <xdr:cNvPr id="16" name="Agrupar 15">
          <a:extLst>
            <a:ext uri="{FF2B5EF4-FFF2-40B4-BE49-F238E27FC236}">
              <a16:creationId xmlns:a16="http://schemas.microsoft.com/office/drawing/2014/main" id="{00000000-0008-0000-0400-000010000000}"/>
            </a:ext>
          </a:extLst>
        </xdr:cNvPr>
        <xdr:cNvGrpSpPr/>
      </xdr:nvGrpSpPr>
      <xdr:grpSpPr>
        <a:xfrm>
          <a:off x="8920691" y="6124575"/>
          <a:ext cx="3780000" cy="4176000"/>
          <a:chOff x="9321800" y="5695949"/>
          <a:chExt cx="3925560" cy="4140000"/>
        </a:xfrm>
      </xdr:grpSpPr>
      <xdr:grpSp>
        <xdr:nvGrpSpPr>
          <xdr:cNvPr id="15" name="Agrupar 14">
            <a:extLst>
              <a:ext uri="{FF2B5EF4-FFF2-40B4-BE49-F238E27FC236}">
                <a16:creationId xmlns:a16="http://schemas.microsoft.com/office/drawing/2014/main" id="{00000000-0008-0000-0400-00000F000000}"/>
              </a:ext>
            </a:extLst>
          </xdr:cNvPr>
          <xdr:cNvGrpSpPr/>
        </xdr:nvGrpSpPr>
        <xdr:grpSpPr>
          <a:xfrm>
            <a:off x="11288960" y="5768938"/>
            <a:ext cx="1958400" cy="3888000"/>
            <a:chOff x="10933360" y="5102189"/>
            <a:chExt cx="1937290" cy="3770711"/>
          </a:xfrm>
        </xdr:grpSpPr>
        <mc:AlternateContent xmlns:mc="http://schemas.openxmlformats.org/markup-compatibility/2006">
          <mc:Choice xmlns:cx4="http://schemas.microsoft.com/office/drawing/2016/5/10/chartex" Requires="cx4">
            <xdr:graphicFrame macro="">
              <xdr:nvGraphicFramePr>
                <xdr:cNvPr id="122" name="Gráfico 121">
                  <a:extLst>
                    <a:ext uri="{FF2B5EF4-FFF2-40B4-BE49-F238E27FC236}">
                      <a16:creationId xmlns:a16="http://schemas.microsoft.com/office/drawing/2014/main" id="{00000000-0008-0000-0400-00007A000000}"/>
                    </a:ext>
                  </a:extLst>
                </xdr:cNvPr>
                <xdr:cNvGraphicFramePr/>
              </xdr:nvGraphicFramePr>
              <xdr:xfrm>
                <a:off x="10933360" y="5102189"/>
                <a:ext cx="1929600" cy="1916778"/>
              </xdr:xfrm>
              <a:graphic>
                <a:graphicData uri="http://schemas.microsoft.com/office/drawing/2014/chartex">
                  <cx:chart xmlns:cx="http://schemas.microsoft.com/office/drawing/2014/chartex" xmlns:r="http://schemas.openxmlformats.org/officeDocument/2006/relationships" r:id="rId10"/>
                </a:graphicData>
              </a:graphic>
            </xdr:graphicFrame>
          </mc:Choice>
          <mc:Fallback>
            <xdr:sp macro="" textlink="">
              <xdr:nvSpPr>
                <xdr:cNvPr id="0" name=""/>
                <xdr:cNvSpPr>
                  <a:spLocks noTextEdit="1"/>
                </xdr:cNvSpPr>
              </xdr:nvSpPr>
              <xdr:spPr>
                <a:xfrm>
                  <a:off x="10933360" y="5102189"/>
                  <a:ext cx="1929600" cy="1916778"/>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mc:AlternateContent xmlns:mc="http://schemas.openxmlformats.org/markup-compatibility/2006">
          <mc:Choice xmlns:cx4="http://schemas.microsoft.com/office/drawing/2016/5/10/chartex" Requires="cx4">
            <xdr:graphicFrame macro="">
              <xdr:nvGraphicFramePr>
                <xdr:cNvPr id="123" name="Gráfico 122">
                  <a:extLst>
                    <a:ext uri="{FF2B5EF4-FFF2-40B4-BE49-F238E27FC236}">
                      <a16:creationId xmlns:a16="http://schemas.microsoft.com/office/drawing/2014/main" id="{00000000-0008-0000-0400-00007B000000}"/>
                    </a:ext>
                  </a:extLst>
                </xdr:cNvPr>
                <xdr:cNvGraphicFramePr/>
              </xdr:nvGraphicFramePr>
              <xdr:xfrm>
                <a:off x="10941050" y="6946900"/>
                <a:ext cx="1929600" cy="192600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10941050" y="6946900"/>
                  <a:ext cx="1929600" cy="1926000"/>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xdr:grpSp>
      <xdr:graphicFrame macro="">
        <xdr:nvGraphicFramePr>
          <xdr:cNvPr id="65" name="Gráfico 64">
            <a:extLst>
              <a:ext uri="{FF2B5EF4-FFF2-40B4-BE49-F238E27FC236}">
                <a16:creationId xmlns:a16="http://schemas.microsoft.com/office/drawing/2014/main" id="{00000000-0008-0000-0400-000041000000}"/>
              </a:ext>
            </a:extLst>
          </xdr:cNvPr>
          <xdr:cNvGraphicFramePr>
            <a:graphicFrameLocks/>
          </xdr:cNvGraphicFramePr>
        </xdr:nvGraphicFramePr>
        <xdr:xfrm>
          <a:off x="9321800" y="5695949"/>
          <a:ext cx="2700000" cy="414000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0</xdr:col>
      <xdr:colOff>28575</xdr:colOff>
      <xdr:row>6</xdr:row>
      <xdr:rowOff>76200</xdr:rowOff>
    </xdr:from>
    <xdr:to>
      <xdr:col>7</xdr:col>
      <xdr:colOff>342750</xdr:colOff>
      <xdr:row>10</xdr:row>
      <xdr:rowOff>46900</xdr:rowOff>
    </xdr:to>
    <xdr:sp macro="" textlink="q3_q7_q11_q15_q24_q36_Fig!$AE$46">
      <xdr:nvSpPr>
        <xdr:cNvPr id="67" name="CaixaDeTexto 66">
          <a:extLst>
            <a:ext uri="{FF2B5EF4-FFF2-40B4-BE49-F238E27FC236}">
              <a16:creationId xmlns:a16="http://schemas.microsoft.com/office/drawing/2014/main" id="{00000000-0008-0000-0400-000043000000}"/>
            </a:ext>
          </a:extLst>
        </xdr:cNvPr>
        <xdr:cNvSpPr txBox="1"/>
      </xdr:nvSpPr>
      <xdr:spPr>
        <a:xfrm>
          <a:off x="28575" y="1266825"/>
          <a:ext cx="4248000" cy="7327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7279F53C-A5DB-4BE7-9830-A4A7BE858FF6}" type="TxLink">
            <a:rPr lang="en-US" sz="900" b="1" i="0" u="none" strike="noStrike">
              <a:solidFill>
                <a:srgbClr val="17375E"/>
              </a:solidFill>
              <a:latin typeface="Calibri"/>
              <a:cs typeface="Calibri"/>
            </a:rPr>
            <a:pPr algn="l"/>
            <a:t>2024:
O distrito de Lisboa era a sede de 65.461 empresas (variação de 9,3% face a 2014, ou seja, mais 5.550) e era a localização de 77.003 estabelecimentos (variação de 7,4% face a 2014, ou seja, mais 5.313).</a:t>
          </a:fld>
          <a:endParaRPr lang="pt-PT" sz="900" b="1">
            <a:solidFill>
              <a:srgbClr val="17375E"/>
            </a:solidFill>
            <a:latin typeface="+mn-lt"/>
          </a:endParaRPr>
        </a:p>
      </xdr:txBody>
    </xdr:sp>
    <xdr:clientData/>
  </xdr:twoCellAnchor>
  <xdr:twoCellAnchor>
    <xdr:from>
      <xdr:col>7</xdr:col>
      <xdr:colOff>425450</xdr:colOff>
      <xdr:row>6</xdr:row>
      <xdr:rowOff>88900</xdr:rowOff>
    </xdr:from>
    <xdr:to>
      <xdr:col>15</xdr:col>
      <xdr:colOff>179750</xdr:colOff>
      <xdr:row>10</xdr:row>
      <xdr:rowOff>59600</xdr:rowOff>
    </xdr:to>
    <xdr:sp macro="" textlink="q3_q7_q11_q15_q24_q36_Fig!$AE$69">
      <xdr:nvSpPr>
        <xdr:cNvPr id="68" name="CaixaDeTexto 67">
          <a:extLst>
            <a:ext uri="{FF2B5EF4-FFF2-40B4-BE49-F238E27FC236}">
              <a16:creationId xmlns:a16="http://schemas.microsoft.com/office/drawing/2014/main" id="{00000000-0008-0000-0400-000044000000}"/>
            </a:ext>
          </a:extLst>
        </xdr:cNvPr>
        <xdr:cNvSpPr txBox="1"/>
      </xdr:nvSpPr>
      <xdr:spPr>
        <a:xfrm>
          <a:off x="4359275" y="1279525"/>
          <a:ext cx="4212000" cy="7327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B68D530-8978-42BF-A477-72FE6EFAFB1D}" type="TxLink">
            <a:rPr lang="en-US" sz="900" b="1" i="0" u="none" strike="noStrike">
              <a:solidFill>
                <a:srgbClr val="17375E"/>
              </a:solidFill>
              <a:latin typeface="Calibri"/>
              <a:cs typeface="Calibri"/>
            </a:rPr>
            <a:pPr algn="l"/>
            <a:t>2024:
As empresas do distrito de Lisboa tinham ao seu serviço 1.068.615 pessoas (variação de 39,8% face a 2014, ou seja, mais 304.091) e tinham 1.024.115 TCO (variação de 41,7% face a 2014, ou seja, mais 301.261).</a:t>
          </a:fld>
          <a:endParaRPr lang="pt-PT" sz="900" b="1">
            <a:solidFill>
              <a:srgbClr val="17375E"/>
            </a:solidFill>
            <a:latin typeface="+mn-lt"/>
          </a:endParaRPr>
        </a:p>
      </xdr:txBody>
    </xdr:sp>
    <xdr:clientData/>
  </xdr:twoCellAnchor>
  <xdr:twoCellAnchor>
    <xdr:from>
      <xdr:col>15</xdr:col>
      <xdr:colOff>222249</xdr:colOff>
      <xdr:row>6</xdr:row>
      <xdr:rowOff>82550</xdr:rowOff>
    </xdr:from>
    <xdr:to>
      <xdr:col>23</xdr:col>
      <xdr:colOff>2049</xdr:colOff>
      <xdr:row>10</xdr:row>
      <xdr:rowOff>53250</xdr:rowOff>
    </xdr:to>
    <xdr:sp macro="" textlink="q3_q7_q11_q15_q24_q36_Fig!$AE$109">
      <xdr:nvSpPr>
        <xdr:cNvPr id="69" name="CaixaDeTexto 68">
          <a:extLst>
            <a:ext uri="{FF2B5EF4-FFF2-40B4-BE49-F238E27FC236}">
              <a16:creationId xmlns:a16="http://schemas.microsoft.com/office/drawing/2014/main" id="{00000000-0008-0000-0400-000045000000}"/>
            </a:ext>
          </a:extLst>
        </xdr:cNvPr>
        <xdr:cNvSpPr txBox="1"/>
      </xdr:nvSpPr>
      <xdr:spPr>
        <a:xfrm>
          <a:off x="8613774" y="1273175"/>
          <a:ext cx="4428000" cy="7327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9677BE54-6F28-4EC0-8FA0-7616C2A8B54A}" type="TxLink">
            <a:rPr lang="en-US" sz="900" b="1" i="0" u="none" strike="noStrike">
              <a:solidFill>
                <a:srgbClr val="17375E"/>
              </a:solidFill>
              <a:latin typeface="Calibri"/>
              <a:cs typeface="Calibri"/>
            </a:rPr>
            <a:pPr algn="l"/>
            <a:t>2024:
No distrito de Lisboa a remuneração média mensal base era de 1.567,8 euros (variação de 36,3% face a 2014, ou seja, + 417,3 euros) e de 1.896,5 euros a remuneração média mensal ganho (variação de 36,2% face a 2014, ou seja, + 504,1 euros).</a:t>
          </a:fld>
          <a:endParaRPr lang="pt-PT" sz="900" b="1">
            <a:solidFill>
              <a:srgbClr val="17375E"/>
            </a:solidFill>
            <a:latin typeface="+mn-lt"/>
          </a:endParaRPr>
        </a:p>
      </xdr:txBody>
    </xdr:sp>
    <xdr:clientData/>
  </xdr:twoCellAnchor>
  <xdr:twoCellAnchor>
    <xdr:from>
      <xdr:col>7</xdr:col>
      <xdr:colOff>521757</xdr:colOff>
      <xdr:row>25</xdr:row>
      <xdr:rowOff>50952</xdr:rowOff>
    </xdr:from>
    <xdr:to>
      <xdr:col>15</xdr:col>
      <xdr:colOff>369657</xdr:colOff>
      <xdr:row>32</xdr:row>
      <xdr:rowOff>57179</xdr:rowOff>
    </xdr:to>
    <xdr:grpSp>
      <xdr:nvGrpSpPr>
        <xdr:cNvPr id="7" name="Agrupar 6">
          <a:extLst>
            <a:ext uri="{FF2B5EF4-FFF2-40B4-BE49-F238E27FC236}">
              <a16:creationId xmlns:a16="http://schemas.microsoft.com/office/drawing/2014/main" id="{00000000-0008-0000-0400-000007000000}"/>
            </a:ext>
          </a:extLst>
        </xdr:cNvPr>
        <xdr:cNvGrpSpPr/>
      </xdr:nvGrpSpPr>
      <xdr:grpSpPr>
        <a:xfrm>
          <a:off x="4455582" y="4861077"/>
          <a:ext cx="4305600" cy="1282577"/>
          <a:chOff x="4455582" y="4861077"/>
          <a:chExt cx="4305600" cy="1282577"/>
        </a:xfrm>
      </xdr:grpSpPr>
      <xdr:grpSp>
        <xdr:nvGrpSpPr>
          <xdr:cNvPr id="78" name="Agrupar 77">
            <a:extLst>
              <a:ext uri="{FF2B5EF4-FFF2-40B4-BE49-F238E27FC236}">
                <a16:creationId xmlns:a16="http://schemas.microsoft.com/office/drawing/2014/main" id="{00000000-0008-0000-0400-00004E000000}"/>
              </a:ext>
            </a:extLst>
          </xdr:cNvPr>
          <xdr:cNvGrpSpPr/>
        </xdr:nvGrpSpPr>
        <xdr:grpSpPr>
          <a:xfrm>
            <a:off x="4585932" y="4861077"/>
            <a:ext cx="4111112" cy="540000"/>
            <a:chOff x="31830818" y="6707909"/>
            <a:chExt cx="3758044" cy="561600"/>
          </a:xfrm>
        </xdr:grpSpPr>
        <xdr:grpSp>
          <xdr:nvGrpSpPr>
            <xdr:cNvPr id="79" name="Agrupar 78">
              <a:extLst>
                <a:ext uri="{FF2B5EF4-FFF2-40B4-BE49-F238E27FC236}">
                  <a16:creationId xmlns:a16="http://schemas.microsoft.com/office/drawing/2014/main" id="{00000000-0008-0000-0400-00004F000000}"/>
                </a:ext>
              </a:extLst>
            </xdr:cNvPr>
            <xdr:cNvGrpSpPr/>
          </xdr:nvGrpSpPr>
          <xdr:grpSpPr>
            <a:xfrm>
              <a:off x="31830818" y="6875780"/>
              <a:ext cx="2050189" cy="240392"/>
              <a:chOff x="5127622" y="4549780"/>
              <a:chExt cx="2050977" cy="241300"/>
            </a:xfrm>
          </xdr:grpSpPr>
          <xdr:sp macro="" textlink="">
            <xdr:nvSpPr>
              <xdr:cNvPr id="81" name="Text Box 10">
                <a:extLst>
                  <a:ext uri="{FF2B5EF4-FFF2-40B4-BE49-F238E27FC236}">
                    <a16:creationId xmlns:a16="http://schemas.microsoft.com/office/drawing/2014/main" id="{00000000-0008-0000-0400-000051000000}"/>
                  </a:ext>
                </a:extLst>
              </xdr:cNvPr>
              <xdr:cNvSpPr txBox="1">
                <a:spLocks noChangeArrowheads="1"/>
              </xdr:cNvSpPr>
            </xdr:nvSpPr>
            <xdr:spPr bwMode="auto">
              <a:xfrm>
                <a:off x="5127622" y="4549780"/>
                <a:ext cx="1346200" cy="241300"/>
              </a:xfrm>
              <a:prstGeom prst="rect">
                <a:avLst/>
              </a:prstGeom>
              <a:solidFill>
                <a:srgbClr val="00467A"/>
              </a:solidFill>
              <a:ln>
                <a:noFill/>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132107" name="Drop Down 11" hidden="1">
                    <a:extLst>
                      <a:ext uri="{63B3BB69-23CF-44E3-9099-C40C66FF867C}">
                        <a14:compatExt spid="_x0000_s132107"/>
                      </a:ext>
                      <a:ext uri="{FF2B5EF4-FFF2-40B4-BE49-F238E27FC236}">
                        <a16:creationId xmlns:a16="http://schemas.microsoft.com/office/drawing/2014/main" id="{00000000-0008-0000-0400-00000B040200}"/>
                      </a:ext>
                    </a:extLst>
                  </xdr:cNvPr>
                  <xdr:cNvSpPr/>
                </xdr:nvSpPr>
                <xdr:spPr bwMode="auto">
                  <a:xfrm>
                    <a:off x="6505509" y="4549780"/>
                    <a:ext cx="673090" cy="241201"/>
                  </a:xfrm>
                  <a:prstGeom prst="rect">
                    <a:avLst/>
                  </a:prstGeom>
                  <a:noFill/>
                  <a:ln>
                    <a:noFill/>
                  </a:ln>
                  <a:extLst>
                    <a:ext uri="{91240B29-F687-4F45-9708-019B960494DF}">
                      <a14:hiddenLine w="9525">
                        <a:noFill/>
                        <a:miter lim="800000"/>
                        <a:headEnd/>
                        <a:tailEnd/>
                      </a14:hiddenLine>
                    </a:ext>
                  </a:extLst>
                </xdr:spPr>
              </xdr:sp>
            </mc:Choice>
            <mc:Fallback/>
          </mc:AlternateContent>
        </xdr:grpSp>
        <xdr:graphicFrame macro="">
          <xdr:nvGraphicFramePr>
            <xdr:cNvPr id="80" name="Gráfico 79">
              <a:extLst>
                <a:ext uri="{FF2B5EF4-FFF2-40B4-BE49-F238E27FC236}">
                  <a16:creationId xmlns:a16="http://schemas.microsoft.com/office/drawing/2014/main" id="{00000000-0008-0000-0400-000050000000}"/>
                </a:ext>
              </a:extLst>
            </xdr:cNvPr>
            <xdr:cNvGraphicFramePr>
              <a:graphicFrameLocks/>
            </xdr:cNvGraphicFramePr>
          </xdr:nvGraphicFramePr>
          <xdr:xfrm>
            <a:off x="34012908" y="6707909"/>
            <a:ext cx="1575954" cy="561600"/>
          </xdr:xfrm>
          <a:graphic>
            <a:graphicData uri="http://schemas.openxmlformats.org/drawingml/2006/chart">
              <c:chart xmlns:c="http://schemas.openxmlformats.org/drawingml/2006/chart" xmlns:r="http://schemas.openxmlformats.org/officeDocument/2006/relationships" r:id="rId13"/>
            </a:graphicData>
          </a:graphic>
        </xdr:graphicFrame>
      </xdr:grpSp>
      <xdr:sp macro="" textlink="q3_q7_q11_q15_q24_q36_Fig!$AY$2">
        <xdr:nvSpPr>
          <xdr:cNvPr id="71" name="CaixaDeTexto 70">
            <a:extLst>
              <a:ext uri="{FF2B5EF4-FFF2-40B4-BE49-F238E27FC236}">
                <a16:creationId xmlns:a16="http://schemas.microsoft.com/office/drawing/2014/main" id="{00000000-0008-0000-0400-000047000000}"/>
              </a:ext>
            </a:extLst>
          </xdr:cNvPr>
          <xdr:cNvSpPr txBox="1"/>
        </xdr:nvSpPr>
        <xdr:spPr>
          <a:xfrm>
            <a:off x="4455582" y="5315654"/>
            <a:ext cx="4305600" cy="828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1F28934-1925-4A62-87C6-4367C739C557}" type="TxLink">
              <a:rPr lang="en-US" sz="900" b="1" i="0" u="none" strike="noStrike">
                <a:solidFill>
                  <a:srgbClr val="19375E"/>
                </a:solidFill>
                <a:latin typeface="Calibri"/>
                <a:cs typeface="Calibri"/>
              </a:rPr>
              <a:pPr algn="l"/>
              <a:t>2024:
As empresas do distrito de Lisboa tinham ao seu serviço 1.068.615 pessoas (30,1% do Continente, ocupando a 1º posição entre 18 distritos) e  1.024.115 TCO ( 30,5% do Continente, sendo o 1º de 18 distritos).</a:t>
            </a:fld>
            <a:endParaRPr lang="pt-PT" sz="900" b="1">
              <a:solidFill>
                <a:srgbClr val="19375E"/>
              </a:solidFill>
              <a:latin typeface="+mn-lt"/>
            </a:endParaRPr>
          </a:p>
        </xdr:txBody>
      </xdr:sp>
    </xdr:grpSp>
    <xdr:clientData/>
  </xdr:twoCellAnchor>
  <xdr:twoCellAnchor>
    <xdr:from>
      <xdr:col>0</xdr:col>
      <xdr:colOff>53975</xdr:colOff>
      <xdr:row>25</xdr:row>
      <xdr:rowOff>72604</xdr:rowOff>
    </xdr:from>
    <xdr:to>
      <xdr:col>7</xdr:col>
      <xdr:colOff>425750</xdr:colOff>
      <xdr:row>32</xdr:row>
      <xdr:rowOff>61061</xdr:rowOff>
    </xdr:to>
    <xdr:grpSp>
      <xdr:nvGrpSpPr>
        <xdr:cNvPr id="5" name="Agrupar 4">
          <a:extLst>
            <a:ext uri="{FF2B5EF4-FFF2-40B4-BE49-F238E27FC236}">
              <a16:creationId xmlns:a16="http://schemas.microsoft.com/office/drawing/2014/main" id="{00000000-0008-0000-0400-000005000000}"/>
            </a:ext>
          </a:extLst>
        </xdr:cNvPr>
        <xdr:cNvGrpSpPr/>
      </xdr:nvGrpSpPr>
      <xdr:grpSpPr>
        <a:xfrm>
          <a:off x="53975" y="4882729"/>
          <a:ext cx="4305600" cy="1264807"/>
          <a:chOff x="53975" y="4882729"/>
          <a:chExt cx="4305600" cy="1264807"/>
        </a:xfrm>
      </xdr:grpSpPr>
      <xdr:grpSp>
        <xdr:nvGrpSpPr>
          <xdr:cNvPr id="73" name="Agrupar 72">
            <a:extLst>
              <a:ext uri="{FF2B5EF4-FFF2-40B4-BE49-F238E27FC236}">
                <a16:creationId xmlns:a16="http://schemas.microsoft.com/office/drawing/2014/main" id="{00000000-0008-0000-0400-000049000000}"/>
              </a:ext>
            </a:extLst>
          </xdr:cNvPr>
          <xdr:cNvGrpSpPr/>
        </xdr:nvGrpSpPr>
        <xdr:grpSpPr>
          <a:xfrm>
            <a:off x="144116" y="4882729"/>
            <a:ext cx="4202576" cy="540000"/>
            <a:chOff x="27137591" y="6640295"/>
            <a:chExt cx="3833088" cy="638876"/>
          </a:xfrm>
        </xdr:grpSpPr>
        <xdr:grpSp>
          <xdr:nvGrpSpPr>
            <xdr:cNvPr id="74" name="Agrupar 73">
              <a:extLst>
                <a:ext uri="{FF2B5EF4-FFF2-40B4-BE49-F238E27FC236}">
                  <a16:creationId xmlns:a16="http://schemas.microsoft.com/office/drawing/2014/main" id="{00000000-0008-0000-0400-00004A000000}"/>
                </a:ext>
              </a:extLst>
            </xdr:cNvPr>
            <xdr:cNvGrpSpPr/>
          </xdr:nvGrpSpPr>
          <xdr:grpSpPr>
            <a:xfrm>
              <a:off x="27137591" y="6819390"/>
              <a:ext cx="2083579" cy="246641"/>
              <a:chOff x="120650" y="4236045"/>
              <a:chExt cx="2076457" cy="247568"/>
            </a:xfrm>
          </xdr:grpSpPr>
          <mc:AlternateContent xmlns:mc="http://schemas.openxmlformats.org/markup-compatibility/2006">
            <mc:Choice xmlns:a14="http://schemas.microsoft.com/office/drawing/2010/main" Requires="a14">
              <xdr:sp macro="" textlink="">
                <xdr:nvSpPr>
                  <xdr:cNvPr id="132106" name="Drop Down 10" hidden="1">
                    <a:extLst>
                      <a:ext uri="{63B3BB69-23CF-44E3-9099-C40C66FF867C}">
                        <a14:compatExt spid="_x0000_s132106"/>
                      </a:ext>
                      <a:ext uri="{FF2B5EF4-FFF2-40B4-BE49-F238E27FC236}">
                        <a16:creationId xmlns:a16="http://schemas.microsoft.com/office/drawing/2014/main" id="{00000000-0008-0000-0400-00000A040200}"/>
                      </a:ext>
                    </a:extLst>
                  </xdr:cNvPr>
                  <xdr:cNvSpPr/>
                </xdr:nvSpPr>
                <xdr:spPr bwMode="auto">
                  <a:xfrm>
                    <a:off x="1524007" y="4242313"/>
                    <a:ext cx="673100" cy="24130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77" name="Text Box 10">
                <a:extLst>
                  <a:ext uri="{FF2B5EF4-FFF2-40B4-BE49-F238E27FC236}">
                    <a16:creationId xmlns:a16="http://schemas.microsoft.com/office/drawing/2014/main" id="{00000000-0008-0000-0400-00004D000000}"/>
                  </a:ext>
                </a:extLst>
              </xdr:cNvPr>
              <xdr:cNvSpPr txBox="1">
                <a:spLocks noChangeArrowheads="1"/>
              </xdr:cNvSpPr>
            </xdr:nvSpPr>
            <xdr:spPr bwMode="auto">
              <a:xfrm>
                <a:off x="120650" y="4236045"/>
                <a:ext cx="1346200" cy="241300"/>
              </a:xfrm>
              <a:prstGeom prst="rect">
                <a:avLst/>
              </a:prstGeom>
              <a:solidFill>
                <a:srgbClr val="00467A"/>
              </a:solidFill>
              <a:ln>
                <a:noFill/>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xdr:grpSp>
        <xdr:graphicFrame macro="">
          <xdr:nvGraphicFramePr>
            <xdr:cNvPr id="76" name="Gráfico 75">
              <a:extLst>
                <a:ext uri="{FF2B5EF4-FFF2-40B4-BE49-F238E27FC236}">
                  <a16:creationId xmlns:a16="http://schemas.microsoft.com/office/drawing/2014/main" id="{00000000-0008-0000-0400-00004C000000}"/>
                </a:ext>
              </a:extLst>
            </xdr:cNvPr>
            <xdr:cNvGraphicFramePr>
              <a:graphicFrameLocks/>
            </xdr:cNvGraphicFramePr>
          </xdr:nvGraphicFramePr>
          <xdr:xfrm>
            <a:off x="29394725" y="6640295"/>
            <a:ext cx="1575954" cy="638876"/>
          </xdr:xfrm>
          <a:graphic>
            <a:graphicData uri="http://schemas.openxmlformats.org/drawingml/2006/chart">
              <c:chart xmlns:c="http://schemas.openxmlformats.org/drawingml/2006/chart" xmlns:r="http://schemas.openxmlformats.org/officeDocument/2006/relationships" r:id="rId14"/>
            </a:graphicData>
          </a:graphic>
        </xdr:graphicFrame>
      </xdr:grpSp>
      <xdr:sp macro="" textlink="q3_q7_q11_q15_q24_q36_Fig!$AL$4">
        <xdr:nvSpPr>
          <xdr:cNvPr id="70" name="CaixaDeTexto 69">
            <a:extLst>
              <a:ext uri="{FF2B5EF4-FFF2-40B4-BE49-F238E27FC236}">
                <a16:creationId xmlns:a16="http://schemas.microsoft.com/office/drawing/2014/main" id="{00000000-0008-0000-0400-000046000000}"/>
              </a:ext>
            </a:extLst>
          </xdr:cNvPr>
          <xdr:cNvSpPr txBox="1"/>
        </xdr:nvSpPr>
        <xdr:spPr>
          <a:xfrm>
            <a:off x="53975" y="5319536"/>
            <a:ext cx="4305600" cy="828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fld id="{05EE6538-8254-4769-9B41-D130758B06B6}" type="TxLink">
              <a:rPr lang="en-US" sz="900" b="1" i="0" u="none" strike="noStrike">
                <a:solidFill>
                  <a:srgbClr val="19375E"/>
                </a:solidFill>
                <a:latin typeface="Calibri"/>
                <a:cs typeface="Calibri"/>
              </a:rPr>
              <a:pPr algn="l"/>
              <a:t>2024:
O distrito de Lisboa era a sede de 65.461 empresas (equivalendo a 22,7% do Continente, sendo o 1º de 18 distritos);
Era também a localização de 77.003 estabelecimentos (constituindo 22,8% do Continente, sendo o 1º de 18 distritos).</a:t>
            </a:fld>
            <a:endParaRPr lang="en-US" sz="700" b="1">
              <a:solidFill>
                <a:srgbClr val="19375E"/>
              </a:solidFill>
            </a:endParaRPr>
          </a:p>
        </xdr:txBody>
      </xdr:sp>
    </xdr:grpSp>
    <xdr:clientData/>
  </xdr:twoCellAnchor>
  <xdr:twoCellAnchor>
    <xdr:from>
      <xdr:col>15</xdr:col>
      <xdr:colOff>490361</xdr:colOff>
      <xdr:row>25</xdr:row>
      <xdr:rowOff>69851</xdr:rowOff>
    </xdr:from>
    <xdr:to>
      <xdr:col>22</xdr:col>
      <xdr:colOff>569535</xdr:colOff>
      <xdr:row>32</xdr:row>
      <xdr:rowOff>51537</xdr:rowOff>
    </xdr:to>
    <xdr:grpSp>
      <xdr:nvGrpSpPr>
        <xdr:cNvPr id="8" name="Agrupar 7">
          <a:extLst>
            <a:ext uri="{FF2B5EF4-FFF2-40B4-BE49-F238E27FC236}">
              <a16:creationId xmlns:a16="http://schemas.microsoft.com/office/drawing/2014/main" id="{00000000-0008-0000-0400-000008000000}"/>
            </a:ext>
          </a:extLst>
        </xdr:cNvPr>
        <xdr:cNvGrpSpPr/>
      </xdr:nvGrpSpPr>
      <xdr:grpSpPr>
        <a:xfrm>
          <a:off x="8881886" y="4879976"/>
          <a:ext cx="4146349" cy="1258036"/>
          <a:chOff x="8881886" y="4879976"/>
          <a:chExt cx="4146349" cy="1258036"/>
        </a:xfrm>
      </xdr:grpSpPr>
      <xdr:grpSp>
        <xdr:nvGrpSpPr>
          <xdr:cNvPr id="82" name="Agrupar 81">
            <a:extLst>
              <a:ext uri="{FF2B5EF4-FFF2-40B4-BE49-F238E27FC236}">
                <a16:creationId xmlns:a16="http://schemas.microsoft.com/office/drawing/2014/main" id="{00000000-0008-0000-0400-000052000000}"/>
              </a:ext>
            </a:extLst>
          </xdr:cNvPr>
          <xdr:cNvGrpSpPr/>
        </xdr:nvGrpSpPr>
        <xdr:grpSpPr>
          <a:xfrm>
            <a:off x="8993827" y="4879976"/>
            <a:ext cx="4034408" cy="540000"/>
            <a:chOff x="36599092" y="6759864"/>
            <a:chExt cx="3688772" cy="561600"/>
          </a:xfrm>
        </xdr:grpSpPr>
        <xdr:grpSp>
          <xdr:nvGrpSpPr>
            <xdr:cNvPr id="83" name="Agrupar 82">
              <a:extLst>
                <a:ext uri="{FF2B5EF4-FFF2-40B4-BE49-F238E27FC236}">
                  <a16:creationId xmlns:a16="http://schemas.microsoft.com/office/drawing/2014/main" id="{00000000-0008-0000-0400-000053000000}"/>
                </a:ext>
              </a:extLst>
            </xdr:cNvPr>
            <xdr:cNvGrpSpPr/>
          </xdr:nvGrpSpPr>
          <xdr:grpSpPr>
            <a:xfrm>
              <a:off x="36599092" y="6916343"/>
              <a:ext cx="2054312" cy="246649"/>
              <a:chOff x="9423400" y="4330700"/>
              <a:chExt cx="2063815" cy="247577"/>
            </a:xfrm>
          </xdr:grpSpPr>
          <xdr:sp macro="" textlink="">
            <xdr:nvSpPr>
              <xdr:cNvPr id="85" name="Text Box 10">
                <a:extLst>
                  <a:ext uri="{FF2B5EF4-FFF2-40B4-BE49-F238E27FC236}">
                    <a16:creationId xmlns:a16="http://schemas.microsoft.com/office/drawing/2014/main" id="{00000000-0008-0000-0400-000055000000}"/>
                  </a:ext>
                </a:extLst>
              </xdr:cNvPr>
              <xdr:cNvSpPr txBox="1">
                <a:spLocks noChangeArrowheads="1"/>
              </xdr:cNvSpPr>
            </xdr:nvSpPr>
            <xdr:spPr bwMode="auto">
              <a:xfrm>
                <a:off x="9423400" y="4330700"/>
                <a:ext cx="1346200" cy="241300"/>
              </a:xfrm>
              <a:prstGeom prst="rect">
                <a:avLst/>
              </a:prstGeom>
              <a:solidFill>
                <a:srgbClr val="00467A"/>
              </a:solidFill>
              <a:ln>
                <a:noFill/>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132108" name="Drop Down 12" hidden="1">
                    <a:extLst>
                      <a:ext uri="{63B3BB69-23CF-44E3-9099-C40C66FF867C}">
                        <a14:compatExt spid="_x0000_s132108"/>
                      </a:ext>
                      <a:ext uri="{FF2B5EF4-FFF2-40B4-BE49-F238E27FC236}">
                        <a16:creationId xmlns:a16="http://schemas.microsoft.com/office/drawing/2014/main" id="{00000000-0008-0000-0400-00000C040200}"/>
                      </a:ext>
                    </a:extLst>
                  </xdr:cNvPr>
                  <xdr:cNvSpPr/>
                </xdr:nvSpPr>
                <xdr:spPr bwMode="auto">
                  <a:xfrm>
                    <a:off x="10814103" y="4337058"/>
                    <a:ext cx="673112" cy="241219"/>
                  </a:xfrm>
                  <a:prstGeom prst="rect">
                    <a:avLst/>
                  </a:prstGeom>
                  <a:noFill/>
                  <a:ln>
                    <a:noFill/>
                  </a:ln>
                  <a:extLst>
                    <a:ext uri="{91240B29-F687-4F45-9708-019B960494DF}">
                      <a14:hiddenLine w="9525">
                        <a:noFill/>
                        <a:miter lim="800000"/>
                        <a:headEnd/>
                        <a:tailEnd/>
                      </a14:hiddenLine>
                    </a:ext>
                  </a:extLst>
                </xdr:spPr>
              </xdr:sp>
            </mc:Choice>
            <mc:Fallback/>
          </mc:AlternateContent>
        </xdr:grpSp>
        <xdr:graphicFrame macro="">
          <xdr:nvGraphicFramePr>
            <xdr:cNvPr id="84" name="Gráfico 83">
              <a:extLst>
                <a:ext uri="{FF2B5EF4-FFF2-40B4-BE49-F238E27FC236}">
                  <a16:creationId xmlns:a16="http://schemas.microsoft.com/office/drawing/2014/main" id="{00000000-0008-0000-0400-000054000000}"/>
                </a:ext>
              </a:extLst>
            </xdr:cNvPr>
            <xdr:cNvGraphicFramePr>
              <a:graphicFrameLocks/>
            </xdr:cNvGraphicFramePr>
          </xdr:nvGraphicFramePr>
          <xdr:xfrm>
            <a:off x="38711910" y="6759864"/>
            <a:ext cx="1575954" cy="561600"/>
          </xdr:xfrm>
          <a:graphic>
            <a:graphicData uri="http://schemas.openxmlformats.org/drawingml/2006/chart">
              <c:chart xmlns:c="http://schemas.openxmlformats.org/drawingml/2006/chart" xmlns:r="http://schemas.openxmlformats.org/officeDocument/2006/relationships" r:id="rId15"/>
            </a:graphicData>
          </a:graphic>
        </xdr:graphicFrame>
      </xdr:grpSp>
      <xdr:sp macro="" textlink="q3_q7_q11_q15_q24_q36_Fig!$BL$2">
        <xdr:nvSpPr>
          <xdr:cNvPr id="72" name="CaixaDeTexto 71">
            <a:extLst>
              <a:ext uri="{FF2B5EF4-FFF2-40B4-BE49-F238E27FC236}">
                <a16:creationId xmlns:a16="http://schemas.microsoft.com/office/drawing/2014/main" id="{00000000-0008-0000-0400-000048000000}"/>
              </a:ext>
            </a:extLst>
          </xdr:cNvPr>
          <xdr:cNvSpPr txBox="1"/>
        </xdr:nvSpPr>
        <xdr:spPr>
          <a:xfrm>
            <a:off x="8881886" y="5310012"/>
            <a:ext cx="4133851" cy="828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53C62BF-CF50-48B8-9FE7-1F22836FC988}" type="TxLink">
              <a:rPr lang="en-US" sz="900" b="1" i="0" u="none" strike="noStrike">
                <a:solidFill>
                  <a:srgbClr val="19375E"/>
                </a:solidFill>
                <a:latin typeface="Calibri"/>
                <a:cs typeface="Calibri"/>
              </a:rPr>
              <a:pPr algn="l"/>
              <a:t>2024:
No distrito de Lisboa a remuneração média mensal base era de 1.567,8 euros (+19,8% que no Continente, sendo o 1º de 18 distritos) e  1.896,5 euros a remuneração média mensal ganho (+19,8% que no Continente, sendo o 1º de 18 distritos).</a:t>
            </a:fld>
            <a:endParaRPr lang="pt-PT" sz="900" b="1">
              <a:solidFill>
                <a:srgbClr val="19375E"/>
              </a:solidFill>
              <a:latin typeface="+mn-lt"/>
            </a:endParaRPr>
          </a:p>
        </xdr:txBody>
      </xdr:sp>
    </xdr:grpSp>
    <xdr:clientData/>
  </xdr:twoCellAnchor>
  <xdr:twoCellAnchor>
    <xdr:from>
      <xdr:col>21</xdr:col>
      <xdr:colOff>26837</xdr:colOff>
      <xdr:row>0</xdr:row>
      <xdr:rowOff>85725</xdr:rowOff>
    </xdr:from>
    <xdr:to>
      <xdr:col>22</xdr:col>
      <xdr:colOff>479328</xdr:colOff>
      <xdr:row>1</xdr:row>
      <xdr:rowOff>132652</xdr:rowOff>
    </xdr:to>
    <xdr:sp macro="" textlink="">
      <xdr:nvSpPr>
        <xdr:cNvPr id="75" name="Text Box 10">
          <a:hlinkClick xmlns:r="http://schemas.openxmlformats.org/officeDocument/2006/relationships" r:id="rId16"/>
          <a:extLst>
            <a:ext uri="{FF2B5EF4-FFF2-40B4-BE49-F238E27FC236}">
              <a16:creationId xmlns:a16="http://schemas.microsoft.com/office/drawing/2014/main" id="{00000000-0008-0000-0400-00004B000000}"/>
            </a:ext>
          </a:extLst>
        </xdr:cNvPr>
        <xdr:cNvSpPr txBox="1">
          <a:spLocks noChangeArrowheads="1"/>
        </xdr:cNvSpPr>
      </xdr:nvSpPr>
      <xdr:spPr bwMode="auto">
        <a:xfrm>
          <a:off x="11904512" y="85725"/>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twoCellAnchor editAs="oneCell">
    <xdr:from>
      <xdr:col>0</xdr:col>
      <xdr:colOff>42336</xdr:colOff>
      <xdr:row>0</xdr:row>
      <xdr:rowOff>28223</xdr:rowOff>
    </xdr:from>
    <xdr:to>
      <xdr:col>1</xdr:col>
      <xdr:colOff>332319</xdr:colOff>
      <xdr:row>2</xdr:row>
      <xdr:rowOff>24695</xdr:rowOff>
    </xdr:to>
    <xdr:pic>
      <xdr:nvPicPr>
        <xdr:cNvPr id="86" name="Imagem 85" descr="Z:\G_EME_INFOESTAT\5_apoio_pedidos\imagens\logoDGCP_pq.png">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2336" y="28223"/>
          <a:ext cx="882650" cy="41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absolute">
    <xdr:from>
      <xdr:col>9</xdr:col>
      <xdr:colOff>384174</xdr:colOff>
      <xdr:row>0</xdr:row>
      <xdr:rowOff>279400</xdr:rowOff>
    </xdr:from>
    <xdr:to>
      <xdr:col>11</xdr:col>
      <xdr:colOff>295274</xdr:colOff>
      <xdr:row>2</xdr:row>
      <xdr:rowOff>31712</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42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775324" y="279400"/>
          <a:ext cx="812800" cy="304762"/>
        </a:xfrm>
        <a:prstGeom prst="rect">
          <a:avLst/>
        </a:prstGeom>
        <a:noFill/>
        <a:ln w="1">
          <a:noFill/>
          <a:miter lim="800000"/>
          <a:headEnd/>
          <a:tailEnd type="none" w="med" len="med"/>
        </a:ln>
        <a:effectLst/>
      </xdr:spPr>
    </xdr:pic>
    <xdr:clientData fPrintsWithSheet="0"/>
  </xdr:twoCellAnchor>
</xdr:wsDr>
</file>

<file path=xl/drawings/drawing111.xml><?xml version="1.0" encoding="utf-8"?>
<xdr:wsDr xmlns:xdr="http://schemas.openxmlformats.org/drawingml/2006/spreadsheetDrawing" xmlns:a="http://schemas.openxmlformats.org/drawingml/2006/main">
  <xdr:oneCellAnchor>
    <xdr:from>
      <xdr:col>10</xdr:col>
      <xdr:colOff>279399</xdr:colOff>
      <xdr:row>0</xdr:row>
      <xdr:rowOff>234950</xdr:rowOff>
    </xdr:from>
    <xdr:ext cx="790476" cy="276190"/>
    <xdr:pic>
      <xdr:nvPicPr>
        <xdr:cNvPr id="2" name="Picture 5">
          <a:hlinkClick xmlns:r="http://schemas.openxmlformats.org/officeDocument/2006/relationships" r:id="rId1"/>
          <a:extLst>
            <a:ext uri="{FF2B5EF4-FFF2-40B4-BE49-F238E27FC236}">
              <a16:creationId xmlns:a16="http://schemas.microsoft.com/office/drawing/2014/main" id="{00000000-0008-0000-43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258049" y="234950"/>
          <a:ext cx="790476" cy="276190"/>
        </a:xfrm>
        <a:prstGeom prst="rect">
          <a:avLst/>
        </a:prstGeom>
        <a:noFill/>
        <a:ln w="1">
          <a:noFill/>
          <a:miter lim="800000"/>
          <a:headEnd/>
          <a:tailEnd type="none" w="med" len="med"/>
        </a:ln>
        <a:effectLst/>
      </xdr:spPr>
    </xdr:pic>
    <xdr:clientData fPrintsWithSheet="0"/>
  </xdr:oneCellAnchor>
</xdr:wsDr>
</file>

<file path=xl/drawings/drawing112.xml><?xml version="1.0" encoding="utf-8"?>
<xdr:wsDr xmlns:xdr="http://schemas.openxmlformats.org/drawingml/2006/spreadsheetDrawing" xmlns:a="http://schemas.openxmlformats.org/drawingml/2006/main">
  <xdr:twoCellAnchor editAs="absolute">
    <xdr:from>
      <xdr:col>11</xdr:col>
      <xdr:colOff>47625</xdr:colOff>
      <xdr:row>0</xdr:row>
      <xdr:rowOff>238125</xdr:rowOff>
    </xdr:from>
    <xdr:to>
      <xdr:col>12</xdr:col>
      <xdr:colOff>399952</xdr:colOff>
      <xdr:row>1</xdr:row>
      <xdr:rowOff>180937</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44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210175" y="238125"/>
          <a:ext cx="780952" cy="304762"/>
        </a:xfrm>
        <a:prstGeom prst="rect">
          <a:avLst/>
        </a:prstGeom>
        <a:noFill/>
        <a:ln w="1">
          <a:noFill/>
          <a:miter lim="800000"/>
          <a:headEnd/>
          <a:tailEnd type="none" w="med" len="med"/>
        </a:ln>
        <a:effectLst/>
      </xdr:spPr>
    </xdr:pic>
    <xdr:clientData fPrintsWithSheet="0"/>
  </xdr:twoCellAnchor>
</xdr:wsDr>
</file>

<file path=xl/drawings/drawing113.xml><?xml version="1.0" encoding="utf-8"?>
<xdr:wsDr xmlns:xdr="http://schemas.openxmlformats.org/drawingml/2006/spreadsheetDrawing" xmlns:a="http://schemas.openxmlformats.org/drawingml/2006/main">
  <xdr:twoCellAnchor editAs="absolute">
    <xdr:from>
      <xdr:col>10</xdr:col>
      <xdr:colOff>371475</xdr:colOff>
      <xdr:row>0</xdr:row>
      <xdr:rowOff>209550</xdr:rowOff>
    </xdr:from>
    <xdr:to>
      <xdr:col>12</xdr:col>
      <xdr:colOff>295177</xdr:colOff>
      <xdr:row>1</xdr:row>
      <xdr:rowOff>152362</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45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562600" y="209550"/>
          <a:ext cx="780952" cy="304762"/>
        </a:xfrm>
        <a:prstGeom prst="rect">
          <a:avLst/>
        </a:prstGeom>
        <a:noFill/>
        <a:ln w="1">
          <a:noFill/>
          <a:miter lim="800000"/>
          <a:headEnd/>
          <a:tailEnd type="none" w="med" len="med"/>
        </a:ln>
        <a:effectLst/>
      </xdr:spPr>
    </xdr:pic>
    <xdr:clientData fPrintsWithSheet="0"/>
  </xdr:twoCellAnchor>
</xdr:wsDr>
</file>

<file path=xl/drawings/drawing114.xml><?xml version="1.0" encoding="utf-8"?>
<xdr:wsDr xmlns:xdr="http://schemas.openxmlformats.org/drawingml/2006/spreadsheetDrawing" xmlns:a="http://schemas.openxmlformats.org/drawingml/2006/main">
  <xdr:twoCellAnchor editAs="absolute">
    <xdr:from>
      <xdr:col>11</xdr:col>
      <xdr:colOff>187325</xdr:colOff>
      <xdr:row>0</xdr:row>
      <xdr:rowOff>257175</xdr:rowOff>
    </xdr:from>
    <xdr:to>
      <xdr:col>12</xdr:col>
      <xdr:colOff>447577</xdr:colOff>
      <xdr:row>1</xdr:row>
      <xdr:rowOff>161887</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46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369175" y="257175"/>
          <a:ext cx="831752" cy="304762"/>
        </a:xfrm>
        <a:prstGeom prst="rect">
          <a:avLst/>
        </a:prstGeom>
        <a:noFill/>
        <a:ln w="1">
          <a:noFill/>
          <a:miter lim="800000"/>
          <a:headEnd/>
          <a:tailEnd type="none" w="med" len="med"/>
        </a:ln>
        <a:effectLst/>
      </xdr:spPr>
    </xdr:pic>
    <xdr:clientData fPrintsWithSheet="0"/>
  </xdr:twoCellAnchor>
</xdr:wsDr>
</file>

<file path=xl/drawings/drawing115.xml><?xml version="1.0" encoding="utf-8"?>
<xdr:wsDr xmlns:xdr="http://schemas.openxmlformats.org/drawingml/2006/spreadsheetDrawing" xmlns:a="http://schemas.openxmlformats.org/drawingml/2006/main">
  <xdr:twoCellAnchor editAs="absolute">
    <xdr:from>
      <xdr:col>11</xdr:col>
      <xdr:colOff>120650</xdr:colOff>
      <xdr:row>0</xdr:row>
      <xdr:rowOff>219075</xdr:rowOff>
    </xdr:from>
    <xdr:to>
      <xdr:col>13</xdr:col>
      <xdr:colOff>79277</xdr:colOff>
      <xdr:row>1</xdr:row>
      <xdr:rowOff>161887</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47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435850" y="219075"/>
          <a:ext cx="834927" cy="304762"/>
        </a:xfrm>
        <a:prstGeom prst="rect">
          <a:avLst/>
        </a:prstGeom>
        <a:noFill/>
        <a:ln w="1">
          <a:noFill/>
          <a:miter lim="800000"/>
          <a:headEnd/>
          <a:tailEnd type="none" w="med" len="med"/>
        </a:ln>
        <a:effectLst/>
      </xdr:spPr>
    </xdr:pic>
    <xdr:clientData fPrintsWithSheet="0"/>
  </xdr:twoCellAnchor>
</xdr:wsDr>
</file>

<file path=xl/drawings/drawing116.xml><?xml version="1.0" encoding="utf-8"?>
<xdr:wsDr xmlns:xdr="http://schemas.openxmlformats.org/drawingml/2006/spreadsheetDrawing" xmlns:a="http://schemas.openxmlformats.org/drawingml/2006/main">
  <xdr:twoCellAnchor editAs="absolute">
    <xdr:from>
      <xdr:col>11</xdr:col>
      <xdr:colOff>0</xdr:colOff>
      <xdr:row>0</xdr:row>
      <xdr:rowOff>228600</xdr:rowOff>
    </xdr:from>
    <xdr:to>
      <xdr:col>12</xdr:col>
      <xdr:colOff>371377</xdr:colOff>
      <xdr:row>2</xdr:row>
      <xdr:rowOff>66637</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48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258050" y="228600"/>
          <a:ext cx="834927" cy="301587"/>
        </a:xfrm>
        <a:prstGeom prst="rect">
          <a:avLst/>
        </a:prstGeom>
        <a:noFill/>
        <a:ln w="1">
          <a:noFill/>
          <a:miter lim="800000"/>
          <a:headEnd/>
          <a:tailEnd type="none" w="med" len="med"/>
        </a:ln>
        <a:effectLst/>
      </xdr:spPr>
    </xdr:pic>
    <xdr:clientData fPrintsWithSheet="0"/>
  </xdr:twoCellAnchor>
</xdr:wsDr>
</file>

<file path=xl/drawings/drawing117.xml><?xml version="1.0" encoding="utf-8"?>
<xdr:wsDr xmlns:xdr="http://schemas.openxmlformats.org/drawingml/2006/spreadsheetDrawing" xmlns:a="http://schemas.openxmlformats.org/drawingml/2006/main">
  <xdr:twoCellAnchor editAs="absolute">
    <xdr:from>
      <xdr:col>11</xdr:col>
      <xdr:colOff>139700</xdr:colOff>
      <xdr:row>0</xdr:row>
      <xdr:rowOff>215900</xdr:rowOff>
    </xdr:from>
    <xdr:to>
      <xdr:col>13</xdr:col>
      <xdr:colOff>88802</xdr:colOff>
      <xdr:row>1</xdr:row>
      <xdr:rowOff>165062</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49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454900" y="215900"/>
          <a:ext cx="825402" cy="311112"/>
        </a:xfrm>
        <a:prstGeom prst="rect">
          <a:avLst/>
        </a:prstGeom>
        <a:noFill/>
        <a:ln w="1">
          <a:noFill/>
          <a:miter lim="800000"/>
          <a:headEnd/>
          <a:tailEnd type="none" w="med" len="med"/>
        </a:ln>
        <a:effectLst/>
      </xdr:spPr>
    </xdr:pic>
    <xdr:clientData fPrintsWithSheet="0"/>
  </xdr:twoCellAnchor>
</xdr:wsDr>
</file>

<file path=xl/drawings/drawing118.xml><?xml version="1.0" encoding="utf-8"?>
<xdr:wsDr xmlns:xdr="http://schemas.openxmlformats.org/drawingml/2006/spreadsheetDrawing" xmlns:a="http://schemas.openxmlformats.org/drawingml/2006/main">
  <xdr:twoCellAnchor editAs="absolute">
    <xdr:from>
      <xdr:col>10</xdr:col>
      <xdr:colOff>9525</xdr:colOff>
      <xdr:row>0</xdr:row>
      <xdr:rowOff>257175</xdr:rowOff>
    </xdr:from>
    <xdr:to>
      <xdr:col>11</xdr:col>
      <xdr:colOff>371377</xdr:colOff>
      <xdr:row>2</xdr:row>
      <xdr:rowOff>9487</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4A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829300" y="257175"/>
          <a:ext cx="780952" cy="304762"/>
        </a:xfrm>
        <a:prstGeom prst="rect">
          <a:avLst/>
        </a:prstGeom>
        <a:noFill/>
        <a:ln w="1">
          <a:noFill/>
          <a:miter lim="800000"/>
          <a:headEnd/>
          <a:tailEnd type="none" w="med" len="med"/>
        </a:ln>
        <a:effectLst/>
      </xdr:spPr>
    </xdr:pic>
    <xdr:clientData fPrintsWithSheet="0"/>
  </xdr:twoCellAnchor>
</xdr:wsDr>
</file>

<file path=xl/drawings/drawing119.xml><?xml version="1.0" encoding="utf-8"?>
<xdr:wsDr xmlns:xdr="http://schemas.openxmlformats.org/drawingml/2006/spreadsheetDrawing" xmlns:a="http://schemas.openxmlformats.org/drawingml/2006/main">
  <xdr:twoCellAnchor editAs="absolute">
    <xdr:from>
      <xdr:col>10</xdr:col>
      <xdr:colOff>209550</xdr:colOff>
      <xdr:row>0</xdr:row>
      <xdr:rowOff>190500</xdr:rowOff>
    </xdr:from>
    <xdr:to>
      <xdr:col>11</xdr:col>
      <xdr:colOff>438052</xdr:colOff>
      <xdr:row>1</xdr:row>
      <xdr:rowOff>133312</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4B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264400" y="190500"/>
          <a:ext cx="800002" cy="304762"/>
        </a:xfrm>
        <a:prstGeom prst="rect">
          <a:avLst/>
        </a:prstGeom>
        <a:noFill/>
        <a:ln w="1">
          <a:noFill/>
          <a:miter lim="800000"/>
          <a:headEnd/>
          <a:tailEnd type="none" w="med" len="med"/>
        </a:ln>
        <a:effectLst/>
      </xdr:spPr>
    </xdr:pic>
    <xdr:clientData fPrintsWithSheet="0"/>
  </xdr:twoCellAnchor>
</xdr:wsDr>
</file>

<file path=xl/drawings/drawing12.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6_Fig!$T$2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F5B681-359A-47D1-926E-EAFEA5AB8103}"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3_q7_q11_q15_q24_q36_Fig!$AD$2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165300" y="20615"/>
          <a:ext cx="347837" cy="430826"/>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D635998-5C6E-4644-A5CE-BD8BE1E45122}"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294613" y="-78833"/>
          <a:ext cx="343086" cy="623723"/>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120.xml><?xml version="1.0" encoding="utf-8"?>
<xdr:wsDr xmlns:xdr="http://schemas.openxmlformats.org/drawingml/2006/spreadsheetDrawing" xmlns:a="http://schemas.openxmlformats.org/drawingml/2006/main">
  <xdr:twoCellAnchor editAs="absolute">
    <xdr:from>
      <xdr:col>10</xdr:col>
      <xdr:colOff>152400</xdr:colOff>
      <xdr:row>0</xdr:row>
      <xdr:rowOff>257175</xdr:rowOff>
    </xdr:from>
    <xdr:to>
      <xdr:col>11</xdr:col>
      <xdr:colOff>466623</xdr:colOff>
      <xdr:row>2</xdr:row>
      <xdr:rowOff>9487</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838825" y="257175"/>
          <a:ext cx="819048" cy="304762"/>
        </a:xfrm>
        <a:prstGeom prst="rect">
          <a:avLst/>
        </a:prstGeom>
        <a:noFill/>
        <a:ln w="1">
          <a:noFill/>
          <a:miter lim="800000"/>
          <a:headEnd/>
          <a:tailEnd type="none" w="med" len="med"/>
        </a:ln>
        <a:effectLst/>
      </xdr:spPr>
    </xdr:pic>
    <xdr:clientData fPrintsWithSheet="0"/>
  </xdr:twoCellAnchor>
</xdr:wsDr>
</file>

<file path=xl/drawings/drawing121.xml><?xml version="1.0" encoding="utf-8"?>
<xdr:wsDr xmlns:xdr="http://schemas.openxmlformats.org/drawingml/2006/spreadsheetDrawing" xmlns:a="http://schemas.openxmlformats.org/drawingml/2006/main">
  <xdr:twoCellAnchor editAs="absolute">
    <xdr:from>
      <xdr:col>10</xdr:col>
      <xdr:colOff>161925</xdr:colOff>
      <xdr:row>0</xdr:row>
      <xdr:rowOff>266699</xdr:rowOff>
    </xdr:from>
    <xdr:to>
      <xdr:col>11</xdr:col>
      <xdr:colOff>476148</xdr:colOff>
      <xdr:row>2</xdr:row>
      <xdr:rowOff>19011</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D00-000002000000}"/>
            </a:ext>
          </a:extLst>
        </xdr:cNvPr>
        <xdr:cNvPicPr preferRelativeResize="0">
          <a:picLocks noChangeArrowheads="1"/>
        </xdr:cNvPicPr>
      </xdr:nvPicPr>
      <xdr:blipFill>
        <a:blip xmlns:r="http://schemas.openxmlformats.org/officeDocument/2006/relationships" r:embed="rId2" cstate="print"/>
        <a:stretch>
          <a:fillRect/>
        </a:stretch>
      </xdr:blipFill>
      <xdr:spPr bwMode="auto">
        <a:xfrm>
          <a:off x="5848350" y="266699"/>
          <a:ext cx="819048" cy="304762"/>
        </a:xfrm>
        <a:prstGeom prst="rect">
          <a:avLst/>
        </a:prstGeom>
        <a:noFill/>
        <a:ln w="1">
          <a:noFill/>
          <a:miter lim="800000"/>
          <a:headEnd/>
          <a:tailEnd type="none" w="med" len="med"/>
        </a:ln>
        <a:effectLst/>
      </xdr:spPr>
    </xdr:pic>
    <xdr:clientData fPrintsWithSheet="0"/>
  </xdr:twoCellAnchor>
</xdr:wsDr>
</file>

<file path=xl/drawings/drawing122.xml><?xml version="1.0" encoding="utf-8"?>
<xdr:wsDr xmlns:xdr="http://schemas.openxmlformats.org/drawingml/2006/spreadsheetDrawing" xmlns:a="http://schemas.openxmlformats.org/drawingml/2006/main">
  <xdr:twoCellAnchor editAs="absolute">
    <xdr:from>
      <xdr:col>10</xdr:col>
      <xdr:colOff>314325</xdr:colOff>
      <xdr:row>0</xdr:row>
      <xdr:rowOff>209549</xdr:rowOff>
    </xdr:from>
    <xdr:to>
      <xdr:col>12</xdr:col>
      <xdr:colOff>295173</xdr:colOff>
      <xdr:row>1</xdr:row>
      <xdr:rowOff>152361</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E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762625" y="209549"/>
          <a:ext cx="819048" cy="304762"/>
        </a:xfrm>
        <a:prstGeom prst="rect">
          <a:avLst/>
        </a:prstGeom>
        <a:noFill/>
        <a:ln w="1">
          <a:noFill/>
          <a:miter lim="800000"/>
          <a:headEnd/>
          <a:tailEnd type="none" w="med" len="med"/>
        </a:ln>
        <a:effectLst/>
      </xdr:spPr>
    </xdr:pic>
    <xdr:clientData fPrintsWithSheet="0"/>
  </xdr:twoCellAnchor>
</xdr:wsDr>
</file>

<file path=xl/drawings/drawing123.xml><?xml version="1.0" encoding="utf-8"?>
<xdr:wsDr xmlns:xdr="http://schemas.openxmlformats.org/drawingml/2006/spreadsheetDrawing" xmlns:a="http://schemas.openxmlformats.org/drawingml/2006/main">
  <xdr:twoCellAnchor editAs="absolute">
    <xdr:from>
      <xdr:col>10</xdr:col>
      <xdr:colOff>419100</xdr:colOff>
      <xdr:row>0</xdr:row>
      <xdr:rowOff>228599</xdr:rowOff>
    </xdr:from>
    <xdr:to>
      <xdr:col>12</xdr:col>
      <xdr:colOff>380898</xdr:colOff>
      <xdr:row>1</xdr:row>
      <xdr:rowOff>171411</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F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4991100" y="228599"/>
          <a:ext cx="819048" cy="304762"/>
        </a:xfrm>
        <a:prstGeom prst="rect">
          <a:avLst/>
        </a:prstGeom>
        <a:noFill/>
        <a:ln w="1">
          <a:noFill/>
          <a:miter lim="800000"/>
          <a:headEnd/>
          <a:tailEnd type="none" w="med" len="med"/>
        </a:ln>
        <a:effectLst/>
      </xdr:spPr>
    </xdr:pic>
    <xdr:clientData fPrintsWithSheet="0"/>
  </xdr:twoCellAnchor>
</xdr:wsDr>
</file>

<file path=xl/drawings/drawing124.xml><?xml version="1.0" encoding="utf-8"?>
<xdr:wsDr xmlns:xdr="http://schemas.openxmlformats.org/drawingml/2006/spreadsheetDrawing" xmlns:a="http://schemas.openxmlformats.org/drawingml/2006/main">
  <xdr:twoCellAnchor editAs="absolute">
    <xdr:from>
      <xdr:col>9</xdr:col>
      <xdr:colOff>400050</xdr:colOff>
      <xdr:row>0</xdr:row>
      <xdr:rowOff>238124</xdr:rowOff>
    </xdr:from>
    <xdr:to>
      <xdr:col>11</xdr:col>
      <xdr:colOff>361848</xdr:colOff>
      <xdr:row>1</xdr:row>
      <xdr:rowOff>180936</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50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4972050" y="238124"/>
          <a:ext cx="819048" cy="304762"/>
        </a:xfrm>
        <a:prstGeom prst="rect">
          <a:avLst/>
        </a:prstGeom>
        <a:noFill/>
        <a:ln w="1">
          <a:noFill/>
          <a:miter lim="800000"/>
          <a:headEnd/>
          <a:tailEnd type="none" w="med" len="med"/>
        </a:ln>
        <a:effectLst/>
      </xdr:spPr>
    </xdr:pic>
    <xdr:clientData fPrintsWithSheet="0"/>
  </xdr:twoCellAnchor>
</xdr:wsDr>
</file>

<file path=xl/drawings/drawing125.xml><?xml version="1.0" encoding="utf-8"?>
<xdr:wsDr xmlns:xdr="http://schemas.openxmlformats.org/drawingml/2006/spreadsheetDrawing" xmlns:a="http://schemas.openxmlformats.org/drawingml/2006/main">
  <xdr:twoCellAnchor editAs="absolute">
    <xdr:from>
      <xdr:col>9</xdr:col>
      <xdr:colOff>304800</xdr:colOff>
      <xdr:row>0</xdr:row>
      <xdr:rowOff>276224</xdr:rowOff>
    </xdr:from>
    <xdr:to>
      <xdr:col>11</xdr:col>
      <xdr:colOff>266598</xdr:colOff>
      <xdr:row>2</xdr:row>
      <xdr:rowOff>28536</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51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556250" y="276224"/>
          <a:ext cx="863498" cy="304762"/>
        </a:xfrm>
        <a:prstGeom prst="rect">
          <a:avLst/>
        </a:prstGeom>
        <a:noFill/>
        <a:ln w="1">
          <a:noFill/>
          <a:miter lim="800000"/>
          <a:headEnd/>
          <a:tailEnd type="none" w="med" len="med"/>
        </a:ln>
        <a:effectLst/>
      </xdr:spPr>
    </xdr:pic>
    <xdr:clientData fPrintsWithSheet="0"/>
  </xdr:twoCellAnchor>
</xdr:wsDr>
</file>

<file path=xl/drawings/drawing126.xml><?xml version="1.0" encoding="utf-8"?>
<xdr:wsDr xmlns:xdr="http://schemas.openxmlformats.org/drawingml/2006/spreadsheetDrawing" xmlns:a="http://schemas.openxmlformats.org/drawingml/2006/main">
  <xdr:twoCellAnchor editAs="absolute">
    <xdr:from>
      <xdr:col>10</xdr:col>
      <xdr:colOff>298450</xdr:colOff>
      <xdr:row>0</xdr:row>
      <xdr:rowOff>196850</xdr:rowOff>
    </xdr:from>
    <xdr:to>
      <xdr:col>11</xdr:col>
      <xdr:colOff>568223</xdr:colOff>
      <xdr:row>1</xdr:row>
      <xdr:rowOff>133312</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52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131050" y="196850"/>
          <a:ext cx="841273" cy="304762"/>
        </a:xfrm>
        <a:prstGeom prst="rect">
          <a:avLst/>
        </a:prstGeom>
        <a:noFill/>
        <a:ln w="1">
          <a:noFill/>
          <a:miter lim="800000"/>
          <a:headEnd/>
          <a:tailEnd type="none" w="med" len="med"/>
        </a:ln>
        <a:effectLst/>
      </xdr:spPr>
    </xdr:pic>
    <xdr:clientData fPrintsWithSheet="0"/>
  </xdr:twoCellAnchor>
</xdr:wsDr>
</file>

<file path=xl/drawings/drawing127.xml><?xml version="1.0" encoding="utf-8"?>
<xdr:wsDr xmlns:xdr="http://schemas.openxmlformats.org/drawingml/2006/spreadsheetDrawing" xmlns:a="http://schemas.openxmlformats.org/drawingml/2006/main">
  <xdr:twoCellAnchor editAs="absolute">
    <xdr:from>
      <xdr:col>11</xdr:col>
      <xdr:colOff>0</xdr:colOff>
      <xdr:row>0</xdr:row>
      <xdr:rowOff>257174</xdr:rowOff>
    </xdr:from>
    <xdr:to>
      <xdr:col>12</xdr:col>
      <xdr:colOff>390423</xdr:colOff>
      <xdr:row>1</xdr:row>
      <xdr:rowOff>180975</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53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019675" y="257174"/>
          <a:ext cx="819048" cy="285751"/>
        </a:xfrm>
        <a:prstGeom prst="rect">
          <a:avLst/>
        </a:prstGeom>
        <a:noFill/>
        <a:ln w="1">
          <a:noFill/>
          <a:miter lim="800000"/>
          <a:headEnd/>
          <a:tailEnd type="none" w="med" len="med"/>
        </a:ln>
        <a:effectLst/>
      </xdr:spPr>
    </xdr:pic>
    <xdr:clientData fPrintsWithSheet="0"/>
  </xdr:twoCellAnchor>
</xdr:wsDr>
</file>

<file path=xl/drawings/drawing128.xml><?xml version="1.0" encoding="utf-8"?>
<xdr:wsDr xmlns:xdr="http://schemas.openxmlformats.org/drawingml/2006/spreadsheetDrawing" xmlns:a="http://schemas.openxmlformats.org/drawingml/2006/main">
  <xdr:twoCellAnchor editAs="absolute">
    <xdr:from>
      <xdr:col>10</xdr:col>
      <xdr:colOff>266700</xdr:colOff>
      <xdr:row>0</xdr:row>
      <xdr:rowOff>200024</xdr:rowOff>
    </xdr:from>
    <xdr:to>
      <xdr:col>12</xdr:col>
      <xdr:colOff>228498</xdr:colOff>
      <xdr:row>1</xdr:row>
      <xdr:rowOff>142836</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54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476875" y="200024"/>
          <a:ext cx="819048" cy="304762"/>
        </a:xfrm>
        <a:prstGeom prst="rect">
          <a:avLst/>
        </a:prstGeom>
        <a:noFill/>
        <a:ln w="1">
          <a:noFill/>
          <a:miter lim="800000"/>
          <a:headEnd/>
          <a:tailEnd type="none" w="med" len="med"/>
        </a:ln>
        <a:effectLst/>
      </xdr:spPr>
    </xdr:pic>
    <xdr:clientData fPrintsWithSheet="0"/>
  </xdr:twoCellAnchor>
</xdr:wsDr>
</file>

<file path=xl/drawings/drawing129.xml><?xml version="1.0" encoding="utf-8"?>
<xdr:wsDr xmlns:xdr="http://schemas.openxmlformats.org/drawingml/2006/spreadsheetDrawing" xmlns:a="http://schemas.openxmlformats.org/drawingml/2006/main">
  <xdr:twoCellAnchor editAs="absolute">
    <xdr:from>
      <xdr:col>11</xdr:col>
      <xdr:colOff>247650</xdr:colOff>
      <xdr:row>0</xdr:row>
      <xdr:rowOff>273050</xdr:rowOff>
    </xdr:from>
    <xdr:to>
      <xdr:col>12</xdr:col>
      <xdr:colOff>517423</xdr:colOff>
      <xdr:row>1</xdr:row>
      <xdr:rowOff>177762</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43800" y="273050"/>
          <a:ext cx="841273" cy="304762"/>
        </a:xfrm>
        <a:prstGeom prst="rect">
          <a:avLst/>
        </a:prstGeom>
        <a:noFill/>
        <a:ln w="1">
          <a:noFill/>
          <a:miter lim="800000"/>
          <a:headEnd/>
          <a:tailEnd type="none" w="med" len="med"/>
        </a:ln>
        <a:effectLst/>
      </xdr:spPr>
    </xdr:pic>
    <xdr:clientData fPrintsWithSheet="0"/>
  </xdr:twoCellAnchor>
</xdr:wsDr>
</file>

<file path=xl/drawings/drawing13.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6_Fig!$T$6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26F701-3CC2-4BEA-BFA8-70F65FD04085}"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0.61598</cdr:x>
      <cdr:y>0.02092</cdr:y>
    </cdr:from>
    <cdr:to>
      <cdr:x>0.75312</cdr:x>
      <cdr:y>0.12191</cdr:y>
    </cdr:to>
    <cdr:sp macro="" textlink="q3_q7_q11_q15_q24_q36_Fig!$AD$6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655191" y="-68956"/>
          <a:ext cx="299842" cy="561975"/>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7372960-0221-471D-AC29-08DF5500A456}"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0.76561</cdr:x>
      <cdr:y>0.02071</cdr:y>
    </cdr:from>
    <cdr:to>
      <cdr:x>0.94372</cdr:x>
      <cdr:y>0.12833</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342455" y="-143691"/>
          <a:ext cx="319517" cy="72987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130.xml><?xml version="1.0" encoding="utf-8"?>
<xdr:wsDr xmlns:xdr="http://schemas.openxmlformats.org/drawingml/2006/spreadsheetDrawing" xmlns:a="http://schemas.openxmlformats.org/drawingml/2006/main">
  <xdr:twoCellAnchor editAs="absolute">
    <xdr:from>
      <xdr:col>11</xdr:col>
      <xdr:colOff>120650</xdr:colOff>
      <xdr:row>0</xdr:row>
      <xdr:rowOff>165099</xdr:rowOff>
    </xdr:from>
    <xdr:to>
      <xdr:col>13</xdr:col>
      <xdr:colOff>107848</xdr:colOff>
      <xdr:row>2</xdr:row>
      <xdr:rowOff>19011</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56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435850" y="165099"/>
          <a:ext cx="863498" cy="304762"/>
        </a:xfrm>
        <a:prstGeom prst="rect">
          <a:avLst/>
        </a:prstGeom>
        <a:noFill/>
        <a:ln w="1">
          <a:noFill/>
          <a:miter lim="800000"/>
          <a:headEnd/>
          <a:tailEnd type="none" w="med" len="med"/>
        </a:ln>
        <a:effectLst/>
      </xdr:spPr>
    </xdr:pic>
    <xdr:clientData fPrintsWithSheet="0"/>
  </xdr:twoCellAnchor>
</xdr:wsDr>
</file>

<file path=xl/drawings/drawing131.xml><?xml version="1.0" encoding="utf-8"?>
<xdr:wsDr xmlns:xdr="http://schemas.openxmlformats.org/drawingml/2006/spreadsheetDrawing" xmlns:a="http://schemas.openxmlformats.org/drawingml/2006/main">
  <xdr:twoCellAnchor editAs="absolute">
    <xdr:from>
      <xdr:col>10</xdr:col>
      <xdr:colOff>69850</xdr:colOff>
      <xdr:row>1</xdr:row>
      <xdr:rowOff>6350</xdr:rowOff>
    </xdr:from>
    <xdr:to>
      <xdr:col>11</xdr:col>
      <xdr:colOff>447573</xdr:colOff>
      <xdr:row>2</xdr:row>
      <xdr:rowOff>120612</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57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029450" y="234950"/>
          <a:ext cx="841273" cy="304762"/>
        </a:xfrm>
        <a:prstGeom prst="rect">
          <a:avLst/>
        </a:prstGeom>
        <a:noFill/>
        <a:ln w="1">
          <a:noFill/>
          <a:miter lim="800000"/>
          <a:headEnd/>
          <a:tailEnd type="none" w="med" len="med"/>
        </a:ln>
        <a:effectLst/>
      </xdr:spPr>
    </xdr:pic>
    <xdr:clientData fPrintsWithSheet="0"/>
  </xdr:twoCellAnchor>
</xdr:wsDr>
</file>

<file path=xl/drawings/drawing132.xml><?xml version="1.0" encoding="utf-8"?>
<xdr:wsDr xmlns:xdr="http://schemas.openxmlformats.org/drawingml/2006/spreadsheetDrawing" xmlns:a="http://schemas.openxmlformats.org/drawingml/2006/main">
  <xdr:twoCellAnchor editAs="absolute">
    <xdr:from>
      <xdr:col>10</xdr:col>
      <xdr:colOff>98425</xdr:colOff>
      <xdr:row>1</xdr:row>
      <xdr:rowOff>19049</xdr:rowOff>
    </xdr:from>
    <xdr:to>
      <xdr:col>11</xdr:col>
      <xdr:colOff>393598</xdr:colOff>
      <xdr:row>2</xdr:row>
      <xdr:rowOff>142836</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5800-000002000000}"/>
            </a:ext>
          </a:extLst>
        </xdr:cNvPr>
        <xdr:cNvPicPr preferRelativeResize="0">
          <a:picLocks noChangeArrowheads="1"/>
        </xdr:cNvPicPr>
      </xdr:nvPicPr>
      <xdr:blipFill>
        <a:blip xmlns:r="http://schemas.openxmlformats.org/officeDocument/2006/relationships" r:embed="rId2" cstate="print"/>
        <a:stretch>
          <a:fillRect/>
        </a:stretch>
      </xdr:blipFill>
      <xdr:spPr bwMode="auto">
        <a:xfrm>
          <a:off x="5829300" y="380999"/>
          <a:ext cx="819048" cy="304762"/>
        </a:xfrm>
        <a:prstGeom prst="rect">
          <a:avLst/>
        </a:prstGeom>
        <a:noFill/>
        <a:ln w="1">
          <a:noFill/>
          <a:miter lim="800000"/>
          <a:headEnd/>
          <a:tailEnd type="none" w="med" len="med"/>
        </a:ln>
        <a:effectLst/>
      </xdr:spPr>
    </xdr:pic>
    <xdr:clientData fPrintsWithSheet="0"/>
  </xdr:twoCellAnchor>
</xdr:wsDr>
</file>

<file path=xl/drawings/drawing133.xml><?xml version="1.0" encoding="utf-8"?>
<xdr:wsDr xmlns:xdr="http://schemas.openxmlformats.org/drawingml/2006/spreadsheetDrawing" xmlns:a="http://schemas.openxmlformats.org/drawingml/2006/main">
  <xdr:twoCellAnchor editAs="absolute">
    <xdr:from>
      <xdr:col>10</xdr:col>
      <xdr:colOff>0</xdr:colOff>
      <xdr:row>0</xdr:row>
      <xdr:rowOff>209549</xdr:rowOff>
    </xdr:from>
    <xdr:to>
      <xdr:col>11</xdr:col>
      <xdr:colOff>390423</xdr:colOff>
      <xdr:row>1</xdr:row>
      <xdr:rowOff>152361</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59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829300" y="209549"/>
          <a:ext cx="819048" cy="304762"/>
        </a:xfrm>
        <a:prstGeom prst="rect">
          <a:avLst/>
        </a:prstGeom>
        <a:noFill/>
        <a:ln w="1">
          <a:noFill/>
          <a:miter lim="800000"/>
          <a:headEnd/>
          <a:tailEnd type="none" w="med" len="med"/>
        </a:ln>
        <a:effectLst/>
      </xdr:spPr>
    </xdr:pic>
    <xdr:clientData fPrintsWithSheet="0"/>
  </xdr:twoCellAnchor>
</xdr:wsDr>
</file>

<file path=xl/drawings/drawing134.xml><?xml version="1.0" encoding="utf-8"?>
<xdr:wsDr xmlns:xdr="http://schemas.openxmlformats.org/drawingml/2006/spreadsheetDrawing" xmlns:a="http://schemas.openxmlformats.org/drawingml/2006/main">
  <xdr:twoCellAnchor>
    <xdr:from>
      <xdr:col>6</xdr:col>
      <xdr:colOff>425450</xdr:colOff>
      <xdr:row>2</xdr:row>
      <xdr:rowOff>28575</xdr:rowOff>
    </xdr:from>
    <xdr:to>
      <xdr:col>10</xdr:col>
      <xdr:colOff>225425</xdr:colOff>
      <xdr:row>2</xdr:row>
      <xdr:rowOff>28575</xdr:rowOff>
    </xdr:to>
    <xdr:sp macro="" textlink="">
      <xdr:nvSpPr>
        <xdr:cNvPr id="2" name="Line 3">
          <a:extLst>
            <a:ext uri="{FF2B5EF4-FFF2-40B4-BE49-F238E27FC236}">
              <a16:creationId xmlns:a16="http://schemas.microsoft.com/office/drawing/2014/main" id="{00000000-0008-0000-5A00-000002000000}"/>
            </a:ext>
          </a:extLst>
        </xdr:cNvPr>
        <xdr:cNvSpPr>
          <a:spLocks noChangeShapeType="1"/>
        </xdr:cNvSpPr>
      </xdr:nvSpPr>
      <xdr:spPr bwMode="auto">
        <a:xfrm>
          <a:off x="3911600" y="409575"/>
          <a:ext cx="2124075" cy="0"/>
        </a:xfrm>
        <a:prstGeom prst="line">
          <a:avLst/>
        </a:prstGeom>
        <a:noFill/>
        <a:ln w="25400">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136525</xdr:colOff>
      <xdr:row>7</xdr:row>
      <xdr:rowOff>60325</xdr:rowOff>
    </xdr:from>
    <xdr:to>
      <xdr:col>9</xdr:col>
      <xdr:colOff>355600</xdr:colOff>
      <xdr:row>12</xdr:row>
      <xdr:rowOff>173038</xdr:rowOff>
    </xdr:to>
    <xdr:sp macro="" textlink="">
      <xdr:nvSpPr>
        <xdr:cNvPr id="3" name="Rectangle 5">
          <a:extLst>
            <a:ext uri="{FF2B5EF4-FFF2-40B4-BE49-F238E27FC236}">
              <a16:creationId xmlns:a16="http://schemas.microsoft.com/office/drawing/2014/main" id="{00000000-0008-0000-5A00-000003000000}"/>
            </a:ext>
          </a:extLst>
        </xdr:cNvPr>
        <xdr:cNvSpPr>
          <a:spLocks noChangeArrowheads="1"/>
        </xdr:cNvSpPr>
      </xdr:nvSpPr>
      <xdr:spPr bwMode="auto">
        <a:xfrm>
          <a:off x="5365750" y="1393825"/>
          <a:ext cx="219075" cy="1065213"/>
        </a:xfrm>
        <a:prstGeom prst="rect">
          <a:avLst/>
        </a:prstGeom>
        <a:solidFill>
          <a:srgbClr val="FFFF00"/>
        </a:solidFill>
        <a:ln>
          <a:noFill/>
        </a:ln>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9</xdr:col>
      <xdr:colOff>120650</xdr:colOff>
      <xdr:row>0</xdr:row>
      <xdr:rowOff>0</xdr:rowOff>
    </xdr:from>
    <xdr:to>
      <xdr:col>9</xdr:col>
      <xdr:colOff>136525</xdr:colOff>
      <xdr:row>12</xdr:row>
      <xdr:rowOff>157163</xdr:rowOff>
    </xdr:to>
    <xdr:sp macro="" textlink="">
      <xdr:nvSpPr>
        <xdr:cNvPr id="4" name="Line 6">
          <a:extLst>
            <a:ext uri="{FF2B5EF4-FFF2-40B4-BE49-F238E27FC236}">
              <a16:creationId xmlns:a16="http://schemas.microsoft.com/office/drawing/2014/main" id="{00000000-0008-0000-5A00-000004000000}"/>
            </a:ext>
          </a:extLst>
        </xdr:cNvPr>
        <xdr:cNvSpPr>
          <a:spLocks noChangeShapeType="1"/>
        </xdr:cNvSpPr>
      </xdr:nvSpPr>
      <xdr:spPr bwMode="auto">
        <a:xfrm rot="5421033" flipH="1">
          <a:off x="4136231" y="1213644"/>
          <a:ext cx="2443163" cy="15875"/>
        </a:xfrm>
        <a:prstGeom prst="line">
          <a:avLst/>
        </a:prstGeom>
        <a:noFill/>
        <a:ln w="2857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8</xdr:col>
      <xdr:colOff>325437</xdr:colOff>
      <xdr:row>7</xdr:row>
      <xdr:rowOff>57151</xdr:rowOff>
    </xdr:from>
    <xdr:to>
      <xdr:col>10</xdr:col>
      <xdr:colOff>533400</xdr:colOff>
      <xdr:row>7</xdr:row>
      <xdr:rowOff>58739</xdr:rowOff>
    </xdr:to>
    <xdr:sp macro="" textlink="">
      <xdr:nvSpPr>
        <xdr:cNvPr id="5" name="Line 7">
          <a:extLst>
            <a:ext uri="{FF2B5EF4-FFF2-40B4-BE49-F238E27FC236}">
              <a16:creationId xmlns:a16="http://schemas.microsoft.com/office/drawing/2014/main" id="{00000000-0008-0000-5A00-000005000000}"/>
            </a:ext>
          </a:extLst>
        </xdr:cNvPr>
        <xdr:cNvSpPr>
          <a:spLocks noChangeShapeType="1"/>
        </xdr:cNvSpPr>
      </xdr:nvSpPr>
      <xdr:spPr bwMode="auto">
        <a:xfrm flipV="1">
          <a:off x="4973637" y="1390651"/>
          <a:ext cx="1370013" cy="1588"/>
        </a:xfrm>
        <a:prstGeom prst="line">
          <a:avLst/>
        </a:prstGeom>
        <a:noFill/>
        <a:ln w="28575">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3</xdr:col>
      <xdr:colOff>336550</xdr:colOff>
      <xdr:row>12</xdr:row>
      <xdr:rowOff>173038</xdr:rowOff>
    </xdr:from>
    <xdr:to>
      <xdr:col>9</xdr:col>
      <xdr:colOff>355600</xdr:colOff>
      <xdr:row>12</xdr:row>
      <xdr:rowOff>173038</xdr:rowOff>
    </xdr:to>
    <xdr:sp macro="" textlink="">
      <xdr:nvSpPr>
        <xdr:cNvPr id="6" name="Line 11">
          <a:extLst>
            <a:ext uri="{FF2B5EF4-FFF2-40B4-BE49-F238E27FC236}">
              <a16:creationId xmlns:a16="http://schemas.microsoft.com/office/drawing/2014/main" id="{00000000-0008-0000-5A00-000006000000}"/>
            </a:ext>
          </a:extLst>
        </xdr:cNvPr>
        <xdr:cNvSpPr>
          <a:spLocks noChangeShapeType="1"/>
        </xdr:cNvSpPr>
      </xdr:nvSpPr>
      <xdr:spPr bwMode="auto">
        <a:xfrm>
          <a:off x="2079625" y="2459038"/>
          <a:ext cx="3505200" cy="0"/>
        </a:xfrm>
        <a:prstGeom prst="line">
          <a:avLst/>
        </a:prstGeom>
        <a:noFill/>
        <a:ln w="28575">
          <a:solidFill>
            <a:srgbClr val="FFFF00"/>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352425</xdr:colOff>
      <xdr:row>2</xdr:row>
      <xdr:rowOff>28575</xdr:rowOff>
    </xdr:from>
    <xdr:to>
      <xdr:col>9</xdr:col>
      <xdr:colOff>355600</xdr:colOff>
      <xdr:row>14</xdr:row>
      <xdr:rowOff>82550</xdr:rowOff>
    </xdr:to>
    <xdr:sp macro="" textlink="">
      <xdr:nvSpPr>
        <xdr:cNvPr id="7" name="Line 12">
          <a:extLst>
            <a:ext uri="{FF2B5EF4-FFF2-40B4-BE49-F238E27FC236}">
              <a16:creationId xmlns:a16="http://schemas.microsoft.com/office/drawing/2014/main" id="{00000000-0008-0000-5A00-000007000000}"/>
            </a:ext>
          </a:extLst>
        </xdr:cNvPr>
        <xdr:cNvSpPr>
          <a:spLocks noChangeShapeType="1"/>
        </xdr:cNvSpPr>
      </xdr:nvSpPr>
      <xdr:spPr bwMode="auto">
        <a:xfrm rot="5397016">
          <a:off x="4413250" y="1577975"/>
          <a:ext cx="2339975" cy="3175"/>
        </a:xfrm>
        <a:prstGeom prst="line">
          <a:avLst/>
        </a:prstGeom>
        <a:noFill/>
        <a:ln w="1460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0</xdr:col>
      <xdr:colOff>0</xdr:colOff>
      <xdr:row>38</xdr:row>
      <xdr:rowOff>73025</xdr:rowOff>
    </xdr:from>
    <xdr:to>
      <xdr:col>10</xdr:col>
      <xdr:colOff>536575</xdr:colOff>
      <xdr:row>42</xdr:row>
      <xdr:rowOff>46038</xdr:rowOff>
    </xdr:to>
    <xdr:sp macro="" textlink="">
      <xdr:nvSpPr>
        <xdr:cNvPr id="8" name="Rectangle 2">
          <a:extLst>
            <a:ext uri="{FF2B5EF4-FFF2-40B4-BE49-F238E27FC236}">
              <a16:creationId xmlns:a16="http://schemas.microsoft.com/office/drawing/2014/main" id="{00000000-0008-0000-5A00-000008000000}"/>
            </a:ext>
          </a:extLst>
        </xdr:cNvPr>
        <xdr:cNvSpPr>
          <a:spLocks noChangeArrowheads="1"/>
        </xdr:cNvSpPr>
      </xdr:nvSpPr>
      <xdr:spPr bwMode="auto">
        <a:xfrm>
          <a:off x="0" y="6169025"/>
          <a:ext cx="6346825" cy="735013"/>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0</xdr:col>
      <xdr:colOff>147637</xdr:colOff>
      <xdr:row>39</xdr:row>
      <xdr:rowOff>57150</xdr:rowOff>
    </xdr:from>
    <xdr:to>
      <xdr:col>5</xdr:col>
      <xdr:colOff>547687</xdr:colOff>
      <xdr:row>41</xdr:row>
      <xdr:rowOff>68263</xdr:rowOff>
    </xdr:to>
    <xdr:sp macro="" textlink="">
      <xdr:nvSpPr>
        <xdr:cNvPr id="9" name="Rectangle 3">
          <a:extLst>
            <a:ext uri="{FF2B5EF4-FFF2-40B4-BE49-F238E27FC236}">
              <a16:creationId xmlns:a16="http://schemas.microsoft.com/office/drawing/2014/main" id="{00000000-0008-0000-5A00-000009000000}"/>
            </a:ext>
          </a:extLst>
        </xdr:cNvPr>
        <xdr:cNvSpPr>
          <a:spLocks noChangeArrowheads="1"/>
        </xdr:cNvSpPr>
      </xdr:nvSpPr>
      <xdr:spPr bwMode="auto">
        <a:xfrm>
          <a:off x="147637" y="6343650"/>
          <a:ext cx="3305175" cy="392113"/>
        </a:xfrm>
        <a:prstGeom prst="rect">
          <a:avLst/>
        </a:prstGeom>
        <a:solidFill>
          <a:srgbClr val="E1EAEF"/>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clientData/>
  </xdr:twoCellAnchor>
  <xdr:twoCellAnchor>
    <xdr:from>
      <xdr:col>0</xdr:col>
      <xdr:colOff>196849</xdr:colOff>
      <xdr:row>39</xdr:row>
      <xdr:rowOff>80963</xdr:rowOff>
    </xdr:from>
    <xdr:to>
      <xdr:col>5</xdr:col>
      <xdr:colOff>152399</xdr:colOff>
      <xdr:row>41</xdr:row>
      <xdr:rowOff>17646</xdr:rowOff>
    </xdr:to>
    <xdr:sp macro="" textlink="">
      <xdr:nvSpPr>
        <xdr:cNvPr id="10" name="Text Box 10">
          <a:extLst>
            <a:ext uri="{FF2B5EF4-FFF2-40B4-BE49-F238E27FC236}">
              <a16:creationId xmlns:a16="http://schemas.microsoft.com/office/drawing/2014/main" id="{00000000-0008-0000-5A00-00000A000000}"/>
            </a:ext>
          </a:extLst>
        </xdr:cNvPr>
        <xdr:cNvSpPr txBox="1">
          <a:spLocks noChangeArrowheads="1"/>
        </xdr:cNvSpPr>
      </xdr:nvSpPr>
      <xdr:spPr bwMode="auto">
        <a:xfrm>
          <a:off x="196849" y="6367463"/>
          <a:ext cx="2860675" cy="317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  Conceitos e Nomenclaturas</a:t>
          </a:r>
        </a:p>
      </xdr:txBody>
    </xdr:sp>
    <xdr:clientData/>
  </xdr:twoCellAnchor>
</xdr:wsDr>
</file>

<file path=xl/drawings/drawing135.xml><?xml version="1.0" encoding="utf-8"?>
<xdr:wsDr xmlns:xdr="http://schemas.openxmlformats.org/drawingml/2006/spreadsheetDrawing" xmlns:a="http://schemas.openxmlformats.org/drawingml/2006/main">
  <xdr:twoCellAnchor editAs="absolute">
    <xdr:from>
      <xdr:col>8</xdr:col>
      <xdr:colOff>473075</xdr:colOff>
      <xdr:row>0</xdr:row>
      <xdr:rowOff>38100</xdr:rowOff>
    </xdr:from>
    <xdr:to>
      <xdr:col>9</xdr:col>
      <xdr:colOff>565150</xdr:colOff>
      <xdr:row>1</xdr:row>
      <xdr:rowOff>133350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5B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800725" y="38100"/>
          <a:ext cx="828675" cy="260350"/>
        </a:xfrm>
        <a:prstGeom prst="rect">
          <a:avLst/>
        </a:prstGeom>
        <a:noFill/>
        <a:ln w="1">
          <a:noFill/>
          <a:miter lim="800000"/>
          <a:headEnd/>
          <a:tailEnd type="none" w="med" len="med"/>
        </a:ln>
        <a:effectLst/>
      </xdr:spPr>
    </xdr:pic>
    <xdr:clientData fPrintsWithSheet="0"/>
  </xdr:twoCellAnchor>
</xdr:wsDr>
</file>

<file path=xl/drawings/drawing136.xml><?xml version="1.0" encoding="utf-8"?>
<xdr:wsDr xmlns:xdr="http://schemas.openxmlformats.org/drawingml/2006/spreadsheetDrawing" xmlns:a="http://schemas.openxmlformats.org/drawingml/2006/main">
  <xdr:twoCellAnchor editAs="absolute">
    <xdr:from>
      <xdr:col>9</xdr:col>
      <xdr:colOff>276225</xdr:colOff>
      <xdr:row>0</xdr:row>
      <xdr:rowOff>123825</xdr:rowOff>
    </xdr:from>
    <xdr:to>
      <xdr:col>10</xdr:col>
      <xdr:colOff>0</xdr:colOff>
      <xdr:row>2</xdr:row>
      <xdr:rowOff>60325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5C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62625" y="123825"/>
          <a:ext cx="898525" cy="260350"/>
        </a:xfrm>
        <a:prstGeom prst="rect">
          <a:avLst/>
        </a:prstGeom>
        <a:noFill/>
        <a:ln w="1">
          <a:noFill/>
          <a:miter lim="800000"/>
          <a:headEnd/>
          <a:tailEnd type="none" w="med" len="med"/>
        </a:ln>
        <a:effectLst/>
      </xdr:spPr>
    </xdr:pic>
    <xdr:clientData fPrintsWithSheet="0"/>
  </xdr:twoCellAnchor>
</xdr:wsDr>
</file>

<file path=xl/drawings/drawing137.xml><?xml version="1.0" encoding="utf-8"?>
<xdr:wsDr xmlns:xdr="http://schemas.openxmlformats.org/drawingml/2006/spreadsheetDrawing" xmlns:a="http://schemas.openxmlformats.org/drawingml/2006/main">
  <xdr:twoCellAnchor editAs="absolute">
    <xdr:from>
      <xdr:col>8</xdr:col>
      <xdr:colOff>568325</xdr:colOff>
      <xdr:row>0</xdr:row>
      <xdr:rowOff>82550</xdr:rowOff>
    </xdr:from>
    <xdr:to>
      <xdr:col>9</xdr:col>
      <xdr:colOff>688975</xdr:colOff>
      <xdr:row>2</xdr:row>
      <xdr:rowOff>19050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5D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035675" y="82550"/>
          <a:ext cx="863600" cy="260350"/>
        </a:xfrm>
        <a:prstGeom prst="rect">
          <a:avLst/>
        </a:prstGeom>
        <a:noFill/>
        <a:ln w="1">
          <a:noFill/>
          <a:miter lim="800000"/>
          <a:headEnd/>
          <a:tailEnd type="none" w="med" len="med"/>
        </a:ln>
        <a:effectLst/>
      </xdr:spPr>
    </xdr:pic>
    <xdr:clientData fPrintsWithSheet="0"/>
  </xdr:twoCellAnchor>
</xdr:wsDr>
</file>

<file path=xl/drawings/drawing14.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6_Fig!$T$10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7BAF77C-8415-4B91-8D55-DD3E81F40666}"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0.59416</cdr:x>
      <cdr:y>0.02092</cdr:y>
    </cdr:from>
    <cdr:to>
      <cdr:x>0.74212</cdr:x>
      <cdr:y>0.13245</cdr:y>
    </cdr:to>
    <cdr:sp macro="" textlink="q3_q7_q11_q15_q24_q36_Fig!$AD$10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92313" y="-84210"/>
          <a:ext cx="320822" cy="609599"/>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AF22FF0-8723-4CCA-84BD-EF9BD80F8DCB}"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904728" y="-160966"/>
          <a:ext cx="300137" cy="72964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4</xdr:row>
      <xdr:rowOff>107671</xdr:rowOff>
    </xdr:from>
    <xdr:to>
      <xdr:col>7</xdr:col>
      <xdr:colOff>366150</xdr:colOff>
      <xdr:row>6</xdr:row>
      <xdr:rowOff>29957</xdr:rowOff>
    </xdr:to>
    <xdr:grpSp>
      <xdr:nvGrpSpPr>
        <xdr:cNvPr id="17" name="Agrupar 16">
          <a:extLst>
            <a:ext uri="{FF2B5EF4-FFF2-40B4-BE49-F238E27FC236}">
              <a16:creationId xmlns:a16="http://schemas.microsoft.com/office/drawing/2014/main" id="{00000000-0008-0000-0500-000011000000}"/>
            </a:ext>
          </a:extLst>
        </xdr:cNvPr>
        <xdr:cNvGrpSpPr/>
      </xdr:nvGrpSpPr>
      <xdr:grpSpPr>
        <a:xfrm>
          <a:off x="0" y="917296"/>
          <a:ext cx="4299975" cy="303286"/>
          <a:chOff x="230187" y="644543"/>
          <a:chExt cx="5846763" cy="466707"/>
        </a:xfrm>
      </xdr:grpSpPr>
      <xdr:sp macro="" textlink="">
        <xdr:nvSpPr>
          <xdr:cNvPr id="18" name="Rectangle 3">
            <a:extLst>
              <a:ext uri="{FF2B5EF4-FFF2-40B4-BE49-F238E27FC236}">
                <a16:creationId xmlns:a16="http://schemas.microsoft.com/office/drawing/2014/main" id="{00000000-0008-0000-0500-000012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19" name="Text Box 10">
            <a:extLst>
              <a:ext uri="{FF2B5EF4-FFF2-40B4-BE49-F238E27FC236}">
                <a16:creationId xmlns:a16="http://schemas.microsoft.com/office/drawing/2014/main" id="{00000000-0008-0000-0500-000013000000}"/>
              </a:ext>
            </a:extLst>
          </xdr:cNvPr>
          <xdr:cNvSpPr txBox="1">
            <a:spLocks noChangeArrowheads="1"/>
          </xdr:cNvSpPr>
        </xdr:nvSpPr>
        <xdr:spPr bwMode="auto">
          <a:xfrm>
            <a:off x="307902" y="644543"/>
            <a:ext cx="2564358" cy="389306"/>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Empresas e Estabelecimentos</a:t>
            </a:r>
            <a:endParaRPr lang="en-US" altLang="pt-PT" sz="1200" b="1">
              <a:solidFill>
                <a:srgbClr val="00467A"/>
              </a:solidFill>
              <a:latin typeface="Arial" charset="0"/>
            </a:endParaRPr>
          </a:p>
        </xdr:txBody>
      </xdr:sp>
    </xdr:grpSp>
    <xdr:clientData/>
  </xdr:twoCellAnchor>
  <xdr:twoCellAnchor>
    <xdr:from>
      <xdr:col>1</xdr:col>
      <xdr:colOff>417362</xdr:colOff>
      <xdr:row>0</xdr:row>
      <xdr:rowOff>0</xdr:rowOff>
    </xdr:from>
    <xdr:to>
      <xdr:col>22</xdr:col>
      <xdr:colOff>577850</xdr:colOff>
      <xdr:row>2</xdr:row>
      <xdr:rowOff>76200</xdr:rowOff>
    </xdr:to>
    <xdr:sp macro="" textlink="">
      <xdr:nvSpPr>
        <xdr:cNvPr id="21" name="Rectangle 17">
          <a:extLst>
            <a:ext uri="{FF2B5EF4-FFF2-40B4-BE49-F238E27FC236}">
              <a16:creationId xmlns:a16="http://schemas.microsoft.com/office/drawing/2014/main" id="{00000000-0008-0000-0500-000015000000}"/>
            </a:ext>
          </a:extLst>
        </xdr:cNvPr>
        <xdr:cNvSpPr>
          <a:spLocks noChangeArrowheads="1"/>
        </xdr:cNvSpPr>
      </xdr:nvSpPr>
      <xdr:spPr bwMode="auto">
        <a:xfrm rot="5400000">
          <a:off x="6755531" y="-5776194"/>
          <a:ext cx="504825" cy="12057213"/>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vert="vert270"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1600" b="1" i="1">
              <a:solidFill>
                <a:schemeClr val="bg1"/>
              </a:solidFill>
              <a:effectLst>
                <a:outerShdw blurRad="38100" dist="38100" dir="2700000" algn="tl">
                  <a:srgbClr val="000000"/>
                </a:outerShdw>
              </a:effectLst>
              <a:latin typeface="Arial" charset="0"/>
            </a:rPr>
            <a:t>Séries Cronológicas 2014 - 2024: Quadros de Pessoal</a:t>
          </a:r>
        </a:p>
        <a:p>
          <a:pPr defTabSz="988538">
            <a:defRPr/>
          </a:pPr>
          <a:r>
            <a:rPr lang="pt-PT" sz="1600" b="1" i="1">
              <a:solidFill>
                <a:srgbClr val="FFE600"/>
              </a:solidFill>
              <a:effectLst>
                <a:outerShdw blurRad="38100" dist="38100" dir="2700000" algn="tl">
                  <a:srgbClr val="000000"/>
                </a:outerShdw>
              </a:effectLst>
              <a:latin typeface="Arial" charset="0"/>
            </a:rPr>
            <a:t>NUTS 2024</a:t>
          </a:r>
        </a:p>
      </xdr:txBody>
    </xdr:sp>
    <xdr:clientData/>
  </xdr:twoCellAnchor>
  <xdr:twoCellAnchor>
    <xdr:from>
      <xdr:col>7</xdr:col>
      <xdr:colOff>419100</xdr:colOff>
      <xdr:row>4</xdr:row>
      <xdr:rowOff>89698</xdr:rowOff>
    </xdr:from>
    <xdr:to>
      <xdr:col>15</xdr:col>
      <xdr:colOff>239150</xdr:colOff>
      <xdr:row>6</xdr:row>
      <xdr:rowOff>45398</xdr:rowOff>
    </xdr:to>
    <xdr:grpSp>
      <xdr:nvGrpSpPr>
        <xdr:cNvPr id="22" name="Agrupar 21">
          <a:extLst>
            <a:ext uri="{FF2B5EF4-FFF2-40B4-BE49-F238E27FC236}">
              <a16:creationId xmlns:a16="http://schemas.microsoft.com/office/drawing/2014/main" id="{00000000-0008-0000-0500-000016000000}"/>
            </a:ext>
          </a:extLst>
        </xdr:cNvPr>
        <xdr:cNvGrpSpPr/>
      </xdr:nvGrpSpPr>
      <xdr:grpSpPr>
        <a:xfrm>
          <a:off x="4352925" y="899323"/>
          <a:ext cx="4277750" cy="336700"/>
          <a:chOff x="230187" y="612160"/>
          <a:chExt cx="5846763" cy="499090"/>
        </a:xfrm>
      </xdr:grpSpPr>
      <xdr:sp macro="" textlink="">
        <xdr:nvSpPr>
          <xdr:cNvPr id="23" name="Rectangle 3">
            <a:extLst>
              <a:ext uri="{FF2B5EF4-FFF2-40B4-BE49-F238E27FC236}">
                <a16:creationId xmlns:a16="http://schemas.microsoft.com/office/drawing/2014/main" id="{00000000-0008-0000-0500-000017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24" name="Text Box 10">
            <a:extLst>
              <a:ext uri="{FF2B5EF4-FFF2-40B4-BE49-F238E27FC236}">
                <a16:creationId xmlns:a16="http://schemas.microsoft.com/office/drawing/2014/main" id="{00000000-0008-0000-0500-000018000000}"/>
              </a:ext>
            </a:extLst>
          </xdr:cNvPr>
          <xdr:cNvSpPr txBox="1">
            <a:spLocks noChangeArrowheads="1"/>
          </xdr:cNvSpPr>
        </xdr:nvSpPr>
        <xdr:spPr bwMode="auto">
          <a:xfrm>
            <a:off x="273049" y="612160"/>
            <a:ext cx="2074661" cy="413240"/>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Pessoas ao serviço e TCO</a:t>
            </a:r>
          </a:p>
        </xdr:txBody>
      </xdr:sp>
    </xdr:grpSp>
    <xdr:clientData/>
  </xdr:twoCellAnchor>
  <xdr:twoCellAnchor>
    <xdr:from>
      <xdr:col>15</xdr:col>
      <xdr:colOff>317500</xdr:colOff>
      <xdr:row>4</xdr:row>
      <xdr:rowOff>81233</xdr:rowOff>
    </xdr:from>
    <xdr:to>
      <xdr:col>23</xdr:col>
      <xdr:colOff>0</xdr:colOff>
      <xdr:row>6</xdr:row>
      <xdr:rowOff>36933</xdr:rowOff>
    </xdr:to>
    <xdr:grpSp>
      <xdr:nvGrpSpPr>
        <xdr:cNvPr id="25" name="Agrupar 24">
          <a:extLst>
            <a:ext uri="{FF2B5EF4-FFF2-40B4-BE49-F238E27FC236}">
              <a16:creationId xmlns:a16="http://schemas.microsoft.com/office/drawing/2014/main" id="{00000000-0008-0000-0500-000019000000}"/>
            </a:ext>
          </a:extLst>
        </xdr:cNvPr>
        <xdr:cNvGrpSpPr/>
      </xdr:nvGrpSpPr>
      <xdr:grpSpPr>
        <a:xfrm>
          <a:off x="8709025" y="890858"/>
          <a:ext cx="4330700" cy="336700"/>
          <a:chOff x="230187" y="612158"/>
          <a:chExt cx="5846763" cy="499092"/>
        </a:xfrm>
      </xdr:grpSpPr>
      <xdr:sp macro="" textlink="">
        <xdr:nvSpPr>
          <xdr:cNvPr id="26" name="Rectangle 3">
            <a:extLst>
              <a:ext uri="{FF2B5EF4-FFF2-40B4-BE49-F238E27FC236}">
                <a16:creationId xmlns:a16="http://schemas.microsoft.com/office/drawing/2014/main" id="{00000000-0008-0000-0500-00001A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27" name="Text Box 10">
            <a:extLst>
              <a:ext uri="{FF2B5EF4-FFF2-40B4-BE49-F238E27FC236}">
                <a16:creationId xmlns:a16="http://schemas.microsoft.com/office/drawing/2014/main" id="{00000000-0008-0000-0500-00001B000000}"/>
              </a:ext>
            </a:extLst>
          </xdr:cNvPr>
          <xdr:cNvSpPr txBox="1">
            <a:spLocks noChangeArrowheads="1"/>
          </xdr:cNvSpPr>
        </xdr:nvSpPr>
        <xdr:spPr bwMode="auto">
          <a:xfrm>
            <a:off x="264329" y="612158"/>
            <a:ext cx="2533750" cy="425733"/>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Remunerações</a:t>
            </a:r>
            <a:r>
              <a:rPr lang="en-US" altLang="pt-PT" sz="1000" b="1" baseline="0">
                <a:solidFill>
                  <a:srgbClr val="00467A"/>
                </a:solidFill>
                <a:latin typeface="+mn-lt"/>
              </a:rPr>
              <a:t> médias mensais</a:t>
            </a:r>
            <a:endParaRPr lang="en-US" altLang="pt-PT" sz="1000" b="1">
              <a:solidFill>
                <a:srgbClr val="00467A"/>
              </a:solidFill>
              <a:latin typeface="+mn-lt"/>
            </a:endParaRPr>
          </a:p>
        </xdr:txBody>
      </xdr:sp>
    </xdr:grpSp>
    <xdr:clientData/>
  </xdr:twoCellAnchor>
  <xdr:twoCellAnchor>
    <xdr:from>
      <xdr:col>0</xdr:col>
      <xdr:colOff>47996</xdr:colOff>
      <xdr:row>2</xdr:row>
      <xdr:rowOff>120650</xdr:rowOff>
    </xdr:from>
    <xdr:to>
      <xdr:col>22</xdr:col>
      <xdr:colOff>577849</xdr:colOff>
      <xdr:row>4</xdr:row>
      <xdr:rowOff>50800</xdr:rowOff>
    </xdr:to>
    <xdr:grpSp>
      <xdr:nvGrpSpPr>
        <xdr:cNvPr id="28" name="Agrupar 27">
          <a:extLst>
            <a:ext uri="{FF2B5EF4-FFF2-40B4-BE49-F238E27FC236}">
              <a16:creationId xmlns:a16="http://schemas.microsoft.com/office/drawing/2014/main" id="{00000000-0008-0000-0500-00001C000000}"/>
            </a:ext>
          </a:extLst>
        </xdr:cNvPr>
        <xdr:cNvGrpSpPr/>
      </xdr:nvGrpSpPr>
      <xdr:grpSpPr>
        <a:xfrm>
          <a:off x="47996" y="549275"/>
          <a:ext cx="12988553" cy="311150"/>
          <a:chOff x="47996" y="590550"/>
          <a:chExt cx="13610853" cy="298450"/>
        </a:xfrm>
      </xdr:grpSpPr>
      <xdr:sp macro="" textlink="">
        <xdr:nvSpPr>
          <xdr:cNvPr id="29" name="Text Box 10">
            <a:extLst>
              <a:ext uri="{FF2B5EF4-FFF2-40B4-BE49-F238E27FC236}">
                <a16:creationId xmlns:a16="http://schemas.microsoft.com/office/drawing/2014/main" id="{00000000-0008-0000-0500-00001D000000}"/>
              </a:ext>
            </a:extLst>
          </xdr:cNvPr>
          <xdr:cNvSpPr txBox="1">
            <a:spLocks noChangeArrowheads="1"/>
          </xdr:cNvSpPr>
        </xdr:nvSpPr>
        <xdr:spPr bwMode="auto">
          <a:xfrm>
            <a:off x="47996" y="590550"/>
            <a:ext cx="13610853" cy="298450"/>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endParaRPr lang="en-US" altLang="pt-PT" sz="1200" b="1">
              <a:solidFill>
                <a:srgbClr val="00467A"/>
              </a:solidFill>
              <a:latin typeface="Arial" charset="0"/>
            </a:endParaRPr>
          </a:p>
        </xdr:txBody>
      </xdr:sp>
      <mc:AlternateContent xmlns:mc="http://schemas.openxmlformats.org/markup-compatibility/2006">
        <mc:Choice xmlns:a14="http://schemas.microsoft.com/office/drawing/2010/main" Requires="a14">
          <xdr:sp macro="" textlink="">
            <xdr:nvSpPr>
              <xdr:cNvPr id="288772" name="Drop Down 4" hidden="1">
                <a:extLst>
                  <a:ext uri="{63B3BB69-23CF-44E3-9099-C40C66FF867C}">
                    <a14:compatExt spid="_x0000_s288772"/>
                  </a:ext>
                  <a:ext uri="{FF2B5EF4-FFF2-40B4-BE49-F238E27FC236}">
                    <a16:creationId xmlns:a16="http://schemas.microsoft.com/office/drawing/2014/main" id="{00000000-0008-0000-0500-000004680400}"/>
                  </a:ext>
                </a:extLst>
              </xdr:cNvPr>
              <xdr:cNvSpPr/>
            </xdr:nvSpPr>
            <xdr:spPr bwMode="auto">
              <a:xfrm>
                <a:off x="2075099" y="635000"/>
                <a:ext cx="1388732" cy="196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31" name="Text Box 10">
            <a:extLst>
              <a:ext uri="{FF2B5EF4-FFF2-40B4-BE49-F238E27FC236}">
                <a16:creationId xmlns:a16="http://schemas.microsoft.com/office/drawing/2014/main" id="{00000000-0008-0000-0500-00001F000000}"/>
              </a:ext>
            </a:extLst>
          </xdr:cNvPr>
          <xdr:cNvSpPr txBox="1">
            <a:spLocks noChangeArrowheads="1"/>
          </xdr:cNvSpPr>
        </xdr:nvSpPr>
        <xdr:spPr bwMode="auto">
          <a:xfrm>
            <a:off x="150341" y="613164"/>
            <a:ext cx="1853612" cy="241300"/>
          </a:xfrm>
          <a:prstGeom prst="rect">
            <a:avLst/>
          </a:prstGeom>
          <a:solidFill>
            <a:srgbClr val="00467A"/>
          </a:solidFill>
          <a:ln>
            <a:noFill/>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uma região NUTS II</a:t>
            </a:r>
            <a:endParaRPr lang="en-US" altLang="pt-PT" sz="1200" b="1">
              <a:solidFill>
                <a:schemeClr val="bg1"/>
              </a:solidFill>
              <a:latin typeface="Arial" charset="0"/>
            </a:endParaRPr>
          </a:p>
        </xdr:txBody>
      </xdr:sp>
    </xdr:grpSp>
    <xdr:clientData/>
  </xdr:twoCellAnchor>
  <xdr:twoCellAnchor>
    <xdr:from>
      <xdr:col>0</xdr:col>
      <xdr:colOff>88900</xdr:colOff>
      <xdr:row>10</xdr:row>
      <xdr:rowOff>120650</xdr:rowOff>
    </xdr:from>
    <xdr:to>
      <xdr:col>7</xdr:col>
      <xdr:colOff>275050</xdr:colOff>
      <xdr:row>25</xdr:row>
      <xdr:rowOff>0</xdr:rowOff>
    </xdr:to>
    <xdr:grpSp>
      <xdr:nvGrpSpPr>
        <xdr:cNvPr id="32" name="Agrupar 31">
          <a:extLst>
            <a:ext uri="{FF2B5EF4-FFF2-40B4-BE49-F238E27FC236}">
              <a16:creationId xmlns:a16="http://schemas.microsoft.com/office/drawing/2014/main" id="{00000000-0008-0000-0500-000020000000}"/>
            </a:ext>
          </a:extLst>
        </xdr:cNvPr>
        <xdr:cNvGrpSpPr/>
      </xdr:nvGrpSpPr>
      <xdr:grpSpPr>
        <a:xfrm>
          <a:off x="88900" y="2073275"/>
          <a:ext cx="4119975" cy="2736850"/>
          <a:chOff x="36182300" y="8426450"/>
          <a:chExt cx="4819650" cy="2597244"/>
        </a:xfrm>
      </xdr:grpSpPr>
      <xdr:graphicFrame macro="">
        <xdr:nvGraphicFramePr>
          <xdr:cNvPr id="33" name="Gráfico 32">
            <a:extLst>
              <a:ext uri="{FF2B5EF4-FFF2-40B4-BE49-F238E27FC236}">
                <a16:creationId xmlns:a16="http://schemas.microsoft.com/office/drawing/2014/main" id="{00000000-0008-0000-0500-000021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4" name="CaixaDeTexto 33">
            <a:extLst>
              <a:ext uri="{FF2B5EF4-FFF2-40B4-BE49-F238E27FC236}">
                <a16:creationId xmlns:a16="http://schemas.microsoft.com/office/drawing/2014/main" id="{00000000-0008-0000-0500-000022000000}"/>
              </a:ext>
            </a:extLst>
          </xdr:cNvPr>
          <xdr:cNvSpPr txBox="1"/>
        </xdr:nvSpPr>
        <xdr:spPr>
          <a:xfrm>
            <a:off x="39836722" y="8902700"/>
            <a:ext cx="913867"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Empresas</a:t>
            </a:r>
          </a:p>
        </xdr:txBody>
      </xdr:sp>
      <xdr:sp macro="" textlink="">
        <xdr:nvSpPr>
          <xdr:cNvPr id="35" name="CaixaDeTexto 34">
            <a:extLst>
              <a:ext uri="{FF2B5EF4-FFF2-40B4-BE49-F238E27FC236}">
                <a16:creationId xmlns:a16="http://schemas.microsoft.com/office/drawing/2014/main" id="{00000000-0008-0000-0500-000023000000}"/>
              </a:ext>
            </a:extLst>
          </xdr:cNvPr>
          <xdr:cNvSpPr txBox="1"/>
        </xdr:nvSpPr>
        <xdr:spPr>
          <a:xfrm>
            <a:off x="39833549" y="9721850"/>
            <a:ext cx="913497"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Estabelecimentos</a:t>
            </a:r>
          </a:p>
        </xdr:txBody>
      </xdr:sp>
      <xdr:sp macro="" textlink="q4_8_12_16_25_37_Fig!$AF$7">
        <xdr:nvSpPr>
          <xdr:cNvPr id="36" name="CaixaDeTexto 35">
            <a:extLst>
              <a:ext uri="{FF2B5EF4-FFF2-40B4-BE49-F238E27FC236}">
                <a16:creationId xmlns:a16="http://schemas.microsoft.com/office/drawing/2014/main" id="{00000000-0008-0000-0500-000024000000}"/>
              </a:ext>
            </a:extLst>
          </xdr:cNvPr>
          <xdr:cNvSpPr txBox="1"/>
        </xdr:nvSpPr>
        <xdr:spPr>
          <a:xfrm>
            <a:off x="39839898" y="9994900"/>
            <a:ext cx="913867" cy="258246"/>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F3DE539-7A98-45D5-8330-81D027DC3BE6}" type="TxLink">
              <a:rPr lang="en-US" sz="1000" b="1" i="0" u="none" strike="noStrike">
                <a:solidFill>
                  <a:schemeClr val="bg1"/>
                </a:solidFill>
                <a:latin typeface="Arial"/>
                <a:ea typeface="+mn-ea"/>
                <a:cs typeface="Arial"/>
              </a:rPr>
              <a:pPr marL="0" indent="0" algn="ctr"/>
              <a:t>6,9%</a:t>
            </a:fld>
            <a:endParaRPr lang="pt-PT" sz="1000" b="1" i="0" u="none" strike="noStrike">
              <a:solidFill>
                <a:schemeClr val="bg1"/>
              </a:solidFill>
              <a:latin typeface="+mn-lt"/>
              <a:ea typeface="+mn-ea"/>
              <a:cs typeface="Arial"/>
            </a:endParaRPr>
          </a:p>
        </xdr:txBody>
      </xdr:sp>
      <xdr:sp macro="" textlink="q4_8_12_16_25_37_Fig!$AF$6">
        <xdr:nvSpPr>
          <xdr:cNvPr id="37" name="CaixaDeTexto 36">
            <a:extLst>
              <a:ext uri="{FF2B5EF4-FFF2-40B4-BE49-F238E27FC236}">
                <a16:creationId xmlns:a16="http://schemas.microsoft.com/office/drawing/2014/main" id="{00000000-0008-0000-0500-000025000000}"/>
              </a:ext>
            </a:extLst>
          </xdr:cNvPr>
          <xdr:cNvSpPr txBox="1"/>
        </xdr:nvSpPr>
        <xdr:spPr>
          <a:xfrm>
            <a:off x="39839898" y="9201150"/>
            <a:ext cx="913867" cy="25824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D787330-1778-4D91-88C1-A0718C0264B1}" type="TxLink">
              <a:rPr lang="en-US" sz="1000" b="1" i="0" u="none" strike="noStrike">
                <a:solidFill>
                  <a:schemeClr val="bg1"/>
                </a:solidFill>
                <a:latin typeface="Arial"/>
                <a:cs typeface="Arial"/>
              </a:rPr>
              <a:pPr algn="ctr"/>
              <a:t>8,9%</a:t>
            </a:fld>
            <a:endParaRPr lang="pt-PT" sz="1000" b="1">
              <a:solidFill>
                <a:schemeClr val="bg1"/>
              </a:solidFill>
              <a:latin typeface="+mn-lt"/>
            </a:endParaRPr>
          </a:p>
        </xdr:txBody>
      </xdr:sp>
    </xdr:grpSp>
    <xdr:clientData/>
  </xdr:twoCellAnchor>
  <xdr:twoCellAnchor>
    <xdr:from>
      <xdr:col>8</xdr:col>
      <xdr:colOff>47625</xdr:colOff>
      <xdr:row>10</xdr:row>
      <xdr:rowOff>133350</xdr:rowOff>
    </xdr:from>
    <xdr:to>
      <xdr:col>15</xdr:col>
      <xdr:colOff>249650</xdr:colOff>
      <xdr:row>25</xdr:row>
      <xdr:rowOff>0</xdr:rowOff>
    </xdr:to>
    <xdr:grpSp>
      <xdr:nvGrpSpPr>
        <xdr:cNvPr id="43" name="Agrupar 42">
          <a:extLst>
            <a:ext uri="{FF2B5EF4-FFF2-40B4-BE49-F238E27FC236}">
              <a16:creationId xmlns:a16="http://schemas.microsoft.com/office/drawing/2014/main" id="{00000000-0008-0000-0500-00002B000000}"/>
            </a:ext>
          </a:extLst>
        </xdr:cNvPr>
        <xdr:cNvGrpSpPr/>
      </xdr:nvGrpSpPr>
      <xdr:grpSpPr>
        <a:xfrm>
          <a:off x="4543425" y="2085975"/>
          <a:ext cx="4097750" cy="2724150"/>
          <a:chOff x="36182300" y="8426450"/>
          <a:chExt cx="4819650" cy="2597244"/>
        </a:xfrm>
      </xdr:grpSpPr>
      <xdr:graphicFrame macro="">
        <xdr:nvGraphicFramePr>
          <xdr:cNvPr id="44" name="Gráfico 43">
            <a:extLst>
              <a:ext uri="{FF2B5EF4-FFF2-40B4-BE49-F238E27FC236}">
                <a16:creationId xmlns:a16="http://schemas.microsoft.com/office/drawing/2014/main" id="{00000000-0008-0000-0500-00002C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45" name="CaixaDeTexto 44">
            <a:extLst>
              <a:ext uri="{FF2B5EF4-FFF2-40B4-BE49-F238E27FC236}">
                <a16:creationId xmlns:a16="http://schemas.microsoft.com/office/drawing/2014/main" id="{00000000-0008-0000-0500-00002D000000}"/>
              </a:ext>
            </a:extLst>
          </xdr:cNvPr>
          <xdr:cNvSpPr txBox="1"/>
        </xdr:nvSpPr>
        <xdr:spPr>
          <a:xfrm>
            <a:off x="39836724" y="8902700"/>
            <a:ext cx="918824"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Pessoas ao serviço</a:t>
            </a:r>
          </a:p>
        </xdr:txBody>
      </xdr:sp>
      <xdr:sp macro="" textlink="">
        <xdr:nvSpPr>
          <xdr:cNvPr id="46" name="CaixaDeTexto 45">
            <a:extLst>
              <a:ext uri="{FF2B5EF4-FFF2-40B4-BE49-F238E27FC236}">
                <a16:creationId xmlns:a16="http://schemas.microsoft.com/office/drawing/2014/main" id="{00000000-0008-0000-0500-00002E000000}"/>
              </a:ext>
            </a:extLst>
          </xdr:cNvPr>
          <xdr:cNvSpPr txBox="1"/>
        </xdr:nvSpPr>
        <xdr:spPr>
          <a:xfrm>
            <a:off x="39833550" y="9721850"/>
            <a:ext cx="918824"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TCO</a:t>
            </a:r>
          </a:p>
        </xdr:txBody>
      </xdr:sp>
      <xdr:sp macro="" textlink="q4_8_12_16_25_37_Fig!$AF$39">
        <xdr:nvSpPr>
          <xdr:cNvPr id="47" name="CaixaDeTexto 46">
            <a:extLst>
              <a:ext uri="{FF2B5EF4-FFF2-40B4-BE49-F238E27FC236}">
                <a16:creationId xmlns:a16="http://schemas.microsoft.com/office/drawing/2014/main" id="{00000000-0008-0000-0500-00002F000000}"/>
              </a:ext>
            </a:extLst>
          </xdr:cNvPr>
          <xdr:cNvSpPr txBox="1"/>
        </xdr:nvSpPr>
        <xdr:spPr>
          <a:xfrm>
            <a:off x="39839899" y="9994900"/>
            <a:ext cx="918824" cy="258246"/>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60AEEEB-B220-408C-9D25-033D671B24AA}" type="TxLink">
              <a:rPr lang="en-US" sz="1000" b="1" i="0" u="none" strike="noStrike">
                <a:solidFill>
                  <a:schemeClr val="bg1"/>
                </a:solidFill>
                <a:latin typeface="Arial"/>
                <a:ea typeface="+mn-ea"/>
                <a:cs typeface="Arial"/>
              </a:rPr>
              <a:pPr marL="0" indent="0" algn="ctr"/>
              <a:t>41,2%</a:t>
            </a:fld>
            <a:endParaRPr lang="pt-PT" sz="1000" b="1" i="0" u="none" strike="noStrike">
              <a:solidFill>
                <a:schemeClr val="bg1"/>
              </a:solidFill>
              <a:latin typeface="+mn-lt"/>
              <a:ea typeface="+mn-ea"/>
              <a:cs typeface="Arial"/>
            </a:endParaRPr>
          </a:p>
        </xdr:txBody>
      </xdr:sp>
      <xdr:sp macro="" textlink="q4_8_12_16_25_37_Fig!$AF$38">
        <xdr:nvSpPr>
          <xdr:cNvPr id="48" name="CaixaDeTexto 47">
            <a:extLst>
              <a:ext uri="{FF2B5EF4-FFF2-40B4-BE49-F238E27FC236}">
                <a16:creationId xmlns:a16="http://schemas.microsoft.com/office/drawing/2014/main" id="{00000000-0008-0000-0500-000030000000}"/>
              </a:ext>
            </a:extLst>
          </xdr:cNvPr>
          <xdr:cNvSpPr txBox="1"/>
        </xdr:nvSpPr>
        <xdr:spPr>
          <a:xfrm>
            <a:off x="39839900" y="9201150"/>
            <a:ext cx="918824" cy="25824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A25F6D9-4EE6-4448-9CF6-5354ABD18DA3}" type="TxLink">
              <a:rPr lang="en-US" sz="1000" b="1" i="0" u="none" strike="noStrike">
                <a:solidFill>
                  <a:schemeClr val="bg1"/>
                </a:solidFill>
                <a:latin typeface="Arial"/>
                <a:cs typeface="Arial"/>
              </a:rPr>
              <a:pPr algn="ctr"/>
              <a:t>39,3%</a:t>
            </a:fld>
            <a:endParaRPr lang="pt-PT" sz="1000" b="1">
              <a:solidFill>
                <a:schemeClr val="bg1"/>
              </a:solidFill>
              <a:latin typeface="+mn-lt"/>
            </a:endParaRPr>
          </a:p>
        </xdr:txBody>
      </xdr:sp>
    </xdr:grpSp>
    <xdr:clientData/>
  </xdr:twoCellAnchor>
  <xdr:twoCellAnchor>
    <xdr:from>
      <xdr:col>15</xdr:col>
      <xdr:colOff>419100</xdr:colOff>
      <xdr:row>11</xdr:row>
      <xdr:rowOff>57147</xdr:rowOff>
    </xdr:from>
    <xdr:to>
      <xdr:col>22</xdr:col>
      <xdr:colOff>471900</xdr:colOff>
      <xdr:row>25</xdr:row>
      <xdr:rowOff>0</xdr:rowOff>
    </xdr:to>
    <xdr:grpSp>
      <xdr:nvGrpSpPr>
        <xdr:cNvPr id="49" name="Agrupar 48">
          <a:extLst>
            <a:ext uri="{FF2B5EF4-FFF2-40B4-BE49-F238E27FC236}">
              <a16:creationId xmlns:a16="http://schemas.microsoft.com/office/drawing/2014/main" id="{00000000-0008-0000-0500-000031000000}"/>
            </a:ext>
          </a:extLst>
        </xdr:cNvPr>
        <xdr:cNvGrpSpPr/>
      </xdr:nvGrpSpPr>
      <xdr:grpSpPr>
        <a:xfrm>
          <a:off x="8810625" y="2200272"/>
          <a:ext cx="4119975" cy="2609853"/>
          <a:chOff x="36182300" y="8426450"/>
          <a:chExt cx="4819650" cy="2597244"/>
        </a:xfrm>
      </xdr:grpSpPr>
      <xdr:graphicFrame macro="">
        <xdr:nvGraphicFramePr>
          <xdr:cNvPr id="50" name="Gráfico 49">
            <a:extLst>
              <a:ext uri="{FF2B5EF4-FFF2-40B4-BE49-F238E27FC236}">
                <a16:creationId xmlns:a16="http://schemas.microsoft.com/office/drawing/2014/main" id="{00000000-0008-0000-0500-000032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51" name="CaixaDeTexto 50">
            <a:extLst>
              <a:ext uri="{FF2B5EF4-FFF2-40B4-BE49-F238E27FC236}">
                <a16:creationId xmlns:a16="http://schemas.microsoft.com/office/drawing/2014/main" id="{00000000-0008-0000-0500-000033000000}"/>
              </a:ext>
            </a:extLst>
          </xdr:cNvPr>
          <xdr:cNvSpPr txBox="1"/>
        </xdr:nvSpPr>
        <xdr:spPr>
          <a:xfrm>
            <a:off x="39836724" y="8902700"/>
            <a:ext cx="913867" cy="266537"/>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a:t>
            </a:r>
            <a:r>
              <a:rPr lang="pt-PT" sz="800" b="1" baseline="0">
                <a:solidFill>
                  <a:schemeClr val="bg1"/>
                </a:solidFill>
                <a:latin typeface="+mn-lt"/>
                <a:ea typeface="+mn-ea"/>
                <a:cs typeface="+mn-cs"/>
              </a:rPr>
              <a:t> Base</a:t>
            </a:r>
          </a:p>
        </xdr:txBody>
      </xdr:sp>
      <xdr:sp macro="" textlink="">
        <xdr:nvSpPr>
          <xdr:cNvPr id="52" name="CaixaDeTexto 51">
            <a:extLst>
              <a:ext uri="{FF2B5EF4-FFF2-40B4-BE49-F238E27FC236}">
                <a16:creationId xmlns:a16="http://schemas.microsoft.com/office/drawing/2014/main" id="{00000000-0008-0000-0500-000034000000}"/>
              </a:ext>
            </a:extLst>
          </xdr:cNvPr>
          <xdr:cNvSpPr txBox="1"/>
        </xdr:nvSpPr>
        <xdr:spPr>
          <a:xfrm>
            <a:off x="39833549" y="9721850"/>
            <a:ext cx="913867" cy="266537"/>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 Ganho</a:t>
            </a:r>
          </a:p>
        </xdr:txBody>
      </xdr:sp>
      <xdr:sp macro="" textlink="q4_8_12_16_25_37_Fig!$AF$73">
        <xdr:nvSpPr>
          <xdr:cNvPr id="53" name="CaixaDeTexto 52">
            <a:extLst>
              <a:ext uri="{FF2B5EF4-FFF2-40B4-BE49-F238E27FC236}">
                <a16:creationId xmlns:a16="http://schemas.microsoft.com/office/drawing/2014/main" id="{00000000-0008-0000-0500-000035000000}"/>
              </a:ext>
            </a:extLst>
          </xdr:cNvPr>
          <xdr:cNvSpPr txBox="1"/>
        </xdr:nvSpPr>
        <xdr:spPr>
          <a:xfrm>
            <a:off x="39839897" y="9994900"/>
            <a:ext cx="913867" cy="266537"/>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6FE65740-4B2E-4268-BA56-C86EFD2798EC}" type="TxLink">
              <a:rPr lang="en-US" sz="1000" b="1" i="0" u="none" strike="noStrike">
                <a:solidFill>
                  <a:schemeClr val="bg1"/>
                </a:solidFill>
                <a:latin typeface="Arial"/>
                <a:ea typeface="+mn-ea"/>
                <a:cs typeface="Arial"/>
              </a:rPr>
              <a:pPr marL="0" indent="0" algn="ctr"/>
              <a:t>36,2%</a:t>
            </a:fld>
            <a:endParaRPr lang="pt-PT" sz="1000" b="1" i="0" u="none" strike="noStrike">
              <a:solidFill>
                <a:schemeClr val="bg1"/>
              </a:solidFill>
              <a:latin typeface="+mn-lt"/>
              <a:ea typeface="+mn-ea"/>
              <a:cs typeface="Arial"/>
            </a:endParaRPr>
          </a:p>
        </xdr:txBody>
      </xdr:sp>
      <xdr:sp macro="" textlink="q4_8_12_16_25_37_Fig!$AF$72">
        <xdr:nvSpPr>
          <xdr:cNvPr id="54" name="CaixaDeTexto 53">
            <a:extLst>
              <a:ext uri="{FF2B5EF4-FFF2-40B4-BE49-F238E27FC236}">
                <a16:creationId xmlns:a16="http://schemas.microsoft.com/office/drawing/2014/main" id="{00000000-0008-0000-0500-000036000000}"/>
              </a:ext>
            </a:extLst>
          </xdr:cNvPr>
          <xdr:cNvSpPr txBox="1"/>
        </xdr:nvSpPr>
        <xdr:spPr>
          <a:xfrm>
            <a:off x="39839901" y="9201150"/>
            <a:ext cx="913867" cy="266537"/>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B6FDA-8F00-4469-98B0-46A1AD92D302}" type="TxLink">
              <a:rPr lang="en-US" sz="1000" b="1" i="0" u="none" strike="noStrike">
                <a:solidFill>
                  <a:schemeClr val="bg1"/>
                </a:solidFill>
                <a:latin typeface="Arial"/>
                <a:cs typeface="Arial"/>
              </a:rPr>
              <a:pPr algn="ctr"/>
              <a:t>36,3%</a:t>
            </a:fld>
            <a:endParaRPr lang="pt-PT" sz="1000" b="1">
              <a:solidFill>
                <a:schemeClr val="bg1"/>
              </a:solidFill>
              <a:latin typeface="+mn-lt"/>
            </a:endParaRPr>
          </a:p>
        </xdr:txBody>
      </xdr:sp>
    </xdr:grpSp>
    <xdr:clientData/>
  </xdr:twoCellAnchor>
  <xdr:twoCellAnchor>
    <xdr:from>
      <xdr:col>0</xdr:col>
      <xdr:colOff>0</xdr:colOff>
      <xdr:row>6</xdr:row>
      <xdr:rowOff>76200</xdr:rowOff>
    </xdr:from>
    <xdr:to>
      <xdr:col>7</xdr:col>
      <xdr:colOff>373350</xdr:colOff>
      <xdr:row>10</xdr:row>
      <xdr:rowOff>46900</xdr:rowOff>
    </xdr:to>
    <xdr:sp macro="" textlink="q4_8_12_16_25_37_Fig!$AD$13">
      <xdr:nvSpPr>
        <xdr:cNvPr id="65" name="CaixaDeTexto 64">
          <a:extLst>
            <a:ext uri="{FF2B5EF4-FFF2-40B4-BE49-F238E27FC236}">
              <a16:creationId xmlns:a16="http://schemas.microsoft.com/office/drawing/2014/main" id="{00000000-0008-0000-0500-000041000000}"/>
            </a:ext>
          </a:extLst>
        </xdr:cNvPr>
        <xdr:cNvSpPr txBox="1"/>
      </xdr:nvSpPr>
      <xdr:spPr>
        <a:xfrm>
          <a:off x="0" y="1266825"/>
          <a:ext cx="4307175" cy="7327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CC27F40-6CB2-4225-BDD6-339908AF6D74}" type="TxLink">
            <a:rPr lang="en-US" sz="900" b="1" i="0" u="none" strike="noStrike">
              <a:solidFill>
                <a:srgbClr val="17375E"/>
              </a:solidFill>
              <a:latin typeface="Calibri"/>
              <a:cs typeface="Calibri"/>
            </a:rPr>
            <a:pPr algn="l"/>
            <a:t>2024:
A região Grande Lisboa era a sede de 59.232 empresas (variação de 8,9% face a 2014, ou seja, mais 4.817) e era a localização de 69.821 estabelecimentos (variação de 6,9% face a 2014, ou seja, mais 4.532).</a:t>
          </a:fld>
          <a:endParaRPr lang="pt-PT" sz="900" b="1">
            <a:solidFill>
              <a:srgbClr val="17375E"/>
            </a:solidFill>
            <a:latin typeface="+mn-lt"/>
          </a:endParaRPr>
        </a:p>
      </xdr:txBody>
    </xdr:sp>
    <xdr:clientData/>
  </xdr:twoCellAnchor>
  <xdr:twoCellAnchor>
    <xdr:from>
      <xdr:col>7</xdr:col>
      <xdr:colOff>425450</xdr:colOff>
      <xdr:row>6</xdr:row>
      <xdr:rowOff>88900</xdr:rowOff>
    </xdr:from>
    <xdr:to>
      <xdr:col>15</xdr:col>
      <xdr:colOff>252700</xdr:colOff>
      <xdr:row>10</xdr:row>
      <xdr:rowOff>59600</xdr:rowOff>
    </xdr:to>
    <xdr:sp macro="" textlink="q4_8_12_16_25_37_Fig!$AD$45">
      <xdr:nvSpPr>
        <xdr:cNvPr id="66" name="CaixaDeTexto 65">
          <a:extLst>
            <a:ext uri="{FF2B5EF4-FFF2-40B4-BE49-F238E27FC236}">
              <a16:creationId xmlns:a16="http://schemas.microsoft.com/office/drawing/2014/main" id="{00000000-0008-0000-0500-000042000000}"/>
            </a:ext>
          </a:extLst>
        </xdr:cNvPr>
        <xdr:cNvSpPr txBox="1"/>
      </xdr:nvSpPr>
      <xdr:spPr>
        <a:xfrm>
          <a:off x="4359275" y="1279525"/>
          <a:ext cx="4284950" cy="7327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9490F4A-3DAE-40A0-851F-070C7E3D07FE}" type="TxLink">
            <a:rPr lang="en-US" sz="1000" b="1" i="0" u="none" strike="noStrike">
              <a:solidFill>
                <a:srgbClr val="17375E"/>
              </a:solidFill>
              <a:latin typeface="Calibri"/>
              <a:cs typeface="Calibri"/>
            </a:rPr>
            <a:pPr algn="l"/>
            <a:t>2024:
As empresas da região Grande Lisboa tinham ao seu serviço 996.445 pessoas (variação de 39,3% face a 2014, ou seja, mais 281.319) e tinham 956.374 TCO (variação de 41,2% face a 2014, ou seja, mais 279.109).</a:t>
          </a:fld>
          <a:endParaRPr lang="pt-PT" sz="1000" b="1">
            <a:solidFill>
              <a:srgbClr val="17375E"/>
            </a:solidFill>
            <a:latin typeface="+mn-lt"/>
          </a:endParaRPr>
        </a:p>
      </xdr:txBody>
    </xdr:sp>
    <xdr:clientData/>
  </xdr:twoCellAnchor>
  <xdr:twoCellAnchor>
    <xdr:from>
      <xdr:col>15</xdr:col>
      <xdr:colOff>317500</xdr:colOff>
      <xdr:row>6</xdr:row>
      <xdr:rowOff>82550</xdr:rowOff>
    </xdr:from>
    <xdr:to>
      <xdr:col>22</xdr:col>
      <xdr:colOff>558800</xdr:colOff>
      <xdr:row>11</xdr:row>
      <xdr:rowOff>31750</xdr:rowOff>
    </xdr:to>
    <xdr:sp macro="" textlink="q4_8_12_16_25_37_Fig!$AD$79">
      <xdr:nvSpPr>
        <xdr:cNvPr id="67" name="CaixaDeTexto 66">
          <a:extLst>
            <a:ext uri="{FF2B5EF4-FFF2-40B4-BE49-F238E27FC236}">
              <a16:creationId xmlns:a16="http://schemas.microsoft.com/office/drawing/2014/main" id="{00000000-0008-0000-0500-000043000000}"/>
            </a:ext>
          </a:extLst>
        </xdr:cNvPr>
        <xdr:cNvSpPr txBox="1"/>
      </xdr:nvSpPr>
      <xdr:spPr>
        <a:xfrm>
          <a:off x="8699500" y="1278467"/>
          <a:ext cx="4315883" cy="9017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F338969-1A60-4888-B0D6-2FA99FBDD122}" type="TxLink">
            <a:rPr lang="en-US" sz="1000" b="1" i="0" u="none" strike="noStrike">
              <a:solidFill>
                <a:srgbClr val="17375E"/>
              </a:solidFill>
              <a:latin typeface="Calibri"/>
              <a:cs typeface="Calibri"/>
            </a:rPr>
            <a:pPr algn="l"/>
            <a:t>2024:
Na região Grande Lisboa a remuneração média mensal base era de 1.600 euros (variação de 36,3% face a 2014, ou seja, + 425,8 euros) e de 1.936 euros a remuneração média mensal ganho (variação de 36,2% face a 2014, ou seja , + 514,4 euros).</a:t>
          </a:fld>
          <a:endParaRPr lang="pt-PT" sz="1000" b="1">
            <a:solidFill>
              <a:srgbClr val="17375E"/>
            </a:solidFill>
            <a:latin typeface="+mn-lt"/>
          </a:endParaRPr>
        </a:p>
      </xdr:txBody>
    </xdr:sp>
    <xdr:clientData/>
  </xdr:twoCellAnchor>
  <xdr:twoCellAnchor>
    <xdr:from>
      <xdr:col>21</xdr:col>
      <xdr:colOff>26837</xdr:colOff>
      <xdr:row>0</xdr:row>
      <xdr:rowOff>85725</xdr:rowOff>
    </xdr:from>
    <xdr:to>
      <xdr:col>22</xdr:col>
      <xdr:colOff>479328</xdr:colOff>
      <xdr:row>1</xdr:row>
      <xdr:rowOff>132652</xdr:rowOff>
    </xdr:to>
    <xdr:sp macro="" textlink="">
      <xdr:nvSpPr>
        <xdr:cNvPr id="71" name="Text Box 10">
          <a:hlinkClick xmlns:r="http://schemas.openxmlformats.org/officeDocument/2006/relationships" r:id="rId4"/>
          <a:extLst>
            <a:ext uri="{FF2B5EF4-FFF2-40B4-BE49-F238E27FC236}">
              <a16:creationId xmlns:a16="http://schemas.microsoft.com/office/drawing/2014/main" id="{00000000-0008-0000-0500-000047000000}"/>
            </a:ext>
          </a:extLst>
        </xdr:cNvPr>
        <xdr:cNvSpPr txBox="1">
          <a:spLocks noChangeArrowheads="1"/>
        </xdr:cNvSpPr>
      </xdr:nvSpPr>
      <xdr:spPr bwMode="auto">
        <a:xfrm>
          <a:off x="11904512" y="85725"/>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twoCellAnchor>
    <xdr:from>
      <xdr:col>0</xdr:col>
      <xdr:colOff>85725</xdr:colOff>
      <xdr:row>30</xdr:row>
      <xdr:rowOff>49027</xdr:rowOff>
    </xdr:from>
    <xdr:to>
      <xdr:col>7</xdr:col>
      <xdr:colOff>399900</xdr:colOff>
      <xdr:row>53</xdr:row>
      <xdr:rowOff>59527</xdr:rowOff>
    </xdr:to>
    <xdr:grpSp>
      <xdr:nvGrpSpPr>
        <xdr:cNvPr id="94" name="Agrupar 93">
          <a:extLst>
            <a:ext uri="{FF2B5EF4-FFF2-40B4-BE49-F238E27FC236}">
              <a16:creationId xmlns:a16="http://schemas.microsoft.com/office/drawing/2014/main" id="{00000000-0008-0000-0500-00005E000000}"/>
            </a:ext>
          </a:extLst>
        </xdr:cNvPr>
        <xdr:cNvGrpSpPr/>
      </xdr:nvGrpSpPr>
      <xdr:grpSpPr>
        <a:xfrm>
          <a:off x="85725" y="5811652"/>
          <a:ext cx="4248000" cy="4392000"/>
          <a:chOff x="28561888" y="7200898"/>
          <a:chExt cx="5383746" cy="4611462"/>
        </a:xfrm>
      </xdr:grpSpPr>
      <xdr:grpSp>
        <xdr:nvGrpSpPr>
          <xdr:cNvPr id="95" name="Agrupar 94">
            <a:extLst>
              <a:ext uri="{FF2B5EF4-FFF2-40B4-BE49-F238E27FC236}">
                <a16:creationId xmlns:a16="http://schemas.microsoft.com/office/drawing/2014/main" id="{00000000-0008-0000-0500-00005F000000}"/>
              </a:ext>
            </a:extLst>
          </xdr:cNvPr>
          <xdr:cNvGrpSpPr/>
        </xdr:nvGrpSpPr>
        <xdr:grpSpPr>
          <a:xfrm>
            <a:off x="30577059" y="7200898"/>
            <a:ext cx="3368575" cy="4368645"/>
            <a:chOff x="30803162" y="7231324"/>
            <a:chExt cx="3364246" cy="4315203"/>
          </a:xfrm>
          <a:solidFill>
            <a:schemeClr val="bg1"/>
          </a:solidFill>
        </xdr:grpSpPr>
        <xdr:grpSp>
          <xdr:nvGrpSpPr>
            <xdr:cNvPr id="97" name="Agrupar 96">
              <a:extLst>
                <a:ext uri="{FF2B5EF4-FFF2-40B4-BE49-F238E27FC236}">
                  <a16:creationId xmlns:a16="http://schemas.microsoft.com/office/drawing/2014/main" id="{00000000-0008-0000-0500-000061000000}"/>
                </a:ext>
              </a:extLst>
            </xdr:cNvPr>
            <xdr:cNvGrpSpPr/>
          </xdr:nvGrpSpPr>
          <xdr:grpSpPr>
            <a:xfrm>
              <a:off x="30803162" y="7422149"/>
              <a:ext cx="3364246" cy="4124378"/>
              <a:chOff x="14530245" y="132576"/>
              <a:chExt cx="5450221" cy="7645400"/>
            </a:xfrm>
            <a:grpFill/>
          </xdr:grpSpPr>
          <xdr:pic>
            <xdr:nvPicPr>
              <xdr:cNvPr id="105" name="Imagem 104" descr="2024">
                <a:extLst>
                  <a:ext uri="{FF2B5EF4-FFF2-40B4-BE49-F238E27FC236}">
                    <a16:creationId xmlns:a16="http://schemas.microsoft.com/office/drawing/2014/main" id="{00000000-0008-0000-0500-000069000000}"/>
                  </a:ext>
                </a:extLst>
              </xdr:cNvPr>
              <xdr:cNvPicPr>
                <a:picLocks noChangeAspect="1" noChangeArrowheads="1"/>
              </xdr:cNvPicPr>
            </xdr:nvPicPr>
            <xdr:blipFill>
              <a:blip xmlns:r="http://schemas.openxmlformats.org/officeDocument/2006/relationships" r:embed="rId5" cstate="print">
                <a:biLevel thresh="25000"/>
                <a:extLst>
                  <a:ext uri="{28A0092B-C50C-407E-A947-70E740481C1C}">
                    <a14:useLocalDpi xmlns:a14="http://schemas.microsoft.com/office/drawing/2010/main" val="0"/>
                  </a:ext>
                </a:extLst>
              </a:blip>
              <a:srcRect/>
              <a:stretch>
                <a:fillRect/>
              </a:stretch>
            </xdr:blipFill>
            <xdr:spPr bwMode="auto">
              <a:xfrm>
                <a:off x="14530245" y="132576"/>
                <a:ext cx="5450221" cy="7645400"/>
              </a:xfrm>
              <a:prstGeom prst="rect">
                <a:avLst/>
              </a:prstGeom>
              <a:grpFill/>
              <a:extLst/>
            </xdr:spPr>
          </xdr:pic>
          <xdr:sp macro="" textlink="">
            <xdr:nvSpPr>
              <xdr:cNvPr id="106" name="Retângulo 105">
                <a:extLst>
                  <a:ext uri="{FF2B5EF4-FFF2-40B4-BE49-F238E27FC236}">
                    <a16:creationId xmlns:a16="http://schemas.microsoft.com/office/drawing/2014/main" id="{00000000-0008-0000-0500-00006A000000}"/>
                  </a:ext>
                </a:extLst>
              </xdr:cNvPr>
              <xdr:cNvSpPr/>
            </xdr:nvSpPr>
            <xdr:spPr>
              <a:xfrm>
                <a:off x="14723711" y="830833"/>
                <a:ext cx="1838325" cy="158115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107" name="Retângulo 106">
                <a:extLst>
                  <a:ext uri="{FF2B5EF4-FFF2-40B4-BE49-F238E27FC236}">
                    <a16:creationId xmlns:a16="http://schemas.microsoft.com/office/drawing/2014/main" id="{00000000-0008-0000-0500-00006B000000}"/>
                  </a:ext>
                </a:extLst>
              </xdr:cNvPr>
              <xdr:cNvSpPr/>
            </xdr:nvSpPr>
            <xdr:spPr>
              <a:xfrm>
                <a:off x="14825594" y="6227848"/>
                <a:ext cx="1465935" cy="134144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aphicFrame macro="">
          <xdr:nvGraphicFramePr>
            <xdr:cNvPr id="98" name="Gráfico 97">
              <a:extLst>
                <a:ext uri="{FF2B5EF4-FFF2-40B4-BE49-F238E27FC236}">
                  <a16:creationId xmlns:a16="http://schemas.microsoft.com/office/drawing/2014/main" id="{00000000-0008-0000-0500-000062000000}"/>
                </a:ext>
              </a:extLst>
            </xdr:cNvPr>
            <xdr:cNvGraphicFramePr/>
          </xdr:nvGraphicFramePr>
          <xdr:xfrm>
            <a:off x="32114942" y="7231324"/>
            <a:ext cx="756000" cy="1194648"/>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99" name="Gráfico 98">
              <a:extLst>
                <a:ext uri="{FF2B5EF4-FFF2-40B4-BE49-F238E27FC236}">
                  <a16:creationId xmlns:a16="http://schemas.microsoft.com/office/drawing/2014/main" id="{00000000-0008-0000-0500-000063000000}"/>
                </a:ext>
              </a:extLst>
            </xdr:cNvPr>
            <xdr:cNvGraphicFramePr>
              <a:graphicFrameLocks/>
            </xdr:cNvGraphicFramePr>
          </xdr:nvGraphicFramePr>
          <xdr:xfrm>
            <a:off x="32867357" y="7811507"/>
            <a:ext cx="756000" cy="1265757"/>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00" name="Gráfico 99">
              <a:extLst>
                <a:ext uri="{FF2B5EF4-FFF2-40B4-BE49-F238E27FC236}">
                  <a16:creationId xmlns:a16="http://schemas.microsoft.com/office/drawing/2014/main" id="{00000000-0008-0000-0500-000064000000}"/>
                </a:ext>
              </a:extLst>
            </xdr:cNvPr>
            <xdr:cNvGraphicFramePr>
              <a:graphicFrameLocks/>
            </xdr:cNvGraphicFramePr>
          </xdr:nvGraphicFramePr>
          <xdr:xfrm>
            <a:off x="31544838" y="7564654"/>
            <a:ext cx="756000" cy="2258034"/>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01" name="Gráfico 100">
              <a:extLst>
                <a:ext uri="{FF2B5EF4-FFF2-40B4-BE49-F238E27FC236}">
                  <a16:creationId xmlns:a16="http://schemas.microsoft.com/office/drawing/2014/main" id="{00000000-0008-0000-0500-000065000000}"/>
                </a:ext>
              </a:extLst>
            </xdr:cNvPr>
            <xdr:cNvGraphicFramePr>
              <a:graphicFrameLocks/>
            </xdr:cNvGraphicFramePr>
          </xdr:nvGraphicFramePr>
          <xdr:xfrm>
            <a:off x="31913459" y="7880509"/>
            <a:ext cx="708375" cy="255373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02" name="Gráfico 101">
              <a:extLst>
                <a:ext uri="{FF2B5EF4-FFF2-40B4-BE49-F238E27FC236}">
                  <a16:creationId xmlns:a16="http://schemas.microsoft.com/office/drawing/2014/main" id="{00000000-0008-0000-0500-000066000000}"/>
                </a:ext>
              </a:extLst>
            </xdr:cNvPr>
            <xdr:cNvGraphicFramePr>
              <a:graphicFrameLocks/>
            </xdr:cNvGraphicFramePr>
          </xdr:nvGraphicFramePr>
          <xdr:xfrm>
            <a:off x="30880757" y="9132749"/>
            <a:ext cx="756000" cy="1170944"/>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03" name="Gráfico 102">
              <a:extLst>
                <a:ext uri="{FF2B5EF4-FFF2-40B4-BE49-F238E27FC236}">
                  <a16:creationId xmlns:a16="http://schemas.microsoft.com/office/drawing/2014/main" id="{00000000-0008-0000-0500-000067000000}"/>
                </a:ext>
              </a:extLst>
            </xdr:cNvPr>
            <xdr:cNvGraphicFramePr>
              <a:graphicFrameLocks/>
            </xdr:cNvGraphicFramePr>
          </xdr:nvGraphicFramePr>
          <xdr:xfrm>
            <a:off x="32786969" y="8115722"/>
            <a:ext cx="756000" cy="2641093"/>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04" name="Gráfico 103">
              <a:extLst>
                <a:ext uri="{FF2B5EF4-FFF2-40B4-BE49-F238E27FC236}">
                  <a16:creationId xmlns:a16="http://schemas.microsoft.com/office/drawing/2014/main" id="{00000000-0008-0000-0500-000068000000}"/>
                </a:ext>
              </a:extLst>
            </xdr:cNvPr>
            <xdr:cNvGraphicFramePr>
              <a:graphicFrameLocks/>
            </xdr:cNvGraphicFramePr>
          </xdr:nvGraphicFramePr>
          <xdr:xfrm>
            <a:off x="32748992" y="9238020"/>
            <a:ext cx="756000" cy="2216038"/>
          </xdr:xfrm>
          <a:graphic>
            <a:graphicData uri="http://schemas.openxmlformats.org/drawingml/2006/chart">
              <c:chart xmlns:c="http://schemas.openxmlformats.org/drawingml/2006/chart" xmlns:r="http://schemas.openxmlformats.org/officeDocument/2006/relationships" r:id="rId12"/>
            </a:graphicData>
          </a:graphic>
        </xdr:graphicFrame>
      </xdr:grpSp>
      <xdr:graphicFrame macro="">
        <xdr:nvGraphicFramePr>
          <xdr:cNvPr id="96" name="Gráfico 95">
            <a:extLst>
              <a:ext uri="{FF2B5EF4-FFF2-40B4-BE49-F238E27FC236}">
                <a16:creationId xmlns:a16="http://schemas.microsoft.com/office/drawing/2014/main" id="{00000000-0008-0000-0500-000060000000}"/>
              </a:ext>
            </a:extLst>
          </xdr:cNvPr>
          <xdr:cNvGraphicFramePr/>
        </xdr:nvGraphicFramePr>
        <xdr:xfrm>
          <a:off x="28561888" y="7335610"/>
          <a:ext cx="2902775" cy="4476750"/>
        </xdr:xfrm>
        <a:graphic>
          <a:graphicData uri="http://schemas.openxmlformats.org/drawingml/2006/chart">
            <c:chart xmlns:c="http://schemas.openxmlformats.org/drawingml/2006/chart" xmlns:r="http://schemas.openxmlformats.org/officeDocument/2006/relationships" r:id="rId13"/>
          </a:graphicData>
        </a:graphic>
      </xdr:graphicFrame>
    </xdr:grpSp>
    <xdr:clientData/>
  </xdr:twoCellAnchor>
  <xdr:twoCellAnchor>
    <xdr:from>
      <xdr:col>7</xdr:col>
      <xdr:colOff>406211</xdr:colOff>
      <xdr:row>30</xdr:row>
      <xdr:rowOff>106456</xdr:rowOff>
    </xdr:from>
    <xdr:to>
      <xdr:col>15</xdr:col>
      <xdr:colOff>196511</xdr:colOff>
      <xdr:row>53</xdr:row>
      <xdr:rowOff>152956</xdr:rowOff>
    </xdr:to>
    <xdr:grpSp>
      <xdr:nvGrpSpPr>
        <xdr:cNvPr id="109" name="Agrupar 108">
          <a:extLst>
            <a:ext uri="{FF2B5EF4-FFF2-40B4-BE49-F238E27FC236}">
              <a16:creationId xmlns:a16="http://schemas.microsoft.com/office/drawing/2014/main" id="{00000000-0008-0000-0500-00006D000000}"/>
            </a:ext>
          </a:extLst>
        </xdr:cNvPr>
        <xdr:cNvGrpSpPr/>
      </xdr:nvGrpSpPr>
      <xdr:grpSpPr>
        <a:xfrm>
          <a:off x="4340036" y="5869081"/>
          <a:ext cx="4248000" cy="4380375"/>
          <a:chOff x="39003020" y="7175230"/>
          <a:chExt cx="5483050" cy="5027647"/>
        </a:xfrm>
      </xdr:grpSpPr>
      <xdr:grpSp>
        <xdr:nvGrpSpPr>
          <xdr:cNvPr id="110" name="Agrupar 109">
            <a:extLst>
              <a:ext uri="{FF2B5EF4-FFF2-40B4-BE49-F238E27FC236}">
                <a16:creationId xmlns:a16="http://schemas.microsoft.com/office/drawing/2014/main" id="{00000000-0008-0000-0500-00006E000000}"/>
              </a:ext>
            </a:extLst>
          </xdr:cNvPr>
          <xdr:cNvGrpSpPr/>
        </xdr:nvGrpSpPr>
        <xdr:grpSpPr>
          <a:xfrm>
            <a:off x="41100177" y="7175230"/>
            <a:ext cx="3385893" cy="4909149"/>
            <a:chOff x="30982191" y="7062130"/>
            <a:chExt cx="3364246" cy="4847719"/>
          </a:xfrm>
          <a:solidFill>
            <a:schemeClr val="bg1"/>
          </a:solidFill>
        </xdr:grpSpPr>
        <xdr:grpSp>
          <xdr:nvGrpSpPr>
            <xdr:cNvPr id="112" name="Agrupar 111">
              <a:extLst>
                <a:ext uri="{FF2B5EF4-FFF2-40B4-BE49-F238E27FC236}">
                  <a16:creationId xmlns:a16="http://schemas.microsoft.com/office/drawing/2014/main" id="{00000000-0008-0000-0500-000070000000}"/>
                </a:ext>
              </a:extLst>
            </xdr:cNvPr>
            <xdr:cNvGrpSpPr/>
          </xdr:nvGrpSpPr>
          <xdr:grpSpPr>
            <a:xfrm>
              <a:off x="30982191" y="7202194"/>
              <a:ext cx="3364246" cy="4707655"/>
              <a:chOff x="14820280" y="-275157"/>
              <a:chExt cx="5450221" cy="8726627"/>
            </a:xfrm>
            <a:grpFill/>
          </xdr:grpSpPr>
          <xdr:pic>
            <xdr:nvPicPr>
              <xdr:cNvPr id="120" name="Imagem 119" descr="2024">
                <a:extLst>
                  <a:ext uri="{FF2B5EF4-FFF2-40B4-BE49-F238E27FC236}">
                    <a16:creationId xmlns:a16="http://schemas.microsoft.com/office/drawing/2014/main" id="{00000000-0008-0000-0500-000078000000}"/>
                  </a:ext>
                </a:extLst>
              </xdr:cNvPr>
              <xdr:cNvPicPr>
                <a:picLocks noChangeAspect="1" noChangeArrowheads="1"/>
              </xdr:cNvPicPr>
            </xdr:nvPicPr>
            <xdr:blipFill>
              <a:blip xmlns:r="http://schemas.openxmlformats.org/officeDocument/2006/relationships" r:embed="rId14" cstate="print">
                <a:biLevel thresh="25000"/>
                <a:extLst>
                  <a:ext uri="{BEBA8EAE-BF5A-486C-A8C5-ECC9F3942E4B}">
                    <a14:imgProps xmlns:a14="http://schemas.microsoft.com/office/drawing/2010/main">
                      <a14:imgLayer r:embed="rId1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14820280" y="-275157"/>
                <a:ext cx="5450221" cy="8726627"/>
              </a:xfrm>
              <a:prstGeom prst="rect">
                <a:avLst/>
              </a:prstGeom>
              <a:grpFill/>
              <a:extLst/>
            </xdr:spPr>
          </xdr:pic>
          <xdr:sp macro="" textlink="">
            <xdr:nvSpPr>
              <xdr:cNvPr id="121" name="Retângulo 120">
                <a:extLst>
                  <a:ext uri="{FF2B5EF4-FFF2-40B4-BE49-F238E27FC236}">
                    <a16:creationId xmlns:a16="http://schemas.microsoft.com/office/drawing/2014/main" id="{00000000-0008-0000-0500-000079000000}"/>
                  </a:ext>
                </a:extLst>
              </xdr:cNvPr>
              <xdr:cNvSpPr/>
            </xdr:nvSpPr>
            <xdr:spPr>
              <a:xfrm>
                <a:off x="14991734" y="412538"/>
                <a:ext cx="1838324" cy="1923077"/>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122" name="Retângulo 121">
                <a:extLst>
                  <a:ext uri="{FF2B5EF4-FFF2-40B4-BE49-F238E27FC236}">
                    <a16:creationId xmlns:a16="http://schemas.microsoft.com/office/drawing/2014/main" id="{00000000-0008-0000-0500-00007A000000}"/>
                  </a:ext>
                </a:extLst>
              </xdr:cNvPr>
              <xdr:cNvSpPr/>
            </xdr:nvSpPr>
            <xdr:spPr>
              <a:xfrm>
                <a:off x="15026381" y="6547476"/>
                <a:ext cx="1465935" cy="1629934"/>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aphicFrame macro="">
          <xdr:nvGraphicFramePr>
            <xdr:cNvPr id="113" name="Gráfico 112">
              <a:extLst>
                <a:ext uri="{FF2B5EF4-FFF2-40B4-BE49-F238E27FC236}">
                  <a16:creationId xmlns:a16="http://schemas.microsoft.com/office/drawing/2014/main" id="{00000000-0008-0000-0500-000071000000}"/>
                </a:ext>
              </a:extLst>
            </xdr:cNvPr>
            <xdr:cNvGraphicFramePr/>
          </xdr:nvGraphicFramePr>
          <xdr:xfrm>
            <a:off x="32311528" y="7202454"/>
            <a:ext cx="756000" cy="1038904"/>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114" name="Gráfico 113">
              <a:extLst>
                <a:ext uri="{FF2B5EF4-FFF2-40B4-BE49-F238E27FC236}">
                  <a16:creationId xmlns:a16="http://schemas.microsoft.com/office/drawing/2014/main" id="{00000000-0008-0000-0500-000072000000}"/>
                </a:ext>
              </a:extLst>
            </xdr:cNvPr>
            <xdr:cNvGraphicFramePr>
              <a:graphicFrameLocks/>
            </xdr:cNvGraphicFramePr>
          </xdr:nvGraphicFramePr>
          <xdr:xfrm>
            <a:off x="33009617" y="7708303"/>
            <a:ext cx="756000" cy="1265757"/>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115" name="Gráfico 114">
              <a:extLst>
                <a:ext uri="{FF2B5EF4-FFF2-40B4-BE49-F238E27FC236}">
                  <a16:creationId xmlns:a16="http://schemas.microsoft.com/office/drawing/2014/main" id="{00000000-0008-0000-0500-000073000000}"/>
                </a:ext>
              </a:extLst>
            </xdr:cNvPr>
            <xdr:cNvGraphicFramePr>
              <a:graphicFrameLocks/>
            </xdr:cNvGraphicFramePr>
          </xdr:nvGraphicFramePr>
          <xdr:xfrm>
            <a:off x="31671934" y="7440487"/>
            <a:ext cx="756000" cy="2384470"/>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116" name="Gráfico 115">
              <a:extLst>
                <a:ext uri="{FF2B5EF4-FFF2-40B4-BE49-F238E27FC236}">
                  <a16:creationId xmlns:a16="http://schemas.microsoft.com/office/drawing/2014/main" id="{00000000-0008-0000-0500-000074000000}"/>
                </a:ext>
              </a:extLst>
            </xdr:cNvPr>
            <xdr:cNvGraphicFramePr>
              <a:graphicFrameLocks/>
            </xdr:cNvGraphicFramePr>
          </xdr:nvGraphicFramePr>
          <xdr:xfrm>
            <a:off x="32102011" y="7605982"/>
            <a:ext cx="708375" cy="2967915"/>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117" name="Gráfico 116">
              <a:extLst>
                <a:ext uri="{FF2B5EF4-FFF2-40B4-BE49-F238E27FC236}">
                  <a16:creationId xmlns:a16="http://schemas.microsoft.com/office/drawing/2014/main" id="{00000000-0008-0000-0500-000075000000}"/>
                </a:ext>
              </a:extLst>
            </xdr:cNvPr>
            <xdr:cNvGraphicFramePr>
              <a:graphicFrameLocks/>
            </xdr:cNvGraphicFramePr>
          </xdr:nvGraphicFramePr>
          <xdr:xfrm>
            <a:off x="31052261" y="9141595"/>
            <a:ext cx="756000" cy="1170944"/>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118" name="Gráfico 117">
              <a:extLst>
                <a:ext uri="{FF2B5EF4-FFF2-40B4-BE49-F238E27FC236}">
                  <a16:creationId xmlns:a16="http://schemas.microsoft.com/office/drawing/2014/main" id="{00000000-0008-0000-0500-000076000000}"/>
                </a:ext>
              </a:extLst>
            </xdr:cNvPr>
            <xdr:cNvGraphicFramePr>
              <a:graphicFrameLocks/>
            </xdr:cNvGraphicFramePr>
          </xdr:nvGraphicFramePr>
          <xdr:xfrm>
            <a:off x="32966665" y="7062130"/>
            <a:ext cx="756000" cy="3758344"/>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119" name="Gráfico 118">
              <a:extLst>
                <a:ext uri="{FF2B5EF4-FFF2-40B4-BE49-F238E27FC236}">
                  <a16:creationId xmlns:a16="http://schemas.microsoft.com/office/drawing/2014/main" id="{00000000-0008-0000-0500-000077000000}"/>
                </a:ext>
              </a:extLst>
            </xdr:cNvPr>
            <xdr:cNvGraphicFramePr>
              <a:graphicFrameLocks/>
            </xdr:cNvGraphicFramePr>
          </xdr:nvGraphicFramePr>
          <xdr:xfrm>
            <a:off x="32891323" y="8416787"/>
            <a:ext cx="756000" cy="3146566"/>
          </xdr:xfrm>
          <a:graphic>
            <a:graphicData uri="http://schemas.openxmlformats.org/drawingml/2006/chart">
              <c:chart xmlns:c="http://schemas.openxmlformats.org/drawingml/2006/chart" xmlns:r="http://schemas.openxmlformats.org/officeDocument/2006/relationships" r:id="rId22"/>
            </a:graphicData>
          </a:graphic>
        </xdr:graphicFrame>
      </xdr:grpSp>
      <xdr:graphicFrame macro="">
        <xdr:nvGraphicFramePr>
          <xdr:cNvPr id="111" name="Gráfico 110">
            <a:extLst>
              <a:ext uri="{FF2B5EF4-FFF2-40B4-BE49-F238E27FC236}">
                <a16:creationId xmlns:a16="http://schemas.microsoft.com/office/drawing/2014/main" id="{00000000-0008-0000-0500-00006F000000}"/>
              </a:ext>
            </a:extLst>
          </xdr:cNvPr>
          <xdr:cNvGraphicFramePr>
            <a:graphicFrameLocks/>
          </xdr:cNvGraphicFramePr>
        </xdr:nvGraphicFramePr>
        <xdr:xfrm>
          <a:off x="39003020" y="7277666"/>
          <a:ext cx="2913290" cy="4925211"/>
        </xdr:xfrm>
        <a:graphic>
          <a:graphicData uri="http://schemas.openxmlformats.org/drawingml/2006/chart">
            <c:chart xmlns:c="http://schemas.openxmlformats.org/drawingml/2006/chart" xmlns:r="http://schemas.openxmlformats.org/officeDocument/2006/relationships" r:id="rId23"/>
          </a:graphicData>
        </a:graphic>
      </xdr:graphicFrame>
    </xdr:grpSp>
    <xdr:clientData/>
  </xdr:twoCellAnchor>
  <xdr:twoCellAnchor>
    <xdr:from>
      <xdr:col>15</xdr:col>
      <xdr:colOff>224118</xdr:colOff>
      <xdr:row>30</xdr:row>
      <xdr:rowOff>66395</xdr:rowOff>
    </xdr:from>
    <xdr:to>
      <xdr:col>22</xdr:col>
      <xdr:colOff>404943</xdr:colOff>
      <xdr:row>53</xdr:row>
      <xdr:rowOff>112895</xdr:rowOff>
    </xdr:to>
    <xdr:grpSp>
      <xdr:nvGrpSpPr>
        <xdr:cNvPr id="123" name="Agrupar 122">
          <a:extLst>
            <a:ext uri="{FF2B5EF4-FFF2-40B4-BE49-F238E27FC236}">
              <a16:creationId xmlns:a16="http://schemas.microsoft.com/office/drawing/2014/main" id="{00000000-0008-0000-0500-00007B000000}"/>
            </a:ext>
          </a:extLst>
        </xdr:cNvPr>
        <xdr:cNvGrpSpPr/>
      </xdr:nvGrpSpPr>
      <xdr:grpSpPr>
        <a:xfrm>
          <a:off x="8615643" y="5829020"/>
          <a:ext cx="4248000" cy="4418475"/>
          <a:chOff x="48482250" y="7384596"/>
          <a:chExt cx="5787554" cy="4690258"/>
        </a:xfrm>
      </xdr:grpSpPr>
      <xdr:grpSp>
        <xdr:nvGrpSpPr>
          <xdr:cNvPr id="124" name="Agrupar 123">
            <a:extLst>
              <a:ext uri="{FF2B5EF4-FFF2-40B4-BE49-F238E27FC236}">
                <a16:creationId xmlns:a16="http://schemas.microsoft.com/office/drawing/2014/main" id="{00000000-0008-0000-0500-00007C000000}"/>
              </a:ext>
            </a:extLst>
          </xdr:cNvPr>
          <xdr:cNvGrpSpPr/>
        </xdr:nvGrpSpPr>
        <xdr:grpSpPr>
          <a:xfrm>
            <a:off x="50879829" y="7384596"/>
            <a:ext cx="3389975" cy="4473295"/>
            <a:chOff x="31000212" y="7285159"/>
            <a:chExt cx="3364246" cy="4415936"/>
          </a:xfrm>
          <a:solidFill>
            <a:schemeClr val="bg1"/>
          </a:solidFill>
        </xdr:grpSpPr>
        <xdr:grpSp>
          <xdr:nvGrpSpPr>
            <xdr:cNvPr id="126" name="Agrupar 125">
              <a:extLst>
                <a:ext uri="{FF2B5EF4-FFF2-40B4-BE49-F238E27FC236}">
                  <a16:creationId xmlns:a16="http://schemas.microsoft.com/office/drawing/2014/main" id="{00000000-0008-0000-0500-00007E000000}"/>
                </a:ext>
              </a:extLst>
            </xdr:cNvPr>
            <xdr:cNvGrpSpPr/>
          </xdr:nvGrpSpPr>
          <xdr:grpSpPr>
            <a:xfrm>
              <a:off x="31000212" y="7576717"/>
              <a:ext cx="3364246" cy="4124378"/>
              <a:chOff x="14849475" y="419100"/>
              <a:chExt cx="5450221" cy="7645400"/>
            </a:xfrm>
            <a:grpFill/>
          </xdr:grpSpPr>
          <xdr:pic>
            <xdr:nvPicPr>
              <xdr:cNvPr id="134" name="Imagem 133" descr="2024">
                <a:extLst>
                  <a:ext uri="{FF2B5EF4-FFF2-40B4-BE49-F238E27FC236}">
                    <a16:creationId xmlns:a16="http://schemas.microsoft.com/office/drawing/2014/main" id="{00000000-0008-0000-0500-000086000000}"/>
                  </a:ext>
                </a:extLst>
              </xdr:cNvPr>
              <xdr:cNvPicPr>
                <a:picLocks noChangeAspect="1" noChangeArrowheads="1"/>
              </xdr:cNvPicPr>
            </xdr:nvPicPr>
            <xdr:blipFill>
              <a:blip xmlns:r="http://schemas.openxmlformats.org/officeDocument/2006/relationships" r:embed="rId14" cstate="print">
                <a:biLevel thresh="25000"/>
                <a:extLst>
                  <a:ext uri="{BEBA8EAE-BF5A-486C-A8C5-ECC9F3942E4B}">
                    <a14:imgProps xmlns:a14="http://schemas.microsoft.com/office/drawing/2010/main">
                      <a14:imgLayer r:embed="rId1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14849475" y="419100"/>
                <a:ext cx="5450221" cy="7645400"/>
              </a:xfrm>
              <a:prstGeom prst="rect">
                <a:avLst/>
              </a:prstGeom>
              <a:grpFill/>
              <a:extLst/>
            </xdr:spPr>
          </xdr:pic>
          <xdr:sp macro="" textlink="">
            <xdr:nvSpPr>
              <xdr:cNvPr id="135" name="Retângulo 134">
                <a:extLst>
                  <a:ext uri="{FF2B5EF4-FFF2-40B4-BE49-F238E27FC236}">
                    <a16:creationId xmlns:a16="http://schemas.microsoft.com/office/drawing/2014/main" id="{00000000-0008-0000-0500-000087000000}"/>
                  </a:ext>
                </a:extLst>
              </xdr:cNvPr>
              <xdr:cNvSpPr/>
            </xdr:nvSpPr>
            <xdr:spPr>
              <a:xfrm>
                <a:off x="15020925" y="1104900"/>
                <a:ext cx="1838325" cy="15811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136" name="Retângulo 135">
                <a:extLst>
                  <a:ext uri="{FF2B5EF4-FFF2-40B4-BE49-F238E27FC236}">
                    <a16:creationId xmlns:a16="http://schemas.microsoft.com/office/drawing/2014/main" id="{00000000-0008-0000-0500-000088000000}"/>
                  </a:ext>
                </a:extLst>
              </xdr:cNvPr>
              <xdr:cNvSpPr/>
            </xdr:nvSpPr>
            <xdr:spPr>
              <a:xfrm>
                <a:off x="15111800" y="6477001"/>
                <a:ext cx="1465936" cy="1341442"/>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aphicFrame macro="">
          <xdr:nvGraphicFramePr>
            <xdr:cNvPr id="127" name="Gráfico 126">
              <a:extLst>
                <a:ext uri="{FF2B5EF4-FFF2-40B4-BE49-F238E27FC236}">
                  <a16:creationId xmlns:a16="http://schemas.microsoft.com/office/drawing/2014/main" id="{00000000-0008-0000-0500-00007F000000}"/>
                </a:ext>
              </a:extLst>
            </xdr:cNvPr>
            <xdr:cNvGraphicFramePr/>
          </xdr:nvGraphicFramePr>
          <xdr:xfrm>
            <a:off x="32339257" y="7285159"/>
            <a:ext cx="756000" cy="1194648"/>
          </xdr:xfrm>
          <a:graphic>
            <a:graphicData uri="http://schemas.openxmlformats.org/drawingml/2006/chart">
              <c:chart xmlns:c="http://schemas.openxmlformats.org/drawingml/2006/chart" xmlns:r="http://schemas.openxmlformats.org/officeDocument/2006/relationships" r:id="rId24"/>
            </a:graphicData>
          </a:graphic>
        </xdr:graphicFrame>
        <xdr:graphicFrame macro="">
          <xdr:nvGraphicFramePr>
            <xdr:cNvPr id="128" name="Gráfico 127">
              <a:extLst>
                <a:ext uri="{FF2B5EF4-FFF2-40B4-BE49-F238E27FC236}">
                  <a16:creationId xmlns:a16="http://schemas.microsoft.com/office/drawing/2014/main" id="{00000000-0008-0000-0500-000080000000}"/>
                </a:ext>
              </a:extLst>
            </xdr:cNvPr>
            <xdr:cNvGraphicFramePr>
              <a:graphicFrameLocks/>
            </xdr:cNvGraphicFramePr>
          </xdr:nvGraphicFramePr>
          <xdr:xfrm>
            <a:off x="33064364" y="8013242"/>
            <a:ext cx="756000" cy="1265757"/>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129" name="Gráfico 128">
              <a:extLst>
                <a:ext uri="{FF2B5EF4-FFF2-40B4-BE49-F238E27FC236}">
                  <a16:creationId xmlns:a16="http://schemas.microsoft.com/office/drawing/2014/main" id="{00000000-0008-0000-0500-000081000000}"/>
                </a:ext>
              </a:extLst>
            </xdr:cNvPr>
            <xdr:cNvGraphicFramePr>
              <a:graphicFrameLocks/>
            </xdr:cNvGraphicFramePr>
          </xdr:nvGraphicFramePr>
          <xdr:xfrm>
            <a:off x="31742318" y="8755169"/>
            <a:ext cx="756000" cy="1170945"/>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130" name="Gráfico 129">
              <a:extLst>
                <a:ext uri="{FF2B5EF4-FFF2-40B4-BE49-F238E27FC236}">
                  <a16:creationId xmlns:a16="http://schemas.microsoft.com/office/drawing/2014/main" id="{00000000-0008-0000-0500-000082000000}"/>
                </a:ext>
              </a:extLst>
            </xdr:cNvPr>
            <xdr:cNvGraphicFramePr>
              <a:graphicFrameLocks/>
            </xdr:cNvGraphicFramePr>
          </xdr:nvGraphicFramePr>
          <xdr:xfrm>
            <a:off x="32076536" y="9700927"/>
            <a:ext cx="708375" cy="895985"/>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131" name="Gráfico 130">
              <a:extLst>
                <a:ext uri="{FF2B5EF4-FFF2-40B4-BE49-F238E27FC236}">
                  <a16:creationId xmlns:a16="http://schemas.microsoft.com/office/drawing/2014/main" id="{00000000-0008-0000-0500-000083000000}"/>
                </a:ext>
              </a:extLst>
            </xdr:cNvPr>
            <xdr:cNvGraphicFramePr>
              <a:graphicFrameLocks/>
            </xdr:cNvGraphicFramePr>
          </xdr:nvGraphicFramePr>
          <xdr:xfrm>
            <a:off x="31104987" y="9273876"/>
            <a:ext cx="756000" cy="1170944"/>
          </xdr:xfrm>
          <a:graphic>
            <a:graphicData uri="http://schemas.openxmlformats.org/drawingml/2006/chart">
              <c:chart xmlns:c="http://schemas.openxmlformats.org/drawingml/2006/chart" xmlns:r="http://schemas.openxmlformats.org/officeDocument/2006/relationships" r:id="rId28"/>
            </a:graphicData>
          </a:graphic>
        </xdr:graphicFrame>
        <xdr:graphicFrame macro="">
          <xdr:nvGraphicFramePr>
            <xdr:cNvPr id="132" name="Gráfico 131">
              <a:extLst>
                <a:ext uri="{FF2B5EF4-FFF2-40B4-BE49-F238E27FC236}">
                  <a16:creationId xmlns:a16="http://schemas.microsoft.com/office/drawing/2014/main" id="{00000000-0008-0000-0500-000084000000}"/>
                </a:ext>
              </a:extLst>
            </xdr:cNvPr>
            <xdr:cNvGraphicFramePr>
              <a:graphicFrameLocks/>
            </xdr:cNvGraphicFramePr>
          </xdr:nvGraphicFramePr>
          <xdr:xfrm>
            <a:off x="32895687" y="9941216"/>
            <a:ext cx="756000" cy="878117"/>
          </xdr:xfrm>
          <a:graphic>
            <a:graphicData uri="http://schemas.openxmlformats.org/drawingml/2006/chart">
              <c:chart xmlns:c="http://schemas.openxmlformats.org/drawingml/2006/chart" xmlns:r="http://schemas.openxmlformats.org/officeDocument/2006/relationships" r:id="rId29"/>
            </a:graphicData>
          </a:graphic>
        </xdr:graphicFrame>
        <xdr:graphicFrame macro="">
          <xdr:nvGraphicFramePr>
            <xdr:cNvPr id="133" name="Gráfico 132">
              <a:extLst>
                <a:ext uri="{FF2B5EF4-FFF2-40B4-BE49-F238E27FC236}">
                  <a16:creationId xmlns:a16="http://schemas.microsoft.com/office/drawing/2014/main" id="{00000000-0008-0000-0500-000085000000}"/>
                </a:ext>
              </a:extLst>
            </xdr:cNvPr>
            <xdr:cNvGraphicFramePr>
              <a:graphicFrameLocks/>
            </xdr:cNvGraphicFramePr>
          </xdr:nvGraphicFramePr>
          <xdr:xfrm>
            <a:off x="32952837" y="10861631"/>
            <a:ext cx="756000" cy="787316"/>
          </xdr:xfrm>
          <a:graphic>
            <a:graphicData uri="http://schemas.openxmlformats.org/drawingml/2006/chart">
              <c:chart xmlns:c="http://schemas.openxmlformats.org/drawingml/2006/chart" xmlns:r="http://schemas.openxmlformats.org/officeDocument/2006/relationships" r:id="rId30"/>
            </a:graphicData>
          </a:graphic>
        </xdr:graphicFrame>
      </xdr:grpSp>
      <xdr:graphicFrame macro="">
        <xdr:nvGraphicFramePr>
          <xdr:cNvPr id="125" name="Gráfico 124">
            <a:extLst>
              <a:ext uri="{FF2B5EF4-FFF2-40B4-BE49-F238E27FC236}">
                <a16:creationId xmlns:a16="http://schemas.microsoft.com/office/drawing/2014/main" id="{00000000-0008-0000-0500-00007D000000}"/>
              </a:ext>
            </a:extLst>
          </xdr:cNvPr>
          <xdr:cNvGraphicFramePr>
            <a:graphicFrameLocks/>
          </xdr:cNvGraphicFramePr>
        </xdr:nvGraphicFramePr>
        <xdr:xfrm>
          <a:off x="48482250" y="7596868"/>
          <a:ext cx="3260863" cy="4477986"/>
        </xdr:xfrm>
        <a:graphic>
          <a:graphicData uri="http://schemas.openxmlformats.org/drawingml/2006/chart">
            <c:chart xmlns:c="http://schemas.openxmlformats.org/drawingml/2006/chart" xmlns:r="http://schemas.openxmlformats.org/officeDocument/2006/relationships" r:id="rId31"/>
          </a:graphicData>
        </a:graphic>
      </xdr:graphicFrame>
    </xdr:grpSp>
    <xdr:clientData/>
  </xdr:twoCellAnchor>
  <xdr:twoCellAnchor>
    <xdr:from>
      <xdr:col>0</xdr:col>
      <xdr:colOff>142875</xdr:colOff>
      <xdr:row>24</xdr:row>
      <xdr:rowOff>3175</xdr:rowOff>
    </xdr:from>
    <xdr:to>
      <xdr:col>7</xdr:col>
      <xdr:colOff>428021</xdr:colOff>
      <xdr:row>31</xdr:row>
      <xdr:rowOff>59188</xdr:rowOff>
    </xdr:to>
    <xdr:grpSp>
      <xdr:nvGrpSpPr>
        <xdr:cNvPr id="7" name="Agrupar 6">
          <a:extLst>
            <a:ext uri="{FF2B5EF4-FFF2-40B4-BE49-F238E27FC236}">
              <a16:creationId xmlns:a16="http://schemas.microsoft.com/office/drawing/2014/main" id="{00000000-0008-0000-0500-000007000000}"/>
            </a:ext>
          </a:extLst>
        </xdr:cNvPr>
        <xdr:cNvGrpSpPr/>
      </xdr:nvGrpSpPr>
      <xdr:grpSpPr>
        <a:xfrm>
          <a:off x="142875" y="4622800"/>
          <a:ext cx="4218971" cy="1389513"/>
          <a:chOff x="142875" y="4622800"/>
          <a:chExt cx="4218971" cy="1389513"/>
        </a:xfrm>
      </xdr:grpSpPr>
      <xdr:grpSp>
        <xdr:nvGrpSpPr>
          <xdr:cNvPr id="2" name="Agrupar 1">
            <a:extLst>
              <a:ext uri="{FF2B5EF4-FFF2-40B4-BE49-F238E27FC236}">
                <a16:creationId xmlns:a16="http://schemas.microsoft.com/office/drawing/2014/main" id="{00000000-0008-0000-0500-000002000000}"/>
              </a:ext>
            </a:extLst>
          </xdr:cNvPr>
          <xdr:cNvGrpSpPr/>
        </xdr:nvGrpSpPr>
        <xdr:grpSpPr>
          <a:xfrm>
            <a:off x="144116" y="4622800"/>
            <a:ext cx="4217730" cy="468000"/>
            <a:chOff x="27137591" y="6707909"/>
            <a:chExt cx="3833088" cy="561600"/>
          </a:xfrm>
        </xdr:grpSpPr>
        <xdr:grpSp>
          <xdr:nvGrpSpPr>
            <xdr:cNvPr id="3" name="Agrupar 2">
              <a:extLst>
                <a:ext uri="{FF2B5EF4-FFF2-40B4-BE49-F238E27FC236}">
                  <a16:creationId xmlns:a16="http://schemas.microsoft.com/office/drawing/2014/main" id="{00000000-0008-0000-0500-000003000000}"/>
                </a:ext>
              </a:extLst>
            </xdr:cNvPr>
            <xdr:cNvGrpSpPr/>
          </xdr:nvGrpSpPr>
          <xdr:grpSpPr>
            <a:xfrm>
              <a:off x="27137591" y="6875718"/>
              <a:ext cx="2083575" cy="246652"/>
              <a:chOff x="120650" y="4292600"/>
              <a:chExt cx="2076453" cy="247580"/>
            </a:xfrm>
          </xdr:grpSpPr>
          <mc:AlternateContent xmlns:mc="http://schemas.openxmlformats.org/markup-compatibility/2006">
            <mc:Choice xmlns:a14="http://schemas.microsoft.com/office/drawing/2010/main" Requires="a14">
              <xdr:sp macro="" textlink="">
                <xdr:nvSpPr>
                  <xdr:cNvPr id="288769" name="Drop Down 1" hidden="1">
                    <a:extLst>
                      <a:ext uri="{63B3BB69-23CF-44E3-9099-C40C66FF867C}">
                        <a14:compatExt spid="_x0000_s288769"/>
                      </a:ext>
                      <a:ext uri="{FF2B5EF4-FFF2-40B4-BE49-F238E27FC236}">
                        <a16:creationId xmlns:a16="http://schemas.microsoft.com/office/drawing/2014/main" id="{00000000-0008-0000-0500-000001680400}"/>
                      </a:ext>
                    </a:extLst>
                  </xdr:cNvPr>
                  <xdr:cNvSpPr/>
                </xdr:nvSpPr>
                <xdr:spPr bwMode="auto">
                  <a:xfrm>
                    <a:off x="1524003" y="4298879"/>
                    <a:ext cx="673100" cy="241301"/>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6" name="Text Box 10">
                <a:extLst>
                  <a:ext uri="{FF2B5EF4-FFF2-40B4-BE49-F238E27FC236}">
                    <a16:creationId xmlns:a16="http://schemas.microsoft.com/office/drawing/2014/main" id="{00000000-0008-0000-0500-000006000000}"/>
                  </a:ext>
                </a:extLst>
              </xdr:cNvPr>
              <xdr:cNvSpPr txBox="1">
                <a:spLocks noChangeArrowheads="1"/>
              </xdr:cNvSpPr>
            </xdr:nvSpPr>
            <xdr:spPr bwMode="auto">
              <a:xfrm>
                <a:off x="120650" y="4292600"/>
                <a:ext cx="1346200" cy="241300"/>
              </a:xfrm>
              <a:prstGeom prst="rect">
                <a:avLst/>
              </a:prstGeom>
              <a:solidFill>
                <a:srgbClr val="00467A"/>
              </a:solidFill>
              <a:ln>
                <a:noFill/>
              </a:ln>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xdr:grpSp>
        <xdr:graphicFrame macro="">
          <xdr:nvGraphicFramePr>
            <xdr:cNvPr id="4" name="Gráfico 3">
              <a:extLst>
                <a:ext uri="{FF2B5EF4-FFF2-40B4-BE49-F238E27FC236}">
                  <a16:creationId xmlns:a16="http://schemas.microsoft.com/office/drawing/2014/main" id="{00000000-0008-0000-0500-000004000000}"/>
                </a:ext>
              </a:extLst>
            </xdr:cNvPr>
            <xdr:cNvGraphicFramePr>
              <a:graphicFrameLocks/>
            </xdr:cNvGraphicFramePr>
          </xdr:nvGraphicFramePr>
          <xdr:xfrm>
            <a:off x="29394725" y="6707909"/>
            <a:ext cx="1575954" cy="561600"/>
          </xdr:xfrm>
          <a:graphic>
            <a:graphicData uri="http://schemas.openxmlformats.org/drawingml/2006/chart">
              <c:chart xmlns:c="http://schemas.openxmlformats.org/drawingml/2006/chart" xmlns:r="http://schemas.openxmlformats.org/officeDocument/2006/relationships" r:id="rId32"/>
            </a:graphicData>
          </a:graphic>
        </xdr:graphicFrame>
      </xdr:grpSp>
      <xdr:sp macro="" textlink="q4_8_12_16_25_37_Fig!$AW$92">
        <xdr:nvSpPr>
          <xdr:cNvPr id="138" name="CaixaDeTexto 137">
            <a:extLst>
              <a:ext uri="{FF2B5EF4-FFF2-40B4-BE49-F238E27FC236}">
                <a16:creationId xmlns:a16="http://schemas.microsoft.com/office/drawing/2014/main" id="{00000000-0008-0000-0500-00008A000000}"/>
              </a:ext>
            </a:extLst>
          </xdr:cNvPr>
          <xdr:cNvSpPr txBox="1"/>
        </xdr:nvSpPr>
        <xdr:spPr>
          <a:xfrm>
            <a:off x="142875" y="5032376"/>
            <a:ext cx="2052000" cy="972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38F4CF3-8FCD-4D05-AE2F-9C601F4C47B9}" type="TxLink">
              <a:rPr lang="en-US" sz="800" b="1" i="0" u="none" strike="noStrike">
                <a:solidFill>
                  <a:srgbClr val="19375E"/>
                </a:solidFill>
                <a:latin typeface="Calibri"/>
                <a:cs typeface="Calibri"/>
              </a:rPr>
              <a:pPr algn="l"/>
              <a:t>EMPRESAS
NUTS II Grande Lisboa: 59.232 (20,5% do Continente; 2ª região de 7)
Esta NUTS II coincide com a NUTS III.</a:t>
            </a:fld>
            <a:endParaRPr lang="pt-PT" sz="800" b="1">
              <a:solidFill>
                <a:srgbClr val="19375E"/>
              </a:solidFill>
              <a:latin typeface="+mn-lt"/>
            </a:endParaRPr>
          </a:p>
        </xdr:txBody>
      </xdr:sp>
      <xdr:sp macro="" textlink="q4_8_12_16_25_37_Fig!$AW$112">
        <xdr:nvSpPr>
          <xdr:cNvPr id="139" name="CaixaDeTexto 138">
            <a:extLst>
              <a:ext uri="{FF2B5EF4-FFF2-40B4-BE49-F238E27FC236}">
                <a16:creationId xmlns:a16="http://schemas.microsoft.com/office/drawing/2014/main" id="{00000000-0008-0000-0500-00008B000000}"/>
              </a:ext>
            </a:extLst>
          </xdr:cNvPr>
          <xdr:cNvSpPr txBox="1"/>
        </xdr:nvSpPr>
        <xdr:spPr>
          <a:xfrm>
            <a:off x="2256518" y="5040313"/>
            <a:ext cx="2016000" cy="972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1A9A4EBE-A839-44CF-898E-ECD78006CA25}" type="TxLink">
              <a:rPr lang="en-US" sz="800" b="1" i="0" u="none" strike="noStrike">
                <a:solidFill>
                  <a:srgbClr val="19375E"/>
                </a:solidFill>
                <a:latin typeface="Calibri"/>
                <a:cs typeface="Calibri"/>
              </a:rPr>
              <a:pPr algn="l"/>
              <a:t>ESTABELECIMENTOS
NUTS II Grande Lisboa: 69.821 (20,7% do Continente; 2ª região de 7)
Esta NUTS II coincide com a NUTS III.</a:t>
            </a:fld>
            <a:endParaRPr lang="pt-PT" sz="800" b="1">
              <a:solidFill>
                <a:srgbClr val="19375E"/>
              </a:solidFill>
              <a:latin typeface="+mn-lt"/>
            </a:endParaRPr>
          </a:p>
        </xdr:txBody>
      </xdr:sp>
    </xdr:grpSp>
    <xdr:clientData/>
  </xdr:twoCellAnchor>
  <xdr:twoCellAnchor>
    <xdr:from>
      <xdr:col>8</xdr:col>
      <xdr:colOff>23813</xdr:colOff>
      <xdr:row>23</xdr:row>
      <xdr:rowOff>184149</xdr:rowOff>
    </xdr:from>
    <xdr:to>
      <xdr:col>15</xdr:col>
      <xdr:colOff>295318</xdr:colOff>
      <xdr:row>31</xdr:row>
      <xdr:rowOff>30613</xdr:rowOff>
    </xdr:to>
    <xdr:grpSp>
      <xdr:nvGrpSpPr>
        <xdr:cNvPr id="9" name="Agrupar 8">
          <a:extLst>
            <a:ext uri="{FF2B5EF4-FFF2-40B4-BE49-F238E27FC236}">
              <a16:creationId xmlns:a16="http://schemas.microsoft.com/office/drawing/2014/main" id="{00000000-0008-0000-0500-000009000000}"/>
            </a:ext>
          </a:extLst>
        </xdr:cNvPr>
        <xdr:cNvGrpSpPr/>
      </xdr:nvGrpSpPr>
      <xdr:grpSpPr>
        <a:xfrm>
          <a:off x="4519613" y="4613274"/>
          <a:ext cx="4167230" cy="1370464"/>
          <a:chOff x="4519613" y="4613274"/>
          <a:chExt cx="4167230" cy="1370464"/>
        </a:xfrm>
      </xdr:grpSpPr>
      <xdr:grpSp>
        <xdr:nvGrpSpPr>
          <xdr:cNvPr id="5" name="Agrupar 4">
            <a:extLst>
              <a:ext uri="{FF2B5EF4-FFF2-40B4-BE49-F238E27FC236}">
                <a16:creationId xmlns:a16="http://schemas.microsoft.com/office/drawing/2014/main" id="{00000000-0008-0000-0500-000005000000}"/>
              </a:ext>
            </a:extLst>
          </xdr:cNvPr>
          <xdr:cNvGrpSpPr/>
        </xdr:nvGrpSpPr>
        <xdr:grpSpPr>
          <a:xfrm>
            <a:off x="4687300" y="4613274"/>
            <a:ext cx="3852369" cy="468000"/>
            <a:chOff x="4595774" y="4832536"/>
            <a:chExt cx="3839462" cy="492334"/>
          </a:xfrm>
        </xdr:grpSpPr>
        <xdr:grpSp>
          <xdr:nvGrpSpPr>
            <xdr:cNvPr id="8" name="Agrupar 7">
              <a:extLst>
                <a:ext uri="{FF2B5EF4-FFF2-40B4-BE49-F238E27FC236}">
                  <a16:creationId xmlns:a16="http://schemas.microsoft.com/office/drawing/2014/main" id="{00000000-0008-0000-0500-000008000000}"/>
                </a:ext>
              </a:extLst>
            </xdr:cNvPr>
            <xdr:cNvGrpSpPr/>
          </xdr:nvGrpSpPr>
          <xdr:grpSpPr>
            <a:xfrm>
              <a:off x="4595774" y="4969291"/>
              <a:ext cx="2250599" cy="210038"/>
              <a:chOff x="5127622" y="4549780"/>
              <a:chExt cx="2051024" cy="241300"/>
            </a:xfrm>
          </xdr:grpSpPr>
          <xdr:sp macro="" textlink="">
            <xdr:nvSpPr>
              <xdr:cNvPr id="10" name="Text Box 10">
                <a:extLst>
                  <a:ext uri="{FF2B5EF4-FFF2-40B4-BE49-F238E27FC236}">
                    <a16:creationId xmlns:a16="http://schemas.microsoft.com/office/drawing/2014/main" id="{00000000-0008-0000-0500-00000A000000}"/>
                  </a:ext>
                </a:extLst>
              </xdr:cNvPr>
              <xdr:cNvSpPr txBox="1">
                <a:spLocks noChangeArrowheads="1"/>
              </xdr:cNvSpPr>
            </xdr:nvSpPr>
            <xdr:spPr bwMode="auto">
              <a:xfrm>
                <a:off x="5127622" y="4549780"/>
                <a:ext cx="1346200" cy="241300"/>
              </a:xfrm>
              <a:prstGeom prst="rect">
                <a:avLst/>
              </a:prstGeom>
              <a:solidFill>
                <a:srgbClr val="00467A"/>
              </a:solidFill>
              <a:ln>
                <a:noFill/>
              </a:ln>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288770" name="Drop Down 2" hidden="1">
                    <a:extLst>
                      <a:ext uri="{63B3BB69-23CF-44E3-9099-C40C66FF867C}">
                        <a14:compatExt spid="_x0000_s288770"/>
                      </a:ext>
                      <a:ext uri="{FF2B5EF4-FFF2-40B4-BE49-F238E27FC236}">
                        <a16:creationId xmlns:a16="http://schemas.microsoft.com/office/drawing/2014/main" id="{00000000-0008-0000-0500-000002680400}"/>
                      </a:ext>
                    </a:extLst>
                  </xdr:cNvPr>
                  <xdr:cNvSpPr/>
                </xdr:nvSpPr>
                <xdr:spPr bwMode="auto">
                  <a:xfrm>
                    <a:off x="6505556" y="4549780"/>
                    <a:ext cx="673090" cy="241201"/>
                  </a:xfrm>
                  <a:prstGeom prst="rect">
                    <a:avLst/>
                  </a:prstGeom>
                  <a:noFill/>
                  <a:ln>
                    <a:noFill/>
                  </a:ln>
                  <a:extLst>
                    <a:ext uri="{91240B29-F687-4F45-9708-019B960494DF}">
                      <a14:hiddenLine w="9525">
                        <a:noFill/>
                        <a:miter lim="800000"/>
                        <a:headEnd/>
                        <a:tailEnd/>
                      </a14:hiddenLine>
                    </a:ext>
                  </a:extLst>
                </xdr:spPr>
              </xdr:sp>
            </mc:Choice>
            <mc:Fallback/>
          </mc:AlternateContent>
        </xdr:grpSp>
        <xdr:graphicFrame macro="">
          <xdr:nvGraphicFramePr>
            <xdr:cNvPr id="108" name="Gráfico 107">
              <a:extLst>
                <a:ext uri="{FF2B5EF4-FFF2-40B4-BE49-F238E27FC236}">
                  <a16:creationId xmlns:a16="http://schemas.microsoft.com/office/drawing/2014/main" id="{00000000-0008-0000-0500-00006C000000}"/>
                </a:ext>
              </a:extLst>
            </xdr:cNvPr>
            <xdr:cNvGraphicFramePr>
              <a:graphicFrameLocks/>
            </xdr:cNvGraphicFramePr>
          </xdr:nvGraphicFramePr>
          <xdr:xfrm>
            <a:off x="6947648" y="4832536"/>
            <a:ext cx="1487588" cy="492334"/>
          </xdr:xfrm>
          <a:graphic>
            <a:graphicData uri="http://schemas.openxmlformats.org/drawingml/2006/chart">
              <c:chart xmlns:c="http://schemas.openxmlformats.org/drawingml/2006/chart" xmlns:r="http://schemas.openxmlformats.org/officeDocument/2006/relationships" r:id="rId33"/>
            </a:graphicData>
          </a:graphic>
        </xdr:graphicFrame>
      </xdr:grpSp>
      <xdr:sp macro="" textlink="q4_8_12_16_25_37_Fig!$BS$92">
        <xdr:nvSpPr>
          <xdr:cNvPr id="140" name="CaixaDeTexto 139">
            <a:extLst>
              <a:ext uri="{FF2B5EF4-FFF2-40B4-BE49-F238E27FC236}">
                <a16:creationId xmlns:a16="http://schemas.microsoft.com/office/drawing/2014/main" id="{00000000-0008-0000-0500-00008C000000}"/>
              </a:ext>
            </a:extLst>
          </xdr:cNvPr>
          <xdr:cNvSpPr txBox="1"/>
        </xdr:nvSpPr>
        <xdr:spPr>
          <a:xfrm>
            <a:off x="4519613" y="5011738"/>
            <a:ext cx="2052000" cy="972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12A90A69-20BD-453C-8746-2511FA3E4562}" type="TxLink">
              <a:rPr lang="en-US" sz="800" b="1" i="0" u="none" strike="noStrike">
                <a:solidFill>
                  <a:srgbClr val="19375E"/>
                </a:solidFill>
                <a:latin typeface="Calibri"/>
                <a:cs typeface="Calibri"/>
              </a:rPr>
              <a:pPr algn="l"/>
              <a:t>PESSOAS AO SERVIÇO
NUTS II Grande Lisboa: 996.445 (28,1% do Continente; 2ª região de 7)
Esta NUTS II coincide com a NUTS III.</a:t>
            </a:fld>
            <a:endParaRPr lang="pt-PT" sz="800" b="1">
              <a:solidFill>
                <a:srgbClr val="19375E"/>
              </a:solidFill>
              <a:latin typeface="+mn-lt"/>
            </a:endParaRPr>
          </a:p>
        </xdr:txBody>
      </xdr:sp>
      <xdr:sp macro="" textlink="q4_8_12_16_25_37_Fig!$BS$112">
        <xdr:nvSpPr>
          <xdr:cNvPr id="141" name="CaixaDeTexto 140">
            <a:extLst>
              <a:ext uri="{FF2B5EF4-FFF2-40B4-BE49-F238E27FC236}">
                <a16:creationId xmlns:a16="http://schemas.microsoft.com/office/drawing/2014/main" id="{00000000-0008-0000-0500-00008D000000}"/>
              </a:ext>
            </a:extLst>
          </xdr:cNvPr>
          <xdr:cNvSpPr txBox="1"/>
        </xdr:nvSpPr>
        <xdr:spPr>
          <a:xfrm>
            <a:off x="6634843" y="5010150"/>
            <a:ext cx="2052000" cy="972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BA920C0E-4279-44CB-808C-F5FE85BD6B68}" type="TxLink">
              <a:rPr lang="en-US" sz="800" b="1" i="0" u="none" strike="noStrike">
                <a:solidFill>
                  <a:srgbClr val="19375E"/>
                </a:solidFill>
                <a:latin typeface="Calibri"/>
                <a:cs typeface="Calibri"/>
              </a:rPr>
              <a:pPr algn="l"/>
              <a:t>TCO
NUTS II Grande Lisboa: 956.374 (28,5% do Continente; 2ª região de 7)
Esta NUTS II coincide com a NUTS III.</a:t>
            </a:fld>
            <a:endParaRPr lang="pt-PT" sz="800" b="1">
              <a:solidFill>
                <a:srgbClr val="19375E"/>
              </a:solidFill>
              <a:latin typeface="+mn-lt"/>
            </a:endParaRPr>
          </a:p>
        </xdr:txBody>
      </xdr:sp>
    </xdr:grpSp>
    <xdr:clientData/>
  </xdr:twoCellAnchor>
  <xdr:twoCellAnchor>
    <xdr:from>
      <xdr:col>15</xdr:col>
      <xdr:colOff>447674</xdr:colOff>
      <xdr:row>24</xdr:row>
      <xdr:rowOff>3174</xdr:rowOff>
    </xdr:from>
    <xdr:to>
      <xdr:col>22</xdr:col>
      <xdr:colOff>534455</xdr:colOff>
      <xdr:row>31</xdr:row>
      <xdr:rowOff>70300</xdr:rowOff>
    </xdr:to>
    <xdr:grpSp>
      <xdr:nvGrpSpPr>
        <xdr:cNvPr id="12" name="Agrupar 11">
          <a:extLst>
            <a:ext uri="{FF2B5EF4-FFF2-40B4-BE49-F238E27FC236}">
              <a16:creationId xmlns:a16="http://schemas.microsoft.com/office/drawing/2014/main" id="{00000000-0008-0000-0500-00000C000000}"/>
            </a:ext>
          </a:extLst>
        </xdr:cNvPr>
        <xdr:cNvGrpSpPr/>
      </xdr:nvGrpSpPr>
      <xdr:grpSpPr>
        <a:xfrm>
          <a:off x="8839199" y="4622799"/>
          <a:ext cx="4153956" cy="1400626"/>
          <a:chOff x="8839199" y="4622799"/>
          <a:chExt cx="4153956" cy="1400626"/>
        </a:xfrm>
      </xdr:grpSpPr>
      <xdr:grpSp>
        <xdr:nvGrpSpPr>
          <xdr:cNvPr id="11" name="Agrupar 10">
            <a:extLst>
              <a:ext uri="{FF2B5EF4-FFF2-40B4-BE49-F238E27FC236}">
                <a16:creationId xmlns:a16="http://schemas.microsoft.com/office/drawing/2014/main" id="{00000000-0008-0000-0500-00000B000000}"/>
              </a:ext>
            </a:extLst>
          </xdr:cNvPr>
          <xdr:cNvGrpSpPr/>
        </xdr:nvGrpSpPr>
        <xdr:grpSpPr>
          <a:xfrm>
            <a:off x="9213947" y="4622799"/>
            <a:ext cx="3779208" cy="468000"/>
            <a:chOff x="9068935" y="4776508"/>
            <a:chExt cx="3757606" cy="547682"/>
          </a:xfrm>
        </xdr:grpSpPr>
        <xdr:grpSp>
          <xdr:nvGrpSpPr>
            <xdr:cNvPr id="13" name="Agrupar 12">
              <a:extLst>
                <a:ext uri="{FF2B5EF4-FFF2-40B4-BE49-F238E27FC236}">
                  <a16:creationId xmlns:a16="http://schemas.microsoft.com/office/drawing/2014/main" id="{00000000-0008-0000-0500-00000D000000}"/>
                </a:ext>
              </a:extLst>
            </xdr:cNvPr>
            <xdr:cNvGrpSpPr/>
          </xdr:nvGrpSpPr>
          <xdr:grpSpPr>
            <a:xfrm>
              <a:off x="9068935" y="4940852"/>
              <a:ext cx="2257893" cy="223912"/>
              <a:chOff x="9423400" y="4330700"/>
              <a:chExt cx="2063799" cy="247501"/>
            </a:xfrm>
          </xdr:grpSpPr>
          <xdr:sp macro="" textlink="">
            <xdr:nvSpPr>
              <xdr:cNvPr id="15" name="Text Box 10">
                <a:extLst>
                  <a:ext uri="{FF2B5EF4-FFF2-40B4-BE49-F238E27FC236}">
                    <a16:creationId xmlns:a16="http://schemas.microsoft.com/office/drawing/2014/main" id="{00000000-0008-0000-0500-00000F000000}"/>
                  </a:ext>
                </a:extLst>
              </xdr:cNvPr>
              <xdr:cNvSpPr txBox="1">
                <a:spLocks noChangeArrowheads="1"/>
              </xdr:cNvSpPr>
            </xdr:nvSpPr>
            <xdr:spPr bwMode="auto">
              <a:xfrm>
                <a:off x="9423400" y="4330700"/>
                <a:ext cx="1346200" cy="241300"/>
              </a:xfrm>
              <a:prstGeom prst="rect">
                <a:avLst/>
              </a:prstGeom>
              <a:solidFill>
                <a:srgbClr val="00467A"/>
              </a:solidFill>
              <a:ln>
                <a:noFill/>
              </a:ln>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288771" name="Drop Down 3" hidden="1">
                    <a:extLst>
                      <a:ext uri="{63B3BB69-23CF-44E3-9099-C40C66FF867C}">
                        <a14:compatExt spid="_x0000_s288771"/>
                      </a:ext>
                      <a:ext uri="{FF2B5EF4-FFF2-40B4-BE49-F238E27FC236}">
                        <a16:creationId xmlns:a16="http://schemas.microsoft.com/office/drawing/2014/main" id="{00000000-0008-0000-0500-000003680400}"/>
                      </a:ext>
                    </a:extLst>
                  </xdr:cNvPr>
                  <xdr:cNvSpPr/>
                </xdr:nvSpPr>
                <xdr:spPr bwMode="auto">
                  <a:xfrm>
                    <a:off x="10814089" y="4336989"/>
                    <a:ext cx="673110" cy="241212"/>
                  </a:xfrm>
                  <a:prstGeom prst="rect">
                    <a:avLst/>
                  </a:prstGeom>
                  <a:noFill/>
                  <a:ln>
                    <a:noFill/>
                  </a:ln>
                  <a:extLst>
                    <a:ext uri="{91240B29-F687-4F45-9708-019B960494DF}">
                      <a14:hiddenLine w="9525">
                        <a:noFill/>
                        <a:miter lim="800000"/>
                        <a:headEnd/>
                        <a:tailEnd/>
                      </a14:hiddenLine>
                    </a:ext>
                  </a:extLst>
                </xdr:spPr>
              </xdr:sp>
            </mc:Choice>
            <mc:Fallback/>
          </mc:AlternateContent>
        </xdr:grpSp>
        <xdr:graphicFrame macro="">
          <xdr:nvGraphicFramePr>
            <xdr:cNvPr id="137" name="Gráfico 136">
              <a:extLst>
                <a:ext uri="{FF2B5EF4-FFF2-40B4-BE49-F238E27FC236}">
                  <a16:creationId xmlns:a16="http://schemas.microsoft.com/office/drawing/2014/main" id="{00000000-0008-0000-0500-000089000000}"/>
                </a:ext>
              </a:extLst>
            </xdr:cNvPr>
            <xdr:cNvGraphicFramePr>
              <a:graphicFrameLocks/>
            </xdr:cNvGraphicFramePr>
          </xdr:nvGraphicFramePr>
          <xdr:xfrm>
            <a:off x="11338953" y="4776508"/>
            <a:ext cx="1487588" cy="547682"/>
          </xdr:xfrm>
          <a:graphic>
            <a:graphicData uri="http://schemas.openxmlformats.org/drawingml/2006/chart">
              <c:chart xmlns:c="http://schemas.openxmlformats.org/drawingml/2006/chart" xmlns:r="http://schemas.openxmlformats.org/officeDocument/2006/relationships" r:id="rId34"/>
            </a:graphicData>
          </a:graphic>
        </xdr:graphicFrame>
      </xdr:grpSp>
      <xdr:sp macro="" textlink="q4_8_12_16_25_37_Fig!$CM$92">
        <xdr:nvSpPr>
          <xdr:cNvPr id="142" name="CaixaDeTexto 141">
            <a:extLst>
              <a:ext uri="{FF2B5EF4-FFF2-40B4-BE49-F238E27FC236}">
                <a16:creationId xmlns:a16="http://schemas.microsoft.com/office/drawing/2014/main" id="{00000000-0008-0000-0500-00008E000000}"/>
              </a:ext>
            </a:extLst>
          </xdr:cNvPr>
          <xdr:cNvSpPr txBox="1"/>
        </xdr:nvSpPr>
        <xdr:spPr>
          <a:xfrm>
            <a:off x="8839199" y="5051425"/>
            <a:ext cx="2052000" cy="972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FF76F659-DF53-422A-85C8-74CE0E8D2587}" type="TxLink">
              <a:rPr lang="en-US" sz="800" b="1" i="0" u="none" strike="noStrike">
                <a:solidFill>
                  <a:srgbClr val="19375E"/>
                </a:solidFill>
                <a:latin typeface="Calibri"/>
                <a:cs typeface="Calibri"/>
              </a:rPr>
              <a:pPr algn="l"/>
              <a:t>REMUNERAÇÃO BASE
NUTS II Grande Lisboa: 1.600 euros (22,2% que no Continente; 1ª região de 7)
Esta NUTS II coincide com a NUTS III.</a:t>
            </a:fld>
            <a:endParaRPr lang="pt-PT" sz="800" b="1">
              <a:solidFill>
                <a:srgbClr val="19375E"/>
              </a:solidFill>
              <a:latin typeface="+mn-lt"/>
            </a:endParaRPr>
          </a:p>
        </xdr:txBody>
      </xdr:sp>
      <xdr:sp macro="" textlink="q4_8_12_16_25_37_Fig!$CM$112">
        <xdr:nvSpPr>
          <xdr:cNvPr id="143" name="CaixaDeTexto 142">
            <a:extLst>
              <a:ext uri="{FF2B5EF4-FFF2-40B4-BE49-F238E27FC236}">
                <a16:creationId xmlns:a16="http://schemas.microsoft.com/office/drawing/2014/main" id="{00000000-0008-0000-0500-00008F000000}"/>
              </a:ext>
            </a:extLst>
          </xdr:cNvPr>
          <xdr:cNvSpPr txBox="1"/>
        </xdr:nvSpPr>
        <xdr:spPr>
          <a:xfrm>
            <a:off x="10925854" y="5043487"/>
            <a:ext cx="2052000" cy="972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934C0CB7-42C3-4B2F-8393-A57409DBE2B3}" type="TxLink">
              <a:rPr lang="en-US" sz="800" b="1" i="0" u="none" strike="noStrike">
                <a:solidFill>
                  <a:srgbClr val="19375E"/>
                </a:solidFill>
                <a:latin typeface="Calibri"/>
                <a:cs typeface="Calibri"/>
              </a:rPr>
              <a:pPr algn="l"/>
              <a:t>REMUNERAÇÃO GANHO
NUTS II Grande Lisboa: 1.936 euros (22,3% que no Continente; 1ª região de 7)
Esta NUTS II coincide com a NUTS III.</a:t>
            </a:fld>
            <a:endParaRPr lang="pt-PT" sz="800" b="1">
              <a:solidFill>
                <a:srgbClr val="19375E"/>
              </a:solidFill>
              <a:latin typeface="+mn-lt"/>
            </a:endParaRPr>
          </a:p>
        </xdr:txBody>
      </xdr:sp>
    </xdr:grpSp>
    <xdr:clientData/>
  </xdr:twoCellAnchor>
  <xdr:twoCellAnchor editAs="oneCell">
    <xdr:from>
      <xdr:col>0</xdr:col>
      <xdr:colOff>83277</xdr:colOff>
      <xdr:row>0</xdr:row>
      <xdr:rowOff>14112</xdr:rowOff>
    </xdr:from>
    <xdr:to>
      <xdr:col>1</xdr:col>
      <xdr:colOff>373260</xdr:colOff>
      <xdr:row>2</xdr:row>
      <xdr:rowOff>10584</xdr:rowOff>
    </xdr:to>
    <xdr:pic>
      <xdr:nvPicPr>
        <xdr:cNvPr id="144" name="Imagem 143" descr="Z:\G_EME_INFOESTAT\5_apoio_pedidos\imagens\logoDGCP_pq.png">
          <a:extLst>
            <a:ext uri="{FF2B5EF4-FFF2-40B4-BE49-F238E27FC236}">
              <a16:creationId xmlns:a16="http://schemas.microsoft.com/office/drawing/2014/main" id="{00000000-0008-0000-0500-000090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83277" y="14112"/>
          <a:ext cx="882650" cy="41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6_Fig!$T$2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F5B681-359A-47D1-926E-EAFEA5AB8103}"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0.60195</cdr:x>
      <cdr:y>0.01557</cdr:y>
    </cdr:from>
    <cdr:to>
      <cdr:x>0.70652</cdr:x>
      <cdr:y>0.13273</cdr:y>
    </cdr:to>
    <cdr:sp macro="" textlink="q3_q7_q11_q15_q24_q36_Fig!$AD$2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28798" y="4159"/>
          <a:ext cx="347837" cy="43198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D635998-5C6E-4644-A5CE-BD8BE1E45122}"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294613" y="-78833"/>
          <a:ext cx="343086" cy="623723"/>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17.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6_Fig!$T$6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26F701-3CC2-4BEA-BFA8-70F65FD04085}"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0.61598</cdr:x>
      <cdr:y>0.02092</cdr:y>
    </cdr:from>
    <cdr:to>
      <cdr:x>0.75312</cdr:x>
      <cdr:y>0.12191</cdr:y>
    </cdr:to>
    <cdr:sp macro="" textlink="q3_q7_q11_q15_q24_q36_Fig!$AD$6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655191" y="-68956"/>
          <a:ext cx="299842" cy="561975"/>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7372960-0221-471D-AC29-08DF5500A456}"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0.76561</cdr:x>
      <cdr:y>0.02071</cdr:y>
    </cdr:from>
    <cdr:to>
      <cdr:x>0.94372</cdr:x>
      <cdr:y>0.12833</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342455" y="-143691"/>
          <a:ext cx="319517" cy="72987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18.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6_Fig!$T$10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7BAF77C-8415-4B91-8D55-DD3E81F40666}"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0.59647</cdr:x>
      <cdr:y>0.0143</cdr:y>
    </cdr:from>
    <cdr:to>
      <cdr:x>0.74443</cdr:x>
      <cdr:y>0.12583</cdr:y>
    </cdr:to>
    <cdr:sp macro="" textlink="q3_q7_q11_q15_q24_q36_Fig!$AD$10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601834" y="-103258"/>
          <a:ext cx="320822" cy="60959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AF22FF0-8723-4CCA-84BD-EF9BD80F8DCB}"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0.76152</cdr:x>
      <cdr:y>0.02071</cdr:y>
    </cdr:from>
    <cdr:to>
      <cdr:x>0.93439</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317906" y="-129371"/>
          <a:ext cx="332414" cy="71030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0</xdr:colOff>
      <xdr:row>4</xdr:row>
      <xdr:rowOff>107671</xdr:rowOff>
    </xdr:from>
    <xdr:to>
      <xdr:col>7</xdr:col>
      <xdr:colOff>366150</xdr:colOff>
      <xdr:row>6</xdr:row>
      <xdr:rowOff>29957</xdr:rowOff>
    </xdr:to>
    <xdr:grpSp>
      <xdr:nvGrpSpPr>
        <xdr:cNvPr id="7" name="Agrupar 6">
          <a:extLst>
            <a:ext uri="{FF2B5EF4-FFF2-40B4-BE49-F238E27FC236}">
              <a16:creationId xmlns:a16="http://schemas.microsoft.com/office/drawing/2014/main" id="{00000000-0008-0000-0600-000007000000}"/>
            </a:ext>
          </a:extLst>
        </xdr:cNvPr>
        <xdr:cNvGrpSpPr/>
      </xdr:nvGrpSpPr>
      <xdr:grpSpPr>
        <a:xfrm>
          <a:off x="0" y="917296"/>
          <a:ext cx="4299975" cy="303286"/>
          <a:chOff x="230187" y="644543"/>
          <a:chExt cx="5846763" cy="466707"/>
        </a:xfrm>
      </xdr:grpSpPr>
      <xdr:sp macro="" textlink="">
        <xdr:nvSpPr>
          <xdr:cNvPr id="8" name="Rectangle 3">
            <a:extLst>
              <a:ext uri="{FF2B5EF4-FFF2-40B4-BE49-F238E27FC236}">
                <a16:creationId xmlns:a16="http://schemas.microsoft.com/office/drawing/2014/main" id="{00000000-0008-0000-0600-000008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9" name="Text Box 10">
            <a:extLst>
              <a:ext uri="{FF2B5EF4-FFF2-40B4-BE49-F238E27FC236}">
                <a16:creationId xmlns:a16="http://schemas.microsoft.com/office/drawing/2014/main" id="{00000000-0008-0000-0600-000009000000}"/>
              </a:ext>
            </a:extLst>
          </xdr:cNvPr>
          <xdr:cNvSpPr txBox="1">
            <a:spLocks noChangeArrowheads="1"/>
          </xdr:cNvSpPr>
        </xdr:nvSpPr>
        <xdr:spPr bwMode="auto">
          <a:xfrm>
            <a:off x="307902" y="644543"/>
            <a:ext cx="2564358" cy="389306"/>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Empresas e Estabelecimentos</a:t>
            </a:r>
            <a:endParaRPr lang="en-US" altLang="pt-PT" sz="1200" b="1">
              <a:solidFill>
                <a:srgbClr val="00467A"/>
              </a:solidFill>
              <a:latin typeface="Arial" charset="0"/>
            </a:endParaRPr>
          </a:p>
        </xdr:txBody>
      </xdr:sp>
    </xdr:grpSp>
    <xdr:clientData/>
  </xdr:twoCellAnchor>
  <xdr:twoCellAnchor>
    <xdr:from>
      <xdr:col>1</xdr:col>
      <xdr:colOff>417362</xdr:colOff>
      <xdr:row>0</xdr:row>
      <xdr:rowOff>0</xdr:rowOff>
    </xdr:from>
    <xdr:to>
      <xdr:col>22</xdr:col>
      <xdr:colOff>577850</xdr:colOff>
      <xdr:row>2</xdr:row>
      <xdr:rowOff>76200</xdr:rowOff>
    </xdr:to>
    <xdr:sp macro="" textlink="">
      <xdr:nvSpPr>
        <xdr:cNvPr id="10" name="Rectangle 17">
          <a:extLst>
            <a:ext uri="{FF2B5EF4-FFF2-40B4-BE49-F238E27FC236}">
              <a16:creationId xmlns:a16="http://schemas.microsoft.com/office/drawing/2014/main" id="{00000000-0008-0000-0600-00000A000000}"/>
            </a:ext>
          </a:extLst>
        </xdr:cNvPr>
        <xdr:cNvSpPr>
          <a:spLocks noChangeArrowheads="1"/>
        </xdr:cNvSpPr>
      </xdr:nvSpPr>
      <xdr:spPr bwMode="auto">
        <a:xfrm rot="5400000">
          <a:off x="7085731" y="-6077819"/>
          <a:ext cx="495300" cy="12650938"/>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vert="vert270"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1600" b="1" i="1">
              <a:solidFill>
                <a:schemeClr val="bg1"/>
              </a:solidFill>
              <a:effectLst>
                <a:outerShdw blurRad="38100" dist="38100" dir="2700000" algn="tl">
                  <a:srgbClr val="000000"/>
                </a:outerShdw>
              </a:effectLst>
              <a:latin typeface="Arial" charset="0"/>
            </a:rPr>
            <a:t>Séries Cronológicas 2014 - 2024: Quadros de Pessoal</a:t>
          </a:r>
        </a:p>
        <a:p>
          <a:pPr defTabSz="988538">
            <a:defRPr/>
          </a:pPr>
          <a:r>
            <a:rPr lang="pt-PT" sz="1600" b="1" i="1">
              <a:solidFill>
                <a:srgbClr val="FFE600"/>
              </a:solidFill>
              <a:effectLst>
                <a:outerShdw blurRad="38100" dist="38100" dir="2700000" algn="tl">
                  <a:srgbClr val="000000"/>
                </a:outerShdw>
              </a:effectLst>
              <a:latin typeface="Arial" charset="0"/>
            </a:rPr>
            <a:t>NUTS 2013</a:t>
          </a:r>
        </a:p>
      </xdr:txBody>
    </xdr:sp>
    <xdr:clientData/>
  </xdr:twoCellAnchor>
  <xdr:twoCellAnchor>
    <xdr:from>
      <xdr:col>7</xdr:col>
      <xdr:colOff>419100</xdr:colOff>
      <xdr:row>4</xdr:row>
      <xdr:rowOff>89698</xdr:rowOff>
    </xdr:from>
    <xdr:to>
      <xdr:col>15</xdr:col>
      <xdr:colOff>239150</xdr:colOff>
      <xdr:row>6</xdr:row>
      <xdr:rowOff>45398</xdr:rowOff>
    </xdr:to>
    <xdr:grpSp>
      <xdr:nvGrpSpPr>
        <xdr:cNvPr id="11" name="Agrupar 10">
          <a:extLst>
            <a:ext uri="{FF2B5EF4-FFF2-40B4-BE49-F238E27FC236}">
              <a16:creationId xmlns:a16="http://schemas.microsoft.com/office/drawing/2014/main" id="{00000000-0008-0000-0600-00000B000000}"/>
            </a:ext>
          </a:extLst>
        </xdr:cNvPr>
        <xdr:cNvGrpSpPr/>
      </xdr:nvGrpSpPr>
      <xdr:grpSpPr>
        <a:xfrm>
          <a:off x="4352925" y="899323"/>
          <a:ext cx="4277750" cy="336700"/>
          <a:chOff x="230187" y="612160"/>
          <a:chExt cx="5846763" cy="499090"/>
        </a:xfrm>
      </xdr:grpSpPr>
      <xdr:sp macro="" textlink="">
        <xdr:nvSpPr>
          <xdr:cNvPr id="12" name="Rectangle 3">
            <a:extLst>
              <a:ext uri="{FF2B5EF4-FFF2-40B4-BE49-F238E27FC236}">
                <a16:creationId xmlns:a16="http://schemas.microsoft.com/office/drawing/2014/main" id="{00000000-0008-0000-0600-00000C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13" name="Text Box 10">
            <a:extLst>
              <a:ext uri="{FF2B5EF4-FFF2-40B4-BE49-F238E27FC236}">
                <a16:creationId xmlns:a16="http://schemas.microsoft.com/office/drawing/2014/main" id="{00000000-0008-0000-0600-00000D000000}"/>
              </a:ext>
            </a:extLst>
          </xdr:cNvPr>
          <xdr:cNvSpPr txBox="1">
            <a:spLocks noChangeArrowheads="1"/>
          </xdr:cNvSpPr>
        </xdr:nvSpPr>
        <xdr:spPr bwMode="auto">
          <a:xfrm>
            <a:off x="273049" y="612160"/>
            <a:ext cx="2074661" cy="413240"/>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Pessoas ao serviço e TCO</a:t>
            </a:r>
          </a:p>
        </xdr:txBody>
      </xdr:sp>
    </xdr:grpSp>
    <xdr:clientData/>
  </xdr:twoCellAnchor>
  <xdr:twoCellAnchor>
    <xdr:from>
      <xdr:col>15</xdr:col>
      <xdr:colOff>317500</xdr:colOff>
      <xdr:row>4</xdr:row>
      <xdr:rowOff>81233</xdr:rowOff>
    </xdr:from>
    <xdr:to>
      <xdr:col>23</xdr:col>
      <xdr:colOff>0</xdr:colOff>
      <xdr:row>6</xdr:row>
      <xdr:rowOff>36933</xdr:rowOff>
    </xdr:to>
    <xdr:grpSp>
      <xdr:nvGrpSpPr>
        <xdr:cNvPr id="14" name="Agrupar 13">
          <a:extLst>
            <a:ext uri="{FF2B5EF4-FFF2-40B4-BE49-F238E27FC236}">
              <a16:creationId xmlns:a16="http://schemas.microsoft.com/office/drawing/2014/main" id="{00000000-0008-0000-0600-00000E000000}"/>
            </a:ext>
          </a:extLst>
        </xdr:cNvPr>
        <xdr:cNvGrpSpPr/>
      </xdr:nvGrpSpPr>
      <xdr:grpSpPr>
        <a:xfrm>
          <a:off x="8709025" y="890858"/>
          <a:ext cx="4330700" cy="336700"/>
          <a:chOff x="230187" y="612158"/>
          <a:chExt cx="5846763" cy="499092"/>
        </a:xfrm>
      </xdr:grpSpPr>
      <xdr:sp macro="" textlink="">
        <xdr:nvSpPr>
          <xdr:cNvPr id="15" name="Rectangle 3">
            <a:extLst>
              <a:ext uri="{FF2B5EF4-FFF2-40B4-BE49-F238E27FC236}">
                <a16:creationId xmlns:a16="http://schemas.microsoft.com/office/drawing/2014/main" id="{00000000-0008-0000-0600-00000F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16" name="Text Box 10">
            <a:extLst>
              <a:ext uri="{FF2B5EF4-FFF2-40B4-BE49-F238E27FC236}">
                <a16:creationId xmlns:a16="http://schemas.microsoft.com/office/drawing/2014/main" id="{00000000-0008-0000-0600-000010000000}"/>
              </a:ext>
            </a:extLst>
          </xdr:cNvPr>
          <xdr:cNvSpPr txBox="1">
            <a:spLocks noChangeArrowheads="1"/>
          </xdr:cNvSpPr>
        </xdr:nvSpPr>
        <xdr:spPr bwMode="auto">
          <a:xfrm>
            <a:off x="264329" y="612158"/>
            <a:ext cx="2533750" cy="425733"/>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Remunerações</a:t>
            </a:r>
            <a:r>
              <a:rPr lang="en-US" altLang="pt-PT" sz="1000" b="1" baseline="0">
                <a:solidFill>
                  <a:srgbClr val="00467A"/>
                </a:solidFill>
                <a:latin typeface="+mn-lt"/>
              </a:rPr>
              <a:t> médias mensais</a:t>
            </a:r>
            <a:endParaRPr lang="en-US" altLang="pt-PT" sz="1000" b="1">
              <a:solidFill>
                <a:srgbClr val="00467A"/>
              </a:solidFill>
              <a:latin typeface="+mn-lt"/>
            </a:endParaRPr>
          </a:p>
        </xdr:txBody>
      </xdr:sp>
    </xdr:grpSp>
    <xdr:clientData/>
  </xdr:twoCellAnchor>
  <xdr:twoCellAnchor>
    <xdr:from>
      <xdr:col>0</xdr:col>
      <xdr:colOff>47996</xdr:colOff>
      <xdr:row>2</xdr:row>
      <xdr:rowOff>120650</xdr:rowOff>
    </xdr:from>
    <xdr:to>
      <xdr:col>22</xdr:col>
      <xdr:colOff>577849</xdr:colOff>
      <xdr:row>4</xdr:row>
      <xdr:rowOff>50800</xdr:rowOff>
    </xdr:to>
    <xdr:grpSp>
      <xdr:nvGrpSpPr>
        <xdr:cNvPr id="17" name="Agrupar 16">
          <a:extLst>
            <a:ext uri="{FF2B5EF4-FFF2-40B4-BE49-F238E27FC236}">
              <a16:creationId xmlns:a16="http://schemas.microsoft.com/office/drawing/2014/main" id="{00000000-0008-0000-0600-000011000000}"/>
            </a:ext>
          </a:extLst>
        </xdr:cNvPr>
        <xdr:cNvGrpSpPr/>
      </xdr:nvGrpSpPr>
      <xdr:grpSpPr>
        <a:xfrm>
          <a:off x="47996" y="549275"/>
          <a:ext cx="12988553" cy="311150"/>
          <a:chOff x="47996" y="590550"/>
          <a:chExt cx="13610853" cy="298450"/>
        </a:xfrm>
      </xdr:grpSpPr>
      <xdr:sp macro="" textlink="">
        <xdr:nvSpPr>
          <xdr:cNvPr id="18" name="Text Box 10">
            <a:extLst>
              <a:ext uri="{FF2B5EF4-FFF2-40B4-BE49-F238E27FC236}">
                <a16:creationId xmlns:a16="http://schemas.microsoft.com/office/drawing/2014/main" id="{00000000-0008-0000-0600-000012000000}"/>
              </a:ext>
            </a:extLst>
          </xdr:cNvPr>
          <xdr:cNvSpPr txBox="1">
            <a:spLocks noChangeArrowheads="1"/>
          </xdr:cNvSpPr>
        </xdr:nvSpPr>
        <xdr:spPr bwMode="auto">
          <a:xfrm>
            <a:off x="47996" y="590550"/>
            <a:ext cx="13610853" cy="298450"/>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endParaRPr lang="en-US" altLang="pt-PT" sz="1200" b="1">
              <a:solidFill>
                <a:srgbClr val="00467A"/>
              </a:solidFill>
              <a:latin typeface="Arial" charset="0"/>
            </a:endParaRPr>
          </a:p>
        </xdr:txBody>
      </xdr:sp>
      <mc:AlternateContent xmlns:mc="http://schemas.openxmlformats.org/markup-compatibility/2006">
        <mc:Choice xmlns:a14="http://schemas.microsoft.com/office/drawing/2010/main" Requires="a14">
          <xdr:sp macro="" textlink="">
            <xdr:nvSpPr>
              <xdr:cNvPr id="510978" name="Drop Down 2" hidden="1">
                <a:extLst>
                  <a:ext uri="{63B3BB69-23CF-44E3-9099-C40C66FF867C}">
                    <a14:compatExt spid="_x0000_s510978"/>
                  </a:ext>
                  <a:ext uri="{FF2B5EF4-FFF2-40B4-BE49-F238E27FC236}">
                    <a16:creationId xmlns:a16="http://schemas.microsoft.com/office/drawing/2014/main" id="{00000000-0008-0000-0600-000002CC0700}"/>
                  </a:ext>
                </a:extLst>
              </xdr:cNvPr>
              <xdr:cNvSpPr/>
            </xdr:nvSpPr>
            <xdr:spPr bwMode="auto">
              <a:xfrm>
                <a:off x="2075098" y="635000"/>
                <a:ext cx="1848516" cy="19050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0" name="Text Box 10">
            <a:extLst>
              <a:ext uri="{FF2B5EF4-FFF2-40B4-BE49-F238E27FC236}">
                <a16:creationId xmlns:a16="http://schemas.microsoft.com/office/drawing/2014/main" id="{00000000-0008-0000-0600-000014000000}"/>
              </a:ext>
            </a:extLst>
          </xdr:cNvPr>
          <xdr:cNvSpPr txBox="1">
            <a:spLocks noChangeArrowheads="1"/>
          </xdr:cNvSpPr>
        </xdr:nvSpPr>
        <xdr:spPr bwMode="auto">
          <a:xfrm>
            <a:off x="150341" y="613164"/>
            <a:ext cx="1853612" cy="241300"/>
          </a:xfrm>
          <a:prstGeom prst="rect">
            <a:avLst/>
          </a:prstGeom>
          <a:solidFill>
            <a:srgbClr val="00467A"/>
          </a:solidFill>
          <a:ln>
            <a:noFill/>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uma região NUTS II</a:t>
            </a:r>
            <a:endParaRPr lang="en-US" altLang="pt-PT" sz="1200" b="1">
              <a:solidFill>
                <a:schemeClr val="bg1"/>
              </a:solidFill>
              <a:latin typeface="Arial" charset="0"/>
            </a:endParaRPr>
          </a:p>
        </xdr:txBody>
      </xdr:sp>
    </xdr:grpSp>
    <xdr:clientData/>
  </xdr:twoCellAnchor>
  <xdr:twoCellAnchor>
    <xdr:from>
      <xdr:col>0</xdr:col>
      <xdr:colOff>88900</xdr:colOff>
      <xdr:row>10</xdr:row>
      <xdr:rowOff>120650</xdr:rowOff>
    </xdr:from>
    <xdr:to>
      <xdr:col>7</xdr:col>
      <xdr:colOff>275050</xdr:colOff>
      <xdr:row>25</xdr:row>
      <xdr:rowOff>0</xdr:rowOff>
    </xdr:to>
    <xdr:grpSp>
      <xdr:nvGrpSpPr>
        <xdr:cNvPr id="21" name="Agrupar 20">
          <a:extLst>
            <a:ext uri="{FF2B5EF4-FFF2-40B4-BE49-F238E27FC236}">
              <a16:creationId xmlns:a16="http://schemas.microsoft.com/office/drawing/2014/main" id="{00000000-0008-0000-0600-000015000000}"/>
            </a:ext>
          </a:extLst>
        </xdr:cNvPr>
        <xdr:cNvGrpSpPr/>
      </xdr:nvGrpSpPr>
      <xdr:grpSpPr>
        <a:xfrm>
          <a:off x="88900" y="2073275"/>
          <a:ext cx="4119975" cy="2736850"/>
          <a:chOff x="36182300" y="8426450"/>
          <a:chExt cx="4819650" cy="2597244"/>
        </a:xfrm>
      </xdr:grpSpPr>
      <xdr:graphicFrame macro="">
        <xdr:nvGraphicFramePr>
          <xdr:cNvPr id="22" name="Gráfico 21">
            <a:extLst>
              <a:ext uri="{FF2B5EF4-FFF2-40B4-BE49-F238E27FC236}">
                <a16:creationId xmlns:a16="http://schemas.microsoft.com/office/drawing/2014/main" id="{00000000-0008-0000-0600-000016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3" name="CaixaDeTexto 22">
            <a:extLst>
              <a:ext uri="{FF2B5EF4-FFF2-40B4-BE49-F238E27FC236}">
                <a16:creationId xmlns:a16="http://schemas.microsoft.com/office/drawing/2014/main" id="{00000000-0008-0000-0600-000017000000}"/>
              </a:ext>
            </a:extLst>
          </xdr:cNvPr>
          <xdr:cNvSpPr txBox="1"/>
        </xdr:nvSpPr>
        <xdr:spPr>
          <a:xfrm>
            <a:off x="39836722" y="8902700"/>
            <a:ext cx="913867"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Empresas</a:t>
            </a:r>
          </a:p>
        </xdr:txBody>
      </xdr:sp>
      <xdr:sp macro="" textlink="">
        <xdr:nvSpPr>
          <xdr:cNvPr id="24" name="CaixaDeTexto 23">
            <a:extLst>
              <a:ext uri="{FF2B5EF4-FFF2-40B4-BE49-F238E27FC236}">
                <a16:creationId xmlns:a16="http://schemas.microsoft.com/office/drawing/2014/main" id="{00000000-0008-0000-0600-000018000000}"/>
              </a:ext>
            </a:extLst>
          </xdr:cNvPr>
          <xdr:cNvSpPr txBox="1"/>
        </xdr:nvSpPr>
        <xdr:spPr>
          <a:xfrm>
            <a:off x="39833549" y="9721850"/>
            <a:ext cx="913497"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Estabelecimentos</a:t>
            </a:r>
          </a:p>
        </xdr:txBody>
      </xdr:sp>
      <xdr:sp macro="" textlink="q4_8_12_16_25_37_Fig_b!$AF$7">
        <xdr:nvSpPr>
          <xdr:cNvPr id="25" name="CaixaDeTexto 24">
            <a:extLst>
              <a:ext uri="{FF2B5EF4-FFF2-40B4-BE49-F238E27FC236}">
                <a16:creationId xmlns:a16="http://schemas.microsoft.com/office/drawing/2014/main" id="{00000000-0008-0000-0600-000019000000}"/>
              </a:ext>
            </a:extLst>
          </xdr:cNvPr>
          <xdr:cNvSpPr txBox="1"/>
        </xdr:nvSpPr>
        <xdr:spPr>
          <a:xfrm>
            <a:off x="39839898" y="9994900"/>
            <a:ext cx="913867" cy="258246"/>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58BDDB5-DE9D-48BD-961C-A1BF7FA06D32}" type="TxLink">
              <a:rPr lang="en-US" sz="1000" b="1" i="0" u="none" strike="noStrike">
                <a:solidFill>
                  <a:schemeClr val="bg1"/>
                </a:solidFill>
                <a:latin typeface="Arial"/>
                <a:ea typeface="+mn-ea"/>
                <a:cs typeface="Arial"/>
              </a:rPr>
              <a:pPr marL="0" indent="0" algn="ctr"/>
              <a:t>7,6%</a:t>
            </a:fld>
            <a:endParaRPr lang="pt-PT" sz="1000" b="1" i="0" u="none" strike="noStrike">
              <a:solidFill>
                <a:schemeClr val="bg1"/>
              </a:solidFill>
              <a:latin typeface="+mn-lt"/>
              <a:ea typeface="+mn-ea"/>
              <a:cs typeface="Arial"/>
            </a:endParaRPr>
          </a:p>
        </xdr:txBody>
      </xdr:sp>
      <xdr:sp macro="" textlink="q4_8_12_16_25_37_Fig_b!$AF$6">
        <xdr:nvSpPr>
          <xdr:cNvPr id="26" name="CaixaDeTexto 25">
            <a:extLst>
              <a:ext uri="{FF2B5EF4-FFF2-40B4-BE49-F238E27FC236}">
                <a16:creationId xmlns:a16="http://schemas.microsoft.com/office/drawing/2014/main" id="{00000000-0008-0000-0600-00001A000000}"/>
              </a:ext>
            </a:extLst>
          </xdr:cNvPr>
          <xdr:cNvSpPr txBox="1"/>
        </xdr:nvSpPr>
        <xdr:spPr>
          <a:xfrm>
            <a:off x="39839898" y="9201150"/>
            <a:ext cx="913867" cy="25824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8D03743-69F8-4B65-8148-39A8C212D626}" type="TxLink">
              <a:rPr lang="en-US" sz="1000" b="1" i="0" u="none" strike="noStrike">
                <a:solidFill>
                  <a:schemeClr val="bg1"/>
                </a:solidFill>
                <a:latin typeface="Arial"/>
                <a:cs typeface="Arial"/>
              </a:rPr>
              <a:pPr algn="ctr"/>
              <a:t>9,8%</a:t>
            </a:fld>
            <a:endParaRPr lang="pt-PT" sz="1000" b="1">
              <a:solidFill>
                <a:schemeClr val="bg1"/>
              </a:solidFill>
              <a:latin typeface="+mn-lt"/>
            </a:endParaRPr>
          </a:p>
        </xdr:txBody>
      </xdr:sp>
    </xdr:grpSp>
    <xdr:clientData/>
  </xdr:twoCellAnchor>
  <xdr:twoCellAnchor>
    <xdr:from>
      <xdr:col>8</xdr:col>
      <xdr:colOff>47625</xdr:colOff>
      <xdr:row>10</xdr:row>
      <xdr:rowOff>133350</xdr:rowOff>
    </xdr:from>
    <xdr:to>
      <xdr:col>15</xdr:col>
      <xdr:colOff>249650</xdr:colOff>
      <xdr:row>25</xdr:row>
      <xdr:rowOff>0</xdr:rowOff>
    </xdr:to>
    <xdr:grpSp>
      <xdr:nvGrpSpPr>
        <xdr:cNvPr id="27" name="Agrupar 26">
          <a:extLst>
            <a:ext uri="{FF2B5EF4-FFF2-40B4-BE49-F238E27FC236}">
              <a16:creationId xmlns:a16="http://schemas.microsoft.com/office/drawing/2014/main" id="{00000000-0008-0000-0600-00001B000000}"/>
            </a:ext>
          </a:extLst>
        </xdr:cNvPr>
        <xdr:cNvGrpSpPr/>
      </xdr:nvGrpSpPr>
      <xdr:grpSpPr>
        <a:xfrm>
          <a:off x="4543425" y="2085975"/>
          <a:ext cx="4097750" cy="2724150"/>
          <a:chOff x="36182300" y="8426450"/>
          <a:chExt cx="4819650" cy="2597244"/>
        </a:xfrm>
      </xdr:grpSpPr>
      <xdr:graphicFrame macro="">
        <xdr:nvGraphicFramePr>
          <xdr:cNvPr id="28" name="Gráfico 27">
            <a:extLst>
              <a:ext uri="{FF2B5EF4-FFF2-40B4-BE49-F238E27FC236}">
                <a16:creationId xmlns:a16="http://schemas.microsoft.com/office/drawing/2014/main" id="{00000000-0008-0000-0600-00001C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9" name="CaixaDeTexto 28">
            <a:extLst>
              <a:ext uri="{FF2B5EF4-FFF2-40B4-BE49-F238E27FC236}">
                <a16:creationId xmlns:a16="http://schemas.microsoft.com/office/drawing/2014/main" id="{00000000-0008-0000-0600-00001D000000}"/>
              </a:ext>
            </a:extLst>
          </xdr:cNvPr>
          <xdr:cNvSpPr txBox="1"/>
        </xdr:nvSpPr>
        <xdr:spPr>
          <a:xfrm>
            <a:off x="39836724" y="8902700"/>
            <a:ext cx="918824"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Pessoas ao serviço</a:t>
            </a:r>
          </a:p>
        </xdr:txBody>
      </xdr:sp>
      <xdr:sp macro="" textlink="">
        <xdr:nvSpPr>
          <xdr:cNvPr id="30" name="CaixaDeTexto 29">
            <a:extLst>
              <a:ext uri="{FF2B5EF4-FFF2-40B4-BE49-F238E27FC236}">
                <a16:creationId xmlns:a16="http://schemas.microsoft.com/office/drawing/2014/main" id="{00000000-0008-0000-0600-00001E000000}"/>
              </a:ext>
            </a:extLst>
          </xdr:cNvPr>
          <xdr:cNvSpPr txBox="1"/>
        </xdr:nvSpPr>
        <xdr:spPr>
          <a:xfrm>
            <a:off x="39833550" y="9721850"/>
            <a:ext cx="918824"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TCO</a:t>
            </a:r>
          </a:p>
        </xdr:txBody>
      </xdr:sp>
      <xdr:sp macro="" textlink="q4_8_12_16_25_37_Fig_b!$AF$39">
        <xdr:nvSpPr>
          <xdr:cNvPr id="31" name="CaixaDeTexto 30">
            <a:extLst>
              <a:ext uri="{FF2B5EF4-FFF2-40B4-BE49-F238E27FC236}">
                <a16:creationId xmlns:a16="http://schemas.microsoft.com/office/drawing/2014/main" id="{00000000-0008-0000-0600-00001F000000}"/>
              </a:ext>
            </a:extLst>
          </xdr:cNvPr>
          <xdr:cNvSpPr txBox="1"/>
        </xdr:nvSpPr>
        <xdr:spPr>
          <a:xfrm>
            <a:off x="39839899" y="9994900"/>
            <a:ext cx="918824" cy="258246"/>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B78C66E-7D5A-46BB-8EF4-BF312BED5A1B}" type="TxLink">
              <a:rPr lang="en-US" sz="1000" b="1" i="0" u="none" strike="noStrike">
                <a:solidFill>
                  <a:schemeClr val="bg1"/>
                </a:solidFill>
                <a:latin typeface="Arial"/>
                <a:ea typeface="+mn-ea"/>
                <a:cs typeface="Arial"/>
              </a:rPr>
              <a:pPr marL="0" indent="0" algn="ctr"/>
              <a:t>40,9%</a:t>
            </a:fld>
            <a:endParaRPr lang="pt-PT" sz="1000" b="1" i="0" u="none" strike="noStrike">
              <a:solidFill>
                <a:schemeClr val="bg1"/>
              </a:solidFill>
              <a:latin typeface="+mn-lt"/>
              <a:ea typeface="+mn-ea"/>
              <a:cs typeface="Arial"/>
            </a:endParaRPr>
          </a:p>
        </xdr:txBody>
      </xdr:sp>
      <xdr:sp macro="" textlink="q4_8_12_16_25_37_Fig_b!$AF$38">
        <xdr:nvSpPr>
          <xdr:cNvPr id="32" name="CaixaDeTexto 31">
            <a:extLst>
              <a:ext uri="{FF2B5EF4-FFF2-40B4-BE49-F238E27FC236}">
                <a16:creationId xmlns:a16="http://schemas.microsoft.com/office/drawing/2014/main" id="{00000000-0008-0000-0600-000020000000}"/>
              </a:ext>
            </a:extLst>
          </xdr:cNvPr>
          <xdr:cNvSpPr txBox="1"/>
        </xdr:nvSpPr>
        <xdr:spPr>
          <a:xfrm>
            <a:off x="39839900" y="9201150"/>
            <a:ext cx="918824" cy="25824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847CEC1-C2FF-4394-A3ED-66CC436D4FCA}" type="TxLink">
              <a:rPr lang="en-US" sz="1000" b="1" i="0" u="none" strike="noStrike">
                <a:solidFill>
                  <a:schemeClr val="bg1"/>
                </a:solidFill>
                <a:latin typeface="Arial"/>
                <a:cs typeface="Arial"/>
              </a:rPr>
              <a:pPr algn="ctr"/>
              <a:t>39,0%</a:t>
            </a:fld>
            <a:endParaRPr lang="pt-PT" sz="1000" b="1">
              <a:solidFill>
                <a:schemeClr val="bg1"/>
              </a:solidFill>
              <a:latin typeface="+mn-lt"/>
            </a:endParaRPr>
          </a:p>
        </xdr:txBody>
      </xdr:sp>
    </xdr:grpSp>
    <xdr:clientData/>
  </xdr:twoCellAnchor>
  <xdr:twoCellAnchor>
    <xdr:from>
      <xdr:col>15</xdr:col>
      <xdr:colOff>419100</xdr:colOff>
      <xdr:row>11</xdr:row>
      <xdr:rowOff>57147</xdr:rowOff>
    </xdr:from>
    <xdr:to>
      <xdr:col>22</xdr:col>
      <xdr:colOff>471900</xdr:colOff>
      <xdr:row>25</xdr:row>
      <xdr:rowOff>0</xdr:rowOff>
    </xdr:to>
    <xdr:grpSp>
      <xdr:nvGrpSpPr>
        <xdr:cNvPr id="33" name="Agrupar 32">
          <a:extLst>
            <a:ext uri="{FF2B5EF4-FFF2-40B4-BE49-F238E27FC236}">
              <a16:creationId xmlns:a16="http://schemas.microsoft.com/office/drawing/2014/main" id="{00000000-0008-0000-0600-000021000000}"/>
            </a:ext>
          </a:extLst>
        </xdr:cNvPr>
        <xdr:cNvGrpSpPr/>
      </xdr:nvGrpSpPr>
      <xdr:grpSpPr>
        <a:xfrm>
          <a:off x="8810625" y="2200272"/>
          <a:ext cx="4119975" cy="2609853"/>
          <a:chOff x="36182300" y="8426450"/>
          <a:chExt cx="4819650" cy="2597244"/>
        </a:xfrm>
      </xdr:grpSpPr>
      <xdr:graphicFrame macro="">
        <xdr:nvGraphicFramePr>
          <xdr:cNvPr id="34" name="Gráfico 33">
            <a:extLst>
              <a:ext uri="{FF2B5EF4-FFF2-40B4-BE49-F238E27FC236}">
                <a16:creationId xmlns:a16="http://schemas.microsoft.com/office/drawing/2014/main" id="{00000000-0008-0000-0600-000022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35" name="CaixaDeTexto 34">
            <a:extLst>
              <a:ext uri="{FF2B5EF4-FFF2-40B4-BE49-F238E27FC236}">
                <a16:creationId xmlns:a16="http://schemas.microsoft.com/office/drawing/2014/main" id="{00000000-0008-0000-0600-000023000000}"/>
              </a:ext>
            </a:extLst>
          </xdr:cNvPr>
          <xdr:cNvSpPr txBox="1"/>
        </xdr:nvSpPr>
        <xdr:spPr>
          <a:xfrm>
            <a:off x="39836724" y="8902700"/>
            <a:ext cx="913867" cy="266537"/>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a:t>
            </a:r>
            <a:r>
              <a:rPr lang="pt-PT" sz="800" b="1" baseline="0">
                <a:solidFill>
                  <a:schemeClr val="bg1"/>
                </a:solidFill>
                <a:latin typeface="+mn-lt"/>
                <a:ea typeface="+mn-ea"/>
                <a:cs typeface="+mn-cs"/>
              </a:rPr>
              <a:t> Base</a:t>
            </a:r>
          </a:p>
        </xdr:txBody>
      </xdr:sp>
      <xdr:sp macro="" textlink="">
        <xdr:nvSpPr>
          <xdr:cNvPr id="36" name="CaixaDeTexto 35">
            <a:extLst>
              <a:ext uri="{FF2B5EF4-FFF2-40B4-BE49-F238E27FC236}">
                <a16:creationId xmlns:a16="http://schemas.microsoft.com/office/drawing/2014/main" id="{00000000-0008-0000-0600-000024000000}"/>
              </a:ext>
            </a:extLst>
          </xdr:cNvPr>
          <xdr:cNvSpPr txBox="1"/>
        </xdr:nvSpPr>
        <xdr:spPr>
          <a:xfrm>
            <a:off x="39833549" y="9721850"/>
            <a:ext cx="913867" cy="266537"/>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 Ganho</a:t>
            </a:r>
          </a:p>
        </xdr:txBody>
      </xdr:sp>
      <xdr:sp macro="" textlink="q4_8_12_16_25_37_Fig_b!$AF$73">
        <xdr:nvSpPr>
          <xdr:cNvPr id="37" name="CaixaDeTexto 36">
            <a:extLst>
              <a:ext uri="{FF2B5EF4-FFF2-40B4-BE49-F238E27FC236}">
                <a16:creationId xmlns:a16="http://schemas.microsoft.com/office/drawing/2014/main" id="{00000000-0008-0000-0600-000025000000}"/>
              </a:ext>
            </a:extLst>
          </xdr:cNvPr>
          <xdr:cNvSpPr txBox="1"/>
        </xdr:nvSpPr>
        <xdr:spPr>
          <a:xfrm>
            <a:off x="39839897" y="9994900"/>
            <a:ext cx="913867" cy="266537"/>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67F7D95-326F-468E-9B2F-2A764594A7B2}" type="TxLink">
              <a:rPr lang="en-US" sz="1000" b="1" i="0" u="none" strike="noStrike">
                <a:solidFill>
                  <a:schemeClr val="bg1"/>
                </a:solidFill>
                <a:latin typeface="Arial"/>
                <a:ea typeface="+mn-ea"/>
                <a:cs typeface="Arial"/>
              </a:rPr>
              <a:pPr marL="0" indent="0" algn="ctr"/>
              <a:t>36,5%</a:t>
            </a:fld>
            <a:endParaRPr lang="pt-PT" sz="1000" b="1" i="0" u="none" strike="noStrike">
              <a:solidFill>
                <a:schemeClr val="bg1"/>
              </a:solidFill>
              <a:latin typeface="+mn-lt"/>
              <a:ea typeface="+mn-ea"/>
              <a:cs typeface="Arial"/>
            </a:endParaRPr>
          </a:p>
        </xdr:txBody>
      </xdr:sp>
      <xdr:sp macro="" textlink="q4_8_12_16_25_37_Fig_b!$AF$72">
        <xdr:nvSpPr>
          <xdr:cNvPr id="38" name="CaixaDeTexto 37">
            <a:extLst>
              <a:ext uri="{FF2B5EF4-FFF2-40B4-BE49-F238E27FC236}">
                <a16:creationId xmlns:a16="http://schemas.microsoft.com/office/drawing/2014/main" id="{00000000-0008-0000-0600-000026000000}"/>
              </a:ext>
            </a:extLst>
          </xdr:cNvPr>
          <xdr:cNvSpPr txBox="1"/>
        </xdr:nvSpPr>
        <xdr:spPr>
          <a:xfrm>
            <a:off x="39839901" y="9201150"/>
            <a:ext cx="913867" cy="266537"/>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E8383D0-2D1A-455C-8F43-F36211F7150A}" type="TxLink">
              <a:rPr lang="en-US" sz="1000" b="1" i="0" u="none" strike="noStrike">
                <a:solidFill>
                  <a:schemeClr val="bg1"/>
                </a:solidFill>
                <a:latin typeface="Arial"/>
                <a:cs typeface="Arial"/>
              </a:rPr>
              <a:pPr algn="ctr"/>
              <a:t>36,4%</a:t>
            </a:fld>
            <a:endParaRPr lang="pt-PT" sz="1000" b="1">
              <a:solidFill>
                <a:schemeClr val="bg1"/>
              </a:solidFill>
              <a:latin typeface="+mn-lt"/>
            </a:endParaRPr>
          </a:p>
        </xdr:txBody>
      </xdr:sp>
    </xdr:grpSp>
    <xdr:clientData/>
  </xdr:twoCellAnchor>
  <xdr:twoCellAnchor>
    <xdr:from>
      <xdr:col>0</xdr:col>
      <xdr:colOff>0</xdr:colOff>
      <xdr:row>6</xdr:row>
      <xdr:rowOff>76200</xdr:rowOff>
    </xdr:from>
    <xdr:to>
      <xdr:col>7</xdr:col>
      <xdr:colOff>373350</xdr:colOff>
      <xdr:row>10</xdr:row>
      <xdr:rowOff>46900</xdr:rowOff>
    </xdr:to>
    <xdr:sp macro="" textlink="q4_8_12_16_25_37_Fig_b!$AD$13">
      <xdr:nvSpPr>
        <xdr:cNvPr id="39" name="CaixaDeTexto 38">
          <a:extLst>
            <a:ext uri="{FF2B5EF4-FFF2-40B4-BE49-F238E27FC236}">
              <a16:creationId xmlns:a16="http://schemas.microsoft.com/office/drawing/2014/main" id="{00000000-0008-0000-0600-000027000000}"/>
            </a:ext>
          </a:extLst>
        </xdr:cNvPr>
        <xdr:cNvSpPr txBox="1"/>
      </xdr:nvSpPr>
      <xdr:spPr>
        <a:xfrm>
          <a:off x="0" y="1231900"/>
          <a:ext cx="4507200" cy="720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074DC16D-E912-4F3E-929B-306D21646FF7}" type="TxLink">
            <a:rPr lang="en-US" sz="900" b="1" i="0" u="none" strike="noStrike">
              <a:solidFill>
                <a:srgbClr val="17375E"/>
              </a:solidFill>
              <a:latin typeface="Calibri"/>
              <a:ea typeface="+mn-ea"/>
              <a:cs typeface="Calibri"/>
            </a:rPr>
            <a:pPr marL="0" indent="0" algn="l"/>
            <a:t>2024:
A região Área Metropolitana de Lisboa era a sede de 74.148 empresas (variação de 9,8% face a 2014, ou seja, mais 6.609) e era a localização de 87.949 estabelecimentos (variação de 7,6% face a 2014, ou seja, mais 6.243).</a:t>
          </a:fld>
          <a:endParaRPr lang="pt-PT" sz="900" b="1" i="0" u="none" strike="noStrike">
            <a:solidFill>
              <a:srgbClr val="17375E"/>
            </a:solidFill>
            <a:latin typeface="Calibri"/>
            <a:ea typeface="+mn-ea"/>
            <a:cs typeface="Calibri"/>
          </a:endParaRPr>
        </a:p>
      </xdr:txBody>
    </xdr:sp>
    <xdr:clientData/>
  </xdr:twoCellAnchor>
  <xdr:twoCellAnchor>
    <xdr:from>
      <xdr:col>7</xdr:col>
      <xdr:colOff>425450</xdr:colOff>
      <xdr:row>6</xdr:row>
      <xdr:rowOff>88900</xdr:rowOff>
    </xdr:from>
    <xdr:to>
      <xdr:col>15</xdr:col>
      <xdr:colOff>179750</xdr:colOff>
      <xdr:row>10</xdr:row>
      <xdr:rowOff>59600</xdr:rowOff>
    </xdr:to>
    <xdr:sp macro="" textlink="q4_8_12_16_25_37_Fig_b!$AD$45">
      <xdr:nvSpPr>
        <xdr:cNvPr id="40" name="CaixaDeTexto 39">
          <a:extLst>
            <a:ext uri="{FF2B5EF4-FFF2-40B4-BE49-F238E27FC236}">
              <a16:creationId xmlns:a16="http://schemas.microsoft.com/office/drawing/2014/main" id="{00000000-0008-0000-0600-000028000000}"/>
            </a:ext>
          </a:extLst>
        </xdr:cNvPr>
        <xdr:cNvSpPr txBox="1"/>
      </xdr:nvSpPr>
      <xdr:spPr>
        <a:xfrm>
          <a:off x="4359275" y="1279525"/>
          <a:ext cx="4212000" cy="7327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91375AB4-4569-49DE-98BC-314E3EE2560A}" type="TxLink">
            <a:rPr lang="en-US" sz="900" b="1" i="0" u="none" strike="noStrike">
              <a:solidFill>
                <a:srgbClr val="17375E"/>
              </a:solidFill>
              <a:latin typeface="Calibri"/>
              <a:ea typeface="+mn-ea"/>
              <a:cs typeface="Calibri"/>
            </a:rPr>
            <a:pPr marL="0" indent="0" algn="l"/>
            <a:t>2024:
As empresas da região Área Metropolitana de Lisboa tinham ao seu serviço 1.174.107 pessoas (variação de 39% face a 2014, ou seja, mais 329.389) e tinham 1.124.021 TCO (variação de 40,9% face a 2014, ou seja, mais 326.022).</a:t>
          </a:fld>
          <a:endParaRPr lang="pt-PT" sz="900" b="1" i="0" u="none" strike="noStrike">
            <a:solidFill>
              <a:srgbClr val="17375E"/>
            </a:solidFill>
            <a:latin typeface="Calibri"/>
            <a:ea typeface="+mn-ea"/>
            <a:cs typeface="Calibri"/>
          </a:endParaRPr>
        </a:p>
      </xdr:txBody>
    </xdr:sp>
    <xdr:clientData/>
  </xdr:twoCellAnchor>
  <xdr:twoCellAnchor>
    <xdr:from>
      <xdr:col>15</xdr:col>
      <xdr:colOff>222300</xdr:colOff>
      <xdr:row>6</xdr:row>
      <xdr:rowOff>82550</xdr:rowOff>
    </xdr:from>
    <xdr:to>
      <xdr:col>22</xdr:col>
      <xdr:colOff>547125</xdr:colOff>
      <xdr:row>10</xdr:row>
      <xdr:rowOff>54950</xdr:rowOff>
    </xdr:to>
    <xdr:sp macro="" textlink="q4_8_12_16_25_37_Fig_b!$AD$79">
      <xdr:nvSpPr>
        <xdr:cNvPr id="41" name="CaixaDeTexto 40">
          <a:extLst>
            <a:ext uri="{FF2B5EF4-FFF2-40B4-BE49-F238E27FC236}">
              <a16:creationId xmlns:a16="http://schemas.microsoft.com/office/drawing/2014/main" id="{00000000-0008-0000-0600-000029000000}"/>
            </a:ext>
          </a:extLst>
        </xdr:cNvPr>
        <xdr:cNvSpPr txBox="1"/>
      </xdr:nvSpPr>
      <xdr:spPr>
        <a:xfrm>
          <a:off x="8613825" y="1273175"/>
          <a:ext cx="4392000" cy="7344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AE3AAD79-E2E8-4D49-A3B2-DF2901108A28}" type="TxLink">
            <a:rPr lang="en-US" sz="900" b="1" i="0" u="none" strike="noStrike">
              <a:solidFill>
                <a:srgbClr val="17375E"/>
              </a:solidFill>
              <a:latin typeface="Calibri"/>
              <a:ea typeface="+mn-ea"/>
              <a:cs typeface="Calibri"/>
            </a:rPr>
            <a:pPr marL="0" indent="0" algn="l"/>
            <a:t>2024:
Na região Área Metropolitana de Lisboa a remuneração média mensal base era de 1.554 euros (var. de 36,4% face a 2014, ou seja, + 414,8 euros) e de 1.881 euros a remuneração média mensal ganho (variação de 36,5% face a 2014, ou seja , + 502,6 euros).</a:t>
          </a:fld>
          <a:endParaRPr lang="pt-PT" sz="900" b="1" i="0" u="none" strike="noStrike">
            <a:solidFill>
              <a:srgbClr val="17375E"/>
            </a:solidFill>
            <a:latin typeface="Calibri"/>
            <a:ea typeface="+mn-ea"/>
            <a:cs typeface="Calibri"/>
          </a:endParaRPr>
        </a:p>
      </xdr:txBody>
    </xdr:sp>
    <xdr:clientData/>
  </xdr:twoCellAnchor>
  <xdr:twoCellAnchor>
    <xdr:from>
      <xdr:col>21</xdr:col>
      <xdr:colOff>26837</xdr:colOff>
      <xdr:row>0</xdr:row>
      <xdr:rowOff>85725</xdr:rowOff>
    </xdr:from>
    <xdr:to>
      <xdr:col>22</xdr:col>
      <xdr:colOff>479328</xdr:colOff>
      <xdr:row>1</xdr:row>
      <xdr:rowOff>132652</xdr:rowOff>
    </xdr:to>
    <xdr:sp macro="" textlink="">
      <xdr:nvSpPr>
        <xdr:cNvPr id="42" name="Text Box 10">
          <a:hlinkClick xmlns:r="http://schemas.openxmlformats.org/officeDocument/2006/relationships" r:id="rId4"/>
          <a:extLst>
            <a:ext uri="{FF2B5EF4-FFF2-40B4-BE49-F238E27FC236}">
              <a16:creationId xmlns:a16="http://schemas.microsoft.com/office/drawing/2014/main" id="{00000000-0008-0000-0600-00002A000000}"/>
            </a:ext>
          </a:extLst>
        </xdr:cNvPr>
        <xdr:cNvSpPr txBox="1">
          <a:spLocks noChangeArrowheads="1"/>
        </xdr:cNvSpPr>
      </xdr:nvSpPr>
      <xdr:spPr bwMode="auto">
        <a:xfrm>
          <a:off x="12498237" y="85725"/>
          <a:ext cx="1062091" cy="23107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twoCellAnchor>
    <xdr:from>
      <xdr:col>0</xdr:col>
      <xdr:colOff>82550</xdr:colOff>
      <xdr:row>24</xdr:row>
      <xdr:rowOff>60325</xdr:rowOff>
    </xdr:from>
    <xdr:to>
      <xdr:col>7</xdr:col>
      <xdr:colOff>428021</xdr:colOff>
      <xdr:row>31</xdr:row>
      <xdr:rowOff>94113</xdr:rowOff>
    </xdr:to>
    <xdr:grpSp>
      <xdr:nvGrpSpPr>
        <xdr:cNvPr id="5" name="Agrupar 4">
          <a:extLst>
            <a:ext uri="{FF2B5EF4-FFF2-40B4-BE49-F238E27FC236}">
              <a16:creationId xmlns:a16="http://schemas.microsoft.com/office/drawing/2014/main" id="{00000000-0008-0000-0600-000005000000}"/>
            </a:ext>
          </a:extLst>
        </xdr:cNvPr>
        <xdr:cNvGrpSpPr/>
      </xdr:nvGrpSpPr>
      <xdr:grpSpPr>
        <a:xfrm>
          <a:off x="82550" y="4679950"/>
          <a:ext cx="4279296" cy="1367288"/>
          <a:chOff x="82550" y="4679950"/>
          <a:chExt cx="4279296" cy="1367288"/>
        </a:xfrm>
      </xdr:grpSpPr>
      <xdr:grpSp>
        <xdr:nvGrpSpPr>
          <xdr:cNvPr id="2" name="Agrupar 1">
            <a:extLst>
              <a:ext uri="{FF2B5EF4-FFF2-40B4-BE49-F238E27FC236}">
                <a16:creationId xmlns:a16="http://schemas.microsoft.com/office/drawing/2014/main" id="{00000000-0008-0000-0600-000002000000}"/>
              </a:ext>
            </a:extLst>
          </xdr:cNvPr>
          <xdr:cNvGrpSpPr/>
        </xdr:nvGrpSpPr>
        <xdr:grpSpPr>
          <a:xfrm>
            <a:off x="144116" y="4679950"/>
            <a:ext cx="4217730" cy="468000"/>
            <a:chOff x="27137591" y="6707909"/>
            <a:chExt cx="3833088" cy="561600"/>
          </a:xfrm>
        </xdr:grpSpPr>
        <xdr:grpSp>
          <xdr:nvGrpSpPr>
            <xdr:cNvPr id="3" name="Agrupar 2">
              <a:extLst>
                <a:ext uri="{FF2B5EF4-FFF2-40B4-BE49-F238E27FC236}">
                  <a16:creationId xmlns:a16="http://schemas.microsoft.com/office/drawing/2014/main" id="{00000000-0008-0000-0600-000003000000}"/>
                </a:ext>
              </a:extLst>
            </xdr:cNvPr>
            <xdr:cNvGrpSpPr/>
          </xdr:nvGrpSpPr>
          <xdr:grpSpPr>
            <a:xfrm>
              <a:off x="27137591" y="6875718"/>
              <a:ext cx="2083575" cy="246652"/>
              <a:chOff x="120650" y="4292600"/>
              <a:chExt cx="2076453" cy="247580"/>
            </a:xfrm>
          </xdr:grpSpPr>
          <mc:AlternateContent xmlns:mc="http://schemas.openxmlformats.org/markup-compatibility/2006">
            <mc:Choice xmlns:a14="http://schemas.microsoft.com/office/drawing/2010/main" Requires="a14">
              <xdr:sp macro="" textlink="">
                <xdr:nvSpPr>
                  <xdr:cNvPr id="510977" name="Drop Down 1" hidden="1">
                    <a:extLst>
                      <a:ext uri="{63B3BB69-23CF-44E3-9099-C40C66FF867C}">
                        <a14:compatExt spid="_x0000_s510977"/>
                      </a:ext>
                      <a:ext uri="{FF2B5EF4-FFF2-40B4-BE49-F238E27FC236}">
                        <a16:creationId xmlns:a16="http://schemas.microsoft.com/office/drawing/2014/main" id="{00000000-0008-0000-0600-000001CC0700}"/>
                      </a:ext>
                    </a:extLst>
                  </xdr:cNvPr>
                  <xdr:cNvSpPr/>
                </xdr:nvSpPr>
                <xdr:spPr bwMode="auto">
                  <a:xfrm>
                    <a:off x="1524003" y="4298879"/>
                    <a:ext cx="673100" cy="241301"/>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6" name="Text Box 10">
                <a:extLst>
                  <a:ext uri="{FF2B5EF4-FFF2-40B4-BE49-F238E27FC236}">
                    <a16:creationId xmlns:a16="http://schemas.microsoft.com/office/drawing/2014/main" id="{00000000-0008-0000-0600-000006000000}"/>
                  </a:ext>
                </a:extLst>
              </xdr:cNvPr>
              <xdr:cNvSpPr txBox="1">
                <a:spLocks noChangeArrowheads="1"/>
              </xdr:cNvSpPr>
            </xdr:nvSpPr>
            <xdr:spPr bwMode="auto">
              <a:xfrm>
                <a:off x="120650" y="4292600"/>
                <a:ext cx="1346200" cy="241300"/>
              </a:xfrm>
              <a:prstGeom prst="rect">
                <a:avLst/>
              </a:prstGeom>
              <a:solidFill>
                <a:srgbClr val="00467A"/>
              </a:solidFill>
              <a:ln>
                <a:noFill/>
              </a:ln>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xdr:grpSp>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29394725" y="6707909"/>
            <a:ext cx="1575954" cy="561600"/>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q4_8_12_16_25_37_Fig_b!$AW$92">
        <xdr:nvSpPr>
          <xdr:cNvPr id="95" name="CaixaDeTexto 94">
            <a:extLst>
              <a:ext uri="{FF2B5EF4-FFF2-40B4-BE49-F238E27FC236}">
                <a16:creationId xmlns:a16="http://schemas.microsoft.com/office/drawing/2014/main" id="{00000000-0008-0000-0600-00005F000000}"/>
              </a:ext>
            </a:extLst>
          </xdr:cNvPr>
          <xdr:cNvSpPr txBox="1"/>
        </xdr:nvSpPr>
        <xdr:spPr>
          <a:xfrm>
            <a:off x="82550" y="5073651"/>
            <a:ext cx="2052000" cy="972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822A96AB-2F0C-4224-BC4D-354283AE0471}" type="TxLink">
              <a:rPr lang="en-US" sz="800" b="1" i="0" u="none" strike="noStrike">
                <a:solidFill>
                  <a:srgbClr val="19375E"/>
                </a:solidFill>
                <a:latin typeface="Calibri"/>
                <a:ea typeface="+mn-ea"/>
                <a:cs typeface="Calibri"/>
              </a:rPr>
              <a:pPr marL="0" indent="0" algn="l"/>
              <a:t>EMPRESAS
NUTS II Área Metropolitana de Lisboa: 74.148 (25,7% do Continente; 2ª região de 5)
Esta NUTS II coincide com a NUTS III.</a:t>
            </a:fld>
            <a:endParaRPr lang="pt-PT" sz="800" b="1" i="0" u="none" strike="noStrike">
              <a:solidFill>
                <a:srgbClr val="19375E"/>
              </a:solidFill>
              <a:latin typeface="Calibri"/>
              <a:ea typeface="+mn-ea"/>
              <a:cs typeface="Calibri"/>
            </a:endParaRPr>
          </a:p>
        </xdr:txBody>
      </xdr:sp>
      <xdr:sp macro="" textlink="q4_8_12_16_25_37_Fig_b!$AW$112">
        <xdr:nvSpPr>
          <xdr:cNvPr id="96" name="CaixaDeTexto 95">
            <a:extLst>
              <a:ext uri="{FF2B5EF4-FFF2-40B4-BE49-F238E27FC236}">
                <a16:creationId xmlns:a16="http://schemas.microsoft.com/office/drawing/2014/main" id="{00000000-0008-0000-0600-000060000000}"/>
              </a:ext>
            </a:extLst>
          </xdr:cNvPr>
          <xdr:cNvSpPr txBox="1"/>
        </xdr:nvSpPr>
        <xdr:spPr>
          <a:xfrm>
            <a:off x="2199369" y="5075238"/>
            <a:ext cx="2052000" cy="972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CBFBBB1D-5B8A-441E-83DC-AD5A5F344949}" type="TxLink">
              <a:rPr lang="en-US" sz="800" b="1" i="0" u="none" strike="noStrike">
                <a:solidFill>
                  <a:srgbClr val="19375E"/>
                </a:solidFill>
                <a:latin typeface="Calibri"/>
                <a:ea typeface="+mn-ea"/>
                <a:cs typeface="Calibri"/>
              </a:rPr>
              <a:pPr marL="0" indent="0" algn="l"/>
              <a:t>ESTABELECIMENTOS
NUTS II Área Metropolitana de Lisboa: 87.949 (26,0% do Continente; 2ª região de 5)
Esta NUTS II coincide com a NUTS III.</a:t>
            </a:fld>
            <a:endParaRPr lang="pt-PT" sz="800" b="1" i="0" u="none" strike="noStrike">
              <a:solidFill>
                <a:srgbClr val="19375E"/>
              </a:solidFill>
              <a:latin typeface="Calibri"/>
              <a:ea typeface="+mn-ea"/>
              <a:cs typeface="Calibri"/>
            </a:endParaRPr>
          </a:p>
        </xdr:txBody>
      </xdr:sp>
    </xdr:grpSp>
    <xdr:clientData/>
  </xdr:twoCellAnchor>
  <xdr:twoCellAnchor>
    <xdr:from>
      <xdr:col>7</xdr:col>
      <xdr:colOff>542925</xdr:colOff>
      <xdr:row>24</xdr:row>
      <xdr:rowOff>60324</xdr:rowOff>
    </xdr:from>
    <xdr:to>
      <xdr:col>15</xdr:col>
      <xdr:colOff>244518</xdr:colOff>
      <xdr:row>31</xdr:row>
      <xdr:rowOff>108400</xdr:rowOff>
    </xdr:to>
    <xdr:grpSp>
      <xdr:nvGrpSpPr>
        <xdr:cNvPr id="19" name="Agrupar 18">
          <a:extLst>
            <a:ext uri="{FF2B5EF4-FFF2-40B4-BE49-F238E27FC236}">
              <a16:creationId xmlns:a16="http://schemas.microsoft.com/office/drawing/2014/main" id="{00000000-0008-0000-0600-000013000000}"/>
            </a:ext>
          </a:extLst>
        </xdr:cNvPr>
        <xdr:cNvGrpSpPr/>
      </xdr:nvGrpSpPr>
      <xdr:grpSpPr>
        <a:xfrm>
          <a:off x="4476750" y="4679949"/>
          <a:ext cx="4159293" cy="1381576"/>
          <a:chOff x="4476750" y="4679949"/>
          <a:chExt cx="4159293" cy="1381576"/>
        </a:xfrm>
      </xdr:grpSpPr>
      <xdr:grpSp>
        <xdr:nvGrpSpPr>
          <xdr:cNvPr id="57" name="Agrupar 56">
            <a:extLst>
              <a:ext uri="{FF2B5EF4-FFF2-40B4-BE49-F238E27FC236}">
                <a16:creationId xmlns:a16="http://schemas.microsoft.com/office/drawing/2014/main" id="{00000000-0008-0000-0600-000039000000}"/>
              </a:ext>
            </a:extLst>
          </xdr:cNvPr>
          <xdr:cNvGrpSpPr/>
        </xdr:nvGrpSpPr>
        <xdr:grpSpPr>
          <a:xfrm>
            <a:off x="4687300" y="4679949"/>
            <a:ext cx="3852369" cy="468000"/>
            <a:chOff x="4595774" y="4832536"/>
            <a:chExt cx="3839462" cy="492334"/>
          </a:xfrm>
        </xdr:grpSpPr>
        <xdr:grpSp>
          <xdr:nvGrpSpPr>
            <xdr:cNvPr id="58" name="Agrupar 57">
              <a:extLst>
                <a:ext uri="{FF2B5EF4-FFF2-40B4-BE49-F238E27FC236}">
                  <a16:creationId xmlns:a16="http://schemas.microsoft.com/office/drawing/2014/main" id="{00000000-0008-0000-0600-00003A000000}"/>
                </a:ext>
              </a:extLst>
            </xdr:cNvPr>
            <xdr:cNvGrpSpPr/>
          </xdr:nvGrpSpPr>
          <xdr:grpSpPr>
            <a:xfrm>
              <a:off x="4595774" y="4969291"/>
              <a:ext cx="2250599" cy="210038"/>
              <a:chOff x="5127622" y="4549780"/>
              <a:chExt cx="2051024" cy="241300"/>
            </a:xfrm>
          </xdr:grpSpPr>
          <xdr:sp macro="" textlink="">
            <xdr:nvSpPr>
              <xdr:cNvPr id="60" name="Text Box 10">
                <a:extLst>
                  <a:ext uri="{FF2B5EF4-FFF2-40B4-BE49-F238E27FC236}">
                    <a16:creationId xmlns:a16="http://schemas.microsoft.com/office/drawing/2014/main" id="{00000000-0008-0000-0600-00003C000000}"/>
                  </a:ext>
                </a:extLst>
              </xdr:cNvPr>
              <xdr:cNvSpPr txBox="1">
                <a:spLocks noChangeArrowheads="1"/>
              </xdr:cNvSpPr>
            </xdr:nvSpPr>
            <xdr:spPr bwMode="auto">
              <a:xfrm>
                <a:off x="5127622" y="4549780"/>
                <a:ext cx="1346200" cy="241300"/>
              </a:xfrm>
              <a:prstGeom prst="rect">
                <a:avLst/>
              </a:prstGeom>
              <a:solidFill>
                <a:srgbClr val="00467A"/>
              </a:solidFill>
              <a:ln>
                <a:noFill/>
              </a:ln>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510979" name="Drop Down 3" hidden="1">
                    <a:extLst>
                      <a:ext uri="{63B3BB69-23CF-44E3-9099-C40C66FF867C}">
                        <a14:compatExt spid="_x0000_s510979"/>
                      </a:ext>
                      <a:ext uri="{FF2B5EF4-FFF2-40B4-BE49-F238E27FC236}">
                        <a16:creationId xmlns:a16="http://schemas.microsoft.com/office/drawing/2014/main" id="{00000000-0008-0000-0600-000003CC0700}"/>
                      </a:ext>
                    </a:extLst>
                  </xdr:cNvPr>
                  <xdr:cNvSpPr/>
                </xdr:nvSpPr>
                <xdr:spPr bwMode="auto">
                  <a:xfrm>
                    <a:off x="6505556" y="4549780"/>
                    <a:ext cx="673090" cy="241201"/>
                  </a:xfrm>
                  <a:prstGeom prst="rect">
                    <a:avLst/>
                  </a:prstGeom>
                  <a:noFill/>
                  <a:ln>
                    <a:noFill/>
                  </a:ln>
                  <a:extLst>
                    <a:ext uri="{91240B29-F687-4F45-9708-019B960494DF}">
                      <a14:hiddenLine w="9525">
                        <a:noFill/>
                        <a:miter lim="800000"/>
                        <a:headEnd/>
                        <a:tailEnd/>
                      </a14:hiddenLine>
                    </a:ext>
                  </a:extLst>
                </xdr:spPr>
              </xdr:sp>
            </mc:Choice>
            <mc:Fallback/>
          </mc:AlternateContent>
        </xdr:grpSp>
        <xdr:graphicFrame macro="">
          <xdr:nvGraphicFramePr>
            <xdr:cNvPr id="59" name="Gráfico 58">
              <a:extLst>
                <a:ext uri="{FF2B5EF4-FFF2-40B4-BE49-F238E27FC236}">
                  <a16:creationId xmlns:a16="http://schemas.microsoft.com/office/drawing/2014/main" id="{00000000-0008-0000-0600-00003B000000}"/>
                </a:ext>
              </a:extLst>
            </xdr:cNvPr>
            <xdr:cNvGraphicFramePr>
              <a:graphicFrameLocks/>
            </xdr:cNvGraphicFramePr>
          </xdr:nvGraphicFramePr>
          <xdr:xfrm>
            <a:off x="6947648" y="4832536"/>
            <a:ext cx="1487588" cy="492334"/>
          </xdr:xfrm>
          <a:graphic>
            <a:graphicData uri="http://schemas.openxmlformats.org/drawingml/2006/chart">
              <c:chart xmlns:c="http://schemas.openxmlformats.org/drawingml/2006/chart" xmlns:r="http://schemas.openxmlformats.org/officeDocument/2006/relationships" r:id="rId6"/>
            </a:graphicData>
          </a:graphic>
        </xdr:graphicFrame>
      </xdr:grpSp>
      <xdr:sp macro="" textlink="q4_8_12_16_25_37_Fig_b!$BS$92">
        <xdr:nvSpPr>
          <xdr:cNvPr id="97" name="CaixaDeTexto 96">
            <a:extLst>
              <a:ext uri="{FF2B5EF4-FFF2-40B4-BE49-F238E27FC236}">
                <a16:creationId xmlns:a16="http://schemas.microsoft.com/office/drawing/2014/main" id="{00000000-0008-0000-0600-000061000000}"/>
              </a:ext>
            </a:extLst>
          </xdr:cNvPr>
          <xdr:cNvSpPr txBox="1"/>
        </xdr:nvSpPr>
        <xdr:spPr>
          <a:xfrm>
            <a:off x="4476750" y="5087938"/>
            <a:ext cx="2052000" cy="972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963D28BD-7246-4245-B1BB-45846C47CB25}" type="TxLink">
              <a:rPr lang="en-US" sz="800" b="1" i="0" u="none" strike="noStrike">
                <a:solidFill>
                  <a:srgbClr val="19375E"/>
                </a:solidFill>
                <a:latin typeface="Calibri"/>
                <a:ea typeface="+mn-ea"/>
                <a:cs typeface="Calibri"/>
              </a:rPr>
              <a:pPr marL="0" indent="0" algn="l"/>
              <a:t>PESSOAS AO SERVIÇO
NUTS II Área Metropolitana de Lisboa: 1.174.107 (33,1% do Continente; 2ª região de 5)
Esta NUTS II coincide com a NUTS III.</a:t>
            </a:fld>
            <a:endParaRPr lang="pt-PT" sz="800" b="1" i="0" u="none" strike="noStrike">
              <a:solidFill>
                <a:srgbClr val="19375E"/>
              </a:solidFill>
              <a:latin typeface="Calibri"/>
              <a:ea typeface="+mn-ea"/>
              <a:cs typeface="Calibri"/>
            </a:endParaRPr>
          </a:p>
        </xdr:txBody>
      </xdr:sp>
      <xdr:sp macro="" textlink="q4_8_12_16_25_37_Fig_b!$BS$112">
        <xdr:nvSpPr>
          <xdr:cNvPr id="98" name="CaixaDeTexto 97">
            <a:extLst>
              <a:ext uri="{FF2B5EF4-FFF2-40B4-BE49-F238E27FC236}">
                <a16:creationId xmlns:a16="http://schemas.microsoft.com/office/drawing/2014/main" id="{00000000-0008-0000-0600-000062000000}"/>
              </a:ext>
            </a:extLst>
          </xdr:cNvPr>
          <xdr:cNvSpPr txBox="1"/>
        </xdr:nvSpPr>
        <xdr:spPr>
          <a:xfrm>
            <a:off x="6584043" y="5089525"/>
            <a:ext cx="2052000" cy="972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A7AC8C8C-158E-40A8-AAD6-89C5F9A93A27}" type="TxLink">
              <a:rPr lang="en-US" sz="800" b="1" i="0" u="none" strike="noStrike">
                <a:solidFill>
                  <a:srgbClr val="19375E"/>
                </a:solidFill>
                <a:latin typeface="Calibri"/>
                <a:ea typeface="+mn-ea"/>
                <a:cs typeface="Calibri"/>
              </a:rPr>
              <a:pPr marL="0" indent="0" algn="l"/>
              <a:t>TCO
NUTS II Área Metropolitana de Lisboa: 1.124.021 (33,5% do Continente; 2ª região de 5)
Esta NUTS II coincide com a NUTS III.</a:t>
            </a:fld>
            <a:endParaRPr lang="pt-PT" sz="800" b="1" i="0" u="none" strike="noStrike">
              <a:solidFill>
                <a:srgbClr val="19375E"/>
              </a:solidFill>
              <a:latin typeface="Calibri"/>
              <a:ea typeface="+mn-ea"/>
              <a:cs typeface="Calibri"/>
            </a:endParaRPr>
          </a:p>
        </xdr:txBody>
      </xdr:sp>
    </xdr:grpSp>
    <xdr:clientData/>
  </xdr:twoCellAnchor>
  <xdr:twoCellAnchor>
    <xdr:from>
      <xdr:col>15</xdr:col>
      <xdr:colOff>371475</xdr:colOff>
      <xdr:row>24</xdr:row>
      <xdr:rowOff>60324</xdr:rowOff>
    </xdr:from>
    <xdr:to>
      <xdr:col>22</xdr:col>
      <xdr:colOff>530829</xdr:colOff>
      <xdr:row>31</xdr:row>
      <xdr:rowOff>108400</xdr:rowOff>
    </xdr:to>
    <xdr:grpSp>
      <xdr:nvGrpSpPr>
        <xdr:cNvPr id="43" name="Agrupar 42">
          <a:extLst>
            <a:ext uri="{FF2B5EF4-FFF2-40B4-BE49-F238E27FC236}">
              <a16:creationId xmlns:a16="http://schemas.microsoft.com/office/drawing/2014/main" id="{00000000-0008-0000-0600-00002B000000}"/>
            </a:ext>
          </a:extLst>
        </xdr:cNvPr>
        <xdr:cNvGrpSpPr/>
      </xdr:nvGrpSpPr>
      <xdr:grpSpPr>
        <a:xfrm>
          <a:off x="8763000" y="4679949"/>
          <a:ext cx="4226529" cy="1381576"/>
          <a:chOff x="8810625" y="4679949"/>
          <a:chExt cx="4226529" cy="1381576"/>
        </a:xfrm>
      </xdr:grpSpPr>
      <xdr:grpSp>
        <xdr:nvGrpSpPr>
          <xdr:cNvPr id="90" name="Agrupar 89">
            <a:extLst>
              <a:ext uri="{FF2B5EF4-FFF2-40B4-BE49-F238E27FC236}">
                <a16:creationId xmlns:a16="http://schemas.microsoft.com/office/drawing/2014/main" id="{00000000-0008-0000-0600-00005A000000}"/>
              </a:ext>
            </a:extLst>
          </xdr:cNvPr>
          <xdr:cNvGrpSpPr/>
        </xdr:nvGrpSpPr>
        <xdr:grpSpPr>
          <a:xfrm>
            <a:off x="9147272" y="4679949"/>
            <a:ext cx="3779208" cy="468000"/>
            <a:chOff x="9068935" y="4776508"/>
            <a:chExt cx="3757606" cy="547682"/>
          </a:xfrm>
        </xdr:grpSpPr>
        <xdr:grpSp>
          <xdr:nvGrpSpPr>
            <xdr:cNvPr id="91" name="Agrupar 90">
              <a:extLst>
                <a:ext uri="{FF2B5EF4-FFF2-40B4-BE49-F238E27FC236}">
                  <a16:creationId xmlns:a16="http://schemas.microsoft.com/office/drawing/2014/main" id="{00000000-0008-0000-0600-00005B000000}"/>
                </a:ext>
              </a:extLst>
            </xdr:cNvPr>
            <xdr:cNvGrpSpPr/>
          </xdr:nvGrpSpPr>
          <xdr:grpSpPr>
            <a:xfrm>
              <a:off x="9068935" y="4940852"/>
              <a:ext cx="2257893" cy="223912"/>
              <a:chOff x="9423400" y="4330700"/>
              <a:chExt cx="2063799" cy="247501"/>
            </a:xfrm>
          </xdr:grpSpPr>
          <xdr:sp macro="" textlink="">
            <xdr:nvSpPr>
              <xdr:cNvPr id="93" name="Text Box 10">
                <a:extLst>
                  <a:ext uri="{FF2B5EF4-FFF2-40B4-BE49-F238E27FC236}">
                    <a16:creationId xmlns:a16="http://schemas.microsoft.com/office/drawing/2014/main" id="{00000000-0008-0000-0600-00005D000000}"/>
                  </a:ext>
                </a:extLst>
              </xdr:cNvPr>
              <xdr:cNvSpPr txBox="1">
                <a:spLocks noChangeArrowheads="1"/>
              </xdr:cNvSpPr>
            </xdr:nvSpPr>
            <xdr:spPr bwMode="auto">
              <a:xfrm>
                <a:off x="9423400" y="4330700"/>
                <a:ext cx="1346200" cy="241300"/>
              </a:xfrm>
              <a:prstGeom prst="rect">
                <a:avLst/>
              </a:prstGeom>
              <a:solidFill>
                <a:srgbClr val="00467A"/>
              </a:solidFill>
              <a:ln>
                <a:noFill/>
              </a:ln>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510980" name="Drop Down 4" hidden="1">
                    <a:extLst>
                      <a:ext uri="{63B3BB69-23CF-44E3-9099-C40C66FF867C}">
                        <a14:compatExt spid="_x0000_s510980"/>
                      </a:ext>
                      <a:ext uri="{FF2B5EF4-FFF2-40B4-BE49-F238E27FC236}">
                        <a16:creationId xmlns:a16="http://schemas.microsoft.com/office/drawing/2014/main" id="{00000000-0008-0000-0600-000004CC0700}"/>
                      </a:ext>
                    </a:extLst>
                  </xdr:cNvPr>
                  <xdr:cNvSpPr/>
                </xdr:nvSpPr>
                <xdr:spPr bwMode="auto">
                  <a:xfrm>
                    <a:off x="10814089" y="4336989"/>
                    <a:ext cx="673110" cy="241212"/>
                  </a:xfrm>
                  <a:prstGeom prst="rect">
                    <a:avLst/>
                  </a:prstGeom>
                  <a:noFill/>
                  <a:ln>
                    <a:noFill/>
                  </a:ln>
                  <a:extLst>
                    <a:ext uri="{91240B29-F687-4F45-9708-019B960494DF}">
                      <a14:hiddenLine w="9525">
                        <a:noFill/>
                        <a:miter lim="800000"/>
                        <a:headEnd/>
                        <a:tailEnd/>
                      </a14:hiddenLine>
                    </a:ext>
                  </a:extLst>
                </xdr:spPr>
              </xdr:sp>
            </mc:Choice>
            <mc:Fallback/>
          </mc:AlternateContent>
        </xdr:grpSp>
        <xdr:graphicFrame macro="">
          <xdr:nvGraphicFramePr>
            <xdr:cNvPr id="92" name="Gráfico 91">
              <a:extLst>
                <a:ext uri="{FF2B5EF4-FFF2-40B4-BE49-F238E27FC236}">
                  <a16:creationId xmlns:a16="http://schemas.microsoft.com/office/drawing/2014/main" id="{00000000-0008-0000-0600-00005C000000}"/>
                </a:ext>
              </a:extLst>
            </xdr:cNvPr>
            <xdr:cNvGraphicFramePr>
              <a:graphicFrameLocks/>
            </xdr:cNvGraphicFramePr>
          </xdr:nvGraphicFramePr>
          <xdr:xfrm>
            <a:off x="11338953" y="4776508"/>
            <a:ext cx="1487588" cy="547682"/>
          </xdr:xfrm>
          <a:graphic>
            <a:graphicData uri="http://schemas.openxmlformats.org/drawingml/2006/chart">
              <c:chart xmlns:c="http://schemas.openxmlformats.org/drawingml/2006/chart" xmlns:r="http://schemas.openxmlformats.org/officeDocument/2006/relationships" r:id="rId7"/>
            </a:graphicData>
          </a:graphic>
        </xdr:graphicFrame>
      </xdr:grpSp>
      <xdr:sp macro="" textlink="q4_8_12_16_25_37_Fig_b!$CM$92">
        <xdr:nvSpPr>
          <xdr:cNvPr id="99" name="CaixaDeTexto 98">
            <a:extLst>
              <a:ext uri="{FF2B5EF4-FFF2-40B4-BE49-F238E27FC236}">
                <a16:creationId xmlns:a16="http://schemas.microsoft.com/office/drawing/2014/main" id="{00000000-0008-0000-0600-000063000000}"/>
              </a:ext>
            </a:extLst>
          </xdr:cNvPr>
          <xdr:cNvSpPr txBox="1"/>
        </xdr:nvSpPr>
        <xdr:spPr>
          <a:xfrm>
            <a:off x="8810625" y="5089525"/>
            <a:ext cx="2052000" cy="972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2CAFF5C9-0E5D-48EC-8582-2F908C8A050B}" type="TxLink">
              <a:rPr lang="en-US" sz="800" b="1" i="0" u="none" strike="noStrike">
                <a:solidFill>
                  <a:srgbClr val="19375E"/>
                </a:solidFill>
                <a:latin typeface="Calibri"/>
                <a:ea typeface="+mn-ea"/>
                <a:cs typeface="Calibri"/>
              </a:rPr>
              <a:pPr marL="0" indent="0" algn="l"/>
              <a:t>REMUNERAÇÃO BASE
NUTS II Área Metropolitana de Lisboa: 1.554 euros (18,8% que no Continente; 1ª região de 5)
Esta NUTS II coincide com a NUTS III.</a:t>
            </a:fld>
            <a:endParaRPr lang="pt-PT" sz="800" b="1" i="0" u="none" strike="noStrike">
              <a:solidFill>
                <a:srgbClr val="19375E"/>
              </a:solidFill>
              <a:latin typeface="Calibri"/>
              <a:ea typeface="+mn-ea"/>
              <a:cs typeface="Calibri"/>
            </a:endParaRPr>
          </a:p>
        </xdr:txBody>
      </xdr:sp>
      <xdr:sp macro="" textlink="q4_8_12_16_25_37_Fig_b!$CM$112">
        <xdr:nvSpPr>
          <xdr:cNvPr id="100" name="CaixaDeTexto 99">
            <a:extLst>
              <a:ext uri="{FF2B5EF4-FFF2-40B4-BE49-F238E27FC236}">
                <a16:creationId xmlns:a16="http://schemas.microsoft.com/office/drawing/2014/main" id="{00000000-0008-0000-0600-000064000000}"/>
              </a:ext>
            </a:extLst>
          </xdr:cNvPr>
          <xdr:cNvSpPr txBox="1"/>
        </xdr:nvSpPr>
        <xdr:spPr>
          <a:xfrm>
            <a:off x="10913154" y="5084762"/>
            <a:ext cx="2124000" cy="972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4C34415B-897E-4CFA-B7AD-FD3D109A7BA5}" type="TxLink">
              <a:rPr lang="en-US" sz="800" b="1" i="0" u="none" strike="noStrike">
                <a:solidFill>
                  <a:srgbClr val="19375E"/>
                </a:solidFill>
                <a:latin typeface="Calibri"/>
                <a:ea typeface="+mn-ea"/>
                <a:cs typeface="Calibri"/>
              </a:rPr>
              <a:pPr marL="0" indent="0" algn="l"/>
              <a:t>REMUNERAÇÃO GANHO
NUTS II Área Metropolitana de Lisboa: 1.881 euros (18,8% que no Continente; 1ª região de 5)
Esta NUTS II coincide com a NUTS III.</a:t>
            </a:fld>
            <a:endParaRPr lang="pt-PT" sz="800" b="1" i="0" u="none" strike="noStrike">
              <a:solidFill>
                <a:srgbClr val="19375E"/>
              </a:solidFill>
              <a:latin typeface="Calibri"/>
              <a:ea typeface="+mn-ea"/>
              <a:cs typeface="Calibri"/>
            </a:endParaRPr>
          </a:p>
        </xdr:txBody>
      </xdr:sp>
    </xdr:grpSp>
    <xdr:clientData/>
  </xdr:twoCellAnchor>
  <xdr:twoCellAnchor editAs="oneCell">
    <xdr:from>
      <xdr:col>0</xdr:col>
      <xdr:colOff>83277</xdr:colOff>
      <xdr:row>0</xdr:row>
      <xdr:rowOff>14112</xdr:rowOff>
    </xdr:from>
    <xdr:to>
      <xdr:col>1</xdr:col>
      <xdr:colOff>373260</xdr:colOff>
      <xdr:row>2</xdr:row>
      <xdr:rowOff>10584</xdr:rowOff>
    </xdr:to>
    <xdr:pic>
      <xdr:nvPicPr>
        <xdr:cNvPr id="101" name="Imagem 100" descr="Z:\G_EME_INFOESTAT\5_apoio_pedidos\imagens\logoDGCP_pq.png">
          <a:extLst>
            <a:ext uri="{FF2B5EF4-FFF2-40B4-BE49-F238E27FC236}">
              <a16:creationId xmlns:a16="http://schemas.microsoft.com/office/drawing/2014/main" id="{00000000-0008-0000-0600-000065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3277" y="14112"/>
          <a:ext cx="880533" cy="415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101600</xdr:colOff>
      <xdr:row>31</xdr:row>
      <xdr:rowOff>44450</xdr:rowOff>
    </xdr:from>
    <xdr:to>
      <xdr:col>7</xdr:col>
      <xdr:colOff>395750</xdr:colOff>
      <xdr:row>53</xdr:row>
      <xdr:rowOff>169150</xdr:rowOff>
    </xdr:to>
    <xdr:grpSp>
      <xdr:nvGrpSpPr>
        <xdr:cNvPr id="102" name="Agrupar 101">
          <a:extLst>
            <a:ext uri="{FF2B5EF4-FFF2-40B4-BE49-F238E27FC236}">
              <a16:creationId xmlns:a16="http://schemas.microsoft.com/office/drawing/2014/main" id="{00000000-0008-0000-0600-000066000000}"/>
            </a:ext>
          </a:extLst>
        </xdr:cNvPr>
        <xdr:cNvGrpSpPr/>
      </xdr:nvGrpSpPr>
      <xdr:grpSpPr>
        <a:xfrm>
          <a:off x="101600" y="5997575"/>
          <a:ext cx="4227975" cy="4249025"/>
          <a:chOff x="30321249" y="7816973"/>
          <a:chExt cx="7073901" cy="4444878"/>
        </a:xfrm>
      </xdr:grpSpPr>
      <xdr:grpSp>
        <xdr:nvGrpSpPr>
          <xdr:cNvPr id="103" name="Agrupar 102">
            <a:extLst>
              <a:ext uri="{FF2B5EF4-FFF2-40B4-BE49-F238E27FC236}">
                <a16:creationId xmlns:a16="http://schemas.microsoft.com/office/drawing/2014/main" id="{00000000-0008-0000-0600-000067000000}"/>
              </a:ext>
            </a:extLst>
          </xdr:cNvPr>
          <xdr:cNvGrpSpPr/>
        </xdr:nvGrpSpPr>
        <xdr:grpSpPr>
          <a:xfrm>
            <a:off x="33350200" y="7956550"/>
            <a:ext cx="4044950" cy="4278927"/>
            <a:chOff x="36995100" y="7382327"/>
            <a:chExt cx="4518701" cy="6122723"/>
          </a:xfrm>
        </xdr:grpSpPr>
        <xdr:pic>
          <xdr:nvPicPr>
            <xdr:cNvPr id="105" name="Imagem 104" descr="C:\Users\lsbgep7346\Downloads\ChatGPT Image 11_05_2026, 15_30_11.png">
              <a:extLst>
                <a:ext uri="{FF2B5EF4-FFF2-40B4-BE49-F238E27FC236}">
                  <a16:creationId xmlns:a16="http://schemas.microsoft.com/office/drawing/2014/main" id="{00000000-0008-0000-0600-000069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6995100" y="7385050"/>
              <a:ext cx="4518701" cy="6120000"/>
            </a:xfrm>
            <a:prstGeom prst="rect">
              <a:avLst/>
            </a:prstGeom>
            <a:noFill/>
            <a:extLst>
              <a:ext uri="{909E8E84-426E-40DD-AFC4-6F175D3DCCD1}">
                <a14:hiddenFill xmlns:a14="http://schemas.microsoft.com/office/drawing/2010/main">
                  <a:solidFill>
                    <a:srgbClr val="FFFFFF"/>
                  </a:solidFill>
                </a14:hiddenFill>
              </a:ext>
            </a:extLst>
          </xdr:spPr>
        </xdr:pic>
        <xdr:graphicFrame macro="">
          <xdr:nvGraphicFramePr>
            <xdr:cNvPr id="106" name="Gráfico 105">
              <a:extLst>
                <a:ext uri="{FF2B5EF4-FFF2-40B4-BE49-F238E27FC236}">
                  <a16:creationId xmlns:a16="http://schemas.microsoft.com/office/drawing/2014/main" id="{00000000-0008-0000-0600-00006A000000}"/>
                </a:ext>
              </a:extLst>
            </xdr:cNvPr>
            <xdr:cNvGraphicFramePr/>
          </xdr:nvGraphicFramePr>
          <xdr:xfrm>
            <a:off x="39529484" y="7382327"/>
            <a:ext cx="1037513" cy="1222766"/>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07" name="Gráfico 106">
              <a:extLst>
                <a:ext uri="{FF2B5EF4-FFF2-40B4-BE49-F238E27FC236}">
                  <a16:creationId xmlns:a16="http://schemas.microsoft.com/office/drawing/2014/main" id="{00000000-0008-0000-0600-00006B000000}"/>
                </a:ext>
              </a:extLst>
            </xdr:cNvPr>
            <xdr:cNvGraphicFramePr>
              <a:graphicFrameLocks/>
            </xdr:cNvGraphicFramePr>
          </xdr:nvGraphicFramePr>
          <xdr:xfrm>
            <a:off x="38276078" y="8919302"/>
            <a:ext cx="1037512" cy="1495413"/>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08" name="Gráfico 107">
              <a:extLst>
                <a:ext uri="{FF2B5EF4-FFF2-40B4-BE49-F238E27FC236}">
                  <a16:creationId xmlns:a16="http://schemas.microsoft.com/office/drawing/2014/main" id="{00000000-0008-0000-0600-00006C000000}"/>
                </a:ext>
              </a:extLst>
            </xdr:cNvPr>
            <xdr:cNvGraphicFramePr>
              <a:graphicFrameLocks/>
            </xdr:cNvGraphicFramePr>
          </xdr:nvGraphicFramePr>
          <xdr:xfrm>
            <a:off x="38033774" y="10815392"/>
            <a:ext cx="972154" cy="2613837"/>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09" name="Gráfico 108">
              <a:extLst>
                <a:ext uri="{FF2B5EF4-FFF2-40B4-BE49-F238E27FC236}">
                  <a16:creationId xmlns:a16="http://schemas.microsoft.com/office/drawing/2014/main" id="{00000000-0008-0000-0600-00006D000000}"/>
                </a:ext>
              </a:extLst>
            </xdr:cNvPr>
            <xdr:cNvGraphicFramePr>
              <a:graphicFrameLocks/>
            </xdr:cNvGraphicFramePr>
          </xdr:nvGraphicFramePr>
          <xdr:xfrm>
            <a:off x="37591389" y="9425303"/>
            <a:ext cx="1037513" cy="2311181"/>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10" name="Gráfico 109">
              <a:extLst>
                <a:ext uri="{FF2B5EF4-FFF2-40B4-BE49-F238E27FC236}">
                  <a16:creationId xmlns:a16="http://schemas.microsoft.com/office/drawing/2014/main" id="{00000000-0008-0000-0600-00006E000000}"/>
                </a:ext>
              </a:extLst>
            </xdr:cNvPr>
            <xdr:cNvGraphicFramePr>
              <a:graphicFrameLocks/>
            </xdr:cNvGraphicFramePr>
          </xdr:nvGraphicFramePr>
          <xdr:xfrm>
            <a:off x="38963600" y="9347200"/>
            <a:ext cx="972154" cy="2613837"/>
          </xdr:xfrm>
          <a:graphic>
            <a:graphicData uri="http://schemas.openxmlformats.org/drawingml/2006/chart">
              <c:chart xmlns:c="http://schemas.openxmlformats.org/drawingml/2006/chart" xmlns:r="http://schemas.openxmlformats.org/officeDocument/2006/relationships" r:id="rId14"/>
            </a:graphicData>
          </a:graphic>
        </xdr:graphicFrame>
      </xdr:grpSp>
      <xdr:graphicFrame macro="">
        <xdr:nvGraphicFramePr>
          <xdr:cNvPr id="104" name="Gráfico 103">
            <a:extLst>
              <a:ext uri="{FF2B5EF4-FFF2-40B4-BE49-F238E27FC236}">
                <a16:creationId xmlns:a16="http://schemas.microsoft.com/office/drawing/2014/main" id="{00000000-0008-0000-0600-000068000000}"/>
              </a:ext>
            </a:extLst>
          </xdr:cNvPr>
          <xdr:cNvGraphicFramePr/>
        </xdr:nvGraphicFramePr>
        <xdr:xfrm>
          <a:off x="30321249" y="7816973"/>
          <a:ext cx="4065773" cy="4444878"/>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7</xdr:col>
      <xdr:colOff>520700</xdr:colOff>
      <xdr:row>31</xdr:row>
      <xdr:rowOff>152400</xdr:rowOff>
    </xdr:from>
    <xdr:to>
      <xdr:col>15</xdr:col>
      <xdr:colOff>268750</xdr:colOff>
      <xdr:row>54</xdr:row>
      <xdr:rowOff>92950</xdr:rowOff>
    </xdr:to>
    <xdr:grpSp>
      <xdr:nvGrpSpPr>
        <xdr:cNvPr id="111" name="Agrupar 110">
          <a:extLst>
            <a:ext uri="{FF2B5EF4-FFF2-40B4-BE49-F238E27FC236}">
              <a16:creationId xmlns:a16="http://schemas.microsoft.com/office/drawing/2014/main" id="{00000000-0008-0000-0600-00006F000000}"/>
            </a:ext>
          </a:extLst>
        </xdr:cNvPr>
        <xdr:cNvGrpSpPr/>
      </xdr:nvGrpSpPr>
      <xdr:grpSpPr>
        <a:xfrm>
          <a:off x="4454525" y="6105525"/>
          <a:ext cx="4205750" cy="4236325"/>
          <a:chOff x="53873400" y="8053105"/>
          <a:chExt cx="4776849" cy="4722845"/>
        </a:xfrm>
      </xdr:grpSpPr>
      <xdr:grpSp>
        <xdr:nvGrpSpPr>
          <xdr:cNvPr id="112" name="Agrupar 111">
            <a:extLst>
              <a:ext uri="{FF2B5EF4-FFF2-40B4-BE49-F238E27FC236}">
                <a16:creationId xmlns:a16="http://schemas.microsoft.com/office/drawing/2014/main" id="{00000000-0008-0000-0600-000070000000}"/>
              </a:ext>
            </a:extLst>
          </xdr:cNvPr>
          <xdr:cNvGrpSpPr/>
        </xdr:nvGrpSpPr>
        <xdr:grpSpPr>
          <a:xfrm>
            <a:off x="56089441" y="8053105"/>
            <a:ext cx="2560808" cy="4359658"/>
            <a:chOff x="56165641" y="7995955"/>
            <a:chExt cx="2560808" cy="4359658"/>
          </a:xfrm>
        </xdr:grpSpPr>
        <xdr:pic>
          <xdr:nvPicPr>
            <xdr:cNvPr id="114" name="Imagem 113" descr="C:\Users\lsbgep7346\Downloads\ChatGPT Image 11_05_2026, 15_30_11.png">
              <a:extLst>
                <a:ext uri="{FF2B5EF4-FFF2-40B4-BE49-F238E27FC236}">
                  <a16:creationId xmlns:a16="http://schemas.microsoft.com/office/drawing/2014/main" id="{00000000-0008-0000-0600-000072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6165641" y="8035941"/>
              <a:ext cx="2560808" cy="4319672"/>
            </a:xfrm>
            <a:prstGeom prst="rect">
              <a:avLst/>
            </a:prstGeom>
            <a:noFill/>
            <a:extLst>
              <a:ext uri="{909E8E84-426E-40DD-AFC4-6F175D3DCCD1}">
                <a14:hiddenFill xmlns:a14="http://schemas.microsoft.com/office/drawing/2010/main">
                  <a:solidFill>
                    <a:srgbClr val="FFFFFF"/>
                  </a:solidFill>
                </a14:hiddenFill>
              </a:ext>
            </a:extLst>
          </xdr:spPr>
        </xdr:pic>
        <xdr:graphicFrame macro="">
          <xdr:nvGraphicFramePr>
            <xdr:cNvPr id="115" name="Gráfico 114">
              <a:extLst>
                <a:ext uri="{FF2B5EF4-FFF2-40B4-BE49-F238E27FC236}">
                  <a16:creationId xmlns:a16="http://schemas.microsoft.com/office/drawing/2014/main" id="{00000000-0008-0000-0600-000073000000}"/>
                </a:ext>
              </a:extLst>
            </xdr:cNvPr>
            <xdr:cNvGraphicFramePr>
              <a:graphicFrameLocks/>
            </xdr:cNvGraphicFramePr>
          </xdr:nvGraphicFramePr>
          <xdr:xfrm>
            <a:off x="56714672" y="9542367"/>
            <a:ext cx="663023" cy="2782983"/>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116" name="Gráfico 115">
              <a:extLst>
                <a:ext uri="{FF2B5EF4-FFF2-40B4-BE49-F238E27FC236}">
                  <a16:creationId xmlns:a16="http://schemas.microsoft.com/office/drawing/2014/main" id="{00000000-0008-0000-0600-000074000000}"/>
                </a:ext>
              </a:extLst>
            </xdr:cNvPr>
            <xdr:cNvGraphicFramePr>
              <a:graphicFrameLocks/>
            </xdr:cNvGraphicFramePr>
          </xdr:nvGraphicFramePr>
          <xdr:xfrm>
            <a:off x="57291225" y="8826500"/>
            <a:ext cx="707598" cy="2275961"/>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117" name="Gráfico 116">
              <a:extLst>
                <a:ext uri="{FF2B5EF4-FFF2-40B4-BE49-F238E27FC236}">
                  <a16:creationId xmlns:a16="http://schemas.microsoft.com/office/drawing/2014/main" id="{00000000-0008-0000-0600-000075000000}"/>
                </a:ext>
              </a:extLst>
            </xdr:cNvPr>
            <xdr:cNvGraphicFramePr>
              <a:graphicFrameLocks/>
            </xdr:cNvGraphicFramePr>
          </xdr:nvGraphicFramePr>
          <xdr:xfrm>
            <a:off x="57480491" y="8712298"/>
            <a:ext cx="707598" cy="1171852"/>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118" name="Gráfico 117">
              <a:extLst>
                <a:ext uri="{FF2B5EF4-FFF2-40B4-BE49-F238E27FC236}">
                  <a16:creationId xmlns:a16="http://schemas.microsoft.com/office/drawing/2014/main" id="{00000000-0008-0000-0600-000076000000}"/>
                </a:ext>
              </a:extLst>
            </xdr:cNvPr>
            <xdr:cNvGraphicFramePr/>
          </xdr:nvGraphicFramePr>
          <xdr:xfrm>
            <a:off x="56852494" y="7995955"/>
            <a:ext cx="707598" cy="961829"/>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119" name="Gráfico 118">
              <a:extLst>
                <a:ext uri="{FF2B5EF4-FFF2-40B4-BE49-F238E27FC236}">
                  <a16:creationId xmlns:a16="http://schemas.microsoft.com/office/drawing/2014/main" id="{00000000-0008-0000-0600-000077000000}"/>
                </a:ext>
              </a:extLst>
            </xdr:cNvPr>
            <xdr:cNvGraphicFramePr>
              <a:graphicFrameLocks/>
            </xdr:cNvGraphicFramePr>
          </xdr:nvGraphicFramePr>
          <xdr:xfrm>
            <a:off x="56502300" y="10140950"/>
            <a:ext cx="707598" cy="961829"/>
          </xdr:xfrm>
          <a:graphic>
            <a:graphicData uri="http://schemas.openxmlformats.org/drawingml/2006/chart">
              <c:chart xmlns:c="http://schemas.openxmlformats.org/drawingml/2006/chart" xmlns:r="http://schemas.openxmlformats.org/officeDocument/2006/relationships" r:id="rId21"/>
            </a:graphicData>
          </a:graphic>
        </xdr:graphicFrame>
      </xdr:grpSp>
      <xdr:graphicFrame macro="">
        <xdr:nvGraphicFramePr>
          <xdr:cNvPr id="113" name="Gráfico 112">
            <a:extLst>
              <a:ext uri="{FF2B5EF4-FFF2-40B4-BE49-F238E27FC236}">
                <a16:creationId xmlns:a16="http://schemas.microsoft.com/office/drawing/2014/main" id="{00000000-0008-0000-0600-000071000000}"/>
              </a:ext>
            </a:extLst>
          </xdr:cNvPr>
          <xdr:cNvGraphicFramePr/>
        </xdr:nvGraphicFramePr>
        <xdr:xfrm>
          <a:off x="53873400" y="8153400"/>
          <a:ext cx="2618441" cy="4622550"/>
        </xdr:xfrm>
        <a:graphic>
          <a:graphicData uri="http://schemas.openxmlformats.org/drawingml/2006/chart">
            <c:chart xmlns:c="http://schemas.openxmlformats.org/drawingml/2006/chart" xmlns:r="http://schemas.openxmlformats.org/officeDocument/2006/relationships" r:id="rId22"/>
          </a:graphicData>
        </a:graphic>
      </xdr:graphicFrame>
    </xdr:grpSp>
    <xdr:clientData/>
  </xdr:twoCellAnchor>
  <xdr:twoCellAnchor>
    <xdr:from>
      <xdr:col>15</xdr:col>
      <xdr:colOff>228596</xdr:colOff>
      <xdr:row>31</xdr:row>
      <xdr:rowOff>38100</xdr:rowOff>
    </xdr:from>
    <xdr:to>
      <xdr:col>22</xdr:col>
      <xdr:colOff>523877</xdr:colOff>
      <xdr:row>53</xdr:row>
      <xdr:rowOff>162800</xdr:rowOff>
    </xdr:to>
    <xdr:grpSp>
      <xdr:nvGrpSpPr>
        <xdr:cNvPr id="120" name="Agrupar 119">
          <a:extLst>
            <a:ext uri="{FF2B5EF4-FFF2-40B4-BE49-F238E27FC236}">
              <a16:creationId xmlns:a16="http://schemas.microsoft.com/office/drawing/2014/main" id="{00000000-0008-0000-0600-000078000000}"/>
            </a:ext>
          </a:extLst>
        </xdr:cNvPr>
        <xdr:cNvGrpSpPr/>
      </xdr:nvGrpSpPr>
      <xdr:grpSpPr>
        <a:xfrm>
          <a:off x="8620121" y="5991225"/>
          <a:ext cx="4362456" cy="4258550"/>
          <a:chOff x="60995145" y="7193643"/>
          <a:chExt cx="5963477" cy="4513036"/>
        </a:xfrm>
      </xdr:grpSpPr>
      <xdr:grpSp>
        <xdr:nvGrpSpPr>
          <xdr:cNvPr id="121" name="Agrupar 120">
            <a:extLst>
              <a:ext uri="{FF2B5EF4-FFF2-40B4-BE49-F238E27FC236}">
                <a16:creationId xmlns:a16="http://schemas.microsoft.com/office/drawing/2014/main" id="{00000000-0008-0000-0600-000079000000}"/>
              </a:ext>
            </a:extLst>
          </xdr:cNvPr>
          <xdr:cNvGrpSpPr/>
        </xdr:nvGrpSpPr>
        <xdr:grpSpPr>
          <a:xfrm>
            <a:off x="63904595" y="7193643"/>
            <a:ext cx="3054027" cy="4354286"/>
            <a:chOff x="64897907" y="7108824"/>
            <a:chExt cx="2547267" cy="3628386"/>
          </a:xfrm>
        </xdr:grpSpPr>
        <xdr:pic>
          <xdr:nvPicPr>
            <xdr:cNvPr id="123" name="Imagem 122" descr="C:\Users\lsbgep7346\Downloads\ChatGPT Image 11_05_2026, 15_30_11.png">
              <a:extLst>
                <a:ext uri="{FF2B5EF4-FFF2-40B4-BE49-F238E27FC236}">
                  <a16:creationId xmlns:a16="http://schemas.microsoft.com/office/drawing/2014/main" id="{00000000-0008-0000-0600-00007B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4897907" y="7500257"/>
              <a:ext cx="2547267" cy="3215832"/>
            </a:xfrm>
            <a:prstGeom prst="rect">
              <a:avLst/>
            </a:prstGeom>
            <a:noFill/>
            <a:extLst>
              <a:ext uri="{909E8E84-426E-40DD-AFC4-6F175D3DCCD1}">
                <a14:hiddenFill xmlns:a14="http://schemas.microsoft.com/office/drawing/2010/main">
                  <a:solidFill>
                    <a:srgbClr val="FFFFFF"/>
                  </a:solidFill>
                </a14:hiddenFill>
              </a:ext>
            </a:extLst>
          </xdr:spPr>
        </xdr:pic>
        <xdr:graphicFrame macro="">
          <xdr:nvGraphicFramePr>
            <xdr:cNvPr id="124" name="Gráfico 123">
              <a:extLst>
                <a:ext uri="{FF2B5EF4-FFF2-40B4-BE49-F238E27FC236}">
                  <a16:creationId xmlns:a16="http://schemas.microsoft.com/office/drawing/2014/main" id="{00000000-0008-0000-0600-00007C000000}"/>
                </a:ext>
              </a:extLst>
            </xdr:cNvPr>
            <xdr:cNvGraphicFramePr/>
          </xdr:nvGraphicFramePr>
          <xdr:xfrm>
            <a:off x="66108022" y="7108824"/>
            <a:ext cx="766422" cy="1118152"/>
          </xdr:xfrm>
          <a:graphic>
            <a:graphicData uri="http://schemas.openxmlformats.org/drawingml/2006/chart">
              <c:chart xmlns:c="http://schemas.openxmlformats.org/drawingml/2006/chart" xmlns:r="http://schemas.openxmlformats.org/officeDocument/2006/relationships" r:id="rId24"/>
            </a:graphicData>
          </a:graphic>
        </xdr:graphicFrame>
        <xdr:graphicFrame macro="">
          <xdr:nvGraphicFramePr>
            <xdr:cNvPr id="125" name="Gráfico 124">
              <a:extLst>
                <a:ext uri="{FF2B5EF4-FFF2-40B4-BE49-F238E27FC236}">
                  <a16:creationId xmlns:a16="http://schemas.microsoft.com/office/drawing/2014/main" id="{00000000-0008-0000-0600-00007D000000}"/>
                </a:ext>
              </a:extLst>
            </xdr:cNvPr>
            <xdr:cNvGraphicFramePr>
              <a:graphicFrameLocks/>
            </xdr:cNvGraphicFramePr>
          </xdr:nvGraphicFramePr>
          <xdr:xfrm>
            <a:off x="65486642" y="7810500"/>
            <a:ext cx="757505" cy="1092255"/>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126" name="Gráfico 125">
              <a:extLst>
                <a:ext uri="{FF2B5EF4-FFF2-40B4-BE49-F238E27FC236}">
                  <a16:creationId xmlns:a16="http://schemas.microsoft.com/office/drawing/2014/main" id="{00000000-0008-0000-0600-00007E000000}"/>
                </a:ext>
              </a:extLst>
            </xdr:cNvPr>
            <xdr:cNvGraphicFramePr>
              <a:graphicFrameLocks/>
            </xdr:cNvGraphicFramePr>
          </xdr:nvGraphicFramePr>
          <xdr:xfrm>
            <a:off x="65231475" y="8807855"/>
            <a:ext cx="768235" cy="1095715"/>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127" name="Gráfico 126">
              <a:extLst>
                <a:ext uri="{FF2B5EF4-FFF2-40B4-BE49-F238E27FC236}">
                  <a16:creationId xmlns:a16="http://schemas.microsoft.com/office/drawing/2014/main" id="{00000000-0008-0000-0600-00007F000000}"/>
                </a:ext>
              </a:extLst>
            </xdr:cNvPr>
            <xdr:cNvGraphicFramePr>
              <a:graphicFrameLocks/>
            </xdr:cNvGraphicFramePr>
          </xdr:nvGraphicFramePr>
          <xdr:xfrm>
            <a:off x="65395919" y="9898144"/>
            <a:ext cx="719725" cy="839066"/>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128" name="Gráfico 127">
              <a:extLst>
                <a:ext uri="{FF2B5EF4-FFF2-40B4-BE49-F238E27FC236}">
                  <a16:creationId xmlns:a16="http://schemas.microsoft.com/office/drawing/2014/main" id="{00000000-0008-0000-0600-000080000000}"/>
                </a:ext>
              </a:extLst>
            </xdr:cNvPr>
            <xdr:cNvGraphicFramePr>
              <a:graphicFrameLocks/>
            </xdr:cNvGraphicFramePr>
          </xdr:nvGraphicFramePr>
          <xdr:xfrm>
            <a:off x="65870441" y="8899720"/>
            <a:ext cx="768236" cy="1095714"/>
          </xdr:xfrm>
          <a:graphic>
            <a:graphicData uri="http://schemas.openxmlformats.org/drawingml/2006/chart">
              <c:chart xmlns:c="http://schemas.openxmlformats.org/drawingml/2006/chart" xmlns:r="http://schemas.openxmlformats.org/officeDocument/2006/relationships" r:id="rId28"/>
            </a:graphicData>
          </a:graphic>
        </xdr:graphicFrame>
      </xdr:grpSp>
      <xdr:graphicFrame macro="">
        <xdr:nvGraphicFramePr>
          <xdr:cNvPr id="122" name="Gráfico 121">
            <a:extLst>
              <a:ext uri="{FF2B5EF4-FFF2-40B4-BE49-F238E27FC236}">
                <a16:creationId xmlns:a16="http://schemas.microsoft.com/office/drawing/2014/main" id="{00000000-0008-0000-0600-00007A000000}"/>
              </a:ext>
            </a:extLst>
          </xdr:cNvPr>
          <xdr:cNvGraphicFramePr>
            <a:graphicFrameLocks/>
          </xdr:cNvGraphicFramePr>
        </xdr:nvGraphicFramePr>
        <xdr:xfrm>
          <a:off x="60995145" y="7343322"/>
          <a:ext cx="3085419" cy="4363357"/>
        </xdr:xfrm>
        <a:graphic>
          <a:graphicData uri="http://schemas.openxmlformats.org/drawingml/2006/chart">
            <c:chart xmlns:c="http://schemas.openxmlformats.org/drawingml/2006/chart" xmlns:r="http://schemas.openxmlformats.org/officeDocument/2006/relationships" r:id="rId29"/>
          </a:graphicData>
        </a:graphic>
      </xdr:graphicFrame>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355535</xdr:colOff>
      <xdr:row>0</xdr:row>
      <xdr:rowOff>41276</xdr:rowOff>
    </xdr:from>
    <xdr:to>
      <xdr:col>21</xdr:col>
      <xdr:colOff>1</xdr:colOff>
      <xdr:row>3</xdr:row>
      <xdr:rowOff>28575</xdr:rowOff>
    </xdr:to>
    <xdr:sp macro="" textlink="">
      <xdr:nvSpPr>
        <xdr:cNvPr id="2" name="Rectangle 17">
          <a:extLst>
            <a:ext uri="{FF2B5EF4-FFF2-40B4-BE49-F238E27FC236}">
              <a16:creationId xmlns:a16="http://schemas.microsoft.com/office/drawing/2014/main" id="{00000000-0008-0000-0100-000002000000}"/>
            </a:ext>
          </a:extLst>
        </xdr:cNvPr>
        <xdr:cNvSpPr>
          <a:spLocks noChangeArrowheads="1"/>
        </xdr:cNvSpPr>
      </xdr:nvSpPr>
      <xdr:spPr bwMode="auto">
        <a:xfrm>
          <a:off x="965135" y="41276"/>
          <a:ext cx="11836466" cy="473074"/>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1600" b="1" i="1" baseline="0">
              <a:solidFill>
                <a:schemeClr val="bg1"/>
              </a:solidFill>
              <a:effectLst>
                <a:outerShdw blurRad="38100" dist="38100" dir="2700000" algn="tl">
                  <a:srgbClr val="000000"/>
                </a:outerShdw>
              </a:effectLst>
              <a:latin typeface="Arial" charset="0"/>
            </a:rPr>
            <a:t>Dashboard / </a:t>
          </a:r>
          <a:r>
            <a:rPr lang="pt-PT" sz="1600" b="1" i="0" baseline="0">
              <a:solidFill>
                <a:schemeClr val="bg1"/>
              </a:solidFill>
              <a:effectLst>
                <a:outerShdw blurRad="38100" dist="38100" dir="2700000" algn="tl">
                  <a:srgbClr val="000000"/>
                </a:outerShdw>
              </a:effectLst>
              <a:latin typeface="Arial" charset="0"/>
            </a:rPr>
            <a:t>Excel Interativo</a:t>
          </a:r>
          <a:endParaRPr lang="pt-PT" sz="1600" b="1" i="0">
            <a:solidFill>
              <a:schemeClr val="bg1"/>
            </a:solidFill>
            <a:effectLst>
              <a:outerShdw blurRad="38100" dist="38100" dir="2700000" algn="tl">
                <a:srgbClr val="000000"/>
              </a:outerShdw>
            </a:effectLst>
            <a:latin typeface="Arial" charset="0"/>
          </a:endParaRPr>
        </a:p>
        <a:p>
          <a:pPr defTabSz="988538">
            <a:defRPr/>
          </a:pPr>
          <a:r>
            <a:rPr lang="pt-PT" sz="1600" b="1" i="1">
              <a:solidFill>
                <a:srgbClr val="FFE600"/>
              </a:solidFill>
              <a:effectLst>
                <a:outerShdw blurRad="38100" dist="38100" dir="2700000" algn="tl">
                  <a:srgbClr val="000000"/>
                </a:outerShdw>
              </a:effectLst>
              <a:latin typeface="Arial" charset="0"/>
            </a:rPr>
            <a:t>Séries</a:t>
          </a:r>
          <a:r>
            <a:rPr lang="pt-PT" sz="1600" b="1" i="1" baseline="0">
              <a:solidFill>
                <a:srgbClr val="FFE600"/>
              </a:solidFill>
              <a:effectLst>
                <a:outerShdw blurRad="38100" dist="38100" dir="2700000" algn="tl">
                  <a:srgbClr val="000000"/>
                </a:outerShdw>
              </a:effectLst>
              <a:latin typeface="Arial" charset="0"/>
            </a:rPr>
            <a:t> Cronológicas: Quadros de Pessoal 2014-2024</a:t>
          </a:r>
          <a:endParaRPr lang="pt-PT" sz="1600" b="1" i="1">
            <a:solidFill>
              <a:srgbClr val="FFE600"/>
            </a:solidFill>
            <a:effectLst>
              <a:outerShdw blurRad="38100" dist="38100" dir="2700000" algn="tl">
                <a:srgbClr val="000000"/>
              </a:outerShdw>
            </a:effectLst>
            <a:latin typeface="Arial" charset="0"/>
          </a:endParaRPr>
        </a:p>
      </xdr:txBody>
    </xdr:sp>
    <xdr:clientData/>
  </xdr:twoCellAnchor>
  <xdr:twoCellAnchor>
    <xdr:from>
      <xdr:col>19</xdr:col>
      <xdr:colOff>50735</xdr:colOff>
      <xdr:row>0</xdr:row>
      <xdr:rowOff>146051</xdr:rowOff>
    </xdr:from>
    <xdr:to>
      <xdr:col>20</xdr:col>
      <xdr:colOff>474651</xdr:colOff>
      <xdr:row>2</xdr:row>
      <xdr:rowOff>59628</xdr:rowOff>
    </xdr:to>
    <xdr:sp macro="" textlink="">
      <xdr:nvSpPr>
        <xdr:cNvPr id="3" name="Text Box 10">
          <a:hlinkClick xmlns:r="http://schemas.openxmlformats.org/officeDocument/2006/relationships" r:id="rId1"/>
          <a:extLst>
            <a:ext uri="{FF2B5EF4-FFF2-40B4-BE49-F238E27FC236}">
              <a16:creationId xmlns:a16="http://schemas.microsoft.com/office/drawing/2014/main" id="{00000000-0008-0000-0100-000003000000}"/>
            </a:ext>
          </a:extLst>
        </xdr:cNvPr>
        <xdr:cNvSpPr txBox="1">
          <a:spLocks noChangeArrowheads="1"/>
        </xdr:cNvSpPr>
      </xdr:nvSpPr>
      <xdr:spPr bwMode="auto">
        <a:xfrm>
          <a:off x="11633135" y="146051"/>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twoCellAnchor editAs="oneCell">
    <xdr:from>
      <xdr:col>0</xdr:col>
      <xdr:colOff>91728</xdr:colOff>
      <xdr:row>0</xdr:row>
      <xdr:rowOff>35278</xdr:rowOff>
    </xdr:from>
    <xdr:to>
      <xdr:col>1</xdr:col>
      <xdr:colOff>235122</xdr:colOff>
      <xdr:row>2</xdr:row>
      <xdr:rowOff>142722</xdr:rowOff>
    </xdr:to>
    <xdr:pic>
      <xdr:nvPicPr>
        <xdr:cNvPr id="4" name="Imagem 3" descr="Z:\G_EME_INFOESTAT\5_apoio_pedidos\imagens\logoDGCP_pq.png">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728" y="35278"/>
          <a:ext cx="752994" cy="431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6_Fig!$T$2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F5B681-359A-47D1-926E-EAFEA5AB8103}"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0.60195</cdr:x>
      <cdr:y>0.01557</cdr:y>
    </cdr:from>
    <cdr:to>
      <cdr:x>0.70652</cdr:x>
      <cdr:y>0.13273</cdr:y>
    </cdr:to>
    <cdr:sp macro="" textlink="q3_q7_q11_q15_q24_q36_Fig!$AD$2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28798" y="4159"/>
          <a:ext cx="347837" cy="43198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D635998-5C6E-4644-A5CE-BD8BE1E45122}"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294613" y="-78833"/>
          <a:ext cx="343086" cy="623723"/>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21.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6_Fig!$T$6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26F701-3CC2-4BEA-BFA8-70F65FD04085}"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0.61598</cdr:x>
      <cdr:y>0.02092</cdr:y>
    </cdr:from>
    <cdr:to>
      <cdr:x>0.75312</cdr:x>
      <cdr:y>0.12191</cdr:y>
    </cdr:to>
    <cdr:sp macro="" textlink="q3_q7_q11_q15_q24_q36_Fig!$AD$6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655191" y="-68956"/>
          <a:ext cx="299842" cy="561975"/>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7372960-0221-471D-AC29-08DF5500A456}"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0.76561</cdr:x>
      <cdr:y>0.02071</cdr:y>
    </cdr:from>
    <cdr:to>
      <cdr:x>0.94372</cdr:x>
      <cdr:y>0.12833</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342455" y="-143691"/>
          <a:ext cx="319517" cy="72987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22.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6_Fig!$T$10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7BAF77C-8415-4B91-8D55-DD3E81F40666}"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0.59647</cdr:x>
      <cdr:y>0.0143</cdr:y>
    </cdr:from>
    <cdr:to>
      <cdr:x>0.74443</cdr:x>
      <cdr:y>0.12583</cdr:y>
    </cdr:to>
    <cdr:sp macro="" textlink="q3_q7_q11_q15_q24_q36_Fig!$AD$10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601834" y="-103258"/>
          <a:ext cx="320822" cy="60959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AF22FF0-8723-4CCA-84BD-EF9BD80F8DCB}"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0.76152</cdr:x>
      <cdr:y>0.02071</cdr:y>
    </cdr:from>
    <cdr:to>
      <cdr:x>0.93439</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317906" y="-129371"/>
          <a:ext cx="332414" cy="71030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23.xml><?xml version="1.0" encoding="utf-8"?>
<xdr:wsDr xmlns:xdr="http://schemas.openxmlformats.org/drawingml/2006/spreadsheetDrawing" xmlns:a="http://schemas.openxmlformats.org/drawingml/2006/main">
  <xdr:twoCellAnchor>
    <xdr:from>
      <xdr:col>17</xdr:col>
      <xdr:colOff>228599</xdr:colOff>
      <xdr:row>29</xdr:row>
      <xdr:rowOff>180975</xdr:rowOff>
    </xdr:from>
    <xdr:to>
      <xdr:col>22</xdr:col>
      <xdr:colOff>491474</xdr:colOff>
      <xdr:row>34</xdr:row>
      <xdr:rowOff>56475</xdr:rowOff>
    </xdr:to>
    <xdr:sp macro="" textlink="q17_a_q19_q26_a_q29_q38_q41_Fig!AG177">
      <xdr:nvSpPr>
        <xdr:cNvPr id="85" name="CaixaDeTexto 84">
          <a:extLst>
            <a:ext uri="{FF2B5EF4-FFF2-40B4-BE49-F238E27FC236}">
              <a16:creationId xmlns:a16="http://schemas.microsoft.com/office/drawing/2014/main" id="{00000000-0008-0000-0700-000055000000}"/>
            </a:ext>
          </a:extLst>
        </xdr:cNvPr>
        <xdr:cNvSpPr txBox="1"/>
      </xdr:nvSpPr>
      <xdr:spPr>
        <a:xfrm>
          <a:off x="9782174" y="5705475"/>
          <a:ext cx="3168000" cy="828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20BB0AFB-71B7-40F7-B536-9863E539EB2E}"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2024 - Continente:
Base mediana: 79,8% do Ganho, entre 820 € (&lt; 1.º ciclo do ensino básico) e  1.544 € (Ensino superior**).
Ganho mediano: Entre 958 € e 1.853 €, nos mesmos níveis de habilitação, respetivamente.</a:t>
          </a:fld>
          <a:endParaRPr kumimoji="0" lang="en-US" sz="900" b="0"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1</xdr:col>
      <xdr:colOff>469834</xdr:colOff>
      <xdr:row>0</xdr:row>
      <xdr:rowOff>41276</xdr:rowOff>
    </xdr:from>
    <xdr:to>
      <xdr:col>22</xdr:col>
      <xdr:colOff>577786</xdr:colOff>
      <xdr:row>2</xdr:row>
      <xdr:rowOff>95250</xdr:rowOff>
    </xdr:to>
    <xdr:sp macro="" textlink="">
      <xdr:nvSpPr>
        <xdr:cNvPr id="3" name="Rectangle 17">
          <a:extLst>
            <a:ext uri="{FF2B5EF4-FFF2-40B4-BE49-F238E27FC236}">
              <a16:creationId xmlns:a16="http://schemas.microsoft.com/office/drawing/2014/main" id="{00000000-0008-0000-0700-000003000000}"/>
            </a:ext>
          </a:extLst>
        </xdr:cNvPr>
        <xdr:cNvSpPr>
          <a:spLocks noChangeArrowheads="1"/>
        </xdr:cNvSpPr>
      </xdr:nvSpPr>
      <xdr:spPr bwMode="auto">
        <a:xfrm>
          <a:off x="1031809" y="41276"/>
          <a:ext cx="12004677" cy="434974"/>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1600" b="1" i="1">
              <a:solidFill>
                <a:schemeClr val="bg1"/>
              </a:solidFill>
              <a:effectLst>
                <a:outerShdw blurRad="38100" dist="38100" dir="2700000" algn="tl">
                  <a:srgbClr val="000000"/>
                </a:outerShdw>
              </a:effectLst>
              <a:latin typeface="Arial" charset="0"/>
            </a:rPr>
            <a:t>Séries Cronológicas 2014 - 2024: Quadros de Pessoal</a:t>
          </a:r>
        </a:p>
        <a:p>
          <a:pPr defTabSz="988538">
            <a:defRPr/>
          </a:pPr>
          <a:r>
            <a:rPr lang="pt-PT" sz="1600" b="1" i="1">
              <a:solidFill>
                <a:srgbClr val="FFE600"/>
              </a:solidFill>
              <a:effectLst>
                <a:outerShdw blurRad="38100" dist="38100" dir="2700000" algn="tl">
                  <a:srgbClr val="000000"/>
                </a:outerShdw>
              </a:effectLst>
              <a:latin typeface="Arial" charset="0"/>
            </a:rPr>
            <a:t>Características</a:t>
          </a:r>
          <a:r>
            <a:rPr lang="pt-PT" sz="1600" b="1" i="1" baseline="0">
              <a:solidFill>
                <a:srgbClr val="FFE600"/>
              </a:solidFill>
              <a:effectLst>
                <a:outerShdw blurRad="38100" dist="38100" dir="2700000" algn="tl">
                  <a:srgbClr val="000000"/>
                </a:outerShdw>
              </a:effectLst>
              <a:latin typeface="Arial" charset="0"/>
            </a:rPr>
            <a:t> dos Trabalhadores por Conta de Outrem (TCO)</a:t>
          </a:r>
          <a:endParaRPr lang="pt-PT" sz="1600" b="1" i="1">
            <a:solidFill>
              <a:srgbClr val="FFE600"/>
            </a:solidFill>
            <a:effectLst>
              <a:outerShdw blurRad="38100" dist="38100" dir="2700000" algn="tl">
                <a:srgbClr val="000000"/>
              </a:outerShdw>
            </a:effectLst>
            <a:latin typeface="Arial" charset="0"/>
          </a:endParaRPr>
        </a:p>
      </xdr:txBody>
    </xdr:sp>
    <xdr:clientData/>
  </xdr:twoCellAnchor>
  <xdr:twoCellAnchor>
    <xdr:from>
      <xdr:col>0</xdr:col>
      <xdr:colOff>137432</xdr:colOff>
      <xdr:row>8</xdr:row>
      <xdr:rowOff>152400</xdr:rowOff>
    </xdr:from>
    <xdr:to>
      <xdr:col>11</xdr:col>
      <xdr:colOff>104775</xdr:colOff>
      <xdr:row>29</xdr:row>
      <xdr:rowOff>9525</xdr:rowOff>
    </xdr:to>
    <xdr:grpSp>
      <xdr:nvGrpSpPr>
        <xdr:cNvPr id="5" name="Agrupar 4">
          <a:extLst>
            <a:ext uri="{FF2B5EF4-FFF2-40B4-BE49-F238E27FC236}">
              <a16:creationId xmlns:a16="http://schemas.microsoft.com/office/drawing/2014/main" id="{00000000-0008-0000-0700-000005000000}"/>
            </a:ext>
          </a:extLst>
        </xdr:cNvPr>
        <xdr:cNvGrpSpPr/>
      </xdr:nvGrpSpPr>
      <xdr:grpSpPr>
        <a:xfrm>
          <a:off x="137432" y="1676400"/>
          <a:ext cx="6149068" cy="3857625"/>
          <a:chOff x="190500" y="1133475"/>
          <a:chExt cx="4134750" cy="1964700"/>
        </a:xfrm>
      </xdr:grpSpPr>
      <xdr:grpSp>
        <xdr:nvGrpSpPr>
          <xdr:cNvPr id="6" name="Agrupar 5">
            <a:extLst>
              <a:ext uri="{FF2B5EF4-FFF2-40B4-BE49-F238E27FC236}">
                <a16:creationId xmlns:a16="http://schemas.microsoft.com/office/drawing/2014/main" id="{00000000-0008-0000-0700-000006000000}"/>
              </a:ext>
            </a:extLst>
          </xdr:cNvPr>
          <xdr:cNvGrpSpPr/>
        </xdr:nvGrpSpPr>
        <xdr:grpSpPr>
          <a:xfrm>
            <a:off x="1924050" y="1133475"/>
            <a:ext cx="2401200" cy="1850400"/>
            <a:chOff x="379" y="50819742"/>
            <a:chExt cx="3722129" cy="2517772"/>
          </a:xfrm>
        </xdr:grpSpPr>
        <xdr:graphicFrame macro="">
          <xdr:nvGraphicFramePr>
            <xdr:cNvPr id="8" name="Gráfico 7">
              <a:extLst>
                <a:ext uri="{FF2B5EF4-FFF2-40B4-BE49-F238E27FC236}">
                  <a16:creationId xmlns:a16="http://schemas.microsoft.com/office/drawing/2014/main" id="{00000000-0008-0000-0700-000008000000}"/>
                </a:ext>
              </a:extLst>
            </xdr:cNvPr>
            <xdr:cNvGraphicFramePr/>
          </xdr:nvGraphicFramePr>
          <xdr:xfrm>
            <a:off x="379" y="50819742"/>
            <a:ext cx="3722129" cy="2517772"/>
          </xdr:xfrm>
          <a:graphic>
            <a:graphicData uri="http://schemas.openxmlformats.org/drawingml/2006/chart">
              <c:chart xmlns:c="http://schemas.openxmlformats.org/drawingml/2006/chart" xmlns:r="http://schemas.openxmlformats.org/officeDocument/2006/relationships" r:id="rId1"/>
            </a:graphicData>
          </a:graphic>
        </xdr:graphicFrame>
        <xdr:sp macro="" textlink="q17_a_q19_q26_a_q29_q38_q41_Fig!$S$23">
          <xdr:nvSpPr>
            <xdr:cNvPr id="9" name="CaixaDeTexto 8">
              <a:extLst>
                <a:ext uri="{FF2B5EF4-FFF2-40B4-BE49-F238E27FC236}">
                  <a16:creationId xmlns:a16="http://schemas.microsoft.com/office/drawing/2014/main" id="{00000000-0008-0000-0700-000009000000}"/>
                </a:ext>
              </a:extLst>
            </xdr:cNvPr>
            <xdr:cNvSpPr txBox="1"/>
          </xdr:nvSpPr>
          <xdr:spPr>
            <a:xfrm>
              <a:off x="2466973" y="51215403"/>
              <a:ext cx="1060276" cy="244918"/>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13C352D-7C4F-4D98-833F-9C18CA6F96EA}" type="TxLink">
                <a:rPr kumimoji="0" lang="en-US" sz="9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1.570.424</a:t>
              </a:fld>
              <a:endParaRPr kumimoji="0" lang="pt-PT" sz="900" b="1" i="0" u="none" strike="noStrike" kern="0" cap="none" spc="0" normalizeH="0" baseline="0" noProof="0">
                <a:ln>
                  <a:noFill/>
                </a:ln>
                <a:solidFill>
                  <a:srgbClr val="000000"/>
                </a:solidFill>
                <a:effectLst/>
                <a:uLnTx/>
                <a:uFillTx/>
                <a:latin typeface="+mn-lt"/>
                <a:ea typeface="+mn-ea"/>
                <a:cs typeface="Arial"/>
              </a:endParaRPr>
            </a:p>
          </xdr:txBody>
        </xdr:sp>
        <xdr:sp macro="" textlink="q17_a_q19_q26_a_q29_q38_q41_Fig!$R$23">
          <xdr:nvSpPr>
            <xdr:cNvPr id="10" name="CaixaDeTexto 9">
              <a:extLst>
                <a:ext uri="{FF2B5EF4-FFF2-40B4-BE49-F238E27FC236}">
                  <a16:creationId xmlns:a16="http://schemas.microsoft.com/office/drawing/2014/main" id="{00000000-0008-0000-0700-00000A000000}"/>
                </a:ext>
              </a:extLst>
            </xdr:cNvPr>
            <xdr:cNvSpPr txBox="1"/>
          </xdr:nvSpPr>
          <xdr:spPr>
            <a:xfrm>
              <a:off x="827210" y="51207396"/>
              <a:ext cx="1060276" cy="244918"/>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8C47EF46-8E6E-47B5-B759-236E824EAE36}" type="TxLink">
                <a:rPr kumimoji="0" lang="en-US" sz="9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1.783.712</a:t>
              </a:fld>
              <a:endParaRPr kumimoji="0" lang="pt-PT" sz="9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aphicFrame macro="">
        <xdr:nvGraphicFramePr>
          <xdr:cNvPr id="7" name="Gráfico 6">
            <a:extLst>
              <a:ext uri="{FF2B5EF4-FFF2-40B4-BE49-F238E27FC236}">
                <a16:creationId xmlns:a16="http://schemas.microsoft.com/office/drawing/2014/main" id="{00000000-0008-0000-0700-000007000000}"/>
              </a:ext>
            </a:extLst>
          </xdr:cNvPr>
          <xdr:cNvGraphicFramePr>
            <a:graphicFrameLocks/>
          </xdr:cNvGraphicFramePr>
        </xdr:nvGraphicFramePr>
        <xdr:xfrm>
          <a:off x="190500" y="1247775"/>
          <a:ext cx="2314575" cy="18504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468993</xdr:colOff>
      <xdr:row>33</xdr:row>
      <xdr:rowOff>9525</xdr:rowOff>
    </xdr:from>
    <xdr:to>
      <xdr:col>9</xdr:col>
      <xdr:colOff>276225</xdr:colOff>
      <xdr:row>51</xdr:row>
      <xdr:rowOff>85725</xdr:rowOff>
    </xdr:to>
    <xdr:grpSp>
      <xdr:nvGrpSpPr>
        <xdr:cNvPr id="17" name="Agrupar 16">
          <a:extLst>
            <a:ext uri="{FF2B5EF4-FFF2-40B4-BE49-F238E27FC236}">
              <a16:creationId xmlns:a16="http://schemas.microsoft.com/office/drawing/2014/main" id="{00000000-0008-0000-0700-000011000000}"/>
            </a:ext>
          </a:extLst>
        </xdr:cNvPr>
        <xdr:cNvGrpSpPr/>
      </xdr:nvGrpSpPr>
      <xdr:grpSpPr>
        <a:xfrm>
          <a:off x="468993" y="6296025"/>
          <a:ext cx="4865007" cy="3505200"/>
          <a:chOff x="8543925" y="1371599"/>
          <a:chExt cx="4049025" cy="2050426"/>
        </a:xfrm>
      </xdr:grpSpPr>
      <xdr:graphicFrame macro="">
        <xdr:nvGraphicFramePr>
          <xdr:cNvPr id="18" name="Gráfico 17">
            <a:extLst>
              <a:ext uri="{FF2B5EF4-FFF2-40B4-BE49-F238E27FC236}">
                <a16:creationId xmlns:a16="http://schemas.microsoft.com/office/drawing/2014/main" id="{00000000-0008-0000-0700-000012000000}"/>
              </a:ext>
            </a:extLst>
          </xdr:cNvPr>
          <xdr:cNvGraphicFramePr>
            <a:graphicFrameLocks/>
          </xdr:cNvGraphicFramePr>
        </xdr:nvGraphicFramePr>
        <xdr:xfrm>
          <a:off x="8543925" y="1533525"/>
          <a:ext cx="2857500" cy="1888500"/>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19" name="Agrupar 18">
            <a:extLst>
              <a:ext uri="{FF2B5EF4-FFF2-40B4-BE49-F238E27FC236}">
                <a16:creationId xmlns:a16="http://schemas.microsoft.com/office/drawing/2014/main" id="{00000000-0008-0000-0700-000013000000}"/>
              </a:ext>
            </a:extLst>
          </xdr:cNvPr>
          <xdr:cNvGrpSpPr/>
        </xdr:nvGrpSpPr>
        <xdr:grpSpPr>
          <a:xfrm>
            <a:off x="10191750" y="1371599"/>
            <a:ext cx="2401200" cy="1821825"/>
            <a:chOff x="15382876" y="10342315"/>
            <a:chExt cx="2836231" cy="2008440"/>
          </a:xfrm>
        </xdr:grpSpPr>
        <xdr:graphicFrame macro="">
          <xdr:nvGraphicFramePr>
            <xdr:cNvPr id="20" name="Gráfico 19">
              <a:extLst>
                <a:ext uri="{FF2B5EF4-FFF2-40B4-BE49-F238E27FC236}">
                  <a16:creationId xmlns:a16="http://schemas.microsoft.com/office/drawing/2014/main" id="{00000000-0008-0000-0700-000014000000}"/>
                </a:ext>
              </a:extLst>
            </xdr:cNvPr>
            <xdr:cNvGraphicFramePr>
              <a:graphicFrameLocks/>
            </xdr:cNvGraphicFramePr>
          </xdr:nvGraphicFramePr>
          <xdr:xfrm>
            <a:off x="15382876" y="10414000"/>
            <a:ext cx="2836231" cy="1936755"/>
          </xdr:xfrm>
          <a:graphic>
            <a:graphicData uri="http://schemas.openxmlformats.org/drawingml/2006/chart">
              <c:chart xmlns:c="http://schemas.openxmlformats.org/drawingml/2006/chart" xmlns:r="http://schemas.openxmlformats.org/officeDocument/2006/relationships" r:id="rId4"/>
            </a:graphicData>
          </a:graphic>
        </xdr:graphicFrame>
        <xdr:sp macro="" textlink="q17_a_q19_q26_a_q29_q38_q41_Fig!$R$82">
          <xdr:nvSpPr>
            <xdr:cNvPr id="21" name="CaixaDeTexto 20">
              <a:extLst>
                <a:ext uri="{FF2B5EF4-FFF2-40B4-BE49-F238E27FC236}">
                  <a16:creationId xmlns:a16="http://schemas.microsoft.com/office/drawing/2014/main" id="{00000000-0008-0000-0700-000015000000}"/>
                </a:ext>
              </a:extLst>
            </xdr:cNvPr>
            <xdr:cNvSpPr txBox="1"/>
          </xdr:nvSpPr>
          <xdr:spPr>
            <a:xfrm>
              <a:off x="17385495" y="10583829"/>
              <a:ext cx="823129" cy="157512"/>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BBF52B7-D790-4BD9-8770-3F0155F9A181}"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2.506.911</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22" name="CaixaDeTexto 21">
              <a:extLst>
                <a:ext uri="{FF2B5EF4-FFF2-40B4-BE49-F238E27FC236}">
                  <a16:creationId xmlns:a16="http://schemas.microsoft.com/office/drawing/2014/main" id="{00000000-0008-0000-0700-000016000000}"/>
                </a:ext>
              </a:extLst>
            </xdr:cNvPr>
            <xdr:cNvSpPr txBox="1"/>
          </xdr:nvSpPr>
          <xdr:spPr>
            <a:xfrm>
              <a:off x="17385495" y="10342315"/>
              <a:ext cx="831067" cy="184497"/>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grpSp>
    </xdr:grpSp>
    <xdr:clientData/>
  </xdr:twoCellAnchor>
  <xdr:twoCellAnchor>
    <xdr:from>
      <xdr:col>0</xdr:col>
      <xdr:colOff>323851</xdr:colOff>
      <xdr:row>51</xdr:row>
      <xdr:rowOff>99084</xdr:rowOff>
    </xdr:from>
    <xdr:to>
      <xdr:col>8</xdr:col>
      <xdr:colOff>45151</xdr:colOff>
      <xdr:row>53</xdr:row>
      <xdr:rowOff>111207</xdr:rowOff>
    </xdr:to>
    <xdr:sp macro="" textlink="">
      <xdr:nvSpPr>
        <xdr:cNvPr id="23" name="CaixaDeTexto 22">
          <a:extLst>
            <a:ext uri="{FF2B5EF4-FFF2-40B4-BE49-F238E27FC236}">
              <a16:creationId xmlns:a16="http://schemas.microsoft.com/office/drawing/2014/main" id="{00000000-0008-0000-0700-000017000000}"/>
            </a:ext>
          </a:extLst>
        </xdr:cNvPr>
        <xdr:cNvSpPr txBox="1"/>
      </xdr:nvSpPr>
      <xdr:spPr>
        <a:xfrm>
          <a:off x="323851" y="9814584"/>
          <a:ext cx="4217100" cy="39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PT" sz="600" b="0">
              <a:solidFill>
                <a:schemeClr val="tx1">
                  <a:lumMod val="50000"/>
                  <a:lumOff val="50000"/>
                </a:schemeClr>
              </a:solidFill>
            </a:rPr>
            <a:t>* Dos TCO a tempo completo, que auferiram remuneração completa no período de referência (outubro).</a:t>
          </a:r>
        </a:p>
        <a:p>
          <a:pPr algn="l"/>
          <a:r>
            <a:rPr lang="pt-PT" sz="600" b="0">
              <a:solidFill>
                <a:schemeClr val="tx1">
                  <a:lumMod val="50000"/>
                  <a:lumOff val="50000"/>
                </a:schemeClr>
              </a:solidFill>
            </a:rPr>
            <a:t>**No Ensino superior</a:t>
          </a:r>
          <a:r>
            <a:rPr lang="pt-PT" sz="600" b="0" baseline="0">
              <a:solidFill>
                <a:schemeClr val="tx1">
                  <a:lumMod val="50000"/>
                  <a:lumOff val="50000"/>
                </a:schemeClr>
              </a:solidFill>
            </a:rPr>
            <a:t> consideram-se: Curso técnico superior profissional, Bacharelato, Licenciatura, Mestrado e Doutoramento.</a:t>
          </a:r>
        </a:p>
        <a:p>
          <a:pPr algn="l"/>
          <a:endParaRPr lang="pt-PT" sz="600" b="0"/>
        </a:p>
      </xdr:txBody>
    </xdr:sp>
    <xdr:clientData/>
  </xdr:twoCellAnchor>
  <xdr:twoCellAnchor>
    <xdr:from>
      <xdr:col>11</xdr:col>
      <xdr:colOff>238125</xdr:colOff>
      <xdr:row>11</xdr:row>
      <xdr:rowOff>85725</xdr:rowOff>
    </xdr:from>
    <xdr:to>
      <xdr:col>22</xdr:col>
      <xdr:colOff>504825</xdr:colOff>
      <xdr:row>29</xdr:row>
      <xdr:rowOff>114300</xdr:rowOff>
    </xdr:to>
    <xdr:grpSp>
      <xdr:nvGrpSpPr>
        <xdr:cNvPr id="24" name="Agrupar 23">
          <a:extLst>
            <a:ext uri="{FF2B5EF4-FFF2-40B4-BE49-F238E27FC236}">
              <a16:creationId xmlns:a16="http://schemas.microsoft.com/office/drawing/2014/main" id="{00000000-0008-0000-0700-000018000000}"/>
            </a:ext>
          </a:extLst>
        </xdr:cNvPr>
        <xdr:cNvGrpSpPr/>
      </xdr:nvGrpSpPr>
      <xdr:grpSpPr>
        <a:xfrm>
          <a:off x="6419850" y="2181225"/>
          <a:ext cx="6543675" cy="3457575"/>
          <a:chOff x="17928168" y="13873923"/>
          <a:chExt cx="5162525" cy="3324013"/>
        </a:xfrm>
      </xdr:grpSpPr>
      <xdr:grpSp>
        <xdr:nvGrpSpPr>
          <xdr:cNvPr id="25" name="Agrupar 24">
            <a:extLst>
              <a:ext uri="{FF2B5EF4-FFF2-40B4-BE49-F238E27FC236}">
                <a16:creationId xmlns:a16="http://schemas.microsoft.com/office/drawing/2014/main" id="{00000000-0008-0000-0700-000019000000}"/>
              </a:ext>
            </a:extLst>
          </xdr:cNvPr>
          <xdr:cNvGrpSpPr/>
        </xdr:nvGrpSpPr>
        <xdr:grpSpPr>
          <a:xfrm>
            <a:off x="17928168" y="13918940"/>
            <a:ext cx="2595140" cy="3278996"/>
            <a:chOff x="16790459" y="14269574"/>
            <a:chExt cx="2595140" cy="2552635"/>
          </a:xfrm>
        </xdr:grpSpPr>
        <xdr:graphicFrame macro="">
          <xdr:nvGraphicFramePr>
            <xdr:cNvPr id="32" name="Gráfico 31">
              <a:extLst>
                <a:ext uri="{FF2B5EF4-FFF2-40B4-BE49-F238E27FC236}">
                  <a16:creationId xmlns:a16="http://schemas.microsoft.com/office/drawing/2014/main" id="{00000000-0008-0000-0700-000020000000}"/>
                </a:ext>
              </a:extLst>
            </xdr:cNvPr>
            <xdr:cNvGraphicFramePr>
              <a:graphicFrameLocks/>
            </xdr:cNvGraphicFramePr>
          </xdr:nvGraphicFramePr>
          <xdr:xfrm>
            <a:off x="16790459" y="14440959"/>
            <a:ext cx="2595140" cy="2381250"/>
          </xdr:xfrm>
          <a:graphic>
            <a:graphicData uri="http://schemas.openxmlformats.org/drawingml/2006/chart">
              <c:chart xmlns:c="http://schemas.openxmlformats.org/drawingml/2006/chart" xmlns:r="http://schemas.openxmlformats.org/officeDocument/2006/relationships" r:id="rId5"/>
            </a:graphicData>
          </a:graphic>
        </xdr:graphicFrame>
        <xdr:sp macro="" textlink="q17_a_q19_q26_a_q29_q38_q41_Fig!$R$107">
          <xdr:nvSpPr>
            <xdr:cNvPr id="33" name="CaixaDeTexto 32">
              <a:extLst>
                <a:ext uri="{FF2B5EF4-FFF2-40B4-BE49-F238E27FC236}">
                  <a16:creationId xmlns:a16="http://schemas.microsoft.com/office/drawing/2014/main" id="{00000000-0008-0000-0700-000021000000}"/>
                </a:ext>
              </a:extLst>
            </xdr:cNvPr>
            <xdr:cNvSpPr txBox="1"/>
          </xdr:nvSpPr>
          <xdr:spPr>
            <a:xfrm>
              <a:off x="17065625" y="14440466"/>
              <a:ext cx="828116" cy="107708"/>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1C5C7F2-35F2-4BD7-AFD6-3A9B2ABBDB23}"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1.308,96 €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34" name="CaixaDeTexto 33">
              <a:extLst>
                <a:ext uri="{FF2B5EF4-FFF2-40B4-BE49-F238E27FC236}">
                  <a16:creationId xmlns:a16="http://schemas.microsoft.com/office/drawing/2014/main" id="{00000000-0008-0000-0700-000022000000}"/>
                </a:ext>
              </a:extLst>
            </xdr:cNvPr>
            <xdr:cNvSpPr txBox="1"/>
          </xdr:nvSpPr>
          <xdr:spPr>
            <a:xfrm>
              <a:off x="17065623" y="14269574"/>
              <a:ext cx="835055" cy="141666"/>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sp macro="" textlink="q17_a_q19_q26_a_q29_q38_q41_Fig!$R$108">
          <xdr:nvSpPr>
            <xdr:cNvPr id="35" name="CaixaDeTexto 34">
              <a:extLst>
                <a:ext uri="{FF2B5EF4-FFF2-40B4-BE49-F238E27FC236}">
                  <a16:creationId xmlns:a16="http://schemas.microsoft.com/office/drawing/2014/main" id="{00000000-0008-0000-0700-000023000000}"/>
                </a:ext>
              </a:extLst>
            </xdr:cNvPr>
            <xdr:cNvSpPr txBox="1"/>
          </xdr:nvSpPr>
          <xdr:spPr>
            <a:xfrm>
              <a:off x="17065625" y="14584089"/>
              <a:ext cx="835055" cy="109542"/>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2B156ECC-38C7-4F73-8CAE-70A781794369}"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1.582,75 €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26" name="Agrupar 25">
            <a:extLst>
              <a:ext uri="{FF2B5EF4-FFF2-40B4-BE49-F238E27FC236}">
                <a16:creationId xmlns:a16="http://schemas.microsoft.com/office/drawing/2014/main" id="{00000000-0008-0000-0700-00001A000000}"/>
              </a:ext>
            </a:extLst>
          </xdr:cNvPr>
          <xdr:cNvGrpSpPr/>
        </xdr:nvGrpSpPr>
        <xdr:grpSpPr>
          <a:xfrm>
            <a:off x="20312568" y="13873923"/>
            <a:ext cx="2778125" cy="3100196"/>
            <a:chOff x="20936984" y="14847589"/>
            <a:chExt cx="2778125" cy="3100196"/>
          </a:xfrm>
        </xdr:grpSpPr>
        <xdr:graphicFrame macro="">
          <xdr:nvGraphicFramePr>
            <xdr:cNvPr id="27" name="Gráfico 26">
              <a:extLst>
                <a:ext uri="{FF2B5EF4-FFF2-40B4-BE49-F238E27FC236}">
                  <a16:creationId xmlns:a16="http://schemas.microsoft.com/office/drawing/2014/main" id="{00000000-0008-0000-0700-00001B000000}"/>
                </a:ext>
              </a:extLst>
            </xdr:cNvPr>
            <xdr:cNvGraphicFramePr/>
          </xdr:nvGraphicFramePr>
          <xdr:xfrm>
            <a:off x="20936984" y="14847589"/>
            <a:ext cx="2778125" cy="3100196"/>
          </xdr:xfrm>
          <a:graphic>
            <a:graphicData uri="http://schemas.openxmlformats.org/drawingml/2006/chart">
              <c:chart xmlns:c="http://schemas.openxmlformats.org/drawingml/2006/chart" xmlns:r="http://schemas.openxmlformats.org/officeDocument/2006/relationships" r:id="rId6"/>
            </a:graphicData>
          </a:graphic>
        </xdr:graphicFrame>
        <xdr:sp macro="" textlink="q17_a_q19_q26_a_q29_q38_q41_Fig!$R$114">
          <xdr:nvSpPr>
            <xdr:cNvPr id="28" name="CaixaDeTexto 27">
              <a:extLst>
                <a:ext uri="{FF2B5EF4-FFF2-40B4-BE49-F238E27FC236}">
                  <a16:creationId xmlns:a16="http://schemas.microsoft.com/office/drawing/2014/main" id="{00000000-0008-0000-0700-00001C000000}"/>
                </a:ext>
              </a:extLst>
            </xdr:cNvPr>
            <xdr:cNvSpPr txBox="1"/>
          </xdr:nvSpPr>
          <xdr:spPr>
            <a:xfrm>
              <a:off x="21458349" y="15168110"/>
              <a:ext cx="774379" cy="144000"/>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707BD8C-99F2-4650-BA3A-00151E8ADD39}"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1.383,38 €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8_q41_Fig!$R$115">
          <xdr:nvSpPr>
            <xdr:cNvPr id="29" name="CaixaDeTexto 28">
              <a:extLst>
                <a:ext uri="{FF2B5EF4-FFF2-40B4-BE49-F238E27FC236}">
                  <a16:creationId xmlns:a16="http://schemas.microsoft.com/office/drawing/2014/main" id="{00000000-0008-0000-0700-00001D000000}"/>
                </a:ext>
              </a:extLst>
            </xdr:cNvPr>
            <xdr:cNvSpPr txBox="1"/>
          </xdr:nvSpPr>
          <xdr:spPr>
            <a:xfrm>
              <a:off x="21458349" y="15359885"/>
              <a:ext cx="774379" cy="144000"/>
            </a:xfrm>
            <a:prstGeom prst="rect">
              <a:avLst/>
            </a:prstGeom>
            <a:solidFill>
              <a:srgbClr val="FFC000">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9CF34B2E-6095-4C26-83B7-DA38221164E4}"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1.693,55 €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8_q41_Fig!$U$104">
          <xdr:nvSpPr>
            <xdr:cNvPr id="30" name="CaixaDeTexto 29">
              <a:extLst>
                <a:ext uri="{FF2B5EF4-FFF2-40B4-BE49-F238E27FC236}">
                  <a16:creationId xmlns:a16="http://schemas.microsoft.com/office/drawing/2014/main" id="{00000000-0008-0000-0700-00001E000000}"/>
                </a:ext>
              </a:extLst>
            </xdr:cNvPr>
            <xdr:cNvSpPr txBox="1"/>
          </xdr:nvSpPr>
          <xdr:spPr>
            <a:xfrm>
              <a:off x="22755760" y="15181015"/>
              <a:ext cx="774379" cy="144000"/>
            </a:xfrm>
            <a:prstGeom prst="rect">
              <a:avLst/>
            </a:prstGeom>
            <a:solidFill>
              <a:srgbClr val="95B3D7">
                <a:alpha val="46667"/>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ED31F1F-4F1E-4B28-80C7-E1D677609C7A}"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1.216,85 €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8_q41_Fig!$V$104">
          <xdr:nvSpPr>
            <xdr:cNvPr id="31" name="CaixaDeTexto 30">
              <a:extLst>
                <a:ext uri="{FF2B5EF4-FFF2-40B4-BE49-F238E27FC236}">
                  <a16:creationId xmlns:a16="http://schemas.microsoft.com/office/drawing/2014/main" id="{00000000-0008-0000-0700-00001F000000}"/>
                </a:ext>
              </a:extLst>
            </xdr:cNvPr>
            <xdr:cNvSpPr txBox="1"/>
          </xdr:nvSpPr>
          <xdr:spPr>
            <a:xfrm>
              <a:off x="22755760" y="15372791"/>
              <a:ext cx="774379" cy="144000"/>
            </a:xfrm>
            <a:prstGeom prst="rect">
              <a:avLst/>
            </a:prstGeom>
            <a:solidFill>
              <a:srgbClr val="FFEF57">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DA095E1-FC08-48A6-9F65-B082055869C6}"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1.445,59 €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clientData/>
  </xdr:twoCellAnchor>
  <xdr:twoCellAnchor>
    <xdr:from>
      <xdr:col>11</xdr:col>
      <xdr:colOff>285750</xdr:colOff>
      <xdr:row>35</xdr:row>
      <xdr:rowOff>0</xdr:rowOff>
    </xdr:from>
    <xdr:to>
      <xdr:col>22</xdr:col>
      <xdr:colOff>459884</xdr:colOff>
      <xdr:row>53</xdr:row>
      <xdr:rowOff>28575</xdr:rowOff>
    </xdr:to>
    <xdr:grpSp>
      <xdr:nvGrpSpPr>
        <xdr:cNvPr id="48" name="Agrupar 47">
          <a:extLst>
            <a:ext uri="{FF2B5EF4-FFF2-40B4-BE49-F238E27FC236}">
              <a16:creationId xmlns:a16="http://schemas.microsoft.com/office/drawing/2014/main" id="{00000000-0008-0000-0700-000030000000}"/>
            </a:ext>
          </a:extLst>
        </xdr:cNvPr>
        <xdr:cNvGrpSpPr/>
      </xdr:nvGrpSpPr>
      <xdr:grpSpPr>
        <a:xfrm>
          <a:off x="6467475" y="6667500"/>
          <a:ext cx="6451109" cy="3457575"/>
          <a:chOff x="9582147" y="4362666"/>
          <a:chExt cx="4057651" cy="2986700"/>
        </a:xfrm>
      </xdr:grpSpPr>
      <xdr:grpSp>
        <xdr:nvGrpSpPr>
          <xdr:cNvPr id="49" name="Agrupar 48">
            <a:extLst>
              <a:ext uri="{FF2B5EF4-FFF2-40B4-BE49-F238E27FC236}">
                <a16:creationId xmlns:a16="http://schemas.microsoft.com/office/drawing/2014/main" id="{00000000-0008-0000-0700-000031000000}"/>
              </a:ext>
            </a:extLst>
          </xdr:cNvPr>
          <xdr:cNvGrpSpPr/>
        </xdr:nvGrpSpPr>
        <xdr:grpSpPr>
          <a:xfrm>
            <a:off x="9582147" y="4531941"/>
            <a:ext cx="4057651" cy="2817425"/>
            <a:chOff x="15954373" y="22489526"/>
            <a:chExt cx="6017904" cy="2804664"/>
          </a:xfrm>
        </xdr:grpSpPr>
        <xdr:grpSp>
          <xdr:nvGrpSpPr>
            <xdr:cNvPr id="52" name="Agrupar 51">
              <a:extLst>
                <a:ext uri="{FF2B5EF4-FFF2-40B4-BE49-F238E27FC236}">
                  <a16:creationId xmlns:a16="http://schemas.microsoft.com/office/drawing/2014/main" id="{00000000-0008-0000-0700-000034000000}"/>
                </a:ext>
              </a:extLst>
            </xdr:cNvPr>
            <xdr:cNvGrpSpPr/>
          </xdr:nvGrpSpPr>
          <xdr:grpSpPr>
            <a:xfrm>
              <a:off x="15954373" y="22497228"/>
              <a:ext cx="3216506" cy="2796962"/>
              <a:chOff x="20214165" y="14146309"/>
              <a:chExt cx="3216506" cy="2506567"/>
            </a:xfrm>
          </xdr:grpSpPr>
          <xdr:graphicFrame macro="">
            <xdr:nvGraphicFramePr>
              <xdr:cNvPr id="58" name="Gráfico 57">
                <a:extLst>
                  <a:ext uri="{FF2B5EF4-FFF2-40B4-BE49-F238E27FC236}">
                    <a16:creationId xmlns:a16="http://schemas.microsoft.com/office/drawing/2014/main" id="{00000000-0008-0000-0700-00003A000000}"/>
                  </a:ext>
                </a:extLst>
              </xdr:cNvPr>
              <xdr:cNvGraphicFramePr>
                <a:graphicFrameLocks/>
              </xdr:cNvGraphicFramePr>
            </xdr:nvGraphicFramePr>
            <xdr:xfrm>
              <a:off x="20214165" y="14238964"/>
              <a:ext cx="3216506" cy="2413912"/>
            </xdr:xfrm>
            <a:graphic>
              <a:graphicData uri="http://schemas.openxmlformats.org/drawingml/2006/chart">
                <c:chart xmlns:c="http://schemas.openxmlformats.org/drawingml/2006/chart" xmlns:r="http://schemas.openxmlformats.org/officeDocument/2006/relationships" r:id="rId7"/>
              </a:graphicData>
            </a:graphic>
          </xdr:graphicFrame>
          <xdr:sp macro="" textlink="q17_a_q19_q26_a_q29_q38_q41_Fig!$R$156">
            <xdr:nvSpPr>
              <xdr:cNvPr id="59" name="CaixaDeTexto 58">
                <a:extLst>
                  <a:ext uri="{FF2B5EF4-FFF2-40B4-BE49-F238E27FC236}">
                    <a16:creationId xmlns:a16="http://schemas.microsoft.com/office/drawing/2014/main" id="{00000000-0008-0000-0700-00003B000000}"/>
                  </a:ext>
                </a:extLst>
              </xdr:cNvPr>
              <xdr:cNvSpPr txBox="1"/>
            </xdr:nvSpPr>
            <xdr:spPr>
              <a:xfrm>
                <a:off x="20489332" y="14315305"/>
                <a:ext cx="832831" cy="104984"/>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0F94BA2-6B0E-4433-82C5-B4EFBE3CC760}"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1.308,96 €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60" name="CaixaDeTexto 59">
                <a:extLst>
                  <a:ext uri="{FF2B5EF4-FFF2-40B4-BE49-F238E27FC236}">
                    <a16:creationId xmlns:a16="http://schemas.microsoft.com/office/drawing/2014/main" id="{00000000-0008-0000-0700-00003C000000}"/>
                  </a:ext>
                </a:extLst>
              </xdr:cNvPr>
              <xdr:cNvSpPr txBox="1"/>
            </xdr:nvSpPr>
            <xdr:spPr>
              <a:xfrm>
                <a:off x="20489331" y="14146309"/>
                <a:ext cx="832831" cy="152704"/>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sp macro="" textlink="q17_a_q19_q26_a_q29_q38_q41_Fig!$R$157">
            <xdr:nvSpPr>
              <xdr:cNvPr id="61" name="CaixaDeTexto 60">
                <a:extLst>
                  <a:ext uri="{FF2B5EF4-FFF2-40B4-BE49-F238E27FC236}">
                    <a16:creationId xmlns:a16="http://schemas.microsoft.com/office/drawing/2014/main" id="{00000000-0008-0000-0700-00003D000000}"/>
                  </a:ext>
                </a:extLst>
              </xdr:cNvPr>
              <xdr:cNvSpPr txBox="1"/>
            </xdr:nvSpPr>
            <xdr:spPr>
              <a:xfrm>
                <a:off x="20489332" y="14445865"/>
                <a:ext cx="832831" cy="104984"/>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DA4E0333-78D4-439B-B537-AEE1F2DB13B3}"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1.582,75 €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53" name="Agrupar 52">
              <a:extLst>
                <a:ext uri="{FF2B5EF4-FFF2-40B4-BE49-F238E27FC236}">
                  <a16:creationId xmlns:a16="http://schemas.microsoft.com/office/drawing/2014/main" id="{00000000-0008-0000-0700-000035000000}"/>
                </a:ext>
              </a:extLst>
            </xdr:cNvPr>
            <xdr:cNvGrpSpPr/>
          </xdr:nvGrpSpPr>
          <xdr:grpSpPr>
            <a:xfrm>
              <a:off x="19018245" y="22489526"/>
              <a:ext cx="2954032" cy="2699106"/>
              <a:chOff x="20489331" y="14115698"/>
              <a:chExt cx="2954032" cy="2418871"/>
            </a:xfrm>
          </xdr:grpSpPr>
          <xdr:graphicFrame macro="">
            <xdr:nvGraphicFramePr>
              <xdr:cNvPr id="54" name="Gráfico 53">
                <a:extLst>
                  <a:ext uri="{FF2B5EF4-FFF2-40B4-BE49-F238E27FC236}">
                    <a16:creationId xmlns:a16="http://schemas.microsoft.com/office/drawing/2014/main" id="{00000000-0008-0000-0700-000036000000}"/>
                  </a:ext>
                </a:extLst>
              </xdr:cNvPr>
              <xdr:cNvGraphicFramePr>
                <a:graphicFrameLocks/>
              </xdr:cNvGraphicFramePr>
            </xdr:nvGraphicFramePr>
            <xdr:xfrm>
              <a:off x="20815828" y="14262773"/>
              <a:ext cx="2627535" cy="2271796"/>
            </xdr:xfrm>
            <a:graphic>
              <a:graphicData uri="http://schemas.openxmlformats.org/drawingml/2006/chart">
                <c:chart xmlns:c="http://schemas.openxmlformats.org/drawingml/2006/chart" xmlns:r="http://schemas.openxmlformats.org/officeDocument/2006/relationships" r:id="rId8"/>
              </a:graphicData>
            </a:graphic>
          </xdr:graphicFrame>
          <xdr:sp macro="" textlink="q17_a_q19_q26_a_q29_q38_q41_Fig!$R$161">
            <xdr:nvSpPr>
              <xdr:cNvPr id="55" name="CaixaDeTexto 54">
                <a:extLst>
                  <a:ext uri="{FF2B5EF4-FFF2-40B4-BE49-F238E27FC236}">
                    <a16:creationId xmlns:a16="http://schemas.microsoft.com/office/drawing/2014/main" id="{00000000-0008-0000-0700-000037000000}"/>
                  </a:ext>
                </a:extLst>
              </xdr:cNvPr>
              <xdr:cNvSpPr txBox="1"/>
            </xdr:nvSpPr>
            <xdr:spPr>
              <a:xfrm>
                <a:off x="20489332" y="14269390"/>
                <a:ext cx="832831" cy="104984"/>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E587BF85-BB14-4F3A-AD15-798073BC924D}"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950,00 €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56" name="CaixaDeTexto 55">
                <a:extLst>
                  <a:ext uri="{FF2B5EF4-FFF2-40B4-BE49-F238E27FC236}">
                    <a16:creationId xmlns:a16="http://schemas.microsoft.com/office/drawing/2014/main" id="{00000000-0008-0000-0700-000038000000}"/>
                  </a:ext>
                </a:extLst>
              </xdr:cNvPr>
              <xdr:cNvSpPr txBox="1"/>
            </xdr:nvSpPr>
            <xdr:spPr>
              <a:xfrm>
                <a:off x="20489331" y="14115698"/>
                <a:ext cx="832831" cy="152704"/>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sp macro="" textlink="q17_a_q19_q26_a_q29_q38_q41_Fig!$R$162">
            <xdr:nvSpPr>
              <xdr:cNvPr id="57" name="CaixaDeTexto 56">
                <a:extLst>
                  <a:ext uri="{FF2B5EF4-FFF2-40B4-BE49-F238E27FC236}">
                    <a16:creationId xmlns:a16="http://schemas.microsoft.com/office/drawing/2014/main" id="{00000000-0008-0000-0700-000039000000}"/>
                  </a:ext>
                </a:extLst>
              </xdr:cNvPr>
              <xdr:cNvSpPr txBox="1"/>
            </xdr:nvSpPr>
            <xdr:spPr>
              <a:xfrm>
                <a:off x="20489332" y="14399947"/>
                <a:ext cx="832831" cy="104984"/>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D6D98A2-6D76-440E-BC60-B4CCDBEDA45B}"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1.191,02 €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sp macro="" textlink="">
        <xdr:nvSpPr>
          <xdr:cNvPr id="50" name="CaixaDeTexto 49">
            <a:extLst>
              <a:ext uri="{FF2B5EF4-FFF2-40B4-BE49-F238E27FC236}">
                <a16:creationId xmlns:a16="http://schemas.microsoft.com/office/drawing/2014/main" id="{00000000-0008-0000-0700-000032000000}"/>
              </a:ext>
            </a:extLst>
          </xdr:cNvPr>
          <xdr:cNvSpPr txBox="1"/>
        </xdr:nvSpPr>
        <xdr:spPr>
          <a:xfrm>
            <a:off x="9632950" y="4363806"/>
            <a:ext cx="1622714" cy="147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Remunerações</a:t>
            </a:r>
            <a:r>
              <a:rPr lang="pt-PT" sz="800" b="1" baseline="0">
                <a:solidFill>
                  <a:schemeClr val="tx2"/>
                </a:solidFill>
              </a:rPr>
              <a:t> médias mensais</a:t>
            </a:r>
            <a:endParaRPr lang="pt-PT" sz="800" b="1">
              <a:solidFill>
                <a:schemeClr val="tx2"/>
              </a:solidFill>
            </a:endParaRPr>
          </a:p>
        </xdr:txBody>
      </xdr:sp>
      <xdr:sp macro="" textlink="">
        <xdr:nvSpPr>
          <xdr:cNvPr id="51" name="CaixaDeTexto 50">
            <a:extLst>
              <a:ext uri="{FF2B5EF4-FFF2-40B4-BE49-F238E27FC236}">
                <a16:creationId xmlns:a16="http://schemas.microsoft.com/office/drawing/2014/main" id="{00000000-0008-0000-0700-000033000000}"/>
              </a:ext>
            </a:extLst>
          </xdr:cNvPr>
          <xdr:cNvSpPr txBox="1"/>
        </xdr:nvSpPr>
        <xdr:spPr>
          <a:xfrm>
            <a:off x="11626850" y="4362666"/>
            <a:ext cx="1690234" cy="1620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Remunerações</a:t>
            </a:r>
            <a:r>
              <a:rPr lang="pt-PT" sz="800" b="1" baseline="0">
                <a:solidFill>
                  <a:schemeClr val="tx2"/>
                </a:solidFill>
              </a:rPr>
              <a:t> medianas mensais</a:t>
            </a:r>
            <a:endParaRPr lang="pt-PT" sz="800" b="1">
              <a:solidFill>
                <a:schemeClr val="tx2"/>
              </a:solidFill>
            </a:endParaRPr>
          </a:p>
        </xdr:txBody>
      </xdr:sp>
    </xdr:grpSp>
    <xdr:clientData/>
  </xdr:twoCellAnchor>
  <xdr:twoCellAnchor>
    <xdr:from>
      <xdr:col>0</xdr:col>
      <xdr:colOff>171450</xdr:colOff>
      <xdr:row>6</xdr:row>
      <xdr:rowOff>129163</xdr:rowOff>
    </xdr:from>
    <xdr:to>
      <xdr:col>9</xdr:col>
      <xdr:colOff>292500</xdr:colOff>
      <xdr:row>9</xdr:row>
      <xdr:rowOff>104013</xdr:rowOff>
    </xdr:to>
    <xdr:sp macro="" textlink="q17_a_q19_q26_a_q29_q38_q41_Fig!$Z$1">
      <xdr:nvSpPr>
        <xdr:cNvPr id="62" name="CaixaDeTexto 61">
          <a:extLst>
            <a:ext uri="{FF2B5EF4-FFF2-40B4-BE49-F238E27FC236}">
              <a16:creationId xmlns:a16="http://schemas.microsoft.com/office/drawing/2014/main" id="{00000000-0008-0000-0700-00003E000000}"/>
            </a:ext>
          </a:extLst>
        </xdr:cNvPr>
        <xdr:cNvSpPr txBox="1"/>
      </xdr:nvSpPr>
      <xdr:spPr>
        <a:xfrm>
          <a:off x="171450" y="1234063"/>
          <a:ext cx="5436000" cy="540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1E7581E2-9095-4569-90A1-D838D0031323}" type="TxLink">
            <a:rPr lang="en-US" sz="900" b="0" i="0" u="none" strike="noStrike">
              <a:solidFill>
                <a:sysClr val="windowText" lastClr="000000"/>
              </a:solidFill>
              <a:latin typeface="Calibri"/>
              <a:cs typeface="Calibri"/>
            </a:rPr>
            <a:pPr/>
            <a:t>2024:
Existiam 3.354.136 TCO, dos quais 50,2% tinham entre 25 e 44 anos; 
A taxa de feminização era de 46,8%</a:t>
          </a:fld>
          <a:endParaRPr lang="pt-PT" sz="900" b="0">
            <a:solidFill>
              <a:sysClr val="windowText" lastClr="000000"/>
            </a:solidFill>
          </a:endParaRPr>
        </a:p>
      </xdr:txBody>
    </xdr:sp>
    <xdr:clientData/>
  </xdr:twoCellAnchor>
  <xdr:twoCellAnchor>
    <xdr:from>
      <xdr:col>0</xdr:col>
      <xdr:colOff>200025</xdr:colOff>
      <xdr:row>30</xdr:row>
      <xdr:rowOff>33598</xdr:rowOff>
    </xdr:from>
    <xdr:to>
      <xdr:col>9</xdr:col>
      <xdr:colOff>321075</xdr:colOff>
      <xdr:row>32</xdr:row>
      <xdr:rowOff>97298</xdr:rowOff>
    </xdr:to>
    <xdr:sp macro="" textlink="q17_a_q19_q26_a_q29_q38_q41_Fig!$W$86">
      <xdr:nvSpPr>
        <xdr:cNvPr id="64" name="CaixaDeTexto 63">
          <a:extLst>
            <a:ext uri="{FF2B5EF4-FFF2-40B4-BE49-F238E27FC236}">
              <a16:creationId xmlns:a16="http://schemas.microsoft.com/office/drawing/2014/main" id="{00000000-0008-0000-0700-000040000000}"/>
            </a:ext>
          </a:extLst>
        </xdr:cNvPr>
        <xdr:cNvSpPr txBox="1"/>
      </xdr:nvSpPr>
      <xdr:spPr>
        <a:xfrm>
          <a:off x="200025" y="5583498"/>
          <a:ext cx="5436000" cy="432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E93C6ABD-1843-4229-A504-5C37C5A7ECF0}" type="TxLink">
            <a:rPr lang="en-US" sz="900" b="0" i="0" u="none" strike="noStrike">
              <a:solidFill>
                <a:sysClr val="windowText" lastClr="000000"/>
              </a:solidFill>
              <a:latin typeface="Calibri"/>
              <a:cs typeface="Calibri"/>
            </a:rPr>
            <a:pPr/>
            <a:t>2024:
62,7% dos TCO tinham os Ensinos Secundário e Superior completos.</a:t>
          </a:fld>
          <a:endParaRPr lang="pt-PT" sz="900" b="0">
            <a:solidFill>
              <a:sysClr val="windowText" lastClr="000000"/>
            </a:solidFill>
          </a:endParaRPr>
        </a:p>
      </xdr:txBody>
    </xdr:sp>
    <xdr:clientData/>
  </xdr:twoCellAnchor>
  <xdr:twoCellAnchor>
    <xdr:from>
      <xdr:col>11</xdr:col>
      <xdr:colOff>295275</xdr:colOff>
      <xdr:row>6</xdr:row>
      <xdr:rowOff>137746</xdr:rowOff>
    </xdr:from>
    <xdr:to>
      <xdr:col>17</xdr:col>
      <xdr:colOff>70325</xdr:colOff>
      <xdr:row>11</xdr:row>
      <xdr:rowOff>13246</xdr:rowOff>
    </xdr:to>
    <xdr:sp macro="" textlink="q17_a_q19_q26_a_q29_q38_q41_Fig!$AM$99">
      <xdr:nvSpPr>
        <xdr:cNvPr id="65" name="CaixaDeTexto 64">
          <a:extLst>
            <a:ext uri="{FF2B5EF4-FFF2-40B4-BE49-F238E27FC236}">
              <a16:creationId xmlns:a16="http://schemas.microsoft.com/office/drawing/2014/main" id="{00000000-0008-0000-0700-000041000000}"/>
            </a:ext>
          </a:extLst>
        </xdr:cNvPr>
        <xdr:cNvSpPr txBox="1"/>
      </xdr:nvSpPr>
      <xdr:spPr>
        <a:xfrm>
          <a:off x="6791325" y="1242646"/>
          <a:ext cx="3312000" cy="8153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28500F9E-80FC-41DC-8CAC-4DCA6B17EA83}"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2024 - Continente:
Base: 82,7% do Ganho, entre 996 € (18 - 24 anos) e 1.414 €  (65 e + anos).
Ganho: Entre 1.191 € (18 - 24 anos) e 1.723 €  (45 - 54 anos).</a:t>
          </a:fld>
          <a:endParaRPr kumimoji="0" lang="pt-PT" sz="10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11</xdr:col>
      <xdr:colOff>314325</xdr:colOff>
      <xdr:row>29</xdr:row>
      <xdr:rowOff>180975</xdr:rowOff>
    </xdr:from>
    <xdr:to>
      <xdr:col>17</xdr:col>
      <xdr:colOff>110475</xdr:colOff>
      <xdr:row>34</xdr:row>
      <xdr:rowOff>56475</xdr:rowOff>
    </xdr:to>
    <xdr:sp macro="" textlink="q17_a_q19_q26_a_q29_q38_q41_Fig!$AA$177">
      <xdr:nvSpPr>
        <xdr:cNvPr id="67" name="CaixaDeTexto 66">
          <a:extLst>
            <a:ext uri="{FF2B5EF4-FFF2-40B4-BE49-F238E27FC236}">
              <a16:creationId xmlns:a16="http://schemas.microsoft.com/office/drawing/2014/main" id="{00000000-0008-0000-0700-000043000000}"/>
            </a:ext>
          </a:extLst>
        </xdr:cNvPr>
        <xdr:cNvSpPr txBox="1"/>
      </xdr:nvSpPr>
      <xdr:spPr>
        <a:xfrm>
          <a:off x="6496050" y="5705475"/>
          <a:ext cx="3168000" cy="828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07780C63-7073-4FE6-9238-51DD5D689977}"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2024 - Continente:
Base média: 82,7% do Ganho, entre 880 € (&lt; 1.º ciclo do ensino básico) e  1.990 € (Ensino superior**).
Ganho médio:Entre 1.033 € e 2.363 €, nos mesmos níveis de habilitação, respetivamente.</a:t>
          </a:fld>
          <a:endParaRPr kumimoji="0" lang="pt-PT" sz="1000" b="1" i="0" u="none" strike="noStrike" kern="0" cap="none" spc="0" normalizeH="0" baseline="0" noProof="0">
            <a:ln>
              <a:noFill/>
            </a:ln>
            <a:solidFill>
              <a:srgbClr val="17375E"/>
            </a:solidFill>
            <a:effectLst/>
            <a:uLnTx/>
            <a:uFillTx/>
            <a:latin typeface="Calibri"/>
            <a:ea typeface="+mn-ea"/>
            <a:cs typeface="+mn-cs"/>
          </a:endParaRPr>
        </a:p>
      </xdr:txBody>
    </xdr:sp>
    <xdr:clientData/>
  </xdr:twoCellAnchor>
  <xdr:twoCellAnchor>
    <xdr:from>
      <xdr:col>0</xdr:col>
      <xdr:colOff>7937</xdr:colOff>
      <xdr:row>2</xdr:row>
      <xdr:rowOff>123825</xdr:rowOff>
    </xdr:from>
    <xdr:to>
      <xdr:col>23</xdr:col>
      <xdr:colOff>0</xdr:colOff>
      <xdr:row>3</xdr:row>
      <xdr:rowOff>171450</xdr:rowOff>
    </xdr:to>
    <xdr:sp macro="" textlink="">
      <xdr:nvSpPr>
        <xdr:cNvPr id="68" name="Text Box 10">
          <a:extLst>
            <a:ext uri="{FF2B5EF4-FFF2-40B4-BE49-F238E27FC236}">
              <a16:creationId xmlns:a16="http://schemas.microsoft.com/office/drawing/2014/main" id="{00000000-0008-0000-0700-000044000000}"/>
            </a:ext>
          </a:extLst>
        </xdr:cNvPr>
        <xdr:cNvSpPr txBox="1">
          <a:spLocks noChangeArrowheads="1"/>
        </xdr:cNvSpPr>
      </xdr:nvSpPr>
      <xdr:spPr bwMode="auto">
        <a:xfrm>
          <a:off x="7937" y="504825"/>
          <a:ext cx="13031788" cy="238125"/>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200" b="1">
              <a:solidFill>
                <a:srgbClr val="00467A"/>
              </a:solidFill>
              <a:latin typeface="Arial" charset="0"/>
            </a:rPr>
            <a:t>Trabalhadores por Conta de Outrem e Remunerações médias mensais</a:t>
          </a:r>
        </a:p>
        <a:p>
          <a:pPr algn="l">
            <a:spcBef>
              <a:spcPct val="50000"/>
            </a:spcBef>
          </a:pPr>
          <a:endParaRPr lang="en-US" altLang="pt-PT" sz="1200" b="1">
            <a:solidFill>
              <a:srgbClr val="00467A"/>
            </a:solidFill>
            <a:latin typeface="Arial" charset="0"/>
          </a:endParaRPr>
        </a:p>
      </xdr:txBody>
    </xdr:sp>
    <xdr:clientData/>
  </xdr:twoCellAnchor>
  <xdr:twoCellAnchor>
    <xdr:from>
      <xdr:col>10</xdr:col>
      <xdr:colOff>356428</xdr:colOff>
      <xdr:row>2</xdr:row>
      <xdr:rowOff>114300</xdr:rowOff>
    </xdr:from>
    <xdr:to>
      <xdr:col>14</xdr:col>
      <xdr:colOff>77185</xdr:colOff>
      <xdr:row>3</xdr:row>
      <xdr:rowOff>171825</xdr:rowOff>
    </xdr:to>
    <xdr:grpSp>
      <xdr:nvGrpSpPr>
        <xdr:cNvPr id="69" name="Agrupar 68">
          <a:extLst>
            <a:ext uri="{FF2B5EF4-FFF2-40B4-BE49-F238E27FC236}">
              <a16:creationId xmlns:a16="http://schemas.microsoft.com/office/drawing/2014/main" id="{00000000-0008-0000-0700-000045000000}"/>
            </a:ext>
          </a:extLst>
        </xdr:cNvPr>
        <xdr:cNvGrpSpPr/>
      </xdr:nvGrpSpPr>
      <xdr:grpSpPr>
        <a:xfrm>
          <a:off x="5976178" y="495300"/>
          <a:ext cx="1911507" cy="248025"/>
          <a:chOff x="4531552" y="504825"/>
          <a:chExt cx="1916250" cy="248025"/>
        </a:xfrm>
      </xdr:grpSpPr>
      <xdr:sp macro="" textlink="">
        <xdr:nvSpPr>
          <xdr:cNvPr id="70" name="Text Box 10">
            <a:extLst>
              <a:ext uri="{FF2B5EF4-FFF2-40B4-BE49-F238E27FC236}">
                <a16:creationId xmlns:a16="http://schemas.microsoft.com/office/drawing/2014/main" id="{00000000-0008-0000-0700-000046000000}"/>
              </a:ext>
            </a:extLst>
          </xdr:cNvPr>
          <xdr:cNvSpPr txBox="1">
            <a:spLocks noChangeArrowheads="1"/>
          </xdr:cNvSpPr>
        </xdr:nvSpPr>
        <xdr:spPr bwMode="auto">
          <a:xfrm>
            <a:off x="4531552" y="504825"/>
            <a:ext cx="1170000" cy="248025"/>
          </a:xfrm>
          <a:prstGeom prst="rect">
            <a:avLst/>
          </a:prstGeom>
          <a:solidFill>
            <a:srgbClr val="00467A"/>
          </a:solidFill>
          <a:ln>
            <a:noFill/>
          </a:ln>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418817" name="Drop Down 1" hidden="1">
                <a:extLst>
                  <a:ext uri="{63B3BB69-23CF-44E3-9099-C40C66FF867C}">
                    <a14:compatExt spid="_x0000_s418817"/>
                  </a:ext>
                  <a:ext uri="{FF2B5EF4-FFF2-40B4-BE49-F238E27FC236}">
                    <a16:creationId xmlns:a16="http://schemas.microsoft.com/office/drawing/2014/main" id="{00000000-0008-0000-0700-000001640600}"/>
                  </a:ext>
                </a:extLst>
              </xdr:cNvPr>
              <xdr:cNvSpPr/>
            </xdr:nvSpPr>
            <xdr:spPr bwMode="auto">
              <a:xfrm>
                <a:off x="5727802" y="543516"/>
                <a:ext cx="720000" cy="199434"/>
              </a:xfrm>
              <a:prstGeom prst="rect">
                <a:avLst/>
              </a:prstGeom>
              <a:noFill/>
              <a:ln>
                <a:noFill/>
              </a:ln>
              <a:extLst>
                <a:ext uri="{91240B29-F687-4F45-9708-019B960494DF}">
                  <a14:hiddenLine w="9525">
                    <a:noFill/>
                    <a:miter lim="800000"/>
                    <a:headEnd/>
                    <a:tailEnd/>
                  </a14:hiddenLine>
                </a:ext>
              </a:extLst>
            </xdr:spPr>
          </xdr:sp>
        </mc:Choice>
        <mc:Fallback/>
      </mc:AlternateContent>
    </xdr:grpSp>
    <xdr:clientData/>
  </xdr:twoCellAnchor>
  <xdr:twoCellAnchor>
    <xdr:from>
      <xdr:col>0</xdr:col>
      <xdr:colOff>0</xdr:colOff>
      <xdr:row>4</xdr:row>
      <xdr:rowOff>12700</xdr:rowOff>
    </xdr:from>
    <xdr:to>
      <xdr:col>22</xdr:col>
      <xdr:colOff>528974</xdr:colOff>
      <xdr:row>5</xdr:row>
      <xdr:rowOff>8550</xdr:rowOff>
    </xdr:to>
    <xdr:grpSp>
      <xdr:nvGrpSpPr>
        <xdr:cNvPr id="71" name="Agrupar 70">
          <a:extLst>
            <a:ext uri="{FF2B5EF4-FFF2-40B4-BE49-F238E27FC236}">
              <a16:creationId xmlns:a16="http://schemas.microsoft.com/office/drawing/2014/main" id="{00000000-0008-0000-0700-000047000000}"/>
            </a:ext>
          </a:extLst>
        </xdr:cNvPr>
        <xdr:cNvGrpSpPr/>
      </xdr:nvGrpSpPr>
      <xdr:grpSpPr>
        <a:xfrm>
          <a:off x="0" y="774700"/>
          <a:ext cx="12987674" cy="186350"/>
          <a:chOff x="0" y="1060450"/>
          <a:chExt cx="12987674" cy="186350"/>
        </a:xfrm>
      </xdr:grpSpPr>
      <xdr:sp macro="" textlink="">
        <xdr:nvSpPr>
          <xdr:cNvPr id="4" name="Rectangle 3">
            <a:extLst>
              <a:ext uri="{FF2B5EF4-FFF2-40B4-BE49-F238E27FC236}">
                <a16:creationId xmlns:a16="http://schemas.microsoft.com/office/drawing/2014/main" id="{00000000-0008-0000-0700-000004000000}"/>
              </a:ext>
            </a:extLst>
          </xdr:cNvPr>
          <xdr:cNvSpPr>
            <a:spLocks noChangeArrowheads="1"/>
          </xdr:cNvSpPr>
        </xdr:nvSpPr>
        <xdr:spPr bwMode="auto">
          <a:xfrm>
            <a:off x="0" y="1060450"/>
            <a:ext cx="6444000" cy="180000"/>
          </a:xfrm>
          <a:prstGeom prst="rect">
            <a:avLst/>
          </a:prstGeom>
          <a:solidFill>
            <a:schemeClr val="tx2">
              <a:lumMod val="20000"/>
              <a:lumOff val="80000"/>
            </a:schemeClr>
          </a:solidFill>
          <a:ln w="28575" cap="rnd">
            <a:noFill/>
            <a:prstDash val="sysDot"/>
            <a:miter lim="800000"/>
            <a:headEnd/>
            <a:tailEnd/>
          </a:ln>
          <a:effectLst>
            <a:prstShdw prst="shdw18">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defTabSz="988538">
              <a:defRPr/>
            </a:pPr>
            <a:r>
              <a:rPr lang="en-US" sz="1100" b="1" kern="1200">
                <a:solidFill>
                  <a:schemeClr val="tx2">
                    <a:lumMod val="50000"/>
                  </a:schemeClr>
                </a:solidFill>
                <a:effectLst/>
                <a:latin typeface="Calibri" panose="020F0502020204030204" pitchFamily="34" charset="0"/>
                <a:ea typeface="+mn-ea"/>
                <a:cs typeface="Calibri" panose="020F0502020204030204" pitchFamily="34" charset="0"/>
              </a:rPr>
              <a:t>Número de Trabalhadores</a:t>
            </a:r>
            <a:r>
              <a:rPr lang="en-US" sz="1100" b="1" kern="1200" baseline="0">
                <a:solidFill>
                  <a:schemeClr val="tx2">
                    <a:lumMod val="50000"/>
                  </a:schemeClr>
                </a:solidFill>
                <a:effectLst/>
                <a:latin typeface="Calibri" panose="020F0502020204030204" pitchFamily="34" charset="0"/>
                <a:ea typeface="+mn-ea"/>
                <a:cs typeface="Calibri" panose="020F0502020204030204" pitchFamily="34" charset="0"/>
              </a:rPr>
              <a:t> por Conta de Outrem </a:t>
            </a:r>
            <a:endParaRPr lang="pt-PT" sz="1100" b="1" i="1">
              <a:solidFill>
                <a:schemeClr val="tx2">
                  <a:lumMod val="50000"/>
                </a:schemeClr>
              </a:solidFill>
              <a:effectLst>
                <a:outerShdw blurRad="38100" dist="38100" dir="2700000" algn="tl">
                  <a:srgbClr val="000000"/>
                </a:outerShdw>
              </a:effectLst>
              <a:latin typeface="Calibri" panose="020F0502020204030204" pitchFamily="34" charset="0"/>
              <a:cs typeface="Calibri" panose="020F0502020204030204" pitchFamily="34" charset="0"/>
            </a:endParaRPr>
          </a:p>
        </xdr:txBody>
      </xdr:sp>
      <xdr:sp macro="" textlink="">
        <xdr:nvSpPr>
          <xdr:cNvPr id="72" name="Rectangle 3">
            <a:extLst>
              <a:ext uri="{FF2B5EF4-FFF2-40B4-BE49-F238E27FC236}">
                <a16:creationId xmlns:a16="http://schemas.microsoft.com/office/drawing/2014/main" id="{00000000-0008-0000-0700-000048000000}"/>
              </a:ext>
            </a:extLst>
          </xdr:cNvPr>
          <xdr:cNvSpPr>
            <a:spLocks noChangeArrowheads="1"/>
          </xdr:cNvSpPr>
        </xdr:nvSpPr>
        <xdr:spPr bwMode="auto">
          <a:xfrm>
            <a:off x="6543674" y="1066800"/>
            <a:ext cx="6444000" cy="180000"/>
          </a:xfrm>
          <a:prstGeom prst="rect">
            <a:avLst/>
          </a:prstGeom>
          <a:solidFill>
            <a:schemeClr val="tx2">
              <a:lumMod val="20000"/>
              <a:lumOff val="80000"/>
            </a:schemeClr>
          </a:solidFill>
          <a:ln w="28575" cap="rnd">
            <a:noFill/>
            <a:prstDash val="sysDot"/>
            <a:miter lim="800000"/>
            <a:headEnd/>
            <a:tailEnd/>
          </a:ln>
          <a:effectLst>
            <a:prstShdw prst="shdw18">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defTabSz="988538">
              <a:defRPr/>
            </a:pPr>
            <a:r>
              <a:rPr lang="en-US" sz="1100" b="1" kern="1200">
                <a:solidFill>
                  <a:schemeClr val="tx2">
                    <a:lumMod val="50000"/>
                  </a:schemeClr>
                </a:solidFill>
                <a:effectLst/>
                <a:latin typeface="Calibri" panose="020F0502020204030204" pitchFamily="34" charset="0"/>
                <a:ea typeface="+mn-ea"/>
                <a:cs typeface="Calibri" panose="020F0502020204030204" pitchFamily="34" charset="0"/>
              </a:rPr>
              <a:t>Remunerações médias mensais</a:t>
            </a:r>
            <a:endParaRPr lang="pt-PT" sz="1100" b="1" i="1">
              <a:solidFill>
                <a:schemeClr val="tx2">
                  <a:lumMod val="50000"/>
                </a:schemeClr>
              </a:solidFill>
              <a:effectLst>
                <a:outerShdw blurRad="38100" dist="38100" dir="2700000" algn="tl">
                  <a:srgbClr val="000000"/>
                </a:outerShdw>
              </a:effectLst>
              <a:latin typeface="Calibri" panose="020F0502020204030204" pitchFamily="34" charset="0"/>
              <a:cs typeface="Calibri" panose="020F0502020204030204" pitchFamily="34" charset="0"/>
            </a:endParaRPr>
          </a:p>
        </xdr:txBody>
      </xdr:sp>
    </xdr:grpSp>
    <xdr:clientData/>
  </xdr:twoCellAnchor>
  <xdr:twoCellAnchor>
    <xdr:from>
      <xdr:col>0</xdr:col>
      <xdr:colOff>9524</xdr:colOff>
      <xdr:row>5</xdr:row>
      <xdr:rowOff>60326</xdr:rowOff>
    </xdr:from>
    <xdr:to>
      <xdr:col>22</xdr:col>
      <xdr:colOff>552449</xdr:colOff>
      <xdr:row>6</xdr:row>
      <xdr:rowOff>85725</xdr:rowOff>
    </xdr:to>
    <xdr:grpSp>
      <xdr:nvGrpSpPr>
        <xdr:cNvPr id="73" name="Agrupar 72">
          <a:extLst>
            <a:ext uri="{FF2B5EF4-FFF2-40B4-BE49-F238E27FC236}">
              <a16:creationId xmlns:a16="http://schemas.microsoft.com/office/drawing/2014/main" id="{00000000-0008-0000-0700-000049000000}"/>
            </a:ext>
          </a:extLst>
        </xdr:cNvPr>
        <xdr:cNvGrpSpPr/>
      </xdr:nvGrpSpPr>
      <xdr:grpSpPr>
        <a:xfrm>
          <a:off x="9524" y="1012826"/>
          <a:ext cx="13001625" cy="215899"/>
          <a:chOff x="230187" y="661786"/>
          <a:chExt cx="5846763" cy="449464"/>
        </a:xfrm>
      </xdr:grpSpPr>
      <xdr:sp macro="" textlink="">
        <xdr:nvSpPr>
          <xdr:cNvPr id="74" name="Rectangle 3">
            <a:extLst>
              <a:ext uri="{FF2B5EF4-FFF2-40B4-BE49-F238E27FC236}">
                <a16:creationId xmlns:a16="http://schemas.microsoft.com/office/drawing/2014/main" id="{00000000-0008-0000-0700-00004A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75" name="Text Box 10">
            <a:extLst>
              <a:ext uri="{FF2B5EF4-FFF2-40B4-BE49-F238E27FC236}">
                <a16:creationId xmlns:a16="http://schemas.microsoft.com/office/drawing/2014/main" id="{00000000-0008-0000-0700-00004B000000}"/>
              </a:ext>
            </a:extLst>
          </xdr:cNvPr>
          <xdr:cNvSpPr txBox="1">
            <a:spLocks noChangeArrowheads="1"/>
          </xdr:cNvSpPr>
        </xdr:nvSpPr>
        <xdr:spPr bwMode="auto">
          <a:xfrm>
            <a:off x="307903" y="661786"/>
            <a:ext cx="2220612" cy="340308"/>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r>
              <a:rPr lang="pt-PT" sz="900" b="1" kern="1200">
                <a:solidFill>
                  <a:srgbClr val="00467A"/>
                </a:solidFill>
                <a:effectLst/>
                <a:latin typeface="Calibri" panose="020F0502020204030204" pitchFamily="34" charset="0"/>
                <a:ea typeface="+mn-ea"/>
                <a:cs typeface="Calibri" panose="020F0502020204030204" pitchFamily="34" charset="0"/>
              </a:rPr>
              <a:t>.....por Grupo Etário e Sexo</a:t>
            </a:r>
            <a:endParaRPr lang="pt-PT" sz="900">
              <a:solidFill>
                <a:srgbClr val="00467A"/>
              </a:solidFill>
              <a:effectLst/>
              <a:latin typeface="Calibri" panose="020F0502020204030204" pitchFamily="34" charset="0"/>
              <a:cs typeface="Calibri" panose="020F0502020204030204" pitchFamily="34" charset="0"/>
            </a:endParaRPr>
          </a:p>
        </xdr:txBody>
      </xdr:sp>
    </xdr:grpSp>
    <xdr:clientData/>
  </xdr:twoCellAnchor>
  <xdr:twoCellAnchor>
    <xdr:from>
      <xdr:col>0</xdr:col>
      <xdr:colOff>9522</xdr:colOff>
      <xdr:row>28</xdr:row>
      <xdr:rowOff>142874</xdr:rowOff>
    </xdr:from>
    <xdr:to>
      <xdr:col>23</xdr:col>
      <xdr:colOff>1797</xdr:colOff>
      <xdr:row>29</xdr:row>
      <xdr:rowOff>168374</xdr:rowOff>
    </xdr:to>
    <xdr:grpSp>
      <xdr:nvGrpSpPr>
        <xdr:cNvPr id="79" name="Agrupar 78">
          <a:extLst>
            <a:ext uri="{FF2B5EF4-FFF2-40B4-BE49-F238E27FC236}">
              <a16:creationId xmlns:a16="http://schemas.microsoft.com/office/drawing/2014/main" id="{00000000-0008-0000-0700-00004F000000}"/>
            </a:ext>
          </a:extLst>
        </xdr:cNvPr>
        <xdr:cNvGrpSpPr/>
      </xdr:nvGrpSpPr>
      <xdr:grpSpPr>
        <a:xfrm>
          <a:off x="9522" y="5476874"/>
          <a:ext cx="13030203" cy="216000"/>
          <a:chOff x="230187" y="661786"/>
          <a:chExt cx="5846763" cy="449464"/>
        </a:xfrm>
      </xdr:grpSpPr>
      <xdr:sp macro="" textlink="">
        <xdr:nvSpPr>
          <xdr:cNvPr id="80" name="Rectangle 3">
            <a:extLst>
              <a:ext uri="{FF2B5EF4-FFF2-40B4-BE49-F238E27FC236}">
                <a16:creationId xmlns:a16="http://schemas.microsoft.com/office/drawing/2014/main" id="{00000000-0008-0000-0700-000050000000}"/>
              </a:ext>
            </a:extLst>
          </xdr:cNvPr>
          <xdr:cNvSpPr>
            <a:spLocks noChangeArrowheads="1"/>
          </xdr:cNvSpPr>
        </xdr:nvSpPr>
        <xdr:spPr bwMode="auto">
          <a:xfrm>
            <a:off x="230187" y="673101"/>
            <a:ext cx="5846763" cy="438149"/>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81" name="Text Box 10">
            <a:extLst>
              <a:ext uri="{FF2B5EF4-FFF2-40B4-BE49-F238E27FC236}">
                <a16:creationId xmlns:a16="http://schemas.microsoft.com/office/drawing/2014/main" id="{00000000-0008-0000-0700-000051000000}"/>
              </a:ext>
            </a:extLst>
          </xdr:cNvPr>
          <xdr:cNvSpPr txBox="1">
            <a:spLocks noChangeArrowheads="1"/>
          </xdr:cNvSpPr>
        </xdr:nvSpPr>
        <xdr:spPr bwMode="auto">
          <a:xfrm>
            <a:off x="303628" y="661786"/>
            <a:ext cx="2215955" cy="337098"/>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r>
              <a:rPr lang="pt-PT" sz="1000" b="1" kern="1200">
                <a:solidFill>
                  <a:srgbClr val="00467A"/>
                </a:solidFill>
                <a:effectLst/>
                <a:latin typeface="+mn-lt"/>
                <a:ea typeface="+mn-ea"/>
                <a:cs typeface="+mn-cs"/>
              </a:rPr>
              <a:t>.....por Nível de Habilitação</a:t>
            </a:r>
            <a:endParaRPr lang="pt-PT" sz="1000">
              <a:solidFill>
                <a:srgbClr val="00467A"/>
              </a:solidFill>
              <a:effectLst/>
              <a:latin typeface="+mn-lt"/>
            </a:endParaRPr>
          </a:p>
        </xdr:txBody>
      </xdr:sp>
    </xdr:grpSp>
    <xdr:clientData/>
  </xdr:twoCellAnchor>
  <xdr:twoCellAnchor>
    <xdr:from>
      <xdr:col>21</xdr:col>
      <xdr:colOff>31684</xdr:colOff>
      <xdr:row>0</xdr:row>
      <xdr:rowOff>127001</xdr:rowOff>
    </xdr:from>
    <xdr:to>
      <xdr:col>22</xdr:col>
      <xdr:colOff>484175</xdr:colOff>
      <xdr:row>1</xdr:row>
      <xdr:rowOff>173928</xdr:rowOff>
    </xdr:to>
    <xdr:sp macro="" textlink="">
      <xdr:nvSpPr>
        <xdr:cNvPr id="82" name="Text Box 10">
          <a:hlinkClick xmlns:r="http://schemas.openxmlformats.org/officeDocument/2006/relationships" r:id="rId9"/>
          <a:extLst>
            <a:ext uri="{FF2B5EF4-FFF2-40B4-BE49-F238E27FC236}">
              <a16:creationId xmlns:a16="http://schemas.microsoft.com/office/drawing/2014/main" id="{00000000-0008-0000-0700-000052000000}"/>
            </a:ext>
          </a:extLst>
        </xdr:cNvPr>
        <xdr:cNvSpPr txBox="1">
          <a:spLocks noChangeArrowheads="1"/>
        </xdr:cNvSpPr>
      </xdr:nvSpPr>
      <xdr:spPr bwMode="auto">
        <a:xfrm>
          <a:off x="11909359" y="127001"/>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twoCellAnchor>
    <xdr:from>
      <xdr:col>17</xdr:col>
      <xdr:colOff>257173</xdr:colOff>
      <xdr:row>6</xdr:row>
      <xdr:rowOff>139699</xdr:rowOff>
    </xdr:from>
    <xdr:to>
      <xdr:col>22</xdr:col>
      <xdr:colOff>484048</xdr:colOff>
      <xdr:row>11</xdr:row>
      <xdr:rowOff>15199</xdr:rowOff>
    </xdr:to>
    <xdr:sp macro="" textlink="q17_a_q19_q26_a_q29_q38_q41_Fig!AX92">
      <xdr:nvSpPr>
        <xdr:cNvPr id="83" name="CaixaDeTexto 82">
          <a:extLst>
            <a:ext uri="{FF2B5EF4-FFF2-40B4-BE49-F238E27FC236}">
              <a16:creationId xmlns:a16="http://schemas.microsoft.com/office/drawing/2014/main" id="{00000000-0008-0000-0700-000053000000}"/>
            </a:ext>
          </a:extLst>
        </xdr:cNvPr>
        <xdr:cNvSpPr txBox="1"/>
      </xdr:nvSpPr>
      <xdr:spPr>
        <a:xfrm>
          <a:off x="9810748" y="1282699"/>
          <a:ext cx="3132000" cy="828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BE1D93B8-A427-4A4B-8792-3BED9284426F}"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2024:
Base Mulheres = 88,0% da dos Homens (H), entre  61,4% da dos H (&lt; 18 anos) e 94,1% (25 - 34 anos).
Ganho Mulheres = 85,4% da dos H, entre  66,3% da dos H (&lt; 18 anos) e 92,4% (18 - 24 anos).</a:t>
          </a:fld>
          <a:endParaRPr kumimoji="0" lang="en-US" i="0" u="none" strike="noStrike" kern="0" cap="none" spc="0" normalizeH="0" baseline="0" noProof="0">
            <a:ln>
              <a:noFill/>
            </a:ln>
            <a:solidFill>
              <a:sysClr val="windowText" lastClr="000000"/>
            </a:solidFill>
            <a:effectLst/>
            <a:uLnTx/>
            <a:uFillTx/>
            <a:latin typeface="Calibri"/>
            <a:ea typeface="+mn-ea"/>
          </a:endParaRPr>
        </a:p>
      </xdr:txBody>
    </xdr:sp>
    <xdr:clientData/>
  </xdr:twoCellAnchor>
  <xdr:twoCellAnchor editAs="oneCell">
    <xdr:from>
      <xdr:col>0</xdr:col>
      <xdr:colOff>50800</xdr:colOff>
      <xdr:row>0</xdr:row>
      <xdr:rowOff>38100</xdr:rowOff>
    </xdr:from>
    <xdr:to>
      <xdr:col>1</xdr:col>
      <xdr:colOff>342900</xdr:colOff>
      <xdr:row>2</xdr:row>
      <xdr:rowOff>82550</xdr:rowOff>
    </xdr:to>
    <xdr:pic>
      <xdr:nvPicPr>
        <xdr:cNvPr id="63" name="Imagem 62" descr="Z:\G_EME_INFOESTAT\5_apoio_pedidos\imagens\logoDGCP_pq.png">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800" y="38100"/>
          <a:ext cx="882650" cy="41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0.51845</cdr:x>
      <cdr:y>0.14688</cdr:y>
    </cdr:from>
    <cdr:to>
      <cdr:x>0.65457</cdr:x>
      <cdr:y>0.26625</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851379" y="533645"/>
          <a:ext cx="486083" cy="433695"/>
          <a:chOff x="1925896" y="369817"/>
          <a:chExt cx="505685"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25896"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25.xml><?xml version="1.0" encoding="utf-8"?>
<c:userShapes xmlns:c="http://schemas.openxmlformats.org/drawingml/2006/chart">
  <cdr:relSizeAnchor xmlns:cdr="http://schemas.openxmlformats.org/drawingml/2006/chartDrawing">
    <cdr:from>
      <cdr:x>0.49765</cdr:x>
      <cdr:y>0.09441</cdr:y>
    </cdr:from>
    <cdr:to>
      <cdr:x>0.61405</cdr:x>
      <cdr:y>0.18938</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752408" y="304450"/>
          <a:ext cx="409887" cy="306256"/>
          <a:chOff x="1941922" y="369817"/>
          <a:chExt cx="489659"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41922"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26.xml><?xml version="1.0" encoding="utf-8"?>
<xdr:wsDr xmlns:xdr="http://schemas.openxmlformats.org/drawingml/2006/spreadsheetDrawing" xmlns:a="http://schemas.openxmlformats.org/drawingml/2006/main">
  <xdr:twoCellAnchor>
    <xdr:from>
      <xdr:col>17</xdr:col>
      <xdr:colOff>200025</xdr:colOff>
      <xdr:row>29</xdr:row>
      <xdr:rowOff>152400</xdr:rowOff>
    </xdr:from>
    <xdr:to>
      <xdr:col>22</xdr:col>
      <xdr:colOff>534900</xdr:colOff>
      <xdr:row>34</xdr:row>
      <xdr:rowOff>135900</xdr:rowOff>
    </xdr:to>
    <xdr:sp macro="" textlink="q17_a_q19_q26_a_q29_q38_q41_Fig!Z296">
      <xdr:nvSpPr>
        <xdr:cNvPr id="2" name="CaixaDeTexto 1">
          <a:extLst>
            <a:ext uri="{FF2B5EF4-FFF2-40B4-BE49-F238E27FC236}">
              <a16:creationId xmlns:a16="http://schemas.microsoft.com/office/drawing/2014/main" id="{00000000-0008-0000-0800-000002000000}"/>
            </a:ext>
          </a:extLst>
        </xdr:cNvPr>
        <xdr:cNvSpPr txBox="1"/>
      </xdr:nvSpPr>
      <xdr:spPr>
        <a:xfrm>
          <a:off x="9753600" y="5676900"/>
          <a:ext cx="3240000" cy="936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DFCF6A7B-E23F-45C3-B3FE-6DC3C225EC78}"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2024 - Continente:
Base horária média: 7,38 € a variar entre 5,12 € (Trabalhadores não qualificados ) e 18,20 € (Trabalhadores sem profissão atribuida).</a:t>
          </a:fld>
          <a:endParaRPr kumimoji="0" lang="en-US" sz="900" b="0"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1</xdr:col>
      <xdr:colOff>469834</xdr:colOff>
      <xdr:row>0</xdr:row>
      <xdr:rowOff>41276</xdr:rowOff>
    </xdr:from>
    <xdr:to>
      <xdr:col>22</xdr:col>
      <xdr:colOff>577786</xdr:colOff>
      <xdr:row>2</xdr:row>
      <xdr:rowOff>95250</xdr:rowOff>
    </xdr:to>
    <xdr:sp macro="" textlink="">
      <xdr:nvSpPr>
        <xdr:cNvPr id="4" name="Rectangle 17">
          <a:extLst>
            <a:ext uri="{FF2B5EF4-FFF2-40B4-BE49-F238E27FC236}">
              <a16:creationId xmlns:a16="http://schemas.microsoft.com/office/drawing/2014/main" id="{00000000-0008-0000-0800-000004000000}"/>
            </a:ext>
          </a:extLst>
        </xdr:cNvPr>
        <xdr:cNvSpPr>
          <a:spLocks noChangeArrowheads="1"/>
        </xdr:cNvSpPr>
      </xdr:nvSpPr>
      <xdr:spPr bwMode="auto">
        <a:xfrm>
          <a:off x="1031809" y="41276"/>
          <a:ext cx="12004677" cy="434974"/>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1600" b="1" i="1">
              <a:solidFill>
                <a:schemeClr val="bg1"/>
              </a:solidFill>
              <a:effectLst>
                <a:outerShdw blurRad="38100" dist="38100" dir="2700000" algn="tl">
                  <a:srgbClr val="000000"/>
                </a:outerShdw>
              </a:effectLst>
              <a:latin typeface="Arial" charset="0"/>
            </a:rPr>
            <a:t>Séries Cronológicas 2014 - 2024: Quadros de Pessoal</a:t>
          </a:r>
        </a:p>
        <a:p>
          <a:pPr defTabSz="988538">
            <a:defRPr/>
          </a:pPr>
          <a:r>
            <a:rPr lang="pt-PT" sz="1600" b="1" i="1">
              <a:solidFill>
                <a:srgbClr val="FFE600"/>
              </a:solidFill>
              <a:effectLst>
                <a:outerShdw blurRad="38100" dist="38100" dir="2700000" algn="tl">
                  <a:srgbClr val="000000"/>
                </a:outerShdw>
              </a:effectLst>
              <a:latin typeface="Arial" charset="0"/>
            </a:rPr>
            <a:t>Características</a:t>
          </a:r>
          <a:r>
            <a:rPr lang="pt-PT" sz="1600" b="1" i="1" baseline="0">
              <a:solidFill>
                <a:srgbClr val="FFE600"/>
              </a:solidFill>
              <a:effectLst>
                <a:outerShdw blurRad="38100" dist="38100" dir="2700000" algn="tl">
                  <a:srgbClr val="000000"/>
                </a:outerShdw>
              </a:effectLst>
              <a:latin typeface="Arial" charset="0"/>
            </a:rPr>
            <a:t> dos Trabalhadores por Conta de Outrem (TCO)</a:t>
          </a:r>
          <a:endParaRPr lang="pt-PT" sz="1600" b="1" i="1">
            <a:solidFill>
              <a:srgbClr val="FFE600"/>
            </a:solidFill>
            <a:effectLst>
              <a:outerShdw blurRad="38100" dist="38100" dir="2700000" algn="tl">
                <a:srgbClr val="000000"/>
              </a:outerShdw>
            </a:effectLst>
            <a:latin typeface="Arial" charset="0"/>
          </a:endParaRPr>
        </a:p>
      </xdr:txBody>
    </xdr:sp>
    <xdr:clientData/>
  </xdr:twoCellAnchor>
  <xdr:twoCellAnchor>
    <xdr:from>
      <xdr:col>0</xdr:col>
      <xdr:colOff>200025</xdr:colOff>
      <xdr:row>29</xdr:row>
      <xdr:rowOff>166948</xdr:rowOff>
    </xdr:from>
    <xdr:to>
      <xdr:col>11</xdr:col>
      <xdr:colOff>0</xdr:colOff>
      <xdr:row>32</xdr:row>
      <xdr:rowOff>131848</xdr:rowOff>
    </xdr:to>
    <xdr:sp macro="" textlink="q17_a_q19_q26_a_q29_q38_q41_Fig!$S$278">
      <xdr:nvSpPr>
        <xdr:cNvPr id="45" name="CaixaDeTexto 44">
          <a:extLst>
            <a:ext uri="{FF2B5EF4-FFF2-40B4-BE49-F238E27FC236}">
              <a16:creationId xmlns:a16="http://schemas.microsoft.com/office/drawing/2014/main" id="{00000000-0008-0000-0800-00002D000000}"/>
            </a:ext>
          </a:extLst>
        </xdr:cNvPr>
        <xdr:cNvSpPr txBox="1"/>
      </xdr:nvSpPr>
      <xdr:spPr>
        <a:xfrm>
          <a:off x="200025" y="5691448"/>
          <a:ext cx="5981700" cy="5364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EBA47BDC-C09A-4547-B3CE-F9B6B4F55ABF}" type="TxLink">
            <a:rPr lang="en-US" sz="900" b="0" i="0" u="none" strike="noStrike">
              <a:solidFill>
                <a:srgbClr val="000000"/>
              </a:solidFill>
              <a:latin typeface="Calibri"/>
              <a:cs typeface="Calibri"/>
            </a:rPr>
            <a:pPr/>
            <a:t>2024:
35,4% dos TCO eram "Trabalhadores dos serviços pessoais, de protecção e segurança e vendedores" (20,9%) e "Trabalhadores não qualificados " (14,5%).</a:t>
          </a:fld>
          <a:endParaRPr lang="pt-PT" sz="900" b="0">
            <a:solidFill>
              <a:sysClr val="windowText" lastClr="000000"/>
            </a:solidFill>
          </a:endParaRPr>
        </a:p>
      </xdr:txBody>
    </xdr:sp>
    <xdr:clientData/>
  </xdr:twoCellAnchor>
  <xdr:twoCellAnchor>
    <xdr:from>
      <xdr:col>11</xdr:col>
      <xdr:colOff>219074</xdr:colOff>
      <xdr:row>29</xdr:row>
      <xdr:rowOff>152400</xdr:rowOff>
    </xdr:from>
    <xdr:to>
      <xdr:col>17</xdr:col>
      <xdr:colOff>87224</xdr:colOff>
      <xdr:row>34</xdr:row>
      <xdr:rowOff>135900</xdr:rowOff>
    </xdr:to>
    <xdr:sp macro="" textlink="q17_a_q19_q26_a_q29_q38_q41_Fig!$S$296">
      <xdr:nvSpPr>
        <xdr:cNvPr id="47" name="CaixaDeTexto 46">
          <a:extLst>
            <a:ext uri="{FF2B5EF4-FFF2-40B4-BE49-F238E27FC236}">
              <a16:creationId xmlns:a16="http://schemas.microsoft.com/office/drawing/2014/main" id="{00000000-0008-0000-0800-00002F000000}"/>
            </a:ext>
          </a:extLst>
        </xdr:cNvPr>
        <xdr:cNvSpPr txBox="1"/>
      </xdr:nvSpPr>
      <xdr:spPr>
        <a:xfrm>
          <a:off x="6400799" y="5676900"/>
          <a:ext cx="3240000" cy="936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5515E1E7-BA0E-466C-8FF3-87868B39CA2D}"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2024 - Continente:
Base média: 82,7% do Ganho, entre 894 € (Trabalhadores não qualificados) e 3.107 € (Trabalhadores sem profissão atribuida).
Ganho médio: Entre 1.058 € e 3.505 € nas mesmas profissões, respetivamente.</a:t>
          </a:fld>
          <a:endParaRPr kumimoji="0" lang="pt-PT" sz="1000" b="1" i="0" u="none" strike="noStrike" kern="0" cap="none" spc="0" normalizeH="0" baseline="0" noProof="0">
            <a:ln>
              <a:noFill/>
            </a:ln>
            <a:solidFill>
              <a:srgbClr val="17375E"/>
            </a:solidFill>
            <a:effectLst/>
            <a:uLnTx/>
            <a:uFillTx/>
            <a:latin typeface="Calibri"/>
            <a:ea typeface="+mn-ea"/>
            <a:cs typeface="+mn-cs"/>
          </a:endParaRPr>
        </a:p>
      </xdr:txBody>
    </xdr:sp>
    <xdr:clientData/>
  </xdr:twoCellAnchor>
  <xdr:twoCellAnchor>
    <xdr:from>
      <xdr:col>0</xdr:col>
      <xdr:colOff>7937</xdr:colOff>
      <xdr:row>2</xdr:row>
      <xdr:rowOff>123825</xdr:rowOff>
    </xdr:from>
    <xdr:to>
      <xdr:col>23</xdr:col>
      <xdr:colOff>0</xdr:colOff>
      <xdr:row>3</xdr:row>
      <xdr:rowOff>171450</xdr:rowOff>
    </xdr:to>
    <xdr:sp macro="" textlink="">
      <xdr:nvSpPr>
        <xdr:cNvPr id="48" name="Text Box 10">
          <a:extLst>
            <a:ext uri="{FF2B5EF4-FFF2-40B4-BE49-F238E27FC236}">
              <a16:creationId xmlns:a16="http://schemas.microsoft.com/office/drawing/2014/main" id="{00000000-0008-0000-0800-000030000000}"/>
            </a:ext>
          </a:extLst>
        </xdr:cNvPr>
        <xdr:cNvSpPr txBox="1">
          <a:spLocks noChangeArrowheads="1"/>
        </xdr:cNvSpPr>
      </xdr:nvSpPr>
      <xdr:spPr bwMode="auto">
        <a:xfrm>
          <a:off x="7937" y="504825"/>
          <a:ext cx="13031788" cy="238125"/>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200" b="1">
              <a:solidFill>
                <a:srgbClr val="00467A"/>
              </a:solidFill>
              <a:latin typeface="Arial" charset="0"/>
            </a:rPr>
            <a:t>Trabalhadores por Conta de Outrem e Remunerações médias mensais</a:t>
          </a:r>
        </a:p>
        <a:p>
          <a:pPr algn="l">
            <a:spcBef>
              <a:spcPct val="50000"/>
            </a:spcBef>
          </a:pPr>
          <a:endParaRPr lang="en-US" altLang="pt-PT" sz="1200" b="1">
            <a:solidFill>
              <a:srgbClr val="00467A"/>
            </a:solidFill>
            <a:latin typeface="Arial" charset="0"/>
          </a:endParaRPr>
        </a:p>
      </xdr:txBody>
    </xdr:sp>
    <xdr:clientData/>
  </xdr:twoCellAnchor>
  <xdr:twoCellAnchor>
    <xdr:from>
      <xdr:col>10</xdr:col>
      <xdr:colOff>356428</xdr:colOff>
      <xdr:row>2</xdr:row>
      <xdr:rowOff>114300</xdr:rowOff>
    </xdr:from>
    <xdr:to>
      <xdr:col>14</xdr:col>
      <xdr:colOff>77185</xdr:colOff>
      <xdr:row>3</xdr:row>
      <xdr:rowOff>171825</xdr:rowOff>
    </xdr:to>
    <xdr:grpSp>
      <xdr:nvGrpSpPr>
        <xdr:cNvPr id="49" name="Agrupar 48">
          <a:extLst>
            <a:ext uri="{FF2B5EF4-FFF2-40B4-BE49-F238E27FC236}">
              <a16:creationId xmlns:a16="http://schemas.microsoft.com/office/drawing/2014/main" id="{00000000-0008-0000-0800-000031000000}"/>
            </a:ext>
          </a:extLst>
        </xdr:cNvPr>
        <xdr:cNvGrpSpPr/>
      </xdr:nvGrpSpPr>
      <xdr:grpSpPr>
        <a:xfrm>
          <a:off x="5976178" y="495300"/>
          <a:ext cx="1911507" cy="248025"/>
          <a:chOff x="4531552" y="504825"/>
          <a:chExt cx="1916250" cy="248025"/>
        </a:xfrm>
      </xdr:grpSpPr>
      <xdr:sp macro="" textlink="">
        <xdr:nvSpPr>
          <xdr:cNvPr id="50" name="Text Box 10">
            <a:extLst>
              <a:ext uri="{FF2B5EF4-FFF2-40B4-BE49-F238E27FC236}">
                <a16:creationId xmlns:a16="http://schemas.microsoft.com/office/drawing/2014/main" id="{00000000-0008-0000-0800-000032000000}"/>
              </a:ext>
            </a:extLst>
          </xdr:cNvPr>
          <xdr:cNvSpPr txBox="1">
            <a:spLocks noChangeArrowheads="1"/>
          </xdr:cNvSpPr>
        </xdr:nvSpPr>
        <xdr:spPr bwMode="auto">
          <a:xfrm>
            <a:off x="4531552" y="504825"/>
            <a:ext cx="1170000" cy="248025"/>
          </a:xfrm>
          <a:prstGeom prst="rect">
            <a:avLst/>
          </a:prstGeom>
          <a:solidFill>
            <a:srgbClr val="00467A"/>
          </a:solidFill>
          <a:ln>
            <a:noFill/>
          </a:ln>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420865" name="Drop Down 1" hidden="1">
                <a:extLst>
                  <a:ext uri="{63B3BB69-23CF-44E3-9099-C40C66FF867C}">
                    <a14:compatExt spid="_x0000_s420865"/>
                  </a:ext>
                  <a:ext uri="{FF2B5EF4-FFF2-40B4-BE49-F238E27FC236}">
                    <a16:creationId xmlns:a16="http://schemas.microsoft.com/office/drawing/2014/main" id="{00000000-0008-0000-0800-0000016C0600}"/>
                  </a:ext>
                </a:extLst>
              </xdr:cNvPr>
              <xdr:cNvSpPr/>
            </xdr:nvSpPr>
            <xdr:spPr bwMode="auto">
              <a:xfrm>
                <a:off x="5727802" y="543516"/>
                <a:ext cx="720000" cy="199434"/>
              </a:xfrm>
              <a:prstGeom prst="rect">
                <a:avLst/>
              </a:prstGeom>
              <a:noFill/>
              <a:ln>
                <a:noFill/>
              </a:ln>
              <a:extLst>
                <a:ext uri="{91240B29-F687-4F45-9708-019B960494DF}">
                  <a14:hiddenLine w="9525">
                    <a:noFill/>
                    <a:miter lim="800000"/>
                    <a:headEnd/>
                    <a:tailEnd/>
                  </a14:hiddenLine>
                </a:ext>
              </a:extLst>
            </xdr:spPr>
          </xdr:sp>
        </mc:Choice>
        <mc:Fallback/>
      </mc:AlternateContent>
    </xdr:grpSp>
    <xdr:clientData/>
  </xdr:twoCellAnchor>
  <xdr:twoCellAnchor>
    <xdr:from>
      <xdr:col>0</xdr:col>
      <xdr:colOff>0</xdr:colOff>
      <xdr:row>4</xdr:row>
      <xdr:rowOff>12700</xdr:rowOff>
    </xdr:from>
    <xdr:to>
      <xdr:col>22</xdr:col>
      <xdr:colOff>528974</xdr:colOff>
      <xdr:row>5</xdr:row>
      <xdr:rowOff>8550</xdr:rowOff>
    </xdr:to>
    <xdr:grpSp>
      <xdr:nvGrpSpPr>
        <xdr:cNvPr id="52" name="Agrupar 51">
          <a:extLst>
            <a:ext uri="{FF2B5EF4-FFF2-40B4-BE49-F238E27FC236}">
              <a16:creationId xmlns:a16="http://schemas.microsoft.com/office/drawing/2014/main" id="{00000000-0008-0000-0800-000034000000}"/>
            </a:ext>
          </a:extLst>
        </xdr:cNvPr>
        <xdr:cNvGrpSpPr/>
      </xdr:nvGrpSpPr>
      <xdr:grpSpPr>
        <a:xfrm>
          <a:off x="0" y="774700"/>
          <a:ext cx="12987674" cy="186350"/>
          <a:chOff x="0" y="1060450"/>
          <a:chExt cx="12987674" cy="186350"/>
        </a:xfrm>
      </xdr:grpSpPr>
      <xdr:sp macro="" textlink="">
        <xdr:nvSpPr>
          <xdr:cNvPr id="53" name="Rectangle 3">
            <a:extLst>
              <a:ext uri="{FF2B5EF4-FFF2-40B4-BE49-F238E27FC236}">
                <a16:creationId xmlns:a16="http://schemas.microsoft.com/office/drawing/2014/main" id="{00000000-0008-0000-0800-000035000000}"/>
              </a:ext>
            </a:extLst>
          </xdr:cNvPr>
          <xdr:cNvSpPr>
            <a:spLocks noChangeArrowheads="1"/>
          </xdr:cNvSpPr>
        </xdr:nvSpPr>
        <xdr:spPr bwMode="auto">
          <a:xfrm>
            <a:off x="0" y="1060450"/>
            <a:ext cx="6444000" cy="180000"/>
          </a:xfrm>
          <a:prstGeom prst="rect">
            <a:avLst/>
          </a:prstGeom>
          <a:solidFill>
            <a:schemeClr val="tx2">
              <a:lumMod val="20000"/>
              <a:lumOff val="80000"/>
            </a:schemeClr>
          </a:solidFill>
          <a:ln w="28575" cap="rnd">
            <a:noFill/>
            <a:prstDash val="sysDot"/>
            <a:miter lim="800000"/>
            <a:headEnd/>
            <a:tailEnd/>
          </a:ln>
          <a:effectLst>
            <a:prstShdw prst="shdw18">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defTabSz="988538">
              <a:defRPr/>
            </a:pPr>
            <a:r>
              <a:rPr lang="en-US" sz="1100" b="1" kern="1200">
                <a:solidFill>
                  <a:schemeClr val="tx2">
                    <a:lumMod val="50000"/>
                  </a:schemeClr>
                </a:solidFill>
                <a:effectLst/>
                <a:latin typeface="Calibri" panose="020F0502020204030204" pitchFamily="34" charset="0"/>
                <a:ea typeface="+mn-ea"/>
                <a:cs typeface="Calibri" panose="020F0502020204030204" pitchFamily="34" charset="0"/>
              </a:rPr>
              <a:t>Número de Trabalhadores</a:t>
            </a:r>
            <a:r>
              <a:rPr lang="en-US" sz="1100" b="1" kern="1200" baseline="0">
                <a:solidFill>
                  <a:schemeClr val="tx2">
                    <a:lumMod val="50000"/>
                  </a:schemeClr>
                </a:solidFill>
                <a:effectLst/>
                <a:latin typeface="Calibri" panose="020F0502020204030204" pitchFamily="34" charset="0"/>
                <a:ea typeface="+mn-ea"/>
                <a:cs typeface="Calibri" panose="020F0502020204030204" pitchFamily="34" charset="0"/>
              </a:rPr>
              <a:t> por Conta de Outrem </a:t>
            </a:r>
            <a:endParaRPr lang="pt-PT" sz="1100" b="1" i="1">
              <a:solidFill>
                <a:schemeClr val="tx2">
                  <a:lumMod val="50000"/>
                </a:schemeClr>
              </a:solidFill>
              <a:effectLst>
                <a:outerShdw blurRad="38100" dist="38100" dir="2700000" algn="tl">
                  <a:srgbClr val="000000"/>
                </a:outerShdw>
              </a:effectLst>
              <a:latin typeface="Calibri" panose="020F0502020204030204" pitchFamily="34" charset="0"/>
              <a:cs typeface="Calibri" panose="020F0502020204030204" pitchFamily="34" charset="0"/>
            </a:endParaRPr>
          </a:p>
        </xdr:txBody>
      </xdr:sp>
      <xdr:sp macro="" textlink="">
        <xdr:nvSpPr>
          <xdr:cNvPr id="54" name="Rectangle 3">
            <a:extLst>
              <a:ext uri="{FF2B5EF4-FFF2-40B4-BE49-F238E27FC236}">
                <a16:creationId xmlns:a16="http://schemas.microsoft.com/office/drawing/2014/main" id="{00000000-0008-0000-0800-000036000000}"/>
              </a:ext>
            </a:extLst>
          </xdr:cNvPr>
          <xdr:cNvSpPr>
            <a:spLocks noChangeArrowheads="1"/>
          </xdr:cNvSpPr>
        </xdr:nvSpPr>
        <xdr:spPr bwMode="auto">
          <a:xfrm>
            <a:off x="6543674" y="1066800"/>
            <a:ext cx="6444000" cy="180000"/>
          </a:xfrm>
          <a:prstGeom prst="rect">
            <a:avLst/>
          </a:prstGeom>
          <a:solidFill>
            <a:schemeClr val="tx2">
              <a:lumMod val="20000"/>
              <a:lumOff val="80000"/>
            </a:schemeClr>
          </a:solidFill>
          <a:ln w="28575" cap="rnd">
            <a:noFill/>
            <a:prstDash val="sysDot"/>
            <a:miter lim="800000"/>
            <a:headEnd/>
            <a:tailEnd/>
          </a:ln>
          <a:effectLst>
            <a:prstShdw prst="shdw18">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defTabSz="988538">
              <a:defRPr/>
            </a:pPr>
            <a:r>
              <a:rPr lang="en-US" sz="1100" b="1" kern="1200">
                <a:solidFill>
                  <a:schemeClr val="tx2">
                    <a:lumMod val="50000"/>
                  </a:schemeClr>
                </a:solidFill>
                <a:effectLst/>
                <a:latin typeface="Calibri" panose="020F0502020204030204" pitchFamily="34" charset="0"/>
                <a:ea typeface="+mn-ea"/>
                <a:cs typeface="Calibri" panose="020F0502020204030204" pitchFamily="34" charset="0"/>
              </a:rPr>
              <a:t>Remunerações médias mensais</a:t>
            </a:r>
            <a:endParaRPr lang="pt-PT" sz="1100" b="1" i="1">
              <a:solidFill>
                <a:schemeClr val="tx2">
                  <a:lumMod val="50000"/>
                </a:schemeClr>
              </a:solidFill>
              <a:effectLst>
                <a:outerShdw blurRad="38100" dist="38100" dir="2700000" algn="tl">
                  <a:srgbClr val="000000"/>
                </a:outerShdw>
              </a:effectLst>
              <a:latin typeface="Calibri" panose="020F0502020204030204" pitchFamily="34" charset="0"/>
              <a:cs typeface="Calibri" panose="020F0502020204030204" pitchFamily="34" charset="0"/>
            </a:endParaRPr>
          </a:p>
        </xdr:txBody>
      </xdr:sp>
    </xdr:grpSp>
    <xdr:clientData/>
  </xdr:twoCellAnchor>
  <xdr:twoCellAnchor>
    <xdr:from>
      <xdr:col>0</xdr:col>
      <xdr:colOff>9521</xdr:colOff>
      <xdr:row>28</xdr:row>
      <xdr:rowOff>85724</xdr:rowOff>
    </xdr:from>
    <xdr:to>
      <xdr:col>22</xdr:col>
      <xdr:colOff>554021</xdr:colOff>
      <xdr:row>29</xdr:row>
      <xdr:rowOff>111224</xdr:rowOff>
    </xdr:to>
    <xdr:grpSp>
      <xdr:nvGrpSpPr>
        <xdr:cNvPr id="58" name="Agrupar 57">
          <a:extLst>
            <a:ext uri="{FF2B5EF4-FFF2-40B4-BE49-F238E27FC236}">
              <a16:creationId xmlns:a16="http://schemas.microsoft.com/office/drawing/2014/main" id="{00000000-0008-0000-0800-00003A000000}"/>
            </a:ext>
          </a:extLst>
        </xdr:cNvPr>
        <xdr:cNvGrpSpPr/>
      </xdr:nvGrpSpPr>
      <xdr:grpSpPr>
        <a:xfrm>
          <a:off x="9521" y="5419724"/>
          <a:ext cx="13003200" cy="216000"/>
          <a:chOff x="230187" y="661786"/>
          <a:chExt cx="5846763" cy="449464"/>
        </a:xfrm>
      </xdr:grpSpPr>
      <xdr:sp macro="" textlink="">
        <xdr:nvSpPr>
          <xdr:cNvPr id="59" name="Rectangle 3">
            <a:extLst>
              <a:ext uri="{FF2B5EF4-FFF2-40B4-BE49-F238E27FC236}">
                <a16:creationId xmlns:a16="http://schemas.microsoft.com/office/drawing/2014/main" id="{00000000-0008-0000-0800-00003B000000}"/>
              </a:ext>
            </a:extLst>
          </xdr:cNvPr>
          <xdr:cNvSpPr>
            <a:spLocks noChangeArrowheads="1"/>
          </xdr:cNvSpPr>
        </xdr:nvSpPr>
        <xdr:spPr bwMode="auto">
          <a:xfrm>
            <a:off x="230187" y="673101"/>
            <a:ext cx="5846763" cy="438149"/>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60" name="Text Box 10">
            <a:extLst>
              <a:ext uri="{FF2B5EF4-FFF2-40B4-BE49-F238E27FC236}">
                <a16:creationId xmlns:a16="http://schemas.microsoft.com/office/drawing/2014/main" id="{00000000-0008-0000-0800-00003C000000}"/>
              </a:ext>
            </a:extLst>
          </xdr:cNvPr>
          <xdr:cNvSpPr txBox="1">
            <a:spLocks noChangeArrowheads="1"/>
          </xdr:cNvSpPr>
        </xdr:nvSpPr>
        <xdr:spPr bwMode="auto">
          <a:xfrm>
            <a:off x="303628" y="661786"/>
            <a:ext cx="2215955" cy="337098"/>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r>
              <a:rPr lang="pt-PT" sz="1000" b="1" kern="1200">
                <a:solidFill>
                  <a:srgbClr val="00467A"/>
                </a:solidFill>
                <a:effectLst/>
                <a:latin typeface="+mn-lt"/>
                <a:ea typeface="+mn-ea"/>
                <a:cs typeface="+mn-cs"/>
              </a:rPr>
              <a:t>.....por Profissão</a:t>
            </a:r>
            <a:endParaRPr lang="pt-PT" sz="1000">
              <a:solidFill>
                <a:srgbClr val="00467A"/>
              </a:solidFill>
              <a:effectLst/>
              <a:latin typeface="+mn-lt"/>
            </a:endParaRPr>
          </a:p>
        </xdr:txBody>
      </xdr:sp>
    </xdr:grpSp>
    <xdr:clientData/>
  </xdr:twoCellAnchor>
  <xdr:twoCellAnchor>
    <xdr:from>
      <xdr:col>21</xdr:col>
      <xdr:colOff>31684</xdr:colOff>
      <xdr:row>0</xdr:row>
      <xdr:rowOff>127001</xdr:rowOff>
    </xdr:from>
    <xdr:to>
      <xdr:col>22</xdr:col>
      <xdr:colOff>484175</xdr:colOff>
      <xdr:row>1</xdr:row>
      <xdr:rowOff>173928</xdr:rowOff>
    </xdr:to>
    <xdr:sp macro="" textlink="">
      <xdr:nvSpPr>
        <xdr:cNvPr id="61" name="Text Box 10">
          <a:hlinkClick xmlns:r="http://schemas.openxmlformats.org/officeDocument/2006/relationships" r:id="rId1"/>
          <a:extLst>
            <a:ext uri="{FF2B5EF4-FFF2-40B4-BE49-F238E27FC236}">
              <a16:creationId xmlns:a16="http://schemas.microsoft.com/office/drawing/2014/main" id="{00000000-0008-0000-0800-00003D000000}"/>
            </a:ext>
          </a:extLst>
        </xdr:cNvPr>
        <xdr:cNvSpPr txBox="1">
          <a:spLocks noChangeArrowheads="1"/>
        </xdr:cNvSpPr>
      </xdr:nvSpPr>
      <xdr:spPr bwMode="auto">
        <a:xfrm>
          <a:off x="11909359" y="127001"/>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twoCellAnchor>
    <xdr:from>
      <xdr:col>0</xdr:col>
      <xdr:colOff>66675</xdr:colOff>
      <xdr:row>5</xdr:row>
      <xdr:rowOff>38100</xdr:rowOff>
    </xdr:from>
    <xdr:to>
      <xdr:col>23</xdr:col>
      <xdr:colOff>30150</xdr:colOff>
      <xdr:row>6</xdr:row>
      <xdr:rowOff>63600</xdr:rowOff>
    </xdr:to>
    <xdr:grpSp>
      <xdr:nvGrpSpPr>
        <xdr:cNvPr id="63" name="Agrupar 62">
          <a:extLst>
            <a:ext uri="{FF2B5EF4-FFF2-40B4-BE49-F238E27FC236}">
              <a16:creationId xmlns:a16="http://schemas.microsoft.com/office/drawing/2014/main" id="{00000000-0008-0000-0800-00003F000000}"/>
            </a:ext>
          </a:extLst>
        </xdr:cNvPr>
        <xdr:cNvGrpSpPr/>
      </xdr:nvGrpSpPr>
      <xdr:grpSpPr>
        <a:xfrm>
          <a:off x="66675" y="990600"/>
          <a:ext cx="12973050" cy="216000"/>
          <a:chOff x="230187" y="661786"/>
          <a:chExt cx="5846763" cy="449464"/>
        </a:xfrm>
      </xdr:grpSpPr>
      <xdr:sp macro="" textlink="">
        <xdr:nvSpPr>
          <xdr:cNvPr id="64" name="Rectangle 3">
            <a:extLst>
              <a:ext uri="{FF2B5EF4-FFF2-40B4-BE49-F238E27FC236}">
                <a16:creationId xmlns:a16="http://schemas.microsoft.com/office/drawing/2014/main" id="{00000000-0008-0000-0800-000040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65" name="Text Box 10">
            <a:extLst>
              <a:ext uri="{FF2B5EF4-FFF2-40B4-BE49-F238E27FC236}">
                <a16:creationId xmlns:a16="http://schemas.microsoft.com/office/drawing/2014/main" id="{00000000-0008-0000-0800-000041000000}"/>
              </a:ext>
            </a:extLst>
          </xdr:cNvPr>
          <xdr:cNvSpPr txBox="1">
            <a:spLocks noChangeArrowheads="1"/>
          </xdr:cNvSpPr>
        </xdr:nvSpPr>
        <xdr:spPr bwMode="auto">
          <a:xfrm>
            <a:off x="307900" y="661786"/>
            <a:ext cx="2220863" cy="337098"/>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r>
              <a:rPr lang="pt-PT" sz="1000" b="1" kern="1200">
                <a:solidFill>
                  <a:srgbClr val="00467A"/>
                </a:solidFill>
                <a:effectLst/>
                <a:latin typeface="+mn-lt"/>
                <a:ea typeface="+mn-ea"/>
                <a:cs typeface="+mn-cs"/>
              </a:rPr>
              <a:t>.....por Nível de Qualificação e Sexo</a:t>
            </a:r>
            <a:endParaRPr lang="pt-PT" sz="1000">
              <a:solidFill>
                <a:srgbClr val="00467A"/>
              </a:solidFill>
              <a:effectLst/>
              <a:latin typeface="+mn-lt"/>
            </a:endParaRPr>
          </a:p>
        </xdr:txBody>
      </xdr:sp>
    </xdr:grpSp>
    <xdr:clientData/>
  </xdr:twoCellAnchor>
  <xdr:twoCellAnchor>
    <xdr:from>
      <xdr:col>0</xdr:col>
      <xdr:colOff>161925</xdr:colOff>
      <xdr:row>6</xdr:row>
      <xdr:rowOff>123825</xdr:rowOff>
    </xdr:from>
    <xdr:to>
      <xdr:col>11</xdr:col>
      <xdr:colOff>28200</xdr:colOff>
      <xdr:row>9</xdr:row>
      <xdr:rowOff>88725</xdr:rowOff>
    </xdr:to>
    <xdr:sp macro="" textlink="q17_a_q19_q26_a_q29_q38_q41_Fig!$Y$57">
      <xdr:nvSpPr>
        <xdr:cNvPr id="66" name="CaixaDeTexto 65">
          <a:extLst>
            <a:ext uri="{FF2B5EF4-FFF2-40B4-BE49-F238E27FC236}">
              <a16:creationId xmlns:a16="http://schemas.microsoft.com/office/drawing/2014/main" id="{00000000-0008-0000-0800-000042000000}"/>
            </a:ext>
          </a:extLst>
        </xdr:cNvPr>
        <xdr:cNvSpPr txBox="1"/>
      </xdr:nvSpPr>
      <xdr:spPr>
        <a:xfrm>
          <a:off x="161925" y="1266825"/>
          <a:ext cx="6048000" cy="5364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48839FCC-299A-463A-BB08-0CE435B4BBAF}" type="TxLink">
            <a:rPr lang="en-US" sz="900" b="0" i="0" u="none" strike="noStrike">
              <a:solidFill>
                <a:sysClr val="windowText" lastClr="000000"/>
              </a:solidFill>
              <a:latin typeface="Calibri"/>
              <a:cs typeface="Calibri"/>
            </a:rPr>
            <a:pPr/>
            <a:t>2024:
55,9% dos TCO eram profissionais qualificados e semi-qualificados, onde a taxa de feminização era de  41,4% e de 56,2%, respetivamente.</a:t>
          </a:fld>
          <a:endParaRPr lang="pt-PT" sz="900" b="0">
            <a:solidFill>
              <a:sysClr val="windowText" lastClr="000000"/>
            </a:solidFill>
          </a:endParaRPr>
        </a:p>
      </xdr:txBody>
    </xdr:sp>
    <xdr:clientData/>
  </xdr:twoCellAnchor>
  <xdr:twoCellAnchor>
    <xdr:from>
      <xdr:col>0</xdr:col>
      <xdr:colOff>161925</xdr:colOff>
      <xdr:row>8</xdr:row>
      <xdr:rowOff>171450</xdr:rowOff>
    </xdr:from>
    <xdr:to>
      <xdr:col>11</xdr:col>
      <xdr:colOff>19050</xdr:colOff>
      <xdr:row>27</xdr:row>
      <xdr:rowOff>161925</xdr:rowOff>
    </xdr:to>
    <xdr:grpSp>
      <xdr:nvGrpSpPr>
        <xdr:cNvPr id="67" name="Agrupar 66">
          <a:extLst>
            <a:ext uri="{FF2B5EF4-FFF2-40B4-BE49-F238E27FC236}">
              <a16:creationId xmlns:a16="http://schemas.microsoft.com/office/drawing/2014/main" id="{00000000-0008-0000-0800-000043000000}"/>
            </a:ext>
          </a:extLst>
        </xdr:cNvPr>
        <xdr:cNvGrpSpPr/>
      </xdr:nvGrpSpPr>
      <xdr:grpSpPr>
        <a:xfrm>
          <a:off x="161925" y="1695450"/>
          <a:ext cx="6038850" cy="3609975"/>
          <a:chOff x="4838698" y="1104900"/>
          <a:chExt cx="4438651" cy="2174250"/>
        </a:xfrm>
      </xdr:grpSpPr>
      <xdr:grpSp>
        <xdr:nvGrpSpPr>
          <xdr:cNvPr id="68" name="Agrupar 67">
            <a:extLst>
              <a:ext uri="{FF2B5EF4-FFF2-40B4-BE49-F238E27FC236}">
                <a16:creationId xmlns:a16="http://schemas.microsoft.com/office/drawing/2014/main" id="{00000000-0008-0000-0800-000044000000}"/>
              </a:ext>
            </a:extLst>
          </xdr:cNvPr>
          <xdr:cNvGrpSpPr/>
        </xdr:nvGrpSpPr>
        <xdr:grpSpPr>
          <a:xfrm>
            <a:off x="6905624" y="1104900"/>
            <a:ext cx="2371725" cy="2088525"/>
            <a:chOff x="237729" y="50865118"/>
            <a:chExt cx="3452223" cy="2472395"/>
          </a:xfrm>
        </xdr:grpSpPr>
        <xdr:graphicFrame macro="">
          <xdr:nvGraphicFramePr>
            <xdr:cNvPr id="70" name="Gráfico 69">
              <a:extLst>
                <a:ext uri="{FF2B5EF4-FFF2-40B4-BE49-F238E27FC236}">
                  <a16:creationId xmlns:a16="http://schemas.microsoft.com/office/drawing/2014/main" id="{00000000-0008-0000-0800-000046000000}"/>
                </a:ext>
              </a:extLst>
            </xdr:cNvPr>
            <xdr:cNvGraphicFramePr/>
          </xdr:nvGraphicFramePr>
          <xdr:xfrm>
            <a:off x="237729" y="50865118"/>
            <a:ext cx="3452223" cy="2472395"/>
          </xdr:xfrm>
          <a:graphic>
            <a:graphicData uri="http://schemas.openxmlformats.org/drawingml/2006/chart">
              <c:chart xmlns:c="http://schemas.openxmlformats.org/drawingml/2006/chart" xmlns:r="http://schemas.openxmlformats.org/officeDocument/2006/relationships" r:id="rId2"/>
            </a:graphicData>
          </a:graphic>
        </xdr:graphicFrame>
        <xdr:sp macro="" textlink="q17_a_q19_q26_a_q29_q38_q41_Fig!$S$53">
          <xdr:nvSpPr>
            <xdr:cNvPr id="71" name="CaixaDeTexto 70">
              <a:extLst>
                <a:ext uri="{FF2B5EF4-FFF2-40B4-BE49-F238E27FC236}">
                  <a16:creationId xmlns:a16="http://schemas.microsoft.com/office/drawing/2014/main" id="{00000000-0008-0000-0800-000047000000}"/>
                </a:ext>
              </a:extLst>
            </xdr:cNvPr>
            <xdr:cNvSpPr txBox="1"/>
          </xdr:nvSpPr>
          <xdr:spPr>
            <a:xfrm>
              <a:off x="2462259" y="51257392"/>
              <a:ext cx="972653" cy="212825"/>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33346763-475C-40D3-8C96-022D8ECA6C62}"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1.570.424</a:t>
              </a:fld>
              <a:endParaRPr kumimoji="0" lang="pt-PT" sz="800" b="1" i="0" u="none" strike="noStrike" kern="0" cap="none" spc="0" normalizeH="0" baseline="0" noProof="0">
                <a:ln>
                  <a:noFill/>
                </a:ln>
                <a:solidFill>
                  <a:srgbClr val="000000"/>
                </a:solidFill>
                <a:effectLst/>
                <a:uLnTx/>
                <a:uFillTx/>
                <a:latin typeface="+mn-lt"/>
                <a:ea typeface="+mn-ea"/>
                <a:cs typeface="Arial"/>
              </a:endParaRPr>
            </a:p>
          </xdr:txBody>
        </xdr:sp>
        <xdr:sp macro="" textlink="q17_a_q19_q26_a_q29_q38_q41_Fig!$R$53">
          <xdr:nvSpPr>
            <xdr:cNvPr id="72" name="CaixaDeTexto 71">
              <a:extLst>
                <a:ext uri="{FF2B5EF4-FFF2-40B4-BE49-F238E27FC236}">
                  <a16:creationId xmlns:a16="http://schemas.microsoft.com/office/drawing/2014/main" id="{00000000-0008-0000-0800-000048000000}"/>
                </a:ext>
              </a:extLst>
            </xdr:cNvPr>
            <xdr:cNvSpPr txBox="1"/>
          </xdr:nvSpPr>
          <xdr:spPr>
            <a:xfrm>
              <a:off x="930254" y="51250755"/>
              <a:ext cx="972653" cy="213084"/>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28F9F58-0452-4DC4-9A48-9DAD84751F7C}"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1.783.712</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aphicFrame macro="">
        <xdr:nvGraphicFramePr>
          <xdr:cNvPr id="69" name="Gráfico 68">
            <a:extLst>
              <a:ext uri="{FF2B5EF4-FFF2-40B4-BE49-F238E27FC236}">
                <a16:creationId xmlns:a16="http://schemas.microsoft.com/office/drawing/2014/main" id="{00000000-0008-0000-0800-000045000000}"/>
              </a:ext>
            </a:extLst>
          </xdr:cNvPr>
          <xdr:cNvGraphicFramePr>
            <a:graphicFrameLocks/>
          </xdr:cNvGraphicFramePr>
        </xdr:nvGraphicFramePr>
        <xdr:xfrm>
          <a:off x="4838698" y="1428750"/>
          <a:ext cx="2838452" cy="1850400"/>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11</xdr:col>
      <xdr:colOff>419100</xdr:colOff>
      <xdr:row>6</xdr:row>
      <xdr:rowOff>114300</xdr:rowOff>
    </xdr:from>
    <xdr:to>
      <xdr:col>17</xdr:col>
      <xdr:colOff>179250</xdr:colOff>
      <xdr:row>10</xdr:row>
      <xdr:rowOff>180300</xdr:rowOff>
    </xdr:to>
    <xdr:sp macro="" textlink="q17_a_q19_q26_a_q29_q38_q41_Fig!AN135">
      <xdr:nvSpPr>
        <xdr:cNvPr id="73" name="CaixaDeTexto 72">
          <a:extLst>
            <a:ext uri="{FF2B5EF4-FFF2-40B4-BE49-F238E27FC236}">
              <a16:creationId xmlns:a16="http://schemas.microsoft.com/office/drawing/2014/main" id="{00000000-0008-0000-0800-000049000000}"/>
            </a:ext>
          </a:extLst>
        </xdr:cNvPr>
        <xdr:cNvSpPr txBox="1"/>
      </xdr:nvSpPr>
      <xdr:spPr>
        <a:xfrm>
          <a:off x="6600825" y="1257300"/>
          <a:ext cx="3132000" cy="828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1912416A-AF04-4DEC-A1EB-FA2979111E70}"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2024 - Continente:
Base: 82,7% do Ganho, entre 862 €  (Profissionais não qualificados) e  2.526 €  (Quadros superiores).
Ganho: Entre 1.024 €  e 2.980 €, nos mesmos níveis de qualificação, respetivamente.</a:t>
          </a:fld>
          <a:endParaRPr kumimoji="0" lang="en-US" b="0" i="0" u="none" strike="noStrike" kern="0" cap="none" spc="0" normalizeH="0" baseline="0" noProof="0">
            <a:ln>
              <a:noFill/>
            </a:ln>
            <a:effectLst/>
            <a:uLnTx/>
            <a:uFillTx/>
            <a:latin typeface="Calibri"/>
            <a:ea typeface="+mn-ea"/>
          </a:endParaRPr>
        </a:p>
      </xdr:txBody>
    </xdr:sp>
    <xdr:clientData/>
  </xdr:twoCellAnchor>
  <xdr:twoCellAnchor>
    <xdr:from>
      <xdr:col>17</xdr:col>
      <xdr:colOff>276225</xdr:colOff>
      <xdr:row>6</xdr:row>
      <xdr:rowOff>114300</xdr:rowOff>
    </xdr:from>
    <xdr:to>
      <xdr:col>22</xdr:col>
      <xdr:colOff>503100</xdr:colOff>
      <xdr:row>10</xdr:row>
      <xdr:rowOff>180300</xdr:rowOff>
    </xdr:to>
    <xdr:sp macro="" textlink="q17_a_q19_q26_a_q29_q38_q41_Fig!AN137">
      <xdr:nvSpPr>
        <xdr:cNvPr id="74" name="CaixaDeTexto 73">
          <a:extLst>
            <a:ext uri="{FF2B5EF4-FFF2-40B4-BE49-F238E27FC236}">
              <a16:creationId xmlns:a16="http://schemas.microsoft.com/office/drawing/2014/main" id="{00000000-0008-0000-0800-00004A000000}"/>
            </a:ext>
          </a:extLst>
        </xdr:cNvPr>
        <xdr:cNvSpPr txBox="1"/>
      </xdr:nvSpPr>
      <xdr:spPr>
        <a:xfrm>
          <a:off x="9829800" y="1257300"/>
          <a:ext cx="3132000" cy="828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0D1E7EE5-876E-4ADB-805A-AD48B9195947}"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2024:
Base Mulheres = 88,0%  da dos Homens (H), entre  74,6% da dos H (Quadros superiores ) e 98,1% (Praticantes e aprendizes).
Ganho Mulheres = 85,4% da dos H, entre 74,7% da dos H (Quadros superiores) e 96,2% (Praticantes e aprendizes).</a:t>
          </a:fld>
          <a:endParaRPr kumimoji="0" lang="en-US" sz="900" b="0"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11</xdr:col>
      <xdr:colOff>323850</xdr:colOff>
      <xdr:row>11</xdr:row>
      <xdr:rowOff>38100</xdr:rowOff>
    </xdr:from>
    <xdr:to>
      <xdr:col>22</xdr:col>
      <xdr:colOff>514350</xdr:colOff>
      <xdr:row>28</xdr:row>
      <xdr:rowOff>161925</xdr:rowOff>
    </xdr:to>
    <xdr:grpSp>
      <xdr:nvGrpSpPr>
        <xdr:cNvPr id="75" name="Agrupar 74">
          <a:extLst>
            <a:ext uri="{FF2B5EF4-FFF2-40B4-BE49-F238E27FC236}">
              <a16:creationId xmlns:a16="http://schemas.microsoft.com/office/drawing/2014/main" id="{00000000-0008-0000-0800-00004B000000}"/>
            </a:ext>
          </a:extLst>
        </xdr:cNvPr>
        <xdr:cNvGrpSpPr/>
      </xdr:nvGrpSpPr>
      <xdr:grpSpPr>
        <a:xfrm>
          <a:off x="6505575" y="2133600"/>
          <a:ext cx="6467475" cy="3362325"/>
          <a:chOff x="18293291" y="17907757"/>
          <a:chExt cx="5355382" cy="3534079"/>
        </a:xfrm>
      </xdr:grpSpPr>
      <xdr:grpSp>
        <xdr:nvGrpSpPr>
          <xdr:cNvPr id="76" name="Agrupar 75">
            <a:extLst>
              <a:ext uri="{FF2B5EF4-FFF2-40B4-BE49-F238E27FC236}">
                <a16:creationId xmlns:a16="http://schemas.microsoft.com/office/drawing/2014/main" id="{00000000-0008-0000-0800-00004C000000}"/>
              </a:ext>
            </a:extLst>
          </xdr:cNvPr>
          <xdr:cNvGrpSpPr/>
        </xdr:nvGrpSpPr>
        <xdr:grpSpPr>
          <a:xfrm>
            <a:off x="18293291" y="17938754"/>
            <a:ext cx="2846916" cy="3503082"/>
            <a:chOff x="20214167" y="14049372"/>
            <a:chExt cx="2846916" cy="2603503"/>
          </a:xfrm>
        </xdr:grpSpPr>
        <xdr:graphicFrame macro="">
          <xdr:nvGraphicFramePr>
            <xdr:cNvPr id="83" name="Gráfico 82">
              <a:extLst>
                <a:ext uri="{FF2B5EF4-FFF2-40B4-BE49-F238E27FC236}">
                  <a16:creationId xmlns:a16="http://schemas.microsoft.com/office/drawing/2014/main" id="{00000000-0008-0000-0800-000053000000}"/>
                </a:ext>
              </a:extLst>
            </xdr:cNvPr>
            <xdr:cNvGraphicFramePr>
              <a:graphicFrameLocks/>
            </xdr:cNvGraphicFramePr>
          </xdr:nvGraphicFramePr>
          <xdr:xfrm>
            <a:off x="20214167" y="14271625"/>
            <a:ext cx="2846916" cy="2381250"/>
          </xdr:xfrm>
          <a:graphic>
            <a:graphicData uri="http://schemas.openxmlformats.org/drawingml/2006/chart">
              <c:chart xmlns:c="http://schemas.openxmlformats.org/drawingml/2006/chart" xmlns:r="http://schemas.openxmlformats.org/officeDocument/2006/relationships" r:id="rId4"/>
            </a:graphicData>
          </a:graphic>
        </xdr:graphicFrame>
        <xdr:sp macro="" textlink="q17_a_q19_q26_a_q29_q38_q41_Fig!$R$132">
          <xdr:nvSpPr>
            <xdr:cNvPr id="84" name="CaixaDeTexto 83">
              <a:extLst>
                <a:ext uri="{FF2B5EF4-FFF2-40B4-BE49-F238E27FC236}">
                  <a16:creationId xmlns:a16="http://schemas.microsoft.com/office/drawing/2014/main" id="{00000000-0008-0000-0800-000054000000}"/>
                </a:ext>
              </a:extLst>
            </xdr:cNvPr>
            <xdr:cNvSpPr txBox="1"/>
          </xdr:nvSpPr>
          <xdr:spPr>
            <a:xfrm>
              <a:off x="20489330" y="14220587"/>
              <a:ext cx="966890" cy="103652"/>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C94FF904-7FF2-4811-B6FA-9508B3DAD15C}"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1.308,96 €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85" name="CaixaDeTexto 84">
              <a:extLst>
                <a:ext uri="{FF2B5EF4-FFF2-40B4-BE49-F238E27FC236}">
                  <a16:creationId xmlns:a16="http://schemas.microsoft.com/office/drawing/2014/main" id="{00000000-0008-0000-0800-000055000000}"/>
                </a:ext>
              </a:extLst>
            </xdr:cNvPr>
            <xdr:cNvSpPr txBox="1"/>
          </xdr:nvSpPr>
          <xdr:spPr>
            <a:xfrm>
              <a:off x="20489333" y="14049372"/>
              <a:ext cx="950758" cy="139765"/>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sp macro="" textlink="q17_a_q19_q26_a_q29_q38_q41_Fig!$R$133">
          <xdr:nvSpPr>
            <xdr:cNvPr id="86" name="CaixaDeTexto 85">
              <a:extLst>
                <a:ext uri="{FF2B5EF4-FFF2-40B4-BE49-F238E27FC236}">
                  <a16:creationId xmlns:a16="http://schemas.microsoft.com/office/drawing/2014/main" id="{00000000-0008-0000-0800-000056000000}"/>
                </a:ext>
              </a:extLst>
            </xdr:cNvPr>
            <xdr:cNvSpPr txBox="1"/>
          </xdr:nvSpPr>
          <xdr:spPr>
            <a:xfrm>
              <a:off x="20489330" y="14370432"/>
              <a:ext cx="950759" cy="107547"/>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F41B4DC-6B12-4705-972B-8D9EFE182F4F}"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1.582,75 €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77" name="Agrupar 76">
            <a:extLst>
              <a:ext uri="{FF2B5EF4-FFF2-40B4-BE49-F238E27FC236}">
                <a16:creationId xmlns:a16="http://schemas.microsoft.com/office/drawing/2014/main" id="{00000000-0008-0000-0800-00004D000000}"/>
              </a:ext>
            </a:extLst>
          </xdr:cNvPr>
          <xdr:cNvGrpSpPr/>
        </xdr:nvGrpSpPr>
        <xdr:grpSpPr>
          <a:xfrm>
            <a:off x="20418296" y="17907757"/>
            <a:ext cx="3230377" cy="3327698"/>
            <a:chOff x="21145612" y="14869909"/>
            <a:chExt cx="2840782" cy="3090007"/>
          </a:xfrm>
        </xdr:grpSpPr>
        <xdr:graphicFrame macro="">
          <xdr:nvGraphicFramePr>
            <xdr:cNvPr id="78" name="Gráfico 77">
              <a:extLst>
                <a:ext uri="{FF2B5EF4-FFF2-40B4-BE49-F238E27FC236}">
                  <a16:creationId xmlns:a16="http://schemas.microsoft.com/office/drawing/2014/main" id="{00000000-0008-0000-0800-00004E000000}"/>
                </a:ext>
              </a:extLst>
            </xdr:cNvPr>
            <xdr:cNvGraphicFramePr/>
          </xdr:nvGraphicFramePr>
          <xdr:xfrm>
            <a:off x="21145612" y="14869909"/>
            <a:ext cx="2778125" cy="3090007"/>
          </xdr:xfrm>
          <a:graphic>
            <a:graphicData uri="http://schemas.openxmlformats.org/drawingml/2006/chart">
              <c:chart xmlns:c="http://schemas.openxmlformats.org/drawingml/2006/chart" xmlns:r="http://schemas.openxmlformats.org/officeDocument/2006/relationships" r:id="rId5"/>
            </a:graphicData>
          </a:graphic>
        </xdr:graphicFrame>
        <xdr:sp macro="" textlink="q17_a_q19_q26_a_q29_q38_q41_Fig!$R$136">
          <xdr:nvSpPr>
            <xdr:cNvPr id="79" name="CaixaDeTexto 78">
              <a:extLst>
                <a:ext uri="{FF2B5EF4-FFF2-40B4-BE49-F238E27FC236}">
                  <a16:creationId xmlns:a16="http://schemas.microsoft.com/office/drawing/2014/main" id="{00000000-0008-0000-0800-00004F000000}"/>
                </a:ext>
              </a:extLst>
            </xdr:cNvPr>
            <xdr:cNvSpPr txBox="1"/>
          </xdr:nvSpPr>
          <xdr:spPr>
            <a:xfrm>
              <a:off x="21936641" y="15221481"/>
              <a:ext cx="782888" cy="119790"/>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E49E796-DCE6-4364-B448-F5CA0509A2D2}"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1.383,38 €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8_q41_Fig!$R$137">
          <xdr:nvSpPr>
            <xdr:cNvPr id="80" name="CaixaDeTexto 79">
              <a:extLst>
                <a:ext uri="{FF2B5EF4-FFF2-40B4-BE49-F238E27FC236}">
                  <a16:creationId xmlns:a16="http://schemas.microsoft.com/office/drawing/2014/main" id="{00000000-0008-0000-0800-000050000000}"/>
                </a:ext>
              </a:extLst>
            </xdr:cNvPr>
            <xdr:cNvSpPr txBox="1"/>
          </xdr:nvSpPr>
          <xdr:spPr>
            <a:xfrm>
              <a:off x="21943733" y="15413258"/>
              <a:ext cx="782231" cy="119900"/>
            </a:xfrm>
            <a:prstGeom prst="rect">
              <a:avLst/>
            </a:prstGeom>
            <a:solidFill>
              <a:srgbClr val="FFC000">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94AF2D3-E95C-4965-BDF3-A75C1EA1175A}"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1.693,55 €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8_q41_Fig!$T$129">
          <xdr:nvSpPr>
            <xdr:cNvPr id="81" name="CaixaDeTexto 80">
              <a:extLst>
                <a:ext uri="{FF2B5EF4-FFF2-40B4-BE49-F238E27FC236}">
                  <a16:creationId xmlns:a16="http://schemas.microsoft.com/office/drawing/2014/main" id="{00000000-0008-0000-0800-000051000000}"/>
                </a:ext>
              </a:extLst>
            </xdr:cNvPr>
            <xdr:cNvSpPr txBox="1"/>
          </xdr:nvSpPr>
          <xdr:spPr>
            <a:xfrm>
              <a:off x="23202946" y="15216190"/>
              <a:ext cx="783448" cy="119790"/>
            </a:xfrm>
            <a:prstGeom prst="rect">
              <a:avLst/>
            </a:prstGeom>
            <a:solidFill>
              <a:srgbClr val="95B3D7">
                <a:alpha val="46667"/>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7E772E6-B5EE-4022-A5D7-B926F70E47F9}"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1.216,85 €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8_q41_Fig!$U$129">
          <xdr:nvSpPr>
            <xdr:cNvPr id="82" name="CaixaDeTexto 81">
              <a:extLst>
                <a:ext uri="{FF2B5EF4-FFF2-40B4-BE49-F238E27FC236}">
                  <a16:creationId xmlns:a16="http://schemas.microsoft.com/office/drawing/2014/main" id="{00000000-0008-0000-0800-000052000000}"/>
                </a:ext>
              </a:extLst>
            </xdr:cNvPr>
            <xdr:cNvSpPr txBox="1"/>
          </xdr:nvSpPr>
          <xdr:spPr>
            <a:xfrm>
              <a:off x="23202947" y="15407964"/>
              <a:ext cx="782888" cy="119790"/>
            </a:xfrm>
            <a:prstGeom prst="rect">
              <a:avLst/>
            </a:prstGeom>
            <a:solidFill>
              <a:srgbClr val="FFEF57">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1402D5C1-CE2B-4A98-9B05-1F7756AEEC85}"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1.445,59 €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clientData/>
  </xdr:twoCellAnchor>
  <xdr:twoCellAnchor>
    <xdr:from>
      <xdr:col>0</xdr:col>
      <xdr:colOff>161925</xdr:colOff>
      <xdr:row>33</xdr:row>
      <xdr:rowOff>38100</xdr:rowOff>
    </xdr:from>
    <xdr:to>
      <xdr:col>11</xdr:col>
      <xdr:colOff>19050</xdr:colOff>
      <xdr:row>53</xdr:row>
      <xdr:rowOff>95250</xdr:rowOff>
    </xdr:to>
    <xdr:grpSp>
      <xdr:nvGrpSpPr>
        <xdr:cNvPr id="87" name="Agrupar 86">
          <a:extLst>
            <a:ext uri="{FF2B5EF4-FFF2-40B4-BE49-F238E27FC236}">
              <a16:creationId xmlns:a16="http://schemas.microsoft.com/office/drawing/2014/main" id="{00000000-0008-0000-0800-000057000000}"/>
            </a:ext>
          </a:extLst>
        </xdr:cNvPr>
        <xdr:cNvGrpSpPr/>
      </xdr:nvGrpSpPr>
      <xdr:grpSpPr>
        <a:xfrm>
          <a:off x="161925" y="6324600"/>
          <a:ext cx="6038850" cy="3867150"/>
          <a:chOff x="17325975" y="933450"/>
          <a:chExt cx="5810250" cy="3467099"/>
        </a:xfrm>
      </xdr:grpSpPr>
      <xdr:graphicFrame macro="">
        <xdr:nvGraphicFramePr>
          <xdr:cNvPr id="88" name="Gráfico 87">
            <a:extLst>
              <a:ext uri="{FF2B5EF4-FFF2-40B4-BE49-F238E27FC236}">
                <a16:creationId xmlns:a16="http://schemas.microsoft.com/office/drawing/2014/main" id="{00000000-0008-0000-0800-000058000000}"/>
              </a:ext>
            </a:extLst>
          </xdr:cNvPr>
          <xdr:cNvGraphicFramePr>
            <a:graphicFrameLocks/>
          </xdr:cNvGraphicFramePr>
        </xdr:nvGraphicFramePr>
        <xdr:xfrm>
          <a:off x="17325975" y="1305142"/>
          <a:ext cx="3905250" cy="3095407"/>
        </xdr:xfrm>
        <a:graphic>
          <a:graphicData uri="http://schemas.openxmlformats.org/drawingml/2006/chart">
            <c:chart xmlns:c="http://schemas.openxmlformats.org/drawingml/2006/chart" xmlns:r="http://schemas.openxmlformats.org/officeDocument/2006/relationships" r:id="rId6"/>
          </a:graphicData>
        </a:graphic>
      </xdr:graphicFrame>
      <xdr:grpSp>
        <xdr:nvGrpSpPr>
          <xdr:cNvPr id="89" name="Agrupar 88">
            <a:extLst>
              <a:ext uri="{FF2B5EF4-FFF2-40B4-BE49-F238E27FC236}">
                <a16:creationId xmlns:a16="http://schemas.microsoft.com/office/drawing/2014/main" id="{00000000-0008-0000-0800-000059000000}"/>
              </a:ext>
            </a:extLst>
          </xdr:cNvPr>
          <xdr:cNvGrpSpPr/>
        </xdr:nvGrpSpPr>
        <xdr:grpSpPr>
          <a:xfrm>
            <a:off x="20111887" y="933450"/>
            <a:ext cx="3024338" cy="3295647"/>
            <a:chOff x="15382876" y="10342315"/>
            <a:chExt cx="2836231" cy="2080882"/>
          </a:xfrm>
        </xdr:grpSpPr>
        <xdr:graphicFrame macro="">
          <xdr:nvGraphicFramePr>
            <xdr:cNvPr id="90" name="Gráfico 89">
              <a:extLst>
                <a:ext uri="{FF2B5EF4-FFF2-40B4-BE49-F238E27FC236}">
                  <a16:creationId xmlns:a16="http://schemas.microsoft.com/office/drawing/2014/main" id="{00000000-0008-0000-0800-00005A000000}"/>
                </a:ext>
              </a:extLst>
            </xdr:cNvPr>
            <xdr:cNvGraphicFramePr>
              <a:graphicFrameLocks/>
            </xdr:cNvGraphicFramePr>
          </xdr:nvGraphicFramePr>
          <xdr:xfrm>
            <a:off x="15382876" y="10368740"/>
            <a:ext cx="2836231" cy="2054457"/>
          </xdr:xfrm>
          <a:graphic>
            <a:graphicData uri="http://schemas.openxmlformats.org/drawingml/2006/chart">
              <c:chart xmlns:c="http://schemas.openxmlformats.org/drawingml/2006/chart" xmlns:r="http://schemas.openxmlformats.org/officeDocument/2006/relationships" r:id="rId7"/>
            </a:graphicData>
          </a:graphic>
        </xdr:graphicFrame>
        <xdr:sp macro="" textlink="q17_a_q19_q26_a_q29_q38_q41_Fig!$T$264">
          <xdr:nvSpPr>
            <xdr:cNvPr id="91" name="CaixaDeTexto 90">
              <a:extLst>
                <a:ext uri="{FF2B5EF4-FFF2-40B4-BE49-F238E27FC236}">
                  <a16:creationId xmlns:a16="http://schemas.microsoft.com/office/drawing/2014/main" id="{00000000-0008-0000-0800-00005B000000}"/>
                </a:ext>
              </a:extLst>
            </xdr:cNvPr>
            <xdr:cNvSpPr txBox="1"/>
          </xdr:nvSpPr>
          <xdr:spPr>
            <a:xfrm>
              <a:off x="17385495" y="10583829"/>
              <a:ext cx="823129" cy="157512"/>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E21FB161-F1F9-49F3-BCBC-1AB2C8F36695}"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3.354.136</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92" name="CaixaDeTexto 91">
              <a:extLst>
                <a:ext uri="{FF2B5EF4-FFF2-40B4-BE49-F238E27FC236}">
                  <a16:creationId xmlns:a16="http://schemas.microsoft.com/office/drawing/2014/main" id="{00000000-0008-0000-0800-00005C000000}"/>
                </a:ext>
              </a:extLst>
            </xdr:cNvPr>
            <xdr:cNvSpPr txBox="1"/>
          </xdr:nvSpPr>
          <xdr:spPr>
            <a:xfrm>
              <a:off x="17385495" y="10342315"/>
              <a:ext cx="831067" cy="184497"/>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grpSp>
    </xdr:grpSp>
    <xdr:clientData/>
  </xdr:twoCellAnchor>
  <xdr:twoCellAnchor>
    <xdr:from>
      <xdr:col>10</xdr:col>
      <xdr:colOff>457200</xdr:colOff>
      <xdr:row>34</xdr:row>
      <xdr:rowOff>161925</xdr:rowOff>
    </xdr:from>
    <xdr:to>
      <xdr:col>23</xdr:col>
      <xdr:colOff>133736</xdr:colOff>
      <xdr:row>53</xdr:row>
      <xdr:rowOff>66675</xdr:rowOff>
    </xdr:to>
    <xdr:grpSp>
      <xdr:nvGrpSpPr>
        <xdr:cNvPr id="93" name="Agrupar 92">
          <a:extLst>
            <a:ext uri="{FF2B5EF4-FFF2-40B4-BE49-F238E27FC236}">
              <a16:creationId xmlns:a16="http://schemas.microsoft.com/office/drawing/2014/main" id="{00000000-0008-0000-0800-00005D000000}"/>
            </a:ext>
          </a:extLst>
        </xdr:cNvPr>
        <xdr:cNvGrpSpPr/>
      </xdr:nvGrpSpPr>
      <xdr:grpSpPr>
        <a:xfrm>
          <a:off x="6076950" y="6638925"/>
          <a:ext cx="6962775" cy="3524250"/>
          <a:chOff x="16221075" y="5530007"/>
          <a:chExt cx="5787920" cy="3598649"/>
        </a:xfrm>
      </xdr:grpSpPr>
      <xdr:graphicFrame macro="">
        <xdr:nvGraphicFramePr>
          <xdr:cNvPr id="94" name="Gráfico 93">
            <a:extLst>
              <a:ext uri="{FF2B5EF4-FFF2-40B4-BE49-F238E27FC236}">
                <a16:creationId xmlns:a16="http://schemas.microsoft.com/office/drawing/2014/main" id="{00000000-0008-0000-0800-00005E000000}"/>
              </a:ext>
            </a:extLst>
          </xdr:cNvPr>
          <xdr:cNvGraphicFramePr>
            <a:graphicFrameLocks/>
          </xdr:cNvGraphicFramePr>
        </xdr:nvGraphicFramePr>
        <xdr:xfrm>
          <a:off x="16221075" y="5734051"/>
          <a:ext cx="4016365" cy="3394605"/>
        </xdr:xfrm>
        <a:graphic>
          <a:graphicData uri="http://schemas.openxmlformats.org/drawingml/2006/chart">
            <c:chart xmlns:c="http://schemas.openxmlformats.org/drawingml/2006/chart" xmlns:r="http://schemas.openxmlformats.org/officeDocument/2006/relationships" r:id="rId8"/>
          </a:graphicData>
        </a:graphic>
      </xdr:graphicFrame>
      <xdr:sp macro="" textlink="q17_a_q19_q26_a_q29_q38_q41_Fig!$U$264">
        <xdr:nvSpPr>
          <xdr:cNvPr id="95" name="CaixaDeTexto 94">
            <a:extLst>
              <a:ext uri="{FF2B5EF4-FFF2-40B4-BE49-F238E27FC236}">
                <a16:creationId xmlns:a16="http://schemas.microsoft.com/office/drawing/2014/main" id="{00000000-0008-0000-0800-00005F000000}"/>
              </a:ext>
            </a:extLst>
          </xdr:cNvPr>
          <xdr:cNvSpPr txBox="1"/>
        </xdr:nvSpPr>
        <xdr:spPr>
          <a:xfrm>
            <a:off x="16617421" y="5845032"/>
            <a:ext cx="692678" cy="143018"/>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72ECE00-A87A-4283-9A52-74C3749E319F}"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1.308,96 €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96" name="CaixaDeTexto 95">
            <a:extLst>
              <a:ext uri="{FF2B5EF4-FFF2-40B4-BE49-F238E27FC236}">
                <a16:creationId xmlns:a16="http://schemas.microsoft.com/office/drawing/2014/main" id="{00000000-0008-0000-0800-000060000000}"/>
              </a:ext>
            </a:extLst>
          </xdr:cNvPr>
          <xdr:cNvSpPr txBox="1"/>
        </xdr:nvSpPr>
        <xdr:spPr>
          <a:xfrm>
            <a:off x="16617421" y="5613571"/>
            <a:ext cx="692679" cy="206204"/>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sp macro="" textlink="q17_a_q19_q26_a_q29_q38_q41_Fig!$V$264">
        <xdr:nvSpPr>
          <xdr:cNvPr id="97" name="CaixaDeTexto 96">
            <a:extLst>
              <a:ext uri="{FF2B5EF4-FFF2-40B4-BE49-F238E27FC236}">
                <a16:creationId xmlns:a16="http://schemas.microsoft.com/office/drawing/2014/main" id="{00000000-0008-0000-0800-000061000000}"/>
              </a:ext>
            </a:extLst>
          </xdr:cNvPr>
          <xdr:cNvSpPr txBox="1"/>
        </xdr:nvSpPr>
        <xdr:spPr>
          <a:xfrm>
            <a:off x="16617421" y="6023130"/>
            <a:ext cx="692678" cy="104621"/>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F2CD233-01EE-469E-8399-17A6EEED23C3}"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1.582,75 €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nvGrpSpPr>
          <xdr:cNvPr id="98" name="Agrupar 97">
            <a:extLst>
              <a:ext uri="{FF2B5EF4-FFF2-40B4-BE49-F238E27FC236}">
                <a16:creationId xmlns:a16="http://schemas.microsoft.com/office/drawing/2014/main" id="{00000000-0008-0000-0800-000062000000}"/>
              </a:ext>
            </a:extLst>
          </xdr:cNvPr>
          <xdr:cNvGrpSpPr/>
        </xdr:nvGrpSpPr>
        <xdr:grpSpPr>
          <a:xfrm>
            <a:off x="19701235" y="5603993"/>
            <a:ext cx="2158641" cy="3444760"/>
            <a:chOff x="20489329" y="14115698"/>
            <a:chExt cx="2954034" cy="2531384"/>
          </a:xfrm>
        </xdr:grpSpPr>
        <xdr:graphicFrame macro="">
          <xdr:nvGraphicFramePr>
            <xdr:cNvPr id="101" name="Gráfico 100">
              <a:extLst>
                <a:ext uri="{FF2B5EF4-FFF2-40B4-BE49-F238E27FC236}">
                  <a16:creationId xmlns:a16="http://schemas.microsoft.com/office/drawing/2014/main" id="{00000000-0008-0000-0800-000065000000}"/>
                </a:ext>
              </a:extLst>
            </xdr:cNvPr>
            <xdr:cNvGraphicFramePr>
              <a:graphicFrameLocks/>
            </xdr:cNvGraphicFramePr>
          </xdr:nvGraphicFramePr>
          <xdr:xfrm>
            <a:off x="21031750" y="14262773"/>
            <a:ext cx="2411613" cy="2384309"/>
          </xdr:xfrm>
          <a:graphic>
            <a:graphicData uri="http://schemas.openxmlformats.org/drawingml/2006/chart">
              <c:chart xmlns:c="http://schemas.openxmlformats.org/drawingml/2006/chart" xmlns:r="http://schemas.openxmlformats.org/officeDocument/2006/relationships" r:id="rId9"/>
            </a:graphicData>
          </a:graphic>
        </xdr:graphicFrame>
        <xdr:sp macro="" textlink="q17_a_q19_q26_a_q29_q38_q41_Fig!$W$264">
          <xdr:nvSpPr>
            <xdr:cNvPr id="102" name="CaixaDeTexto 101">
              <a:extLst>
                <a:ext uri="{FF2B5EF4-FFF2-40B4-BE49-F238E27FC236}">
                  <a16:creationId xmlns:a16="http://schemas.microsoft.com/office/drawing/2014/main" id="{00000000-0008-0000-0800-000066000000}"/>
                </a:ext>
              </a:extLst>
            </xdr:cNvPr>
            <xdr:cNvSpPr txBox="1"/>
          </xdr:nvSpPr>
          <xdr:spPr>
            <a:xfrm>
              <a:off x="20489331" y="14269390"/>
              <a:ext cx="1068605" cy="100056"/>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159EE41-3203-4DE7-A967-4559667BB7F1}"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7,38 €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03" name="CaixaDeTexto 102">
              <a:extLst>
                <a:ext uri="{FF2B5EF4-FFF2-40B4-BE49-F238E27FC236}">
                  <a16:creationId xmlns:a16="http://schemas.microsoft.com/office/drawing/2014/main" id="{00000000-0008-0000-0800-000067000000}"/>
                </a:ext>
              </a:extLst>
            </xdr:cNvPr>
            <xdr:cNvSpPr txBox="1"/>
          </xdr:nvSpPr>
          <xdr:spPr>
            <a:xfrm>
              <a:off x="20489329" y="14115698"/>
              <a:ext cx="1083522" cy="130262"/>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grpSp>
      <xdr:sp macro="" textlink="">
        <xdr:nvSpPr>
          <xdr:cNvPr id="99" name="CaixaDeTexto 98">
            <a:extLst>
              <a:ext uri="{FF2B5EF4-FFF2-40B4-BE49-F238E27FC236}">
                <a16:creationId xmlns:a16="http://schemas.microsoft.com/office/drawing/2014/main" id="{00000000-0008-0000-0800-000063000000}"/>
              </a:ext>
            </a:extLst>
          </xdr:cNvPr>
          <xdr:cNvSpPr txBox="1"/>
        </xdr:nvSpPr>
        <xdr:spPr>
          <a:xfrm>
            <a:off x="17218081" y="5530007"/>
            <a:ext cx="1539726" cy="1797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Remunerações</a:t>
            </a:r>
            <a:r>
              <a:rPr lang="pt-PT" sz="800" b="1" baseline="0">
                <a:solidFill>
                  <a:schemeClr val="tx2"/>
                </a:solidFill>
              </a:rPr>
              <a:t> médias mensais</a:t>
            </a:r>
            <a:endParaRPr lang="pt-PT" sz="800" b="1">
              <a:solidFill>
                <a:schemeClr val="tx2"/>
              </a:solidFill>
            </a:endParaRPr>
          </a:p>
        </xdr:txBody>
      </xdr:sp>
      <xdr:sp macro="" textlink="">
        <xdr:nvSpPr>
          <xdr:cNvPr id="100" name="CaixaDeTexto 99">
            <a:extLst>
              <a:ext uri="{FF2B5EF4-FFF2-40B4-BE49-F238E27FC236}">
                <a16:creationId xmlns:a16="http://schemas.microsoft.com/office/drawing/2014/main" id="{00000000-0008-0000-0800-000064000000}"/>
              </a:ext>
            </a:extLst>
          </xdr:cNvPr>
          <xdr:cNvSpPr txBox="1"/>
        </xdr:nvSpPr>
        <xdr:spPr>
          <a:xfrm>
            <a:off x="20158940" y="5599184"/>
            <a:ext cx="1850055" cy="17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Remuneração</a:t>
            </a:r>
            <a:r>
              <a:rPr lang="pt-PT" sz="800" b="1" baseline="0">
                <a:solidFill>
                  <a:schemeClr val="tx2"/>
                </a:solidFill>
              </a:rPr>
              <a:t> base horária</a:t>
            </a:r>
            <a:endParaRPr lang="pt-PT" sz="800" b="1">
              <a:solidFill>
                <a:schemeClr val="tx2"/>
              </a:solidFill>
            </a:endParaRPr>
          </a:p>
        </xdr:txBody>
      </xdr:sp>
    </xdr:grpSp>
    <xdr:clientData/>
  </xdr:twoCellAnchor>
  <xdr:twoCellAnchor>
    <xdr:from>
      <xdr:col>0</xdr:col>
      <xdr:colOff>495300</xdr:colOff>
      <xdr:row>52</xdr:row>
      <xdr:rowOff>0</xdr:rowOff>
    </xdr:from>
    <xdr:to>
      <xdr:col>10</xdr:col>
      <xdr:colOff>95550</xdr:colOff>
      <xdr:row>53</xdr:row>
      <xdr:rowOff>22957</xdr:rowOff>
    </xdr:to>
    <xdr:sp macro="" textlink="">
      <xdr:nvSpPr>
        <xdr:cNvPr id="62" name="CaixaDeTexto 61">
          <a:hlinkClick xmlns:r="http://schemas.openxmlformats.org/officeDocument/2006/relationships" r:id="rId10"/>
          <a:extLst>
            <a:ext uri="{FF2B5EF4-FFF2-40B4-BE49-F238E27FC236}">
              <a16:creationId xmlns:a16="http://schemas.microsoft.com/office/drawing/2014/main" id="{00000000-0008-0000-0800-00003E000000}"/>
            </a:ext>
          </a:extLst>
        </xdr:cNvPr>
        <xdr:cNvSpPr txBox="1"/>
      </xdr:nvSpPr>
      <xdr:spPr>
        <a:xfrm>
          <a:off x="495300" y="9906000"/>
          <a:ext cx="5220000" cy="213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800" i="0"/>
            <a:t>Consultar mais</a:t>
          </a:r>
          <a:r>
            <a:rPr lang="pt-PT" sz="800" i="0" baseline="0"/>
            <a:t> informação sobre Classificação Portuguesa das Profissões (CPP/2010)  em </a:t>
          </a:r>
          <a:r>
            <a:rPr lang="pt-PT" sz="800" i="0" u="sng" baseline="0">
              <a:solidFill>
                <a:schemeClr val="accent1"/>
              </a:solidFill>
            </a:rPr>
            <a:t>Introdução e Metainformação</a:t>
          </a:r>
          <a:endParaRPr lang="pt-PT" sz="800" i="0" u="sng">
            <a:solidFill>
              <a:schemeClr val="accent1"/>
            </a:solidFill>
          </a:endParaRPr>
        </a:p>
      </xdr:txBody>
    </xdr:sp>
    <xdr:clientData/>
  </xdr:twoCellAnchor>
  <xdr:twoCellAnchor>
    <xdr:from>
      <xdr:col>1</xdr:col>
      <xdr:colOff>219075</xdr:colOff>
      <xdr:row>27</xdr:row>
      <xdr:rowOff>19050</xdr:rowOff>
    </xdr:from>
    <xdr:to>
      <xdr:col>10</xdr:col>
      <xdr:colOff>381300</xdr:colOff>
      <xdr:row>28</xdr:row>
      <xdr:rowOff>42007</xdr:rowOff>
    </xdr:to>
    <xdr:sp macro="" textlink="">
      <xdr:nvSpPr>
        <xdr:cNvPr id="104" name="CaixaDeTexto 103">
          <a:hlinkClick xmlns:r="http://schemas.openxmlformats.org/officeDocument/2006/relationships" r:id="rId10"/>
          <a:extLst>
            <a:ext uri="{FF2B5EF4-FFF2-40B4-BE49-F238E27FC236}">
              <a16:creationId xmlns:a16="http://schemas.microsoft.com/office/drawing/2014/main" id="{00000000-0008-0000-0800-000068000000}"/>
            </a:ext>
          </a:extLst>
        </xdr:cNvPr>
        <xdr:cNvSpPr txBox="1"/>
      </xdr:nvSpPr>
      <xdr:spPr>
        <a:xfrm>
          <a:off x="781050" y="5162550"/>
          <a:ext cx="5220000" cy="213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800" i="0"/>
            <a:t>Consultar mais</a:t>
          </a:r>
          <a:r>
            <a:rPr lang="pt-PT" sz="800" i="0" baseline="0"/>
            <a:t> informação sobre Estrutura dos Níveis de Qualificação  em </a:t>
          </a:r>
          <a:r>
            <a:rPr lang="pt-PT" sz="800" i="0" u="sng" baseline="0">
              <a:solidFill>
                <a:schemeClr val="accent1"/>
              </a:solidFill>
            </a:rPr>
            <a:t>Introdução e Metainformação</a:t>
          </a:r>
          <a:endParaRPr lang="pt-PT" sz="800" i="0" u="sng">
            <a:solidFill>
              <a:schemeClr val="accent1"/>
            </a:solidFill>
          </a:endParaRPr>
        </a:p>
      </xdr:txBody>
    </xdr:sp>
    <xdr:clientData/>
  </xdr:twoCellAnchor>
  <xdr:twoCellAnchor editAs="oneCell">
    <xdr:from>
      <xdr:col>0</xdr:col>
      <xdr:colOff>44450</xdr:colOff>
      <xdr:row>0</xdr:row>
      <xdr:rowOff>19050</xdr:rowOff>
    </xdr:from>
    <xdr:to>
      <xdr:col>1</xdr:col>
      <xdr:colOff>336550</xdr:colOff>
      <xdr:row>2</xdr:row>
      <xdr:rowOff>63500</xdr:rowOff>
    </xdr:to>
    <xdr:pic>
      <xdr:nvPicPr>
        <xdr:cNvPr id="105" name="Imagem 104" descr="Z:\G_EME_INFOESTAT\5_apoio_pedidos\imagens\logoDGCP_pq.png">
          <a:extLst>
            <a:ext uri="{FF2B5EF4-FFF2-40B4-BE49-F238E27FC236}">
              <a16:creationId xmlns:a16="http://schemas.microsoft.com/office/drawing/2014/main" id="{00000000-0008-0000-0800-000069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4450" y="19050"/>
          <a:ext cx="882650" cy="41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0.50439</cdr:x>
      <cdr:y>0.13317</cdr:y>
    </cdr:from>
    <cdr:to>
      <cdr:x>0.64051</cdr:x>
      <cdr:y>0.25254</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627549" y="461786"/>
          <a:ext cx="439228" cy="413933"/>
          <a:chOff x="1925896" y="369817"/>
          <a:chExt cx="505685"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25896"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28.xml><?xml version="1.0" encoding="utf-8"?>
<c:userShapes xmlns:c="http://schemas.openxmlformats.org/drawingml/2006/chart">
  <cdr:relSizeAnchor xmlns:cdr="http://schemas.openxmlformats.org/drawingml/2006/chartDrawing">
    <cdr:from>
      <cdr:x>0.60932</cdr:x>
      <cdr:y>0.10672</cdr:y>
    </cdr:from>
    <cdr:to>
      <cdr:x>0.72061</cdr:x>
      <cdr:y>0.1913</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2324646" y="337873"/>
          <a:ext cx="424588" cy="267778"/>
          <a:chOff x="1963402" y="369817"/>
          <a:chExt cx="468179"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63402"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29.xml><?xml version="1.0" encoding="utf-8"?>
<xdr:wsDr xmlns:xdr="http://schemas.openxmlformats.org/drawingml/2006/spreadsheetDrawing" xmlns:a="http://schemas.openxmlformats.org/drawingml/2006/main">
  <xdr:twoCellAnchor>
    <xdr:from>
      <xdr:col>1</xdr:col>
      <xdr:colOff>469834</xdr:colOff>
      <xdr:row>0</xdr:row>
      <xdr:rowOff>41276</xdr:rowOff>
    </xdr:from>
    <xdr:to>
      <xdr:col>22</xdr:col>
      <xdr:colOff>577786</xdr:colOff>
      <xdr:row>2</xdr:row>
      <xdr:rowOff>95250</xdr:rowOff>
    </xdr:to>
    <xdr:sp macro="" textlink="">
      <xdr:nvSpPr>
        <xdr:cNvPr id="3" name="Rectangle 17">
          <a:extLst>
            <a:ext uri="{FF2B5EF4-FFF2-40B4-BE49-F238E27FC236}">
              <a16:creationId xmlns:a16="http://schemas.microsoft.com/office/drawing/2014/main" id="{00000000-0008-0000-0900-000003000000}"/>
            </a:ext>
          </a:extLst>
        </xdr:cNvPr>
        <xdr:cNvSpPr>
          <a:spLocks noChangeArrowheads="1"/>
        </xdr:cNvSpPr>
      </xdr:nvSpPr>
      <xdr:spPr bwMode="auto">
        <a:xfrm>
          <a:off x="1031809" y="41276"/>
          <a:ext cx="12004677" cy="434974"/>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1600" b="1" i="1">
              <a:solidFill>
                <a:schemeClr val="bg1"/>
              </a:solidFill>
              <a:effectLst>
                <a:outerShdw blurRad="38100" dist="38100" dir="2700000" algn="tl">
                  <a:srgbClr val="000000"/>
                </a:outerShdw>
              </a:effectLst>
              <a:latin typeface="Arial" charset="0"/>
            </a:rPr>
            <a:t>Séries Cronológicas 2014 - 2024: Quadros de Pessoal</a:t>
          </a:r>
        </a:p>
        <a:p>
          <a:pPr defTabSz="988538">
            <a:defRPr/>
          </a:pPr>
          <a:r>
            <a:rPr lang="pt-PT" sz="1600" b="1" i="1">
              <a:solidFill>
                <a:srgbClr val="FFE600"/>
              </a:solidFill>
              <a:effectLst>
                <a:outerShdw blurRad="38100" dist="38100" dir="2700000" algn="tl">
                  <a:srgbClr val="000000"/>
                </a:outerShdw>
              </a:effectLst>
              <a:latin typeface="Arial" charset="0"/>
            </a:rPr>
            <a:t>Pessoas ao serviço e </a:t>
          </a:r>
          <a:r>
            <a:rPr lang="pt-PT" sz="1600" b="1" i="1" baseline="0">
              <a:solidFill>
                <a:srgbClr val="FFE600"/>
              </a:solidFill>
              <a:effectLst>
                <a:outerShdw blurRad="38100" dist="38100" dir="2700000" algn="tl">
                  <a:srgbClr val="000000"/>
                </a:outerShdw>
              </a:effectLst>
              <a:latin typeface="Arial" charset="0"/>
            </a:rPr>
            <a:t>TCO de Nacionalidade Estrangeira</a:t>
          </a:r>
          <a:endParaRPr lang="pt-PT" sz="1600" b="1" i="1">
            <a:solidFill>
              <a:srgbClr val="FFE600"/>
            </a:solidFill>
            <a:effectLst>
              <a:outerShdw blurRad="38100" dist="38100" dir="2700000" algn="tl">
                <a:srgbClr val="000000"/>
              </a:outerShdw>
            </a:effectLst>
            <a:latin typeface="Arial" charset="0"/>
          </a:endParaRPr>
        </a:p>
      </xdr:txBody>
    </xdr:sp>
    <xdr:clientData/>
  </xdr:twoCellAnchor>
  <xdr:twoCellAnchor>
    <xdr:from>
      <xdr:col>0</xdr:col>
      <xdr:colOff>7937</xdr:colOff>
      <xdr:row>2</xdr:row>
      <xdr:rowOff>123825</xdr:rowOff>
    </xdr:from>
    <xdr:to>
      <xdr:col>23</xdr:col>
      <xdr:colOff>0</xdr:colOff>
      <xdr:row>3</xdr:row>
      <xdr:rowOff>171450</xdr:rowOff>
    </xdr:to>
    <xdr:sp macro="" textlink="">
      <xdr:nvSpPr>
        <xdr:cNvPr id="6" name="Text Box 10">
          <a:extLst>
            <a:ext uri="{FF2B5EF4-FFF2-40B4-BE49-F238E27FC236}">
              <a16:creationId xmlns:a16="http://schemas.microsoft.com/office/drawing/2014/main" id="{00000000-0008-0000-0900-000006000000}"/>
            </a:ext>
          </a:extLst>
        </xdr:cNvPr>
        <xdr:cNvSpPr txBox="1">
          <a:spLocks noChangeArrowheads="1"/>
        </xdr:cNvSpPr>
      </xdr:nvSpPr>
      <xdr:spPr bwMode="auto">
        <a:xfrm>
          <a:off x="7937" y="504825"/>
          <a:ext cx="13031788" cy="238125"/>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200" b="1">
              <a:solidFill>
                <a:srgbClr val="00467A"/>
              </a:solidFill>
              <a:latin typeface="Arial" charset="0"/>
            </a:rPr>
            <a:t>Pessoas ao serviço</a:t>
          </a:r>
          <a:r>
            <a:rPr lang="en-US" altLang="pt-PT" sz="1200" b="1" baseline="0">
              <a:solidFill>
                <a:srgbClr val="00467A"/>
              </a:solidFill>
              <a:latin typeface="Arial" charset="0"/>
            </a:rPr>
            <a:t> e </a:t>
          </a:r>
          <a:r>
            <a:rPr lang="en-US" altLang="pt-PT" sz="1200" b="1">
              <a:solidFill>
                <a:srgbClr val="00467A"/>
              </a:solidFill>
              <a:latin typeface="Arial" charset="0"/>
            </a:rPr>
            <a:t>TCO de Nacionalidade</a:t>
          </a:r>
          <a:r>
            <a:rPr lang="en-US" altLang="pt-PT" sz="1200" b="1" baseline="0">
              <a:solidFill>
                <a:srgbClr val="00467A"/>
              </a:solidFill>
              <a:latin typeface="Arial" charset="0"/>
            </a:rPr>
            <a:t> Estrangeira e respetivas Remunerações médias mensais</a:t>
          </a:r>
          <a:endParaRPr lang="en-US" altLang="pt-PT" sz="1200" b="1">
            <a:solidFill>
              <a:srgbClr val="00467A"/>
            </a:solidFill>
            <a:latin typeface="Arial" charset="0"/>
          </a:endParaRPr>
        </a:p>
      </xdr:txBody>
    </xdr:sp>
    <xdr:clientData/>
  </xdr:twoCellAnchor>
  <xdr:twoCellAnchor>
    <xdr:from>
      <xdr:col>21</xdr:col>
      <xdr:colOff>31684</xdr:colOff>
      <xdr:row>0</xdr:row>
      <xdr:rowOff>127001</xdr:rowOff>
    </xdr:from>
    <xdr:to>
      <xdr:col>22</xdr:col>
      <xdr:colOff>484175</xdr:colOff>
      <xdr:row>1</xdr:row>
      <xdr:rowOff>173928</xdr:rowOff>
    </xdr:to>
    <xdr:sp macro="" textlink="">
      <xdr:nvSpPr>
        <xdr:cNvPr id="16" name="Text Box 10">
          <a:hlinkClick xmlns:r="http://schemas.openxmlformats.org/officeDocument/2006/relationships" r:id="rId1"/>
          <a:extLst>
            <a:ext uri="{FF2B5EF4-FFF2-40B4-BE49-F238E27FC236}">
              <a16:creationId xmlns:a16="http://schemas.microsoft.com/office/drawing/2014/main" id="{00000000-0008-0000-0900-000010000000}"/>
            </a:ext>
          </a:extLst>
        </xdr:cNvPr>
        <xdr:cNvSpPr txBox="1">
          <a:spLocks noChangeArrowheads="1"/>
        </xdr:cNvSpPr>
      </xdr:nvSpPr>
      <xdr:spPr bwMode="auto">
        <a:xfrm>
          <a:off x="11909359" y="127001"/>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twoCellAnchor editAs="oneCell">
    <xdr:from>
      <xdr:col>0</xdr:col>
      <xdr:colOff>44450</xdr:colOff>
      <xdr:row>0</xdr:row>
      <xdr:rowOff>19050</xdr:rowOff>
    </xdr:from>
    <xdr:to>
      <xdr:col>1</xdr:col>
      <xdr:colOff>336550</xdr:colOff>
      <xdr:row>2</xdr:row>
      <xdr:rowOff>63500</xdr:rowOff>
    </xdr:to>
    <xdr:pic>
      <xdr:nvPicPr>
        <xdr:cNvPr id="60" name="Imagem 59" descr="Z:\G_EME_INFOESTAT\5_apoio_pedidos\imagens\logoDGCP_pq.png">
          <a:extLst>
            <a:ext uri="{FF2B5EF4-FFF2-40B4-BE49-F238E27FC236}">
              <a16:creationId xmlns:a16="http://schemas.microsoft.com/office/drawing/2014/main" id="{00000000-0008-0000-09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9050"/>
          <a:ext cx="854075" cy="42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66675</xdr:colOff>
      <xdr:row>6</xdr:row>
      <xdr:rowOff>180975</xdr:rowOff>
    </xdr:from>
    <xdr:to>
      <xdr:col>7</xdr:col>
      <xdr:colOff>128850</xdr:colOff>
      <xdr:row>10</xdr:row>
      <xdr:rowOff>30975</xdr:rowOff>
    </xdr:to>
    <xdr:sp macro="" textlink="">
      <xdr:nvSpPr>
        <xdr:cNvPr id="65" name="CaixaDeTexto 64">
          <a:extLst>
            <a:ext uri="{FF2B5EF4-FFF2-40B4-BE49-F238E27FC236}">
              <a16:creationId xmlns:a16="http://schemas.microsoft.com/office/drawing/2014/main" id="{00000000-0008-0000-0900-000041000000}"/>
            </a:ext>
          </a:extLst>
        </xdr:cNvPr>
        <xdr:cNvSpPr txBox="1"/>
      </xdr:nvSpPr>
      <xdr:spPr>
        <a:xfrm>
          <a:off x="66675" y="1323975"/>
          <a:ext cx="3996000" cy="612000"/>
        </a:xfrm>
        <a:prstGeom prst="rect">
          <a:avLst/>
        </a:prstGeom>
        <a:noFill/>
        <a:ln w="28575" cmpd="sng">
          <a:solidFill>
            <a:srgbClr val="4F81BD"/>
          </a:solidFill>
        </a:ln>
        <a:effectLst/>
      </xdr:spPr>
      <xdr:txBody>
        <a:bodyPr vertOverflow="clip" horzOverflow="clip" wrap="square" rtlCol="0" anchor="ctr"/>
        <a:lstStyle/>
        <a:p>
          <a:pPr eaLnBrk="1" fontAlgn="auto" latinLnBrk="0" hangingPunct="1"/>
          <a:r>
            <a:rPr lang="en-US" sz="900" b="1" u="sng" baseline="0">
              <a:effectLst/>
              <a:latin typeface="+mn-lt"/>
              <a:ea typeface="+mn-ea"/>
              <a:cs typeface="+mn-cs"/>
            </a:rPr>
            <a:t>2024:</a:t>
          </a:r>
          <a:r>
            <a:rPr lang="en-US" sz="900" b="1" baseline="0">
              <a:effectLst/>
              <a:latin typeface="+mn-lt"/>
              <a:ea typeface="+mn-ea"/>
              <a:cs typeface="+mn-cs"/>
            </a:rPr>
            <a:t>                                                           </a:t>
          </a:r>
          <a:r>
            <a:rPr lang="en-US" sz="900" b="1" u="sng" baseline="0">
              <a:effectLst/>
              <a:latin typeface="+mn-lt"/>
              <a:ea typeface="+mn-ea"/>
              <a:cs typeface="+mn-cs"/>
            </a:rPr>
            <a:t>2024 vs. 2023</a:t>
          </a:r>
          <a:r>
            <a:rPr lang="en-US" sz="900" b="1" baseline="0">
              <a:effectLst/>
              <a:latin typeface="+mn-lt"/>
              <a:ea typeface="+mn-ea"/>
              <a:cs typeface="+mn-cs"/>
            </a:rPr>
            <a:t>: </a:t>
          </a:r>
        </a:p>
        <a:p>
          <a:pPr eaLnBrk="1" fontAlgn="auto" latinLnBrk="0" hangingPunct="1"/>
          <a:r>
            <a:rPr lang="en-US" sz="900" b="0" baseline="0">
              <a:effectLst/>
              <a:latin typeface="+mn-lt"/>
              <a:ea typeface="+mn-ea"/>
              <a:cs typeface="+mn-cs"/>
            </a:rPr>
            <a:t>522.990 pessoas ao serviço                  + 97.527 pessoas ao serviço (+ 22,9%)</a:t>
          </a:r>
        </a:p>
        <a:p>
          <a:pPr eaLnBrk="1" fontAlgn="auto" latinLnBrk="0" hangingPunct="1"/>
          <a:r>
            <a:rPr lang="en-US" sz="900" b="0" baseline="0">
              <a:effectLst/>
              <a:latin typeface="+mn-lt"/>
              <a:ea typeface="+mn-ea"/>
              <a:cs typeface="+mn-cs"/>
            </a:rPr>
            <a:t>509.783 TCO                                            + 95.000 TCO (+ 22,9%)</a:t>
          </a:r>
        </a:p>
      </xdr:txBody>
    </xdr:sp>
    <xdr:clientData/>
  </xdr:twoCellAnchor>
  <xdr:twoCellAnchor>
    <xdr:from>
      <xdr:col>8</xdr:col>
      <xdr:colOff>0</xdr:colOff>
      <xdr:row>6</xdr:row>
      <xdr:rowOff>152400</xdr:rowOff>
    </xdr:from>
    <xdr:to>
      <xdr:col>15</xdr:col>
      <xdr:colOff>280275</xdr:colOff>
      <xdr:row>11</xdr:row>
      <xdr:rowOff>63900</xdr:rowOff>
    </xdr:to>
    <xdr:sp macro="" textlink="q9_13_16_27_28_39_40_E_Fig!$R$62">
      <xdr:nvSpPr>
        <xdr:cNvPr id="69" name="CaixaDeTexto 68">
          <a:extLst>
            <a:ext uri="{FF2B5EF4-FFF2-40B4-BE49-F238E27FC236}">
              <a16:creationId xmlns:a16="http://schemas.microsoft.com/office/drawing/2014/main" id="{00000000-0008-0000-0900-000045000000}"/>
            </a:ext>
          </a:extLst>
        </xdr:cNvPr>
        <xdr:cNvSpPr txBox="1"/>
      </xdr:nvSpPr>
      <xdr:spPr>
        <a:xfrm>
          <a:off x="4495800" y="1295400"/>
          <a:ext cx="4176000" cy="864000"/>
        </a:xfrm>
        <a:prstGeom prst="rect">
          <a:avLst/>
        </a:prstGeom>
        <a:noFill/>
        <a:ln w="28575" cmpd="sng">
          <a:solidFill>
            <a:srgbClr val="4F81BD"/>
          </a:solidFill>
        </a:ln>
        <a:effectLst/>
      </xdr:spPr>
      <xdr:txBody>
        <a:bodyPr vertOverflow="clip" horzOverflow="clip" wrap="square" rtlCol="0" anchor="ctr"/>
        <a:lstStyle/>
        <a:p>
          <a:pPr eaLnBrk="1" fontAlgn="auto" latinLnBrk="0" hangingPunct="1"/>
          <a:fld id="{EB884A6D-B157-4825-B7BA-4230FC9E1B82}" type="TxLink">
            <a:rPr lang="en-US" sz="900" b="0" i="0" u="none" strike="noStrike" baseline="0">
              <a:solidFill>
                <a:srgbClr val="000000"/>
              </a:solidFill>
              <a:effectLst/>
              <a:latin typeface="+mn-lt"/>
              <a:ea typeface="+mn-ea"/>
              <a:cs typeface="Arial"/>
            </a:rPr>
            <a:pPr eaLnBrk="1" fontAlgn="auto" latinLnBrk="0" hangingPunct="1"/>
            <a:t>3 CAE com mais pessoas:
2014: I - Aloj., rest. e sim. (19,2%); N - Ativ. Admin. e dos serv. apoio (18,6%); G - Com. por grosso e ret. (…) (14,9%).
2024: N - Ativ. Admin. e dos serv. apoio (18,7%); I - Aloj., rest. e sim. (18,3%); F - Construção (12,9%).</a:t>
          </a:fld>
          <a:endParaRPr lang="en-US" sz="800" b="0" baseline="0">
            <a:effectLst/>
            <a:latin typeface="+mn-lt"/>
            <a:ea typeface="+mn-ea"/>
            <a:cs typeface="+mn-cs"/>
          </a:endParaRPr>
        </a:p>
      </xdr:txBody>
    </xdr:sp>
    <xdr:clientData/>
  </xdr:twoCellAnchor>
  <xdr:twoCellAnchor>
    <xdr:from>
      <xdr:col>8</xdr:col>
      <xdr:colOff>66674</xdr:colOff>
      <xdr:row>12</xdr:row>
      <xdr:rowOff>28575</xdr:rowOff>
    </xdr:from>
    <xdr:to>
      <xdr:col>15</xdr:col>
      <xdr:colOff>371475</xdr:colOff>
      <xdr:row>31</xdr:row>
      <xdr:rowOff>95250</xdr:rowOff>
    </xdr:to>
    <xdr:grpSp>
      <xdr:nvGrpSpPr>
        <xdr:cNvPr id="4" name="Agrupar 3">
          <a:extLst>
            <a:ext uri="{FF2B5EF4-FFF2-40B4-BE49-F238E27FC236}">
              <a16:creationId xmlns:a16="http://schemas.microsoft.com/office/drawing/2014/main" id="{00000000-0008-0000-0900-000004000000}"/>
            </a:ext>
          </a:extLst>
        </xdr:cNvPr>
        <xdr:cNvGrpSpPr/>
      </xdr:nvGrpSpPr>
      <xdr:grpSpPr>
        <a:xfrm>
          <a:off x="4562474" y="2314575"/>
          <a:ext cx="4200526" cy="3686175"/>
          <a:chOff x="4448174" y="2314575"/>
          <a:chExt cx="4256856" cy="3232882"/>
        </a:xfrm>
      </xdr:grpSpPr>
      <xdr:graphicFrame macro="">
        <xdr:nvGraphicFramePr>
          <xdr:cNvPr id="68" name="Gráfico 67">
            <a:extLst>
              <a:ext uri="{FF2B5EF4-FFF2-40B4-BE49-F238E27FC236}">
                <a16:creationId xmlns:a16="http://schemas.microsoft.com/office/drawing/2014/main" id="{00000000-0008-0000-0900-000044000000}"/>
              </a:ext>
            </a:extLst>
          </xdr:cNvPr>
          <xdr:cNvGraphicFramePr>
            <a:graphicFrameLocks/>
          </xdr:cNvGraphicFramePr>
        </xdr:nvGraphicFramePr>
        <xdr:xfrm>
          <a:off x="4448174" y="2314575"/>
          <a:ext cx="4256856" cy="2914650"/>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70" name="CaixaDeTexto 69">
            <a:hlinkClick xmlns:r="http://schemas.openxmlformats.org/officeDocument/2006/relationships" r:id="rId4"/>
            <a:extLst>
              <a:ext uri="{FF2B5EF4-FFF2-40B4-BE49-F238E27FC236}">
                <a16:creationId xmlns:a16="http://schemas.microsoft.com/office/drawing/2014/main" id="{00000000-0008-0000-0900-000046000000}"/>
              </a:ext>
            </a:extLst>
          </xdr:cNvPr>
          <xdr:cNvSpPr txBox="1"/>
        </xdr:nvSpPr>
        <xdr:spPr>
          <a:xfrm>
            <a:off x="4533900" y="5334000"/>
            <a:ext cx="4096711" cy="213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800"/>
              <a:t>* - </a:t>
            </a:r>
            <a:r>
              <a:rPr lang="pt-PT" sz="800" i="0"/>
              <a:t>Consultar códigos</a:t>
            </a:r>
            <a:r>
              <a:rPr lang="pt-PT" sz="800" i="0" baseline="0"/>
              <a:t> de Secção de Atividade Económica em </a:t>
            </a:r>
            <a:r>
              <a:rPr lang="pt-PT" sz="800" i="0" u="sng" baseline="0">
                <a:solidFill>
                  <a:schemeClr val="accent1"/>
                </a:solidFill>
              </a:rPr>
              <a:t>Introdução e Metainformação</a:t>
            </a:r>
            <a:endParaRPr lang="pt-PT" sz="800" i="0" u="sng">
              <a:solidFill>
                <a:schemeClr val="accent1"/>
              </a:solidFill>
            </a:endParaRPr>
          </a:p>
        </xdr:txBody>
      </xdr:sp>
    </xdr:grpSp>
    <xdr:clientData/>
  </xdr:twoCellAnchor>
  <xdr:twoCellAnchor>
    <xdr:from>
      <xdr:col>0</xdr:col>
      <xdr:colOff>28572</xdr:colOff>
      <xdr:row>5</xdr:row>
      <xdr:rowOff>72112</xdr:rowOff>
    </xdr:from>
    <xdr:to>
      <xdr:col>22</xdr:col>
      <xdr:colOff>565872</xdr:colOff>
      <xdr:row>6</xdr:row>
      <xdr:rowOff>118175</xdr:rowOff>
    </xdr:to>
    <xdr:sp macro="" textlink="">
      <xdr:nvSpPr>
        <xdr:cNvPr id="18" name="Rectangle 3">
          <a:extLst>
            <a:ext uri="{FF2B5EF4-FFF2-40B4-BE49-F238E27FC236}">
              <a16:creationId xmlns:a16="http://schemas.microsoft.com/office/drawing/2014/main" id="{00000000-0008-0000-0900-000012000000}"/>
            </a:ext>
          </a:extLst>
        </xdr:cNvPr>
        <xdr:cNvSpPr>
          <a:spLocks noChangeArrowheads="1"/>
        </xdr:cNvSpPr>
      </xdr:nvSpPr>
      <xdr:spPr bwMode="auto">
        <a:xfrm>
          <a:off x="28572" y="1024612"/>
          <a:ext cx="12996000" cy="236563"/>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clientData/>
  </xdr:twoCellAnchor>
  <xdr:twoCellAnchor>
    <xdr:from>
      <xdr:col>0</xdr:col>
      <xdr:colOff>27000</xdr:colOff>
      <xdr:row>32</xdr:row>
      <xdr:rowOff>0</xdr:rowOff>
    </xdr:from>
    <xdr:to>
      <xdr:col>22</xdr:col>
      <xdr:colOff>564300</xdr:colOff>
      <xdr:row>32</xdr:row>
      <xdr:rowOff>180000</xdr:rowOff>
    </xdr:to>
    <xdr:sp macro="" textlink="">
      <xdr:nvSpPr>
        <xdr:cNvPr id="98" name="Rectangle 3">
          <a:extLst>
            <a:ext uri="{FF2B5EF4-FFF2-40B4-BE49-F238E27FC236}">
              <a16:creationId xmlns:a16="http://schemas.microsoft.com/office/drawing/2014/main" id="{00000000-0008-0000-0900-000062000000}"/>
            </a:ext>
          </a:extLst>
        </xdr:cNvPr>
        <xdr:cNvSpPr>
          <a:spLocks noChangeArrowheads="1"/>
        </xdr:cNvSpPr>
      </xdr:nvSpPr>
      <xdr:spPr bwMode="auto">
        <a:xfrm>
          <a:off x="27000" y="6096000"/>
          <a:ext cx="12996000" cy="180000"/>
        </a:xfrm>
        <a:prstGeom prst="rect">
          <a:avLst/>
        </a:prstGeom>
        <a:solidFill>
          <a:schemeClr val="tx2">
            <a:lumMod val="20000"/>
            <a:lumOff val="80000"/>
          </a:schemeClr>
        </a:solidFill>
        <a:ln w="28575" cap="rnd">
          <a:noFill/>
          <a:prstDash val="sysDot"/>
          <a:miter lim="800000"/>
          <a:headEnd/>
          <a:tailEnd/>
        </a:ln>
        <a:effectLst>
          <a:prstShdw prst="shdw18">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defTabSz="988538">
            <a:defRPr/>
          </a:pPr>
          <a:r>
            <a:rPr lang="en-US" sz="1100" b="1" kern="1200">
              <a:solidFill>
                <a:schemeClr val="tx2">
                  <a:lumMod val="50000"/>
                </a:schemeClr>
              </a:solidFill>
              <a:effectLst/>
              <a:latin typeface="Calibri" panose="020F0502020204030204" pitchFamily="34" charset="0"/>
              <a:ea typeface="+mn-ea"/>
              <a:cs typeface="Calibri" panose="020F0502020204030204" pitchFamily="34" charset="0"/>
            </a:rPr>
            <a:t>Remunerações médias mensais</a:t>
          </a:r>
          <a:r>
            <a:rPr lang="en-US" sz="1100" b="1" kern="1200" baseline="0">
              <a:solidFill>
                <a:schemeClr val="tx2">
                  <a:lumMod val="50000"/>
                </a:schemeClr>
              </a:solidFill>
              <a:effectLst/>
              <a:latin typeface="Calibri" panose="020F0502020204030204" pitchFamily="34" charset="0"/>
              <a:ea typeface="+mn-ea"/>
              <a:cs typeface="Calibri" panose="020F0502020204030204" pitchFamily="34" charset="0"/>
            </a:rPr>
            <a:t> </a:t>
          </a:r>
          <a:r>
            <a:rPr lang="en-US" sz="1100" b="1" kern="1200">
              <a:solidFill>
                <a:schemeClr val="tx2">
                  <a:lumMod val="50000"/>
                </a:schemeClr>
              </a:solidFill>
              <a:effectLst/>
              <a:latin typeface="Calibri" panose="020F0502020204030204" pitchFamily="34" charset="0"/>
              <a:ea typeface="+mn-ea"/>
              <a:cs typeface="Calibri" panose="020F0502020204030204" pitchFamily="34" charset="0"/>
            </a:rPr>
            <a:t>dos TCO </a:t>
          </a:r>
          <a:r>
            <a:rPr lang="en-US" sz="1100" b="1" kern="1200" baseline="0">
              <a:solidFill>
                <a:schemeClr val="tx2">
                  <a:lumMod val="50000"/>
                </a:schemeClr>
              </a:solidFill>
              <a:effectLst/>
              <a:latin typeface="Calibri" panose="020F0502020204030204" pitchFamily="34" charset="0"/>
              <a:ea typeface="+mn-ea"/>
              <a:cs typeface="Calibri" panose="020F0502020204030204" pitchFamily="34" charset="0"/>
            </a:rPr>
            <a:t>de Nacionalidade Estrangeira   </a:t>
          </a:r>
          <a:endParaRPr lang="pt-PT" sz="1100" b="1" i="1">
            <a:solidFill>
              <a:schemeClr val="tx2">
                <a:lumMod val="50000"/>
              </a:schemeClr>
            </a:solidFill>
            <a:effectLst>
              <a:outerShdw blurRad="38100" dist="38100" dir="2700000" algn="tl">
                <a:srgbClr val="000000"/>
              </a:outerShdw>
            </a:effectLst>
            <a:latin typeface="Calibri" panose="020F0502020204030204" pitchFamily="34" charset="0"/>
            <a:cs typeface="Calibri" panose="020F0502020204030204" pitchFamily="34" charset="0"/>
          </a:endParaRPr>
        </a:p>
      </xdr:txBody>
    </xdr:sp>
    <xdr:clientData/>
  </xdr:twoCellAnchor>
  <xdr:twoCellAnchor>
    <xdr:from>
      <xdr:col>0</xdr:col>
      <xdr:colOff>38100</xdr:colOff>
      <xdr:row>4</xdr:row>
      <xdr:rowOff>28575</xdr:rowOff>
    </xdr:from>
    <xdr:to>
      <xdr:col>7</xdr:col>
      <xdr:colOff>460275</xdr:colOff>
      <xdr:row>5</xdr:row>
      <xdr:rowOff>18075</xdr:rowOff>
    </xdr:to>
    <xdr:sp macro="" textlink="">
      <xdr:nvSpPr>
        <xdr:cNvPr id="101" name="Rectangle 3">
          <a:extLst>
            <a:ext uri="{FF2B5EF4-FFF2-40B4-BE49-F238E27FC236}">
              <a16:creationId xmlns:a16="http://schemas.microsoft.com/office/drawing/2014/main" id="{00000000-0008-0000-0900-000065000000}"/>
            </a:ext>
          </a:extLst>
        </xdr:cNvPr>
        <xdr:cNvSpPr>
          <a:spLocks noChangeArrowheads="1"/>
        </xdr:cNvSpPr>
      </xdr:nvSpPr>
      <xdr:spPr bwMode="auto">
        <a:xfrm>
          <a:off x="38100" y="790575"/>
          <a:ext cx="4356000" cy="180000"/>
        </a:xfrm>
        <a:prstGeom prst="rect">
          <a:avLst/>
        </a:prstGeom>
        <a:solidFill>
          <a:schemeClr val="tx2">
            <a:lumMod val="20000"/>
            <a:lumOff val="80000"/>
          </a:schemeClr>
        </a:solidFill>
        <a:ln w="28575" cap="rnd">
          <a:noFill/>
          <a:prstDash val="sysDot"/>
          <a:miter lim="800000"/>
          <a:headEnd/>
          <a:tailEnd/>
        </a:ln>
        <a:effectLst>
          <a:prstShdw prst="shdw18">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defTabSz="988538">
            <a:defRPr/>
          </a:pPr>
          <a:r>
            <a:rPr lang="en-US" sz="1100" b="1" kern="1200">
              <a:solidFill>
                <a:schemeClr val="tx2">
                  <a:lumMod val="50000"/>
                </a:schemeClr>
              </a:solidFill>
              <a:effectLst/>
              <a:latin typeface="Calibri" panose="020F0502020204030204" pitchFamily="34" charset="0"/>
              <a:ea typeface="+mn-ea"/>
              <a:cs typeface="Calibri" panose="020F0502020204030204" pitchFamily="34" charset="0"/>
            </a:rPr>
            <a:t>Pessoas ao serviço e TCO </a:t>
          </a:r>
          <a:r>
            <a:rPr lang="en-US" sz="1100" b="1" kern="1200" baseline="0">
              <a:solidFill>
                <a:schemeClr val="tx2">
                  <a:lumMod val="50000"/>
                </a:schemeClr>
              </a:solidFill>
              <a:effectLst/>
              <a:latin typeface="Calibri" panose="020F0502020204030204" pitchFamily="34" charset="0"/>
              <a:ea typeface="+mn-ea"/>
              <a:cs typeface="Calibri" panose="020F0502020204030204" pitchFamily="34" charset="0"/>
            </a:rPr>
            <a:t>de Nacionalidade Estrangeira   </a:t>
          </a:r>
          <a:endParaRPr lang="pt-PT" sz="1100" b="1" i="1">
            <a:solidFill>
              <a:schemeClr val="tx2">
                <a:lumMod val="50000"/>
              </a:schemeClr>
            </a:solidFill>
            <a:effectLst>
              <a:outerShdw blurRad="38100" dist="38100" dir="2700000" algn="tl">
                <a:srgbClr val="000000"/>
              </a:outerShdw>
            </a:effectLst>
            <a:latin typeface="Calibri" panose="020F0502020204030204" pitchFamily="34" charset="0"/>
            <a:cs typeface="Calibri" panose="020F0502020204030204" pitchFamily="34" charset="0"/>
          </a:endParaRPr>
        </a:p>
      </xdr:txBody>
    </xdr:sp>
    <xdr:clientData/>
  </xdr:twoCellAnchor>
  <xdr:twoCellAnchor>
    <xdr:from>
      <xdr:col>8</xdr:col>
      <xdr:colOff>0</xdr:colOff>
      <xdr:row>4</xdr:row>
      <xdr:rowOff>19050</xdr:rowOff>
    </xdr:from>
    <xdr:to>
      <xdr:col>15</xdr:col>
      <xdr:colOff>244275</xdr:colOff>
      <xdr:row>5</xdr:row>
      <xdr:rowOff>8550</xdr:rowOff>
    </xdr:to>
    <xdr:sp macro="" textlink="">
      <xdr:nvSpPr>
        <xdr:cNvPr id="102" name="Rectangle 3">
          <a:extLst>
            <a:ext uri="{FF2B5EF4-FFF2-40B4-BE49-F238E27FC236}">
              <a16:creationId xmlns:a16="http://schemas.microsoft.com/office/drawing/2014/main" id="{00000000-0008-0000-0900-000066000000}"/>
            </a:ext>
          </a:extLst>
        </xdr:cNvPr>
        <xdr:cNvSpPr>
          <a:spLocks noChangeArrowheads="1"/>
        </xdr:cNvSpPr>
      </xdr:nvSpPr>
      <xdr:spPr bwMode="auto">
        <a:xfrm>
          <a:off x="4495800" y="781050"/>
          <a:ext cx="4140000" cy="180000"/>
        </a:xfrm>
        <a:prstGeom prst="rect">
          <a:avLst/>
        </a:prstGeom>
        <a:solidFill>
          <a:schemeClr val="tx2">
            <a:lumMod val="20000"/>
            <a:lumOff val="80000"/>
          </a:schemeClr>
        </a:solidFill>
        <a:ln w="28575" cap="rnd">
          <a:noFill/>
          <a:prstDash val="sysDot"/>
          <a:miter lim="800000"/>
          <a:headEnd/>
          <a:tailEnd/>
        </a:ln>
        <a:effectLst>
          <a:prstShdw prst="shdw18">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defTabSz="988538">
            <a:defRPr/>
          </a:pPr>
          <a:r>
            <a:rPr lang="en-US" sz="1100" b="1" kern="1200">
              <a:solidFill>
                <a:schemeClr val="tx2">
                  <a:lumMod val="50000"/>
                </a:schemeClr>
              </a:solidFill>
              <a:effectLst/>
              <a:latin typeface="Calibri" panose="020F0502020204030204" pitchFamily="34" charset="0"/>
              <a:ea typeface="+mn-ea"/>
              <a:cs typeface="Calibri" panose="020F0502020204030204" pitchFamily="34" charset="0"/>
            </a:rPr>
            <a:t>Pessoas ao serviço ou TCO de Nacionalidade Estrangeira   </a:t>
          </a:r>
        </a:p>
      </xdr:txBody>
    </xdr:sp>
    <xdr:clientData/>
  </xdr:twoCellAnchor>
  <xdr:twoCellAnchor>
    <xdr:from>
      <xdr:col>15</xdr:col>
      <xdr:colOff>295275</xdr:colOff>
      <xdr:row>4</xdr:row>
      <xdr:rowOff>28575</xdr:rowOff>
    </xdr:from>
    <xdr:to>
      <xdr:col>22</xdr:col>
      <xdr:colOff>548100</xdr:colOff>
      <xdr:row>5</xdr:row>
      <xdr:rowOff>18075</xdr:rowOff>
    </xdr:to>
    <xdr:sp macro="" textlink="">
      <xdr:nvSpPr>
        <xdr:cNvPr id="103" name="Rectangle 3">
          <a:extLst>
            <a:ext uri="{FF2B5EF4-FFF2-40B4-BE49-F238E27FC236}">
              <a16:creationId xmlns:a16="http://schemas.microsoft.com/office/drawing/2014/main" id="{00000000-0008-0000-0900-000067000000}"/>
            </a:ext>
          </a:extLst>
        </xdr:cNvPr>
        <xdr:cNvSpPr>
          <a:spLocks noChangeArrowheads="1"/>
        </xdr:cNvSpPr>
      </xdr:nvSpPr>
      <xdr:spPr bwMode="auto">
        <a:xfrm>
          <a:off x="8686800" y="790575"/>
          <a:ext cx="4320000" cy="180000"/>
        </a:xfrm>
        <a:prstGeom prst="rect">
          <a:avLst/>
        </a:prstGeom>
        <a:solidFill>
          <a:schemeClr val="tx2">
            <a:lumMod val="20000"/>
            <a:lumOff val="80000"/>
          </a:schemeClr>
        </a:solidFill>
        <a:ln w="28575" cap="rnd">
          <a:noFill/>
          <a:prstDash val="sysDot"/>
          <a:miter lim="800000"/>
          <a:headEnd/>
          <a:tailEnd/>
        </a:ln>
        <a:effectLst>
          <a:prstShdw prst="shdw18">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defTabSz="988538">
            <a:defRPr/>
          </a:pPr>
          <a:r>
            <a:rPr lang="en-US" sz="1100" b="1" kern="1200">
              <a:solidFill>
                <a:schemeClr val="tx2">
                  <a:lumMod val="50000"/>
                </a:schemeClr>
              </a:solidFill>
              <a:effectLst/>
              <a:latin typeface="Calibri" panose="020F0502020204030204" pitchFamily="34" charset="0"/>
              <a:ea typeface="+mn-ea"/>
              <a:cs typeface="Calibri" panose="020F0502020204030204" pitchFamily="34" charset="0"/>
            </a:rPr>
            <a:t>TCO </a:t>
          </a:r>
          <a:r>
            <a:rPr lang="en-US" sz="1100" b="1" kern="1200" baseline="0">
              <a:solidFill>
                <a:schemeClr val="tx2">
                  <a:lumMod val="50000"/>
                </a:schemeClr>
              </a:solidFill>
              <a:effectLst/>
              <a:latin typeface="Calibri" panose="020F0502020204030204" pitchFamily="34" charset="0"/>
              <a:ea typeface="+mn-ea"/>
              <a:cs typeface="Calibri" panose="020F0502020204030204" pitchFamily="34" charset="0"/>
            </a:rPr>
            <a:t>de Nacionalidade Estrangeira   </a:t>
          </a:r>
          <a:endParaRPr lang="pt-PT" sz="1100" b="1" i="1">
            <a:solidFill>
              <a:schemeClr val="tx2">
                <a:lumMod val="50000"/>
              </a:schemeClr>
            </a:solidFill>
            <a:effectLst>
              <a:outerShdw blurRad="38100" dist="38100" dir="2700000" algn="tl">
                <a:srgbClr val="000000"/>
              </a:outerShdw>
            </a:effectLst>
            <a:latin typeface="Calibri" panose="020F0502020204030204" pitchFamily="34" charset="0"/>
            <a:cs typeface="Calibri" panose="020F0502020204030204" pitchFamily="34" charset="0"/>
          </a:endParaRPr>
        </a:p>
      </xdr:txBody>
    </xdr:sp>
    <xdr:clientData/>
  </xdr:twoCellAnchor>
  <xdr:twoCellAnchor>
    <xdr:from>
      <xdr:col>0</xdr:col>
      <xdr:colOff>142875</xdr:colOff>
      <xdr:row>11</xdr:row>
      <xdr:rowOff>66675</xdr:rowOff>
    </xdr:from>
    <xdr:to>
      <xdr:col>8</xdr:col>
      <xdr:colOff>47625</xdr:colOff>
      <xdr:row>31</xdr:row>
      <xdr:rowOff>152400</xdr:rowOff>
    </xdr:to>
    <xdr:grpSp>
      <xdr:nvGrpSpPr>
        <xdr:cNvPr id="39" name="Agrupar 38">
          <a:extLst>
            <a:ext uri="{FF2B5EF4-FFF2-40B4-BE49-F238E27FC236}">
              <a16:creationId xmlns:a16="http://schemas.microsoft.com/office/drawing/2014/main" id="{00000000-0008-0000-0900-000027000000}"/>
            </a:ext>
          </a:extLst>
        </xdr:cNvPr>
        <xdr:cNvGrpSpPr/>
      </xdr:nvGrpSpPr>
      <xdr:grpSpPr>
        <a:xfrm>
          <a:off x="142875" y="2162175"/>
          <a:ext cx="4400550" cy="3895725"/>
          <a:chOff x="36182300" y="8426450"/>
          <a:chExt cx="4819650" cy="2597244"/>
        </a:xfrm>
      </xdr:grpSpPr>
      <xdr:graphicFrame macro="">
        <xdr:nvGraphicFramePr>
          <xdr:cNvPr id="40" name="Gráfico 39">
            <a:extLst>
              <a:ext uri="{FF2B5EF4-FFF2-40B4-BE49-F238E27FC236}">
                <a16:creationId xmlns:a16="http://schemas.microsoft.com/office/drawing/2014/main" id="{00000000-0008-0000-0900-000028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41" name="CaixaDeTexto 40">
            <a:extLst>
              <a:ext uri="{FF2B5EF4-FFF2-40B4-BE49-F238E27FC236}">
                <a16:creationId xmlns:a16="http://schemas.microsoft.com/office/drawing/2014/main" id="{00000000-0008-0000-0900-000029000000}"/>
              </a:ext>
            </a:extLst>
          </xdr:cNvPr>
          <xdr:cNvSpPr txBox="1"/>
        </xdr:nvSpPr>
        <xdr:spPr>
          <a:xfrm>
            <a:off x="39795613" y="9085960"/>
            <a:ext cx="818697" cy="257646"/>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Pessoas ao serviço</a:t>
            </a:r>
          </a:p>
        </xdr:txBody>
      </xdr:sp>
      <xdr:sp macro="" textlink="">
        <xdr:nvSpPr>
          <xdr:cNvPr id="42" name="CaixaDeTexto 41">
            <a:extLst>
              <a:ext uri="{FF2B5EF4-FFF2-40B4-BE49-F238E27FC236}">
                <a16:creationId xmlns:a16="http://schemas.microsoft.com/office/drawing/2014/main" id="{00000000-0008-0000-0900-00002A000000}"/>
              </a:ext>
            </a:extLst>
          </xdr:cNvPr>
          <xdr:cNvSpPr txBox="1"/>
        </xdr:nvSpPr>
        <xdr:spPr>
          <a:xfrm>
            <a:off x="39812104" y="9886771"/>
            <a:ext cx="818697" cy="257646"/>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TCO</a:t>
            </a:r>
          </a:p>
        </xdr:txBody>
      </xdr:sp>
      <xdr:sp macro="" textlink="q9_13_16_27_28_39_40_E_Fig!$BG$5">
        <xdr:nvSpPr>
          <xdr:cNvPr id="43" name="CaixaDeTexto 42">
            <a:extLst>
              <a:ext uri="{FF2B5EF4-FFF2-40B4-BE49-F238E27FC236}">
                <a16:creationId xmlns:a16="http://schemas.microsoft.com/office/drawing/2014/main" id="{00000000-0008-0000-0900-00002B000000}"/>
              </a:ext>
            </a:extLst>
          </xdr:cNvPr>
          <xdr:cNvSpPr txBox="1"/>
        </xdr:nvSpPr>
        <xdr:spPr>
          <a:xfrm>
            <a:off x="39806770" y="10159489"/>
            <a:ext cx="818697" cy="257646"/>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A56526F-AF64-4C53-8430-72DBFD8AE5E5}" type="TxLink">
              <a:rPr lang="en-US" sz="1000" b="1" i="0" u="none" strike="noStrike">
                <a:solidFill>
                  <a:schemeClr val="bg1"/>
                </a:solidFill>
                <a:latin typeface="Arial"/>
                <a:ea typeface="+mn-ea"/>
                <a:cs typeface="Arial"/>
              </a:rPr>
              <a:pPr marL="0" indent="0" algn="ctr"/>
              <a:t>22,9%</a:t>
            </a:fld>
            <a:endParaRPr lang="pt-PT" sz="1000" b="1" i="0" u="none" strike="noStrike">
              <a:solidFill>
                <a:schemeClr val="bg1"/>
              </a:solidFill>
              <a:latin typeface="+mn-lt"/>
              <a:ea typeface="+mn-ea"/>
              <a:cs typeface="Arial"/>
            </a:endParaRPr>
          </a:p>
        </xdr:txBody>
      </xdr:sp>
      <xdr:sp macro="" textlink="q9_13_16_27_28_39_40_E_Fig!$BG$4">
        <xdr:nvSpPr>
          <xdr:cNvPr id="44" name="CaixaDeTexto 43">
            <a:extLst>
              <a:ext uri="{FF2B5EF4-FFF2-40B4-BE49-F238E27FC236}">
                <a16:creationId xmlns:a16="http://schemas.microsoft.com/office/drawing/2014/main" id="{00000000-0008-0000-0900-00002C000000}"/>
              </a:ext>
            </a:extLst>
          </xdr:cNvPr>
          <xdr:cNvSpPr txBox="1"/>
        </xdr:nvSpPr>
        <xdr:spPr>
          <a:xfrm>
            <a:off x="39808623" y="9368566"/>
            <a:ext cx="818697" cy="25764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78CD0FA-78AA-4335-B504-A91FCEF6B5E8}" type="TxLink">
              <a:rPr lang="en-US" sz="1000" b="1" i="0" u="none" strike="noStrike">
                <a:solidFill>
                  <a:schemeClr val="bg1"/>
                </a:solidFill>
                <a:latin typeface="Arial"/>
                <a:cs typeface="Arial"/>
              </a:rPr>
              <a:pPr algn="ctr"/>
              <a:t>22,9%</a:t>
            </a:fld>
            <a:endParaRPr lang="pt-PT" sz="1000" b="1">
              <a:solidFill>
                <a:schemeClr val="bg1"/>
              </a:solidFill>
              <a:latin typeface="+mn-lt"/>
            </a:endParaRPr>
          </a:p>
        </xdr:txBody>
      </xdr:sp>
    </xdr:grpSp>
    <xdr:clientData/>
  </xdr:twoCellAnchor>
  <xdr:twoCellAnchor>
    <xdr:from>
      <xdr:col>0</xdr:col>
      <xdr:colOff>209550</xdr:colOff>
      <xdr:row>5</xdr:row>
      <xdr:rowOff>104775</xdr:rowOff>
    </xdr:from>
    <xdr:to>
      <xdr:col>6</xdr:col>
      <xdr:colOff>41700</xdr:colOff>
      <xdr:row>6</xdr:row>
      <xdr:rowOff>94275</xdr:rowOff>
    </xdr:to>
    <xdr:sp macro="" textlink="">
      <xdr:nvSpPr>
        <xdr:cNvPr id="62" name="Text Box 10">
          <a:extLst>
            <a:ext uri="{FF2B5EF4-FFF2-40B4-BE49-F238E27FC236}">
              <a16:creationId xmlns:a16="http://schemas.microsoft.com/office/drawing/2014/main" id="{00000000-0008-0000-0900-00003E000000}"/>
            </a:ext>
          </a:extLst>
        </xdr:cNvPr>
        <xdr:cNvSpPr txBox="1">
          <a:spLocks noChangeArrowheads="1"/>
        </xdr:cNvSpPr>
      </xdr:nvSpPr>
      <xdr:spPr bwMode="auto">
        <a:xfrm>
          <a:off x="209550" y="1057275"/>
          <a:ext cx="3204000" cy="180000"/>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Pessoas ao serviço e TCO de nacionalidade estrangeira</a:t>
          </a:r>
        </a:p>
      </xdr:txBody>
    </xdr:sp>
    <xdr:clientData/>
  </xdr:twoCellAnchor>
  <xdr:twoCellAnchor>
    <xdr:from>
      <xdr:col>8</xdr:col>
      <xdr:colOff>0</xdr:colOff>
      <xdr:row>5</xdr:row>
      <xdr:rowOff>72112</xdr:rowOff>
    </xdr:from>
    <xdr:to>
      <xdr:col>15</xdr:col>
      <xdr:colOff>208275</xdr:colOff>
      <xdr:row>6</xdr:row>
      <xdr:rowOff>98438</xdr:rowOff>
    </xdr:to>
    <xdr:grpSp>
      <xdr:nvGrpSpPr>
        <xdr:cNvPr id="7" name="Agrupar 6">
          <a:extLst>
            <a:ext uri="{FF2B5EF4-FFF2-40B4-BE49-F238E27FC236}">
              <a16:creationId xmlns:a16="http://schemas.microsoft.com/office/drawing/2014/main" id="{00000000-0008-0000-0900-000007000000}"/>
            </a:ext>
          </a:extLst>
        </xdr:cNvPr>
        <xdr:cNvGrpSpPr/>
      </xdr:nvGrpSpPr>
      <xdr:grpSpPr>
        <a:xfrm>
          <a:off x="4495800" y="1024612"/>
          <a:ext cx="4104000" cy="216826"/>
          <a:chOff x="4648200" y="996037"/>
          <a:chExt cx="4191002" cy="216826"/>
        </a:xfrm>
      </xdr:grpSpPr>
      <mc:AlternateContent xmlns:mc="http://schemas.openxmlformats.org/markup-compatibility/2006">
        <mc:Choice xmlns:a14="http://schemas.microsoft.com/office/drawing/2010/main" Requires="a14">
          <xdr:sp macro="" textlink="">
            <xdr:nvSpPr>
              <xdr:cNvPr id="692226" name="Drop Down 2" hidden="1">
                <a:extLst>
                  <a:ext uri="{63B3BB69-23CF-44E3-9099-C40C66FF867C}">
                    <a14:compatExt spid="_x0000_s692226"/>
                  </a:ext>
                  <a:ext uri="{FF2B5EF4-FFF2-40B4-BE49-F238E27FC236}">
                    <a16:creationId xmlns:a16="http://schemas.microsoft.com/office/drawing/2014/main" id="{00000000-0008-0000-0900-000002900A00}"/>
                  </a:ext>
                </a:extLst>
              </xdr:cNvPr>
              <xdr:cNvSpPr/>
            </xdr:nvSpPr>
            <xdr:spPr bwMode="auto">
              <a:xfrm>
                <a:off x="6172200" y="1009650"/>
                <a:ext cx="2667002" cy="180975"/>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67" name="Text Box 10">
            <a:extLst>
              <a:ext uri="{FF2B5EF4-FFF2-40B4-BE49-F238E27FC236}">
                <a16:creationId xmlns:a16="http://schemas.microsoft.com/office/drawing/2014/main" id="{00000000-0008-0000-0900-000043000000}"/>
              </a:ext>
            </a:extLst>
          </xdr:cNvPr>
          <xdr:cNvSpPr txBox="1">
            <a:spLocks noChangeArrowheads="1"/>
          </xdr:cNvSpPr>
        </xdr:nvSpPr>
        <xdr:spPr bwMode="auto">
          <a:xfrm>
            <a:off x="4648200" y="996037"/>
            <a:ext cx="1499171" cy="216826"/>
          </a:xfrm>
          <a:prstGeom prst="rect">
            <a:avLst/>
          </a:prstGeom>
          <a:solidFill>
            <a:srgbClr val="FFE600"/>
          </a:solidFill>
          <a:ln w="9525">
            <a:solidFill>
              <a:srgbClr val="000000"/>
            </a:solidFill>
            <a:miter lim="800000"/>
            <a:headEnd/>
            <a:tailEnd/>
          </a:ln>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tx2">
                    <a:lumMod val="75000"/>
                  </a:schemeClr>
                </a:solidFill>
                <a:latin typeface="+mn-lt"/>
              </a:rPr>
              <a:t>Selecione uma opção:</a:t>
            </a:r>
            <a:endParaRPr lang="en-US" altLang="pt-PT" sz="1200" b="1">
              <a:solidFill>
                <a:schemeClr val="tx2">
                  <a:lumMod val="75000"/>
                </a:schemeClr>
              </a:solidFill>
              <a:latin typeface="Arial" charset="0"/>
            </a:endParaRPr>
          </a:p>
        </xdr:txBody>
      </xdr:sp>
    </xdr:grpSp>
    <xdr:clientData/>
  </xdr:twoCellAnchor>
  <xdr:twoCellAnchor>
    <xdr:from>
      <xdr:col>18</xdr:col>
      <xdr:colOff>171450</xdr:colOff>
      <xdr:row>5</xdr:row>
      <xdr:rowOff>104771</xdr:rowOff>
    </xdr:from>
    <xdr:to>
      <xdr:col>21</xdr:col>
      <xdr:colOff>295933</xdr:colOff>
      <xdr:row>6</xdr:row>
      <xdr:rowOff>97902</xdr:rowOff>
    </xdr:to>
    <xdr:grpSp>
      <xdr:nvGrpSpPr>
        <xdr:cNvPr id="10" name="Agrupar 9">
          <a:extLst>
            <a:ext uri="{FF2B5EF4-FFF2-40B4-BE49-F238E27FC236}">
              <a16:creationId xmlns:a16="http://schemas.microsoft.com/office/drawing/2014/main" id="{00000000-0008-0000-0900-00000A000000}"/>
            </a:ext>
          </a:extLst>
        </xdr:cNvPr>
        <xdr:cNvGrpSpPr/>
      </xdr:nvGrpSpPr>
      <xdr:grpSpPr>
        <a:xfrm>
          <a:off x="10306050" y="1057271"/>
          <a:ext cx="1867558" cy="183631"/>
          <a:chOff x="13620750" y="1904996"/>
          <a:chExt cx="1867558" cy="183631"/>
        </a:xfrm>
      </xdr:grpSpPr>
      <mc:AlternateContent xmlns:mc="http://schemas.openxmlformats.org/markup-compatibility/2006">
        <mc:Choice xmlns:a14="http://schemas.microsoft.com/office/drawing/2010/main" Requires="a14">
          <xdr:sp macro="" textlink="">
            <xdr:nvSpPr>
              <xdr:cNvPr id="692227" name="Drop Down 3" hidden="1">
                <a:extLst>
                  <a:ext uri="{63B3BB69-23CF-44E3-9099-C40C66FF867C}">
                    <a14:compatExt spid="_x0000_s692227"/>
                  </a:ext>
                  <a:ext uri="{FF2B5EF4-FFF2-40B4-BE49-F238E27FC236}">
                    <a16:creationId xmlns:a16="http://schemas.microsoft.com/office/drawing/2014/main" id="{00000000-0008-0000-0900-000003900A00}"/>
                  </a:ext>
                </a:extLst>
              </xdr:cNvPr>
              <xdr:cNvSpPr/>
            </xdr:nvSpPr>
            <xdr:spPr bwMode="auto">
              <a:xfrm>
                <a:off x="14804308" y="1908627"/>
                <a:ext cx="684000" cy="18000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58" name="Text Box 10">
            <a:extLst>
              <a:ext uri="{FF2B5EF4-FFF2-40B4-BE49-F238E27FC236}">
                <a16:creationId xmlns:a16="http://schemas.microsoft.com/office/drawing/2014/main" id="{00000000-0008-0000-0900-00003A000000}"/>
              </a:ext>
            </a:extLst>
          </xdr:cNvPr>
          <xdr:cNvSpPr txBox="1">
            <a:spLocks noChangeArrowheads="1"/>
          </xdr:cNvSpPr>
        </xdr:nvSpPr>
        <xdr:spPr bwMode="auto">
          <a:xfrm>
            <a:off x="13620750" y="1904996"/>
            <a:ext cx="1116000" cy="180000"/>
          </a:xfrm>
          <a:prstGeom prst="rect">
            <a:avLst/>
          </a:prstGeom>
          <a:solidFill>
            <a:srgbClr val="FFE600"/>
          </a:solidFill>
          <a:ln w="9525">
            <a:solidFill>
              <a:srgbClr val="000000"/>
            </a:solidFill>
            <a:miter lim="800000"/>
            <a:headEnd/>
            <a:tailEnd/>
          </a:ln>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tx2">
                    <a:lumMod val="75000"/>
                  </a:schemeClr>
                </a:solidFill>
                <a:latin typeface="+mn-lt"/>
              </a:rPr>
              <a:t>Selecione o</a:t>
            </a:r>
            <a:r>
              <a:rPr lang="en-US" altLang="pt-PT" sz="1000" b="1" baseline="0">
                <a:solidFill>
                  <a:schemeClr val="tx2">
                    <a:lumMod val="75000"/>
                  </a:schemeClr>
                </a:solidFill>
                <a:latin typeface="+mn-lt"/>
              </a:rPr>
              <a:t> ano</a:t>
            </a:r>
            <a:r>
              <a:rPr lang="en-US" altLang="pt-PT" sz="1000" b="1">
                <a:solidFill>
                  <a:schemeClr val="tx2">
                    <a:lumMod val="75000"/>
                  </a:schemeClr>
                </a:solidFill>
                <a:latin typeface="+mn-lt"/>
              </a:rPr>
              <a:t>:</a:t>
            </a:r>
            <a:endParaRPr lang="en-US" altLang="pt-PT" sz="1200" b="1">
              <a:solidFill>
                <a:schemeClr val="tx2">
                  <a:lumMod val="75000"/>
                </a:schemeClr>
              </a:solidFill>
              <a:latin typeface="Arial" charset="0"/>
            </a:endParaRPr>
          </a:p>
        </xdr:txBody>
      </xdr:sp>
    </xdr:grpSp>
    <xdr:clientData/>
  </xdr:twoCellAnchor>
  <xdr:twoCellAnchor>
    <xdr:from>
      <xdr:col>15</xdr:col>
      <xdr:colOff>438150</xdr:colOff>
      <xdr:row>6</xdr:row>
      <xdr:rowOff>180974</xdr:rowOff>
    </xdr:from>
    <xdr:to>
      <xdr:col>22</xdr:col>
      <xdr:colOff>546975</xdr:colOff>
      <xdr:row>10</xdr:row>
      <xdr:rowOff>102974</xdr:rowOff>
    </xdr:to>
    <xdr:sp macro="" textlink="q9_13_16_27_28_39_40_E_Fig!$AK$135">
      <xdr:nvSpPr>
        <xdr:cNvPr id="104" name="CaixaDeTexto 103">
          <a:extLst>
            <a:ext uri="{FF2B5EF4-FFF2-40B4-BE49-F238E27FC236}">
              <a16:creationId xmlns:a16="http://schemas.microsoft.com/office/drawing/2014/main" id="{00000000-0008-0000-0900-000068000000}"/>
            </a:ext>
          </a:extLst>
        </xdr:cNvPr>
        <xdr:cNvSpPr txBox="1"/>
      </xdr:nvSpPr>
      <xdr:spPr>
        <a:xfrm>
          <a:off x="8829675" y="1323974"/>
          <a:ext cx="4176000" cy="684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61F7B626-24C7-4BC2-822E-3C07C4079587}" type="TxLink">
            <a:rPr lang="en-US" sz="900" b="0" i="0" u="none" strike="noStrike">
              <a:solidFill>
                <a:srgbClr val="000000"/>
              </a:solidFill>
              <a:latin typeface="+mn-lt"/>
              <a:ea typeface="Calibri"/>
              <a:cs typeface="Arial"/>
            </a:rPr>
            <a:pPr algn="l"/>
            <a:t>2024:
NUTS II com mais de metade dos TCO estrangeiros - Grande Lisboa (37,7%) e Norte (21,2%).
NUTS II com menos TCO estrangeiros - Alentejo (5,0%) e Península de Setúbal (6,5%).</a:t>
          </a:fld>
          <a:endParaRPr lang="en-US" sz="400" b="1">
            <a:solidFill>
              <a:srgbClr val="19375E"/>
            </a:solidFill>
            <a:latin typeface="+mn-lt"/>
          </a:endParaRPr>
        </a:p>
      </xdr:txBody>
    </xdr:sp>
    <xdr:clientData/>
  </xdr:twoCellAnchor>
  <xdr:twoCellAnchor>
    <xdr:from>
      <xdr:col>0</xdr:col>
      <xdr:colOff>122250</xdr:colOff>
      <xdr:row>38</xdr:row>
      <xdr:rowOff>57154</xdr:rowOff>
    </xdr:from>
    <xdr:to>
      <xdr:col>10</xdr:col>
      <xdr:colOff>350850</xdr:colOff>
      <xdr:row>53</xdr:row>
      <xdr:rowOff>187658</xdr:rowOff>
    </xdr:to>
    <xdr:grpSp>
      <xdr:nvGrpSpPr>
        <xdr:cNvPr id="105" name="Agrupar 104">
          <a:extLst>
            <a:ext uri="{FF2B5EF4-FFF2-40B4-BE49-F238E27FC236}">
              <a16:creationId xmlns:a16="http://schemas.microsoft.com/office/drawing/2014/main" id="{00000000-0008-0000-0900-000069000000}"/>
            </a:ext>
          </a:extLst>
        </xdr:cNvPr>
        <xdr:cNvGrpSpPr/>
      </xdr:nvGrpSpPr>
      <xdr:grpSpPr>
        <a:xfrm>
          <a:off x="122250" y="7296154"/>
          <a:ext cx="5848350" cy="2988004"/>
          <a:chOff x="18293291" y="17907757"/>
          <a:chExt cx="5464201" cy="3534083"/>
        </a:xfrm>
      </xdr:grpSpPr>
      <xdr:grpSp>
        <xdr:nvGrpSpPr>
          <xdr:cNvPr id="106" name="Agrupar 105">
            <a:extLst>
              <a:ext uri="{FF2B5EF4-FFF2-40B4-BE49-F238E27FC236}">
                <a16:creationId xmlns:a16="http://schemas.microsoft.com/office/drawing/2014/main" id="{00000000-0008-0000-0900-00006A000000}"/>
              </a:ext>
            </a:extLst>
          </xdr:cNvPr>
          <xdr:cNvGrpSpPr/>
        </xdr:nvGrpSpPr>
        <xdr:grpSpPr>
          <a:xfrm>
            <a:off x="18293291" y="17983822"/>
            <a:ext cx="2846916" cy="3458018"/>
            <a:chOff x="20214167" y="14082864"/>
            <a:chExt cx="2846916" cy="2570011"/>
          </a:xfrm>
        </xdr:grpSpPr>
        <xdr:graphicFrame macro="">
          <xdr:nvGraphicFramePr>
            <xdr:cNvPr id="113" name="Gráfico 112">
              <a:extLst>
                <a:ext uri="{FF2B5EF4-FFF2-40B4-BE49-F238E27FC236}">
                  <a16:creationId xmlns:a16="http://schemas.microsoft.com/office/drawing/2014/main" id="{00000000-0008-0000-0900-000071000000}"/>
                </a:ext>
              </a:extLst>
            </xdr:cNvPr>
            <xdr:cNvGraphicFramePr>
              <a:graphicFrameLocks/>
            </xdr:cNvGraphicFramePr>
          </xdr:nvGraphicFramePr>
          <xdr:xfrm>
            <a:off x="20214167" y="14271625"/>
            <a:ext cx="2846916" cy="2381250"/>
          </xdr:xfrm>
          <a:graphic>
            <a:graphicData uri="http://schemas.openxmlformats.org/drawingml/2006/chart">
              <c:chart xmlns:c="http://schemas.openxmlformats.org/drawingml/2006/chart" xmlns:r="http://schemas.openxmlformats.org/officeDocument/2006/relationships" r:id="rId6"/>
            </a:graphicData>
          </a:graphic>
        </xdr:graphicFrame>
        <xdr:sp macro="" textlink="q9_13_16_27_28_39_40_E_Fig!$T$250">
          <xdr:nvSpPr>
            <xdr:cNvPr id="114" name="CaixaDeTexto 113">
              <a:extLst>
                <a:ext uri="{FF2B5EF4-FFF2-40B4-BE49-F238E27FC236}">
                  <a16:creationId xmlns:a16="http://schemas.microsoft.com/office/drawing/2014/main" id="{00000000-0008-0000-0900-000072000000}"/>
                </a:ext>
              </a:extLst>
            </xdr:cNvPr>
            <xdr:cNvSpPr txBox="1"/>
          </xdr:nvSpPr>
          <xdr:spPr>
            <a:xfrm>
              <a:off x="20489329" y="14254077"/>
              <a:ext cx="999709" cy="103652"/>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564A8FA-328F-4C77-9898-42FBFFDC01A7}" type="TxLink">
                <a:rPr kumimoji="0" lang="en-US" sz="800" b="1" i="0" u="none" strike="noStrike" kern="0" cap="none" spc="0" normalizeH="0" baseline="0" noProof="0">
                  <a:ln>
                    <a:noFill/>
                  </a:ln>
                  <a:solidFill>
                    <a:srgbClr val="000000"/>
                  </a:solidFill>
                  <a:effectLst/>
                  <a:uLnTx/>
                  <a:uFillTx/>
                  <a:latin typeface="Calibri"/>
                  <a:ea typeface="Calibri"/>
                  <a:cs typeface="Calibri"/>
                </a:rPr>
                <a:pPr marL="0" marR="0" lvl="0" indent="0" algn="ctr" defTabSz="914400" eaLnBrk="1" fontAlgn="auto" latinLnBrk="0" hangingPunct="1">
                  <a:lnSpc>
                    <a:spcPct val="100000"/>
                  </a:lnSpc>
                  <a:spcBef>
                    <a:spcPts val="0"/>
                  </a:spcBef>
                  <a:spcAft>
                    <a:spcPts val="0"/>
                  </a:spcAft>
                  <a:buClrTx/>
                  <a:buSzTx/>
                  <a:buFontTx/>
                  <a:buNone/>
                  <a:tabLst/>
                  <a:defRPr/>
                </a:pPr>
                <a:t>1.165,07 €</a:t>
              </a:fld>
              <a:endParaRPr kumimoji="0" lang="pt-PT" sz="6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15" name="CaixaDeTexto 114">
              <a:extLst>
                <a:ext uri="{FF2B5EF4-FFF2-40B4-BE49-F238E27FC236}">
                  <a16:creationId xmlns:a16="http://schemas.microsoft.com/office/drawing/2014/main" id="{00000000-0008-0000-0900-000073000000}"/>
                </a:ext>
              </a:extLst>
            </xdr:cNvPr>
            <xdr:cNvSpPr txBox="1"/>
          </xdr:nvSpPr>
          <xdr:spPr>
            <a:xfrm>
              <a:off x="20471533" y="14082864"/>
              <a:ext cx="1055248" cy="139765"/>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sp macro="" textlink="q9_13_16_27_28_39_40_E_Fig!$T$251">
          <xdr:nvSpPr>
            <xdr:cNvPr id="116" name="CaixaDeTexto 115">
              <a:extLst>
                <a:ext uri="{FF2B5EF4-FFF2-40B4-BE49-F238E27FC236}">
                  <a16:creationId xmlns:a16="http://schemas.microsoft.com/office/drawing/2014/main" id="{00000000-0008-0000-0900-000074000000}"/>
                </a:ext>
              </a:extLst>
            </xdr:cNvPr>
            <xdr:cNvSpPr txBox="1"/>
          </xdr:nvSpPr>
          <xdr:spPr>
            <a:xfrm>
              <a:off x="20489329" y="14403922"/>
              <a:ext cx="999709" cy="107547"/>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7FA860F-B297-43A1-ACAD-812505EDC00F}" type="TxLink">
                <a:rPr kumimoji="0" lang="en-US" sz="800" b="1" i="0" u="none" strike="noStrike" kern="0" cap="none" spc="0" normalizeH="0" baseline="0" noProof="0">
                  <a:ln>
                    <a:noFill/>
                  </a:ln>
                  <a:solidFill>
                    <a:srgbClr val="000000"/>
                  </a:solidFill>
                  <a:effectLst/>
                  <a:uLnTx/>
                  <a:uFillTx/>
                  <a:latin typeface="Calibri"/>
                  <a:ea typeface="Calibri"/>
                  <a:cs typeface="Calibri"/>
                </a:rPr>
                <a:pPr marL="0" marR="0" lvl="0" indent="0" algn="ctr" defTabSz="914400" eaLnBrk="1" fontAlgn="auto" latinLnBrk="0" hangingPunct="1">
                  <a:lnSpc>
                    <a:spcPct val="100000"/>
                  </a:lnSpc>
                  <a:spcBef>
                    <a:spcPts val="0"/>
                  </a:spcBef>
                  <a:spcAft>
                    <a:spcPts val="0"/>
                  </a:spcAft>
                  <a:buClrTx/>
                  <a:buSzTx/>
                  <a:buFontTx/>
                  <a:buNone/>
                  <a:tabLst/>
                  <a:defRPr/>
                </a:pPr>
                <a:t>1.385,12 €</a:t>
              </a:fld>
              <a:endParaRPr kumimoji="0" lang="pt-PT" sz="7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107" name="Agrupar 106">
            <a:extLst>
              <a:ext uri="{FF2B5EF4-FFF2-40B4-BE49-F238E27FC236}">
                <a16:creationId xmlns:a16="http://schemas.microsoft.com/office/drawing/2014/main" id="{00000000-0008-0000-0900-00006B000000}"/>
              </a:ext>
            </a:extLst>
          </xdr:cNvPr>
          <xdr:cNvGrpSpPr/>
        </xdr:nvGrpSpPr>
        <xdr:grpSpPr>
          <a:xfrm>
            <a:off x="20418297" y="17907757"/>
            <a:ext cx="3339195" cy="3327698"/>
            <a:chOff x="21145612" y="14869909"/>
            <a:chExt cx="2936476" cy="3090007"/>
          </a:xfrm>
        </xdr:grpSpPr>
        <xdr:graphicFrame macro="">
          <xdr:nvGraphicFramePr>
            <xdr:cNvPr id="108" name="Gráfico 107">
              <a:extLst>
                <a:ext uri="{FF2B5EF4-FFF2-40B4-BE49-F238E27FC236}">
                  <a16:creationId xmlns:a16="http://schemas.microsoft.com/office/drawing/2014/main" id="{00000000-0008-0000-0900-00006C000000}"/>
                </a:ext>
              </a:extLst>
            </xdr:cNvPr>
            <xdr:cNvGraphicFramePr/>
          </xdr:nvGraphicFramePr>
          <xdr:xfrm>
            <a:off x="21145612" y="14869909"/>
            <a:ext cx="2778125" cy="3090007"/>
          </xdr:xfrm>
          <a:graphic>
            <a:graphicData uri="http://schemas.openxmlformats.org/drawingml/2006/chart">
              <c:chart xmlns:c="http://schemas.openxmlformats.org/drawingml/2006/chart" xmlns:r="http://schemas.openxmlformats.org/officeDocument/2006/relationships" r:id="rId7"/>
            </a:graphicData>
          </a:graphic>
        </xdr:graphicFrame>
        <xdr:sp macro="" textlink="q9_13_16_27_28_39_40_E_Fig!$T$254">
          <xdr:nvSpPr>
            <xdr:cNvPr id="109" name="CaixaDeTexto 108">
              <a:extLst>
                <a:ext uri="{FF2B5EF4-FFF2-40B4-BE49-F238E27FC236}">
                  <a16:creationId xmlns:a16="http://schemas.microsoft.com/office/drawing/2014/main" id="{00000000-0008-0000-0900-00006D000000}"/>
                </a:ext>
              </a:extLst>
            </xdr:cNvPr>
            <xdr:cNvSpPr txBox="1"/>
          </xdr:nvSpPr>
          <xdr:spPr>
            <a:xfrm>
              <a:off x="21884951" y="15221481"/>
              <a:ext cx="879140" cy="119790"/>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3B3E2135-B25F-4F6D-BBB9-C2E3E219307B}" type="TxLink">
                <a:rPr kumimoji="0" lang="en-US" sz="800" b="1" i="0" u="none" strike="noStrike" kern="0" cap="none" spc="0" normalizeH="0" baseline="0" noProof="0">
                  <a:ln>
                    <a:noFill/>
                  </a:ln>
                  <a:solidFill>
                    <a:srgbClr val="000000"/>
                  </a:solidFill>
                  <a:effectLst/>
                  <a:uLnTx/>
                  <a:uFillTx/>
                  <a:latin typeface="Calibri"/>
                  <a:ea typeface="Calibri"/>
                  <a:cs typeface="Calibri"/>
                </a:rPr>
                <a:pPr marL="0" marR="0" lvl="0" indent="0" algn="ctr" defTabSz="914400" eaLnBrk="1" fontAlgn="auto" latinLnBrk="0" hangingPunct="1">
                  <a:lnSpc>
                    <a:spcPct val="100000"/>
                  </a:lnSpc>
                  <a:spcBef>
                    <a:spcPts val="0"/>
                  </a:spcBef>
                  <a:spcAft>
                    <a:spcPts val="0"/>
                  </a:spcAft>
                  <a:buClrTx/>
                  <a:buSzTx/>
                  <a:buFontTx/>
                  <a:buNone/>
                  <a:tabLst/>
                  <a:defRPr/>
                </a:pPr>
                <a:t>1.218,82 €</a:t>
              </a:fld>
              <a:endParaRPr kumimoji="0" lang="pt-PT" sz="7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9_13_16_27_28_39_40_E_Fig!$T$255">
          <xdr:nvSpPr>
            <xdr:cNvPr id="110" name="CaixaDeTexto 109">
              <a:extLst>
                <a:ext uri="{FF2B5EF4-FFF2-40B4-BE49-F238E27FC236}">
                  <a16:creationId xmlns:a16="http://schemas.microsoft.com/office/drawing/2014/main" id="{00000000-0008-0000-0900-00006E000000}"/>
                </a:ext>
              </a:extLst>
            </xdr:cNvPr>
            <xdr:cNvSpPr txBox="1"/>
          </xdr:nvSpPr>
          <xdr:spPr>
            <a:xfrm>
              <a:off x="21904965" y="15413258"/>
              <a:ext cx="879140" cy="119900"/>
            </a:xfrm>
            <a:prstGeom prst="rect">
              <a:avLst/>
            </a:prstGeom>
            <a:solidFill>
              <a:srgbClr val="FFC000">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12B0597D-3522-4AE4-83C0-3D33F6E64077}" type="TxLink">
                <a:rPr kumimoji="0" lang="en-US" sz="800" b="1" i="0" u="none" strike="noStrike" kern="0" cap="none" spc="0" normalizeH="0" baseline="0" noProof="0">
                  <a:ln>
                    <a:noFill/>
                  </a:ln>
                  <a:solidFill>
                    <a:srgbClr val="000000"/>
                  </a:solidFill>
                  <a:effectLst/>
                  <a:uLnTx/>
                  <a:uFillTx/>
                  <a:latin typeface="Calibri"/>
                  <a:ea typeface="Calibri"/>
                  <a:cs typeface="Calibri"/>
                </a:rPr>
                <a:pPr marL="0" marR="0" lvl="0" indent="0" algn="ctr" defTabSz="914400" eaLnBrk="1" fontAlgn="auto" latinLnBrk="0" hangingPunct="1">
                  <a:lnSpc>
                    <a:spcPct val="100000"/>
                  </a:lnSpc>
                  <a:spcBef>
                    <a:spcPts val="0"/>
                  </a:spcBef>
                  <a:spcAft>
                    <a:spcPts val="0"/>
                  </a:spcAft>
                  <a:buClrTx/>
                  <a:buSzTx/>
                  <a:buFontTx/>
                  <a:buNone/>
                  <a:tabLst/>
                  <a:defRPr/>
                </a:pPr>
                <a:t>1.458,01 €</a:t>
              </a:fld>
              <a:endParaRPr kumimoji="0" lang="pt-PT" sz="7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9_13_16_27_28_39_40_E_Fig!$V$247">
          <xdr:nvSpPr>
            <xdr:cNvPr id="111" name="CaixaDeTexto 110">
              <a:extLst>
                <a:ext uri="{FF2B5EF4-FFF2-40B4-BE49-F238E27FC236}">
                  <a16:creationId xmlns:a16="http://schemas.microsoft.com/office/drawing/2014/main" id="{00000000-0008-0000-0900-00006F000000}"/>
                </a:ext>
              </a:extLst>
            </xdr:cNvPr>
            <xdr:cNvSpPr txBox="1"/>
          </xdr:nvSpPr>
          <xdr:spPr>
            <a:xfrm>
              <a:off x="23202944" y="15216190"/>
              <a:ext cx="879140" cy="119790"/>
            </a:xfrm>
            <a:prstGeom prst="rect">
              <a:avLst/>
            </a:prstGeom>
            <a:solidFill>
              <a:srgbClr val="95B3D7">
                <a:alpha val="46667"/>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F9C8FCA-C969-4E01-90C7-56A37ADB7C4D}" type="TxLink">
                <a:rPr kumimoji="0" lang="en-US" sz="800" b="1" i="0" u="none" strike="noStrike" kern="0" cap="none" spc="0" normalizeH="0" baseline="0" noProof="0">
                  <a:ln>
                    <a:noFill/>
                  </a:ln>
                  <a:solidFill>
                    <a:srgbClr val="000000"/>
                  </a:solidFill>
                  <a:effectLst/>
                  <a:uLnTx/>
                  <a:uFillTx/>
                  <a:latin typeface="Calibri"/>
                  <a:ea typeface="Calibri"/>
                  <a:cs typeface="Calibri"/>
                </a:rPr>
                <a:pPr marL="0" marR="0" lvl="0" indent="0" algn="ctr" defTabSz="914400" eaLnBrk="1" fontAlgn="auto" latinLnBrk="0" hangingPunct="1">
                  <a:lnSpc>
                    <a:spcPct val="100000"/>
                  </a:lnSpc>
                  <a:spcBef>
                    <a:spcPts val="0"/>
                  </a:spcBef>
                  <a:spcAft>
                    <a:spcPts val="0"/>
                  </a:spcAft>
                  <a:buClrTx/>
                  <a:buSzTx/>
                  <a:buFontTx/>
                  <a:buNone/>
                  <a:tabLst/>
                  <a:defRPr/>
                </a:pPr>
                <a:t>1.074,28 €</a:t>
              </a:fld>
              <a:endParaRPr kumimoji="0" lang="pt-PT" sz="7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9_13_16_27_28_39_40_E_Fig!$W$247">
          <xdr:nvSpPr>
            <xdr:cNvPr id="112" name="CaixaDeTexto 111">
              <a:extLst>
                <a:ext uri="{FF2B5EF4-FFF2-40B4-BE49-F238E27FC236}">
                  <a16:creationId xmlns:a16="http://schemas.microsoft.com/office/drawing/2014/main" id="{00000000-0008-0000-0900-000070000000}"/>
                </a:ext>
              </a:extLst>
            </xdr:cNvPr>
            <xdr:cNvSpPr txBox="1"/>
          </xdr:nvSpPr>
          <xdr:spPr>
            <a:xfrm>
              <a:off x="23202947" y="15407964"/>
              <a:ext cx="879141" cy="119790"/>
            </a:xfrm>
            <a:prstGeom prst="rect">
              <a:avLst/>
            </a:prstGeom>
            <a:solidFill>
              <a:srgbClr val="FFEF57">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179422CB-3EDD-4B57-903E-5EF1CBE4594D}" type="TxLink">
                <a:rPr kumimoji="0" lang="en-US" sz="800" b="1" i="0" u="none" strike="noStrike" kern="0" cap="none" spc="0" normalizeH="0" baseline="0" noProof="0">
                  <a:ln>
                    <a:noFill/>
                  </a:ln>
                  <a:solidFill>
                    <a:srgbClr val="000000"/>
                  </a:solidFill>
                  <a:effectLst/>
                  <a:uLnTx/>
                  <a:uFillTx/>
                  <a:latin typeface="Calibri"/>
                  <a:ea typeface="Calibri"/>
                  <a:cs typeface="Calibri"/>
                </a:rPr>
                <a:pPr marL="0" marR="0" lvl="0" indent="0" algn="ctr" defTabSz="914400" eaLnBrk="1" fontAlgn="auto" latinLnBrk="0" hangingPunct="1">
                  <a:lnSpc>
                    <a:spcPct val="100000"/>
                  </a:lnSpc>
                  <a:spcBef>
                    <a:spcPts val="0"/>
                  </a:spcBef>
                  <a:spcAft>
                    <a:spcPts val="0"/>
                  </a:spcAft>
                  <a:buClrTx/>
                  <a:buSzTx/>
                  <a:buFontTx/>
                  <a:buNone/>
                  <a:tabLst/>
                  <a:defRPr/>
                </a:pPr>
                <a:t>1.261,96 €</a:t>
              </a:fld>
              <a:endParaRPr kumimoji="0" lang="pt-PT" sz="7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clientData/>
  </xdr:twoCellAnchor>
  <xdr:twoCellAnchor>
    <xdr:from>
      <xdr:col>0</xdr:col>
      <xdr:colOff>46050</xdr:colOff>
      <xdr:row>34</xdr:row>
      <xdr:rowOff>85725</xdr:rowOff>
    </xdr:from>
    <xdr:to>
      <xdr:col>4</xdr:col>
      <xdr:colOff>462150</xdr:colOff>
      <xdr:row>38</xdr:row>
      <xdr:rowOff>79725</xdr:rowOff>
    </xdr:to>
    <xdr:sp macro="" textlink="q9_13_16_27_28_39_40_E_Fig!$AB$277">
      <xdr:nvSpPr>
        <xdr:cNvPr id="117" name="CaixaDeTexto 116">
          <a:extLst>
            <a:ext uri="{FF2B5EF4-FFF2-40B4-BE49-F238E27FC236}">
              <a16:creationId xmlns:a16="http://schemas.microsoft.com/office/drawing/2014/main" id="{00000000-0008-0000-0900-000075000000}"/>
            </a:ext>
          </a:extLst>
        </xdr:cNvPr>
        <xdr:cNvSpPr txBox="1"/>
      </xdr:nvSpPr>
      <xdr:spPr>
        <a:xfrm>
          <a:off x="46050" y="6562725"/>
          <a:ext cx="2664000" cy="756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B6160903-91A3-4739-981E-2B79AF6BF944}" type="TxLink">
            <a:rPr kumimoji="0" lang="en-US" sz="800" b="0" i="0" u="none" strike="noStrike" kern="0" cap="none" spc="0" normalizeH="0" baseline="0" noProof="0">
              <a:ln>
                <a:noFill/>
              </a:ln>
              <a:solidFill>
                <a:srgbClr val="000000"/>
              </a:solidFill>
              <a:effectLst/>
              <a:uLnTx/>
              <a:uFillTx/>
              <a:latin typeface="+mn-lt"/>
              <a:ea typeface="Calibri"/>
              <a:cs typeface="Arial"/>
            </a:rPr>
            <a:pPr marL="0" marR="0" lvl="0" indent="0" defTabSz="914400" eaLnBrk="1" fontAlgn="auto" latinLnBrk="0" hangingPunct="1">
              <a:lnSpc>
                <a:spcPct val="100000"/>
              </a:lnSpc>
              <a:spcBef>
                <a:spcPts val="0"/>
              </a:spcBef>
              <a:spcAft>
                <a:spcPts val="0"/>
              </a:spcAft>
              <a:buClrTx/>
              <a:buSzTx/>
              <a:buFontTx/>
              <a:buNone/>
              <a:tabLst/>
              <a:defRPr/>
            </a:pPr>
            <a:t>2024 - Continente:
Base: 84,1% do Ganho, entre 844 €  (Profissionais não qualificados) e 3.339 €  (Quadros superiores).
Ganho: Entre 999 €  (Praticantes e aprendizes) e 3.824 €  (Quadros superiores).</a:t>
          </a:fld>
          <a:endParaRPr kumimoji="0" lang="en-US" sz="900" b="0" i="0" u="none" strike="noStrike" kern="0" cap="none" spc="0" normalizeH="0" baseline="0" noProof="0">
            <a:ln>
              <a:noFill/>
            </a:ln>
            <a:effectLst/>
            <a:uLnTx/>
            <a:uFillTx/>
            <a:latin typeface="+mn-lt"/>
            <a:ea typeface="+mn-ea"/>
          </a:endParaRPr>
        </a:p>
      </xdr:txBody>
    </xdr:sp>
    <xdr:clientData/>
  </xdr:twoCellAnchor>
  <xdr:twoCellAnchor>
    <xdr:from>
      <xdr:col>4</xdr:col>
      <xdr:colOff>560400</xdr:colOff>
      <xdr:row>34</xdr:row>
      <xdr:rowOff>95250</xdr:rowOff>
    </xdr:from>
    <xdr:to>
      <xdr:col>10</xdr:col>
      <xdr:colOff>428550</xdr:colOff>
      <xdr:row>38</xdr:row>
      <xdr:rowOff>89250</xdr:rowOff>
    </xdr:to>
    <xdr:sp macro="" textlink="q9_13_16_27_28_39_40_E_Fig!$AC$273">
      <xdr:nvSpPr>
        <xdr:cNvPr id="118" name="CaixaDeTexto 117">
          <a:extLst>
            <a:ext uri="{FF2B5EF4-FFF2-40B4-BE49-F238E27FC236}">
              <a16:creationId xmlns:a16="http://schemas.microsoft.com/office/drawing/2014/main" id="{00000000-0008-0000-0900-000076000000}"/>
            </a:ext>
          </a:extLst>
        </xdr:cNvPr>
        <xdr:cNvSpPr txBox="1"/>
      </xdr:nvSpPr>
      <xdr:spPr>
        <a:xfrm>
          <a:off x="2808300" y="6572250"/>
          <a:ext cx="3240000" cy="756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B0891FB0-E481-46E1-B445-FECC340C85C8}" type="TxLink">
            <a:rPr kumimoji="0" lang="en-US" sz="800" b="0" i="0" u="none" strike="noStrike" kern="0" cap="none" spc="0" normalizeH="0" baseline="0" noProof="0">
              <a:ln>
                <a:noFill/>
              </a:ln>
              <a:solidFill>
                <a:srgbClr val="000000"/>
              </a:solidFill>
              <a:effectLst/>
              <a:uLnTx/>
              <a:uFillTx/>
              <a:latin typeface="Calibri"/>
              <a:ea typeface="Calibri"/>
              <a:cs typeface="Calibri"/>
            </a:rPr>
            <a:pPr marL="0" marR="0" lvl="0" indent="0" defTabSz="914400" eaLnBrk="1" fontAlgn="auto" latinLnBrk="0" hangingPunct="1">
              <a:lnSpc>
                <a:spcPct val="100000"/>
              </a:lnSpc>
              <a:spcBef>
                <a:spcPts val="0"/>
              </a:spcBef>
              <a:spcAft>
                <a:spcPts val="0"/>
              </a:spcAft>
              <a:buClrTx/>
              <a:buSzTx/>
              <a:buFontTx/>
              <a:buNone/>
              <a:tabLst/>
              <a:defRPr/>
            </a:pPr>
            <a:t>2024:
Base Mulheres = 88,1%  da dos Homens (H), entre  57,7% da dos H (Profis. altam. qualificados ) e 99,3% (Praticantes e aprendizes).
Ganho Mulheres = 86,6% da dos H, entre 59,3% da dos H (Profis. altam. qualificados) e 96,6% (Praticantes e aprendizes)</a:t>
          </a:fld>
          <a:endParaRPr kumimoji="0" lang="en-US" sz="700" b="0"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12</xdr:col>
      <xdr:colOff>55575</xdr:colOff>
      <xdr:row>34</xdr:row>
      <xdr:rowOff>95250</xdr:rowOff>
    </xdr:from>
    <xdr:to>
      <xdr:col>17</xdr:col>
      <xdr:colOff>246450</xdr:colOff>
      <xdr:row>38</xdr:row>
      <xdr:rowOff>17250</xdr:rowOff>
    </xdr:to>
    <xdr:sp macro="" textlink="q9_13_16_27_28_39_40_E_Fig!$S$330">
      <xdr:nvSpPr>
        <xdr:cNvPr id="121" name="CaixaDeTexto 120">
          <a:extLst>
            <a:ext uri="{FF2B5EF4-FFF2-40B4-BE49-F238E27FC236}">
              <a16:creationId xmlns:a16="http://schemas.microsoft.com/office/drawing/2014/main" id="{00000000-0008-0000-0900-000079000000}"/>
            </a:ext>
          </a:extLst>
        </xdr:cNvPr>
        <xdr:cNvSpPr txBox="1"/>
      </xdr:nvSpPr>
      <xdr:spPr>
        <a:xfrm>
          <a:off x="6704025" y="6572250"/>
          <a:ext cx="3096000" cy="684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E163EB54-1B00-40C3-98F7-6C83EB858ED3}" type="TxLink">
            <a:rPr kumimoji="0" lang="en-US" sz="900" b="0" i="0" u="none" strike="noStrike" kern="0" cap="none" spc="0" normalizeH="0" baseline="0" noProof="0">
              <a:ln>
                <a:noFill/>
              </a:ln>
              <a:solidFill>
                <a:srgbClr val="000000"/>
              </a:solidFill>
              <a:effectLst/>
              <a:uLnTx/>
              <a:uFillTx/>
              <a:latin typeface="Calibri"/>
              <a:ea typeface="Calibri"/>
              <a:cs typeface="Calibri"/>
            </a:rPr>
            <a:pPr marL="0" marR="0" lvl="0" indent="0" defTabSz="914400" eaLnBrk="1" fontAlgn="auto" latinLnBrk="0" hangingPunct="1">
              <a:lnSpc>
                <a:spcPct val="100000"/>
              </a:lnSpc>
              <a:spcBef>
                <a:spcPts val="0"/>
              </a:spcBef>
              <a:spcAft>
                <a:spcPts val="0"/>
              </a:spcAft>
              <a:buClrTx/>
              <a:buSzTx/>
              <a:buFontTx/>
              <a:buNone/>
              <a:tabLst/>
              <a:defRPr/>
            </a:pPr>
            <a:t>2024 - Continente:
Base média: 84,1% do Ganho, entre 858 € (Trabalhadores não qualificados) e 4.145 € (Trabalhadores sem profissão atribuida).</a:t>
          </a:fld>
          <a:endParaRPr kumimoji="0" lang="pt-PT" sz="700" b="1" i="0" u="none" strike="noStrike" kern="0" cap="none" spc="0" normalizeH="0" baseline="0" noProof="0">
            <a:ln>
              <a:noFill/>
            </a:ln>
            <a:solidFill>
              <a:srgbClr val="17375E"/>
            </a:solidFill>
            <a:effectLst/>
            <a:uLnTx/>
            <a:uFillTx/>
            <a:latin typeface="+mn-lt"/>
            <a:ea typeface="+mn-ea"/>
            <a:cs typeface="+mn-cs"/>
          </a:endParaRPr>
        </a:p>
      </xdr:txBody>
    </xdr:sp>
    <xdr:clientData/>
  </xdr:twoCellAnchor>
  <xdr:twoCellAnchor>
    <xdr:from>
      <xdr:col>17</xdr:col>
      <xdr:colOff>320686</xdr:colOff>
      <xdr:row>34</xdr:row>
      <xdr:rowOff>101601</xdr:rowOff>
    </xdr:from>
    <xdr:to>
      <xdr:col>22</xdr:col>
      <xdr:colOff>511561</xdr:colOff>
      <xdr:row>38</xdr:row>
      <xdr:rowOff>23601</xdr:rowOff>
    </xdr:to>
    <xdr:sp macro="" textlink="q9_13_16_27_28_39_40_E_Fig!$S$331">
      <xdr:nvSpPr>
        <xdr:cNvPr id="122" name="CaixaDeTexto 121">
          <a:extLst>
            <a:ext uri="{FF2B5EF4-FFF2-40B4-BE49-F238E27FC236}">
              <a16:creationId xmlns:a16="http://schemas.microsoft.com/office/drawing/2014/main" id="{00000000-0008-0000-0900-00007A000000}"/>
            </a:ext>
          </a:extLst>
        </xdr:cNvPr>
        <xdr:cNvSpPr txBox="1"/>
      </xdr:nvSpPr>
      <xdr:spPr>
        <a:xfrm>
          <a:off x="9874261" y="6578601"/>
          <a:ext cx="3096000" cy="684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F1AE8D39-96FE-4549-A85D-16804677B692}" type="TxLink">
            <a:rPr kumimoji="0" lang="en-US" sz="900" b="0" i="0" u="none" strike="noStrike" kern="0" cap="none" spc="0" normalizeH="0" baseline="0" noProof="0">
              <a:ln>
                <a:noFill/>
              </a:ln>
              <a:solidFill>
                <a:srgbClr val="000000"/>
              </a:solidFill>
              <a:effectLst/>
              <a:uLnTx/>
              <a:uFillTx/>
              <a:latin typeface="Calibri"/>
              <a:ea typeface="Calibri"/>
              <a:cs typeface="Calibri"/>
            </a:rPr>
            <a:pPr marL="0" marR="0" lvl="0" indent="0" defTabSz="914400" eaLnBrk="1" fontAlgn="auto" latinLnBrk="0" hangingPunct="1">
              <a:lnSpc>
                <a:spcPct val="100000"/>
              </a:lnSpc>
              <a:spcBef>
                <a:spcPts val="0"/>
              </a:spcBef>
              <a:spcAft>
                <a:spcPts val="0"/>
              </a:spcAft>
              <a:buClrTx/>
              <a:buSzTx/>
              <a:buFontTx/>
              <a:buNone/>
              <a:tabLst/>
              <a:defRPr/>
            </a:pPr>
            <a:t>2024 - Continente:
Ganho médio: Entre 1.008 € (Trabalhadores não qualificados) e 4.624 € (Trabalhadores sem profissão atribuida).</a:t>
          </a:fld>
          <a:endParaRPr kumimoji="0" lang="pt-PT" sz="700" b="1" i="0" u="none" strike="noStrike" kern="0" cap="none" spc="0" normalizeH="0" baseline="0" noProof="0">
            <a:ln>
              <a:noFill/>
            </a:ln>
            <a:solidFill>
              <a:srgbClr val="17375E"/>
            </a:solidFill>
            <a:effectLst/>
            <a:uLnTx/>
            <a:uFillTx/>
            <a:latin typeface="+mn-lt"/>
            <a:ea typeface="+mn-ea"/>
            <a:cs typeface="+mn-cs"/>
          </a:endParaRPr>
        </a:p>
      </xdr:txBody>
    </xdr:sp>
    <xdr:clientData/>
  </xdr:twoCellAnchor>
  <xdr:twoCellAnchor>
    <xdr:from>
      <xdr:col>0</xdr:col>
      <xdr:colOff>36521</xdr:colOff>
      <xdr:row>33</xdr:row>
      <xdr:rowOff>34011</xdr:rowOff>
    </xdr:from>
    <xdr:to>
      <xdr:col>23</xdr:col>
      <xdr:colOff>0</xdr:colOff>
      <xdr:row>34</xdr:row>
      <xdr:rowOff>54073</xdr:rowOff>
    </xdr:to>
    <xdr:grpSp>
      <xdr:nvGrpSpPr>
        <xdr:cNvPr id="20" name="Agrupar 19">
          <a:extLst>
            <a:ext uri="{FF2B5EF4-FFF2-40B4-BE49-F238E27FC236}">
              <a16:creationId xmlns:a16="http://schemas.microsoft.com/office/drawing/2014/main" id="{00000000-0008-0000-0900-000014000000}"/>
            </a:ext>
          </a:extLst>
        </xdr:cNvPr>
        <xdr:cNvGrpSpPr/>
      </xdr:nvGrpSpPr>
      <xdr:grpSpPr>
        <a:xfrm>
          <a:off x="36521" y="6320511"/>
          <a:ext cx="13003204" cy="210562"/>
          <a:chOff x="28571" y="5910936"/>
          <a:chExt cx="13003204" cy="210562"/>
        </a:xfrm>
      </xdr:grpSpPr>
      <xdr:grpSp>
        <xdr:nvGrpSpPr>
          <xdr:cNvPr id="11" name="Agrupar 10">
            <a:extLst>
              <a:ext uri="{FF2B5EF4-FFF2-40B4-BE49-F238E27FC236}">
                <a16:creationId xmlns:a16="http://schemas.microsoft.com/office/drawing/2014/main" id="{00000000-0008-0000-0900-00000B000000}"/>
              </a:ext>
            </a:extLst>
          </xdr:cNvPr>
          <xdr:cNvGrpSpPr/>
        </xdr:nvGrpSpPr>
        <xdr:grpSpPr>
          <a:xfrm>
            <a:off x="28571" y="5910936"/>
            <a:ext cx="13003204" cy="210562"/>
            <a:chOff x="28571" y="5910936"/>
            <a:chExt cx="13003204" cy="210562"/>
          </a:xfrm>
        </xdr:grpSpPr>
        <xdr:grpSp>
          <xdr:nvGrpSpPr>
            <xdr:cNvPr id="8" name="Agrupar 7">
              <a:extLst>
                <a:ext uri="{FF2B5EF4-FFF2-40B4-BE49-F238E27FC236}">
                  <a16:creationId xmlns:a16="http://schemas.microsoft.com/office/drawing/2014/main" id="{00000000-0008-0000-0900-000008000000}"/>
                </a:ext>
              </a:extLst>
            </xdr:cNvPr>
            <xdr:cNvGrpSpPr/>
          </xdr:nvGrpSpPr>
          <xdr:grpSpPr>
            <a:xfrm>
              <a:off x="28571" y="5910936"/>
              <a:ext cx="13003204" cy="210562"/>
              <a:chOff x="952496" y="5939511"/>
              <a:chExt cx="13003204" cy="210562"/>
            </a:xfrm>
          </xdr:grpSpPr>
          <xdr:grpSp>
            <xdr:nvGrpSpPr>
              <xdr:cNvPr id="13" name="Agrupar 12">
                <a:extLst>
                  <a:ext uri="{FF2B5EF4-FFF2-40B4-BE49-F238E27FC236}">
                    <a16:creationId xmlns:a16="http://schemas.microsoft.com/office/drawing/2014/main" id="{00000000-0008-0000-0900-00000D000000}"/>
                  </a:ext>
                </a:extLst>
              </xdr:cNvPr>
              <xdr:cNvGrpSpPr/>
            </xdr:nvGrpSpPr>
            <xdr:grpSpPr>
              <a:xfrm>
                <a:off x="952496" y="5939511"/>
                <a:ext cx="13003204" cy="210562"/>
                <a:chOff x="230187" y="653281"/>
                <a:chExt cx="5846763" cy="438149"/>
              </a:xfrm>
            </xdr:grpSpPr>
            <xdr:sp macro="" textlink="">
              <xdr:nvSpPr>
                <xdr:cNvPr id="14" name="Rectangle 3">
                  <a:extLst>
                    <a:ext uri="{FF2B5EF4-FFF2-40B4-BE49-F238E27FC236}">
                      <a16:creationId xmlns:a16="http://schemas.microsoft.com/office/drawing/2014/main" id="{00000000-0008-0000-0900-00000E000000}"/>
                    </a:ext>
                  </a:extLst>
                </xdr:cNvPr>
                <xdr:cNvSpPr>
                  <a:spLocks noChangeArrowheads="1"/>
                </xdr:cNvSpPr>
              </xdr:nvSpPr>
              <xdr:spPr bwMode="auto">
                <a:xfrm>
                  <a:off x="230187" y="653281"/>
                  <a:ext cx="5846763" cy="438149"/>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15" name="Text Box 10">
                  <a:extLst>
                    <a:ext uri="{FF2B5EF4-FFF2-40B4-BE49-F238E27FC236}">
                      <a16:creationId xmlns:a16="http://schemas.microsoft.com/office/drawing/2014/main" id="{00000000-0008-0000-0900-00000F000000}"/>
                    </a:ext>
                  </a:extLst>
                </xdr:cNvPr>
                <xdr:cNvSpPr txBox="1">
                  <a:spLocks noChangeArrowheads="1"/>
                </xdr:cNvSpPr>
              </xdr:nvSpPr>
              <xdr:spPr bwMode="auto">
                <a:xfrm>
                  <a:off x="3116810" y="681606"/>
                  <a:ext cx="2946043" cy="374554"/>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r>
                    <a:rPr lang="pt-PT" sz="1000" b="1" kern="1200">
                      <a:solidFill>
                        <a:srgbClr val="00467A"/>
                      </a:solidFill>
                      <a:effectLst/>
                      <a:latin typeface="+mn-lt"/>
                      <a:ea typeface="+mn-ea"/>
                      <a:cs typeface="+mn-cs"/>
                    </a:rPr>
                    <a:t>.....por Profissão</a:t>
                  </a:r>
                  <a:endParaRPr lang="pt-PT" sz="1000">
                    <a:solidFill>
                      <a:srgbClr val="00467A"/>
                    </a:solidFill>
                    <a:effectLst/>
                    <a:latin typeface="+mn-lt"/>
                  </a:endParaRPr>
                </a:p>
              </xdr:txBody>
            </xdr:sp>
          </xdr:grpSp>
          <xdr:sp macro="" textlink="">
            <xdr:nvSpPr>
              <xdr:cNvPr id="19" name="Text Box 10">
                <a:extLst>
                  <a:ext uri="{FF2B5EF4-FFF2-40B4-BE49-F238E27FC236}">
                    <a16:creationId xmlns:a16="http://schemas.microsoft.com/office/drawing/2014/main" id="{00000000-0008-0000-0900-000013000000}"/>
                  </a:ext>
                </a:extLst>
              </xdr:cNvPr>
              <xdr:cNvSpPr txBox="1">
                <a:spLocks noChangeArrowheads="1"/>
              </xdr:cNvSpPr>
            </xdr:nvSpPr>
            <xdr:spPr bwMode="auto">
              <a:xfrm>
                <a:off x="1065530" y="5952096"/>
                <a:ext cx="6211569" cy="182004"/>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r>
                  <a:rPr lang="pt-PT" sz="1000" b="1" kern="1200">
                    <a:solidFill>
                      <a:srgbClr val="00467A"/>
                    </a:solidFill>
                    <a:effectLst/>
                    <a:latin typeface="+mn-lt"/>
                    <a:ea typeface="+mn-ea"/>
                    <a:cs typeface="+mn-cs"/>
                  </a:rPr>
                  <a:t>.....por Nível de Qualificação e Sexo</a:t>
                </a:r>
                <a:endParaRPr lang="pt-PT" sz="1000">
                  <a:solidFill>
                    <a:srgbClr val="00467A"/>
                  </a:solidFill>
                  <a:effectLst/>
                  <a:latin typeface="+mn-lt"/>
                </a:endParaRPr>
              </a:p>
            </xdr:txBody>
          </xdr:sp>
        </xdr:grpSp>
        <xdr:grpSp>
          <xdr:nvGrpSpPr>
            <xdr:cNvPr id="119" name="Agrupar 118">
              <a:extLst>
                <a:ext uri="{FF2B5EF4-FFF2-40B4-BE49-F238E27FC236}">
                  <a16:creationId xmlns:a16="http://schemas.microsoft.com/office/drawing/2014/main" id="{00000000-0008-0000-0900-000077000000}"/>
                </a:ext>
              </a:extLst>
            </xdr:cNvPr>
            <xdr:cNvGrpSpPr/>
          </xdr:nvGrpSpPr>
          <xdr:grpSpPr>
            <a:xfrm>
              <a:off x="3867150" y="5915025"/>
              <a:ext cx="1867558" cy="183631"/>
              <a:chOff x="13620750" y="1904996"/>
              <a:chExt cx="1867558" cy="183631"/>
            </a:xfrm>
          </xdr:grpSpPr>
          <mc:AlternateContent xmlns:mc="http://schemas.openxmlformats.org/markup-compatibility/2006">
            <mc:Choice xmlns:a14="http://schemas.microsoft.com/office/drawing/2010/main" Requires="a14">
              <xdr:sp macro="" textlink="">
                <xdr:nvSpPr>
                  <xdr:cNvPr id="692228" name="Drop Down 4" hidden="1">
                    <a:extLst>
                      <a:ext uri="{63B3BB69-23CF-44E3-9099-C40C66FF867C}">
                        <a14:compatExt spid="_x0000_s692228"/>
                      </a:ext>
                      <a:ext uri="{FF2B5EF4-FFF2-40B4-BE49-F238E27FC236}">
                        <a16:creationId xmlns:a16="http://schemas.microsoft.com/office/drawing/2014/main" id="{00000000-0008-0000-0900-000004900A00}"/>
                      </a:ext>
                    </a:extLst>
                  </xdr:cNvPr>
                  <xdr:cNvSpPr/>
                </xdr:nvSpPr>
                <xdr:spPr bwMode="auto">
                  <a:xfrm>
                    <a:off x="14804308" y="1908627"/>
                    <a:ext cx="684000" cy="18000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120" name="Text Box 10">
                <a:extLst>
                  <a:ext uri="{FF2B5EF4-FFF2-40B4-BE49-F238E27FC236}">
                    <a16:creationId xmlns:a16="http://schemas.microsoft.com/office/drawing/2014/main" id="{00000000-0008-0000-0900-000078000000}"/>
                  </a:ext>
                </a:extLst>
              </xdr:cNvPr>
              <xdr:cNvSpPr txBox="1">
                <a:spLocks noChangeArrowheads="1"/>
              </xdr:cNvSpPr>
            </xdr:nvSpPr>
            <xdr:spPr bwMode="auto">
              <a:xfrm>
                <a:off x="13620750" y="1904996"/>
                <a:ext cx="1116000" cy="180000"/>
              </a:xfrm>
              <a:prstGeom prst="rect">
                <a:avLst/>
              </a:prstGeom>
              <a:solidFill>
                <a:schemeClr val="accent1">
                  <a:lumMod val="40000"/>
                  <a:lumOff val="60000"/>
                </a:schemeClr>
              </a:solidFill>
              <a:ln w="9525">
                <a:solidFill>
                  <a:srgbClr val="000000"/>
                </a:solidFill>
                <a:miter lim="800000"/>
                <a:headEnd/>
                <a:tailEnd/>
              </a:ln>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tx2">
                        <a:lumMod val="75000"/>
                      </a:schemeClr>
                    </a:solidFill>
                    <a:latin typeface="+mn-lt"/>
                  </a:rPr>
                  <a:t>Selecione o</a:t>
                </a:r>
                <a:r>
                  <a:rPr lang="en-US" altLang="pt-PT" sz="1000" b="1" baseline="0">
                    <a:solidFill>
                      <a:schemeClr val="tx2">
                        <a:lumMod val="75000"/>
                      </a:schemeClr>
                    </a:solidFill>
                    <a:latin typeface="+mn-lt"/>
                  </a:rPr>
                  <a:t> ano</a:t>
                </a:r>
                <a:r>
                  <a:rPr lang="en-US" altLang="pt-PT" sz="1000" b="1">
                    <a:solidFill>
                      <a:schemeClr val="tx2">
                        <a:lumMod val="75000"/>
                      </a:schemeClr>
                    </a:solidFill>
                    <a:latin typeface="+mn-lt"/>
                  </a:rPr>
                  <a:t>:</a:t>
                </a:r>
                <a:endParaRPr lang="en-US" altLang="pt-PT" sz="1200" b="1">
                  <a:solidFill>
                    <a:schemeClr val="tx2">
                      <a:lumMod val="75000"/>
                    </a:schemeClr>
                  </a:solidFill>
                  <a:latin typeface="Arial" charset="0"/>
                </a:endParaRPr>
              </a:p>
            </xdr:txBody>
          </xdr:sp>
        </xdr:grpSp>
      </xdr:grpSp>
      <xdr:grpSp>
        <xdr:nvGrpSpPr>
          <xdr:cNvPr id="12" name="Agrupar 11">
            <a:extLst>
              <a:ext uri="{FF2B5EF4-FFF2-40B4-BE49-F238E27FC236}">
                <a16:creationId xmlns:a16="http://schemas.microsoft.com/office/drawing/2014/main" id="{00000000-0008-0000-0900-00000C000000}"/>
              </a:ext>
            </a:extLst>
          </xdr:cNvPr>
          <xdr:cNvGrpSpPr/>
        </xdr:nvGrpSpPr>
        <xdr:grpSpPr>
          <a:xfrm>
            <a:off x="8791575" y="5915025"/>
            <a:ext cx="1867558" cy="183631"/>
            <a:chOff x="14201775" y="6477000"/>
            <a:chExt cx="1867558" cy="183631"/>
          </a:xfrm>
        </xdr:grpSpPr>
        <mc:AlternateContent xmlns:mc="http://schemas.openxmlformats.org/markup-compatibility/2006">
          <mc:Choice xmlns:a14="http://schemas.microsoft.com/office/drawing/2010/main" Requires="a14">
            <xdr:sp macro="" textlink="">
              <xdr:nvSpPr>
                <xdr:cNvPr id="692229" name="Drop Down 5" hidden="1">
                  <a:extLst>
                    <a:ext uri="{63B3BB69-23CF-44E3-9099-C40C66FF867C}">
                      <a14:compatExt spid="_x0000_s692229"/>
                    </a:ext>
                    <a:ext uri="{FF2B5EF4-FFF2-40B4-BE49-F238E27FC236}">
                      <a16:creationId xmlns:a16="http://schemas.microsoft.com/office/drawing/2014/main" id="{00000000-0008-0000-0900-000005900A00}"/>
                    </a:ext>
                  </a:extLst>
                </xdr:cNvPr>
                <xdr:cNvSpPr/>
              </xdr:nvSpPr>
              <xdr:spPr bwMode="auto">
                <a:xfrm>
                  <a:off x="15385333" y="6480631"/>
                  <a:ext cx="684000" cy="18000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123" name="Text Box 10">
              <a:extLst>
                <a:ext uri="{FF2B5EF4-FFF2-40B4-BE49-F238E27FC236}">
                  <a16:creationId xmlns:a16="http://schemas.microsoft.com/office/drawing/2014/main" id="{00000000-0008-0000-0900-00007B000000}"/>
                </a:ext>
              </a:extLst>
            </xdr:cNvPr>
            <xdr:cNvSpPr txBox="1">
              <a:spLocks noChangeArrowheads="1"/>
            </xdr:cNvSpPr>
          </xdr:nvSpPr>
          <xdr:spPr bwMode="auto">
            <a:xfrm>
              <a:off x="14201775" y="6477000"/>
              <a:ext cx="1116000" cy="180000"/>
            </a:xfrm>
            <a:prstGeom prst="rect">
              <a:avLst/>
            </a:prstGeom>
            <a:solidFill>
              <a:schemeClr val="accent1">
                <a:lumMod val="40000"/>
                <a:lumOff val="60000"/>
              </a:schemeClr>
            </a:solidFill>
            <a:ln w="9525">
              <a:solidFill>
                <a:srgbClr val="000000"/>
              </a:solidFill>
              <a:miter lim="800000"/>
              <a:headEnd/>
              <a:tailEnd/>
            </a:ln>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tx2">
                      <a:lumMod val="75000"/>
                    </a:schemeClr>
                  </a:solidFill>
                  <a:latin typeface="+mn-lt"/>
                </a:rPr>
                <a:t>Selecione o</a:t>
              </a:r>
              <a:r>
                <a:rPr lang="en-US" altLang="pt-PT" sz="1000" b="1" baseline="0">
                  <a:solidFill>
                    <a:schemeClr val="tx2">
                      <a:lumMod val="75000"/>
                    </a:schemeClr>
                  </a:solidFill>
                  <a:latin typeface="+mn-lt"/>
                </a:rPr>
                <a:t> ano</a:t>
              </a:r>
              <a:r>
                <a:rPr lang="en-US" altLang="pt-PT" sz="1000" b="1">
                  <a:solidFill>
                    <a:schemeClr val="tx2">
                      <a:lumMod val="75000"/>
                    </a:schemeClr>
                  </a:solidFill>
                  <a:latin typeface="+mn-lt"/>
                </a:rPr>
                <a:t>:</a:t>
              </a:r>
              <a:endParaRPr lang="en-US" altLang="pt-PT" sz="1200" b="1">
                <a:solidFill>
                  <a:schemeClr val="tx2">
                    <a:lumMod val="75000"/>
                  </a:schemeClr>
                </a:solidFill>
                <a:latin typeface="Arial" charset="0"/>
              </a:endParaRPr>
            </a:p>
          </xdr:txBody>
        </xdr:sp>
      </xdr:grpSp>
    </xdr:grpSp>
    <xdr:clientData/>
  </xdr:twoCellAnchor>
  <xdr:twoCellAnchor>
    <xdr:from>
      <xdr:col>12</xdr:col>
      <xdr:colOff>198450</xdr:colOff>
      <xdr:row>38</xdr:row>
      <xdr:rowOff>57152</xdr:rowOff>
    </xdr:from>
    <xdr:to>
      <xdr:col>21</xdr:col>
      <xdr:colOff>560400</xdr:colOff>
      <xdr:row>53</xdr:row>
      <xdr:rowOff>187652</xdr:rowOff>
    </xdr:to>
    <xdr:grpSp>
      <xdr:nvGrpSpPr>
        <xdr:cNvPr id="124" name="Agrupar 123">
          <a:extLst>
            <a:ext uri="{FF2B5EF4-FFF2-40B4-BE49-F238E27FC236}">
              <a16:creationId xmlns:a16="http://schemas.microsoft.com/office/drawing/2014/main" id="{00000000-0008-0000-0900-00007C000000}"/>
            </a:ext>
          </a:extLst>
        </xdr:cNvPr>
        <xdr:cNvGrpSpPr/>
      </xdr:nvGrpSpPr>
      <xdr:grpSpPr>
        <a:xfrm>
          <a:off x="6846900" y="7296152"/>
          <a:ext cx="5591175" cy="2988000"/>
          <a:chOff x="19097625" y="49593925"/>
          <a:chExt cx="4459182" cy="3559283"/>
        </a:xfrm>
      </xdr:grpSpPr>
      <xdr:graphicFrame macro="">
        <xdr:nvGraphicFramePr>
          <xdr:cNvPr id="125" name="Gráfico 124">
            <a:extLst>
              <a:ext uri="{FF2B5EF4-FFF2-40B4-BE49-F238E27FC236}">
                <a16:creationId xmlns:a16="http://schemas.microsoft.com/office/drawing/2014/main" id="{00000000-0008-0000-0900-00007D000000}"/>
              </a:ext>
            </a:extLst>
          </xdr:cNvPr>
          <xdr:cNvGraphicFramePr>
            <a:graphicFrameLocks/>
          </xdr:cNvGraphicFramePr>
        </xdr:nvGraphicFramePr>
        <xdr:xfrm>
          <a:off x="19097625" y="49749790"/>
          <a:ext cx="4459182" cy="3403418"/>
        </xdr:xfrm>
        <a:graphic>
          <a:graphicData uri="http://schemas.openxmlformats.org/drawingml/2006/chart">
            <c:chart xmlns:c="http://schemas.openxmlformats.org/drawingml/2006/chart" xmlns:r="http://schemas.openxmlformats.org/officeDocument/2006/relationships" r:id="rId8"/>
          </a:graphicData>
        </a:graphic>
      </xdr:graphicFrame>
      <xdr:grpSp>
        <xdr:nvGrpSpPr>
          <xdr:cNvPr id="126" name="Agrupar 125">
            <a:extLst>
              <a:ext uri="{FF2B5EF4-FFF2-40B4-BE49-F238E27FC236}">
                <a16:creationId xmlns:a16="http://schemas.microsoft.com/office/drawing/2014/main" id="{00000000-0008-0000-0900-00007E000000}"/>
              </a:ext>
            </a:extLst>
          </xdr:cNvPr>
          <xdr:cNvGrpSpPr/>
        </xdr:nvGrpSpPr>
        <xdr:grpSpPr>
          <a:xfrm>
            <a:off x="19612032" y="49593925"/>
            <a:ext cx="700449" cy="595258"/>
            <a:chOff x="19572342" y="49522483"/>
            <a:chExt cx="700449" cy="595258"/>
          </a:xfrm>
        </xdr:grpSpPr>
        <xdr:sp macro="" textlink="q9_13_16_27_28_39_40_E_Fig!$T$303">
          <xdr:nvSpPr>
            <xdr:cNvPr id="127" name="CaixaDeTexto 126">
              <a:extLst>
                <a:ext uri="{FF2B5EF4-FFF2-40B4-BE49-F238E27FC236}">
                  <a16:creationId xmlns:a16="http://schemas.microsoft.com/office/drawing/2014/main" id="{00000000-0008-0000-0900-00007F000000}"/>
                </a:ext>
              </a:extLst>
            </xdr:cNvPr>
            <xdr:cNvSpPr txBox="1"/>
          </xdr:nvSpPr>
          <xdr:spPr>
            <a:xfrm>
              <a:off x="19580280" y="49771370"/>
              <a:ext cx="692511" cy="142764"/>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75F44DE-F468-40B2-84DB-1198A1042FB3}" type="TxLink">
                <a:rPr kumimoji="0" lang="en-US" sz="800" b="1" i="0" u="none" strike="noStrike" kern="0" cap="none" spc="0" normalizeH="0" baseline="0" noProof="0">
                  <a:ln>
                    <a:noFill/>
                  </a:ln>
                  <a:solidFill>
                    <a:srgbClr val="000000"/>
                  </a:solidFill>
                  <a:effectLst/>
                  <a:uLnTx/>
                  <a:uFillTx/>
                  <a:latin typeface="Arial"/>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1.165,07 €</a:t>
              </a:fld>
              <a:endParaRPr kumimoji="0" lang="pt-PT" sz="6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28" name="CaixaDeTexto 127">
              <a:extLst>
                <a:ext uri="{FF2B5EF4-FFF2-40B4-BE49-F238E27FC236}">
                  <a16:creationId xmlns:a16="http://schemas.microsoft.com/office/drawing/2014/main" id="{00000000-0008-0000-0900-000080000000}"/>
                </a:ext>
              </a:extLst>
            </xdr:cNvPr>
            <xdr:cNvSpPr txBox="1"/>
          </xdr:nvSpPr>
          <xdr:spPr>
            <a:xfrm>
              <a:off x="19572342" y="49522483"/>
              <a:ext cx="692512" cy="207240"/>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sp macro="" textlink="q9_13_16_27_28_39_40_E_Fig!$U$303">
          <xdr:nvSpPr>
            <xdr:cNvPr id="129" name="CaixaDeTexto 128">
              <a:extLst>
                <a:ext uri="{FF2B5EF4-FFF2-40B4-BE49-F238E27FC236}">
                  <a16:creationId xmlns:a16="http://schemas.microsoft.com/office/drawing/2014/main" id="{00000000-0008-0000-0900-000081000000}"/>
                </a:ext>
              </a:extLst>
            </xdr:cNvPr>
            <xdr:cNvSpPr txBox="1"/>
          </xdr:nvSpPr>
          <xdr:spPr>
            <a:xfrm>
              <a:off x="19572343" y="49973741"/>
              <a:ext cx="692511" cy="144000"/>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BB48570-4294-4667-9F9E-652E1F5C6D8B}" type="TxLink">
                <a:rPr kumimoji="0" lang="en-US" sz="800" b="1" i="0" u="none" strike="noStrike" kern="0" cap="none" spc="0" normalizeH="0" baseline="0" noProof="0">
                  <a:ln>
                    <a:noFill/>
                  </a:ln>
                  <a:solidFill>
                    <a:srgbClr val="000000"/>
                  </a:solidFill>
                  <a:effectLst/>
                  <a:uLnTx/>
                  <a:uFillTx/>
                  <a:latin typeface="Arial"/>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1.385,12 €</a:t>
              </a:fld>
              <a:endParaRPr kumimoji="0" lang="pt-PT" sz="6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clientData/>
  </xdr:twoCellAnchor>
  <xdr:twoCellAnchor>
    <xdr:from>
      <xdr:col>14</xdr:col>
      <xdr:colOff>571505</xdr:colOff>
      <xdr:row>10</xdr:row>
      <xdr:rowOff>162545</xdr:rowOff>
    </xdr:from>
    <xdr:to>
      <xdr:col>23</xdr:col>
      <xdr:colOff>0</xdr:colOff>
      <xdr:row>32</xdr:row>
      <xdr:rowOff>169858</xdr:rowOff>
    </xdr:to>
    <xdr:grpSp>
      <xdr:nvGrpSpPr>
        <xdr:cNvPr id="22" name="Agrupar 21">
          <a:extLst>
            <a:ext uri="{FF2B5EF4-FFF2-40B4-BE49-F238E27FC236}">
              <a16:creationId xmlns:a16="http://schemas.microsoft.com/office/drawing/2014/main" id="{BDACD7C7-D865-4AE9-B78E-B23F0E977DDF}"/>
            </a:ext>
          </a:extLst>
        </xdr:cNvPr>
        <xdr:cNvGrpSpPr/>
      </xdr:nvGrpSpPr>
      <xdr:grpSpPr>
        <a:xfrm>
          <a:off x="8382005" y="2067545"/>
          <a:ext cx="4657720" cy="4198313"/>
          <a:chOff x="8382005" y="2067545"/>
          <a:chExt cx="4657720" cy="4198313"/>
        </a:xfrm>
      </xdr:grpSpPr>
      <xdr:sp macro="" textlink="">
        <xdr:nvSpPr>
          <xdr:cNvPr id="134" name="CaixaDeTexto 133">
            <a:extLst>
              <a:ext uri="{FF2B5EF4-FFF2-40B4-BE49-F238E27FC236}">
                <a16:creationId xmlns:a16="http://schemas.microsoft.com/office/drawing/2014/main" id="{C27CBB23-D777-4AFF-AA91-001E45472D39}"/>
              </a:ext>
            </a:extLst>
          </xdr:cNvPr>
          <xdr:cNvSpPr txBox="1"/>
        </xdr:nvSpPr>
        <xdr:spPr>
          <a:xfrm>
            <a:off x="9493938" y="2067545"/>
            <a:ext cx="1210527" cy="108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lang="pt-PT" sz="900" b="1">
                <a:solidFill>
                  <a:schemeClr val="tx2"/>
                </a:solidFill>
              </a:rPr>
              <a:t>Sub-</a:t>
            </a:r>
            <a:r>
              <a:rPr lang="pt-PT" sz="900" b="1" baseline="0">
                <a:solidFill>
                  <a:schemeClr val="tx2"/>
                </a:solidFill>
              </a:rPr>
              <a:t>regiões </a:t>
            </a:r>
            <a:r>
              <a:rPr lang="pt-PT" sz="900" b="1">
                <a:solidFill>
                  <a:schemeClr val="tx2"/>
                </a:solidFill>
              </a:rPr>
              <a:t>NUTS III*</a:t>
            </a:r>
          </a:p>
        </xdr:txBody>
      </xdr:sp>
      <xdr:grpSp>
        <xdr:nvGrpSpPr>
          <xdr:cNvPr id="21" name="Agrupar 20">
            <a:extLst>
              <a:ext uri="{FF2B5EF4-FFF2-40B4-BE49-F238E27FC236}">
                <a16:creationId xmlns:a16="http://schemas.microsoft.com/office/drawing/2014/main" id="{E95EFD6B-33B9-4EDD-B9F3-483D93594520}"/>
              </a:ext>
            </a:extLst>
          </xdr:cNvPr>
          <xdr:cNvGrpSpPr/>
        </xdr:nvGrpSpPr>
        <xdr:grpSpPr>
          <a:xfrm>
            <a:off x="10534650" y="2067886"/>
            <a:ext cx="2505075" cy="4037639"/>
            <a:chOff x="10534650" y="2067886"/>
            <a:chExt cx="2505075" cy="4037639"/>
          </a:xfrm>
        </xdr:grpSpPr>
        <xdr:sp macro="" textlink="">
          <xdr:nvSpPr>
            <xdr:cNvPr id="135" name="CaixaDeTexto 134">
              <a:extLst>
                <a:ext uri="{FF2B5EF4-FFF2-40B4-BE49-F238E27FC236}">
                  <a16:creationId xmlns:a16="http://schemas.microsoft.com/office/drawing/2014/main" id="{EAF2FE14-2D0F-43DD-A69E-0C911A3DF71D}"/>
                </a:ext>
              </a:extLst>
            </xdr:cNvPr>
            <xdr:cNvSpPr txBox="1"/>
          </xdr:nvSpPr>
          <xdr:spPr>
            <a:xfrm>
              <a:off x="11103719" y="2067886"/>
              <a:ext cx="1038818" cy="132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lang="pt-PT" sz="900" b="1" baseline="0">
                  <a:solidFill>
                    <a:schemeClr val="tx2"/>
                  </a:solidFill>
                </a:rPr>
                <a:t>Regiões </a:t>
              </a:r>
              <a:r>
                <a:rPr lang="pt-PT" sz="900" b="1">
                  <a:solidFill>
                    <a:schemeClr val="tx2"/>
                  </a:solidFill>
                </a:rPr>
                <a:t>NUTS II*</a:t>
              </a:r>
            </a:p>
          </xdr:txBody>
        </xdr:sp>
        <xdr:grpSp>
          <xdr:nvGrpSpPr>
            <xdr:cNvPr id="17" name="Agrupar 16">
              <a:extLst>
                <a:ext uri="{FF2B5EF4-FFF2-40B4-BE49-F238E27FC236}">
                  <a16:creationId xmlns:a16="http://schemas.microsoft.com/office/drawing/2014/main" id="{84090EE3-4415-42B5-8478-4EC0173563F0}"/>
                </a:ext>
              </a:extLst>
            </xdr:cNvPr>
            <xdr:cNvGrpSpPr/>
          </xdr:nvGrpSpPr>
          <xdr:grpSpPr>
            <a:xfrm>
              <a:off x="10534650" y="2124071"/>
              <a:ext cx="2505075" cy="3981454"/>
              <a:chOff x="10534650" y="2124071"/>
              <a:chExt cx="2505075" cy="3981454"/>
            </a:xfrm>
          </xdr:grpSpPr>
          <xdr:grpSp>
            <xdr:nvGrpSpPr>
              <xdr:cNvPr id="131" name="Agrupar 130">
                <a:extLst>
                  <a:ext uri="{FF2B5EF4-FFF2-40B4-BE49-F238E27FC236}">
                    <a16:creationId xmlns:a16="http://schemas.microsoft.com/office/drawing/2014/main" id="{E3ABA8D2-B6E5-4580-BDA0-46FC44F36B7A}"/>
                  </a:ext>
                </a:extLst>
              </xdr:cNvPr>
              <xdr:cNvGrpSpPr/>
            </xdr:nvGrpSpPr>
            <xdr:grpSpPr>
              <a:xfrm>
                <a:off x="10857398" y="2166570"/>
                <a:ext cx="2182327" cy="3834747"/>
                <a:chOff x="18475510" y="22783800"/>
                <a:chExt cx="3024055" cy="3894075"/>
              </a:xfrm>
            </xdr:grpSpPr>
            <xdr:grpSp>
              <xdr:nvGrpSpPr>
                <xdr:cNvPr id="136" name="Agrupar 135">
                  <a:extLst>
                    <a:ext uri="{FF2B5EF4-FFF2-40B4-BE49-F238E27FC236}">
                      <a16:creationId xmlns:a16="http://schemas.microsoft.com/office/drawing/2014/main" id="{E2BC62ED-55A4-4CCB-B91C-F2C65EB4B744}"/>
                    </a:ext>
                  </a:extLst>
                </xdr:cNvPr>
                <xdr:cNvGrpSpPr/>
              </xdr:nvGrpSpPr>
              <xdr:grpSpPr>
                <a:xfrm>
                  <a:off x="18475510" y="22919194"/>
                  <a:ext cx="3024055" cy="3689092"/>
                  <a:chOff x="14851666" y="419105"/>
                  <a:chExt cx="5471917" cy="7675833"/>
                </a:xfrm>
                <a:solidFill>
                  <a:schemeClr val="bg1"/>
                </a:solidFill>
              </xdr:grpSpPr>
              <xdr:pic>
                <xdr:nvPicPr>
                  <xdr:cNvPr id="144" name="Imagem 143" descr="2024">
                    <a:extLst>
                      <a:ext uri="{FF2B5EF4-FFF2-40B4-BE49-F238E27FC236}">
                        <a16:creationId xmlns:a16="http://schemas.microsoft.com/office/drawing/2014/main" id="{10850381-5F31-4F65-B090-89E6B3261687}"/>
                      </a:ext>
                    </a:extLst>
                  </xdr:cNvPr>
                  <xdr:cNvPicPr>
                    <a:picLocks noChangeAspect="1" noChangeArrowheads="1"/>
                  </xdr:cNvPicPr>
                </xdr:nvPicPr>
                <xdr:blipFill>
                  <a:blip xmlns:r="http://schemas.openxmlformats.org/officeDocument/2006/relationships" r:embed="rId9" cstate="print">
                    <a:biLevel thresh="25000"/>
                    <a:extLst>
                      <a:ext uri="{BEBA8EAE-BF5A-486C-A8C5-ECC9F3942E4B}">
                        <a14:imgProps xmlns:a14="http://schemas.microsoft.com/office/drawing/2010/main">
                          <a14:imgLayer r:embed="rId10">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14851666" y="419105"/>
                    <a:ext cx="5471917" cy="7675833"/>
                  </a:xfrm>
                  <a:prstGeom prst="rect">
                    <a:avLst/>
                  </a:prstGeom>
                  <a:grpFill/>
                  <a:extLst/>
                </xdr:spPr>
              </xdr:pic>
              <xdr:sp macro="" textlink="">
                <xdr:nvSpPr>
                  <xdr:cNvPr id="145" name="Retângulo 144">
                    <a:extLst>
                      <a:ext uri="{FF2B5EF4-FFF2-40B4-BE49-F238E27FC236}">
                        <a16:creationId xmlns:a16="http://schemas.microsoft.com/office/drawing/2014/main" id="{88E8C56D-F643-4E8C-99B6-F533D4AAC528}"/>
                      </a:ext>
                    </a:extLst>
                  </xdr:cNvPr>
                  <xdr:cNvSpPr/>
                </xdr:nvSpPr>
                <xdr:spPr>
                  <a:xfrm>
                    <a:off x="15020925" y="1104900"/>
                    <a:ext cx="1838325" cy="15811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146" name="Retângulo 145">
                    <a:extLst>
                      <a:ext uri="{FF2B5EF4-FFF2-40B4-BE49-F238E27FC236}">
                        <a16:creationId xmlns:a16="http://schemas.microsoft.com/office/drawing/2014/main" id="{7DA57128-AD9B-4765-9EB2-A19039B32807}"/>
                      </a:ext>
                    </a:extLst>
                  </xdr:cNvPr>
                  <xdr:cNvSpPr/>
                </xdr:nvSpPr>
                <xdr:spPr>
                  <a:xfrm>
                    <a:off x="15111802" y="6477003"/>
                    <a:ext cx="1465937" cy="134144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aphicFrame macro="">
              <xdr:nvGraphicFramePr>
                <xdr:cNvPr id="137" name="Gráfico 136">
                  <a:extLst>
                    <a:ext uri="{FF2B5EF4-FFF2-40B4-BE49-F238E27FC236}">
                      <a16:creationId xmlns:a16="http://schemas.microsoft.com/office/drawing/2014/main" id="{92BD8E28-FC8E-4056-89D5-4866F67C3D95}"/>
                    </a:ext>
                  </a:extLst>
                </xdr:cNvPr>
                <xdr:cNvGraphicFramePr>
                  <a:graphicFrameLocks/>
                </xdr:cNvGraphicFramePr>
              </xdr:nvGraphicFramePr>
              <xdr:xfrm>
                <a:off x="19611976" y="22783800"/>
                <a:ext cx="819150" cy="1019176"/>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38" name="Gráfico 137">
                  <a:extLst>
                    <a:ext uri="{FF2B5EF4-FFF2-40B4-BE49-F238E27FC236}">
                      <a16:creationId xmlns:a16="http://schemas.microsoft.com/office/drawing/2014/main" id="{D09AB543-BD62-446D-ADA1-8C7D1DCEA0D2}"/>
                    </a:ext>
                  </a:extLst>
                </xdr:cNvPr>
                <xdr:cNvGraphicFramePr>
                  <a:graphicFrameLocks/>
                </xdr:cNvGraphicFramePr>
              </xdr:nvGraphicFramePr>
              <xdr:xfrm>
                <a:off x="20326350" y="23479126"/>
                <a:ext cx="800100" cy="1008000"/>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39" name="Gráfico 138">
                  <a:extLst>
                    <a:ext uri="{FF2B5EF4-FFF2-40B4-BE49-F238E27FC236}">
                      <a16:creationId xmlns:a16="http://schemas.microsoft.com/office/drawing/2014/main" id="{E3AADE68-D8D0-40BD-A9ED-0DA8CDE57611}"/>
                    </a:ext>
                  </a:extLst>
                </xdr:cNvPr>
                <xdr:cNvGraphicFramePr>
                  <a:graphicFrameLocks/>
                </xdr:cNvGraphicFramePr>
              </xdr:nvGraphicFramePr>
              <xdr:xfrm>
                <a:off x="19145250" y="24012525"/>
                <a:ext cx="800100" cy="1008000"/>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40" name="Gráfico 139">
                  <a:extLst>
                    <a:ext uri="{FF2B5EF4-FFF2-40B4-BE49-F238E27FC236}">
                      <a16:creationId xmlns:a16="http://schemas.microsoft.com/office/drawing/2014/main" id="{7FAC9CBE-DD9C-4689-8D21-662D94491D62}"/>
                    </a:ext>
                  </a:extLst>
                </xdr:cNvPr>
                <xdr:cNvGraphicFramePr>
                  <a:graphicFrameLocks/>
                </xdr:cNvGraphicFramePr>
              </xdr:nvGraphicFramePr>
              <xdr:xfrm>
                <a:off x="18678525" y="24831675"/>
                <a:ext cx="800100" cy="100800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41" name="Gráfico 140">
                  <a:extLst>
                    <a:ext uri="{FF2B5EF4-FFF2-40B4-BE49-F238E27FC236}">
                      <a16:creationId xmlns:a16="http://schemas.microsoft.com/office/drawing/2014/main" id="{1114B934-97BE-47AB-919B-43E30244A394}"/>
                    </a:ext>
                  </a:extLst>
                </xdr:cNvPr>
                <xdr:cNvGraphicFramePr>
                  <a:graphicFrameLocks/>
                </xdr:cNvGraphicFramePr>
              </xdr:nvGraphicFramePr>
              <xdr:xfrm>
                <a:off x="18507075" y="24479250"/>
                <a:ext cx="800100" cy="100800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42" name="Gráfico 141">
                  <a:extLst>
                    <a:ext uri="{FF2B5EF4-FFF2-40B4-BE49-F238E27FC236}">
                      <a16:creationId xmlns:a16="http://schemas.microsoft.com/office/drawing/2014/main" id="{7CB27ADE-33D8-4B9E-8177-2D9A26948A05}"/>
                    </a:ext>
                  </a:extLst>
                </xdr:cNvPr>
                <xdr:cNvGraphicFramePr>
                  <a:graphicFrameLocks/>
                </xdr:cNvGraphicFramePr>
              </xdr:nvGraphicFramePr>
              <xdr:xfrm>
                <a:off x="20059650" y="24774525"/>
                <a:ext cx="800100" cy="100800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143" name="Gráfico 142">
                  <a:extLst>
                    <a:ext uri="{FF2B5EF4-FFF2-40B4-BE49-F238E27FC236}">
                      <a16:creationId xmlns:a16="http://schemas.microsoft.com/office/drawing/2014/main" id="{2547765B-93AE-4E22-929E-FE239B0A4880}"/>
                    </a:ext>
                  </a:extLst>
                </xdr:cNvPr>
                <xdr:cNvGraphicFramePr>
                  <a:graphicFrameLocks/>
                </xdr:cNvGraphicFramePr>
              </xdr:nvGraphicFramePr>
              <xdr:xfrm>
                <a:off x="20221575" y="25669875"/>
                <a:ext cx="800100" cy="1008000"/>
              </xdr:xfrm>
              <a:graphic>
                <a:graphicData uri="http://schemas.openxmlformats.org/drawingml/2006/chart">
                  <c:chart xmlns:c="http://schemas.openxmlformats.org/drawingml/2006/chart" xmlns:r="http://schemas.openxmlformats.org/officeDocument/2006/relationships" r:id="rId17"/>
                </a:graphicData>
              </a:graphic>
            </xdr:graphicFrame>
          </xdr:grpSp>
          <xdr:graphicFrame macro="">
            <xdr:nvGraphicFramePr>
              <xdr:cNvPr id="133" name="Gráfico 132">
                <a:extLst>
                  <a:ext uri="{FF2B5EF4-FFF2-40B4-BE49-F238E27FC236}">
                    <a16:creationId xmlns:a16="http://schemas.microsoft.com/office/drawing/2014/main" id="{97D601EE-CD13-4BED-8FBD-01F3262DA68D}"/>
                  </a:ext>
                </a:extLst>
              </xdr:cNvPr>
              <xdr:cNvGraphicFramePr/>
            </xdr:nvGraphicFramePr>
            <xdr:xfrm>
              <a:off x="10534650" y="2124071"/>
              <a:ext cx="1476376" cy="1619253"/>
            </xdr:xfrm>
            <a:graphic>
              <a:graphicData uri="http://schemas.openxmlformats.org/drawingml/2006/chart">
                <c:chart xmlns:c="http://schemas.openxmlformats.org/drawingml/2006/chart" xmlns:r="http://schemas.openxmlformats.org/officeDocument/2006/relationships" r:id="rId18"/>
              </a:graphicData>
            </a:graphic>
          </xdr:graphicFrame>
          <xdr:sp macro="" textlink="">
            <xdr:nvSpPr>
              <xdr:cNvPr id="148" name="CaixaDeTexto 147">
                <a:extLst>
                  <a:ext uri="{FF2B5EF4-FFF2-40B4-BE49-F238E27FC236}">
                    <a16:creationId xmlns:a16="http://schemas.microsoft.com/office/drawing/2014/main" id="{2EA10626-C5FF-4AB8-A452-E120FD1BAE9D}"/>
                  </a:ext>
                </a:extLst>
              </xdr:cNvPr>
              <xdr:cNvSpPr txBox="1"/>
            </xdr:nvSpPr>
            <xdr:spPr>
              <a:xfrm>
                <a:off x="10637850" y="5943600"/>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PT" sz="800"/>
                  <a:t>* NUTS (versão 2024) do estabelecimento</a:t>
                </a:r>
              </a:p>
            </xdr:txBody>
          </xdr:sp>
        </xdr:grpSp>
      </xdr:grpSp>
      <xdr:graphicFrame macro="">
        <xdr:nvGraphicFramePr>
          <xdr:cNvPr id="132" name="Gráfico 131">
            <a:extLst>
              <a:ext uri="{FF2B5EF4-FFF2-40B4-BE49-F238E27FC236}">
                <a16:creationId xmlns:a16="http://schemas.microsoft.com/office/drawing/2014/main" id="{30966CDC-0A1A-404A-AF07-766506199B4D}"/>
              </a:ext>
            </a:extLst>
          </xdr:cNvPr>
          <xdr:cNvGraphicFramePr>
            <a:graphicFrameLocks/>
          </xdr:cNvGraphicFramePr>
        </xdr:nvGraphicFramePr>
        <xdr:xfrm>
          <a:off x="8382005" y="2150222"/>
          <a:ext cx="2918192" cy="4115636"/>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47624</xdr:colOff>
      <xdr:row>2</xdr:row>
      <xdr:rowOff>152125</xdr:rowOff>
    </xdr:from>
    <xdr:to>
      <xdr:col>22</xdr:col>
      <xdr:colOff>596899</xdr:colOff>
      <xdr:row>4</xdr:row>
      <xdr:rowOff>77125</xdr:rowOff>
    </xdr:to>
    <xdr:grpSp>
      <xdr:nvGrpSpPr>
        <xdr:cNvPr id="2" name="Agrupar 1">
          <a:extLst>
            <a:ext uri="{FF2B5EF4-FFF2-40B4-BE49-F238E27FC236}">
              <a16:creationId xmlns:a16="http://schemas.microsoft.com/office/drawing/2014/main" id="{00000000-0008-0000-0200-000002000000}"/>
            </a:ext>
          </a:extLst>
        </xdr:cNvPr>
        <xdr:cNvGrpSpPr/>
      </xdr:nvGrpSpPr>
      <xdr:grpSpPr>
        <a:xfrm>
          <a:off x="47624" y="533125"/>
          <a:ext cx="12988925" cy="306000"/>
          <a:chOff x="230187" y="595689"/>
          <a:chExt cx="5846763" cy="515561"/>
        </a:xfrm>
      </xdr:grpSpPr>
      <xdr:sp macro="" textlink="">
        <xdr:nvSpPr>
          <xdr:cNvPr id="3" name="Rectangle 3">
            <a:extLst>
              <a:ext uri="{FF2B5EF4-FFF2-40B4-BE49-F238E27FC236}">
                <a16:creationId xmlns:a16="http://schemas.microsoft.com/office/drawing/2014/main" id="{00000000-0008-0000-0200-000003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4" name="Text Box 10">
            <a:extLst>
              <a:ext uri="{FF2B5EF4-FFF2-40B4-BE49-F238E27FC236}">
                <a16:creationId xmlns:a16="http://schemas.microsoft.com/office/drawing/2014/main" id="{00000000-0008-0000-0200-000004000000}"/>
              </a:ext>
            </a:extLst>
          </xdr:cNvPr>
          <xdr:cNvSpPr txBox="1">
            <a:spLocks noChangeArrowheads="1"/>
          </xdr:cNvSpPr>
        </xdr:nvSpPr>
        <xdr:spPr bwMode="auto">
          <a:xfrm>
            <a:off x="307901" y="595689"/>
            <a:ext cx="802767" cy="400026"/>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Empresas e Estabelecimentos</a:t>
            </a:r>
            <a:endParaRPr lang="en-US" altLang="pt-PT" sz="1200" b="1">
              <a:solidFill>
                <a:srgbClr val="00467A"/>
              </a:solidFill>
              <a:latin typeface="Arial" charset="0"/>
            </a:endParaRPr>
          </a:p>
        </xdr:txBody>
      </xdr:sp>
    </xdr:grpSp>
    <xdr:clientData/>
  </xdr:twoCellAnchor>
  <xdr:twoCellAnchor>
    <xdr:from>
      <xdr:col>1</xdr:col>
      <xdr:colOff>469834</xdr:colOff>
      <xdr:row>0</xdr:row>
      <xdr:rowOff>41276</xdr:rowOff>
    </xdr:from>
    <xdr:to>
      <xdr:col>22</xdr:col>
      <xdr:colOff>596836</xdr:colOff>
      <xdr:row>2</xdr:row>
      <xdr:rowOff>165100</xdr:rowOff>
    </xdr:to>
    <xdr:sp macro="" textlink="">
      <xdr:nvSpPr>
        <xdr:cNvPr id="7" name="Rectangle 17">
          <a:extLst>
            <a:ext uri="{FF2B5EF4-FFF2-40B4-BE49-F238E27FC236}">
              <a16:creationId xmlns:a16="http://schemas.microsoft.com/office/drawing/2014/main" id="{00000000-0008-0000-0200-000007000000}"/>
            </a:ext>
          </a:extLst>
        </xdr:cNvPr>
        <xdr:cNvSpPr>
          <a:spLocks noChangeArrowheads="1"/>
        </xdr:cNvSpPr>
      </xdr:nvSpPr>
      <xdr:spPr bwMode="auto">
        <a:xfrm>
          <a:off x="1060384" y="41276"/>
          <a:ext cx="12617452" cy="492124"/>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1600" b="1" i="1">
              <a:solidFill>
                <a:schemeClr val="bg1"/>
              </a:solidFill>
              <a:effectLst>
                <a:outerShdw blurRad="38100" dist="38100" dir="2700000" algn="tl">
                  <a:srgbClr val="000000"/>
                </a:outerShdw>
              </a:effectLst>
              <a:latin typeface="Arial" charset="0"/>
            </a:rPr>
            <a:t>Séries Cronológicas 2014 - 2024: Quadros de Pessoal</a:t>
          </a:r>
        </a:p>
        <a:p>
          <a:pPr defTabSz="988538">
            <a:defRPr/>
          </a:pPr>
          <a:r>
            <a:rPr lang="pt-PT" sz="1600" b="1" i="1">
              <a:solidFill>
                <a:srgbClr val="FFE600"/>
              </a:solidFill>
              <a:effectLst>
                <a:outerShdw blurRad="38100" dist="38100" dir="2700000" algn="tl">
                  <a:srgbClr val="000000"/>
                </a:outerShdw>
              </a:effectLst>
              <a:latin typeface="Arial" charset="0"/>
            </a:rPr>
            <a:t>Estrutura Empresarial</a:t>
          </a:r>
        </a:p>
      </xdr:txBody>
    </xdr:sp>
    <xdr:clientData/>
  </xdr:twoCellAnchor>
  <xdr:twoCellAnchor>
    <xdr:from>
      <xdr:col>4</xdr:col>
      <xdr:colOff>46094</xdr:colOff>
      <xdr:row>27</xdr:row>
      <xdr:rowOff>130484</xdr:rowOff>
    </xdr:from>
    <xdr:to>
      <xdr:col>5</xdr:col>
      <xdr:colOff>64908</xdr:colOff>
      <xdr:row>28</xdr:row>
      <xdr:rowOff>132156</xdr:rowOff>
    </xdr:to>
    <xdr:grpSp>
      <xdr:nvGrpSpPr>
        <xdr:cNvPr id="31" name="Agrupar 30">
          <a:extLst>
            <a:ext uri="{FF2B5EF4-FFF2-40B4-BE49-F238E27FC236}">
              <a16:creationId xmlns:a16="http://schemas.microsoft.com/office/drawing/2014/main" id="{00000000-0008-0000-0200-00001F000000}"/>
            </a:ext>
          </a:extLst>
        </xdr:cNvPr>
        <xdr:cNvGrpSpPr/>
      </xdr:nvGrpSpPr>
      <xdr:grpSpPr>
        <a:xfrm>
          <a:off x="2293994" y="5273984"/>
          <a:ext cx="580789" cy="192172"/>
          <a:chOff x="2408294" y="5054526"/>
          <a:chExt cx="609364" cy="179986"/>
        </a:xfrm>
      </xdr:grpSpPr>
      <xdr:sp macro="" textlink="">
        <xdr:nvSpPr>
          <xdr:cNvPr id="32" name="CaixaDeTexto 31">
            <a:extLst>
              <a:ext uri="{FF2B5EF4-FFF2-40B4-BE49-F238E27FC236}">
                <a16:creationId xmlns:a16="http://schemas.microsoft.com/office/drawing/2014/main" id="{00000000-0008-0000-0200-000020000000}"/>
              </a:ext>
            </a:extLst>
          </xdr:cNvPr>
          <xdr:cNvSpPr txBox="1"/>
        </xdr:nvSpPr>
        <xdr:spPr>
          <a:xfrm>
            <a:off x="2408294" y="5054526"/>
            <a:ext cx="609364" cy="1799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endParaRPr lang="pt-PT" sz="800" b="1"/>
          </a:p>
        </xdr:txBody>
      </xdr:sp>
    </xdr:grpSp>
    <xdr:clientData/>
  </xdr:twoCellAnchor>
  <xdr:twoCellAnchor>
    <xdr:from>
      <xdr:col>8</xdr:col>
      <xdr:colOff>182882</xdr:colOff>
      <xdr:row>25</xdr:row>
      <xdr:rowOff>70922</xdr:rowOff>
    </xdr:from>
    <xdr:to>
      <xdr:col>15</xdr:col>
      <xdr:colOff>248215</xdr:colOff>
      <xdr:row>26</xdr:row>
      <xdr:rowOff>93879</xdr:rowOff>
    </xdr:to>
    <xdr:sp macro="" textlink="">
      <xdr:nvSpPr>
        <xdr:cNvPr id="58" name="CaixaDeTexto 57">
          <a:hlinkClick xmlns:r="http://schemas.openxmlformats.org/officeDocument/2006/relationships" r:id="rId1"/>
          <a:extLst>
            <a:ext uri="{FF2B5EF4-FFF2-40B4-BE49-F238E27FC236}">
              <a16:creationId xmlns:a16="http://schemas.microsoft.com/office/drawing/2014/main" id="{00000000-0008-0000-0200-00003A000000}"/>
            </a:ext>
          </a:extLst>
        </xdr:cNvPr>
        <xdr:cNvSpPr txBox="1"/>
      </xdr:nvSpPr>
      <xdr:spPr>
        <a:xfrm>
          <a:off x="4670215" y="4833422"/>
          <a:ext cx="3960000" cy="213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800"/>
            <a:t>* - </a:t>
          </a:r>
          <a:r>
            <a:rPr lang="pt-PT" sz="800" i="0"/>
            <a:t>Consultar códigos</a:t>
          </a:r>
          <a:r>
            <a:rPr lang="pt-PT" sz="800" i="0" baseline="0"/>
            <a:t> de Secção de Atividade Económica em </a:t>
          </a:r>
          <a:r>
            <a:rPr lang="pt-PT" sz="800" i="0" u="sng" baseline="0">
              <a:solidFill>
                <a:schemeClr val="accent1"/>
              </a:solidFill>
            </a:rPr>
            <a:t>Introdução e Metainformação</a:t>
          </a:r>
          <a:endParaRPr lang="pt-PT" sz="800" i="0" u="sng">
            <a:solidFill>
              <a:schemeClr val="accent1"/>
            </a:solidFill>
          </a:endParaRPr>
        </a:p>
      </xdr:txBody>
    </xdr:sp>
    <xdr:clientData/>
  </xdr:twoCellAnchor>
  <xdr:twoCellAnchor>
    <xdr:from>
      <xdr:col>8</xdr:col>
      <xdr:colOff>23091</xdr:colOff>
      <xdr:row>9</xdr:row>
      <xdr:rowOff>160194</xdr:rowOff>
    </xdr:from>
    <xdr:to>
      <xdr:col>15</xdr:col>
      <xdr:colOff>207027</xdr:colOff>
      <xdr:row>27</xdr:row>
      <xdr:rowOff>75785</xdr:rowOff>
    </xdr:to>
    <xdr:graphicFrame macro="">
      <xdr:nvGraphicFramePr>
        <xdr:cNvPr id="84" name="Gráfico 83">
          <a:extLst>
            <a:ext uri="{FF2B5EF4-FFF2-40B4-BE49-F238E27FC236}">
              <a16:creationId xmlns:a16="http://schemas.microsoft.com/office/drawing/2014/main" id="{00000000-0008-0000-02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577079</xdr:colOff>
      <xdr:row>10</xdr:row>
      <xdr:rowOff>61607</xdr:rowOff>
    </xdr:from>
    <xdr:to>
      <xdr:col>22</xdr:col>
      <xdr:colOff>422915</xdr:colOff>
      <xdr:row>26</xdr:row>
      <xdr:rowOff>163798</xdr:rowOff>
    </xdr:to>
    <xdr:graphicFrame macro="">
      <xdr:nvGraphicFramePr>
        <xdr:cNvPr id="85" name="Gráfico 84">
          <a:extLst>
            <a:ext uri="{FF2B5EF4-FFF2-40B4-BE49-F238E27FC236}">
              <a16:creationId xmlns:a16="http://schemas.microsoft.com/office/drawing/2014/main" id="{00000000-0008-0000-02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207919</xdr:colOff>
      <xdr:row>34</xdr:row>
      <xdr:rowOff>99029</xdr:rowOff>
    </xdr:from>
    <xdr:to>
      <xdr:col>15</xdr:col>
      <xdr:colOff>360971</xdr:colOff>
      <xdr:row>52</xdr:row>
      <xdr:rowOff>31938</xdr:rowOff>
    </xdr:to>
    <xdr:graphicFrame macro="">
      <xdr:nvGraphicFramePr>
        <xdr:cNvPr id="94" name="Gráfico 93">
          <a:extLst>
            <a:ext uri="{FF2B5EF4-FFF2-40B4-BE49-F238E27FC236}">
              <a16:creationId xmlns:a16="http://schemas.microsoft.com/office/drawing/2014/main" id="{00000000-0008-0000-02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553425</xdr:colOff>
      <xdr:row>34</xdr:row>
      <xdr:rowOff>49949</xdr:rowOff>
    </xdr:from>
    <xdr:to>
      <xdr:col>22</xdr:col>
      <xdr:colOff>399261</xdr:colOff>
      <xdr:row>50</xdr:row>
      <xdr:rowOff>163685</xdr:rowOff>
    </xdr:to>
    <xdr:graphicFrame macro="">
      <xdr:nvGraphicFramePr>
        <xdr:cNvPr id="96" name="Gráfico 95">
          <a:extLst>
            <a:ext uri="{FF2B5EF4-FFF2-40B4-BE49-F238E27FC236}">
              <a16:creationId xmlns:a16="http://schemas.microsoft.com/office/drawing/2014/main" id="{00000000-0008-0000-02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116320</xdr:colOff>
      <xdr:row>2</xdr:row>
      <xdr:rowOff>180990</xdr:rowOff>
    </xdr:from>
    <xdr:to>
      <xdr:col>16</xdr:col>
      <xdr:colOff>570345</xdr:colOff>
      <xdr:row>4</xdr:row>
      <xdr:rowOff>51956</xdr:rowOff>
    </xdr:to>
    <xdr:grpSp>
      <xdr:nvGrpSpPr>
        <xdr:cNvPr id="12" name="Agrupar 11">
          <a:extLst>
            <a:ext uri="{FF2B5EF4-FFF2-40B4-BE49-F238E27FC236}">
              <a16:creationId xmlns:a16="http://schemas.microsoft.com/office/drawing/2014/main" id="{00000000-0008-0000-0200-00000C000000}"/>
            </a:ext>
          </a:extLst>
        </xdr:cNvPr>
        <xdr:cNvGrpSpPr/>
      </xdr:nvGrpSpPr>
      <xdr:grpSpPr>
        <a:xfrm>
          <a:off x="6764770" y="561990"/>
          <a:ext cx="2778125" cy="251966"/>
          <a:chOff x="8689399" y="579308"/>
          <a:chExt cx="2699062" cy="240420"/>
        </a:xfrm>
      </xdr:grpSpPr>
      <mc:AlternateContent xmlns:mc="http://schemas.openxmlformats.org/markup-compatibility/2006">
        <mc:Choice xmlns:a14="http://schemas.microsoft.com/office/drawing/2010/main" Requires="a14">
          <xdr:sp macro="" textlink="">
            <xdr:nvSpPr>
              <xdr:cNvPr id="5124" name="Drop Down 4"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10132888" y="593437"/>
                <a:ext cx="1255573" cy="204354"/>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113" name="Text Box 10">
            <a:extLst>
              <a:ext uri="{FF2B5EF4-FFF2-40B4-BE49-F238E27FC236}">
                <a16:creationId xmlns:a16="http://schemas.microsoft.com/office/drawing/2014/main" id="{00000000-0008-0000-0200-000071000000}"/>
              </a:ext>
            </a:extLst>
          </xdr:cNvPr>
          <xdr:cNvSpPr txBox="1">
            <a:spLocks noChangeArrowheads="1"/>
          </xdr:cNvSpPr>
        </xdr:nvSpPr>
        <xdr:spPr bwMode="auto">
          <a:xfrm>
            <a:off x="8689399" y="579308"/>
            <a:ext cx="1387009" cy="240420"/>
          </a:xfrm>
          <a:prstGeom prst="rect">
            <a:avLst/>
          </a:prstGeom>
          <a:solidFill>
            <a:srgbClr val="FFE600"/>
          </a:solidFill>
          <a:ln w="9525">
            <a:solidFill>
              <a:srgbClr val="000000"/>
            </a:solidFill>
            <a:miter lim="800000"/>
            <a:headEnd/>
            <a:tailEnd/>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tx2">
                    <a:lumMod val="75000"/>
                  </a:schemeClr>
                </a:solidFill>
                <a:latin typeface="+mn-lt"/>
              </a:rPr>
              <a:t>Selecione uma opção:</a:t>
            </a:r>
            <a:endParaRPr lang="en-US" altLang="pt-PT" sz="1200" b="1">
              <a:solidFill>
                <a:schemeClr val="tx2">
                  <a:lumMod val="75000"/>
                </a:schemeClr>
              </a:solidFill>
              <a:latin typeface="Arial" charset="0"/>
            </a:endParaRPr>
          </a:p>
        </xdr:txBody>
      </xdr:sp>
    </xdr:grpSp>
    <xdr:clientData/>
  </xdr:twoCellAnchor>
  <xdr:twoCellAnchor>
    <xdr:from>
      <xdr:col>8</xdr:col>
      <xdr:colOff>128061</xdr:colOff>
      <xdr:row>4</xdr:row>
      <xdr:rowOff>154710</xdr:rowOff>
    </xdr:from>
    <xdr:to>
      <xdr:col>15</xdr:col>
      <xdr:colOff>228336</xdr:colOff>
      <xdr:row>9</xdr:row>
      <xdr:rowOff>38100</xdr:rowOff>
    </xdr:to>
    <xdr:sp macro="" textlink="q1_q2_q5_q6_Fig!$R$62">
      <xdr:nvSpPr>
        <xdr:cNvPr id="67" name="CaixaDeTexto 66">
          <a:extLst>
            <a:ext uri="{FF2B5EF4-FFF2-40B4-BE49-F238E27FC236}">
              <a16:creationId xmlns:a16="http://schemas.microsoft.com/office/drawing/2014/main" id="{00000000-0008-0000-0200-000043000000}"/>
            </a:ext>
          </a:extLst>
        </xdr:cNvPr>
        <xdr:cNvSpPr txBox="1"/>
      </xdr:nvSpPr>
      <xdr:spPr>
        <a:xfrm>
          <a:off x="4869394" y="888488"/>
          <a:ext cx="4185442" cy="81472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fld id="{96BA8799-5AEB-48FE-A345-32827F783336}" type="TxLink">
            <a:rPr lang="en-US" sz="900" b="0" i="0" u="none" strike="noStrike">
              <a:solidFill>
                <a:srgbClr val="000000"/>
              </a:solidFill>
              <a:effectLst/>
              <a:latin typeface="+mn-lt"/>
              <a:cs typeface="Arial"/>
            </a:rPr>
            <a:pPr eaLnBrk="1" fontAlgn="auto" latinLnBrk="0" hangingPunct="1"/>
            <a:t>3 CAE com mais Empresas:
2014: G - Com. por grosso e ret. (…) (27,5%); C - Ind. transf. (12,2%); I - Aloj., rest. e sim. (11,5%).
2024: G - Com. por grosso e ret. (…) (23,4%); F - Construção (12,3%); I - Aloj., rest. e sim. (12,3%).</a:t>
          </a:fld>
          <a:endParaRPr lang="en-US" sz="900" b="1" i="0" u="none" strike="noStrike">
            <a:solidFill>
              <a:srgbClr val="17375E"/>
            </a:solidFill>
            <a:latin typeface="+mn-lt"/>
            <a:cs typeface="Calibri"/>
          </a:endParaRPr>
        </a:p>
      </xdr:txBody>
    </xdr:sp>
    <xdr:clientData/>
  </xdr:twoCellAnchor>
  <xdr:twoCellAnchor>
    <xdr:from>
      <xdr:col>8</xdr:col>
      <xdr:colOff>187898</xdr:colOff>
      <xdr:row>30</xdr:row>
      <xdr:rowOff>2471</xdr:rowOff>
    </xdr:from>
    <xdr:to>
      <xdr:col>15</xdr:col>
      <xdr:colOff>382498</xdr:colOff>
      <xdr:row>34</xdr:row>
      <xdr:rowOff>57871</xdr:rowOff>
    </xdr:to>
    <xdr:sp macro="" textlink="q11_q13_q15_q17_Fig!$R$62">
      <xdr:nvSpPr>
        <xdr:cNvPr id="68" name="CaixaDeTexto 67">
          <a:extLst>
            <a:ext uri="{FF2B5EF4-FFF2-40B4-BE49-F238E27FC236}">
              <a16:creationId xmlns:a16="http://schemas.microsoft.com/office/drawing/2014/main" id="{00000000-0008-0000-0200-000044000000}"/>
            </a:ext>
          </a:extLst>
        </xdr:cNvPr>
        <xdr:cNvSpPr txBox="1"/>
      </xdr:nvSpPr>
      <xdr:spPr>
        <a:xfrm>
          <a:off x="4912298" y="5552371"/>
          <a:ext cx="4284000" cy="792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F28CE3A0-BFCF-4FEC-9E8B-546D80A6E85B}" type="TxLink">
            <a:rPr lang="en-US" sz="900" b="0" i="0" u="none" strike="noStrike" baseline="0">
              <a:solidFill>
                <a:srgbClr val="000000"/>
              </a:solidFill>
              <a:effectLst/>
              <a:latin typeface="+mn-lt"/>
              <a:ea typeface="+mn-ea"/>
              <a:cs typeface="Arial"/>
            </a:rPr>
            <a:pPr marL="0" marR="0" lvl="0" indent="0" algn="l" defTabSz="914400" eaLnBrk="1" fontAlgn="auto" latinLnBrk="0" hangingPunct="1">
              <a:lnSpc>
                <a:spcPct val="100000"/>
              </a:lnSpc>
              <a:spcBef>
                <a:spcPts val="0"/>
              </a:spcBef>
              <a:spcAft>
                <a:spcPts val="0"/>
              </a:spcAft>
              <a:buClrTx/>
              <a:buSzTx/>
              <a:buFontTx/>
              <a:buNone/>
              <a:tabLst/>
              <a:defRPr/>
            </a:pPr>
            <a:t>3 CAE com mais TCO:
2014: C - Ind. transf. (22,7%); G - Com. por grosso e ret. (…) (18,9%); N - Ativ. Admin. e dos serv. apoio (9,7%).
2024: C - Ind. transf. (19,1%); G - Com. por grosso e ret. (…) (17,4%); N - Ativ. Admin. e dos serv. apoio (9,7%).</a:t>
          </a:fld>
          <a:endParaRPr lang="en-US" sz="900" b="0" baseline="0">
            <a:solidFill>
              <a:schemeClr val="dk1"/>
            </a:solidFill>
            <a:effectLst/>
            <a:latin typeface="+mn-lt"/>
            <a:ea typeface="+mn-ea"/>
            <a:cs typeface="+mn-cs"/>
          </a:endParaRPr>
        </a:p>
      </xdr:txBody>
    </xdr:sp>
    <xdr:clientData/>
  </xdr:twoCellAnchor>
  <xdr:twoCellAnchor>
    <xdr:from>
      <xdr:col>0</xdr:col>
      <xdr:colOff>24823</xdr:colOff>
      <xdr:row>10</xdr:row>
      <xdr:rowOff>157596</xdr:rowOff>
    </xdr:from>
    <xdr:to>
      <xdr:col>8</xdr:col>
      <xdr:colOff>198005</xdr:colOff>
      <xdr:row>27</xdr:row>
      <xdr:rowOff>174914</xdr:rowOff>
    </xdr:to>
    <xdr:grpSp>
      <xdr:nvGrpSpPr>
        <xdr:cNvPr id="72" name="Agrupar 71">
          <a:extLst>
            <a:ext uri="{FF2B5EF4-FFF2-40B4-BE49-F238E27FC236}">
              <a16:creationId xmlns:a16="http://schemas.microsoft.com/office/drawing/2014/main" id="{00000000-0008-0000-0200-000048000000}"/>
            </a:ext>
          </a:extLst>
        </xdr:cNvPr>
        <xdr:cNvGrpSpPr/>
      </xdr:nvGrpSpPr>
      <xdr:grpSpPr>
        <a:xfrm>
          <a:off x="24823" y="2062596"/>
          <a:ext cx="4668982" cy="3255818"/>
          <a:chOff x="36040924" y="8426450"/>
          <a:chExt cx="4819650" cy="2597244"/>
        </a:xfrm>
      </xdr:grpSpPr>
      <xdr:graphicFrame macro="">
        <xdr:nvGraphicFramePr>
          <xdr:cNvPr id="73" name="Gráfico 72">
            <a:extLst>
              <a:ext uri="{FF2B5EF4-FFF2-40B4-BE49-F238E27FC236}">
                <a16:creationId xmlns:a16="http://schemas.microsoft.com/office/drawing/2014/main" id="{00000000-0008-0000-0200-000049000000}"/>
              </a:ext>
            </a:extLst>
          </xdr:cNvPr>
          <xdr:cNvGraphicFramePr>
            <a:graphicFrameLocks/>
          </xdr:cNvGraphicFramePr>
        </xdr:nvGraphicFramePr>
        <xdr:xfrm>
          <a:off x="36040924" y="8426450"/>
          <a:ext cx="4819650" cy="2597244"/>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75" name="CaixaDeTexto 74">
            <a:extLst>
              <a:ext uri="{FF2B5EF4-FFF2-40B4-BE49-F238E27FC236}">
                <a16:creationId xmlns:a16="http://schemas.microsoft.com/office/drawing/2014/main" id="{00000000-0008-0000-0200-00004B000000}"/>
              </a:ext>
            </a:extLst>
          </xdr:cNvPr>
          <xdr:cNvSpPr txBox="1"/>
        </xdr:nvSpPr>
        <xdr:spPr>
          <a:xfrm>
            <a:off x="39425587" y="9090837"/>
            <a:ext cx="976378"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Empresas</a:t>
            </a:r>
          </a:p>
        </xdr:txBody>
      </xdr:sp>
      <xdr:sp macro="" textlink="">
        <xdr:nvSpPr>
          <xdr:cNvPr id="76" name="CaixaDeTexto 75">
            <a:extLst>
              <a:ext uri="{FF2B5EF4-FFF2-40B4-BE49-F238E27FC236}">
                <a16:creationId xmlns:a16="http://schemas.microsoft.com/office/drawing/2014/main" id="{00000000-0008-0000-0200-00004C000000}"/>
              </a:ext>
            </a:extLst>
          </xdr:cNvPr>
          <xdr:cNvSpPr txBox="1"/>
        </xdr:nvSpPr>
        <xdr:spPr>
          <a:xfrm>
            <a:off x="39437830" y="9814607"/>
            <a:ext cx="974547"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Estabelecimentos</a:t>
            </a:r>
          </a:p>
        </xdr:txBody>
      </xdr:sp>
      <xdr:sp macro="" textlink="q1_q2_q5_q6_Fig!$BH$5">
        <xdr:nvSpPr>
          <xdr:cNvPr id="77" name="CaixaDeTexto 76">
            <a:extLst>
              <a:ext uri="{FF2B5EF4-FFF2-40B4-BE49-F238E27FC236}">
                <a16:creationId xmlns:a16="http://schemas.microsoft.com/office/drawing/2014/main" id="{00000000-0008-0000-0200-00004D000000}"/>
              </a:ext>
            </a:extLst>
          </xdr:cNvPr>
          <xdr:cNvSpPr txBox="1"/>
        </xdr:nvSpPr>
        <xdr:spPr>
          <a:xfrm>
            <a:off x="39438920" y="10117573"/>
            <a:ext cx="976378" cy="2592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B3BF183-0A7B-4E9A-9519-4413FAA583EA}" type="TxLink">
              <a:rPr lang="en-US" sz="1000" b="1" i="0" u="none" strike="noStrike">
                <a:solidFill>
                  <a:schemeClr val="bg1"/>
                </a:solidFill>
                <a:latin typeface="Arial"/>
                <a:ea typeface="+mn-ea"/>
                <a:cs typeface="Arial"/>
              </a:rPr>
              <a:pPr marL="0" indent="0" algn="ctr"/>
              <a:t>6,0%</a:t>
            </a:fld>
            <a:endParaRPr lang="pt-PT" sz="1000" b="1" i="0" u="none" strike="noStrike">
              <a:solidFill>
                <a:schemeClr val="bg1"/>
              </a:solidFill>
              <a:latin typeface="+mn-lt"/>
              <a:ea typeface="+mn-ea"/>
              <a:cs typeface="Arial"/>
            </a:endParaRPr>
          </a:p>
        </xdr:txBody>
      </xdr:sp>
      <xdr:sp macro="" textlink="q1_q2_q5_q6_Fig!$BH$4">
        <xdr:nvSpPr>
          <xdr:cNvPr id="78" name="CaixaDeTexto 77">
            <a:extLst>
              <a:ext uri="{FF2B5EF4-FFF2-40B4-BE49-F238E27FC236}">
                <a16:creationId xmlns:a16="http://schemas.microsoft.com/office/drawing/2014/main" id="{00000000-0008-0000-0200-00004E000000}"/>
              </a:ext>
            </a:extLst>
          </xdr:cNvPr>
          <xdr:cNvSpPr txBox="1"/>
        </xdr:nvSpPr>
        <xdr:spPr>
          <a:xfrm>
            <a:off x="39428763" y="9383789"/>
            <a:ext cx="976378" cy="259200"/>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9C7EAD2-6A40-48E9-B770-012A6C6E2AEE}" type="TxLink">
              <a:rPr lang="en-US" sz="1000" b="1" i="0" u="none" strike="noStrike">
                <a:solidFill>
                  <a:schemeClr val="bg1"/>
                </a:solidFill>
                <a:latin typeface="Arial"/>
                <a:cs typeface="Arial"/>
              </a:rPr>
              <a:pPr algn="ctr"/>
              <a:t>6,9%</a:t>
            </a:fld>
            <a:endParaRPr lang="pt-PT" sz="1000" b="1">
              <a:solidFill>
                <a:schemeClr val="bg1"/>
              </a:solidFill>
              <a:latin typeface="+mn-lt"/>
            </a:endParaRPr>
          </a:p>
        </xdr:txBody>
      </xdr:sp>
    </xdr:grpSp>
    <xdr:clientData/>
  </xdr:twoCellAnchor>
  <xdr:twoCellAnchor>
    <xdr:from>
      <xdr:col>15</xdr:col>
      <xdr:colOff>601140</xdr:colOff>
      <xdr:row>4</xdr:row>
      <xdr:rowOff>169238</xdr:rowOff>
    </xdr:from>
    <xdr:to>
      <xdr:col>22</xdr:col>
      <xdr:colOff>529965</xdr:colOff>
      <xdr:row>8</xdr:row>
      <xdr:rowOff>163238</xdr:rowOff>
    </xdr:to>
    <xdr:sp macro="" textlink="q1_q2_q5_q6_Fig!$R$110">
      <xdr:nvSpPr>
        <xdr:cNvPr id="44" name="CaixaDeTexto 43">
          <a:extLst>
            <a:ext uri="{FF2B5EF4-FFF2-40B4-BE49-F238E27FC236}">
              <a16:creationId xmlns:a16="http://schemas.microsoft.com/office/drawing/2014/main" id="{00000000-0008-0000-0200-00002C000000}"/>
            </a:ext>
          </a:extLst>
        </xdr:cNvPr>
        <xdr:cNvSpPr txBox="1"/>
      </xdr:nvSpPr>
      <xdr:spPr>
        <a:xfrm>
          <a:off x="9427640" y="903016"/>
          <a:ext cx="4176269" cy="73483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fld id="{B0EE5A97-A150-42F4-9B53-DA5174FCEFEF}" type="TxLink">
            <a:rPr lang="en-US" sz="900" b="0" i="0" u="none" strike="noStrike">
              <a:solidFill>
                <a:srgbClr val="000000"/>
              </a:solidFill>
              <a:latin typeface="+mn-lt"/>
              <a:cs typeface="Arial"/>
            </a:rPr>
            <a:pPr eaLnBrk="1" fontAlgn="auto" latinLnBrk="0" hangingPunct="1"/>
            <a:t>Entre 2014 e 2024:
Micro e Pequenas empresas representam cerca de 97% das estruturas;
Micro empresas (1-9 pessoas): entre 81,2% (2024) e 85,0% (2014) ;
Pequenas empresas (10 - 49 pessoas): entre 12,5% (2014) e 15,5% (2024).</a:t>
          </a:fld>
          <a:endParaRPr lang="en-US" sz="900" b="1" i="0" u="none" strike="noStrike">
            <a:solidFill>
              <a:srgbClr val="17375E"/>
            </a:solidFill>
            <a:latin typeface="+mn-lt"/>
            <a:cs typeface="Calibri"/>
          </a:endParaRPr>
        </a:p>
      </xdr:txBody>
    </xdr:sp>
    <xdr:clientData/>
  </xdr:twoCellAnchor>
  <xdr:twoCellAnchor>
    <xdr:from>
      <xdr:col>0</xdr:col>
      <xdr:colOff>92364</xdr:colOff>
      <xdr:row>35</xdr:row>
      <xdr:rowOff>98137</xdr:rowOff>
    </xdr:from>
    <xdr:to>
      <xdr:col>8</xdr:col>
      <xdr:colOff>267019</xdr:colOff>
      <xdr:row>52</xdr:row>
      <xdr:rowOff>125773</xdr:rowOff>
    </xdr:to>
    <xdr:grpSp>
      <xdr:nvGrpSpPr>
        <xdr:cNvPr id="45" name="Agrupar 44">
          <a:extLst>
            <a:ext uri="{FF2B5EF4-FFF2-40B4-BE49-F238E27FC236}">
              <a16:creationId xmlns:a16="http://schemas.microsoft.com/office/drawing/2014/main" id="{00000000-0008-0000-0200-00002D000000}"/>
            </a:ext>
          </a:extLst>
        </xdr:cNvPr>
        <xdr:cNvGrpSpPr/>
      </xdr:nvGrpSpPr>
      <xdr:grpSpPr>
        <a:xfrm>
          <a:off x="92364" y="6765637"/>
          <a:ext cx="4670455" cy="3266136"/>
          <a:chOff x="36182300" y="8426450"/>
          <a:chExt cx="4819650" cy="2597244"/>
        </a:xfrm>
      </xdr:grpSpPr>
      <xdr:graphicFrame macro="">
        <xdr:nvGraphicFramePr>
          <xdr:cNvPr id="46" name="Gráfico 45">
            <a:extLst>
              <a:ext uri="{FF2B5EF4-FFF2-40B4-BE49-F238E27FC236}">
                <a16:creationId xmlns:a16="http://schemas.microsoft.com/office/drawing/2014/main" id="{00000000-0008-0000-0200-00002E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47" name="CaixaDeTexto 46">
            <a:extLst>
              <a:ext uri="{FF2B5EF4-FFF2-40B4-BE49-F238E27FC236}">
                <a16:creationId xmlns:a16="http://schemas.microsoft.com/office/drawing/2014/main" id="{00000000-0008-0000-0200-00002F000000}"/>
              </a:ext>
            </a:extLst>
          </xdr:cNvPr>
          <xdr:cNvSpPr txBox="1"/>
        </xdr:nvSpPr>
        <xdr:spPr>
          <a:xfrm>
            <a:off x="39514016" y="9085960"/>
            <a:ext cx="977045" cy="257646"/>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Pessoas ao serviço</a:t>
            </a:r>
          </a:p>
        </xdr:txBody>
      </xdr:sp>
      <xdr:sp macro="" textlink="">
        <xdr:nvSpPr>
          <xdr:cNvPr id="48" name="CaixaDeTexto 47">
            <a:extLst>
              <a:ext uri="{FF2B5EF4-FFF2-40B4-BE49-F238E27FC236}">
                <a16:creationId xmlns:a16="http://schemas.microsoft.com/office/drawing/2014/main" id="{00000000-0008-0000-0200-000030000000}"/>
              </a:ext>
            </a:extLst>
          </xdr:cNvPr>
          <xdr:cNvSpPr txBox="1"/>
        </xdr:nvSpPr>
        <xdr:spPr>
          <a:xfrm>
            <a:off x="39530506" y="9886770"/>
            <a:ext cx="977045" cy="257646"/>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TCO</a:t>
            </a:r>
          </a:p>
        </xdr:txBody>
      </xdr:sp>
      <xdr:sp macro="" textlink="q11_q13_q15_q17_Fig!$BH$5">
        <xdr:nvSpPr>
          <xdr:cNvPr id="49" name="CaixaDeTexto 48">
            <a:extLst>
              <a:ext uri="{FF2B5EF4-FFF2-40B4-BE49-F238E27FC236}">
                <a16:creationId xmlns:a16="http://schemas.microsoft.com/office/drawing/2014/main" id="{00000000-0008-0000-0200-000031000000}"/>
              </a:ext>
            </a:extLst>
          </xdr:cNvPr>
          <xdr:cNvSpPr txBox="1"/>
        </xdr:nvSpPr>
        <xdr:spPr>
          <a:xfrm>
            <a:off x="39525173" y="10159489"/>
            <a:ext cx="977045" cy="257646"/>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CB4B404-2108-4C4D-A04B-A6D5F7F0544E}" type="TxLink">
              <a:rPr lang="en-US" sz="1000" b="1" i="0" u="none" strike="noStrike">
                <a:solidFill>
                  <a:schemeClr val="bg1"/>
                </a:solidFill>
                <a:latin typeface="Arial"/>
                <a:ea typeface="+mn-ea"/>
                <a:cs typeface="Arial"/>
              </a:rPr>
              <a:pPr marL="0" indent="0" algn="ctr"/>
              <a:t>36,4%</a:t>
            </a:fld>
            <a:endParaRPr lang="pt-PT" sz="1000" b="1" i="0" u="none" strike="noStrike">
              <a:solidFill>
                <a:schemeClr val="bg1"/>
              </a:solidFill>
              <a:latin typeface="+mn-lt"/>
              <a:ea typeface="+mn-ea"/>
              <a:cs typeface="Arial"/>
            </a:endParaRPr>
          </a:p>
        </xdr:txBody>
      </xdr:sp>
      <xdr:sp macro="" textlink="q11_q13_q15_q17_Fig!$BH$4">
        <xdr:nvSpPr>
          <xdr:cNvPr id="50" name="CaixaDeTexto 49">
            <a:extLst>
              <a:ext uri="{FF2B5EF4-FFF2-40B4-BE49-F238E27FC236}">
                <a16:creationId xmlns:a16="http://schemas.microsoft.com/office/drawing/2014/main" id="{00000000-0008-0000-0200-000032000000}"/>
              </a:ext>
            </a:extLst>
          </xdr:cNvPr>
          <xdr:cNvSpPr txBox="1"/>
        </xdr:nvSpPr>
        <xdr:spPr>
          <a:xfrm>
            <a:off x="39527026" y="9368566"/>
            <a:ext cx="977045" cy="25764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14234B1-07DF-4947-B48B-976B47D35BDC}" type="TxLink">
              <a:rPr lang="en-US" sz="1000" b="1" i="0" u="none" strike="noStrike">
                <a:solidFill>
                  <a:schemeClr val="bg1"/>
                </a:solidFill>
                <a:latin typeface="Arial"/>
                <a:cs typeface="Arial"/>
              </a:rPr>
              <a:pPr algn="ctr"/>
              <a:t>34,4%</a:t>
            </a:fld>
            <a:endParaRPr lang="pt-PT" sz="1000" b="1">
              <a:solidFill>
                <a:schemeClr val="bg1"/>
              </a:solidFill>
              <a:latin typeface="+mn-lt"/>
            </a:endParaRPr>
          </a:p>
        </xdr:txBody>
      </xdr:sp>
    </xdr:grpSp>
    <xdr:clientData/>
  </xdr:twoCellAnchor>
  <xdr:twoCellAnchor>
    <xdr:from>
      <xdr:col>0</xdr:col>
      <xdr:colOff>27383</xdr:colOff>
      <xdr:row>27</xdr:row>
      <xdr:rowOff>80564</xdr:rowOff>
    </xdr:from>
    <xdr:to>
      <xdr:col>22</xdr:col>
      <xdr:colOff>557483</xdr:colOff>
      <xdr:row>28</xdr:row>
      <xdr:rowOff>186003</xdr:rowOff>
    </xdr:to>
    <xdr:grpSp>
      <xdr:nvGrpSpPr>
        <xdr:cNvPr id="51" name="Agrupar 50">
          <a:extLst>
            <a:ext uri="{FF2B5EF4-FFF2-40B4-BE49-F238E27FC236}">
              <a16:creationId xmlns:a16="http://schemas.microsoft.com/office/drawing/2014/main" id="{00000000-0008-0000-0200-000033000000}"/>
            </a:ext>
          </a:extLst>
        </xdr:cNvPr>
        <xdr:cNvGrpSpPr/>
      </xdr:nvGrpSpPr>
      <xdr:grpSpPr>
        <a:xfrm>
          <a:off x="27383" y="5224064"/>
          <a:ext cx="12988800" cy="295939"/>
          <a:chOff x="0" y="3905035"/>
          <a:chExt cx="13591566" cy="304035"/>
        </a:xfrm>
      </xdr:grpSpPr>
      <xdr:grpSp>
        <xdr:nvGrpSpPr>
          <xdr:cNvPr id="52" name="Agrupar 51">
            <a:extLst>
              <a:ext uri="{FF2B5EF4-FFF2-40B4-BE49-F238E27FC236}">
                <a16:creationId xmlns:a16="http://schemas.microsoft.com/office/drawing/2014/main" id="{00000000-0008-0000-0200-000034000000}"/>
              </a:ext>
            </a:extLst>
          </xdr:cNvPr>
          <xdr:cNvGrpSpPr/>
        </xdr:nvGrpSpPr>
        <xdr:grpSpPr>
          <a:xfrm>
            <a:off x="0" y="3905035"/>
            <a:ext cx="13591566" cy="304035"/>
            <a:chOff x="230187" y="612160"/>
            <a:chExt cx="5846763" cy="499090"/>
          </a:xfrm>
        </xdr:grpSpPr>
        <xdr:sp macro="" textlink="">
          <xdr:nvSpPr>
            <xdr:cNvPr id="56" name="Rectangle 3">
              <a:extLst>
                <a:ext uri="{FF2B5EF4-FFF2-40B4-BE49-F238E27FC236}">
                  <a16:creationId xmlns:a16="http://schemas.microsoft.com/office/drawing/2014/main" id="{00000000-0008-0000-0200-000038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61" name="Text Box 10">
              <a:extLst>
                <a:ext uri="{FF2B5EF4-FFF2-40B4-BE49-F238E27FC236}">
                  <a16:creationId xmlns:a16="http://schemas.microsoft.com/office/drawing/2014/main" id="{00000000-0008-0000-0200-00003D000000}"/>
                </a:ext>
              </a:extLst>
            </xdr:cNvPr>
            <xdr:cNvSpPr txBox="1">
              <a:spLocks noChangeArrowheads="1"/>
            </xdr:cNvSpPr>
          </xdr:nvSpPr>
          <xdr:spPr bwMode="auto">
            <a:xfrm>
              <a:off x="273050" y="612160"/>
              <a:ext cx="805289" cy="415292"/>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Pessoas ao serviço e TCO</a:t>
              </a:r>
            </a:p>
          </xdr:txBody>
        </xdr:sp>
      </xdr:grpSp>
      <xdr:grpSp>
        <xdr:nvGrpSpPr>
          <xdr:cNvPr id="53" name="Agrupar 52">
            <a:extLst>
              <a:ext uri="{FF2B5EF4-FFF2-40B4-BE49-F238E27FC236}">
                <a16:creationId xmlns:a16="http://schemas.microsoft.com/office/drawing/2014/main" id="{00000000-0008-0000-0200-000035000000}"/>
              </a:ext>
            </a:extLst>
          </xdr:cNvPr>
          <xdr:cNvGrpSpPr/>
        </xdr:nvGrpSpPr>
        <xdr:grpSpPr>
          <a:xfrm>
            <a:off x="7195260" y="3946443"/>
            <a:ext cx="2821167" cy="222758"/>
            <a:chOff x="5945143" y="4242122"/>
            <a:chExt cx="2688257" cy="235546"/>
          </a:xfrm>
        </xdr:grpSpPr>
        <mc:AlternateContent xmlns:mc="http://schemas.openxmlformats.org/markup-compatibility/2006">
          <mc:Choice xmlns:a14="http://schemas.microsoft.com/office/drawing/2010/main" Requires="a14">
            <xdr:sp macro="" textlink="">
              <xdr:nvSpPr>
                <xdr:cNvPr id="5125" name="Drop Down 5" hidden="1">
                  <a:extLst>
                    <a:ext uri="{63B3BB69-23CF-44E3-9099-C40C66FF867C}">
                      <a14:compatExt spid="_x0000_s5125"/>
                    </a:ext>
                    <a:ext uri="{FF2B5EF4-FFF2-40B4-BE49-F238E27FC236}">
                      <a16:creationId xmlns:a16="http://schemas.microsoft.com/office/drawing/2014/main" id="{00000000-0008-0000-0200-000005140000}"/>
                    </a:ext>
                  </a:extLst>
                </xdr:cNvPr>
                <xdr:cNvSpPr/>
              </xdr:nvSpPr>
              <xdr:spPr bwMode="auto">
                <a:xfrm>
                  <a:off x="7393138" y="4254325"/>
                  <a:ext cx="1240262" cy="203873"/>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55" name="Text Box 10">
              <a:extLst>
                <a:ext uri="{FF2B5EF4-FFF2-40B4-BE49-F238E27FC236}">
                  <a16:creationId xmlns:a16="http://schemas.microsoft.com/office/drawing/2014/main" id="{00000000-0008-0000-0200-000037000000}"/>
                </a:ext>
              </a:extLst>
            </xdr:cNvPr>
            <xdr:cNvSpPr txBox="1">
              <a:spLocks noChangeArrowheads="1"/>
            </xdr:cNvSpPr>
          </xdr:nvSpPr>
          <xdr:spPr bwMode="auto">
            <a:xfrm>
              <a:off x="5945143" y="4242122"/>
              <a:ext cx="1421051" cy="235546"/>
            </a:xfrm>
            <a:prstGeom prst="rect">
              <a:avLst/>
            </a:prstGeom>
            <a:solidFill>
              <a:srgbClr val="FFE600"/>
            </a:solidFill>
            <a:ln w="9525">
              <a:solidFill>
                <a:srgbClr val="000000"/>
              </a:solidFill>
              <a:miter lim="800000"/>
              <a:headEnd/>
              <a:tailEnd/>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tx2">
                      <a:lumMod val="75000"/>
                    </a:schemeClr>
                  </a:solidFill>
                  <a:latin typeface="+mn-lt"/>
                </a:rPr>
                <a:t>Selecione uma opção:</a:t>
              </a:r>
              <a:endParaRPr lang="en-US" altLang="pt-PT" sz="1200" b="1">
                <a:solidFill>
                  <a:schemeClr val="tx2">
                    <a:lumMod val="75000"/>
                  </a:schemeClr>
                </a:solidFill>
                <a:latin typeface="Arial" charset="0"/>
              </a:endParaRPr>
            </a:p>
          </xdr:txBody>
        </xdr:sp>
      </xdr:grpSp>
    </xdr:grpSp>
    <xdr:clientData/>
  </xdr:twoCellAnchor>
  <xdr:twoCellAnchor>
    <xdr:from>
      <xdr:col>15</xdr:col>
      <xdr:colOff>470475</xdr:colOff>
      <xdr:row>29</xdr:row>
      <xdr:rowOff>180690</xdr:rowOff>
    </xdr:from>
    <xdr:to>
      <xdr:col>22</xdr:col>
      <xdr:colOff>487275</xdr:colOff>
      <xdr:row>34</xdr:row>
      <xdr:rowOff>51940</xdr:rowOff>
    </xdr:to>
    <xdr:sp macro="" textlink="q11_q13_q15_q17_Fig!$R$110">
      <xdr:nvSpPr>
        <xdr:cNvPr id="62" name="CaixaDeTexto 61">
          <a:extLst>
            <a:ext uri="{FF2B5EF4-FFF2-40B4-BE49-F238E27FC236}">
              <a16:creationId xmlns:a16="http://schemas.microsoft.com/office/drawing/2014/main" id="{00000000-0008-0000-0200-00003E000000}"/>
            </a:ext>
          </a:extLst>
        </xdr:cNvPr>
        <xdr:cNvSpPr txBox="1"/>
      </xdr:nvSpPr>
      <xdr:spPr>
        <a:xfrm>
          <a:off x="9284275" y="5546440"/>
          <a:ext cx="4284000" cy="792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B6EB5655-C640-488E-84BF-C9F5455959BF}" type="TxLink">
            <a:rPr lang="en-US" sz="900" b="0" i="0" u="none" strike="noStrike" baseline="0">
              <a:solidFill>
                <a:srgbClr val="000000"/>
              </a:solidFill>
              <a:effectLst/>
              <a:latin typeface="+mn-lt"/>
              <a:ea typeface="+mn-ea"/>
              <a:cs typeface="Arial"/>
            </a:rPr>
            <a:pPr marL="0" marR="0" lvl="0" indent="0" algn="l" defTabSz="914400" eaLnBrk="1" fontAlgn="auto" latinLnBrk="0" hangingPunct="1">
              <a:lnSpc>
                <a:spcPct val="100000"/>
              </a:lnSpc>
              <a:spcBef>
                <a:spcPts val="0"/>
              </a:spcBef>
              <a:spcAft>
                <a:spcPts val="0"/>
              </a:spcAft>
              <a:buClrTx/>
              <a:buSzTx/>
              <a:buFontTx/>
              <a:buNone/>
              <a:tabLst/>
              <a:defRPr/>
            </a:pPr>
            <a:t>Entre 2014 e 2024:
Micro e Pequenos estabelecimentos têm ao serviço mais de 52% dos TCO (entre 52,1% em 2024, e 57,6% em 2014);
Micro estabelecimentos: entre 21,5% (2024)  e 27,0% (2014);
Pequenos estabelecimentos: entre 30,5% (2016)  e 30,8% (2023).</a:t>
          </a:fld>
          <a:endParaRPr lang="en-US" sz="900" b="0" baseline="0">
            <a:solidFill>
              <a:schemeClr val="dk1"/>
            </a:solidFill>
            <a:effectLst/>
            <a:latin typeface="+mn-lt"/>
            <a:ea typeface="+mn-ea"/>
            <a:cs typeface="+mn-cs"/>
          </a:endParaRPr>
        </a:p>
      </xdr:txBody>
    </xdr:sp>
    <xdr:clientData/>
  </xdr:twoCellAnchor>
  <xdr:twoCellAnchor>
    <xdr:from>
      <xdr:col>21</xdr:col>
      <xdr:colOff>19050</xdr:colOff>
      <xdr:row>0</xdr:row>
      <xdr:rowOff>98426</xdr:rowOff>
    </xdr:from>
    <xdr:to>
      <xdr:col>22</xdr:col>
      <xdr:colOff>471541</xdr:colOff>
      <xdr:row>1</xdr:row>
      <xdr:rowOff>145353</xdr:rowOff>
    </xdr:to>
    <xdr:sp macro="" textlink="">
      <xdr:nvSpPr>
        <xdr:cNvPr id="42" name="Text Box 10">
          <a:hlinkClick xmlns:r="http://schemas.openxmlformats.org/officeDocument/2006/relationships" r:id="rId8"/>
          <a:extLst>
            <a:ext uri="{FF2B5EF4-FFF2-40B4-BE49-F238E27FC236}">
              <a16:creationId xmlns:a16="http://schemas.microsoft.com/office/drawing/2014/main" id="{00000000-0008-0000-0200-00002A000000}"/>
            </a:ext>
          </a:extLst>
        </xdr:cNvPr>
        <xdr:cNvSpPr txBox="1">
          <a:spLocks noChangeArrowheads="1"/>
        </xdr:cNvSpPr>
      </xdr:nvSpPr>
      <xdr:spPr bwMode="auto">
        <a:xfrm>
          <a:off x="11896725" y="98426"/>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twoCellAnchor>
    <xdr:from>
      <xdr:col>0</xdr:col>
      <xdr:colOff>169334</xdr:colOff>
      <xdr:row>4</xdr:row>
      <xdr:rowOff>134055</xdr:rowOff>
    </xdr:from>
    <xdr:to>
      <xdr:col>7</xdr:col>
      <xdr:colOff>73817</xdr:colOff>
      <xdr:row>8</xdr:row>
      <xdr:rowOff>39105</xdr:rowOff>
    </xdr:to>
    <xdr:sp macro="" textlink="">
      <xdr:nvSpPr>
        <xdr:cNvPr id="43" name="CaixaDeTexto 42">
          <a:extLst>
            <a:ext uri="{FF2B5EF4-FFF2-40B4-BE49-F238E27FC236}">
              <a16:creationId xmlns:a16="http://schemas.microsoft.com/office/drawing/2014/main" id="{00000000-0008-0000-0200-00002B000000}"/>
            </a:ext>
          </a:extLst>
        </xdr:cNvPr>
        <xdr:cNvSpPr txBox="1"/>
      </xdr:nvSpPr>
      <xdr:spPr>
        <a:xfrm>
          <a:off x="169334" y="870655"/>
          <a:ext cx="4038333" cy="648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900" b="1" u="sng" baseline="0">
              <a:solidFill>
                <a:schemeClr val="dk1"/>
              </a:solidFill>
              <a:effectLst/>
              <a:latin typeface="+mn-lt"/>
              <a:ea typeface="+mn-ea"/>
              <a:cs typeface="+mn-cs"/>
            </a:rPr>
            <a:t>2024:</a:t>
          </a:r>
          <a:r>
            <a:rPr lang="en-US" sz="900" b="1" baseline="0">
              <a:solidFill>
                <a:schemeClr val="dk1"/>
              </a:solidFill>
              <a:effectLst/>
              <a:latin typeface="+mn-lt"/>
              <a:ea typeface="+mn-ea"/>
              <a:cs typeface="+mn-cs"/>
            </a:rPr>
            <a:t>                                                                </a:t>
          </a:r>
          <a:r>
            <a:rPr lang="en-US" sz="900" b="1" u="sng" baseline="0">
              <a:solidFill>
                <a:schemeClr val="dk1"/>
              </a:solidFill>
              <a:effectLst/>
              <a:latin typeface="+mn-lt"/>
              <a:ea typeface="+mn-ea"/>
              <a:cs typeface="+mn-cs"/>
            </a:rPr>
            <a:t>2024 vs. 2023</a:t>
          </a:r>
          <a:r>
            <a:rPr lang="en-US" sz="900" b="1" baseline="0">
              <a:solidFill>
                <a:schemeClr val="dk1"/>
              </a:solidFill>
              <a:effectLst/>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lang="en-US" sz="900" b="0" baseline="0">
              <a:solidFill>
                <a:schemeClr val="dk1"/>
              </a:solidFill>
              <a:effectLst/>
              <a:latin typeface="+mn-lt"/>
              <a:ea typeface="+mn-ea"/>
              <a:cs typeface="+mn-cs"/>
            </a:rPr>
            <a:t>288.773 empresas                                         - 2.489 empresas (-0,9%)</a:t>
          </a:r>
        </a:p>
        <a:p>
          <a:pPr marL="0" marR="0" lvl="0" indent="0" algn="l" defTabSz="914400" eaLnBrk="1" fontAlgn="auto" latinLnBrk="0" hangingPunct="1">
            <a:lnSpc>
              <a:spcPct val="100000"/>
            </a:lnSpc>
            <a:spcBef>
              <a:spcPts val="0"/>
            </a:spcBef>
            <a:spcAft>
              <a:spcPts val="0"/>
            </a:spcAft>
            <a:buClrTx/>
            <a:buSzTx/>
            <a:buFontTx/>
            <a:buNone/>
            <a:tabLst/>
            <a:defRPr/>
          </a:pPr>
          <a:r>
            <a:rPr lang="en-US" sz="900" b="0" baseline="0">
              <a:solidFill>
                <a:schemeClr val="dk1"/>
              </a:solidFill>
              <a:effectLst/>
              <a:latin typeface="+mn-lt"/>
              <a:ea typeface="+mn-ea"/>
              <a:cs typeface="+mn-cs"/>
            </a:rPr>
            <a:t>338.026 estabelecimentos                           - 2.338 estabelecimentos (-0,7%)</a:t>
          </a:r>
        </a:p>
      </xdr:txBody>
    </xdr:sp>
    <xdr:clientData/>
  </xdr:twoCellAnchor>
  <xdr:twoCellAnchor>
    <xdr:from>
      <xdr:col>0</xdr:col>
      <xdr:colOff>303389</xdr:colOff>
      <xdr:row>30</xdr:row>
      <xdr:rowOff>22578</xdr:rowOff>
    </xdr:from>
    <xdr:to>
      <xdr:col>7</xdr:col>
      <xdr:colOff>207872</xdr:colOff>
      <xdr:row>33</xdr:row>
      <xdr:rowOff>118128</xdr:rowOff>
    </xdr:to>
    <xdr:sp macro="" textlink="">
      <xdr:nvSpPr>
        <xdr:cNvPr id="54" name="CaixaDeTexto 53">
          <a:extLst>
            <a:ext uri="{FF2B5EF4-FFF2-40B4-BE49-F238E27FC236}">
              <a16:creationId xmlns:a16="http://schemas.microsoft.com/office/drawing/2014/main" id="{00000000-0008-0000-0200-000036000000}"/>
            </a:ext>
          </a:extLst>
        </xdr:cNvPr>
        <xdr:cNvSpPr txBox="1"/>
      </xdr:nvSpPr>
      <xdr:spPr>
        <a:xfrm>
          <a:off x="303389" y="5572478"/>
          <a:ext cx="4038333" cy="648000"/>
        </a:xfrm>
        <a:prstGeom prst="rect">
          <a:avLst/>
        </a:prstGeom>
        <a:noFill/>
        <a:ln w="28575" cmpd="sng">
          <a:solidFill>
            <a:srgbClr val="4F81BD"/>
          </a:solidFill>
        </a:ln>
        <a:effectLst/>
      </xdr:spPr>
      <xdr:txBody>
        <a:bodyPr vertOverflow="clip" horzOverflow="clip" wrap="square" rtlCol="0" anchor="ctr"/>
        <a:lstStyle/>
        <a:p>
          <a:pPr eaLnBrk="1" fontAlgn="auto" latinLnBrk="0" hangingPunct="1"/>
          <a:r>
            <a:rPr lang="en-US" sz="900" b="1" u="sng" baseline="0">
              <a:effectLst/>
              <a:latin typeface="+mn-lt"/>
              <a:ea typeface="+mn-ea"/>
              <a:cs typeface="+mn-cs"/>
            </a:rPr>
            <a:t>2024:</a:t>
          </a:r>
          <a:r>
            <a:rPr lang="en-US" sz="900" b="1" baseline="0">
              <a:effectLst/>
              <a:latin typeface="+mn-lt"/>
              <a:ea typeface="+mn-ea"/>
              <a:cs typeface="+mn-cs"/>
            </a:rPr>
            <a:t>                                                           </a:t>
          </a:r>
          <a:r>
            <a:rPr lang="en-US" sz="900" b="1" u="sng" baseline="0">
              <a:effectLst/>
              <a:latin typeface="+mn-lt"/>
              <a:ea typeface="+mn-ea"/>
              <a:cs typeface="+mn-cs"/>
            </a:rPr>
            <a:t>2024 vs. 2023</a:t>
          </a:r>
          <a:r>
            <a:rPr lang="en-US" sz="900" b="1" baseline="0">
              <a:effectLst/>
              <a:latin typeface="+mn-lt"/>
              <a:ea typeface="+mn-ea"/>
              <a:cs typeface="+mn-cs"/>
            </a:rPr>
            <a:t>: </a:t>
          </a:r>
        </a:p>
        <a:p>
          <a:pPr eaLnBrk="1" fontAlgn="auto" latinLnBrk="0" hangingPunct="1"/>
          <a:r>
            <a:rPr lang="en-US" sz="900" b="0" baseline="0">
              <a:effectLst/>
              <a:latin typeface="+mn-lt"/>
              <a:ea typeface="+mn-ea"/>
              <a:cs typeface="+mn-cs"/>
            </a:rPr>
            <a:t>3.544.955 pessoas ao serviço               + 55.37 pessoas ao serviço (+ 1,6%)</a:t>
          </a:r>
        </a:p>
        <a:p>
          <a:pPr eaLnBrk="1" fontAlgn="auto" latinLnBrk="0" hangingPunct="1"/>
          <a:r>
            <a:rPr lang="en-US" sz="900" b="0" baseline="0">
              <a:effectLst/>
              <a:latin typeface="+mn-lt"/>
              <a:ea typeface="+mn-ea"/>
              <a:cs typeface="+mn-cs"/>
            </a:rPr>
            <a:t>3.354.136 TCO                                         + 58.002 TCO (+ 1,8%)</a:t>
          </a:r>
        </a:p>
      </xdr:txBody>
    </xdr:sp>
    <xdr:clientData/>
  </xdr:twoCellAnchor>
  <xdr:twoCellAnchor editAs="oneCell">
    <xdr:from>
      <xdr:col>0</xdr:col>
      <xdr:colOff>82550</xdr:colOff>
      <xdr:row>0</xdr:row>
      <xdr:rowOff>50801</xdr:rowOff>
    </xdr:from>
    <xdr:to>
      <xdr:col>1</xdr:col>
      <xdr:colOff>374650</xdr:colOff>
      <xdr:row>2</xdr:row>
      <xdr:rowOff>95251</xdr:rowOff>
    </xdr:to>
    <xdr:pic>
      <xdr:nvPicPr>
        <xdr:cNvPr id="57" name="Imagem 56" descr="Z:\G_EME_INFOESTAT\5_apoio_pedidos\imagens\logoDGCP_pq.png">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2550" y="50801"/>
          <a:ext cx="882650" cy="41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0.7644</cdr:x>
      <cdr:y>0.01741</cdr:y>
    </cdr:from>
    <cdr:to>
      <cdr:x>0.98168</cdr:x>
      <cdr:y>0.10792</cdr:y>
    </cdr:to>
    <cdr:sp macro="" textlink="">
      <cdr:nvSpPr>
        <cdr:cNvPr id="2" name="CaixaDeTexto 1">
          <a:extLst xmlns:a="http://schemas.openxmlformats.org/drawingml/2006/main">
            <a:ext uri="{FF2B5EF4-FFF2-40B4-BE49-F238E27FC236}">
              <a16:creationId xmlns:a16="http://schemas.microsoft.com/office/drawing/2014/main" id="{C1039EE9-AEA0-40B8-AE5B-C8B5A095227E}"/>
            </a:ext>
          </a:extLst>
        </cdr:cNvPr>
        <cdr:cNvSpPr txBox="1"/>
      </cdr:nvSpPr>
      <cdr:spPr>
        <a:xfrm xmlns:a="http://schemas.openxmlformats.org/drawingml/2006/main">
          <a:off x="2781300" y="47625"/>
          <a:ext cx="7905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t-PT" sz="1100"/>
        </a:p>
        <a:p xmlns:a="http://schemas.openxmlformats.org/drawingml/2006/main">
          <a:endParaRPr lang="pt-PT" sz="1100"/>
        </a:p>
      </cdr:txBody>
    </cdr:sp>
  </cdr:relSizeAnchor>
</c:userShapes>
</file>

<file path=xl/drawings/drawing31.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9_13_16_27_28_39_40_E_Fig!$AT$3">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91947" y="16979"/>
          <a:ext cx="370013" cy="510136"/>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487530D-C469-42D2-99C8-D867D33B0AA9}"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0.56493</cdr:x>
      <cdr:y>0.01557</cdr:y>
    </cdr:from>
    <cdr:to>
      <cdr:x>0.6695</cdr:x>
      <cdr:y>0.13273</cdr:y>
    </cdr:to>
    <cdr:sp macro="" textlink="q9_13_16_27_28_39_40_E_Fig!$BD$3">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407453" y="42540"/>
          <a:ext cx="417365" cy="443233"/>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6A548F-78B3-4D72-ADF3-CECE132ACC1D}"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0.74366</cdr:x>
      <cdr:y>0.01779</cdr:y>
    </cdr:from>
    <cdr:to>
      <cdr:x>0.94407</cdr:x>
      <cdr:y>0.1661</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312666" y="-97192"/>
          <a:ext cx="528332" cy="849463"/>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1000" b="1">
              <a:solidFill>
                <a:schemeClr val="bg1"/>
              </a:solidFill>
            </a:rPr>
            <a:t>VARIAÇÃO 2024/2023</a:t>
          </a:r>
        </a:p>
      </cdr:txBody>
    </cdr:sp>
  </cdr:relSizeAnchor>
</c:userShapes>
</file>

<file path=xl/drawings/drawing32.xml><?xml version="1.0" encoding="utf-8"?>
<c:userShapes xmlns:c="http://schemas.openxmlformats.org/drawingml/2006/chart">
  <cdr:relSizeAnchor xmlns:cdr="http://schemas.openxmlformats.org/drawingml/2006/chartDrawing">
    <cdr:from>
      <cdr:x>0.60932</cdr:x>
      <cdr:y>0.10672</cdr:y>
    </cdr:from>
    <cdr:to>
      <cdr:x>0.72061</cdr:x>
      <cdr:y>0.1913</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2060247" y="300258"/>
          <a:ext cx="376296" cy="237966"/>
          <a:chOff x="1963402" y="369817"/>
          <a:chExt cx="468179"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63402"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33.xml><?xml version="1.0" encoding="utf-8"?>
<xdr:wsDr xmlns:xdr="http://schemas.openxmlformats.org/drawingml/2006/spreadsheetDrawing" xmlns:a="http://schemas.openxmlformats.org/drawingml/2006/main">
  <xdr:twoCellAnchor>
    <xdr:from>
      <xdr:col>17</xdr:col>
      <xdr:colOff>101600</xdr:colOff>
      <xdr:row>5</xdr:row>
      <xdr:rowOff>139700</xdr:rowOff>
    </xdr:from>
    <xdr:to>
      <xdr:col>21</xdr:col>
      <xdr:colOff>383116</xdr:colOff>
      <xdr:row>9</xdr:row>
      <xdr:rowOff>35983</xdr:rowOff>
    </xdr:to>
    <xdr:sp macro="" textlink="">
      <xdr:nvSpPr>
        <xdr:cNvPr id="70" name="CaixaDeTexto 69">
          <a:extLst>
            <a:ext uri="{FF2B5EF4-FFF2-40B4-BE49-F238E27FC236}">
              <a16:creationId xmlns:a16="http://schemas.microsoft.com/office/drawing/2014/main" id="{00000000-0008-0000-0A00-000046000000}"/>
            </a:ext>
          </a:extLst>
        </xdr:cNvPr>
        <xdr:cNvSpPr txBox="1"/>
      </xdr:nvSpPr>
      <xdr:spPr>
        <a:xfrm>
          <a:off x="10134600" y="1060450"/>
          <a:ext cx="2719916" cy="645583"/>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800" b="1" i="0" u="none" strike="noStrike">
              <a:solidFill>
                <a:sysClr val="windowText" lastClr="000000"/>
              </a:solidFill>
              <a:latin typeface="+mn-lt"/>
              <a:cs typeface="Calibri"/>
            </a:rPr>
            <a:t>2024 - </a:t>
          </a:r>
          <a:r>
            <a:rPr lang="en-US" sz="800" b="0" i="0" u="sng" strike="noStrike">
              <a:solidFill>
                <a:sysClr val="windowText" lastClr="000000"/>
              </a:solidFill>
              <a:latin typeface="+mn-lt"/>
              <a:cs typeface="Calibri"/>
            </a:rPr>
            <a:t>Proporção de TCO com remuneração Ganho</a:t>
          </a:r>
        </a:p>
        <a:p>
          <a:r>
            <a:rPr lang="en-US" sz="800" b="0" i="0" u="none" strike="noStrike">
              <a:solidFill>
                <a:sysClr val="windowText" lastClr="000000"/>
              </a:solidFill>
              <a:latin typeface="+mn-lt"/>
              <a:cs typeface="Calibri"/>
            </a:rPr>
            <a:t>&gt;= RMMG e  &lt; 1.000 €: 27,2% (-39,3 p.p face a 2014)</a:t>
          </a:r>
        </a:p>
        <a:p>
          <a:r>
            <a:rPr lang="en-US" sz="800" b="0" i="0" u="none" strike="noStrike">
              <a:solidFill>
                <a:sysClr val="windowText" lastClr="000000"/>
              </a:solidFill>
              <a:latin typeface="+mn-lt"/>
              <a:cs typeface="Calibri"/>
            </a:rPr>
            <a:t>= RMMG: 4,0% (-</a:t>
          </a:r>
          <a:r>
            <a:rPr lang="en-US" sz="800" b="0" i="0" u="none" strike="noStrike" baseline="0">
              <a:solidFill>
                <a:sysClr val="windowText" lastClr="000000"/>
              </a:solidFill>
              <a:latin typeface="+mn-lt"/>
              <a:cs typeface="Calibri"/>
            </a:rPr>
            <a:t> 1</a:t>
          </a:r>
          <a:r>
            <a:rPr lang="en-US" sz="800" b="0" i="0" u="none" strike="noStrike">
              <a:solidFill>
                <a:sysClr val="windowText" lastClr="000000"/>
              </a:solidFill>
              <a:latin typeface="+mn-lt"/>
              <a:cs typeface="Calibri"/>
            </a:rPr>
            <a:t>,0 p.p. face a 2014)                                      </a:t>
          </a:r>
        </a:p>
        <a:p>
          <a:r>
            <a:rPr lang="en-US" sz="800" b="0" i="0" u="none" strike="noStrike">
              <a:solidFill>
                <a:sysClr val="windowText" lastClr="000000"/>
              </a:solidFill>
              <a:latin typeface="+mn-lt"/>
              <a:cs typeface="Calibri"/>
            </a:rPr>
            <a:t>&gt; RMMG e &lt; 1.000 €: 23,1% (- 38,3 p.p. face a 2014).</a:t>
          </a:r>
        </a:p>
        <a:p>
          <a:endParaRPr lang="en-US" sz="800" b="0" i="0" u="none" strike="noStrike" baseline="0">
            <a:solidFill>
              <a:sysClr val="windowText" lastClr="000000"/>
            </a:solidFill>
            <a:latin typeface="Calibri"/>
            <a:cs typeface="Calibri"/>
          </a:endParaRPr>
        </a:p>
      </xdr:txBody>
    </xdr:sp>
    <xdr:clientData/>
  </xdr:twoCellAnchor>
  <xdr:twoCellAnchor>
    <xdr:from>
      <xdr:col>0</xdr:col>
      <xdr:colOff>1465</xdr:colOff>
      <xdr:row>3</xdr:row>
      <xdr:rowOff>11930</xdr:rowOff>
    </xdr:from>
    <xdr:to>
      <xdr:col>22</xdr:col>
      <xdr:colOff>600465</xdr:colOff>
      <xdr:row>3</xdr:row>
      <xdr:rowOff>181841</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1465" y="564380"/>
          <a:ext cx="13680000" cy="169911"/>
        </a:xfrm>
        <a:prstGeom prst="rect">
          <a:avLst/>
        </a:prstGeom>
        <a:solidFill>
          <a:srgbClr val="FFE600"/>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r>
            <a:rPr lang="en-US" sz="1000" b="1" kern="1200">
              <a:solidFill>
                <a:srgbClr val="00467A"/>
              </a:solidFill>
              <a:effectLst/>
              <a:latin typeface="Calibri" panose="020F0502020204030204" pitchFamily="34" charset="0"/>
              <a:ea typeface="+mn-ea"/>
              <a:cs typeface="Calibri" panose="020F0502020204030204" pitchFamily="34" charset="0"/>
            </a:rPr>
            <a:t>Desigualdade Salarial e Contratação Coletiva</a:t>
          </a:r>
          <a:endParaRPr lang="pt-PT" sz="1000">
            <a:solidFill>
              <a:srgbClr val="00467A"/>
            </a:solidFill>
            <a:effectLst/>
            <a:latin typeface="Calibri" panose="020F0502020204030204" pitchFamily="34" charset="0"/>
            <a:cs typeface="Calibri" panose="020F0502020204030204" pitchFamily="34" charset="0"/>
          </a:endParaRPr>
        </a:p>
      </xdr:txBody>
    </xdr:sp>
    <xdr:clientData/>
  </xdr:twoCellAnchor>
  <xdr:twoCellAnchor>
    <xdr:from>
      <xdr:col>0</xdr:col>
      <xdr:colOff>38627</xdr:colOff>
      <xdr:row>18</xdr:row>
      <xdr:rowOff>149514</xdr:rowOff>
    </xdr:from>
    <xdr:to>
      <xdr:col>23</xdr:col>
      <xdr:colOff>119061</xdr:colOff>
      <xdr:row>20</xdr:row>
      <xdr:rowOff>91306</xdr:rowOff>
    </xdr:to>
    <xdr:sp macro="" textlink="">
      <xdr:nvSpPr>
        <xdr:cNvPr id="4" name="CaixaDeTexto 3">
          <a:extLst>
            <a:ext uri="{FF2B5EF4-FFF2-40B4-BE49-F238E27FC236}">
              <a16:creationId xmlns:a16="http://schemas.microsoft.com/office/drawing/2014/main" id="{00000000-0008-0000-0A00-000004000000}"/>
            </a:ext>
          </a:extLst>
        </xdr:cNvPr>
        <xdr:cNvSpPr txBox="1"/>
      </xdr:nvSpPr>
      <xdr:spPr>
        <a:xfrm>
          <a:off x="38627" y="3578514"/>
          <a:ext cx="13121747" cy="322792"/>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pt-PT" sz="600" b="0" i="0" baseline="0">
              <a:solidFill>
                <a:schemeClr val="tx1">
                  <a:lumMod val="50000"/>
                  <a:lumOff val="50000"/>
                </a:schemeClr>
              </a:solidFill>
              <a:effectLst/>
              <a:latin typeface="+mn-lt"/>
              <a:ea typeface="+mn-ea"/>
              <a:cs typeface="+mn-cs"/>
            </a:rPr>
            <a:t>* Trabalhadores por conta de outrem a tempo completo, que auferiram remuneração completa no período de referência. </a:t>
          </a:r>
          <a:r>
            <a:rPr kumimoji="0" lang="pt-PT" sz="600" b="0" i="0" u="none" strike="noStrike" kern="0" cap="none" spc="0" normalizeH="0" baseline="0" noProof="0">
              <a:ln>
                <a:noFill/>
              </a:ln>
              <a:solidFill>
                <a:schemeClr val="tx1">
                  <a:lumMod val="50000"/>
                  <a:lumOff val="50000"/>
                </a:schemeClr>
              </a:solidFill>
              <a:effectLst/>
              <a:uLnTx/>
              <a:uFillTx/>
              <a:latin typeface="+mn-lt"/>
              <a:ea typeface="+mn-ea"/>
              <a:cs typeface="+mn-cs"/>
            </a:rPr>
            <a:t>** Retribuição Mínima Mensal Garantida (RMMG) - Continente 2014=505,00 euros; 2015=505,00 euros; 2016=530,00 euros; 2017=557,00 euros; 2018=580,00 euros; 2019=600,00 euros; 2020=635,00 euros; 2021 = 665,00 euros, 2022 = 705,00 euros, 2023 = 760,00 euros e 2024 = 820,00 euros.</a:t>
          </a:r>
        </a:p>
      </xdr:txBody>
    </xdr:sp>
    <xdr:clientData/>
  </xdr:twoCellAnchor>
  <xdr:twoCellAnchor>
    <xdr:from>
      <xdr:col>0</xdr:col>
      <xdr:colOff>350260</xdr:colOff>
      <xdr:row>7</xdr:row>
      <xdr:rowOff>175780</xdr:rowOff>
    </xdr:from>
    <xdr:to>
      <xdr:col>24</xdr:col>
      <xdr:colOff>40697</xdr:colOff>
      <xdr:row>19</xdr:row>
      <xdr:rowOff>137680</xdr:rowOff>
    </xdr:to>
    <xdr:grpSp>
      <xdr:nvGrpSpPr>
        <xdr:cNvPr id="5" name="Agrupar 4">
          <a:extLst>
            <a:ext uri="{FF2B5EF4-FFF2-40B4-BE49-F238E27FC236}">
              <a16:creationId xmlns:a16="http://schemas.microsoft.com/office/drawing/2014/main" id="{00000000-0008-0000-0A00-000005000000}"/>
            </a:ext>
          </a:extLst>
        </xdr:cNvPr>
        <xdr:cNvGrpSpPr/>
      </xdr:nvGrpSpPr>
      <xdr:grpSpPr>
        <a:xfrm>
          <a:off x="350260" y="1509280"/>
          <a:ext cx="12689465" cy="2247900"/>
          <a:chOff x="8448671" y="712203"/>
          <a:chExt cx="14601170" cy="4374147"/>
        </a:xfrm>
      </xdr:grpSpPr>
      <xdr:graphicFrame macro="">
        <xdr:nvGraphicFramePr>
          <xdr:cNvPr id="6" name="Gráfico 5">
            <a:extLst>
              <a:ext uri="{FF2B5EF4-FFF2-40B4-BE49-F238E27FC236}">
                <a16:creationId xmlns:a16="http://schemas.microsoft.com/office/drawing/2014/main" id="{00000000-0008-0000-0A00-000006000000}"/>
              </a:ext>
            </a:extLst>
          </xdr:cNvPr>
          <xdr:cNvGraphicFramePr/>
        </xdr:nvGraphicFramePr>
        <xdr:xfrm>
          <a:off x="8448671" y="717551"/>
          <a:ext cx="7760518" cy="436879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Gráfico 6">
            <a:extLst>
              <a:ext uri="{FF2B5EF4-FFF2-40B4-BE49-F238E27FC236}">
                <a16:creationId xmlns:a16="http://schemas.microsoft.com/office/drawing/2014/main" id="{00000000-0008-0000-0A00-000007000000}"/>
              </a:ext>
            </a:extLst>
          </xdr:cNvPr>
          <xdr:cNvGraphicFramePr>
            <a:graphicFrameLocks/>
          </xdr:cNvGraphicFramePr>
        </xdr:nvGraphicFramePr>
        <xdr:xfrm>
          <a:off x="15989778" y="712203"/>
          <a:ext cx="7060063" cy="436879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0</xdr:colOff>
      <xdr:row>4</xdr:row>
      <xdr:rowOff>44055</xdr:rowOff>
    </xdr:from>
    <xdr:to>
      <xdr:col>22</xdr:col>
      <xdr:colOff>599000</xdr:colOff>
      <xdr:row>5</xdr:row>
      <xdr:rowOff>103910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0" y="780655"/>
          <a:ext cx="13680000" cy="244005"/>
        </a:xfrm>
        <a:prstGeom prst="rect">
          <a:avLst/>
        </a:prstGeom>
        <a:solidFill>
          <a:schemeClr val="tx2"/>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defTabSz="988538">
            <a:defRPr/>
          </a:pPr>
          <a:r>
            <a:rPr lang="pt-PT" sz="900" b="1" i="1">
              <a:solidFill>
                <a:schemeClr val="bg1"/>
              </a:solidFill>
              <a:effectLst>
                <a:outerShdw blurRad="38100" dist="38100" dir="2700000" algn="tl">
                  <a:srgbClr val="000000"/>
                </a:outerShdw>
              </a:effectLst>
              <a:latin typeface="+mn-lt"/>
            </a:rPr>
            <a:t>...Trabalhadores por conta de outrem* por escalão de remuneração mensal</a:t>
          </a:r>
        </a:p>
      </xdr:txBody>
    </xdr:sp>
    <xdr:clientData/>
  </xdr:twoCellAnchor>
  <xdr:twoCellAnchor>
    <xdr:from>
      <xdr:col>1</xdr:col>
      <xdr:colOff>430456</xdr:colOff>
      <xdr:row>0</xdr:row>
      <xdr:rowOff>45794</xdr:rowOff>
    </xdr:from>
    <xdr:to>
      <xdr:col>23</xdr:col>
      <xdr:colOff>2406</xdr:colOff>
      <xdr:row>2</xdr:row>
      <xdr:rowOff>165955</xdr:rowOff>
    </xdr:to>
    <xdr:sp macro="" textlink="">
      <xdr:nvSpPr>
        <xdr:cNvPr id="9" name="Rectangle 17">
          <a:extLst>
            <a:ext uri="{FF2B5EF4-FFF2-40B4-BE49-F238E27FC236}">
              <a16:creationId xmlns:a16="http://schemas.microsoft.com/office/drawing/2014/main" id="{00000000-0008-0000-0A00-000009000000}"/>
            </a:ext>
          </a:extLst>
        </xdr:cNvPr>
        <xdr:cNvSpPr>
          <a:spLocks noChangeArrowheads="1"/>
        </xdr:cNvSpPr>
      </xdr:nvSpPr>
      <xdr:spPr bwMode="auto">
        <a:xfrm>
          <a:off x="1021006" y="45794"/>
          <a:ext cx="12672000" cy="488461"/>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marR="0" lvl="0" indent="0" algn="ctr" defTabSz="988538" rtl="0" eaLnBrk="0" fontAlgn="base" latinLnBrk="0" hangingPunct="0">
            <a:lnSpc>
              <a:spcPct val="100000"/>
            </a:lnSpc>
            <a:spcBef>
              <a:spcPct val="0"/>
            </a:spcBef>
            <a:spcAft>
              <a:spcPct val="0"/>
            </a:spcAft>
            <a:buClrTx/>
            <a:buSzTx/>
            <a:buFontTx/>
            <a:buNone/>
            <a:tabLst/>
            <a:defRPr/>
          </a:pPr>
          <a:r>
            <a:rPr kumimoji="0" lang="pt-PT" sz="1600" b="1" i="1" u="none" strike="noStrike" kern="1200" cap="none" spc="0" normalizeH="0" baseline="0" noProof="0">
              <a:ln>
                <a:noFill/>
              </a:ln>
              <a:solidFill>
                <a:sysClr val="window" lastClr="FFFFFF"/>
              </a:solidFill>
              <a:effectLst>
                <a:outerShdw blurRad="38100" dist="38100" dir="2700000" algn="tl">
                  <a:srgbClr val="000000"/>
                </a:outerShdw>
              </a:effectLst>
              <a:uLnTx/>
              <a:uFillTx/>
              <a:latin typeface="Arial" charset="0"/>
              <a:ea typeface="+mn-ea"/>
              <a:cs typeface="+mn-cs"/>
            </a:rPr>
            <a:t>Séries Cronológicas 2014 - 2024: Quadros de Pessoal</a:t>
          </a:r>
        </a:p>
        <a:p>
          <a:pPr marL="0" marR="0" lvl="0" indent="0" algn="ctr" defTabSz="988538" rtl="0" eaLnBrk="0" fontAlgn="base" latinLnBrk="0" hangingPunct="0">
            <a:lnSpc>
              <a:spcPct val="100000"/>
            </a:lnSpc>
            <a:spcBef>
              <a:spcPct val="0"/>
            </a:spcBef>
            <a:spcAft>
              <a:spcPct val="0"/>
            </a:spcAft>
            <a:buClrTx/>
            <a:buSzTx/>
            <a:buFontTx/>
            <a:buNone/>
            <a:tabLst/>
            <a:defRPr/>
          </a:pPr>
          <a:r>
            <a:rPr kumimoji="0" lang="pt-PT" sz="1600" b="1" i="1" u="none" strike="noStrike" kern="1200" cap="none" spc="0" normalizeH="0" baseline="0" noProof="0">
              <a:ln>
                <a:noFill/>
              </a:ln>
              <a:solidFill>
                <a:srgbClr val="FFE600"/>
              </a:solidFill>
              <a:effectLst>
                <a:outerShdw blurRad="38100" dist="38100" dir="2700000" algn="tl">
                  <a:srgbClr val="000000"/>
                </a:outerShdw>
              </a:effectLst>
              <a:uLnTx/>
              <a:uFillTx/>
              <a:latin typeface="Arial" charset="0"/>
              <a:ea typeface="+mn-ea"/>
              <a:cs typeface="+mn-cs"/>
            </a:rPr>
            <a:t>Desigualdade Salarial e Contratação Coletiva</a:t>
          </a:r>
        </a:p>
      </xdr:txBody>
    </xdr:sp>
    <xdr:clientData/>
  </xdr:twoCellAnchor>
  <xdr:twoCellAnchor>
    <xdr:from>
      <xdr:col>21</xdr:col>
      <xdr:colOff>30407</xdr:colOff>
      <xdr:row>0</xdr:row>
      <xdr:rowOff>150569</xdr:rowOff>
    </xdr:from>
    <xdr:to>
      <xdr:col>22</xdr:col>
      <xdr:colOff>482898</xdr:colOff>
      <xdr:row>2</xdr:row>
      <xdr:rowOff>6996</xdr:rowOff>
    </xdr:to>
    <xdr:sp macro="" textlink="">
      <xdr:nvSpPr>
        <xdr:cNvPr id="79" name="Text Box 10">
          <a:hlinkClick xmlns:r="http://schemas.openxmlformats.org/officeDocument/2006/relationships" r:id="rId3"/>
          <a:extLst>
            <a:ext uri="{FF2B5EF4-FFF2-40B4-BE49-F238E27FC236}">
              <a16:creationId xmlns:a16="http://schemas.microsoft.com/office/drawing/2014/main" id="{00000000-0008-0000-0A00-00004F000000}"/>
            </a:ext>
          </a:extLst>
        </xdr:cNvPr>
        <xdr:cNvSpPr txBox="1">
          <a:spLocks noChangeArrowheads="1"/>
        </xdr:cNvSpPr>
      </xdr:nvSpPr>
      <xdr:spPr bwMode="auto">
        <a:xfrm>
          <a:off x="11908082" y="150569"/>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twoCellAnchor editAs="oneCell">
    <xdr:from>
      <xdr:col>0</xdr:col>
      <xdr:colOff>44450</xdr:colOff>
      <xdr:row>52</xdr:row>
      <xdr:rowOff>77353</xdr:rowOff>
    </xdr:from>
    <xdr:to>
      <xdr:col>22</xdr:col>
      <xdr:colOff>377053</xdr:colOff>
      <xdr:row>53</xdr:row>
      <xdr:rowOff>155575</xdr:rowOff>
    </xdr:to>
    <xdr:pic>
      <xdr:nvPicPr>
        <xdr:cNvPr id="10" name="Imagem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4"/>
        <a:stretch>
          <a:fillRect/>
        </a:stretch>
      </xdr:blipFill>
      <xdr:spPr>
        <a:xfrm>
          <a:off x="44450" y="9983353"/>
          <a:ext cx="12791303" cy="268722"/>
        </a:xfrm>
        <a:prstGeom prst="rect">
          <a:avLst/>
        </a:prstGeom>
      </xdr:spPr>
    </xdr:pic>
    <xdr:clientData/>
  </xdr:twoCellAnchor>
  <xdr:twoCellAnchor>
    <xdr:from>
      <xdr:col>0</xdr:col>
      <xdr:colOff>0</xdr:colOff>
      <xdr:row>39</xdr:row>
      <xdr:rowOff>177800</xdr:rowOff>
    </xdr:from>
    <xdr:to>
      <xdr:col>22</xdr:col>
      <xdr:colOff>579950</xdr:colOff>
      <xdr:row>41</xdr:row>
      <xdr:rowOff>25400</xdr:rowOff>
    </xdr:to>
    <xdr:grpSp>
      <xdr:nvGrpSpPr>
        <xdr:cNvPr id="11" name="Agrupar 10">
          <a:extLst>
            <a:ext uri="{FF2B5EF4-FFF2-40B4-BE49-F238E27FC236}">
              <a16:creationId xmlns:a16="http://schemas.microsoft.com/office/drawing/2014/main" id="{00000000-0008-0000-0A00-00000B000000}"/>
            </a:ext>
          </a:extLst>
        </xdr:cNvPr>
        <xdr:cNvGrpSpPr/>
      </xdr:nvGrpSpPr>
      <xdr:grpSpPr>
        <a:xfrm>
          <a:off x="0" y="7607300"/>
          <a:ext cx="13038650" cy="228600"/>
          <a:chOff x="0" y="7607300"/>
          <a:chExt cx="13038650" cy="228600"/>
        </a:xfrm>
      </xdr:grpSpPr>
      <xdr:sp macro="" textlink="">
        <xdr:nvSpPr>
          <xdr:cNvPr id="45" name="Text Box 10">
            <a:extLst>
              <a:ext uri="{FF2B5EF4-FFF2-40B4-BE49-F238E27FC236}">
                <a16:creationId xmlns:a16="http://schemas.microsoft.com/office/drawing/2014/main" id="{00000000-0008-0000-0A00-00002D000000}"/>
              </a:ext>
            </a:extLst>
          </xdr:cNvPr>
          <xdr:cNvSpPr txBox="1">
            <a:spLocks noChangeArrowheads="1"/>
          </xdr:cNvSpPr>
        </xdr:nvSpPr>
        <xdr:spPr bwMode="auto">
          <a:xfrm>
            <a:off x="0" y="7607300"/>
            <a:ext cx="13038650" cy="228600"/>
          </a:xfrm>
          <a:prstGeom prst="rect">
            <a:avLst/>
          </a:prstGeom>
          <a:solidFill>
            <a:srgbClr val="1F497D"/>
          </a:solidFill>
          <a:ln>
            <a:noFill/>
          </a:ln>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marR="0" lvl="0" indent="0" algn="l" defTabSz="914400" rtl="0" eaLnBrk="0" fontAlgn="base" latinLnBrk="0" hangingPunct="0">
              <a:lnSpc>
                <a:spcPct val="100000"/>
              </a:lnSpc>
              <a:spcBef>
                <a:spcPct val="50000"/>
              </a:spcBef>
              <a:spcAft>
                <a:spcPct val="0"/>
              </a:spcAft>
              <a:buClrTx/>
              <a:buSzTx/>
              <a:buFontTx/>
              <a:buNone/>
              <a:tabLst/>
              <a:defRPr/>
            </a:pPr>
            <a:r>
              <a:rPr kumimoji="0" lang="en-US" altLang="pt-PT" sz="1000" b="1" i="0" u="none" strike="noStrike" kern="1200" cap="none" spc="0" normalizeH="0" baseline="0" noProof="0">
                <a:ln>
                  <a:noFill/>
                </a:ln>
                <a:solidFill>
                  <a:sysClr val="window" lastClr="FFFFFF"/>
                </a:solidFill>
                <a:effectLst/>
                <a:uLnTx/>
                <a:uFillTx/>
                <a:latin typeface="Calibri"/>
                <a:ea typeface="+mn-ea"/>
                <a:cs typeface="+mn-cs"/>
              </a:rPr>
              <a:t>Instrumentos de Regulamentação Coletiva de Trabalho (IRCT)</a:t>
            </a:r>
          </a:p>
        </xdr:txBody>
      </xdr:sp>
      <xdr:sp macro="" textlink="">
        <xdr:nvSpPr>
          <xdr:cNvPr id="46" name="Text Box 10">
            <a:extLst>
              <a:ext uri="{FF2B5EF4-FFF2-40B4-BE49-F238E27FC236}">
                <a16:creationId xmlns:a16="http://schemas.microsoft.com/office/drawing/2014/main" id="{00000000-0008-0000-0A00-00002E000000}"/>
              </a:ext>
            </a:extLst>
          </xdr:cNvPr>
          <xdr:cNvSpPr txBox="1">
            <a:spLocks noChangeArrowheads="1"/>
          </xdr:cNvSpPr>
        </xdr:nvSpPr>
        <xdr:spPr bwMode="auto">
          <a:xfrm>
            <a:off x="6661491" y="7630765"/>
            <a:ext cx="1832813" cy="180000"/>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marR="0" lvl="0" indent="0" algn="ctr" defTabSz="914400" rtl="0" eaLnBrk="0" fontAlgn="base" latinLnBrk="0" hangingPunct="0">
              <a:lnSpc>
                <a:spcPct val="100000"/>
              </a:lnSpc>
              <a:spcBef>
                <a:spcPct val="50000"/>
              </a:spcBef>
              <a:spcAft>
                <a:spcPct val="0"/>
              </a:spcAft>
              <a:buClrTx/>
              <a:buSzTx/>
              <a:buFontTx/>
              <a:buNone/>
              <a:tabLst/>
              <a:defRPr/>
            </a:pPr>
            <a:r>
              <a:rPr kumimoji="0" lang="en-US" altLang="pt-PT" sz="900" b="1" i="0" u="none" strike="noStrike" kern="1200" cap="none" spc="0" normalizeH="0" baseline="0" noProof="0">
                <a:ln>
                  <a:noFill/>
                </a:ln>
                <a:solidFill>
                  <a:srgbClr val="1F497D"/>
                </a:solidFill>
                <a:effectLst/>
                <a:uLnTx/>
                <a:uFillTx/>
                <a:latin typeface="Calibri"/>
                <a:ea typeface="+mn-ea"/>
                <a:cs typeface="+mn-cs"/>
              </a:rPr>
              <a:t>Remuneração média mensal Base</a:t>
            </a:r>
            <a:endParaRPr kumimoji="0" lang="en-US" altLang="pt-PT" sz="900" b="1" i="0" u="none" strike="noStrike" kern="1200" cap="none" spc="0" normalizeH="0" baseline="0" noProof="0">
              <a:ln>
                <a:noFill/>
              </a:ln>
              <a:solidFill>
                <a:srgbClr val="1F497D"/>
              </a:solidFill>
              <a:effectLst/>
              <a:uLnTx/>
              <a:uFillTx/>
              <a:latin typeface="Arial" charset="0"/>
              <a:ea typeface="+mn-ea"/>
              <a:cs typeface="+mn-cs"/>
            </a:endParaRPr>
          </a:p>
        </xdr:txBody>
      </xdr:sp>
      <xdr:sp macro="" textlink="">
        <xdr:nvSpPr>
          <xdr:cNvPr id="83" name="Text Box 10">
            <a:extLst>
              <a:ext uri="{FF2B5EF4-FFF2-40B4-BE49-F238E27FC236}">
                <a16:creationId xmlns:a16="http://schemas.microsoft.com/office/drawing/2014/main" id="{00000000-0008-0000-0A00-000053000000}"/>
              </a:ext>
            </a:extLst>
          </xdr:cNvPr>
          <xdr:cNvSpPr txBox="1">
            <a:spLocks noChangeArrowheads="1"/>
          </xdr:cNvSpPr>
        </xdr:nvSpPr>
        <xdr:spPr bwMode="auto">
          <a:xfrm>
            <a:off x="10163175" y="7624234"/>
            <a:ext cx="2095500" cy="180000"/>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marR="0" lvl="0" indent="0" algn="ctr" defTabSz="914400" rtl="0" eaLnBrk="0" fontAlgn="base" latinLnBrk="0" hangingPunct="0">
              <a:lnSpc>
                <a:spcPct val="100000"/>
              </a:lnSpc>
              <a:spcBef>
                <a:spcPct val="50000"/>
              </a:spcBef>
              <a:spcAft>
                <a:spcPct val="0"/>
              </a:spcAft>
              <a:buClrTx/>
              <a:buSzTx/>
              <a:buFontTx/>
              <a:buNone/>
              <a:tabLst/>
              <a:defRPr/>
            </a:pPr>
            <a:r>
              <a:rPr kumimoji="0" lang="en-US" altLang="pt-PT" sz="900" b="1" i="0" u="none" strike="noStrike" kern="1200" cap="none" spc="0" normalizeH="0" baseline="0" noProof="0">
                <a:ln>
                  <a:noFill/>
                </a:ln>
                <a:solidFill>
                  <a:srgbClr val="1F497D"/>
                </a:solidFill>
                <a:effectLst/>
                <a:uLnTx/>
                <a:uFillTx/>
                <a:latin typeface="Calibri"/>
                <a:ea typeface="+mn-ea"/>
                <a:cs typeface="+mn-cs"/>
              </a:rPr>
              <a:t>Remuneração média mensal Ganho</a:t>
            </a:r>
            <a:endParaRPr kumimoji="0" lang="en-US" altLang="pt-PT" sz="900" b="1" i="0" u="none" strike="noStrike" kern="1200" cap="none" spc="0" normalizeH="0" baseline="0" noProof="0">
              <a:ln>
                <a:noFill/>
              </a:ln>
              <a:solidFill>
                <a:srgbClr val="1F497D"/>
              </a:solidFill>
              <a:effectLst/>
              <a:uLnTx/>
              <a:uFillTx/>
              <a:latin typeface="Arial" charset="0"/>
              <a:ea typeface="+mn-ea"/>
              <a:cs typeface="+mn-cs"/>
            </a:endParaRPr>
          </a:p>
        </xdr:txBody>
      </xdr:sp>
    </xdr:grpSp>
    <xdr:clientData/>
  </xdr:twoCellAnchor>
  <xdr:twoCellAnchor>
    <xdr:from>
      <xdr:col>0</xdr:col>
      <xdr:colOff>476250</xdr:colOff>
      <xdr:row>40</xdr:row>
      <xdr:rowOff>188677</xdr:rowOff>
    </xdr:from>
    <xdr:to>
      <xdr:col>10</xdr:col>
      <xdr:colOff>304799</xdr:colOff>
      <xdr:row>52</xdr:row>
      <xdr:rowOff>114304</xdr:rowOff>
    </xdr:to>
    <xdr:grpSp>
      <xdr:nvGrpSpPr>
        <xdr:cNvPr id="18" name="Agrupar 17">
          <a:extLst>
            <a:ext uri="{FF2B5EF4-FFF2-40B4-BE49-F238E27FC236}">
              <a16:creationId xmlns:a16="http://schemas.microsoft.com/office/drawing/2014/main" id="{00000000-0008-0000-0A00-000012000000}"/>
            </a:ext>
          </a:extLst>
        </xdr:cNvPr>
        <xdr:cNvGrpSpPr/>
      </xdr:nvGrpSpPr>
      <xdr:grpSpPr>
        <a:xfrm>
          <a:off x="476250" y="7808677"/>
          <a:ext cx="5448299" cy="2211627"/>
          <a:chOff x="476250" y="7808673"/>
          <a:chExt cx="5448299" cy="2033716"/>
        </a:xfrm>
      </xdr:grpSpPr>
      <xdr:sp macro="" textlink="">
        <xdr:nvSpPr>
          <xdr:cNvPr id="77" name="CaixaDeTexto 76">
            <a:extLst>
              <a:ext uri="{FF2B5EF4-FFF2-40B4-BE49-F238E27FC236}">
                <a16:creationId xmlns:a16="http://schemas.microsoft.com/office/drawing/2014/main" id="{00000000-0008-0000-0A00-00004D000000}"/>
              </a:ext>
            </a:extLst>
          </xdr:cNvPr>
          <xdr:cNvSpPr txBox="1"/>
        </xdr:nvSpPr>
        <xdr:spPr>
          <a:xfrm>
            <a:off x="1058208" y="8024668"/>
            <a:ext cx="4068000" cy="468000"/>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sysClr val="windowText" lastClr="000000"/>
                </a:solidFill>
                <a:effectLst/>
                <a:uLnTx/>
                <a:uFillTx/>
                <a:latin typeface="Calibri"/>
                <a:ea typeface="+mn-ea"/>
                <a:cs typeface="Calibri"/>
              </a:rPr>
              <a:t>2024</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TCO abrangidos por </a:t>
            </a:r>
            <a:r>
              <a:rPr lang="en-US" sz="800" b="0" i="0" baseline="0">
                <a:effectLst/>
                <a:latin typeface="+mn-lt"/>
                <a:ea typeface="+mn-ea"/>
                <a:cs typeface="+mn-cs"/>
              </a:rPr>
              <a:t>Contratos Coletivos de Trabalho</a:t>
            </a: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68,9% (-4,5 p.p. face a 2014);</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TCO não abrangidos por IRCT: 17,2% (+6,1 p.p. face a 2014).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a:t>
            </a:r>
          </a:p>
        </xdr:txBody>
      </xdr:sp>
      <xdr:graphicFrame macro="">
        <xdr:nvGraphicFramePr>
          <xdr:cNvPr id="84" name="Gráfico 83">
            <a:extLst>
              <a:ext uri="{FF2B5EF4-FFF2-40B4-BE49-F238E27FC236}">
                <a16:creationId xmlns:a16="http://schemas.microsoft.com/office/drawing/2014/main" id="{00000000-0008-0000-0A00-000054000000}"/>
              </a:ext>
            </a:extLst>
          </xdr:cNvPr>
          <xdr:cNvGraphicFramePr>
            <a:graphicFrameLocks/>
          </xdr:cNvGraphicFramePr>
        </xdr:nvGraphicFramePr>
        <xdr:xfrm>
          <a:off x="476250" y="8449743"/>
          <a:ext cx="5448299" cy="1392646"/>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85" name="Text Box 10">
            <a:extLst>
              <a:ext uri="{FF2B5EF4-FFF2-40B4-BE49-F238E27FC236}">
                <a16:creationId xmlns:a16="http://schemas.microsoft.com/office/drawing/2014/main" id="{00000000-0008-0000-0A00-000055000000}"/>
              </a:ext>
            </a:extLst>
          </xdr:cNvPr>
          <xdr:cNvSpPr txBox="1">
            <a:spLocks noChangeArrowheads="1"/>
          </xdr:cNvSpPr>
        </xdr:nvSpPr>
        <xdr:spPr bwMode="auto">
          <a:xfrm>
            <a:off x="1933575" y="7808673"/>
            <a:ext cx="2371725" cy="231698"/>
          </a:xfrm>
          <a:prstGeom prst="rect">
            <a:avLst/>
          </a:prstGeom>
          <a:noFill/>
          <a:ln>
            <a:noFill/>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marR="0" lvl="0" indent="0" algn="ctr" defTabSz="914400" rtl="0" eaLnBrk="0" fontAlgn="base" latinLnBrk="0" hangingPunct="0">
              <a:lnSpc>
                <a:spcPct val="100000"/>
              </a:lnSpc>
              <a:spcBef>
                <a:spcPct val="50000"/>
              </a:spcBef>
              <a:spcAft>
                <a:spcPct val="0"/>
              </a:spcAft>
              <a:buClrTx/>
              <a:buSzTx/>
              <a:buFontTx/>
              <a:buNone/>
              <a:tabLst/>
              <a:defRPr/>
            </a:pPr>
            <a:r>
              <a:rPr kumimoji="0" lang="en-US" altLang="pt-PT" sz="900" b="1" i="0" u="none" strike="noStrike" kern="1200" cap="none" spc="0" normalizeH="0" baseline="0" noProof="0">
                <a:ln>
                  <a:noFill/>
                </a:ln>
                <a:solidFill>
                  <a:srgbClr val="1F497D"/>
                </a:solidFill>
                <a:effectLst/>
                <a:uLnTx/>
                <a:uFillTx/>
                <a:latin typeface="Calibri"/>
                <a:ea typeface="+mn-ea"/>
                <a:cs typeface="+mn-cs"/>
              </a:rPr>
              <a:t>TCO abrangidos e não abrangidos por IRCT</a:t>
            </a:r>
            <a:endParaRPr kumimoji="0" lang="en-US" altLang="pt-PT" sz="900" b="1" i="0" u="none" strike="noStrike" kern="1200" cap="none" spc="0" normalizeH="0" baseline="0" noProof="0">
              <a:ln>
                <a:noFill/>
              </a:ln>
              <a:solidFill>
                <a:srgbClr val="1F497D"/>
              </a:solidFill>
              <a:effectLst/>
              <a:uLnTx/>
              <a:uFillTx/>
              <a:latin typeface="Arial" charset="0"/>
              <a:ea typeface="+mn-ea"/>
              <a:cs typeface="+mn-cs"/>
            </a:endParaRPr>
          </a:p>
        </xdr:txBody>
      </xdr:sp>
    </xdr:grpSp>
    <xdr:clientData/>
  </xdr:twoCellAnchor>
  <xdr:twoCellAnchor>
    <xdr:from>
      <xdr:col>10</xdr:col>
      <xdr:colOff>135083</xdr:colOff>
      <xdr:row>41</xdr:row>
      <xdr:rowOff>111701</xdr:rowOff>
    </xdr:from>
    <xdr:to>
      <xdr:col>22</xdr:col>
      <xdr:colOff>387927</xdr:colOff>
      <xdr:row>52</xdr:row>
      <xdr:rowOff>51088</xdr:rowOff>
    </xdr:to>
    <xdr:grpSp>
      <xdr:nvGrpSpPr>
        <xdr:cNvPr id="17" name="Agrupar 16">
          <a:extLst>
            <a:ext uri="{FF2B5EF4-FFF2-40B4-BE49-F238E27FC236}">
              <a16:creationId xmlns:a16="http://schemas.microsoft.com/office/drawing/2014/main" id="{00000000-0008-0000-0A00-000011000000}"/>
            </a:ext>
          </a:extLst>
        </xdr:cNvPr>
        <xdr:cNvGrpSpPr/>
      </xdr:nvGrpSpPr>
      <xdr:grpSpPr>
        <a:xfrm>
          <a:off x="5754833" y="7922201"/>
          <a:ext cx="7091794" cy="2034887"/>
          <a:chOff x="5754833" y="7922201"/>
          <a:chExt cx="7091794" cy="2034887"/>
        </a:xfrm>
      </xdr:grpSpPr>
      <xdr:sp macro="" textlink="">
        <xdr:nvSpPr>
          <xdr:cNvPr id="78" name="CaixaDeTexto 77">
            <a:extLst>
              <a:ext uri="{FF2B5EF4-FFF2-40B4-BE49-F238E27FC236}">
                <a16:creationId xmlns:a16="http://schemas.microsoft.com/office/drawing/2014/main" id="{00000000-0008-0000-0A00-00004E000000}"/>
              </a:ext>
            </a:extLst>
          </xdr:cNvPr>
          <xdr:cNvSpPr txBox="1"/>
        </xdr:nvSpPr>
        <xdr:spPr>
          <a:xfrm>
            <a:off x="5754833" y="7936923"/>
            <a:ext cx="3326823" cy="504000"/>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sysClr val="windowText" lastClr="000000"/>
                </a:solidFill>
                <a:effectLst/>
                <a:uLnTx/>
                <a:uFillTx/>
                <a:latin typeface="+mn-lt"/>
                <a:ea typeface="+mn-ea"/>
                <a:cs typeface="Calibri"/>
              </a:rPr>
              <a:t>2024 - Remuneração média mensal Base</a:t>
            </a: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abrangidos por CCT: 90,2% da remuneração média total;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não abrangidos por IRCT: 19,9% superior à remuneração média total.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a:t>
            </a:r>
          </a:p>
        </xdr:txBody>
      </xdr:sp>
      <xdr:grpSp>
        <xdr:nvGrpSpPr>
          <xdr:cNvPr id="80" name="Agrupar 79">
            <a:extLst>
              <a:ext uri="{FF2B5EF4-FFF2-40B4-BE49-F238E27FC236}">
                <a16:creationId xmlns:a16="http://schemas.microsoft.com/office/drawing/2014/main" id="{00000000-0008-0000-0A00-000050000000}"/>
              </a:ext>
            </a:extLst>
          </xdr:cNvPr>
          <xdr:cNvGrpSpPr/>
        </xdr:nvGrpSpPr>
        <xdr:grpSpPr>
          <a:xfrm>
            <a:off x="6134967" y="8366413"/>
            <a:ext cx="6294288" cy="1590675"/>
            <a:chOff x="9525000" y="4636111"/>
            <a:chExt cx="8715370" cy="3506179"/>
          </a:xfrm>
        </xdr:grpSpPr>
        <xdr:graphicFrame macro="">
          <xdr:nvGraphicFramePr>
            <xdr:cNvPr id="81" name="Gráfico 80">
              <a:extLst>
                <a:ext uri="{FF2B5EF4-FFF2-40B4-BE49-F238E27FC236}">
                  <a16:creationId xmlns:a16="http://schemas.microsoft.com/office/drawing/2014/main" id="{00000000-0008-0000-0A00-000051000000}"/>
                </a:ext>
              </a:extLst>
            </xdr:cNvPr>
            <xdr:cNvGraphicFramePr>
              <a:graphicFrameLocks/>
            </xdr:cNvGraphicFramePr>
          </xdr:nvGraphicFramePr>
          <xdr:xfrm>
            <a:off x="9525000" y="4754563"/>
            <a:ext cx="4746624" cy="3371851"/>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2" name="Gráfico 81">
              <a:extLst>
                <a:ext uri="{FF2B5EF4-FFF2-40B4-BE49-F238E27FC236}">
                  <a16:creationId xmlns:a16="http://schemas.microsoft.com/office/drawing/2014/main" id="{00000000-0008-0000-0A00-000052000000}"/>
                </a:ext>
              </a:extLst>
            </xdr:cNvPr>
            <xdr:cNvGraphicFramePr>
              <a:graphicFrameLocks/>
            </xdr:cNvGraphicFramePr>
          </xdr:nvGraphicFramePr>
          <xdr:xfrm>
            <a:off x="13493746" y="4636111"/>
            <a:ext cx="4746624" cy="3506179"/>
          </xdr:xfrm>
          <a:graphic>
            <a:graphicData uri="http://schemas.openxmlformats.org/drawingml/2006/chart">
              <c:chart xmlns:c="http://schemas.openxmlformats.org/drawingml/2006/chart" xmlns:r="http://schemas.openxmlformats.org/officeDocument/2006/relationships" r:id="rId7"/>
            </a:graphicData>
          </a:graphic>
        </xdr:graphicFrame>
      </xdr:grpSp>
      <xdr:sp macro="" textlink="">
        <xdr:nvSpPr>
          <xdr:cNvPr id="50" name="CaixaDeTexto 49">
            <a:extLst>
              <a:ext uri="{FF2B5EF4-FFF2-40B4-BE49-F238E27FC236}">
                <a16:creationId xmlns:a16="http://schemas.microsoft.com/office/drawing/2014/main" id="{00000000-0008-0000-0A00-000032000000}"/>
              </a:ext>
            </a:extLst>
          </xdr:cNvPr>
          <xdr:cNvSpPr txBox="1"/>
        </xdr:nvSpPr>
        <xdr:spPr>
          <a:xfrm>
            <a:off x="9516341" y="7922201"/>
            <a:ext cx="3330286" cy="504000"/>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sysClr val="windowText" lastClr="000000"/>
                </a:solidFill>
                <a:effectLst/>
                <a:uLnTx/>
                <a:uFillTx/>
                <a:latin typeface="+mn-lt"/>
                <a:ea typeface="+mn-ea"/>
                <a:cs typeface="Calibri"/>
              </a:rPr>
              <a:t>2024 - Remuneração média mensal Ganho</a:t>
            </a: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abrangidos por CCT: 89,0% da remuneração média total;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não abrangidos por IRCT: 17,1% superior à remuneração média total.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a:t>
            </a:r>
          </a:p>
        </xdr:txBody>
      </xdr:sp>
    </xdr:grpSp>
    <xdr:clientData/>
  </xdr:twoCellAnchor>
  <xdr:twoCellAnchor>
    <xdr:from>
      <xdr:col>0</xdr:col>
      <xdr:colOff>381000</xdr:colOff>
      <xdr:row>5</xdr:row>
      <xdr:rowOff>165100</xdr:rowOff>
    </xdr:from>
    <xdr:to>
      <xdr:col>4</xdr:col>
      <xdr:colOff>336550</xdr:colOff>
      <xdr:row>7</xdr:row>
      <xdr:rowOff>69423</xdr:rowOff>
    </xdr:to>
    <xdr:sp macro="" textlink="">
      <xdr:nvSpPr>
        <xdr:cNvPr id="51" name="CaixaDeTexto 50">
          <a:extLst>
            <a:ext uri="{FF2B5EF4-FFF2-40B4-BE49-F238E27FC236}">
              <a16:creationId xmlns:a16="http://schemas.microsoft.com/office/drawing/2014/main" id="{00000000-0008-0000-0A00-000033000000}"/>
            </a:ext>
          </a:extLst>
        </xdr:cNvPr>
        <xdr:cNvSpPr txBox="1"/>
      </xdr:nvSpPr>
      <xdr:spPr>
        <a:xfrm>
          <a:off x="381000" y="1085850"/>
          <a:ext cx="2317750" cy="272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...po escalão de remuneração mensal Base (%)</a:t>
          </a:r>
        </a:p>
      </xdr:txBody>
    </xdr:sp>
    <xdr:clientData/>
  </xdr:twoCellAnchor>
  <xdr:twoCellAnchor>
    <xdr:from>
      <xdr:col>13</xdr:col>
      <xdr:colOff>25400</xdr:colOff>
      <xdr:row>6</xdr:row>
      <xdr:rowOff>25400</xdr:rowOff>
    </xdr:from>
    <xdr:to>
      <xdr:col>16</xdr:col>
      <xdr:colOff>514350</xdr:colOff>
      <xdr:row>7</xdr:row>
      <xdr:rowOff>113873</xdr:rowOff>
    </xdr:to>
    <xdr:sp macro="" textlink="">
      <xdr:nvSpPr>
        <xdr:cNvPr id="52" name="CaixaDeTexto 51">
          <a:extLst>
            <a:ext uri="{FF2B5EF4-FFF2-40B4-BE49-F238E27FC236}">
              <a16:creationId xmlns:a16="http://schemas.microsoft.com/office/drawing/2014/main" id="{00000000-0008-0000-0A00-000034000000}"/>
            </a:ext>
          </a:extLst>
        </xdr:cNvPr>
        <xdr:cNvSpPr txBox="1"/>
      </xdr:nvSpPr>
      <xdr:spPr>
        <a:xfrm>
          <a:off x="7620000" y="1130300"/>
          <a:ext cx="2317750" cy="272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...po escalão de remuneração mensal Ganho (%)</a:t>
          </a:r>
        </a:p>
      </xdr:txBody>
    </xdr:sp>
    <xdr:clientData/>
  </xdr:twoCellAnchor>
  <xdr:twoCellAnchor>
    <xdr:from>
      <xdr:col>5</xdr:col>
      <xdr:colOff>311150</xdr:colOff>
      <xdr:row>5</xdr:row>
      <xdr:rowOff>152400</xdr:rowOff>
    </xdr:from>
    <xdr:to>
      <xdr:col>10</xdr:col>
      <xdr:colOff>123296</xdr:colOff>
      <xdr:row>9</xdr:row>
      <xdr:rowOff>32808</xdr:rowOff>
    </xdr:to>
    <xdr:sp macro="" textlink="">
      <xdr:nvSpPr>
        <xdr:cNvPr id="53" name="CaixaDeTexto 52">
          <a:extLst>
            <a:ext uri="{FF2B5EF4-FFF2-40B4-BE49-F238E27FC236}">
              <a16:creationId xmlns:a16="http://schemas.microsoft.com/office/drawing/2014/main" id="{00000000-0008-0000-0A00-000035000000}"/>
            </a:ext>
          </a:extLst>
        </xdr:cNvPr>
        <xdr:cNvSpPr txBox="1"/>
      </xdr:nvSpPr>
      <xdr:spPr>
        <a:xfrm>
          <a:off x="3263900" y="1073150"/>
          <a:ext cx="2764896" cy="629708"/>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800" b="1" i="0" u="none" strike="noStrike">
              <a:solidFill>
                <a:sysClr val="windowText" lastClr="000000"/>
              </a:solidFill>
              <a:latin typeface="+mn-lt"/>
              <a:cs typeface="Calibri"/>
            </a:rPr>
            <a:t>2024 - </a:t>
          </a:r>
          <a:r>
            <a:rPr lang="en-US" sz="800" b="0" i="0" u="sng" strike="noStrike">
              <a:solidFill>
                <a:sysClr val="windowText" lastClr="000000"/>
              </a:solidFill>
              <a:latin typeface="+mn-lt"/>
              <a:cs typeface="Calibri"/>
            </a:rPr>
            <a:t>Proporção de TCO com remuneração Base</a:t>
          </a:r>
        </a:p>
        <a:p>
          <a:r>
            <a:rPr lang="en-US" sz="800" b="0" i="0" u="none" strike="noStrike">
              <a:solidFill>
                <a:sysClr val="windowText" lastClr="000000"/>
              </a:solidFill>
              <a:latin typeface="+mn-lt"/>
              <a:cs typeface="Calibri"/>
            </a:rPr>
            <a:t>&gt;= RMMG e  &lt; 1.000 €: 53,9% (-20,7 p.p face a 2014)</a:t>
          </a:r>
        </a:p>
        <a:p>
          <a:r>
            <a:rPr lang="en-US" sz="800" b="0" i="0" u="none" strike="noStrike">
              <a:solidFill>
                <a:sysClr val="windowText" lastClr="000000"/>
              </a:solidFill>
              <a:latin typeface="+mn-lt"/>
              <a:cs typeface="Calibri"/>
            </a:rPr>
            <a:t>= RMMG: 20,4% (inalterado face a 2014)                                      </a:t>
          </a:r>
        </a:p>
        <a:p>
          <a:r>
            <a:rPr lang="en-US" sz="800" b="0" i="0" u="none" strike="noStrike">
              <a:solidFill>
                <a:sysClr val="windowText" lastClr="000000"/>
              </a:solidFill>
              <a:latin typeface="+mn-lt"/>
              <a:cs typeface="Calibri"/>
            </a:rPr>
            <a:t>&gt; RMMG e &lt; 1.000 €: 33,5% (- 20,7 p.p. face a 2014).</a:t>
          </a:r>
        </a:p>
        <a:p>
          <a:endParaRPr lang="en-US" sz="800" b="0" i="0" u="none" strike="noStrike" baseline="0">
            <a:solidFill>
              <a:sysClr val="windowText" lastClr="000000"/>
            </a:solidFill>
            <a:latin typeface="Calibri"/>
            <a:cs typeface="Calibri"/>
          </a:endParaRPr>
        </a:p>
      </xdr:txBody>
    </xdr:sp>
    <xdr:clientData/>
  </xdr:twoCellAnchor>
  <xdr:twoCellAnchor editAs="oneCell">
    <xdr:from>
      <xdr:col>0</xdr:col>
      <xdr:colOff>50800</xdr:colOff>
      <xdr:row>0</xdr:row>
      <xdr:rowOff>44450</xdr:rowOff>
    </xdr:from>
    <xdr:to>
      <xdr:col>1</xdr:col>
      <xdr:colOff>342900</xdr:colOff>
      <xdr:row>2</xdr:row>
      <xdr:rowOff>88900</xdr:rowOff>
    </xdr:to>
    <xdr:pic>
      <xdr:nvPicPr>
        <xdr:cNvPr id="73" name="Imagem 72" descr="Z:\G_EME_INFOESTAT\5_apoio_pedidos\imagens\logoDGCP_pq.png">
          <a:extLst>
            <a:ext uri="{FF2B5EF4-FFF2-40B4-BE49-F238E27FC236}">
              <a16:creationId xmlns:a16="http://schemas.microsoft.com/office/drawing/2014/main" id="{00000000-0008-0000-0A00-00004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0800" y="44450"/>
          <a:ext cx="882650" cy="41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xdr:colOff>
      <xdr:row>20</xdr:row>
      <xdr:rowOff>47625</xdr:rowOff>
    </xdr:from>
    <xdr:to>
      <xdr:col>22</xdr:col>
      <xdr:colOff>562700</xdr:colOff>
      <xdr:row>21</xdr:row>
      <xdr:rowOff>47625</xdr:rowOff>
    </xdr:to>
    <xdr:grpSp>
      <xdr:nvGrpSpPr>
        <xdr:cNvPr id="13" name="Agrupar 12">
          <a:extLst>
            <a:ext uri="{FF2B5EF4-FFF2-40B4-BE49-F238E27FC236}">
              <a16:creationId xmlns:a16="http://schemas.microsoft.com/office/drawing/2014/main" id="{00000000-0008-0000-0A00-00000D000000}"/>
            </a:ext>
          </a:extLst>
        </xdr:cNvPr>
        <xdr:cNvGrpSpPr/>
      </xdr:nvGrpSpPr>
      <xdr:grpSpPr>
        <a:xfrm>
          <a:off x="25400" y="3857625"/>
          <a:ext cx="12996000" cy="190500"/>
          <a:chOff x="44450" y="3733800"/>
          <a:chExt cx="13644000" cy="190500"/>
        </a:xfrm>
      </xdr:grpSpPr>
      <xdr:sp macro="" textlink="">
        <xdr:nvSpPr>
          <xdr:cNvPr id="43" name="Rectangle 3">
            <a:extLst>
              <a:ext uri="{FF2B5EF4-FFF2-40B4-BE49-F238E27FC236}">
                <a16:creationId xmlns:a16="http://schemas.microsoft.com/office/drawing/2014/main" id="{00000000-0008-0000-0A00-00002B000000}"/>
              </a:ext>
            </a:extLst>
          </xdr:cNvPr>
          <xdr:cNvSpPr>
            <a:spLocks noChangeArrowheads="1"/>
          </xdr:cNvSpPr>
        </xdr:nvSpPr>
        <xdr:spPr bwMode="auto">
          <a:xfrm>
            <a:off x="44450" y="3742941"/>
            <a:ext cx="13644000" cy="181359"/>
          </a:xfrm>
          <a:prstGeom prst="rect">
            <a:avLst/>
          </a:prstGeom>
          <a:solidFill>
            <a:srgbClr val="1F497D"/>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marR="0" lvl="0" indent="0" algn="l" defTabSz="988538" rtl="0" eaLnBrk="0" fontAlgn="base" latinLnBrk="0" hangingPunct="0">
              <a:lnSpc>
                <a:spcPct val="100000"/>
              </a:lnSpc>
              <a:spcBef>
                <a:spcPct val="0"/>
              </a:spcBef>
              <a:spcAft>
                <a:spcPct val="0"/>
              </a:spcAft>
              <a:buClrTx/>
              <a:buSzTx/>
              <a:buFontTx/>
              <a:buNone/>
              <a:tabLst/>
              <a:defRPr/>
            </a:pPr>
            <a:r>
              <a:rPr kumimoji="0" lang="pt-PT" sz="900" b="1" i="1" u="none" strike="noStrike" kern="1200" cap="none" spc="0" normalizeH="0" baseline="0" noProof="0">
                <a:ln>
                  <a:noFill/>
                </a:ln>
                <a:solidFill>
                  <a:sysClr val="window" lastClr="FFFFFF"/>
                </a:solidFill>
                <a:effectLst>
                  <a:outerShdw blurRad="38100" dist="38100" dir="2700000" algn="tl">
                    <a:srgbClr val="000000"/>
                  </a:outerShdw>
                </a:effectLst>
                <a:uLnTx/>
                <a:uFillTx/>
                <a:latin typeface="Calibri"/>
                <a:ea typeface="+mn-ea"/>
                <a:cs typeface="+mn-cs"/>
              </a:rPr>
              <a:t>                                                                                                                                                                 ...Remunerações mensais </a:t>
            </a:r>
          </a:p>
        </xdr:txBody>
      </xdr:sp>
      <xdr:grpSp>
        <xdr:nvGrpSpPr>
          <xdr:cNvPr id="3" name="Agrupar 2">
            <a:extLst>
              <a:ext uri="{FF2B5EF4-FFF2-40B4-BE49-F238E27FC236}">
                <a16:creationId xmlns:a16="http://schemas.microsoft.com/office/drawing/2014/main" id="{00000000-0008-0000-0A00-000003000000}"/>
              </a:ext>
            </a:extLst>
          </xdr:cNvPr>
          <xdr:cNvGrpSpPr/>
        </xdr:nvGrpSpPr>
        <xdr:grpSpPr>
          <a:xfrm>
            <a:off x="5822949" y="3733800"/>
            <a:ext cx="2688750" cy="180000"/>
            <a:chOff x="1631949" y="3733800"/>
            <a:chExt cx="2688750" cy="180000"/>
          </a:xfrm>
        </xdr:grpSpPr>
        <xdr:sp macro="" textlink="">
          <xdr:nvSpPr>
            <xdr:cNvPr id="74" name="Text Box 10">
              <a:extLst>
                <a:ext uri="{FF2B5EF4-FFF2-40B4-BE49-F238E27FC236}">
                  <a16:creationId xmlns:a16="http://schemas.microsoft.com/office/drawing/2014/main" id="{00000000-0008-0000-0A00-00004A000000}"/>
                </a:ext>
              </a:extLst>
            </xdr:cNvPr>
            <xdr:cNvSpPr txBox="1">
              <a:spLocks noChangeArrowheads="1"/>
            </xdr:cNvSpPr>
          </xdr:nvSpPr>
          <xdr:spPr bwMode="auto">
            <a:xfrm>
              <a:off x="1631949" y="3742941"/>
              <a:ext cx="1889751" cy="168659"/>
            </a:xfrm>
            <a:prstGeom prst="rect">
              <a:avLst/>
            </a:prstGeom>
            <a:solidFill>
              <a:schemeClr val="accent1">
                <a:lumMod val="20000"/>
                <a:lumOff val="80000"/>
              </a:schemeClr>
            </a:solidFill>
            <a:ln>
              <a:noFill/>
            </a:ln>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marR="0" lvl="0" indent="0" algn="ctr" defTabSz="914400" rtl="0" eaLnBrk="0" fontAlgn="base" latinLnBrk="0" hangingPunct="0">
                <a:lnSpc>
                  <a:spcPct val="100000"/>
                </a:lnSpc>
                <a:spcBef>
                  <a:spcPct val="50000"/>
                </a:spcBef>
                <a:spcAft>
                  <a:spcPct val="0"/>
                </a:spcAft>
                <a:buClrTx/>
                <a:buSzTx/>
                <a:buFontTx/>
                <a:buNone/>
                <a:tabLst/>
                <a:defRPr/>
              </a:pPr>
              <a:r>
                <a:rPr kumimoji="0" lang="en-US" altLang="pt-PT" sz="900" b="1" i="0" u="none" strike="noStrike" kern="1200" cap="none" spc="0" normalizeH="0" baseline="0" noProof="0">
                  <a:ln>
                    <a:noFill/>
                  </a:ln>
                  <a:solidFill>
                    <a:srgbClr val="1F497D"/>
                  </a:solidFill>
                  <a:effectLst/>
                  <a:uLnTx/>
                  <a:uFillTx/>
                  <a:latin typeface="Calibri"/>
                  <a:ea typeface="+mn-ea"/>
                  <a:cs typeface="+mn-cs"/>
                </a:rPr>
                <a:t>Selecione o tipo de remuneração:</a:t>
              </a:r>
              <a:endParaRPr kumimoji="0" lang="en-US" altLang="pt-PT" sz="900" b="1" i="0" u="none" strike="noStrike" kern="1200" cap="none" spc="0" normalizeH="0" baseline="0" noProof="0">
                <a:ln>
                  <a:noFill/>
                </a:ln>
                <a:solidFill>
                  <a:srgbClr val="1F497D"/>
                </a:solidFill>
                <a:effectLst/>
                <a:uLnTx/>
                <a:uFillTx/>
                <a:latin typeface="Arial" charset="0"/>
                <a:ea typeface="+mn-ea"/>
                <a:cs typeface="+mn-cs"/>
              </a:endParaRPr>
            </a:p>
          </xdr:txBody>
        </xdr:sp>
        <mc:AlternateContent xmlns:mc="http://schemas.openxmlformats.org/markup-compatibility/2006">
          <mc:Choice xmlns:a14="http://schemas.microsoft.com/office/drawing/2010/main" Requires="a14">
            <xdr:sp macro="" textlink="">
              <xdr:nvSpPr>
                <xdr:cNvPr id="421889" name="Drop Down 1" hidden="1">
                  <a:extLst>
                    <a:ext uri="{63B3BB69-23CF-44E3-9099-C40C66FF867C}">
                      <a14:compatExt spid="_x0000_s421889"/>
                    </a:ext>
                    <a:ext uri="{FF2B5EF4-FFF2-40B4-BE49-F238E27FC236}">
                      <a16:creationId xmlns:a16="http://schemas.microsoft.com/office/drawing/2014/main" id="{00000000-0008-0000-0A00-000001700600}"/>
                    </a:ext>
                  </a:extLst>
                </xdr:cNvPr>
                <xdr:cNvSpPr/>
              </xdr:nvSpPr>
              <xdr:spPr bwMode="auto">
                <a:xfrm>
                  <a:off x="3565047" y="3733800"/>
                  <a:ext cx="755652" cy="180000"/>
                </a:xfrm>
                <a:prstGeom prst="rect">
                  <a:avLst/>
                </a:prstGeom>
                <a:noFill/>
                <a:ln>
                  <a:noFill/>
                </a:ln>
                <a:extLst>
                  <a:ext uri="{91240B29-F687-4F45-9708-019B960494DF}">
                    <a14:hiddenLine w="9525">
                      <a:noFill/>
                      <a:miter lim="800000"/>
                      <a:headEnd/>
                      <a:tailEnd/>
                    </a14:hiddenLine>
                  </a:ext>
                </a:extLst>
              </xdr:spPr>
            </xdr:sp>
          </mc:Choice>
          <mc:Fallback/>
        </mc:AlternateContent>
      </xdr:grpSp>
    </xdr:grpSp>
    <xdr:clientData/>
  </xdr:twoCellAnchor>
  <xdr:twoCellAnchor>
    <xdr:from>
      <xdr:col>0</xdr:col>
      <xdr:colOff>103186</xdr:colOff>
      <xdr:row>21</xdr:row>
      <xdr:rowOff>74614</xdr:rowOff>
    </xdr:from>
    <xdr:to>
      <xdr:col>10</xdr:col>
      <xdr:colOff>138723</xdr:colOff>
      <xdr:row>40</xdr:row>
      <xdr:rowOff>69850</xdr:rowOff>
    </xdr:to>
    <xdr:grpSp>
      <xdr:nvGrpSpPr>
        <xdr:cNvPr id="16" name="Agrupar 15">
          <a:extLst>
            <a:ext uri="{FF2B5EF4-FFF2-40B4-BE49-F238E27FC236}">
              <a16:creationId xmlns:a16="http://schemas.microsoft.com/office/drawing/2014/main" id="{00000000-0008-0000-0A00-000010000000}"/>
            </a:ext>
          </a:extLst>
        </xdr:cNvPr>
        <xdr:cNvGrpSpPr/>
      </xdr:nvGrpSpPr>
      <xdr:grpSpPr>
        <a:xfrm>
          <a:off x="103186" y="4075114"/>
          <a:ext cx="5655287" cy="3614736"/>
          <a:chOff x="103186" y="4075114"/>
          <a:chExt cx="5655287" cy="3614736"/>
        </a:xfrm>
      </xdr:grpSpPr>
      <xdr:grpSp>
        <xdr:nvGrpSpPr>
          <xdr:cNvPr id="75" name="Agrupar 74">
            <a:extLst>
              <a:ext uri="{FF2B5EF4-FFF2-40B4-BE49-F238E27FC236}">
                <a16:creationId xmlns:a16="http://schemas.microsoft.com/office/drawing/2014/main" id="{00000000-0008-0000-0A00-00004B000000}"/>
              </a:ext>
            </a:extLst>
          </xdr:cNvPr>
          <xdr:cNvGrpSpPr/>
        </xdr:nvGrpSpPr>
        <xdr:grpSpPr>
          <a:xfrm>
            <a:off x="106362" y="4895850"/>
            <a:ext cx="5645150" cy="2794000"/>
            <a:chOff x="1280582" y="14964350"/>
            <a:chExt cx="8310973" cy="4392567"/>
          </a:xfrm>
        </xdr:grpSpPr>
        <xdr:sp macro="" textlink="q31_q33_Fig!$A$85">
          <xdr:nvSpPr>
            <xdr:cNvPr id="86" name="CaixaDeTexto 1">
              <a:extLst>
                <a:ext uri="{FF2B5EF4-FFF2-40B4-BE49-F238E27FC236}">
                  <a16:creationId xmlns:a16="http://schemas.microsoft.com/office/drawing/2014/main" id="{00000000-0008-0000-0A00-000056000000}"/>
                </a:ext>
              </a:extLst>
            </xdr:cNvPr>
            <xdr:cNvSpPr txBox="1"/>
          </xdr:nvSpPr>
          <xdr:spPr>
            <a:xfrm>
              <a:off x="3271104" y="15025411"/>
              <a:ext cx="5120329" cy="194197"/>
            </a:xfrm>
            <a:prstGeom prst="rect">
              <a:avLst/>
            </a:prstGeom>
          </xdr:spPr>
          <xdr:txBody>
            <a:bodyPr wrap="square" rtlCol="0"/>
            <a:lstStyle>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fld id="{BC8C82DB-20D0-48E7-963C-C224556120D0}" type="TxLink">
                <a:rPr kumimoji="0" lang="en-US" sz="700" b="1" i="0" u="none" strike="noStrike" kern="0" cap="none" spc="0" normalizeH="0" baseline="0" noProof="0">
                  <a:ln>
                    <a:noFill/>
                  </a:ln>
                  <a:solidFill>
                    <a:srgbClr val="1F497D"/>
                  </a:solidFill>
                  <a:effectLst/>
                  <a:uLnTx/>
                  <a:uFillTx/>
                  <a:latin typeface="Calibri"/>
                  <a:ea typeface="Calibri"/>
                  <a:cs typeface="Calibri"/>
                </a:rPr>
                <a:pPr marL="0" marR="0" lvl="0" indent="0" algn="ctr" defTabSz="914400" eaLnBrk="1" fontAlgn="auto" latinLnBrk="0" hangingPunct="1">
                  <a:lnSpc>
                    <a:spcPct val="100000"/>
                  </a:lnSpc>
                  <a:spcBef>
                    <a:spcPts val="0"/>
                  </a:spcBef>
                  <a:spcAft>
                    <a:spcPts val="0"/>
                  </a:spcAft>
                  <a:buClrTx/>
                  <a:buSzTx/>
                  <a:buFontTx/>
                  <a:buNone/>
                  <a:tabLst/>
                  <a:defRPr/>
                </a:pPr>
                <a:t>Ganho mensal mediano, limiar de baixos salários*, remuneração mínima mensal garantida e Incidência de baixos salários</a:t>
              </a:fld>
              <a:endParaRPr kumimoji="0" lang="pt-PT" sz="700" b="1" i="0" u="none" strike="noStrike" kern="0" cap="none" spc="0" normalizeH="0" baseline="0" noProof="0">
                <a:ln>
                  <a:noFill/>
                </a:ln>
                <a:solidFill>
                  <a:srgbClr val="1F497D"/>
                </a:solidFill>
                <a:effectLst/>
                <a:uLnTx/>
                <a:uFillTx/>
                <a:latin typeface="Calibri"/>
              </a:endParaRPr>
            </a:p>
          </xdr:txBody>
        </xdr:sp>
        <xdr:grpSp>
          <xdr:nvGrpSpPr>
            <xdr:cNvPr id="87" name="Agrupar 86">
              <a:extLst>
                <a:ext uri="{FF2B5EF4-FFF2-40B4-BE49-F238E27FC236}">
                  <a16:creationId xmlns:a16="http://schemas.microsoft.com/office/drawing/2014/main" id="{00000000-0008-0000-0A00-000057000000}"/>
                </a:ext>
              </a:extLst>
            </xdr:cNvPr>
            <xdr:cNvGrpSpPr/>
          </xdr:nvGrpSpPr>
          <xdr:grpSpPr>
            <a:xfrm>
              <a:off x="1280582" y="14964350"/>
              <a:ext cx="8310973" cy="4392567"/>
              <a:chOff x="1608665" y="14281725"/>
              <a:chExt cx="8310973" cy="4392567"/>
            </a:xfrm>
          </xdr:grpSpPr>
          <xdr:graphicFrame macro="">
            <xdr:nvGraphicFramePr>
              <xdr:cNvPr id="88" name="Gráfico 87">
                <a:extLst>
                  <a:ext uri="{FF2B5EF4-FFF2-40B4-BE49-F238E27FC236}">
                    <a16:creationId xmlns:a16="http://schemas.microsoft.com/office/drawing/2014/main" id="{00000000-0008-0000-0A00-000058000000}"/>
                  </a:ext>
                </a:extLst>
              </xdr:cNvPr>
              <xdr:cNvGraphicFramePr>
                <a:graphicFrameLocks/>
              </xdr:cNvGraphicFramePr>
            </xdr:nvGraphicFramePr>
            <xdr:xfrm>
              <a:off x="1608665" y="14281725"/>
              <a:ext cx="8310973" cy="4392567"/>
            </xdr:xfrm>
            <a:graphic>
              <a:graphicData uri="http://schemas.openxmlformats.org/drawingml/2006/chart">
                <c:chart xmlns:c="http://schemas.openxmlformats.org/drawingml/2006/chart" xmlns:r="http://schemas.openxmlformats.org/officeDocument/2006/relationships" r:id="rId9"/>
              </a:graphicData>
            </a:graphic>
          </xdr:graphicFrame>
          <xdr:sp macro="" textlink="$A$89">
            <xdr:nvSpPr>
              <xdr:cNvPr id="89" name="CaixaDeTexto 88">
                <a:extLst>
                  <a:ext uri="{FF2B5EF4-FFF2-40B4-BE49-F238E27FC236}">
                    <a16:creationId xmlns:a16="http://schemas.microsoft.com/office/drawing/2014/main" id="{00000000-0008-0000-0A00-000059000000}"/>
                  </a:ext>
                </a:extLst>
              </xdr:cNvPr>
              <xdr:cNvSpPr txBox="1"/>
            </xdr:nvSpPr>
            <xdr:spPr>
              <a:xfrm>
                <a:off x="1826484" y="18274972"/>
                <a:ext cx="8002453" cy="254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35B18F93-1D90-4097-BA73-1F5516C12328}" type="TxLink">
                  <a:rPr lang="en-US" sz="600" b="0" i="0" u="none" strike="noStrike">
                    <a:solidFill>
                      <a:srgbClr val="000000"/>
                    </a:solidFill>
                    <a:latin typeface="Calibri"/>
                    <a:ea typeface="Calibri"/>
                    <a:cs typeface="Calibri"/>
                  </a:rPr>
                  <a:pPr algn="l"/>
                  <a:t> </a:t>
                </a:fld>
                <a:endParaRPr lang="pt-PT" sz="600"/>
              </a:p>
            </xdr:txBody>
          </xdr:sp>
        </xdr:grpSp>
      </xdr:grpSp>
      <xdr:grpSp>
        <xdr:nvGrpSpPr>
          <xdr:cNvPr id="12" name="Agrupar 11">
            <a:extLst>
              <a:ext uri="{FF2B5EF4-FFF2-40B4-BE49-F238E27FC236}">
                <a16:creationId xmlns:a16="http://schemas.microsoft.com/office/drawing/2014/main" id="{00000000-0008-0000-0A00-00000C000000}"/>
              </a:ext>
            </a:extLst>
          </xdr:cNvPr>
          <xdr:cNvGrpSpPr/>
        </xdr:nvGrpSpPr>
        <xdr:grpSpPr>
          <a:xfrm>
            <a:off x="103186" y="4075114"/>
            <a:ext cx="5655287" cy="775511"/>
            <a:chOff x="142876" y="4075114"/>
            <a:chExt cx="5671162" cy="775511"/>
          </a:xfrm>
        </xdr:grpSpPr>
        <xdr:sp macro="" textlink="q31_q33_Fig!$G$114">
          <xdr:nvSpPr>
            <xdr:cNvPr id="90" name="CaixaDeTexto 89">
              <a:extLst>
                <a:ext uri="{FF2B5EF4-FFF2-40B4-BE49-F238E27FC236}">
                  <a16:creationId xmlns:a16="http://schemas.microsoft.com/office/drawing/2014/main" id="{00000000-0008-0000-0A00-00005A000000}"/>
                </a:ext>
              </a:extLst>
            </xdr:cNvPr>
            <xdr:cNvSpPr txBox="1"/>
          </xdr:nvSpPr>
          <xdr:spPr>
            <a:xfrm>
              <a:off x="147638" y="4075114"/>
              <a:ext cx="5666400" cy="180000"/>
            </a:xfrm>
            <a:prstGeom prst="rect">
              <a:avLst/>
            </a:prstGeom>
            <a:solidFill>
              <a:sysClr val="window" lastClr="FFFFFF"/>
            </a:solidFill>
            <a:ln w="25400" cap="flat" cmpd="sng" algn="ctr">
              <a:solidFill>
                <a:srgbClr val="4F81BD"/>
              </a:solidFill>
              <a:prstDash val="solid"/>
            </a:ln>
            <a:effectLst/>
          </xdr:spPr>
          <xdr:txBody>
            <a:bodyPr vertOverflow="clip" horzOverflow="clip" wrap="square" numCol="1" rtlCol="0" anchor="ctr"/>
            <a:lstStyle/>
            <a:p>
              <a:pPr marL="0" marR="0" lvl="0" indent="0" defTabSz="914400" eaLnBrk="1" fontAlgn="auto" latinLnBrk="0" hangingPunct="1">
                <a:lnSpc>
                  <a:spcPct val="100000"/>
                </a:lnSpc>
                <a:spcBef>
                  <a:spcPts val="0"/>
                </a:spcBef>
                <a:spcAft>
                  <a:spcPts val="0"/>
                </a:spcAft>
                <a:buClrTx/>
                <a:buSzTx/>
                <a:buFontTx/>
                <a:buNone/>
                <a:tabLst/>
                <a:defRPr/>
              </a:pPr>
              <a:fld id="{16BB902B-F8DD-439A-91B6-EA25832EC7F0}" type="TxLink">
                <a:rPr kumimoji="0" lang="en-US" sz="800" b="0" i="0" u="none" strike="noStrike" kern="0" cap="none" spc="0" normalizeH="0" baseline="0" noProof="0">
                  <a:ln>
                    <a:noFill/>
                  </a:ln>
                  <a:solidFill>
                    <a:srgbClr val="000000"/>
                  </a:solidFill>
                  <a:effectLst/>
                  <a:uLnTx/>
                  <a:uFillTx/>
                  <a:latin typeface="Calibri"/>
                  <a:ea typeface="Calibri"/>
                  <a:cs typeface="Calibri"/>
                </a:rPr>
                <a:pPr marL="0" marR="0" lvl="0" indent="0" defTabSz="914400" eaLnBrk="1" fontAlgn="auto" latinLnBrk="0" hangingPunct="1">
                  <a:lnSpc>
                    <a:spcPct val="100000"/>
                  </a:lnSpc>
                  <a:spcBef>
                    <a:spcPts val="0"/>
                  </a:spcBef>
                  <a:spcAft>
                    <a:spcPts val="0"/>
                  </a:spcAft>
                  <a:buClrTx/>
                  <a:buSzTx/>
                  <a:buFontTx/>
                  <a:buNone/>
                  <a:tabLst/>
                  <a:defRPr/>
                </a:pPr>
                <a:t>Ganho mediano:Total: 2014 = 787 €; 2024 = 1.191 €; Tx. v. h. = +51,3%.</a:t>
              </a:fld>
              <a:endParaRPr kumimoji="0" lang="en-US" sz="200" b="0" i="0" u="none" strike="noStrike" kern="0" cap="none" spc="0" normalizeH="0" baseline="0" noProof="0">
                <a:ln>
                  <a:noFill/>
                </a:ln>
                <a:solidFill>
                  <a:sysClr val="windowText" lastClr="000000"/>
                </a:solidFill>
                <a:effectLst/>
                <a:uLnTx/>
                <a:uFillTx/>
                <a:latin typeface="+mn-lt"/>
                <a:ea typeface="+mn-ea"/>
                <a:cs typeface="Calibri"/>
              </a:endParaRPr>
            </a:p>
          </xdr:txBody>
        </xdr:sp>
        <xdr:sp macro="" textlink="q31_q33_Fig!$G$120">
          <xdr:nvSpPr>
            <xdr:cNvPr id="91" name="CaixaDeTexto 90">
              <a:extLst>
                <a:ext uri="{FF2B5EF4-FFF2-40B4-BE49-F238E27FC236}">
                  <a16:creationId xmlns:a16="http://schemas.microsoft.com/office/drawing/2014/main" id="{00000000-0008-0000-0A00-00005B000000}"/>
                </a:ext>
              </a:extLst>
            </xdr:cNvPr>
            <xdr:cNvSpPr txBox="1"/>
          </xdr:nvSpPr>
          <xdr:spPr>
            <a:xfrm>
              <a:off x="142876" y="4238625"/>
              <a:ext cx="5667374" cy="612000"/>
            </a:xfrm>
            <a:prstGeom prst="rect">
              <a:avLst/>
            </a:prstGeom>
            <a:solidFill>
              <a:sysClr val="window" lastClr="FFFFFF"/>
            </a:solidFill>
            <a:ln w="25400" cap="flat" cmpd="sng" algn="ctr">
              <a:solidFill>
                <a:srgbClr val="4F81BD"/>
              </a:solidFill>
              <a:prstDash val="solid"/>
            </a:ln>
            <a:effectLst/>
          </xdr:spPr>
          <xdr:txBody>
            <a:bodyPr vertOverflow="clip" horzOverflow="clip" wrap="square" numCol="1" rtlCol="0" anchor="t"/>
            <a:lstStyle/>
            <a:p>
              <a:pPr marL="0" marR="0" lvl="0" indent="0" defTabSz="914400" eaLnBrk="1" fontAlgn="auto" latinLnBrk="0" hangingPunct="1">
                <a:lnSpc>
                  <a:spcPct val="100000"/>
                </a:lnSpc>
                <a:spcBef>
                  <a:spcPts val="0"/>
                </a:spcBef>
                <a:spcAft>
                  <a:spcPts val="0"/>
                </a:spcAft>
                <a:buClrTx/>
                <a:buSzTx/>
                <a:buFontTx/>
                <a:buNone/>
                <a:tabLst/>
                <a:defRPr/>
              </a:pPr>
              <a:fld id="{F008BAC2-699A-46C6-A1DB-8E09F9A90A08}" type="TxLink">
                <a:rPr kumimoji="0" lang="en-US" sz="800" b="0" i="0" u="none" strike="noStrike" kern="0" cap="none" spc="0" normalizeH="0" baseline="0" noProof="0">
                  <a:ln>
                    <a:noFill/>
                  </a:ln>
                  <a:solidFill>
                    <a:srgbClr val="000000"/>
                  </a:solidFill>
                  <a:effectLst/>
                  <a:uLnTx/>
                  <a:uFillTx/>
                  <a:latin typeface="Calibri"/>
                  <a:ea typeface="Calibri"/>
                  <a:cs typeface="Calibri"/>
                </a:rPr>
                <a:pPr marL="0" marR="0" lvl="0" indent="0" defTabSz="914400" eaLnBrk="1" fontAlgn="auto" latinLnBrk="0" hangingPunct="1">
                  <a:lnSpc>
                    <a:spcPct val="100000"/>
                  </a:lnSpc>
                  <a:spcBef>
                    <a:spcPts val="0"/>
                  </a:spcBef>
                  <a:spcAft>
                    <a:spcPts val="0"/>
                  </a:spcAft>
                  <a:buClrTx/>
                  <a:buSzTx/>
                  <a:buFontTx/>
                  <a:buNone/>
                  <a:tabLst/>
                  <a:defRPr/>
                </a:pPr>
                <a:t>Incidência de baixos salários:
2014 - 2016 → T entre 6,78% e 5,86%; H entre 5,01% e 4,38%; M entre 8,87% e 7,59%.
2017 - 2024 → T entre 0,19% e 0,09%; H entre 0,10% e 0,07%; M entre 0,29% e 0,11%.
2017 → RMMG &gt; limiar de baixos salários, pela primeira vez</a:t>
              </a:fld>
              <a:endParaRPr kumimoji="0" lang="en-US" sz="100" b="0" i="0" u="none" strike="noStrike" kern="0" cap="none" spc="0" normalizeH="0" baseline="0" noProof="0">
                <a:ln>
                  <a:noFill/>
                </a:ln>
                <a:solidFill>
                  <a:sysClr val="windowText" lastClr="000000"/>
                </a:solidFill>
                <a:effectLst/>
                <a:uLnTx/>
                <a:uFillTx/>
                <a:latin typeface="+mn-lt"/>
                <a:ea typeface="+mn-ea"/>
                <a:cs typeface="Calibri"/>
              </a:endParaRPr>
            </a:p>
          </xdr:txBody>
        </xdr:sp>
      </xdr:grpSp>
    </xdr:grpSp>
    <xdr:clientData/>
  </xdr:twoCellAnchor>
  <xdr:twoCellAnchor>
    <xdr:from>
      <xdr:col>10</xdr:col>
      <xdr:colOff>355600</xdr:colOff>
      <xdr:row>21</xdr:row>
      <xdr:rowOff>111126</xdr:rowOff>
    </xdr:from>
    <xdr:to>
      <xdr:col>22</xdr:col>
      <xdr:colOff>273050</xdr:colOff>
      <xdr:row>40</xdr:row>
      <xdr:rowOff>19051</xdr:rowOff>
    </xdr:to>
    <xdr:grpSp>
      <xdr:nvGrpSpPr>
        <xdr:cNvPr id="15" name="Agrupar 14">
          <a:extLst>
            <a:ext uri="{FF2B5EF4-FFF2-40B4-BE49-F238E27FC236}">
              <a16:creationId xmlns:a16="http://schemas.microsoft.com/office/drawing/2014/main" id="{00000000-0008-0000-0A00-00000F000000}"/>
            </a:ext>
          </a:extLst>
        </xdr:cNvPr>
        <xdr:cNvGrpSpPr/>
      </xdr:nvGrpSpPr>
      <xdr:grpSpPr>
        <a:xfrm>
          <a:off x="5975350" y="4111626"/>
          <a:ext cx="6756400" cy="3527425"/>
          <a:chOff x="5975350" y="4111626"/>
          <a:chExt cx="6756400" cy="3527425"/>
        </a:xfrm>
      </xdr:grpSpPr>
      <xdr:grpSp>
        <xdr:nvGrpSpPr>
          <xdr:cNvPr id="14" name="Agrupar 13">
            <a:extLst>
              <a:ext uri="{FF2B5EF4-FFF2-40B4-BE49-F238E27FC236}">
                <a16:creationId xmlns:a16="http://schemas.microsoft.com/office/drawing/2014/main" id="{00000000-0008-0000-0A00-00000E000000}"/>
              </a:ext>
            </a:extLst>
          </xdr:cNvPr>
          <xdr:cNvGrpSpPr/>
        </xdr:nvGrpSpPr>
        <xdr:grpSpPr>
          <a:xfrm>
            <a:off x="5975350" y="4581526"/>
            <a:ext cx="6756400" cy="3057525"/>
            <a:chOff x="6146800" y="4905376"/>
            <a:chExt cx="6756400" cy="3057525"/>
          </a:xfrm>
        </xdr:grpSpPr>
        <xdr:grpSp>
          <xdr:nvGrpSpPr>
            <xdr:cNvPr id="93" name="Agrupar 92">
              <a:extLst>
                <a:ext uri="{FF2B5EF4-FFF2-40B4-BE49-F238E27FC236}">
                  <a16:creationId xmlns:a16="http://schemas.microsoft.com/office/drawing/2014/main" id="{00000000-0008-0000-0A00-00005D000000}"/>
                </a:ext>
              </a:extLst>
            </xdr:cNvPr>
            <xdr:cNvGrpSpPr/>
          </xdr:nvGrpSpPr>
          <xdr:grpSpPr>
            <a:xfrm>
              <a:off x="6146800" y="4905376"/>
              <a:ext cx="6756400" cy="3057525"/>
              <a:chOff x="11861134" y="4923062"/>
              <a:chExt cx="7491906" cy="4703777"/>
            </a:xfrm>
          </xdr:grpSpPr>
          <xdr:graphicFrame macro="">
            <xdr:nvGraphicFramePr>
              <xdr:cNvPr id="95" name="Gráfico 94">
                <a:extLst>
                  <a:ext uri="{FF2B5EF4-FFF2-40B4-BE49-F238E27FC236}">
                    <a16:creationId xmlns:a16="http://schemas.microsoft.com/office/drawing/2014/main" id="{00000000-0008-0000-0A00-00005F000000}"/>
                  </a:ext>
                </a:extLst>
              </xdr:cNvPr>
              <xdr:cNvGraphicFramePr>
                <a:graphicFrameLocks/>
              </xdr:cNvGraphicFramePr>
            </xdr:nvGraphicFramePr>
            <xdr:xfrm>
              <a:off x="11861134" y="4923062"/>
              <a:ext cx="7177261" cy="4507469"/>
            </xdr:xfrm>
            <a:graphic>
              <a:graphicData uri="http://schemas.openxmlformats.org/drawingml/2006/chart">
                <c:chart xmlns:c="http://schemas.openxmlformats.org/drawingml/2006/chart" xmlns:r="http://schemas.openxmlformats.org/officeDocument/2006/relationships" r:id="rId10"/>
              </a:graphicData>
            </a:graphic>
          </xdr:graphicFrame>
          <xdr:sp macro="" textlink="">
            <xdr:nvSpPr>
              <xdr:cNvPr id="96" name="CaixaDeTexto 95">
                <a:extLst>
                  <a:ext uri="{FF2B5EF4-FFF2-40B4-BE49-F238E27FC236}">
                    <a16:creationId xmlns:a16="http://schemas.microsoft.com/office/drawing/2014/main" id="{00000000-0008-0000-0A00-000060000000}"/>
                  </a:ext>
                </a:extLst>
              </xdr:cNvPr>
              <xdr:cNvSpPr txBox="1"/>
            </xdr:nvSpPr>
            <xdr:spPr>
              <a:xfrm>
                <a:off x="12028813" y="9049530"/>
                <a:ext cx="7324227" cy="577309"/>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pt-PT" sz="600" b="0" i="0" baseline="0">
                    <a:solidFill>
                      <a:schemeClr val="tx1">
                        <a:lumMod val="50000"/>
                        <a:lumOff val="50000"/>
                      </a:schemeClr>
                    </a:solidFill>
                    <a:effectLst/>
                    <a:latin typeface="+mn-lt"/>
                    <a:ea typeface="+mn-ea"/>
                    <a:cs typeface="+mn-cs"/>
                  </a:rPr>
                  <a:t>Percentis (P) - pontos de corte regulares de uma distribuição acumulada, que dividem os dados ordenados em 100 subconjuntos de dados de igual dimensão. Pk - percentil k, com 1&lt; k &lt; 100.</a:t>
                </a:r>
              </a:p>
              <a:p>
                <a:pPr marL="0" marR="0" lvl="0" indent="0" algn="l" defTabSz="914400" eaLnBrk="1" fontAlgn="auto" latinLnBrk="0" hangingPunct="1">
                  <a:lnSpc>
                    <a:spcPct val="100000"/>
                  </a:lnSpc>
                  <a:spcBef>
                    <a:spcPts val="0"/>
                  </a:spcBef>
                  <a:spcAft>
                    <a:spcPts val="0"/>
                  </a:spcAft>
                  <a:buClrTx/>
                  <a:buSzTx/>
                  <a:buFontTx/>
                  <a:buNone/>
                  <a:tabLst/>
                  <a:defRPr/>
                </a:pPr>
                <a:r>
                  <a:rPr lang="pt-PT" sz="600" b="0" i="0" baseline="0">
                    <a:solidFill>
                      <a:schemeClr val="tx1">
                        <a:lumMod val="50000"/>
                        <a:lumOff val="50000"/>
                      </a:schemeClr>
                    </a:solidFill>
                    <a:effectLst/>
                    <a:latin typeface="+mn-lt"/>
                    <a:ea typeface="+mn-ea"/>
                    <a:cs typeface="+mn-cs"/>
                  </a:rPr>
                  <a:t>Nota: P10 =  1º decil; P20 = 2º decil; P50 = 5º decil = mediana; P80 = 8º decil e P90 = 9º decil.</a:t>
                </a:r>
                <a:endParaRPr kumimoji="0" lang="pt-PT" sz="600" b="0" i="0" u="none" strike="noStrike" kern="0" cap="none" spc="0" normalizeH="0" baseline="0" noProof="0">
                  <a:ln>
                    <a:noFill/>
                  </a:ln>
                  <a:solidFill>
                    <a:schemeClr val="tx1">
                      <a:lumMod val="50000"/>
                      <a:lumOff val="50000"/>
                    </a:schemeClr>
                  </a:solidFill>
                  <a:effectLst/>
                  <a:uLnTx/>
                  <a:uFillTx/>
                  <a:latin typeface="+mn-lt"/>
                  <a:ea typeface="+mn-ea"/>
                  <a:cs typeface="+mn-cs"/>
                </a:endParaRPr>
              </a:p>
            </xdr:txBody>
          </xdr:sp>
        </xdr:grpSp>
        <xdr:sp macro="" textlink="q31_q33_Fig!$AC$31">
          <xdr:nvSpPr>
            <xdr:cNvPr id="94" name="CaixaDeTexto 1">
              <a:extLst>
                <a:ext uri="{FF2B5EF4-FFF2-40B4-BE49-F238E27FC236}">
                  <a16:creationId xmlns:a16="http://schemas.microsoft.com/office/drawing/2014/main" id="{00000000-0008-0000-0A00-00005E000000}"/>
                </a:ext>
              </a:extLst>
            </xdr:cNvPr>
            <xdr:cNvSpPr txBox="1"/>
          </xdr:nvSpPr>
          <xdr:spPr>
            <a:xfrm>
              <a:off x="8134742" y="5244288"/>
              <a:ext cx="2677185" cy="171982"/>
            </a:xfrm>
            <a:prstGeom prst="rect">
              <a:avLst/>
            </a:prstGeom>
          </xdr:spPr>
          <xdr:txBody>
            <a:bodyPr wrap="square" rtlCol="0" anchor="ctr"/>
            <a:lstStyle>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fld id="{C45E0944-B8A1-4568-8AF3-BDE77B7D7965}" type="TxLink">
                <a:rPr kumimoji="0" lang="en-US" sz="700" b="1" i="0" u="none" strike="noStrike" kern="0" cap="none" spc="0" normalizeH="0" baseline="0" noProof="0">
                  <a:ln>
                    <a:noFill/>
                  </a:ln>
                  <a:solidFill>
                    <a:srgbClr val="1F497D"/>
                  </a:solidFill>
                  <a:effectLst/>
                  <a:uLnTx/>
                  <a:uFillTx/>
                  <a:latin typeface="Calibri"/>
                  <a:ea typeface="Calibri"/>
                  <a:cs typeface="Calibri"/>
                </a:rPr>
                <a:pPr marL="0" marR="0" lvl="0" indent="0" algn="ctr" defTabSz="914400" eaLnBrk="1" fontAlgn="auto" latinLnBrk="0" hangingPunct="1">
                  <a:lnSpc>
                    <a:spcPct val="100000"/>
                  </a:lnSpc>
                  <a:spcBef>
                    <a:spcPts val="0"/>
                  </a:spcBef>
                  <a:spcAft>
                    <a:spcPts val="0"/>
                  </a:spcAft>
                  <a:buClrTx/>
                  <a:buSzTx/>
                  <a:buFontTx/>
                  <a:buNone/>
                  <a:tabLst/>
                  <a:defRPr/>
                </a:pPr>
                <a:t>Ganho mensal - percentis (euros)</a:t>
              </a:fld>
              <a:endParaRPr kumimoji="0" lang="pt-PT" sz="800" b="1" i="0" u="none" strike="noStrike" kern="0" cap="none" spc="0" normalizeH="0" baseline="0" noProof="0">
                <a:ln>
                  <a:noFill/>
                </a:ln>
                <a:solidFill>
                  <a:srgbClr val="1F497D"/>
                </a:solidFill>
                <a:effectLst/>
                <a:uLnTx/>
                <a:uFillTx/>
                <a:latin typeface="Calibri"/>
              </a:endParaRPr>
            </a:p>
          </xdr:txBody>
        </xdr:sp>
      </xdr:grpSp>
      <xdr:sp macro="" textlink="q31_q33_Fig!$D$51">
        <xdr:nvSpPr>
          <xdr:cNvPr id="97" name="CaixaDeTexto 96">
            <a:extLst>
              <a:ext uri="{FF2B5EF4-FFF2-40B4-BE49-F238E27FC236}">
                <a16:creationId xmlns:a16="http://schemas.microsoft.com/office/drawing/2014/main" id="{00000000-0008-0000-0A00-000061000000}"/>
              </a:ext>
            </a:extLst>
          </xdr:cNvPr>
          <xdr:cNvSpPr txBox="1"/>
        </xdr:nvSpPr>
        <xdr:spPr>
          <a:xfrm>
            <a:off x="6365875" y="4111626"/>
            <a:ext cx="3997325" cy="666750"/>
          </a:xfrm>
          <a:prstGeom prst="rect">
            <a:avLst/>
          </a:prstGeom>
          <a:solidFill>
            <a:sysClr val="window" lastClr="FFFFFF"/>
          </a:solidFill>
          <a:ln w="25400" cap="flat" cmpd="sng" algn="ctr">
            <a:solidFill>
              <a:srgbClr val="4F81BD"/>
            </a:solidFill>
            <a:prstDash val="solid"/>
          </a:ln>
          <a:effectLst/>
        </xdr:spPr>
        <xdr:txBody>
          <a:bodyPr vertOverflow="clip" horzOverflow="clip" wrap="square" numCol="1" rtlCol="0" anchor="t"/>
          <a:lstStyle/>
          <a:p>
            <a:pPr marL="0" marR="0" lvl="0" indent="0" defTabSz="914400" eaLnBrk="1" fontAlgn="auto" latinLnBrk="0" hangingPunct="1">
              <a:lnSpc>
                <a:spcPct val="100000"/>
              </a:lnSpc>
              <a:spcBef>
                <a:spcPts val="0"/>
              </a:spcBef>
              <a:spcAft>
                <a:spcPts val="0"/>
              </a:spcAft>
              <a:buClrTx/>
              <a:buSzTx/>
              <a:buFontTx/>
              <a:buNone/>
              <a:tabLst/>
              <a:defRPr/>
            </a:pPr>
            <a:fld id="{7859BA15-3A68-4DD3-95B8-C50E45752364}" type="TxLink">
              <a:rPr kumimoji="0" lang="en-US" sz="800" b="0" i="0" u="none" strike="noStrike" kern="0" cap="none" spc="0" normalizeH="0" baseline="0" noProof="0">
                <a:ln>
                  <a:noFill/>
                </a:ln>
                <a:solidFill>
                  <a:srgbClr val="000000"/>
                </a:solidFill>
                <a:effectLst/>
                <a:uLnTx/>
                <a:uFillTx/>
                <a:latin typeface="Calibri"/>
                <a:ea typeface="Calibri"/>
                <a:cs typeface="Calibri"/>
              </a:rPr>
              <a:pPr marL="0" marR="0" lvl="0" indent="0" defTabSz="914400" eaLnBrk="1" fontAlgn="auto" latinLnBrk="0" hangingPunct="1">
                <a:lnSpc>
                  <a:spcPct val="100000"/>
                </a:lnSpc>
                <a:spcBef>
                  <a:spcPts val="0"/>
                </a:spcBef>
                <a:spcAft>
                  <a:spcPts val="0"/>
                </a:spcAft>
                <a:buClrTx/>
                <a:buSzTx/>
                <a:buFontTx/>
                <a:buNone/>
                <a:tabLst/>
                <a:defRPr/>
              </a:pPr>
              <a:t>2014 - 2024: 
P50 e P80: Em 2014, metade dos TCO tinham até 787 euros de remuneração ganho e 80% não recebiam mais do que 1.350 euros. Em 2024, estes valores passaram para 1.191 e 1.893 euros, respetivamente.</a:t>
            </a:fld>
            <a:endParaRPr kumimoji="0" lang="en-US" sz="400" b="0" i="0" u="none" strike="noStrike" kern="0" cap="none" spc="0" normalizeH="0" baseline="0" noProof="0">
              <a:ln>
                <a:noFill/>
              </a:ln>
              <a:solidFill>
                <a:sysClr val="windowText" lastClr="000000"/>
              </a:solidFill>
              <a:effectLst/>
              <a:uLnTx/>
              <a:uFillTx/>
              <a:latin typeface="+mn-lt"/>
              <a:ea typeface="+mn-ea"/>
              <a:cs typeface="Calibri"/>
            </a:endParaRPr>
          </a:p>
        </xdr:txBody>
      </xdr:sp>
      <xdr:sp macro="" textlink="q31_q33_Fig!$D$55">
        <xdr:nvSpPr>
          <xdr:cNvPr id="98" name="CaixaDeTexto 97">
            <a:extLst>
              <a:ext uri="{FF2B5EF4-FFF2-40B4-BE49-F238E27FC236}">
                <a16:creationId xmlns:a16="http://schemas.microsoft.com/office/drawing/2014/main" id="{00000000-0008-0000-0A00-000062000000}"/>
              </a:ext>
            </a:extLst>
          </xdr:cNvPr>
          <xdr:cNvSpPr txBox="1"/>
        </xdr:nvSpPr>
        <xdr:spPr>
          <a:xfrm>
            <a:off x="10444690" y="4119034"/>
            <a:ext cx="2252134" cy="666200"/>
          </a:xfrm>
          <a:prstGeom prst="rect">
            <a:avLst/>
          </a:prstGeom>
          <a:solidFill>
            <a:sysClr val="window" lastClr="FFFFFF"/>
          </a:solidFill>
          <a:ln w="25400" cap="flat" cmpd="sng" algn="ctr">
            <a:solidFill>
              <a:srgbClr val="4F81BD"/>
            </a:solidFill>
            <a:prstDash val="solid"/>
          </a:ln>
          <a:effectLst/>
        </xdr:spPr>
        <xdr:txBody>
          <a:bodyPr vertOverflow="clip" horzOverflow="clip" wrap="square" numCol="1" rtlCol="0" anchor="t"/>
          <a:lstStyle/>
          <a:p>
            <a:pPr marL="0" marR="0" lvl="0" indent="0" defTabSz="914400" eaLnBrk="1" fontAlgn="auto" latinLnBrk="0" hangingPunct="1">
              <a:lnSpc>
                <a:spcPct val="100000"/>
              </a:lnSpc>
              <a:spcBef>
                <a:spcPts val="0"/>
              </a:spcBef>
              <a:spcAft>
                <a:spcPts val="0"/>
              </a:spcAft>
              <a:buClrTx/>
              <a:buSzTx/>
              <a:buFontTx/>
              <a:buNone/>
              <a:tabLst/>
              <a:defRPr/>
            </a:pPr>
            <a:fld id="{052FB518-2D99-47CD-B7BF-C8EF669F3A7F}" type="TxLink">
              <a:rPr kumimoji="0" lang="en-US" sz="800" b="0" i="0" u="none" strike="noStrike" kern="0" cap="none" spc="0" normalizeH="0" baseline="0" noProof="0">
                <a:ln>
                  <a:noFill/>
                </a:ln>
                <a:solidFill>
                  <a:srgbClr val="000000"/>
                </a:solidFill>
                <a:effectLst/>
                <a:uLnTx/>
                <a:uFillTx/>
                <a:latin typeface="Calibri"/>
                <a:ea typeface="Calibri"/>
                <a:cs typeface="Calibri"/>
              </a:rPr>
              <a:pPr marL="0" marR="0" lvl="0" indent="0" defTabSz="914400" eaLnBrk="1" fontAlgn="auto" latinLnBrk="0" hangingPunct="1">
                <a:lnSpc>
                  <a:spcPct val="100000"/>
                </a:lnSpc>
                <a:spcBef>
                  <a:spcPts val="0"/>
                </a:spcBef>
                <a:spcAft>
                  <a:spcPts val="0"/>
                </a:spcAft>
                <a:buClrTx/>
                <a:buSzTx/>
                <a:buFontTx/>
                <a:buNone/>
                <a:tabLst/>
                <a:defRPr/>
              </a:pPr>
              <a:t>Entre 2014 e 2024 observou-se uma redução da desigualdade na remuneração ganho. 
P80/P20: 2,2 → 2,0.
P90/P10: 3,5 → 2,9.</a:t>
            </a:fld>
            <a:endParaRPr kumimoji="0" lang="en-US" sz="200" b="0" i="0" u="none" strike="noStrike" kern="0" cap="none" spc="0" normalizeH="0" baseline="0" noProof="0">
              <a:ln>
                <a:noFill/>
              </a:ln>
              <a:solidFill>
                <a:sysClr val="windowText" lastClr="000000"/>
              </a:solidFill>
              <a:effectLst/>
              <a:uLnTx/>
              <a:uFillTx/>
              <a:latin typeface="+mn-lt"/>
              <a:ea typeface="+mn-ea"/>
              <a:cs typeface="Calibri"/>
            </a:endParaRPr>
          </a:p>
        </xdr:txBody>
      </xdr:sp>
    </xdr:grp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304800</xdr:colOff>
          <xdr:row>1</xdr:row>
          <xdr:rowOff>152400</xdr:rowOff>
        </xdr:from>
        <xdr:to>
          <xdr:col>17</xdr:col>
          <xdr:colOff>1552575</xdr:colOff>
          <xdr:row>3</xdr:row>
          <xdr:rowOff>19050</xdr:rowOff>
        </xdr:to>
        <xdr:sp macro="" textlink="">
          <xdr:nvSpPr>
            <xdr:cNvPr id="50178" name="Drop Down 2" hidden="1">
              <a:extLst>
                <a:ext uri="{63B3BB69-23CF-44E3-9099-C40C66FF867C}">
                  <a14:compatExt spid="_x0000_s50178"/>
                </a:ext>
                <a:ext uri="{FF2B5EF4-FFF2-40B4-BE49-F238E27FC236}">
                  <a16:creationId xmlns:a16="http://schemas.microsoft.com/office/drawing/2014/main" id="{00000000-0008-0000-0B00-000002C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29</xdr:col>
      <xdr:colOff>447675</xdr:colOff>
      <xdr:row>5</xdr:row>
      <xdr:rowOff>66675</xdr:rowOff>
    </xdr:from>
    <xdr:to>
      <xdr:col>35</xdr:col>
      <xdr:colOff>428625</xdr:colOff>
      <xdr:row>22</xdr:row>
      <xdr:rowOff>49950</xdr:rowOff>
    </xdr:to>
    <xdr:graphicFrame macro="">
      <xdr:nvGraphicFramePr>
        <xdr:cNvPr id="4" name="Gráfico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600075</xdr:colOff>
      <xdr:row>25</xdr:row>
      <xdr:rowOff>47626</xdr:rowOff>
    </xdr:from>
    <xdr:to>
      <xdr:col>34</xdr:col>
      <xdr:colOff>561975</xdr:colOff>
      <xdr:row>40</xdr:row>
      <xdr:rowOff>57151</xdr:rowOff>
    </xdr:to>
    <xdr:graphicFrame macro="">
      <xdr:nvGraphicFramePr>
        <xdr:cNvPr id="12" name="Gráfico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171450</xdr:colOff>
      <xdr:row>55</xdr:row>
      <xdr:rowOff>47626</xdr:rowOff>
    </xdr:from>
    <xdr:to>
      <xdr:col>16</xdr:col>
      <xdr:colOff>650876</xdr:colOff>
      <xdr:row>61</xdr:row>
      <xdr:rowOff>152400</xdr:rowOff>
    </xdr:to>
    <xdr:sp macro="" textlink="$R$62">
      <xdr:nvSpPr>
        <xdr:cNvPr id="7" name="CaixaDeTexto 6">
          <a:extLst>
            <a:ext uri="{FF2B5EF4-FFF2-40B4-BE49-F238E27FC236}">
              <a16:creationId xmlns:a16="http://schemas.microsoft.com/office/drawing/2014/main" id="{00000000-0008-0000-0B00-000007000000}"/>
            </a:ext>
          </a:extLst>
        </xdr:cNvPr>
        <xdr:cNvSpPr txBox="1"/>
      </xdr:nvSpPr>
      <xdr:spPr>
        <a:xfrm>
          <a:off x="6562725" y="8972551"/>
          <a:ext cx="5356226" cy="1076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DB323B0-1B39-49DC-90EE-0A64740C439A}" type="TxLink">
            <a:rPr lang="en-US" sz="1000" b="0" i="0" u="none" strike="noStrike">
              <a:solidFill>
                <a:srgbClr val="000000"/>
              </a:solidFill>
              <a:latin typeface="Arial"/>
              <a:cs typeface="Arial"/>
            </a:rPr>
            <a:pPr/>
            <a:t>3 CAE com mais Empresas:
2014: G - Com. por grosso e ret. (…) (27,5%); C - Ind. transf. (12,2%); I - Aloj., rest. e sim. (11,5%).
2024: G - Com. por grosso e ret. (…) (23,4%); F - Construção (12,3%); I - Aloj., rest. e sim. (12,3%).</a:t>
          </a:fld>
          <a:endParaRPr lang="pt-PT" sz="1100"/>
        </a:p>
      </xdr:txBody>
    </xdr:sp>
    <xdr:clientData/>
  </xdr:twoCellAnchor>
  <xdr:twoCellAnchor>
    <xdr:from>
      <xdr:col>17</xdr:col>
      <xdr:colOff>377825</xdr:colOff>
      <xdr:row>111</xdr:row>
      <xdr:rowOff>104774</xdr:rowOff>
    </xdr:from>
    <xdr:to>
      <xdr:col>21</xdr:col>
      <xdr:colOff>377825</xdr:colOff>
      <xdr:row>119</xdr:row>
      <xdr:rowOff>38099</xdr:rowOff>
    </xdr:to>
    <xdr:sp macro="" textlink="$R$110">
      <xdr:nvSpPr>
        <xdr:cNvPr id="42" name="CaixaDeTexto 41">
          <a:extLst>
            <a:ext uri="{FF2B5EF4-FFF2-40B4-BE49-F238E27FC236}">
              <a16:creationId xmlns:a16="http://schemas.microsoft.com/office/drawing/2014/main" id="{00000000-0008-0000-0B00-00002A000000}"/>
            </a:ext>
          </a:extLst>
        </xdr:cNvPr>
        <xdr:cNvSpPr txBox="1"/>
      </xdr:nvSpPr>
      <xdr:spPr>
        <a:xfrm>
          <a:off x="12436475" y="18135599"/>
          <a:ext cx="3800475"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AA16B81-83A1-4D69-8BE8-8702F2EDF9AF}" type="TxLink">
            <a:rPr lang="en-US" sz="1000" b="0" i="0" u="none" strike="noStrike">
              <a:solidFill>
                <a:srgbClr val="000000"/>
              </a:solidFill>
              <a:latin typeface="Arial"/>
              <a:cs typeface="Arial"/>
            </a:rPr>
            <a:pPr/>
            <a:t>Entre 2014 e 2024:
Micro e Pequenas empresas representam cerca de 97% das estruturas;
Micro empresas (1-9 pessoas): entre 81,2% (2024) e 85,0% (2014) ;
Pequenas empresas (10 - 49 pessoas): entre 12,5% (2014) e 15,5% (2024).</a:t>
          </a:fld>
          <a:endParaRPr lang="pt-PT" sz="1100"/>
        </a:p>
      </xdr:txBody>
    </xdr:sp>
    <xdr:clientData/>
  </xdr:twoCellAnchor>
  <xdr:twoCellAnchor>
    <xdr:from>
      <xdr:col>46</xdr:col>
      <xdr:colOff>527050</xdr:colOff>
      <xdr:row>8</xdr:row>
      <xdr:rowOff>69850</xdr:rowOff>
    </xdr:from>
    <xdr:to>
      <xdr:col>54</xdr:col>
      <xdr:colOff>160482</xdr:colOff>
      <xdr:row>28</xdr:row>
      <xdr:rowOff>49068</xdr:rowOff>
    </xdr:to>
    <xdr:grpSp>
      <xdr:nvGrpSpPr>
        <xdr:cNvPr id="43" name="Agrupar 42">
          <a:extLst>
            <a:ext uri="{FF2B5EF4-FFF2-40B4-BE49-F238E27FC236}">
              <a16:creationId xmlns:a16="http://schemas.microsoft.com/office/drawing/2014/main" id="{00000000-0008-0000-0B00-00002B000000}"/>
            </a:ext>
          </a:extLst>
        </xdr:cNvPr>
        <xdr:cNvGrpSpPr/>
      </xdr:nvGrpSpPr>
      <xdr:grpSpPr>
        <a:xfrm>
          <a:off x="31689675" y="1371600"/>
          <a:ext cx="4832495" cy="3154218"/>
          <a:chOff x="36040924" y="8426450"/>
          <a:chExt cx="4819650" cy="2597244"/>
        </a:xfrm>
      </xdr:grpSpPr>
      <xdr:graphicFrame macro="">
        <xdr:nvGraphicFramePr>
          <xdr:cNvPr id="44" name="Gráfico 43">
            <a:extLst>
              <a:ext uri="{FF2B5EF4-FFF2-40B4-BE49-F238E27FC236}">
                <a16:creationId xmlns:a16="http://schemas.microsoft.com/office/drawing/2014/main" id="{00000000-0008-0000-0B00-00002C000000}"/>
              </a:ext>
            </a:extLst>
          </xdr:cNvPr>
          <xdr:cNvGraphicFramePr>
            <a:graphicFrameLocks/>
          </xdr:cNvGraphicFramePr>
        </xdr:nvGraphicFramePr>
        <xdr:xfrm>
          <a:off x="36040924" y="8426450"/>
          <a:ext cx="4819650" cy="259724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5" name="CaixaDeTexto 44">
            <a:extLst>
              <a:ext uri="{FF2B5EF4-FFF2-40B4-BE49-F238E27FC236}">
                <a16:creationId xmlns:a16="http://schemas.microsoft.com/office/drawing/2014/main" id="{00000000-0008-0000-0B00-00002D000000}"/>
              </a:ext>
            </a:extLst>
          </xdr:cNvPr>
          <xdr:cNvSpPr txBox="1"/>
        </xdr:nvSpPr>
        <xdr:spPr>
          <a:xfrm>
            <a:off x="39425587" y="9090837"/>
            <a:ext cx="976378"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Empresas</a:t>
            </a:r>
          </a:p>
        </xdr:txBody>
      </xdr:sp>
      <xdr:sp macro="" textlink="">
        <xdr:nvSpPr>
          <xdr:cNvPr id="46" name="CaixaDeTexto 45">
            <a:extLst>
              <a:ext uri="{FF2B5EF4-FFF2-40B4-BE49-F238E27FC236}">
                <a16:creationId xmlns:a16="http://schemas.microsoft.com/office/drawing/2014/main" id="{00000000-0008-0000-0B00-00002E000000}"/>
              </a:ext>
            </a:extLst>
          </xdr:cNvPr>
          <xdr:cNvSpPr txBox="1"/>
        </xdr:nvSpPr>
        <xdr:spPr>
          <a:xfrm>
            <a:off x="39437830" y="9814607"/>
            <a:ext cx="974547"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Estabelecimentos</a:t>
            </a:r>
          </a:p>
        </xdr:txBody>
      </xdr:sp>
      <xdr:sp macro="" textlink="q1_q2_q5_q6_Fig!$BH$5">
        <xdr:nvSpPr>
          <xdr:cNvPr id="47" name="CaixaDeTexto 46">
            <a:extLst>
              <a:ext uri="{FF2B5EF4-FFF2-40B4-BE49-F238E27FC236}">
                <a16:creationId xmlns:a16="http://schemas.microsoft.com/office/drawing/2014/main" id="{00000000-0008-0000-0B00-00002F000000}"/>
              </a:ext>
            </a:extLst>
          </xdr:cNvPr>
          <xdr:cNvSpPr txBox="1"/>
        </xdr:nvSpPr>
        <xdr:spPr>
          <a:xfrm>
            <a:off x="39438920" y="10117573"/>
            <a:ext cx="976378" cy="2592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B3BF183-0A7B-4E9A-9519-4413FAA583EA}" type="TxLink">
              <a:rPr lang="en-US" sz="1000" b="1" i="0" u="none" strike="noStrike">
                <a:solidFill>
                  <a:schemeClr val="bg1"/>
                </a:solidFill>
                <a:latin typeface="Arial"/>
                <a:ea typeface="+mn-ea"/>
                <a:cs typeface="Arial"/>
              </a:rPr>
              <a:pPr marL="0" indent="0" algn="ctr"/>
              <a:t>6,0%</a:t>
            </a:fld>
            <a:endParaRPr lang="pt-PT" sz="1000" b="1" i="0" u="none" strike="noStrike">
              <a:solidFill>
                <a:schemeClr val="bg1"/>
              </a:solidFill>
              <a:latin typeface="+mn-lt"/>
              <a:ea typeface="+mn-ea"/>
              <a:cs typeface="Arial"/>
            </a:endParaRPr>
          </a:p>
        </xdr:txBody>
      </xdr:sp>
      <xdr:sp macro="" textlink="q1_q2_q5_q6_Fig!$BH$4">
        <xdr:nvSpPr>
          <xdr:cNvPr id="48" name="CaixaDeTexto 47">
            <a:extLst>
              <a:ext uri="{FF2B5EF4-FFF2-40B4-BE49-F238E27FC236}">
                <a16:creationId xmlns:a16="http://schemas.microsoft.com/office/drawing/2014/main" id="{00000000-0008-0000-0B00-000030000000}"/>
              </a:ext>
            </a:extLst>
          </xdr:cNvPr>
          <xdr:cNvSpPr txBox="1"/>
        </xdr:nvSpPr>
        <xdr:spPr>
          <a:xfrm>
            <a:off x="39428763" y="9383789"/>
            <a:ext cx="976378" cy="259200"/>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9C7EAD2-6A40-48E9-B770-012A6C6E2AEE}" type="TxLink">
              <a:rPr lang="en-US" sz="1000" b="1" i="0" u="none" strike="noStrike">
                <a:solidFill>
                  <a:schemeClr val="bg1"/>
                </a:solidFill>
                <a:latin typeface="Arial"/>
                <a:cs typeface="Arial"/>
              </a:rPr>
              <a:pPr algn="ctr"/>
              <a:t>6,9%</a:t>
            </a:fld>
            <a:endParaRPr lang="pt-PT" sz="1000" b="1">
              <a:solidFill>
                <a:schemeClr val="bg1"/>
              </a:solidFill>
              <a:latin typeface="+mn-lt"/>
            </a:endParaRPr>
          </a:p>
        </xdr:txBody>
      </xdr:sp>
    </xdr:grpSp>
    <xdr:clientData/>
  </xdr:twoCellAnchor>
  <xdr:twoCellAnchor>
    <xdr:from>
      <xdr:col>55</xdr:col>
      <xdr:colOff>123825</xdr:colOff>
      <xdr:row>8</xdr:row>
      <xdr:rowOff>123825</xdr:rowOff>
    </xdr:from>
    <xdr:to>
      <xdr:col>59</xdr:col>
      <xdr:colOff>1071825</xdr:colOff>
      <xdr:row>13</xdr:row>
      <xdr:rowOff>70200</xdr:rowOff>
    </xdr:to>
    <xdr:sp macro="" textlink="">
      <xdr:nvSpPr>
        <xdr:cNvPr id="13" name="CaixaDeTexto 12">
          <a:extLst>
            <a:ext uri="{FF2B5EF4-FFF2-40B4-BE49-F238E27FC236}">
              <a16:creationId xmlns:a16="http://schemas.microsoft.com/office/drawing/2014/main" id="{00000000-0008-0000-0B00-00000D000000}"/>
            </a:ext>
          </a:extLst>
        </xdr:cNvPr>
        <xdr:cNvSpPr txBox="1"/>
      </xdr:nvSpPr>
      <xdr:spPr>
        <a:xfrm>
          <a:off x="37023675" y="1438275"/>
          <a:ext cx="3996000" cy="756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900" b="1" u="sng" baseline="0">
              <a:solidFill>
                <a:schemeClr val="dk1"/>
              </a:solidFill>
              <a:effectLst/>
              <a:latin typeface="+mn-lt"/>
              <a:ea typeface="+mn-ea"/>
              <a:cs typeface="+mn-cs"/>
            </a:rPr>
            <a:t>2024:</a:t>
          </a:r>
          <a:r>
            <a:rPr lang="en-US" sz="900" b="1" baseline="0">
              <a:solidFill>
                <a:schemeClr val="dk1"/>
              </a:solidFill>
              <a:effectLst/>
              <a:latin typeface="+mn-lt"/>
              <a:ea typeface="+mn-ea"/>
              <a:cs typeface="+mn-cs"/>
            </a:rPr>
            <a:t>                                                                </a:t>
          </a:r>
          <a:r>
            <a:rPr lang="en-US" sz="900" b="1" u="sng" baseline="0">
              <a:solidFill>
                <a:schemeClr val="dk1"/>
              </a:solidFill>
              <a:effectLst/>
              <a:latin typeface="+mn-lt"/>
              <a:ea typeface="+mn-ea"/>
              <a:cs typeface="+mn-cs"/>
            </a:rPr>
            <a:t>2024 vs. 2023</a:t>
          </a:r>
          <a:r>
            <a:rPr lang="en-US" sz="900" b="1" baseline="0">
              <a:solidFill>
                <a:schemeClr val="dk1"/>
              </a:solidFill>
              <a:effectLst/>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lang="en-US" sz="900" b="0" baseline="0">
              <a:solidFill>
                <a:schemeClr val="dk1"/>
              </a:solidFill>
              <a:effectLst/>
              <a:latin typeface="+mn-lt"/>
              <a:ea typeface="+mn-ea"/>
              <a:cs typeface="+mn-cs"/>
            </a:rPr>
            <a:t>288.773 empresas                                         - 2.489 empresas (-0,9%)</a:t>
          </a:r>
        </a:p>
        <a:p>
          <a:pPr marL="0" marR="0" lvl="0" indent="0" algn="l" defTabSz="914400" eaLnBrk="1" fontAlgn="auto" latinLnBrk="0" hangingPunct="1">
            <a:lnSpc>
              <a:spcPct val="100000"/>
            </a:lnSpc>
            <a:spcBef>
              <a:spcPts val="0"/>
            </a:spcBef>
            <a:spcAft>
              <a:spcPts val="0"/>
            </a:spcAft>
            <a:buClrTx/>
            <a:buSzTx/>
            <a:buFontTx/>
            <a:buNone/>
            <a:tabLst/>
            <a:defRPr/>
          </a:pPr>
          <a:r>
            <a:rPr lang="en-US" sz="900" b="0" baseline="0">
              <a:solidFill>
                <a:schemeClr val="dk1"/>
              </a:solidFill>
              <a:effectLst/>
              <a:latin typeface="+mn-lt"/>
              <a:ea typeface="+mn-ea"/>
              <a:cs typeface="+mn-cs"/>
            </a:rPr>
            <a:t>338.026 estabelecimentos                           - 2.338 estabelecimentos (-0,7%)</a:t>
          </a:r>
        </a:p>
      </xdr:txBody>
    </xdr:sp>
    <xdr:clientData/>
  </xdr:twoCellAnchor>
</xdr:wsDr>
</file>

<file path=xl/drawings/drawing35.xml><?xml version="1.0" encoding="utf-8"?>
<c:userShapes xmlns:c="http://schemas.openxmlformats.org/drawingml/2006/chart">
  <cdr:relSizeAnchor xmlns:cdr="http://schemas.openxmlformats.org/drawingml/2006/chartDrawing">
    <cdr:from>
      <cdr:x>0.7644</cdr:x>
      <cdr:y>0.01741</cdr:y>
    </cdr:from>
    <cdr:to>
      <cdr:x>0.98168</cdr:x>
      <cdr:y>0.10792</cdr:y>
    </cdr:to>
    <cdr:sp macro="" textlink="">
      <cdr:nvSpPr>
        <cdr:cNvPr id="2" name="CaixaDeTexto 1">
          <a:extLst xmlns:a="http://schemas.openxmlformats.org/drawingml/2006/main">
            <a:ext uri="{FF2B5EF4-FFF2-40B4-BE49-F238E27FC236}">
              <a16:creationId xmlns:a16="http://schemas.microsoft.com/office/drawing/2014/main" id="{C1039EE9-AEA0-40B8-AE5B-C8B5A095227E}"/>
            </a:ext>
          </a:extLst>
        </cdr:cNvPr>
        <cdr:cNvSpPr txBox="1"/>
      </cdr:nvSpPr>
      <cdr:spPr>
        <a:xfrm xmlns:a="http://schemas.openxmlformats.org/drawingml/2006/main">
          <a:off x="2781300" y="47625"/>
          <a:ext cx="7905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t-PT" sz="1100"/>
        </a:p>
        <a:p xmlns:a="http://schemas.openxmlformats.org/drawingml/2006/main">
          <a:endParaRPr lang="pt-PT" sz="1100"/>
        </a:p>
      </cdr:txBody>
    </cdr:sp>
  </cdr:relSizeAnchor>
</c:userShapes>
</file>

<file path=xl/drawings/drawing36.xml><?xml version="1.0" encoding="utf-8"?>
<c:userShapes xmlns:c="http://schemas.openxmlformats.org/drawingml/2006/chart">
  <cdr:relSizeAnchor xmlns:cdr="http://schemas.openxmlformats.org/drawingml/2006/chartDrawing">
    <cdr:from>
      <cdr:x>0.08648</cdr:x>
      <cdr:y>0.01534</cdr:y>
    </cdr:from>
    <cdr:to>
      <cdr:x>0.19105</cdr:x>
      <cdr:y>0.1325</cdr:y>
    </cdr:to>
    <cdr:sp macro="" textlink="q1_q2_q5_q6_Fig!$AT$3">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508722" y="-57031"/>
          <a:ext cx="304293" cy="498015"/>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DEA8732-2F74-4FCD-AD99-D92AD00210C4}"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0.52082</cdr:x>
      <cdr:y>0.0087</cdr:y>
    </cdr:from>
    <cdr:to>
      <cdr:x>0.62539</cdr:x>
      <cdr:y>0.12586</cdr:y>
    </cdr:to>
    <cdr:sp macro="" textlink="q1_q2_q5_q6_Fig!$BD$3">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77282" y="-74277"/>
          <a:ext cx="304293" cy="498015"/>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AA1C4EE-35A4-4000-BF47-321A1083B619}"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0.70592</cdr:x>
      <cdr:y>0.02061</cdr:y>
    </cdr:from>
    <cdr:to>
      <cdr:x>0.89226</cdr:x>
      <cdr:y>0.13617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829867" y="-208723"/>
          <a:ext cx="383567" cy="937812"/>
        </a:xfrm>
        <a:prstGeom xmlns:a="http://schemas.openxmlformats.org/drawingml/2006/main" prst="homePlate">
          <a:avLst>
            <a:gd name="adj" fmla="val 50000"/>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1000" b="1">
              <a:solidFill>
                <a:schemeClr val="bg1"/>
              </a:solidFill>
            </a:rPr>
            <a:t>VARIAÇÃO</a:t>
          </a:r>
        </a:p>
      </cdr:txBody>
    </cdr:sp>
  </cdr:relSizeAnchor>
</c:userShapes>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219075</xdr:colOff>
          <xdr:row>2</xdr:row>
          <xdr:rowOff>0</xdr:rowOff>
        </xdr:from>
        <xdr:to>
          <xdr:col>17</xdr:col>
          <xdr:colOff>1466850</xdr:colOff>
          <xdr:row>3</xdr:row>
          <xdr:rowOff>28575</xdr:rowOff>
        </xdr:to>
        <xdr:sp macro="" textlink="">
          <xdr:nvSpPr>
            <xdr:cNvPr id="94209" name="Drop Down 1" hidden="1">
              <a:extLst>
                <a:ext uri="{63B3BB69-23CF-44E3-9099-C40C66FF867C}">
                  <a14:compatExt spid="_x0000_s94209"/>
                </a:ext>
                <a:ext uri="{FF2B5EF4-FFF2-40B4-BE49-F238E27FC236}">
                  <a16:creationId xmlns:a16="http://schemas.microsoft.com/office/drawing/2014/main" id="{00000000-0008-0000-0C00-000001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30</xdr:col>
      <xdr:colOff>215900</xdr:colOff>
      <xdr:row>3</xdr:row>
      <xdr:rowOff>120650</xdr:rowOff>
    </xdr:from>
    <xdr:to>
      <xdr:col>37</xdr:col>
      <xdr:colOff>191152</xdr:colOff>
      <xdr:row>24</xdr:row>
      <xdr:rowOff>28159</xdr:rowOff>
    </xdr:to>
    <xdr:graphicFrame macro="">
      <xdr:nvGraphicFramePr>
        <xdr:cNvPr id="42" name="Gráfico 41">
          <a:extLst>
            <a:ext uri="{FF2B5EF4-FFF2-40B4-BE49-F238E27FC236}">
              <a16:creationId xmlns:a16="http://schemas.microsoft.com/office/drawing/2014/main" id="{00000000-0008-0000-0C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228600</xdr:colOff>
      <xdr:row>26</xdr:row>
      <xdr:rowOff>127000</xdr:rowOff>
    </xdr:from>
    <xdr:to>
      <xdr:col>37</xdr:col>
      <xdr:colOff>74436</xdr:colOff>
      <xdr:row>46</xdr:row>
      <xdr:rowOff>12136</xdr:rowOff>
    </xdr:to>
    <xdr:graphicFrame macro="">
      <xdr:nvGraphicFramePr>
        <xdr:cNvPr id="43" name="Gráfico 42">
          <a:extLst>
            <a:ext uri="{FF2B5EF4-FFF2-40B4-BE49-F238E27FC236}">
              <a16:creationId xmlns:a16="http://schemas.microsoft.com/office/drawing/2014/main" id="{00000000-0008-0000-0C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0</xdr:colOff>
      <xdr:row>7</xdr:row>
      <xdr:rowOff>0</xdr:rowOff>
    </xdr:from>
    <xdr:to>
      <xdr:col>53</xdr:col>
      <xdr:colOff>669955</xdr:colOff>
      <xdr:row>26</xdr:row>
      <xdr:rowOff>141936</xdr:rowOff>
    </xdr:to>
    <xdr:grpSp>
      <xdr:nvGrpSpPr>
        <xdr:cNvPr id="44" name="Agrupar 43">
          <a:extLst>
            <a:ext uri="{FF2B5EF4-FFF2-40B4-BE49-F238E27FC236}">
              <a16:creationId xmlns:a16="http://schemas.microsoft.com/office/drawing/2014/main" id="{00000000-0008-0000-0C00-00002C000000}"/>
            </a:ext>
          </a:extLst>
        </xdr:cNvPr>
        <xdr:cNvGrpSpPr/>
      </xdr:nvGrpSpPr>
      <xdr:grpSpPr>
        <a:xfrm>
          <a:off x="30613350" y="1152525"/>
          <a:ext cx="4870480" cy="3218511"/>
          <a:chOff x="36182300" y="8426450"/>
          <a:chExt cx="4819650" cy="2597244"/>
        </a:xfrm>
      </xdr:grpSpPr>
      <xdr:graphicFrame macro="">
        <xdr:nvGraphicFramePr>
          <xdr:cNvPr id="45" name="Gráfico 44">
            <a:extLst>
              <a:ext uri="{FF2B5EF4-FFF2-40B4-BE49-F238E27FC236}">
                <a16:creationId xmlns:a16="http://schemas.microsoft.com/office/drawing/2014/main" id="{00000000-0008-0000-0C00-00002D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6" name="CaixaDeTexto 45">
            <a:extLst>
              <a:ext uri="{FF2B5EF4-FFF2-40B4-BE49-F238E27FC236}">
                <a16:creationId xmlns:a16="http://schemas.microsoft.com/office/drawing/2014/main" id="{00000000-0008-0000-0C00-00002E000000}"/>
              </a:ext>
            </a:extLst>
          </xdr:cNvPr>
          <xdr:cNvSpPr txBox="1"/>
        </xdr:nvSpPr>
        <xdr:spPr>
          <a:xfrm>
            <a:off x="39514016" y="9085960"/>
            <a:ext cx="977045" cy="257646"/>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Pessoas ao serviço</a:t>
            </a:r>
          </a:p>
        </xdr:txBody>
      </xdr:sp>
      <xdr:sp macro="" textlink="">
        <xdr:nvSpPr>
          <xdr:cNvPr id="47" name="CaixaDeTexto 46">
            <a:extLst>
              <a:ext uri="{FF2B5EF4-FFF2-40B4-BE49-F238E27FC236}">
                <a16:creationId xmlns:a16="http://schemas.microsoft.com/office/drawing/2014/main" id="{00000000-0008-0000-0C00-00002F000000}"/>
              </a:ext>
            </a:extLst>
          </xdr:cNvPr>
          <xdr:cNvSpPr txBox="1"/>
        </xdr:nvSpPr>
        <xdr:spPr>
          <a:xfrm>
            <a:off x="39530506" y="9886770"/>
            <a:ext cx="977045" cy="257646"/>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TCO</a:t>
            </a:r>
          </a:p>
        </xdr:txBody>
      </xdr:sp>
      <xdr:sp macro="" textlink="q11_q13_q15_q17_Fig!$BH$5">
        <xdr:nvSpPr>
          <xdr:cNvPr id="48" name="CaixaDeTexto 47">
            <a:extLst>
              <a:ext uri="{FF2B5EF4-FFF2-40B4-BE49-F238E27FC236}">
                <a16:creationId xmlns:a16="http://schemas.microsoft.com/office/drawing/2014/main" id="{00000000-0008-0000-0C00-000030000000}"/>
              </a:ext>
            </a:extLst>
          </xdr:cNvPr>
          <xdr:cNvSpPr txBox="1"/>
        </xdr:nvSpPr>
        <xdr:spPr>
          <a:xfrm>
            <a:off x="39525173" y="10159489"/>
            <a:ext cx="977045" cy="257646"/>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CB4B404-2108-4C4D-A04B-A6D5F7F0544E}" type="TxLink">
              <a:rPr lang="en-US" sz="1000" b="1" i="0" u="none" strike="noStrike">
                <a:solidFill>
                  <a:schemeClr val="bg1"/>
                </a:solidFill>
                <a:latin typeface="Arial"/>
                <a:ea typeface="+mn-ea"/>
                <a:cs typeface="Arial"/>
              </a:rPr>
              <a:pPr marL="0" indent="0" algn="ctr"/>
              <a:t>36,4%</a:t>
            </a:fld>
            <a:endParaRPr lang="pt-PT" sz="1000" b="1" i="0" u="none" strike="noStrike">
              <a:solidFill>
                <a:schemeClr val="bg1"/>
              </a:solidFill>
              <a:latin typeface="+mn-lt"/>
              <a:ea typeface="+mn-ea"/>
              <a:cs typeface="Arial"/>
            </a:endParaRPr>
          </a:p>
        </xdr:txBody>
      </xdr:sp>
      <xdr:sp macro="" textlink="q11_q13_q15_q17_Fig!$BH$4">
        <xdr:nvSpPr>
          <xdr:cNvPr id="49" name="CaixaDeTexto 48">
            <a:extLst>
              <a:ext uri="{FF2B5EF4-FFF2-40B4-BE49-F238E27FC236}">
                <a16:creationId xmlns:a16="http://schemas.microsoft.com/office/drawing/2014/main" id="{00000000-0008-0000-0C00-000031000000}"/>
              </a:ext>
            </a:extLst>
          </xdr:cNvPr>
          <xdr:cNvSpPr txBox="1"/>
        </xdr:nvSpPr>
        <xdr:spPr>
          <a:xfrm>
            <a:off x="39527026" y="9368566"/>
            <a:ext cx="977045" cy="25764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14234B1-07DF-4947-B48B-976B47D35BDC}" type="TxLink">
              <a:rPr lang="en-US" sz="1000" b="1" i="0" u="none" strike="noStrike">
                <a:solidFill>
                  <a:schemeClr val="bg1"/>
                </a:solidFill>
                <a:latin typeface="Arial"/>
                <a:cs typeface="Arial"/>
              </a:rPr>
              <a:pPr algn="ctr"/>
              <a:t>34,4%</a:t>
            </a:fld>
            <a:endParaRPr lang="pt-PT" sz="1000" b="1">
              <a:solidFill>
                <a:schemeClr val="bg1"/>
              </a:solidFill>
              <a:latin typeface="+mn-lt"/>
            </a:endParaRPr>
          </a:p>
        </xdr:txBody>
      </xdr:sp>
    </xdr:grpSp>
    <xdr:clientData/>
  </xdr:twoCellAnchor>
  <xdr:twoCellAnchor>
    <xdr:from>
      <xdr:col>7</xdr:col>
      <xdr:colOff>381000</xdr:colOff>
      <xdr:row>56</xdr:row>
      <xdr:rowOff>9525</xdr:rowOff>
    </xdr:from>
    <xdr:to>
      <xdr:col>16</xdr:col>
      <xdr:colOff>250826</xdr:colOff>
      <xdr:row>61</xdr:row>
      <xdr:rowOff>104775</xdr:rowOff>
    </xdr:to>
    <xdr:sp macro="" textlink="$R$62">
      <xdr:nvSpPr>
        <xdr:cNvPr id="11" name="CaixaDeTexto 10">
          <a:extLst>
            <a:ext uri="{FF2B5EF4-FFF2-40B4-BE49-F238E27FC236}">
              <a16:creationId xmlns:a16="http://schemas.microsoft.com/office/drawing/2014/main" id="{00000000-0008-0000-0C00-00000B000000}"/>
            </a:ext>
          </a:extLst>
        </xdr:cNvPr>
        <xdr:cNvSpPr txBox="1"/>
      </xdr:nvSpPr>
      <xdr:spPr>
        <a:xfrm>
          <a:off x="6162675" y="9096375"/>
          <a:ext cx="5356226" cy="904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DB323B0-1B39-49DC-90EE-0A64740C439A}" type="TxLink">
            <a:rPr lang="en-US" sz="1000" b="0" i="0" u="none" strike="noStrike">
              <a:solidFill>
                <a:srgbClr val="000000"/>
              </a:solidFill>
              <a:latin typeface="Arial"/>
              <a:cs typeface="Arial"/>
            </a:rPr>
            <a:pPr/>
            <a:t>3 CAE com mais TCO:
2014: C - Ind. transf. (22,7%); G - Com. por grosso e ret. (…) (18,9%); N - Ativ. Admin. e dos serv. apoio (9,7%).
2024: C - Ind. transf. (19,1%); G - Com. por grosso e ret. (…) (17,4%); N - Ativ. Admin. e dos serv. apoio (9,7%).</a:t>
          </a:fld>
          <a:endParaRPr lang="pt-PT" sz="1100"/>
        </a:p>
      </xdr:txBody>
    </xdr:sp>
    <xdr:clientData/>
  </xdr:twoCellAnchor>
  <xdr:twoCellAnchor>
    <xdr:from>
      <xdr:col>17</xdr:col>
      <xdr:colOff>76200</xdr:colOff>
      <xdr:row>112</xdr:row>
      <xdr:rowOff>38100</xdr:rowOff>
    </xdr:from>
    <xdr:to>
      <xdr:col>21</xdr:col>
      <xdr:colOff>381000</xdr:colOff>
      <xdr:row>119</xdr:row>
      <xdr:rowOff>133350</xdr:rowOff>
    </xdr:to>
    <xdr:sp macro="" textlink="$R$110">
      <xdr:nvSpPr>
        <xdr:cNvPr id="13" name="CaixaDeTexto 12">
          <a:extLst>
            <a:ext uri="{FF2B5EF4-FFF2-40B4-BE49-F238E27FC236}">
              <a16:creationId xmlns:a16="http://schemas.microsoft.com/office/drawing/2014/main" id="{00000000-0008-0000-0C00-00000D000000}"/>
            </a:ext>
          </a:extLst>
        </xdr:cNvPr>
        <xdr:cNvSpPr txBox="1"/>
      </xdr:nvSpPr>
      <xdr:spPr>
        <a:xfrm>
          <a:off x="11953875" y="18230850"/>
          <a:ext cx="3800475"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AA16B81-83A1-4D69-8BE8-8702F2EDF9AF}" type="TxLink">
            <a:rPr lang="en-US" sz="1000" b="0" i="0" u="none" strike="noStrike">
              <a:solidFill>
                <a:srgbClr val="000000"/>
              </a:solidFill>
              <a:latin typeface="Arial"/>
              <a:cs typeface="Arial"/>
            </a:rPr>
            <a:pPr/>
            <a:t>Entre 2014 e 2024:
Micro e Pequenos estabelecimentos têm ao serviço mais de 52% dos TCO (entre 52,1% em 2024, e 57,6% em 2014);
Micro estabelecimentos: entre 21,5% (2024)  e 27,0% (2014);
Pequenos estabelecimentos: entre 30,5% (2016)  e 30,8% (2023).</a:t>
          </a:fld>
          <a:endParaRPr lang="pt-PT" sz="1100"/>
        </a:p>
      </xdr:txBody>
    </xdr:sp>
    <xdr:clientData/>
  </xdr:twoCellAnchor>
  <xdr:twoCellAnchor>
    <xdr:from>
      <xdr:col>55</xdr:col>
      <xdr:colOff>171450</xdr:colOff>
      <xdr:row>8</xdr:row>
      <xdr:rowOff>114300</xdr:rowOff>
    </xdr:from>
    <xdr:to>
      <xdr:col>59</xdr:col>
      <xdr:colOff>1119450</xdr:colOff>
      <xdr:row>13</xdr:row>
      <xdr:rowOff>60675</xdr:rowOff>
    </xdr:to>
    <xdr:sp macro="" textlink="">
      <xdr:nvSpPr>
        <xdr:cNvPr id="14" name="CaixaDeTexto 13">
          <a:extLst>
            <a:ext uri="{FF2B5EF4-FFF2-40B4-BE49-F238E27FC236}">
              <a16:creationId xmlns:a16="http://schemas.microsoft.com/office/drawing/2014/main" id="{00000000-0008-0000-0C00-00000E000000}"/>
            </a:ext>
          </a:extLst>
        </xdr:cNvPr>
        <xdr:cNvSpPr txBox="1"/>
      </xdr:nvSpPr>
      <xdr:spPr>
        <a:xfrm>
          <a:off x="36661725" y="1428750"/>
          <a:ext cx="3996000" cy="756000"/>
        </a:xfrm>
        <a:prstGeom prst="rect">
          <a:avLst/>
        </a:prstGeom>
        <a:noFill/>
        <a:ln w="28575" cmpd="sng">
          <a:solidFill>
            <a:srgbClr val="4F81BD"/>
          </a:solidFill>
        </a:ln>
        <a:effectLst/>
      </xdr:spPr>
      <xdr:txBody>
        <a:bodyPr vertOverflow="clip" horzOverflow="clip" wrap="square" rtlCol="0" anchor="ctr"/>
        <a:lstStyle/>
        <a:p>
          <a:pPr eaLnBrk="1" fontAlgn="auto" latinLnBrk="0" hangingPunct="1"/>
          <a:r>
            <a:rPr lang="en-US" sz="900" b="1" u="sng" baseline="0">
              <a:effectLst/>
              <a:latin typeface="+mn-lt"/>
              <a:ea typeface="+mn-ea"/>
              <a:cs typeface="+mn-cs"/>
            </a:rPr>
            <a:t>2024:</a:t>
          </a:r>
          <a:r>
            <a:rPr lang="en-US" sz="900" b="1" baseline="0">
              <a:effectLst/>
              <a:latin typeface="+mn-lt"/>
              <a:ea typeface="+mn-ea"/>
              <a:cs typeface="+mn-cs"/>
            </a:rPr>
            <a:t>                                                           </a:t>
          </a:r>
          <a:r>
            <a:rPr lang="en-US" sz="900" b="1" u="sng" baseline="0">
              <a:effectLst/>
              <a:latin typeface="+mn-lt"/>
              <a:ea typeface="+mn-ea"/>
              <a:cs typeface="+mn-cs"/>
            </a:rPr>
            <a:t>2024 vs. 2023</a:t>
          </a:r>
          <a:r>
            <a:rPr lang="en-US" sz="900" b="1" baseline="0">
              <a:effectLst/>
              <a:latin typeface="+mn-lt"/>
              <a:ea typeface="+mn-ea"/>
              <a:cs typeface="+mn-cs"/>
            </a:rPr>
            <a:t>: </a:t>
          </a:r>
        </a:p>
        <a:p>
          <a:pPr eaLnBrk="1" fontAlgn="auto" latinLnBrk="0" hangingPunct="1"/>
          <a:r>
            <a:rPr lang="en-US" sz="900" b="0" baseline="0">
              <a:effectLst/>
              <a:latin typeface="+mn-lt"/>
              <a:ea typeface="+mn-ea"/>
              <a:cs typeface="+mn-cs"/>
            </a:rPr>
            <a:t>3.544.955 pessoas ao serviço               + 55.372 pessoas ao serviço (+ 1,6%)</a:t>
          </a:r>
        </a:p>
        <a:p>
          <a:pPr eaLnBrk="1" fontAlgn="auto" latinLnBrk="0" hangingPunct="1"/>
          <a:r>
            <a:rPr lang="en-US" sz="900" b="0" baseline="0">
              <a:effectLst/>
              <a:latin typeface="+mn-lt"/>
              <a:ea typeface="+mn-ea"/>
              <a:cs typeface="+mn-cs"/>
            </a:rPr>
            <a:t>3.354.136 TCO                                         + 58.002 TCO (+ 1,8%)</a:t>
          </a:r>
        </a:p>
      </xdr:txBody>
    </xdr:sp>
    <xdr:clientData/>
  </xdr:twoCellAnchor>
</xdr:wsDr>
</file>

<file path=xl/drawings/drawing38.xml><?xml version="1.0" encoding="utf-8"?>
<c:userShapes xmlns:c="http://schemas.openxmlformats.org/drawingml/2006/chart">
  <cdr:relSizeAnchor xmlns:cdr="http://schemas.openxmlformats.org/drawingml/2006/chartDrawing">
    <cdr:from>
      <cdr:x>0.7644</cdr:x>
      <cdr:y>0.01741</cdr:y>
    </cdr:from>
    <cdr:to>
      <cdr:x>0.98168</cdr:x>
      <cdr:y>0.10792</cdr:y>
    </cdr:to>
    <cdr:sp macro="" textlink="">
      <cdr:nvSpPr>
        <cdr:cNvPr id="2" name="CaixaDeTexto 1">
          <a:extLst xmlns:a="http://schemas.openxmlformats.org/drawingml/2006/main">
            <a:ext uri="{FF2B5EF4-FFF2-40B4-BE49-F238E27FC236}">
              <a16:creationId xmlns:a16="http://schemas.microsoft.com/office/drawing/2014/main" id="{C1039EE9-AEA0-40B8-AE5B-C8B5A095227E}"/>
            </a:ext>
          </a:extLst>
        </cdr:cNvPr>
        <cdr:cNvSpPr txBox="1"/>
      </cdr:nvSpPr>
      <cdr:spPr>
        <a:xfrm xmlns:a="http://schemas.openxmlformats.org/drawingml/2006/main">
          <a:off x="2781300" y="47625"/>
          <a:ext cx="7905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t-PT" sz="1100"/>
        </a:p>
        <a:p xmlns:a="http://schemas.openxmlformats.org/drawingml/2006/main">
          <a:endParaRPr lang="pt-PT" sz="1100"/>
        </a:p>
      </cdr:txBody>
    </cdr:sp>
  </cdr:relSizeAnchor>
</c:userShapes>
</file>

<file path=xl/drawings/drawing39.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11_q13_q15_q17_Fig!$AT$3">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487530D-C469-42D2-99C8-D867D33B0AA9}"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11_q13_q15_q17_Fig!$BD$3">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6A548F-78B3-4D72-ADF3-CECE132ACC1D}"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0.69647</cdr:x>
      <cdr:y>0.01779</cdr:y>
    </cdr:from>
    <cdr:to>
      <cdr:x>0.89688</cdr:x>
      <cdr:y>0.1661</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478637" y="-167683"/>
          <a:ext cx="484400" cy="936000"/>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1000" b="1">
              <a:solidFill>
                <a:schemeClr val="bg1"/>
              </a:solidFill>
            </a:rPr>
            <a:t>VARIAÇÃO</a:t>
          </a:r>
        </a:p>
      </cdr:txBody>
    </cdr:sp>
  </cdr:relSizeAnchor>
</c:userShapes>
</file>

<file path=xl/drawings/drawing4.xml><?xml version="1.0" encoding="utf-8"?>
<c:userShapes xmlns:c="http://schemas.openxmlformats.org/drawingml/2006/chart">
  <cdr:relSizeAnchor xmlns:cdr="http://schemas.openxmlformats.org/drawingml/2006/chartDrawing">
    <cdr:from>
      <cdr:x>0.7644</cdr:x>
      <cdr:y>0.01741</cdr:y>
    </cdr:from>
    <cdr:to>
      <cdr:x>0.98168</cdr:x>
      <cdr:y>0.10792</cdr:y>
    </cdr:to>
    <cdr:sp macro="" textlink="">
      <cdr:nvSpPr>
        <cdr:cNvPr id="2" name="CaixaDeTexto 1">
          <a:extLst xmlns:a="http://schemas.openxmlformats.org/drawingml/2006/main">
            <a:ext uri="{FF2B5EF4-FFF2-40B4-BE49-F238E27FC236}">
              <a16:creationId xmlns:a16="http://schemas.microsoft.com/office/drawing/2014/main" id="{C1039EE9-AEA0-40B8-AE5B-C8B5A095227E}"/>
            </a:ext>
          </a:extLst>
        </cdr:cNvPr>
        <cdr:cNvSpPr txBox="1"/>
      </cdr:nvSpPr>
      <cdr:spPr>
        <a:xfrm xmlns:a="http://schemas.openxmlformats.org/drawingml/2006/main">
          <a:off x="2781300" y="47625"/>
          <a:ext cx="7905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t-PT" sz="1100"/>
        </a:p>
        <a:p xmlns:a="http://schemas.openxmlformats.org/drawingml/2006/main">
          <a:endParaRPr lang="pt-PT" sz="1100"/>
        </a:p>
      </cdr:txBody>
    </cdr:sp>
  </cdr:relSizeAnchor>
</c:userShapes>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219075</xdr:colOff>
          <xdr:row>2</xdr:row>
          <xdr:rowOff>0</xdr:rowOff>
        </xdr:from>
        <xdr:to>
          <xdr:col>19</xdr:col>
          <xdr:colOff>66675</xdr:colOff>
          <xdr:row>3</xdr:row>
          <xdr:rowOff>9525</xdr:rowOff>
        </xdr:to>
        <xdr:sp macro="" textlink="">
          <xdr:nvSpPr>
            <xdr:cNvPr id="604161" name="Drop Down 1" hidden="1">
              <a:extLst>
                <a:ext uri="{63B3BB69-23CF-44E3-9099-C40C66FF867C}">
                  <a14:compatExt spid="_x0000_s604161"/>
                </a:ext>
                <a:ext uri="{FF2B5EF4-FFF2-40B4-BE49-F238E27FC236}">
                  <a16:creationId xmlns:a16="http://schemas.microsoft.com/office/drawing/2014/main" id="{00000000-0008-0000-0D00-0000013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30</xdr:col>
      <xdr:colOff>215900</xdr:colOff>
      <xdr:row>3</xdr:row>
      <xdr:rowOff>120650</xdr:rowOff>
    </xdr:from>
    <xdr:to>
      <xdr:col>37</xdr:col>
      <xdr:colOff>191152</xdr:colOff>
      <xdr:row>24</xdr:row>
      <xdr:rowOff>28159</xdr:rowOff>
    </xdr:to>
    <xdr:graphicFrame macro="">
      <xdr:nvGraphicFramePr>
        <xdr:cNvPr id="3" name="Gráfico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45</xdr:col>
      <xdr:colOff>404812</xdr:colOff>
      <xdr:row>10</xdr:row>
      <xdr:rowOff>153987</xdr:rowOff>
    </xdr:from>
    <xdr:to>
      <xdr:col>53</xdr:col>
      <xdr:colOff>465167</xdr:colOff>
      <xdr:row>30</xdr:row>
      <xdr:rowOff>137173</xdr:rowOff>
    </xdr:to>
    <xdr:grpSp>
      <xdr:nvGrpSpPr>
        <xdr:cNvPr id="5" name="Agrupar 4">
          <a:extLst>
            <a:ext uri="{FF2B5EF4-FFF2-40B4-BE49-F238E27FC236}">
              <a16:creationId xmlns:a16="http://schemas.microsoft.com/office/drawing/2014/main" id="{00000000-0008-0000-0D00-000005000000}"/>
            </a:ext>
          </a:extLst>
        </xdr:cNvPr>
        <xdr:cNvGrpSpPr/>
      </xdr:nvGrpSpPr>
      <xdr:grpSpPr>
        <a:xfrm>
          <a:off x="33988375" y="1773237"/>
          <a:ext cx="4878417" cy="3158186"/>
          <a:chOff x="36182300" y="8426450"/>
          <a:chExt cx="4819650" cy="2597244"/>
        </a:xfrm>
      </xdr:grpSpPr>
      <xdr:graphicFrame macro="">
        <xdr:nvGraphicFramePr>
          <xdr:cNvPr id="6" name="Gráfico 5">
            <a:extLst>
              <a:ext uri="{FF2B5EF4-FFF2-40B4-BE49-F238E27FC236}">
                <a16:creationId xmlns:a16="http://schemas.microsoft.com/office/drawing/2014/main" id="{00000000-0008-0000-0D00-000006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CaixaDeTexto 6">
            <a:extLst>
              <a:ext uri="{FF2B5EF4-FFF2-40B4-BE49-F238E27FC236}">
                <a16:creationId xmlns:a16="http://schemas.microsoft.com/office/drawing/2014/main" id="{00000000-0008-0000-0D00-000007000000}"/>
              </a:ext>
            </a:extLst>
          </xdr:cNvPr>
          <xdr:cNvSpPr txBox="1"/>
        </xdr:nvSpPr>
        <xdr:spPr>
          <a:xfrm>
            <a:off x="39514016" y="9085960"/>
            <a:ext cx="977045" cy="257646"/>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Pessoas ao serviço</a:t>
            </a:r>
          </a:p>
        </xdr:txBody>
      </xdr:sp>
      <xdr:sp macro="" textlink="">
        <xdr:nvSpPr>
          <xdr:cNvPr id="8" name="CaixaDeTexto 7">
            <a:extLst>
              <a:ext uri="{FF2B5EF4-FFF2-40B4-BE49-F238E27FC236}">
                <a16:creationId xmlns:a16="http://schemas.microsoft.com/office/drawing/2014/main" id="{00000000-0008-0000-0D00-000008000000}"/>
              </a:ext>
            </a:extLst>
          </xdr:cNvPr>
          <xdr:cNvSpPr txBox="1"/>
        </xdr:nvSpPr>
        <xdr:spPr>
          <a:xfrm>
            <a:off x="39530506" y="9886771"/>
            <a:ext cx="977045" cy="257646"/>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TCO</a:t>
            </a:r>
          </a:p>
        </xdr:txBody>
      </xdr:sp>
      <xdr:sp macro="" textlink="q9_13_16_27_28_39_40_E_Fig!$BG$5">
        <xdr:nvSpPr>
          <xdr:cNvPr id="9" name="CaixaDeTexto 8">
            <a:extLst>
              <a:ext uri="{FF2B5EF4-FFF2-40B4-BE49-F238E27FC236}">
                <a16:creationId xmlns:a16="http://schemas.microsoft.com/office/drawing/2014/main" id="{00000000-0008-0000-0D00-000009000000}"/>
              </a:ext>
            </a:extLst>
          </xdr:cNvPr>
          <xdr:cNvSpPr txBox="1"/>
        </xdr:nvSpPr>
        <xdr:spPr>
          <a:xfrm>
            <a:off x="39525173" y="10159489"/>
            <a:ext cx="977045" cy="257646"/>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A56526F-AF64-4C53-8430-72DBFD8AE5E5}" type="TxLink">
              <a:rPr lang="en-US" sz="1000" b="1" i="0" u="none" strike="noStrike">
                <a:solidFill>
                  <a:schemeClr val="bg1"/>
                </a:solidFill>
                <a:latin typeface="Arial"/>
                <a:ea typeface="+mn-ea"/>
                <a:cs typeface="Arial"/>
              </a:rPr>
              <a:pPr marL="0" indent="0" algn="ctr"/>
              <a:t>22,9%</a:t>
            </a:fld>
            <a:endParaRPr lang="pt-PT" sz="1000" b="1" i="0" u="none" strike="noStrike">
              <a:solidFill>
                <a:schemeClr val="bg1"/>
              </a:solidFill>
              <a:latin typeface="+mn-lt"/>
              <a:ea typeface="+mn-ea"/>
              <a:cs typeface="Arial"/>
            </a:endParaRPr>
          </a:p>
        </xdr:txBody>
      </xdr:sp>
      <xdr:sp macro="" textlink="q9_13_16_27_28_39_40_E_Fig!$BG$4">
        <xdr:nvSpPr>
          <xdr:cNvPr id="10" name="CaixaDeTexto 9">
            <a:extLst>
              <a:ext uri="{FF2B5EF4-FFF2-40B4-BE49-F238E27FC236}">
                <a16:creationId xmlns:a16="http://schemas.microsoft.com/office/drawing/2014/main" id="{00000000-0008-0000-0D00-00000A000000}"/>
              </a:ext>
            </a:extLst>
          </xdr:cNvPr>
          <xdr:cNvSpPr txBox="1"/>
        </xdr:nvSpPr>
        <xdr:spPr>
          <a:xfrm>
            <a:off x="39527026" y="9368566"/>
            <a:ext cx="977045" cy="25764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78CD0FA-78AA-4335-B504-A91FCEF6B5E8}" type="TxLink">
              <a:rPr lang="en-US" sz="1000" b="1" i="0" u="none" strike="noStrike">
                <a:solidFill>
                  <a:schemeClr val="bg1"/>
                </a:solidFill>
                <a:latin typeface="Arial"/>
                <a:cs typeface="Arial"/>
              </a:rPr>
              <a:pPr algn="ctr"/>
              <a:t>22,9%</a:t>
            </a:fld>
            <a:endParaRPr lang="pt-PT" sz="1000" b="1">
              <a:solidFill>
                <a:schemeClr val="bg1"/>
              </a:solidFill>
              <a:latin typeface="+mn-lt"/>
            </a:endParaRPr>
          </a:p>
        </xdr:txBody>
      </xdr:sp>
    </xdr:grpSp>
    <xdr:clientData/>
  </xdr:twoCellAnchor>
  <xdr:twoCellAnchor>
    <xdr:from>
      <xdr:col>7</xdr:col>
      <xdr:colOff>276225</xdr:colOff>
      <xdr:row>54</xdr:row>
      <xdr:rowOff>57150</xdr:rowOff>
    </xdr:from>
    <xdr:to>
      <xdr:col>16</xdr:col>
      <xdr:colOff>146051</xdr:colOff>
      <xdr:row>59</xdr:row>
      <xdr:rowOff>152400</xdr:rowOff>
    </xdr:to>
    <xdr:sp macro="" textlink="$R$62">
      <xdr:nvSpPr>
        <xdr:cNvPr id="11" name="CaixaDeTexto 10">
          <a:extLst>
            <a:ext uri="{FF2B5EF4-FFF2-40B4-BE49-F238E27FC236}">
              <a16:creationId xmlns:a16="http://schemas.microsoft.com/office/drawing/2014/main" id="{00000000-0008-0000-0D00-00000B000000}"/>
            </a:ext>
          </a:extLst>
        </xdr:cNvPr>
        <xdr:cNvSpPr txBox="1"/>
      </xdr:nvSpPr>
      <xdr:spPr>
        <a:xfrm>
          <a:off x="6057900" y="8820150"/>
          <a:ext cx="5356226" cy="904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DB323B0-1B39-49DC-90EE-0A64740C439A}" type="TxLink">
            <a:rPr lang="en-US" sz="1000" b="0" i="0" u="none" strike="noStrike">
              <a:solidFill>
                <a:srgbClr val="000000"/>
              </a:solidFill>
              <a:latin typeface="Arial"/>
              <a:cs typeface="Arial"/>
            </a:rPr>
            <a:pPr/>
            <a:t>3 CAE com mais pessoas:
2014: I - Aloj., rest. e sim. (19,2%); N - Ativ. Admin. e dos serv. apoio (18,6%); G - Com. por grosso e ret. (…) (14,9%).
2024: N - Ativ. Admin. e dos serv. apoio (18,7%); I - Aloj., rest. e sim. (18,3%); F - Construção (12,9%).</a:t>
          </a:fld>
          <a:endParaRPr lang="pt-PT" sz="1100"/>
        </a:p>
      </xdr:txBody>
    </xdr:sp>
    <xdr:clientData/>
  </xdr:twoCellAnchor>
  <xdr:twoCellAnchor>
    <xdr:from>
      <xdr:col>55</xdr:col>
      <xdr:colOff>19050</xdr:colOff>
      <xdr:row>11</xdr:row>
      <xdr:rowOff>9525</xdr:rowOff>
    </xdr:from>
    <xdr:to>
      <xdr:col>59</xdr:col>
      <xdr:colOff>968637</xdr:colOff>
      <xdr:row>15</xdr:row>
      <xdr:rowOff>114650</xdr:rowOff>
    </xdr:to>
    <xdr:sp macro="" textlink="">
      <xdr:nvSpPr>
        <xdr:cNvPr id="13" name="CaixaDeTexto 12">
          <a:extLst>
            <a:ext uri="{FF2B5EF4-FFF2-40B4-BE49-F238E27FC236}">
              <a16:creationId xmlns:a16="http://schemas.microsoft.com/office/drawing/2014/main" id="{00000000-0008-0000-0D00-00000D000000}"/>
            </a:ext>
          </a:extLst>
        </xdr:cNvPr>
        <xdr:cNvSpPr txBox="1"/>
      </xdr:nvSpPr>
      <xdr:spPr>
        <a:xfrm>
          <a:off x="38230175" y="1787525"/>
          <a:ext cx="4005525" cy="740125"/>
        </a:xfrm>
        <a:prstGeom prst="rect">
          <a:avLst/>
        </a:prstGeom>
        <a:noFill/>
        <a:ln w="28575" cmpd="sng">
          <a:solidFill>
            <a:srgbClr val="4F81BD"/>
          </a:solidFill>
        </a:ln>
        <a:effectLst/>
      </xdr:spPr>
      <xdr:txBody>
        <a:bodyPr vertOverflow="clip" horzOverflow="clip" wrap="square" rtlCol="0" anchor="ctr"/>
        <a:lstStyle/>
        <a:p>
          <a:pPr eaLnBrk="1" fontAlgn="auto" latinLnBrk="0" hangingPunct="1"/>
          <a:r>
            <a:rPr lang="en-US" sz="900" b="1" u="sng" baseline="0">
              <a:effectLst/>
              <a:latin typeface="+mn-lt"/>
              <a:ea typeface="+mn-ea"/>
              <a:cs typeface="+mn-cs"/>
            </a:rPr>
            <a:t>2024:</a:t>
          </a:r>
          <a:r>
            <a:rPr lang="en-US" sz="900" b="1" baseline="0">
              <a:effectLst/>
              <a:latin typeface="+mn-lt"/>
              <a:ea typeface="+mn-ea"/>
              <a:cs typeface="+mn-cs"/>
            </a:rPr>
            <a:t>                                                           </a:t>
          </a:r>
          <a:r>
            <a:rPr lang="en-US" sz="900" b="1" u="sng" baseline="0">
              <a:effectLst/>
              <a:latin typeface="+mn-lt"/>
              <a:ea typeface="+mn-ea"/>
              <a:cs typeface="+mn-cs"/>
            </a:rPr>
            <a:t>2024 vs. 2023</a:t>
          </a:r>
          <a:r>
            <a:rPr lang="en-US" sz="900" b="1" baseline="0">
              <a:effectLst/>
              <a:latin typeface="+mn-lt"/>
              <a:ea typeface="+mn-ea"/>
              <a:cs typeface="+mn-cs"/>
            </a:rPr>
            <a:t>: </a:t>
          </a:r>
        </a:p>
        <a:p>
          <a:pPr eaLnBrk="1" fontAlgn="auto" latinLnBrk="0" hangingPunct="1"/>
          <a:r>
            <a:rPr lang="en-US" sz="900" b="0" baseline="0">
              <a:effectLst/>
              <a:latin typeface="+mn-lt"/>
              <a:ea typeface="+mn-ea"/>
              <a:cs typeface="+mn-cs"/>
            </a:rPr>
            <a:t>522.990 pessoas ao serviço               + 97.527 pessoas ao serviço (+ 22,9%)</a:t>
          </a:r>
        </a:p>
        <a:p>
          <a:pPr eaLnBrk="1" fontAlgn="auto" latinLnBrk="0" hangingPunct="1"/>
          <a:r>
            <a:rPr lang="en-US" sz="900" b="0" baseline="0">
              <a:effectLst/>
              <a:latin typeface="+mn-lt"/>
              <a:ea typeface="+mn-ea"/>
              <a:cs typeface="+mn-cs"/>
            </a:rPr>
            <a:t>509.763 TCO                                         + 95.000 TCO (+ 22,9%)</a:t>
          </a:r>
        </a:p>
      </xdr:txBody>
    </xdr:sp>
    <xdr:clientData/>
  </xdr:twoCellAnchor>
  <mc:AlternateContent xmlns:mc="http://schemas.openxmlformats.org/markup-compatibility/2006">
    <mc:Choice xmlns:a14="http://schemas.microsoft.com/office/drawing/2010/main" Requires="a14">
      <xdr:twoCellAnchor editAs="oneCell">
        <xdr:from>
          <xdr:col>23</xdr:col>
          <xdr:colOff>209550</xdr:colOff>
          <xdr:row>90</xdr:row>
          <xdr:rowOff>0</xdr:rowOff>
        </xdr:from>
        <xdr:to>
          <xdr:col>24</xdr:col>
          <xdr:colOff>228601</xdr:colOff>
          <xdr:row>91</xdr:row>
          <xdr:rowOff>19050</xdr:rowOff>
        </xdr:to>
        <xdr:sp macro="" textlink="">
          <xdr:nvSpPr>
            <xdr:cNvPr id="604162" name="Drop Down 2" hidden="1">
              <a:extLst>
                <a:ext uri="{63B3BB69-23CF-44E3-9099-C40C66FF867C}">
                  <a14:compatExt spid="_x0000_s604162"/>
                </a:ext>
                <a:ext uri="{FF2B5EF4-FFF2-40B4-BE49-F238E27FC236}">
                  <a16:creationId xmlns:a16="http://schemas.microsoft.com/office/drawing/2014/main" id="{00000000-0008-0000-0D00-0000023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209550</xdr:colOff>
          <xdr:row>123</xdr:row>
          <xdr:rowOff>0</xdr:rowOff>
        </xdr:from>
        <xdr:to>
          <xdr:col>25</xdr:col>
          <xdr:colOff>228599</xdr:colOff>
          <xdr:row>124</xdr:row>
          <xdr:rowOff>19050</xdr:rowOff>
        </xdr:to>
        <xdr:sp macro="" textlink="">
          <xdr:nvSpPr>
            <xdr:cNvPr id="604163" name="Drop Down 3" hidden="1">
              <a:extLst>
                <a:ext uri="{63B3BB69-23CF-44E3-9099-C40C66FF867C}">
                  <a14:compatExt spid="_x0000_s604163"/>
                </a:ext>
                <a:ext uri="{FF2B5EF4-FFF2-40B4-BE49-F238E27FC236}">
                  <a16:creationId xmlns:a16="http://schemas.microsoft.com/office/drawing/2014/main" id="{00000000-0008-0000-0D00-0000033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209550</xdr:colOff>
          <xdr:row>162</xdr:row>
          <xdr:rowOff>0</xdr:rowOff>
        </xdr:from>
        <xdr:to>
          <xdr:col>23</xdr:col>
          <xdr:colOff>228599</xdr:colOff>
          <xdr:row>163</xdr:row>
          <xdr:rowOff>19050</xdr:rowOff>
        </xdr:to>
        <xdr:sp macro="" textlink="">
          <xdr:nvSpPr>
            <xdr:cNvPr id="604164" name="Drop Down 4" hidden="1">
              <a:extLst>
                <a:ext uri="{63B3BB69-23CF-44E3-9099-C40C66FF867C}">
                  <a14:compatExt spid="_x0000_s604164"/>
                </a:ext>
                <a:ext uri="{FF2B5EF4-FFF2-40B4-BE49-F238E27FC236}">
                  <a16:creationId xmlns:a16="http://schemas.microsoft.com/office/drawing/2014/main" id="{00000000-0008-0000-0D00-0000043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209550</xdr:colOff>
          <xdr:row>194</xdr:row>
          <xdr:rowOff>0</xdr:rowOff>
        </xdr:from>
        <xdr:to>
          <xdr:col>23</xdr:col>
          <xdr:colOff>228599</xdr:colOff>
          <xdr:row>195</xdr:row>
          <xdr:rowOff>19050</xdr:rowOff>
        </xdr:to>
        <xdr:sp macro="" textlink="">
          <xdr:nvSpPr>
            <xdr:cNvPr id="604165" name="Drop Down 5" hidden="1">
              <a:extLst>
                <a:ext uri="{63B3BB69-23CF-44E3-9099-C40C66FF867C}">
                  <a14:compatExt spid="_x0000_s604165"/>
                </a:ext>
                <a:ext uri="{FF2B5EF4-FFF2-40B4-BE49-F238E27FC236}">
                  <a16:creationId xmlns:a16="http://schemas.microsoft.com/office/drawing/2014/main" id="{00000000-0008-0000-0D00-0000053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21</xdr:col>
      <xdr:colOff>114300</xdr:colOff>
      <xdr:row>203</xdr:row>
      <xdr:rowOff>19050</xdr:rowOff>
    </xdr:from>
    <xdr:to>
      <xdr:col>29</xdr:col>
      <xdr:colOff>276225</xdr:colOff>
      <xdr:row>229</xdr:row>
      <xdr:rowOff>152399</xdr:rowOff>
    </xdr:to>
    <xdr:grpSp>
      <xdr:nvGrpSpPr>
        <xdr:cNvPr id="46" name="Agrupar 45">
          <a:extLst>
            <a:ext uri="{FF2B5EF4-FFF2-40B4-BE49-F238E27FC236}">
              <a16:creationId xmlns:a16="http://schemas.microsoft.com/office/drawing/2014/main" id="{00000000-0008-0000-0D00-00002E000000}"/>
            </a:ext>
          </a:extLst>
        </xdr:cNvPr>
        <xdr:cNvGrpSpPr/>
      </xdr:nvGrpSpPr>
      <xdr:grpSpPr>
        <a:xfrm>
          <a:off x="16767175" y="34642425"/>
          <a:ext cx="6654800" cy="4260849"/>
          <a:chOff x="15487650" y="33918525"/>
          <a:chExt cx="5038725" cy="4343399"/>
        </a:xfrm>
      </xdr:grpSpPr>
      <xdr:grpSp>
        <xdr:nvGrpSpPr>
          <xdr:cNvPr id="45" name="Agrupar 44">
            <a:extLst>
              <a:ext uri="{FF2B5EF4-FFF2-40B4-BE49-F238E27FC236}">
                <a16:creationId xmlns:a16="http://schemas.microsoft.com/office/drawing/2014/main" id="{00000000-0008-0000-0D00-00002D000000}"/>
              </a:ext>
            </a:extLst>
          </xdr:cNvPr>
          <xdr:cNvGrpSpPr/>
        </xdr:nvGrpSpPr>
        <xdr:grpSpPr>
          <a:xfrm>
            <a:off x="17868921" y="33918525"/>
            <a:ext cx="2657454" cy="4036950"/>
            <a:chOff x="18268971" y="34185225"/>
            <a:chExt cx="2492523" cy="3779775"/>
          </a:xfrm>
        </xdr:grpSpPr>
        <xdr:pic>
          <xdr:nvPicPr>
            <xdr:cNvPr id="65" name="Imagem 64" descr="C:\Users\lsbgep7346\Downloads\ChatGPT Image 11_05_2026, 15_30_11.png">
              <a:extLst>
                <a:ext uri="{FF2B5EF4-FFF2-40B4-BE49-F238E27FC236}">
                  <a16:creationId xmlns:a16="http://schemas.microsoft.com/office/drawing/2014/main" id="{00000000-0008-0000-0D00-00004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268971" y="34290000"/>
              <a:ext cx="2492523" cy="3672000"/>
            </a:xfrm>
            <a:prstGeom prst="rect">
              <a:avLst/>
            </a:prstGeom>
            <a:noFill/>
            <a:extLst>
              <a:ext uri="{909E8E84-426E-40DD-AFC4-6F175D3DCCD1}">
                <a14:hiddenFill xmlns:a14="http://schemas.microsoft.com/office/drawing/2010/main">
                  <a:solidFill>
                    <a:srgbClr val="FFFFFF"/>
                  </a:solidFill>
                </a14:hiddenFill>
              </a:ext>
            </a:extLst>
          </xdr:spPr>
        </xdr:pic>
        <xdr:graphicFrame macro="">
          <xdr:nvGraphicFramePr>
            <xdr:cNvPr id="55" name="Gráfico 54">
              <a:extLst>
                <a:ext uri="{FF2B5EF4-FFF2-40B4-BE49-F238E27FC236}">
                  <a16:creationId xmlns:a16="http://schemas.microsoft.com/office/drawing/2014/main" id="{00000000-0008-0000-0D00-000037000000}"/>
                </a:ext>
              </a:extLst>
            </xdr:cNvPr>
            <xdr:cNvGraphicFramePr>
              <a:graphicFrameLocks/>
            </xdr:cNvGraphicFramePr>
          </xdr:nvGraphicFramePr>
          <xdr:xfrm>
            <a:off x="18897601" y="34185225"/>
            <a:ext cx="819150" cy="1019176"/>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56" name="Gráfico 55">
              <a:extLst>
                <a:ext uri="{FF2B5EF4-FFF2-40B4-BE49-F238E27FC236}">
                  <a16:creationId xmlns:a16="http://schemas.microsoft.com/office/drawing/2014/main" id="{00000000-0008-0000-0D00-000038000000}"/>
                </a:ext>
              </a:extLst>
            </xdr:cNvPr>
            <xdr:cNvGraphicFramePr>
              <a:graphicFrameLocks/>
            </xdr:cNvGraphicFramePr>
          </xdr:nvGraphicFramePr>
          <xdr:xfrm>
            <a:off x="19478625" y="34880551"/>
            <a:ext cx="800100" cy="1008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59" name="Gráfico 58">
              <a:extLst>
                <a:ext uri="{FF2B5EF4-FFF2-40B4-BE49-F238E27FC236}">
                  <a16:creationId xmlns:a16="http://schemas.microsoft.com/office/drawing/2014/main" id="{00000000-0008-0000-0D00-00003B000000}"/>
                </a:ext>
              </a:extLst>
            </xdr:cNvPr>
            <xdr:cNvGraphicFramePr>
              <a:graphicFrameLocks/>
            </xdr:cNvGraphicFramePr>
          </xdr:nvGraphicFramePr>
          <xdr:xfrm>
            <a:off x="18440400" y="35852100"/>
            <a:ext cx="800100" cy="100800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57" name="Gráfico 56">
              <a:extLst>
                <a:ext uri="{FF2B5EF4-FFF2-40B4-BE49-F238E27FC236}">
                  <a16:creationId xmlns:a16="http://schemas.microsoft.com/office/drawing/2014/main" id="{00000000-0008-0000-0D00-000039000000}"/>
                </a:ext>
              </a:extLst>
            </xdr:cNvPr>
            <xdr:cNvGraphicFramePr>
              <a:graphicFrameLocks/>
            </xdr:cNvGraphicFramePr>
          </xdr:nvGraphicFramePr>
          <xdr:xfrm>
            <a:off x="19230975" y="35985450"/>
            <a:ext cx="800100" cy="100800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66" name="Gráfico 65">
              <a:extLst>
                <a:ext uri="{FF2B5EF4-FFF2-40B4-BE49-F238E27FC236}">
                  <a16:creationId xmlns:a16="http://schemas.microsoft.com/office/drawing/2014/main" id="{00000000-0008-0000-0D00-000042000000}"/>
                </a:ext>
              </a:extLst>
            </xdr:cNvPr>
            <xdr:cNvGraphicFramePr>
              <a:graphicFrameLocks/>
            </xdr:cNvGraphicFramePr>
          </xdr:nvGraphicFramePr>
          <xdr:xfrm>
            <a:off x="18754725" y="36957000"/>
            <a:ext cx="800100" cy="1008000"/>
          </xdr:xfrm>
          <a:graphic>
            <a:graphicData uri="http://schemas.openxmlformats.org/drawingml/2006/chart">
              <c:chart xmlns:c="http://schemas.openxmlformats.org/drawingml/2006/chart" xmlns:r="http://schemas.openxmlformats.org/officeDocument/2006/relationships" r:id="rId8"/>
            </a:graphicData>
          </a:graphic>
        </xdr:graphicFrame>
      </xdr:grpSp>
      <xdr:graphicFrame macro="">
        <xdr:nvGraphicFramePr>
          <xdr:cNvPr id="53" name="Gráfico 52">
            <a:extLst>
              <a:ext uri="{FF2B5EF4-FFF2-40B4-BE49-F238E27FC236}">
                <a16:creationId xmlns:a16="http://schemas.microsoft.com/office/drawing/2014/main" id="{00000000-0008-0000-0D00-000035000000}"/>
              </a:ext>
            </a:extLst>
          </xdr:cNvPr>
          <xdr:cNvGraphicFramePr>
            <a:graphicFrameLocks/>
          </xdr:cNvGraphicFramePr>
        </xdr:nvGraphicFramePr>
        <xdr:xfrm>
          <a:off x="15487650" y="34023299"/>
          <a:ext cx="2771775" cy="4238625"/>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mc:AlternateContent xmlns:mc="http://schemas.openxmlformats.org/markup-compatibility/2006">
    <mc:Choice xmlns:a14="http://schemas.microsoft.com/office/drawing/2010/main" Requires="a14">
      <xdr:twoCellAnchor editAs="oneCell">
        <xdr:from>
          <xdr:col>20</xdr:col>
          <xdr:colOff>581025</xdr:colOff>
          <xdr:row>234</xdr:row>
          <xdr:rowOff>123825</xdr:rowOff>
        </xdr:from>
        <xdr:to>
          <xdr:col>21</xdr:col>
          <xdr:colOff>687388</xdr:colOff>
          <xdr:row>235</xdr:row>
          <xdr:rowOff>133350</xdr:rowOff>
        </xdr:to>
        <xdr:sp macro="" textlink="">
          <xdr:nvSpPr>
            <xdr:cNvPr id="604166" name="Drop Down 6" hidden="1">
              <a:extLst>
                <a:ext uri="{63B3BB69-23CF-44E3-9099-C40C66FF867C}">
                  <a14:compatExt spid="_x0000_s604166"/>
                </a:ext>
                <a:ext uri="{FF2B5EF4-FFF2-40B4-BE49-F238E27FC236}">
                  <a16:creationId xmlns:a16="http://schemas.microsoft.com/office/drawing/2014/main" id="{00000000-0008-0000-0D00-0000063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495298</xdr:colOff>
      <xdr:row>258</xdr:row>
      <xdr:rowOff>152400</xdr:rowOff>
    </xdr:from>
    <xdr:to>
      <xdr:col>24</xdr:col>
      <xdr:colOff>379531</xdr:colOff>
      <xdr:row>279</xdr:row>
      <xdr:rowOff>3704</xdr:rowOff>
    </xdr:to>
    <xdr:grpSp>
      <xdr:nvGrpSpPr>
        <xdr:cNvPr id="70" name="Agrupar 69">
          <a:extLst>
            <a:ext uri="{FF2B5EF4-FFF2-40B4-BE49-F238E27FC236}">
              <a16:creationId xmlns:a16="http://schemas.microsoft.com/office/drawing/2014/main" id="{00000000-0008-0000-0D00-000046000000}"/>
            </a:ext>
          </a:extLst>
        </xdr:cNvPr>
        <xdr:cNvGrpSpPr/>
      </xdr:nvGrpSpPr>
      <xdr:grpSpPr>
        <a:xfrm>
          <a:off x="14973298" y="43507025"/>
          <a:ext cx="4837233" cy="3185054"/>
          <a:chOff x="18293291" y="17907757"/>
          <a:chExt cx="5464201" cy="3534079"/>
        </a:xfrm>
      </xdr:grpSpPr>
      <xdr:grpSp>
        <xdr:nvGrpSpPr>
          <xdr:cNvPr id="71" name="Agrupar 70">
            <a:extLst>
              <a:ext uri="{FF2B5EF4-FFF2-40B4-BE49-F238E27FC236}">
                <a16:creationId xmlns:a16="http://schemas.microsoft.com/office/drawing/2014/main" id="{00000000-0008-0000-0D00-000047000000}"/>
              </a:ext>
            </a:extLst>
          </xdr:cNvPr>
          <xdr:cNvGrpSpPr/>
        </xdr:nvGrpSpPr>
        <xdr:grpSpPr>
          <a:xfrm>
            <a:off x="18293291" y="17938754"/>
            <a:ext cx="2846916" cy="3503082"/>
            <a:chOff x="20214167" y="14049372"/>
            <a:chExt cx="2846916" cy="2603503"/>
          </a:xfrm>
        </xdr:grpSpPr>
        <xdr:graphicFrame macro="">
          <xdr:nvGraphicFramePr>
            <xdr:cNvPr id="78" name="Gráfico 77">
              <a:extLst>
                <a:ext uri="{FF2B5EF4-FFF2-40B4-BE49-F238E27FC236}">
                  <a16:creationId xmlns:a16="http://schemas.microsoft.com/office/drawing/2014/main" id="{00000000-0008-0000-0D00-00004E000000}"/>
                </a:ext>
              </a:extLst>
            </xdr:cNvPr>
            <xdr:cNvGraphicFramePr>
              <a:graphicFrameLocks/>
            </xdr:cNvGraphicFramePr>
          </xdr:nvGraphicFramePr>
          <xdr:xfrm>
            <a:off x="20214167" y="14271625"/>
            <a:ext cx="2846916" cy="2381250"/>
          </xdr:xfrm>
          <a:graphic>
            <a:graphicData uri="http://schemas.openxmlformats.org/drawingml/2006/chart">
              <c:chart xmlns:c="http://schemas.openxmlformats.org/drawingml/2006/chart" xmlns:r="http://schemas.openxmlformats.org/officeDocument/2006/relationships" r:id="rId10"/>
            </a:graphicData>
          </a:graphic>
        </xdr:graphicFrame>
        <xdr:sp macro="" textlink="q9_13_16_27_28_39_40_E_Fig!$T$250">
          <xdr:nvSpPr>
            <xdr:cNvPr id="79" name="CaixaDeTexto 78">
              <a:extLst>
                <a:ext uri="{FF2B5EF4-FFF2-40B4-BE49-F238E27FC236}">
                  <a16:creationId xmlns:a16="http://schemas.microsoft.com/office/drawing/2014/main" id="{00000000-0008-0000-0D00-00004F000000}"/>
                </a:ext>
              </a:extLst>
            </xdr:cNvPr>
            <xdr:cNvSpPr txBox="1"/>
          </xdr:nvSpPr>
          <xdr:spPr>
            <a:xfrm>
              <a:off x="20489329" y="14220587"/>
              <a:ext cx="999709" cy="103652"/>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564A8FA-328F-4C77-9898-42FBFFDC01A7}" type="TxLink">
                <a:rPr kumimoji="0" lang="en-US" sz="800" b="1" i="0" u="none" strike="noStrike" kern="0" cap="none" spc="0" normalizeH="0" baseline="0" noProof="0">
                  <a:ln>
                    <a:noFill/>
                  </a:ln>
                  <a:solidFill>
                    <a:srgbClr val="000000"/>
                  </a:solidFill>
                  <a:effectLst/>
                  <a:uLnTx/>
                  <a:uFillTx/>
                  <a:latin typeface="Calibri"/>
                  <a:ea typeface="Calibri"/>
                  <a:cs typeface="Calibri"/>
                </a:rPr>
                <a:pPr marL="0" marR="0" lvl="0" indent="0" algn="ctr" defTabSz="914400" eaLnBrk="1" fontAlgn="auto" latinLnBrk="0" hangingPunct="1">
                  <a:lnSpc>
                    <a:spcPct val="100000"/>
                  </a:lnSpc>
                  <a:spcBef>
                    <a:spcPts val="0"/>
                  </a:spcBef>
                  <a:spcAft>
                    <a:spcPts val="0"/>
                  </a:spcAft>
                  <a:buClrTx/>
                  <a:buSzTx/>
                  <a:buFontTx/>
                  <a:buNone/>
                  <a:tabLst/>
                  <a:defRPr/>
                </a:pPr>
                <a:t>1.165,07 €</a:t>
              </a:fld>
              <a:endParaRPr kumimoji="0" lang="pt-PT" sz="6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80" name="CaixaDeTexto 79">
              <a:extLst>
                <a:ext uri="{FF2B5EF4-FFF2-40B4-BE49-F238E27FC236}">
                  <a16:creationId xmlns:a16="http://schemas.microsoft.com/office/drawing/2014/main" id="{00000000-0008-0000-0D00-000050000000}"/>
                </a:ext>
              </a:extLst>
            </xdr:cNvPr>
            <xdr:cNvSpPr txBox="1"/>
          </xdr:nvSpPr>
          <xdr:spPr>
            <a:xfrm>
              <a:off x="20489332" y="14049372"/>
              <a:ext cx="1055248" cy="139765"/>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sp macro="" textlink="q9_13_16_27_28_39_40_E_Fig!$T$251">
          <xdr:nvSpPr>
            <xdr:cNvPr id="81" name="CaixaDeTexto 80">
              <a:extLst>
                <a:ext uri="{FF2B5EF4-FFF2-40B4-BE49-F238E27FC236}">
                  <a16:creationId xmlns:a16="http://schemas.microsoft.com/office/drawing/2014/main" id="{00000000-0008-0000-0D00-000051000000}"/>
                </a:ext>
              </a:extLst>
            </xdr:cNvPr>
            <xdr:cNvSpPr txBox="1"/>
          </xdr:nvSpPr>
          <xdr:spPr>
            <a:xfrm>
              <a:off x="20489329" y="14370432"/>
              <a:ext cx="999709" cy="107547"/>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7FA860F-B297-43A1-ACAD-812505EDC00F}" type="TxLink">
                <a:rPr kumimoji="0" lang="en-US" sz="800" b="1" i="0" u="none" strike="noStrike" kern="0" cap="none" spc="0" normalizeH="0" baseline="0" noProof="0">
                  <a:ln>
                    <a:noFill/>
                  </a:ln>
                  <a:solidFill>
                    <a:srgbClr val="000000"/>
                  </a:solidFill>
                  <a:effectLst/>
                  <a:uLnTx/>
                  <a:uFillTx/>
                  <a:latin typeface="Calibri"/>
                  <a:ea typeface="Calibri"/>
                  <a:cs typeface="Calibri"/>
                </a:rPr>
                <a:pPr marL="0" marR="0" lvl="0" indent="0" algn="ctr" defTabSz="914400" eaLnBrk="1" fontAlgn="auto" latinLnBrk="0" hangingPunct="1">
                  <a:lnSpc>
                    <a:spcPct val="100000"/>
                  </a:lnSpc>
                  <a:spcBef>
                    <a:spcPts val="0"/>
                  </a:spcBef>
                  <a:spcAft>
                    <a:spcPts val="0"/>
                  </a:spcAft>
                  <a:buClrTx/>
                  <a:buSzTx/>
                  <a:buFontTx/>
                  <a:buNone/>
                  <a:tabLst/>
                  <a:defRPr/>
                </a:pPr>
                <a:t>1.385,12 €</a:t>
              </a:fld>
              <a:endParaRPr kumimoji="0" lang="pt-PT" sz="7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72" name="Agrupar 71">
            <a:extLst>
              <a:ext uri="{FF2B5EF4-FFF2-40B4-BE49-F238E27FC236}">
                <a16:creationId xmlns:a16="http://schemas.microsoft.com/office/drawing/2014/main" id="{00000000-0008-0000-0D00-000048000000}"/>
              </a:ext>
            </a:extLst>
          </xdr:cNvPr>
          <xdr:cNvGrpSpPr/>
        </xdr:nvGrpSpPr>
        <xdr:grpSpPr>
          <a:xfrm>
            <a:off x="20418297" y="17907757"/>
            <a:ext cx="3339195" cy="3327698"/>
            <a:chOff x="21145612" y="14869909"/>
            <a:chExt cx="2936476" cy="3090007"/>
          </a:xfrm>
        </xdr:grpSpPr>
        <xdr:graphicFrame macro="">
          <xdr:nvGraphicFramePr>
            <xdr:cNvPr id="73" name="Gráfico 72">
              <a:extLst>
                <a:ext uri="{FF2B5EF4-FFF2-40B4-BE49-F238E27FC236}">
                  <a16:creationId xmlns:a16="http://schemas.microsoft.com/office/drawing/2014/main" id="{00000000-0008-0000-0D00-000049000000}"/>
                </a:ext>
              </a:extLst>
            </xdr:cNvPr>
            <xdr:cNvGraphicFramePr/>
          </xdr:nvGraphicFramePr>
          <xdr:xfrm>
            <a:off x="21145612" y="14869909"/>
            <a:ext cx="2778125" cy="3090007"/>
          </xdr:xfrm>
          <a:graphic>
            <a:graphicData uri="http://schemas.openxmlformats.org/drawingml/2006/chart">
              <c:chart xmlns:c="http://schemas.openxmlformats.org/drawingml/2006/chart" xmlns:r="http://schemas.openxmlformats.org/officeDocument/2006/relationships" r:id="rId11"/>
            </a:graphicData>
          </a:graphic>
        </xdr:graphicFrame>
        <xdr:sp macro="" textlink="q9_13_16_27_28_39_40_E_Fig!$T$254">
          <xdr:nvSpPr>
            <xdr:cNvPr id="74" name="CaixaDeTexto 73">
              <a:extLst>
                <a:ext uri="{FF2B5EF4-FFF2-40B4-BE49-F238E27FC236}">
                  <a16:creationId xmlns:a16="http://schemas.microsoft.com/office/drawing/2014/main" id="{00000000-0008-0000-0D00-00004A000000}"/>
                </a:ext>
              </a:extLst>
            </xdr:cNvPr>
            <xdr:cNvSpPr txBox="1"/>
          </xdr:nvSpPr>
          <xdr:spPr>
            <a:xfrm>
              <a:off x="21884951" y="15221481"/>
              <a:ext cx="879140" cy="119790"/>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3B3E2135-B25F-4F6D-BBB9-C2E3E219307B}" type="TxLink">
                <a:rPr kumimoji="0" lang="en-US" sz="800" b="1" i="0" u="none" strike="noStrike" kern="0" cap="none" spc="0" normalizeH="0" baseline="0" noProof="0">
                  <a:ln>
                    <a:noFill/>
                  </a:ln>
                  <a:solidFill>
                    <a:srgbClr val="000000"/>
                  </a:solidFill>
                  <a:effectLst/>
                  <a:uLnTx/>
                  <a:uFillTx/>
                  <a:latin typeface="Calibri"/>
                  <a:ea typeface="Calibri"/>
                  <a:cs typeface="Calibri"/>
                </a:rPr>
                <a:pPr marL="0" marR="0" lvl="0" indent="0" algn="ctr" defTabSz="914400" eaLnBrk="1" fontAlgn="auto" latinLnBrk="0" hangingPunct="1">
                  <a:lnSpc>
                    <a:spcPct val="100000"/>
                  </a:lnSpc>
                  <a:spcBef>
                    <a:spcPts val="0"/>
                  </a:spcBef>
                  <a:spcAft>
                    <a:spcPts val="0"/>
                  </a:spcAft>
                  <a:buClrTx/>
                  <a:buSzTx/>
                  <a:buFontTx/>
                  <a:buNone/>
                  <a:tabLst/>
                  <a:defRPr/>
                </a:pPr>
                <a:t>1.218,82 €</a:t>
              </a:fld>
              <a:endParaRPr kumimoji="0" lang="pt-PT" sz="7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9_13_16_27_28_39_40_E_Fig!$T$255">
          <xdr:nvSpPr>
            <xdr:cNvPr id="75" name="CaixaDeTexto 74">
              <a:extLst>
                <a:ext uri="{FF2B5EF4-FFF2-40B4-BE49-F238E27FC236}">
                  <a16:creationId xmlns:a16="http://schemas.microsoft.com/office/drawing/2014/main" id="{00000000-0008-0000-0D00-00004B000000}"/>
                </a:ext>
              </a:extLst>
            </xdr:cNvPr>
            <xdr:cNvSpPr txBox="1"/>
          </xdr:nvSpPr>
          <xdr:spPr>
            <a:xfrm>
              <a:off x="21904965" y="15413258"/>
              <a:ext cx="879140" cy="119900"/>
            </a:xfrm>
            <a:prstGeom prst="rect">
              <a:avLst/>
            </a:prstGeom>
            <a:solidFill>
              <a:srgbClr val="FFC000">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12B0597D-3522-4AE4-83C0-3D33F6E64077}" type="TxLink">
                <a:rPr kumimoji="0" lang="en-US" sz="800" b="1" i="0" u="none" strike="noStrike" kern="0" cap="none" spc="0" normalizeH="0" baseline="0" noProof="0">
                  <a:ln>
                    <a:noFill/>
                  </a:ln>
                  <a:solidFill>
                    <a:srgbClr val="000000"/>
                  </a:solidFill>
                  <a:effectLst/>
                  <a:uLnTx/>
                  <a:uFillTx/>
                  <a:latin typeface="Calibri"/>
                  <a:ea typeface="Calibri"/>
                  <a:cs typeface="Calibri"/>
                </a:rPr>
                <a:pPr marL="0" marR="0" lvl="0" indent="0" algn="ctr" defTabSz="914400" eaLnBrk="1" fontAlgn="auto" latinLnBrk="0" hangingPunct="1">
                  <a:lnSpc>
                    <a:spcPct val="100000"/>
                  </a:lnSpc>
                  <a:spcBef>
                    <a:spcPts val="0"/>
                  </a:spcBef>
                  <a:spcAft>
                    <a:spcPts val="0"/>
                  </a:spcAft>
                  <a:buClrTx/>
                  <a:buSzTx/>
                  <a:buFontTx/>
                  <a:buNone/>
                  <a:tabLst/>
                  <a:defRPr/>
                </a:pPr>
                <a:t>1.458,01 €</a:t>
              </a:fld>
              <a:endParaRPr kumimoji="0" lang="pt-PT" sz="7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9_13_16_27_28_39_40_E_Fig!$V$247">
          <xdr:nvSpPr>
            <xdr:cNvPr id="76" name="CaixaDeTexto 75">
              <a:extLst>
                <a:ext uri="{FF2B5EF4-FFF2-40B4-BE49-F238E27FC236}">
                  <a16:creationId xmlns:a16="http://schemas.microsoft.com/office/drawing/2014/main" id="{00000000-0008-0000-0D00-00004C000000}"/>
                </a:ext>
              </a:extLst>
            </xdr:cNvPr>
            <xdr:cNvSpPr txBox="1"/>
          </xdr:nvSpPr>
          <xdr:spPr>
            <a:xfrm>
              <a:off x="23202944" y="15216190"/>
              <a:ext cx="879140" cy="119790"/>
            </a:xfrm>
            <a:prstGeom prst="rect">
              <a:avLst/>
            </a:prstGeom>
            <a:solidFill>
              <a:srgbClr val="95B3D7">
                <a:alpha val="46667"/>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F9C8FCA-C969-4E01-90C7-56A37ADB7C4D}" type="TxLink">
                <a:rPr kumimoji="0" lang="en-US" sz="800" b="1" i="0" u="none" strike="noStrike" kern="0" cap="none" spc="0" normalizeH="0" baseline="0" noProof="0">
                  <a:ln>
                    <a:noFill/>
                  </a:ln>
                  <a:solidFill>
                    <a:srgbClr val="000000"/>
                  </a:solidFill>
                  <a:effectLst/>
                  <a:uLnTx/>
                  <a:uFillTx/>
                  <a:latin typeface="Calibri"/>
                  <a:ea typeface="Calibri"/>
                  <a:cs typeface="Calibri"/>
                </a:rPr>
                <a:pPr marL="0" marR="0" lvl="0" indent="0" algn="ctr" defTabSz="914400" eaLnBrk="1" fontAlgn="auto" latinLnBrk="0" hangingPunct="1">
                  <a:lnSpc>
                    <a:spcPct val="100000"/>
                  </a:lnSpc>
                  <a:spcBef>
                    <a:spcPts val="0"/>
                  </a:spcBef>
                  <a:spcAft>
                    <a:spcPts val="0"/>
                  </a:spcAft>
                  <a:buClrTx/>
                  <a:buSzTx/>
                  <a:buFontTx/>
                  <a:buNone/>
                  <a:tabLst/>
                  <a:defRPr/>
                </a:pPr>
                <a:t>1.074,28 €</a:t>
              </a:fld>
              <a:endParaRPr kumimoji="0" lang="pt-PT" sz="7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9_13_16_27_28_39_40_E_Fig!$W$247">
          <xdr:nvSpPr>
            <xdr:cNvPr id="77" name="CaixaDeTexto 76">
              <a:extLst>
                <a:ext uri="{FF2B5EF4-FFF2-40B4-BE49-F238E27FC236}">
                  <a16:creationId xmlns:a16="http://schemas.microsoft.com/office/drawing/2014/main" id="{00000000-0008-0000-0D00-00004D000000}"/>
                </a:ext>
              </a:extLst>
            </xdr:cNvPr>
            <xdr:cNvSpPr txBox="1"/>
          </xdr:nvSpPr>
          <xdr:spPr>
            <a:xfrm>
              <a:off x="23202947" y="15407964"/>
              <a:ext cx="879141" cy="119790"/>
            </a:xfrm>
            <a:prstGeom prst="rect">
              <a:avLst/>
            </a:prstGeom>
            <a:solidFill>
              <a:srgbClr val="FFEF57">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179422CB-3EDD-4B57-903E-5EF1CBE4594D}" type="TxLink">
                <a:rPr kumimoji="0" lang="en-US" sz="800" b="1" i="0" u="none" strike="noStrike" kern="0" cap="none" spc="0" normalizeH="0" baseline="0" noProof="0">
                  <a:ln>
                    <a:noFill/>
                  </a:ln>
                  <a:solidFill>
                    <a:srgbClr val="000000"/>
                  </a:solidFill>
                  <a:effectLst/>
                  <a:uLnTx/>
                  <a:uFillTx/>
                  <a:latin typeface="Calibri"/>
                  <a:ea typeface="Calibri"/>
                  <a:cs typeface="Calibri"/>
                </a:rPr>
                <a:pPr marL="0" marR="0" lvl="0" indent="0" algn="ctr" defTabSz="914400" eaLnBrk="1" fontAlgn="auto" latinLnBrk="0" hangingPunct="1">
                  <a:lnSpc>
                    <a:spcPct val="100000"/>
                  </a:lnSpc>
                  <a:spcBef>
                    <a:spcPts val="0"/>
                  </a:spcBef>
                  <a:spcAft>
                    <a:spcPts val="0"/>
                  </a:spcAft>
                  <a:buClrTx/>
                  <a:buSzTx/>
                  <a:buFontTx/>
                  <a:buNone/>
                  <a:tabLst/>
                  <a:defRPr/>
                </a:pPr>
                <a:t>1.261,96 €</a:t>
              </a:fld>
              <a:endParaRPr kumimoji="0" lang="pt-PT" sz="7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clientData/>
  </xdr:twoCellAnchor>
  <xdr:twoCellAnchor>
    <xdr:from>
      <xdr:col>26</xdr:col>
      <xdr:colOff>539750</xdr:colOff>
      <xdr:row>279</xdr:row>
      <xdr:rowOff>134938</xdr:rowOff>
    </xdr:from>
    <xdr:to>
      <xdr:col>30</xdr:col>
      <xdr:colOff>549802</xdr:colOff>
      <xdr:row>285</xdr:row>
      <xdr:rowOff>150813</xdr:rowOff>
    </xdr:to>
    <xdr:sp macro="" textlink="q9_13_16_27_28_39_40_E_Fig!$AB$277">
      <xdr:nvSpPr>
        <xdr:cNvPr id="82" name="CaixaDeTexto 81">
          <a:extLst>
            <a:ext uri="{FF2B5EF4-FFF2-40B4-BE49-F238E27FC236}">
              <a16:creationId xmlns:a16="http://schemas.microsoft.com/office/drawing/2014/main" id="{00000000-0008-0000-0D00-000052000000}"/>
            </a:ext>
          </a:extLst>
        </xdr:cNvPr>
        <xdr:cNvSpPr txBox="1"/>
      </xdr:nvSpPr>
      <xdr:spPr>
        <a:xfrm>
          <a:off x="19986625" y="45831126"/>
          <a:ext cx="3113615" cy="968375"/>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B6160903-91A3-4739-981E-2B79AF6BF944}" type="TxLink">
            <a:rPr kumimoji="0" lang="en-US" sz="1000" b="0" i="0" u="none" strike="noStrike" kern="0" cap="none" spc="0" normalizeH="0" baseline="0" noProof="0">
              <a:ln>
                <a:noFill/>
              </a:ln>
              <a:solidFill>
                <a:srgbClr val="000000"/>
              </a:solidFill>
              <a:effectLst/>
              <a:uLnTx/>
              <a:uFillTx/>
              <a:latin typeface="Arial"/>
              <a:ea typeface="Calibri"/>
              <a:cs typeface="Arial"/>
            </a:rPr>
            <a:pPr marL="0" marR="0" lvl="0" indent="0" defTabSz="914400" eaLnBrk="1" fontAlgn="auto" latinLnBrk="0" hangingPunct="1">
              <a:lnSpc>
                <a:spcPct val="100000"/>
              </a:lnSpc>
              <a:spcBef>
                <a:spcPts val="0"/>
              </a:spcBef>
              <a:spcAft>
                <a:spcPts val="0"/>
              </a:spcAft>
              <a:buClrTx/>
              <a:buSzTx/>
              <a:buFontTx/>
              <a:buNone/>
              <a:tabLst/>
              <a:defRPr/>
            </a:pPr>
            <a:t>2024 - Continente:
Base: 84,1% do Ganho, entre 844 €  (Profissionais não qualificados) e 3.339 €  (Quadros superiores).
Ganho: Entre 999 €  (Praticantes e aprendizes) e 3.824 €  (Quadros superiores).</a:t>
          </a:fld>
          <a:endParaRPr kumimoji="0" lang="en-US" sz="1050" b="0" i="0" u="none" strike="noStrike" kern="0" cap="none" spc="0" normalizeH="0" baseline="0" noProof="0">
            <a:ln>
              <a:noFill/>
            </a:ln>
            <a:effectLst/>
            <a:uLnTx/>
            <a:uFillTx/>
            <a:latin typeface="Calibri"/>
            <a:ea typeface="+mn-ea"/>
          </a:endParaRPr>
        </a:p>
      </xdr:txBody>
    </xdr:sp>
    <xdr:clientData/>
  </xdr:twoCellAnchor>
  <xdr:twoCellAnchor>
    <xdr:from>
      <xdr:col>33</xdr:col>
      <xdr:colOff>84665</xdr:colOff>
      <xdr:row>277</xdr:row>
      <xdr:rowOff>145519</xdr:rowOff>
    </xdr:from>
    <xdr:to>
      <xdr:col>38</xdr:col>
      <xdr:colOff>603251</xdr:colOff>
      <xdr:row>284</xdr:row>
      <xdr:rowOff>15874</xdr:rowOff>
    </xdr:to>
    <xdr:sp macro="" textlink="q9_13_16_27_28_39_40_E_Fig!$AC$273">
      <xdr:nvSpPr>
        <xdr:cNvPr id="83" name="CaixaDeTexto 82">
          <a:extLst>
            <a:ext uri="{FF2B5EF4-FFF2-40B4-BE49-F238E27FC236}">
              <a16:creationId xmlns:a16="http://schemas.microsoft.com/office/drawing/2014/main" id="{00000000-0008-0000-0D00-000053000000}"/>
            </a:ext>
          </a:extLst>
        </xdr:cNvPr>
        <xdr:cNvSpPr txBox="1"/>
      </xdr:nvSpPr>
      <xdr:spPr>
        <a:xfrm>
          <a:off x="25016353" y="45524207"/>
          <a:ext cx="3685648" cy="981605"/>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B0891FB0-E481-46E1-B445-FECC340C85C8}" type="TxLink">
            <a:rPr kumimoji="0" lang="en-US" sz="900" b="1" i="0" u="none" strike="noStrike" kern="0" cap="none" spc="0" normalizeH="0" baseline="0" noProof="0">
              <a:ln>
                <a:noFill/>
              </a:ln>
              <a:solidFill>
                <a:srgbClr val="000000"/>
              </a:solidFill>
              <a:effectLst/>
              <a:uLnTx/>
              <a:uFillTx/>
              <a:latin typeface="Calibri"/>
              <a:ea typeface="Calibri"/>
              <a:cs typeface="Calibri"/>
            </a:rPr>
            <a:pPr marL="0" marR="0" lvl="0" indent="0" defTabSz="914400" eaLnBrk="1" fontAlgn="auto" latinLnBrk="0" hangingPunct="1">
              <a:lnSpc>
                <a:spcPct val="100000"/>
              </a:lnSpc>
              <a:spcBef>
                <a:spcPts val="0"/>
              </a:spcBef>
              <a:spcAft>
                <a:spcPts val="0"/>
              </a:spcAft>
              <a:buClrTx/>
              <a:buSzTx/>
              <a:buFontTx/>
              <a:buNone/>
              <a:tabLst/>
              <a:defRPr/>
            </a:pPr>
            <a:t>2024:
Base Mulheres = 88,1%  da dos Homens (H), entre  57,7% da dos H (Profis. altam. qualificados ) e 99,3% (Praticantes e aprendizes).
Ganho Mulheres = 86,6% da dos H, entre 59,3% da dos H (Profis. altam. qualificados) e 96,6% (Praticantes e aprendizes)</a:t>
          </a:fld>
          <a:endParaRPr kumimoji="0" lang="en-US" sz="800" b="0"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mc:AlternateContent xmlns:mc="http://schemas.openxmlformats.org/markup-compatibility/2006">
    <mc:Choice xmlns:a14="http://schemas.microsoft.com/office/drawing/2010/main" Requires="a14">
      <xdr:twoCellAnchor editAs="oneCell">
        <xdr:from>
          <xdr:col>19</xdr:col>
          <xdr:colOff>209550</xdr:colOff>
          <xdr:row>287</xdr:row>
          <xdr:rowOff>0</xdr:rowOff>
        </xdr:from>
        <xdr:to>
          <xdr:col>20</xdr:col>
          <xdr:colOff>190500</xdr:colOff>
          <xdr:row>288</xdr:row>
          <xdr:rowOff>19050</xdr:rowOff>
        </xdr:to>
        <xdr:sp macro="" textlink="">
          <xdr:nvSpPr>
            <xdr:cNvPr id="604167" name="Drop Down 7" hidden="1">
              <a:extLst>
                <a:ext uri="{63B3BB69-23CF-44E3-9099-C40C66FF867C}">
                  <a14:compatExt spid="_x0000_s604167"/>
                </a:ext>
                <a:ext uri="{FF2B5EF4-FFF2-40B4-BE49-F238E27FC236}">
                  <a16:creationId xmlns:a16="http://schemas.microsoft.com/office/drawing/2014/main" id="{00000000-0008-0000-0D00-0000073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63499</xdr:colOff>
      <xdr:row>302</xdr:row>
      <xdr:rowOff>66502</xdr:rowOff>
    </xdr:from>
    <xdr:to>
      <xdr:col>32</xdr:col>
      <xdr:colOff>807931</xdr:colOff>
      <xdr:row>325</xdr:row>
      <xdr:rowOff>146582</xdr:rowOff>
    </xdr:to>
    <xdr:grpSp>
      <xdr:nvGrpSpPr>
        <xdr:cNvPr id="16" name="Agrupar 15">
          <a:extLst>
            <a:ext uri="{FF2B5EF4-FFF2-40B4-BE49-F238E27FC236}">
              <a16:creationId xmlns:a16="http://schemas.microsoft.com/office/drawing/2014/main" id="{00000000-0008-0000-0D00-000010000000}"/>
            </a:ext>
          </a:extLst>
        </xdr:cNvPr>
        <xdr:cNvGrpSpPr/>
      </xdr:nvGrpSpPr>
      <xdr:grpSpPr>
        <a:xfrm>
          <a:off x="21328062" y="50406127"/>
          <a:ext cx="4459182" cy="3731330"/>
          <a:chOff x="19097625" y="49421877"/>
          <a:chExt cx="4459182" cy="3731330"/>
        </a:xfrm>
      </xdr:grpSpPr>
      <xdr:graphicFrame macro="">
        <xdr:nvGraphicFramePr>
          <xdr:cNvPr id="86" name="Gráfico 85">
            <a:extLst>
              <a:ext uri="{FF2B5EF4-FFF2-40B4-BE49-F238E27FC236}">
                <a16:creationId xmlns:a16="http://schemas.microsoft.com/office/drawing/2014/main" id="{00000000-0008-0000-0D00-000056000000}"/>
              </a:ext>
            </a:extLst>
          </xdr:cNvPr>
          <xdr:cNvGraphicFramePr>
            <a:graphicFrameLocks/>
          </xdr:cNvGraphicFramePr>
        </xdr:nvGraphicFramePr>
        <xdr:xfrm>
          <a:off x="19097625" y="49755950"/>
          <a:ext cx="4459182" cy="3397257"/>
        </xdr:xfrm>
        <a:graphic>
          <a:graphicData uri="http://schemas.openxmlformats.org/drawingml/2006/chart">
            <c:chart xmlns:c="http://schemas.openxmlformats.org/drawingml/2006/chart" xmlns:r="http://schemas.openxmlformats.org/officeDocument/2006/relationships" r:id="rId12"/>
          </a:graphicData>
        </a:graphic>
      </xdr:graphicFrame>
      <xdr:grpSp>
        <xdr:nvGrpSpPr>
          <xdr:cNvPr id="15" name="Agrupar 14">
            <a:extLst>
              <a:ext uri="{FF2B5EF4-FFF2-40B4-BE49-F238E27FC236}">
                <a16:creationId xmlns:a16="http://schemas.microsoft.com/office/drawing/2014/main" id="{00000000-0008-0000-0D00-00000F000000}"/>
              </a:ext>
            </a:extLst>
          </xdr:cNvPr>
          <xdr:cNvGrpSpPr/>
        </xdr:nvGrpSpPr>
        <xdr:grpSpPr>
          <a:xfrm>
            <a:off x="19612032" y="49421877"/>
            <a:ext cx="700449" cy="595258"/>
            <a:chOff x="19572342" y="49350435"/>
            <a:chExt cx="700449" cy="595258"/>
          </a:xfrm>
        </xdr:grpSpPr>
        <xdr:sp macro="" textlink="q9_13_16_27_28_39_40_E_Fig!$T$303">
          <xdr:nvSpPr>
            <xdr:cNvPr id="87" name="CaixaDeTexto 86">
              <a:extLst>
                <a:ext uri="{FF2B5EF4-FFF2-40B4-BE49-F238E27FC236}">
                  <a16:creationId xmlns:a16="http://schemas.microsoft.com/office/drawing/2014/main" id="{00000000-0008-0000-0D00-000057000000}"/>
                </a:ext>
              </a:extLst>
            </xdr:cNvPr>
            <xdr:cNvSpPr txBox="1"/>
          </xdr:nvSpPr>
          <xdr:spPr>
            <a:xfrm>
              <a:off x="19580280" y="49599322"/>
              <a:ext cx="692511" cy="142764"/>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75F44DE-F468-40B2-84DB-1198A1042FB3}" type="TxLink">
                <a:rPr kumimoji="0" lang="en-US" sz="800" b="1" i="0" u="none" strike="noStrike" kern="0" cap="none" spc="0" normalizeH="0" baseline="0" noProof="0">
                  <a:ln>
                    <a:noFill/>
                  </a:ln>
                  <a:solidFill>
                    <a:srgbClr val="000000"/>
                  </a:solidFill>
                  <a:effectLst/>
                  <a:uLnTx/>
                  <a:uFillTx/>
                  <a:latin typeface="Arial"/>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1.165,07 €</a:t>
              </a:fld>
              <a:endParaRPr kumimoji="0" lang="pt-PT" sz="6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88" name="CaixaDeTexto 87">
              <a:extLst>
                <a:ext uri="{FF2B5EF4-FFF2-40B4-BE49-F238E27FC236}">
                  <a16:creationId xmlns:a16="http://schemas.microsoft.com/office/drawing/2014/main" id="{00000000-0008-0000-0D00-000058000000}"/>
                </a:ext>
              </a:extLst>
            </xdr:cNvPr>
            <xdr:cNvSpPr txBox="1"/>
          </xdr:nvSpPr>
          <xdr:spPr>
            <a:xfrm>
              <a:off x="19572342" y="49350435"/>
              <a:ext cx="692512" cy="207240"/>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sp macro="" textlink="q9_13_16_27_28_39_40_E_Fig!$U$303">
          <xdr:nvSpPr>
            <xdr:cNvPr id="89" name="CaixaDeTexto 88">
              <a:extLst>
                <a:ext uri="{FF2B5EF4-FFF2-40B4-BE49-F238E27FC236}">
                  <a16:creationId xmlns:a16="http://schemas.microsoft.com/office/drawing/2014/main" id="{00000000-0008-0000-0D00-000059000000}"/>
                </a:ext>
              </a:extLst>
            </xdr:cNvPr>
            <xdr:cNvSpPr txBox="1"/>
          </xdr:nvSpPr>
          <xdr:spPr>
            <a:xfrm>
              <a:off x="19572343" y="49801693"/>
              <a:ext cx="692511" cy="144000"/>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BB48570-4294-4667-9F9E-652E1F5C6D8B}" type="TxLink">
                <a:rPr kumimoji="0" lang="en-US" sz="800" b="1" i="0" u="none" strike="noStrike" kern="0" cap="none" spc="0" normalizeH="0" baseline="0" noProof="0">
                  <a:ln>
                    <a:noFill/>
                  </a:ln>
                  <a:solidFill>
                    <a:srgbClr val="000000"/>
                  </a:solidFill>
                  <a:effectLst/>
                  <a:uLnTx/>
                  <a:uFillTx/>
                  <a:latin typeface="Arial"/>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1.385,12 €</a:t>
              </a:fld>
              <a:endParaRPr kumimoji="0" lang="pt-PT" sz="6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clientData/>
  </xdr:twoCellAnchor>
  <xdr:twoCellAnchor>
    <xdr:from>
      <xdr:col>27</xdr:col>
      <xdr:colOff>1168021</xdr:colOff>
      <xdr:row>297</xdr:row>
      <xdr:rowOff>39542</xdr:rowOff>
    </xdr:from>
    <xdr:to>
      <xdr:col>31</xdr:col>
      <xdr:colOff>262272</xdr:colOff>
      <xdr:row>298</xdr:row>
      <xdr:rowOff>61036</xdr:rowOff>
    </xdr:to>
    <xdr:sp macro="" textlink="">
      <xdr:nvSpPr>
        <xdr:cNvPr id="91" name="CaixaDeTexto 90">
          <a:extLst>
            <a:ext uri="{FF2B5EF4-FFF2-40B4-BE49-F238E27FC236}">
              <a16:creationId xmlns:a16="http://schemas.microsoft.com/office/drawing/2014/main" id="{00000000-0008-0000-0D00-00005B000000}"/>
            </a:ext>
          </a:extLst>
        </xdr:cNvPr>
        <xdr:cNvSpPr txBox="1"/>
      </xdr:nvSpPr>
      <xdr:spPr>
        <a:xfrm>
          <a:off x="21226084" y="48593230"/>
          <a:ext cx="2197813" cy="180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Remunerações</a:t>
          </a:r>
          <a:r>
            <a:rPr lang="pt-PT" sz="800" b="1" baseline="0">
              <a:solidFill>
                <a:schemeClr val="tx2"/>
              </a:solidFill>
            </a:rPr>
            <a:t> médias mensais</a:t>
          </a:r>
          <a:endParaRPr lang="pt-PT" sz="800" b="1">
            <a:solidFill>
              <a:schemeClr val="tx2"/>
            </a:solidFill>
          </a:endParaRPr>
        </a:p>
      </xdr:txBody>
    </xdr:sp>
    <xdr:clientData/>
  </xdr:twoCellAnchor>
  <xdr:twoCellAnchor>
    <xdr:from>
      <xdr:col>35</xdr:col>
      <xdr:colOff>47625</xdr:colOff>
      <xdr:row>135</xdr:row>
      <xdr:rowOff>150813</xdr:rowOff>
    </xdr:from>
    <xdr:to>
      <xdr:col>40</xdr:col>
      <xdr:colOff>515937</xdr:colOff>
      <xdr:row>139</xdr:row>
      <xdr:rowOff>119062</xdr:rowOff>
    </xdr:to>
    <xdr:sp macro="" textlink="$AK$135">
      <xdr:nvSpPr>
        <xdr:cNvPr id="98" name="CaixaDeTexto 97">
          <a:extLst>
            <a:ext uri="{FF2B5EF4-FFF2-40B4-BE49-F238E27FC236}">
              <a16:creationId xmlns:a16="http://schemas.microsoft.com/office/drawing/2014/main" id="{00000000-0008-0000-0D00-000062000000}"/>
            </a:ext>
          </a:extLst>
        </xdr:cNvPr>
        <xdr:cNvSpPr txBox="1"/>
      </xdr:nvSpPr>
      <xdr:spPr>
        <a:xfrm>
          <a:off x="25598438" y="22987001"/>
          <a:ext cx="3579812" cy="603249"/>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7429DC8-ED1D-45B6-A31A-39F03893CFC5}" type="TxLink">
            <a:rPr lang="en-US" sz="700" b="0" i="0" u="none" strike="noStrike">
              <a:solidFill>
                <a:srgbClr val="000000"/>
              </a:solidFill>
              <a:latin typeface="+mn-lt"/>
              <a:cs typeface="Arial"/>
            </a:rPr>
            <a:pPr algn="l"/>
            <a:t>2024:
NUTS II com mais de metade dos TCO estrangeiros - Grande Lisboa (37,7%) e Norte (21,2%).
NUTS II com menos TCO estrangeiros - Alentejo (5,0%) e Península de Setúbal (6,5%).</a:t>
          </a:fld>
          <a:endParaRPr lang="en-US" sz="500" b="1">
            <a:solidFill>
              <a:srgbClr val="19375E"/>
            </a:solidFill>
            <a:latin typeface="+mn-lt"/>
          </a:endParaRPr>
        </a:p>
      </xdr:txBody>
    </xdr:sp>
    <xdr:clientData/>
  </xdr:twoCellAnchor>
  <xdr:twoCellAnchor>
    <xdr:from>
      <xdr:col>19</xdr:col>
      <xdr:colOff>95256</xdr:colOff>
      <xdr:row>133</xdr:row>
      <xdr:rowOff>103188</xdr:rowOff>
    </xdr:from>
    <xdr:to>
      <xdr:col>27</xdr:col>
      <xdr:colOff>392381</xdr:colOff>
      <xdr:row>158</xdr:row>
      <xdr:rowOff>104299</xdr:rowOff>
    </xdr:to>
    <xdr:grpSp>
      <xdr:nvGrpSpPr>
        <xdr:cNvPr id="14" name="Agrupar 13">
          <a:extLst>
            <a:ext uri="{FF2B5EF4-FFF2-40B4-BE49-F238E27FC236}">
              <a16:creationId xmlns:a16="http://schemas.microsoft.com/office/drawing/2014/main" id="{00000000-0008-0000-0D00-00000E000000}"/>
            </a:ext>
          </a:extLst>
        </xdr:cNvPr>
        <xdr:cNvGrpSpPr/>
      </xdr:nvGrpSpPr>
      <xdr:grpSpPr>
        <a:xfrm>
          <a:off x="15446381" y="22963188"/>
          <a:ext cx="6210563" cy="4620736"/>
          <a:chOff x="15446381" y="23121938"/>
          <a:chExt cx="5266000" cy="4620736"/>
        </a:xfrm>
      </xdr:grpSpPr>
      <xdr:grpSp>
        <xdr:nvGrpSpPr>
          <xdr:cNvPr id="4" name="Agrupar 3">
            <a:extLst>
              <a:ext uri="{FF2B5EF4-FFF2-40B4-BE49-F238E27FC236}">
                <a16:creationId xmlns:a16="http://schemas.microsoft.com/office/drawing/2014/main" id="{00000000-0008-0000-0D00-000004000000}"/>
              </a:ext>
            </a:extLst>
          </xdr:cNvPr>
          <xdr:cNvGrpSpPr/>
        </xdr:nvGrpSpPr>
        <xdr:grpSpPr>
          <a:xfrm>
            <a:off x="18145311" y="23388320"/>
            <a:ext cx="2567070" cy="4212000"/>
            <a:chOff x="18462311" y="22783800"/>
            <a:chExt cx="3024055" cy="3894075"/>
          </a:xfrm>
        </xdr:grpSpPr>
        <xdr:grpSp>
          <xdr:nvGrpSpPr>
            <xdr:cNvPr id="23" name="Agrupar 22">
              <a:extLst>
                <a:ext uri="{FF2B5EF4-FFF2-40B4-BE49-F238E27FC236}">
                  <a16:creationId xmlns:a16="http://schemas.microsoft.com/office/drawing/2014/main" id="{00000000-0008-0000-0D00-000017000000}"/>
                </a:ext>
              </a:extLst>
            </xdr:cNvPr>
            <xdr:cNvGrpSpPr/>
          </xdr:nvGrpSpPr>
          <xdr:grpSpPr>
            <a:xfrm>
              <a:off x="18462311" y="22919194"/>
              <a:ext cx="3024055" cy="3689092"/>
              <a:chOff x="14827783" y="419105"/>
              <a:chExt cx="5471917" cy="7675833"/>
            </a:xfrm>
            <a:solidFill>
              <a:schemeClr val="bg1"/>
            </a:solidFill>
          </xdr:grpSpPr>
          <xdr:pic>
            <xdr:nvPicPr>
              <xdr:cNvPr id="31" name="Imagem 30" descr="2024">
                <a:extLst>
                  <a:ext uri="{FF2B5EF4-FFF2-40B4-BE49-F238E27FC236}">
                    <a16:creationId xmlns:a16="http://schemas.microsoft.com/office/drawing/2014/main" id="{00000000-0008-0000-0D00-00001F000000}"/>
                  </a:ext>
                </a:extLst>
              </xdr:cNvPr>
              <xdr:cNvPicPr>
                <a:picLocks noChangeAspect="1" noChangeArrowheads="1"/>
              </xdr:cNvPicPr>
            </xdr:nvPicPr>
            <xdr:blipFill>
              <a:blip xmlns:r="http://schemas.openxmlformats.org/officeDocument/2006/relationships" r:embed="rId13" cstate="print">
                <a:biLevel thresh="25000"/>
                <a:extLst>
                  <a:ext uri="{BEBA8EAE-BF5A-486C-A8C5-ECC9F3942E4B}">
                    <a14:imgProps xmlns:a14="http://schemas.microsoft.com/office/drawing/2010/main">
                      <a14:imgLayer r:embed="rId14">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14827783" y="419105"/>
                <a:ext cx="5471917" cy="7675833"/>
              </a:xfrm>
              <a:prstGeom prst="rect">
                <a:avLst/>
              </a:prstGeom>
              <a:grpFill/>
              <a:extLst/>
            </xdr:spPr>
          </xdr:pic>
          <xdr:sp macro="" textlink="">
            <xdr:nvSpPr>
              <xdr:cNvPr id="32" name="Retângulo 31">
                <a:extLst>
                  <a:ext uri="{FF2B5EF4-FFF2-40B4-BE49-F238E27FC236}">
                    <a16:creationId xmlns:a16="http://schemas.microsoft.com/office/drawing/2014/main" id="{00000000-0008-0000-0D00-000020000000}"/>
                  </a:ext>
                </a:extLst>
              </xdr:cNvPr>
              <xdr:cNvSpPr/>
            </xdr:nvSpPr>
            <xdr:spPr>
              <a:xfrm>
                <a:off x="15020925" y="1104900"/>
                <a:ext cx="1838325" cy="15811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33" name="Retângulo 32">
                <a:extLst>
                  <a:ext uri="{FF2B5EF4-FFF2-40B4-BE49-F238E27FC236}">
                    <a16:creationId xmlns:a16="http://schemas.microsoft.com/office/drawing/2014/main" id="{00000000-0008-0000-0D00-000021000000}"/>
                  </a:ext>
                </a:extLst>
              </xdr:cNvPr>
              <xdr:cNvSpPr/>
            </xdr:nvSpPr>
            <xdr:spPr>
              <a:xfrm>
                <a:off x="15111802" y="6477003"/>
                <a:ext cx="1465937" cy="134144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aphicFrame macro="">
          <xdr:nvGraphicFramePr>
            <xdr:cNvPr id="35" name="Gráfico 34">
              <a:extLst>
                <a:ext uri="{FF2B5EF4-FFF2-40B4-BE49-F238E27FC236}">
                  <a16:creationId xmlns:a16="http://schemas.microsoft.com/office/drawing/2014/main" id="{00000000-0008-0000-0D00-000023000000}"/>
                </a:ext>
              </a:extLst>
            </xdr:cNvPr>
            <xdr:cNvGraphicFramePr>
              <a:graphicFrameLocks/>
            </xdr:cNvGraphicFramePr>
          </xdr:nvGraphicFramePr>
          <xdr:xfrm>
            <a:off x="19611976" y="22783800"/>
            <a:ext cx="819150" cy="1019176"/>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36" name="Gráfico 35">
              <a:extLst>
                <a:ext uri="{FF2B5EF4-FFF2-40B4-BE49-F238E27FC236}">
                  <a16:creationId xmlns:a16="http://schemas.microsoft.com/office/drawing/2014/main" id="{00000000-0008-0000-0D00-000024000000}"/>
                </a:ext>
              </a:extLst>
            </xdr:cNvPr>
            <xdr:cNvGraphicFramePr>
              <a:graphicFrameLocks/>
            </xdr:cNvGraphicFramePr>
          </xdr:nvGraphicFramePr>
          <xdr:xfrm>
            <a:off x="20326350" y="23479126"/>
            <a:ext cx="800100" cy="100800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37" name="Gráfico 36">
              <a:extLst>
                <a:ext uri="{FF2B5EF4-FFF2-40B4-BE49-F238E27FC236}">
                  <a16:creationId xmlns:a16="http://schemas.microsoft.com/office/drawing/2014/main" id="{00000000-0008-0000-0D00-000025000000}"/>
                </a:ext>
              </a:extLst>
            </xdr:cNvPr>
            <xdr:cNvGraphicFramePr>
              <a:graphicFrameLocks/>
            </xdr:cNvGraphicFramePr>
          </xdr:nvGraphicFramePr>
          <xdr:xfrm>
            <a:off x="19145250" y="24012525"/>
            <a:ext cx="800100" cy="1008000"/>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38" name="Gráfico 37">
              <a:extLst>
                <a:ext uri="{FF2B5EF4-FFF2-40B4-BE49-F238E27FC236}">
                  <a16:creationId xmlns:a16="http://schemas.microsoft.com/office/drawing/2014/main" id="{00000000-0008-0000-0D00-000026000000}"/>
                </a:ext>
              </a:extLst>
            </xdr:cNvPr>
            <xdr:cNvGraphicFramePr>
              <a:graphicFrameLocks/>
            </xdr:cNvGraphicFramePr>
          </xdr:nvGraphicFramePr>
          <xdr:xfrm>
            <a:off x="18678525" y="24831675"/>
            <a:ext cx="800100" cy="1008000"/>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39" name="Gráfico 38">
              <a:extLst>
                <a:ext uri="{FF2B5EF4-FFF2-40B4-BE49-F238E27FC236}">
                  <a16:creationId xmlns:a16="http://schemas.microsoft.com/office/drawing/2014/main" id="{00000000-0008-0000-0D00-000027000000}"/>
                </a:ext>
              </a:extLst>
            </xdr:cNvPr>
            <xdr:cNvGraphicFramePr>
              <a:graphicFrameLocks/>
            </xdr:cNvGraphicFramePr>
          </xdr:nvGraphicFramePr>
          <xdr:xfrm>
            <a:off x="18507075" y="24479250"/>
            <a:ext cx="800100" cy="1008000"/>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40" name="Gráfico 39">
              <a:extLst>
                <a:ext uri="{FF2B5EF4-FFF2-40B4-BE49-F238E27FC236}">
                  <a16:creationId xmlns:a16="http://schemas.microsoft.com/office/drawing/2014/main" id="{00000000-0008-0000-0D00-000028000000}"/>
                </a:ext>
              </a:extLst>
            </xdr:cNvPr>
            <xdr:cNvGraphicFramePr>
              <a:graphicFrameLocks/>
            </xdr:cNvGraphicFramePr>
          </xdr:nvGraphicFramePr>
          <xdr:xfrm>
            <a:off x="20059650" y="24774525"/>
            <a:ext cx="800100" cy="10080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41" name="Gráfico 40">
              <a:extLst>
                <a:ext uri="{FF2B5EF4-FFF2-40B4-BE49-F238E27FC236}">
                  <a16:creationId xmlns:a16="http://schemas.microsoft.com/office/drawing/2014/main" id="{00000000-0008-0000-0D00-000029000000}"/>
                </a:ext>
              </a:extLst>
            </xdr:cNvPr>
            <xdr:cNvGraphicFramePr>
              <a:graphicFrameLocks/>
            </xdr:cNvGraphicFramePr>
          </xdr:nvGraphicFramePr>
          <xdr:xfrm>
            <a:off x="20221575" y="25669875"/>
            <a:ext cx="800100" cy="1008000"/>
          </xdr:xfrm>
          <a:graphic>
            <a:graphicData uri="http://schemas.openxmlformats.org/drawingml/2006/chart">
              <c:chart xmlns:c="http://schemas.openxmlformats.org/drawingml/2006/chart" xmlns:r="http://schemas.openxmlformats.org/officeDocument/2006/relationships" r:id="rId21"/>
            </a:graphicData>
          </a:graphic>
        </xdr:graphicFrame>
      </xdr:grpSp>
      <xdr:graphicFrame macro="">
        <xdr:nvGraphicFramePr>
          <xdr:cNvPr id="22" name="Gráfico 21">
            <a:extLst>
              <a:ext uri="{FF2B5EF4-FFF2-40B4-BE49-F238E27FC236}">
                <a16:creationId xmlns:a16="http://schemas.microsoft.com/office/drawing/2014/main" id="{00000000-0008-0000-0D00-000016000000}"/>
              </a:ext>
            </a:extLst>
          </xdr:cNvPr>
          <xdr:cNvGraphicFramePr>
            <a:graphicFrameLocks/>
          </xdr:cNvGraphicFramePr>
        </xdr:nvGraphicFramePr>
        <xdr:xfrm>
          <a:off x="15446381" y="23422674"/>
          <a:ext cx="3780000" cy="4320000"/>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47" name="Gráfico 46">
            <a:extLst>
              <a:ext uri="{FF2B5EF4-FFF2-40B4-BE49-F238E27FC236}">
                <a16:creationId xmlns:a16="http://schemas.microsoft.com/office/drawing/2014/main" id="{00000000-0008-0000-0D00-00002F000000}"/>
              </a:ext>
            </a:extLst>
          </xdr:cNvPr>
          <xdr:cNvGraphicFramePr/>
        </xdr:nvGraphicFramePr>
        <xdr:xfrm>
          <a:off x="17904620" y="23121938"/>
          <a:ext cx="1462879" cy="1436687"/>
        </xdr:xfrm>
        <a:graphic>
          <a:graphicData uri="http://schemas.openxmlformats.org/drawingml/2006/chart">
            <c:chart xmlns:c="http://schemas.openxmlformats.org/drawingml/2006/chart" xmlns:r="http://schemas.openxmlformats.org/officeDocument/2006/relationships" r:id="rId23"/>
          </a:graphicData>
        </a:graphic>
      </xdr:graphicFrame>
      <xdr:sp macro="" textlink="">
        <xdr:nvSpPr>
          <xdr:cNvPr id="2" name="CaixaDeTexto 1">
            <a:extLst>
              <a:ext uri="{FF2B5EF4-FFF2-40B4-BE49-F238E27FC236}">
                <a16:creationId xmlns:a16="http://schemas.microsoft.com/office/drawing/2014/main" id="{00000000-0008-0000-0D00-000002000000}"/>
              </a:ext>
            </a:extLst>
          </xdr:cNvPr>
          <xdr:cNvSpPr txBox="1"/>
        </xdr:nvSpPr>
        <xdr:spPr>
          <a:xfrm>
            <a:off x="16840246" y="23185395"/>
            <a:ext cx="1423942" cy="119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lang="pt-PT" sz="900" b="1">
                <a:solidFill>
                  <a:schemeClr val="tx2"/>
                </a:solidFill>
              </a:rPr>
              <a:t>Sub-</a:t>
            </a:r>
            <a:r>
              <a:rPr lang="pt-PT" sz="900" b="1" baseline="0">
                <a:solidFill>
                  <a:schemeClr val="tx2"/>
                </a:solidFill>
              </a:rPr>
              <a:t>regiões </a:t>
            </a:r>
            <a:r>
              <a:rPr lang="pt-PT" sz="900" b="1">
                <a:solidFill>
                  <a:schemeClr val="tx2"/>
                </a:solidFill>
              </a:rPr>
              <a:t>NUTS III*</a:t>
            </a:r>
          </a:p>
        </xdr:txBody>
      </xdr:sp>
      <xdr:sp macro="" textlink="">
        <xdr:nvSpPr>
          <xdr:cNvPr id="67" name="CaixaDeTexto 66">
            <a:extLst>
              <a:ext uri="{FF2B5EF4-FFF2-40B4-BE49-F238E27FC236}">
                <a16:creationId xmlns:a16="http://schemas.microsoft.com/office/drawing/2014/main" id="{00000000-0008-0000-0D00-000043000000}"/>
              </a:ext>
            </a:extLst>
          </xdr:cNvPr>
          <xdr:cNvSpPr txBox="1"/>
        </xdr:nvSpPr>
        <xdr:spPr>
          <a:xfrm>
            <a:off x="18621789" y="23175307"/>
            <a:ext cx="1221961" cy="145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lang="pt-PT" sz="900" b="1" baseline="0">
                <a:solidFill>
                  <a:schemeClr val="tx2"/>
                </a:solidFill>
              </a:rPr>
              <a:t>Regiões </a:t>
            </a:r>
            <a:r>
              <a:rPr lang="pt-PT" sz="900" b="1">
                <a:solidFill>
                  <a:schemeClr val="tx2"/>
                </a:solidFill>
              </a:rPr>
              <a:t>NUTS II*</a:t>
            </a:r>
          </a:p>
        </xdr:txBody>
      </xdr:sp>
    </xdr:grpSp>
    <xdr:clientData/>
  </xdr:twoCellAnchor>
  <mc:AlternateContent xmlns:mc="http://schemas.openxmlformats.org/markup-compatibility/2006">
    <mc:Choice xmlns:a14="http://schemas.microsoft.com/office/drawing/2010/main" Requires="a14">
      <xdr:twoCellAnchor editAs="oneCell">
        <xdr:from>
          <xdr:col>27</xdr:col>
          <xdr:colOff>133350</xdr:colOff>
          <xdr:row>274</xdr:row>
          <xdr:rowOff>9525</xdr:rowOff>
        </xdr:from>
        <xdr:to>
          <xdr:col>27</xdr:col>
          <xdr:colOff>895350</xdr:colOff>
          <xdr:row>275</xdr:row>
          <xdr:rowOff>19050</xdr:rowOff>
        </xdr:to>
        <xdr:sp macro="" textlink="">
          <xdr:nvSpPr>
            <xdr:cNvPr id="604168" name="Drop Down 8" hidden="1">
              <a:extLst>
                <a:ext uri="{63B3BB69-23CF-44E3-9099-C40C66FF867C}">
                  <a14:compatExt spid="_x0000_s604168"/>
                </a:ext>
                <a:ext uri="{FF2B5EF4-FFF2-40B4-BE49-F238E27FC236}">
                  <a16:creationId xmlns:a16="http://schemas.microsoft.com/office/drawing/2014/main" id="{00000000-0008-0000-0D00-0000083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484188</xdr:colOff>
      <xdr:row>335</xdr:row>
      <xdr:rowOff>39686</xdr:rowOff>
    </xdr:from>
    <xdr:to>
      <xdr:col>20</xdr:col>
      <xdr:colOff>180599</xdr:colOff>
      <xdr:row>339</xdr:row>
      <xdr:rowOff>79375</xdr:rowOff>
    </xdr:to>
    <xdr:sp macro="" textlink="$S$330">
      <xdr:nvSpPr>
        <xdr:cNvPr id="84" name="CaixaDeTexto 83">
          <a:extLst>
            <a:ext uri="{FF2B5EF4-FFF2-40B4-BE49-F238E27FC236}">
              <a16:creationId xmlns:a16="http://schemas.microsoft.com/office/drawing/2014/main" id="{00000000-0008-0000-0D00-000054000000}"/>
            </a:ext>
          </a:extLst>
        </xdr:cNvPr>
        <xdr:cNvSpPr txBox="1"/>
      </xdr:nvSpPr>
      <xdr:spPr>
        <a:xfrm>
          <a:off x="12684126" y="54625874"/>
          <a:ext cx="3498473" cy="674689"/>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BAB17577-2EF2-4D74-B085-CC3A656AA477}" type="TxLink">
            <a:rPr kumimoji="0" lang="en-US" sz="800" b="0" i="0" u="none" strike="noStrike" kern="0" cap="none" spc="0" normalizeH="0" baseline="0" noProof="0">
              <a:ln>
                <a:noFill/>
              </a:ln>
              <a:solidFill>
                <a:srgbClr val="000000"/>
              </a:solidFill>
              <a:effectLst/>
              <a:uLnTx/>
              <a:uFillTx/>
              <a:latin typeface="+mn-lt"/>
              <a:ea typeface="Calibri"/>
              <a:cs typeface="Calibri"/>
            </a:rPr>
            <a:pPr marL="0" marR="0" lvl="0" indent="0" defTabSz="914400" eaLnBrk="1" fontAlgn="auto" latinLnBrk="0" hangingPunct="1">
              <a:lnSpc>
                <a:spcPct val="100000"/>
              </a:lnSpc>
              <a:spcBef>
                <a:spcPts val="0"/>
              </a:spcBef>
              <a:spcAft>
                <a:spcPts val="0"/>
              </a:spcAft>
              <a:buClrTx/>
              <a:buSzTx/>
              <a:buFontTx/>
              <a:buNone/>
              <a:tabLst/>
              <a:defRPr/>
            </a:pPr>
            <a:t>2024 - Continente:
Base média: 84,1% do Ganho, entre 858 € (Trabalhadores não qualificados) e 4.145 € (Trabalhadores sem profissão atribuida).</a:t>
          </a:fld>
          <a:endParaRPr kumimoji="0" lang="pt-PT" sz="700" b="1" i="0" u="none" strike="noStrike" kern="0" cap="none" spc="0" normalizeH="0" baseline="0" noProof="0">
            <a:ln>
              <a:noFill/>
            </a:ln>
            <a:solidFill>
              <a:srgbClr val="17375E"/>
            </a:solidFill>
            <a:effectLst/>
            <a:uLnTx/>
            <a:uFillTx/>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17</xdr:col>
          <xdr:colOff>209550</xdr:colOff>
          <xdr:row>333</xdr:row>
          <xdr:rowOff>0</xdr:rowOff>
        </xdr:from>
        <xdr:to>
          <xdr:col>17</xdr:col>
          <xdr:colOff>838200</xdr:colOff>
          <xdr:row>334</xdr:row>
          <xdr:rowOff>19050</xdr:rowOff>
        </xdr:to>
        <xdr:sp macro="" textlink="">
          <xdr:nvSpPr>
            <xdr:cNvPr id="604169" name="Drop Down 9" hidden="1">
              <a:extLst>
                <a:ext uri="{63B3BB69-23CF-44E3-9099-C40C66FF867C}">
                  <a14:compatExt spid="_x0000_s604169"/>
                </a:ext>
                <a:ext uri="{FF2B5EF4-FFF2-40B4-BE49-F238E27FC236}">
                  <a16:creationId xmlns:a16="http://schemas.microsoft.com/office/drawing/2014/main" id="{00000000-0008-0000-0D00-0000093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20</xdr:col>
      <xdr:colOff>309562</xdr:colOff>
      <xdr:row>335</xdr:row>
      <xdr:rowOff>55563</xdr:rowOff>
    </xdr:from>
    <xdr:to>
      <xdr:col>26</xdr:col>
      <xdr:colOff>101222</xdr:colOff>
      <xdr:row>339</xdr:row>
      <xdr:rowOff>95250</xdr:rowOff>
    </xdr:to>
    <xdr:sp macro="" textlink="$S$331">
      <xdr:nvSpPr>
        <xdr:cNvPr id="85" name="CaixaDeTexto 84">
          <a:extLst>
            <a:ext uri="{FF2B5EF4-FFF2-40B4-BE49-F238E27FC236}">
              <a16:creationId xmlns:a16="http://schemas.microsoft.com/office/drawing/2014/main" id="{00000000-0008-0000-0D00-000055000000}"/>
            </a:ext>
          </a:extLst>
        </xdr:cNvPr>
        <xdr:cNvSpPr txBox="1"/>
      </xdr:nvSpPr>
      <xdr:spPr>
        <a:xfrm>
          <a:off x="16311562" y="54641751"/>
          <a:ext cx="3498473" cy="674687"/>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4165562F-9532-48DE-8F18-677425DDFFA3}" type="TxLink">
            <a:rPr kumimoji="0" lang="en-US" sz="800" b="0" i="0" u="none" strike="noStrike" kern="0" cap="none" spc="0" normalizeH="0" baseline="0" noProof="0">
              <a:ln>
                <a:noFill/>
              </a:ln>
              <a:solidFill>
                <a:srgbClr val="000000"/>
              </a:solidFill>
              <a:effectLst/>
              <a:uLnTx/>
              <a:uFillTx/>
              <a:latin typeface="+mn-lt"/>
              <a:ea typeface="Calibri"/>
              <a:cs typeface="Calibri"/>
            </a:rPr>
            <a:pPr marL="0" marR="0" lvl="0" indent="0" defTabSz="914400" eaLnBrk="1" fontAlgn="auto" latinLnBrk="0" hangingPunct="1">
              <a:lnSpc>
                <a:spcPct val="100000"/>
              </a:lnSpc>
              <a:spcBef>
                <a:spcPts val="0"/>
              </a:spcBef>
              <a:spcAft>
                <a:spcPts val="0"/>
              </a:spcAft>
              <a:buClrTx/>
              <a:buSzTx/>
              <a:buFontTx/>
              <a:buNone/>
              <a:tabLst/>
              <a:defRPr/>
            </a:pPr>
            <a:t>2024 - Continente:
Ganho médio: Entre 1.008 € (Trabalhadores não qualificados) e 4.624 € (Trabalhadores sem profissão atribuida).</a:t>
          </a:fld>
          <a:endParaRPr kumimoji="0" lang="pt-PT" sz="700" b="1" i="0" u="none" strike="noStrike" kern="0" cap="none" spc="0" normalizeH="0" baseline="0" noProof="0">
            <a:ln>
              <a:noFill/>
            </a:ln>
            <a:solidFill>
              <a:srgbClr val="17375E"/>
            </a:solidFill>
            <a:effectLst/>
            <a:uLnTx/>
            <a:uFillTx/>
            <a:latin typeface="+mn-lt"/>
            <a:ea typeface="+mn-ea"/>
            <a:cs typeface="+mn-cs"/>
          </a:endParaRPr>
        </a:p>
      </xdr:txBody>
    </xdr:sp>
    <xdr:clientData/>
  </xdr:twoCellAnchor>
  <xdr:twoCellAnchor>
    <xdr:from>
      <xdr:col>16</xdr:col>
      <xdr:colOff>198437</xdr:colOff>
      <xdr:row>113</xdr:row>
      <xdr:rowOff>95248</xdr:rowOff>
    </xdr:from>
    <xdr:to>
      <xdr:col>21</xdr:col>
      <xdr:colOff>111125</xdr:colOff>
      <xdr:row>134</xdr:row>
      <xdr:rowOff>563559</xdr:rowOff>
    </xdr:to>
    <xdr:grpSp>
      <xdr:nvGrpSpPr>
        <xdr:cNvPr id="90" name="Agrupar 89">
          <a:extLst>
            <a:ext uri="{FF2B5EF4-FFF2-40B4-BE49-F238E27FC236}">
              <a16:creationId xmlns:a16="http://schemas.microsoft.com/office/drawing/2014/main" id="{00000000-0008-0000-0D00-00005A000000}"/>
            </a:ext>
          </a:extLst>
        </xdr:cNvPr>
        <xdr:cNvGrpSpPr/>
      </xdr:nvGrpSpPr>
      <xdr:grpSpPr>
        <a:xfrm>
          <a:off x="12398375" y="19288123"/>
          <a:ext cx="4365625" cy="4294186"/>
          <a:chOff x="15577097" y="23121938"/>
          <a:chExt cx="5135284" cy="4716637"/>
        </a:xfrm>
      </xdr:grpSpPr>
      <xdr:grpSp>
        <xdr:nvGrpSpPr>
          <xdr:cNvPr id="92" name="Agrupar 91">
            <a:extLst>
              <a:ext uri="{FF2B5EF4-FFF2-40B4-BE49-F238E27FC236}">
                <a16:creationId xmlns:a16="http://schemas.microsoft.com/office/drawing/2014/main" id="{00000000-0008-0000-0D00-00005C000000}"/>
              </a:ext>
            </a:extLst>
          </xdr:cNvPr>
          <xdr:cNvGrpSpPr/>
        </xdr:nvGrpSpPr>
        <xdr:grpSpPr>
          <a:xfrm>
            <a:off x="18145311" y="23388320"/>
            <a:ext cx="2567070" cy="4212000"/>
            <a:chOff x="18462311" y="22783800"/>
            <a:chExt cx="3024055" cy="3894075"/>
          </a:xfrm>
        </xdr:grpSpPr>
        <xdr:grpSp>
          <xdr:nvGrpSpPr>
            <xdr:cNvPr id="97" name="Agrupar 96">
              <a:extLst>
                <a:ext uri="{FF2B5EF4-FFF2-40B4-BE49-F238E27FC236}">
                  <a16:creationId xmlns:a16="http://schemas.microsoft.com/office/drawing/2014/main" id="{00000000-0008-0000-0D00-000061000000}"/>
                </a:ext>
              </a:extLst>
            </xdr:cNvPr>
            <xdr:cNvGrpSpPr/>
          </xdr:nvGrpSpPr>
          <xdr:grpSpPr>
            <a:xfrm>
              <a:off x="18462311" y="22919194"/>
              <a:ext cx="3024055" cy="3689092"/>
              <a:chOff x="14827783" y="419105"/>
              <a:chExt cx="5471917" cy="7675833"/>
            </a:xfrm>
            <a:solidFill>
              <a:schemeClr val="bg1"/>
            </a:solidFill>
          </xdr:grpSpPr>
          <xdr:pic>
            <xdr:nvPicPr>
              <xdr:cNvPr id="106" name="Imagem 105" descr="2024">
                <a:extLst>
                  <a:ext uri="{FF2B5EF4-FFF2-40B4-BE49-F238E27FC236}">
                    <a16:creationId xmlns:a16="http://schemas.microsoft.com/office/drawing/2014/main" id="{00000000-0008-0000-0D00-00006A000000}"/>
                  </a:ext>
                </a:extLst>
              </xdr:cNvPr>
              <xdr:cNvPicPr>
                <a:picLocks noChangeAspect="1" noChangeArrowheads="1"/>
              </xdr:cNvPicPr>
            </xdr:nvPicPr>
            <xdr:blipFill>
              <a:blip xmlns:r="http://schemas.openxmlformats.org/officeDocument/2006/relationships" r:embed="rId13" cstate="print">
                <a:biLevel thresh="25000"/>
                <a:extLst>
                  <a:ext uri="{BEBA8EAE-BF5A-486C-A8C5-ECC9F3942E4B}">
                    <a14:imgProps xmlns:a14="http://schemas.microsoft.com/office/drawing/2010/main">
                      <a14:imgLayer r:embed="rId14">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14827783" y="419105"/>
                <a:ext cx="5471917" cy="7675833"/>
              </a:xfrm>
              <a:prstGeom prst="rect">
                <a:avLst/>
              </a:prstGeom>
              <a:grpFill/>
              <a:extLst/>
            </xdr:spPr>
          </xdr:pic>
          <xdr:sp macro="" textlink="">
            <xdr:nvSpPr>
              <xdr:cNvPr id="107" name="Retângulo 106">
                <a:extLst>
                  <a:ext uri="{FF2B5EF4-FFF2-40B4-BE49-F238E27FC236}">
                    <a16:creationId xmlns:a16="http://schemas.microsoft.com/office/drawing/2014/main" id="{00000000-0008-0000-0D00-00006B000000}"/>
                  </a:ext>
                </a:extLst>
              </xdr:cNvPr>
              <xdr:cNvSpPr/>
            </xdr:nvSpPr>
            <xdr:spPr>
              <a:xfrm>
                <a:off x="15020925" y="1104900"/>
                <a:ext cx="1838325" cy="15811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108" name="Retângulo 107">
                <a:extLst>
                  <a:ext uri="{FF2B5EF4-FFF2-40B4-BE49-F238E27FC236}">
                    <a16:creationId xmlns:a16="http://schemas.microsoft.com/office/drawing/2014/main" id="{00000000-0008-0000-0D00-00006C000000}"/>
                  </a:ext>
                </a:extLst>
              </xdr:cNvPr>
              <xdr:cNvSpPr/>
            </xdr:nvSpPr>
            <xdr:spPr>
              <a:xfrm>
                <a:off x="15111802" y="6477003"/>
                <a:ext cx="1465937" cy="134144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aphicFrame macro="">
          <xdr:nvGraphicFramePr>
            <xdr:cNvPr id="99" name="Gráfico 98">
              <a:extLst>
                <a:ext uri="{FF2B5EF4-FFF2-40B4-BE49-F238E27FC236}">
                  <a16:creationId xmlns:a16="http://schemas.microsoft.com/office/drawing/2014/main" id="{00000000-0008-0000-0D00-000063000000}"/>
                </a:ext>
              </a:extLst>
            </xdr:cNvPr>
            <xdr:cNvGraphicFramePr>
              <a:graphicFrameLocks/>
            </xdr:cNvGraphicFramePr>
          </xdr:nvGraphicFramePr>
          <xdr:xfrm>
            <a:off x="19611976" y="22783800"/>
            <a:ext cx="819150" cy="1019176"/>
          </xdr:xfrm>
          <a:graphic>
            <a:graphicData uri="http://schemas.openxmlformats.org/drawingml/2006/chart">
              <c:chart xmlns:c="http://schemas.openxmlformats.org/drawingml/2006/chart" xmlns:r="http://schemas.openxmlformats.org/officeDocument/2006/relationships" r:id="rId24"/>
            </a:graphicData>
          </a:graphic>
        </xdr:graphicFrame>
        <xdr:graphicFrame macro="">
          <xdr:nvGraphicFramePr>
            <xdr:cNvPr id="100" name="Gráfico 99">
              <a:extLst>
                <a:ext uri="{FF2B5EF4-FFF2-40B4-BE49-F238E27FC236}">
                  <a16:creationId xmlns:a16="http://schemas.microsoft.com/office/drawing/2014/main" id="{00000000-0008-0000-0D00-000064000000}"/>
                </a:ext>
              </a:extLst>
            </xdr:cNvPr>
            <xdr:cNvGraphicFramePr>
              <a:graphicFrameLocks/>
            </xdr:cNvGraphicFramePr>
          </xdr:nvGraphicFramePr>
          <xdr:xfrm>
            <a:off x="20326350" y="23479126"/>
            <a:ext cx="800100" cy="1008000"/>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101" name="Gráfico 100">
              <a:extLst>
                <a:ext uri="{FF2B5EF4-FFF2-40B4-BE49-F238E27FC236}">
                  <a16:creationId xmlns:a16="http://schemas.microsoft.com/office/drawing/2014/main" id="{00000000-0008-0000-0D00-000065000000}"/>
                </a:ext>
              </a:extLst>
            </xdr:cNvPr>
            <xdr:cNvGraphicFramePr>
              <a:graphicFrameLocks/>
            </xdr:cNvGraphicFramePr>
          </xdr:nvGraphicFramePr>
          <xdr:xfrm>
            <a:off x="19145250" y="24012525"/>
            <a:ext cx="800100" cy="1008000"/>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102" name="Gráfico 101">
              <a:extLst>
                <a:ext uri="{FF2B5EF4-FFF2-40B4-BE49-F238E27FC236}">
                  <a16:creationId xmlns:a16="http://schemas.microsoft.com/office/drawing/2014/main" id="{00000000-0008-0000-0D00-000066000000}"/>
                </a:ext>
              </a:extLst>
            </xdr:cNvPr>
            <xdr:cNvGraphicFramePr>
              <a:graphicFrameLocks/>
            </xdr:cNvGraphicFramePr>
          </xdr:nvGraphicFramePr>
          <xdr:xfrm>
            <a:off x="18678525" y="24831675"/>
            <a:ext cx="800100" cy="1008000"/>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103" name="Gráfico 102">
              <a:extLst>
                <a:ext uri="{FF2B5EF4-FFF2-40B4-BE49-F238E27FC236}">
                  <a16:creationId xmlns:a16="http://schemas.microsoft.com/office/drawing/2014/main" id="{00000000-0008-0000-0D00-000067000000}"/>
                </a:ext>
              </a:extLst>
            </xdr:cNvPr>
            <xdr:cNvGraphicFramePr>
              <a:graphicFrameLocks/>
            </xdr:cNvGraphicFramePr>
          </xdr:nvGraphicFramePr>
          <xdr:xfrm>
            <a:off x="18507075" y="24479250"/>
            <a:ext cx="800100" cy="1008000"/>
          </xdr:xfrm>
          <a:graphic>
            <a:graphicData uri="http://schemas.openxmlformats.org/drawingml/2006/chart">
              <c:chart xmlns:c="http://schemas.openxmlformats.org/drawingml/2006/chart" xmlns:r="http://schemas.openxmlformats.org/officeDocument/2006/relationships" r:id="rId28"/>
            </a:graphicData>
          </a:graphic>
        </xdr:graphicFrame>
        <xdr:graphicFrame macro="">
          <xdr:nvGraphicFramePr>
            <xdr:cNvPr id="104" name="Gráfico 103">
              <a:extLst>
                <a:ext uri="{FF2B5EF4-FFF2-40B4-BE49-F238E27FC236}">
                  <a16:creationId xmlns:a16="http://schemas.microsoft.com/office/drawing/2014/main" id="{00000000-0008-0000-0D00-000068000000}"/>
                </a:ext>
              </a:extLst>
            </xdr:cNvPr>
            <xdr:cNvGraphicFramePr>
              <a:graphicFrameLocks/>
            </xdr:cNvGraphicFramePr>
          </xdr:nvGraphicFramePr>
          <xdr:xfrm>
            <a:off x="20059650" y="24774525"/>
            <a:ext cx="800100" cy="1008000"/>
          </xdr:xfrm>
          <a:graphic>
            <a:graphicData uri="http://schemas.openxmlformats.org/drawingml/2006/chart">
              <c:chart xmlns:c="http://schemas.openxmlformats.org/drawingml/2006/chart" xmlns:r="http://schemas.openxmlformats.org/officeDocument/2006/relationships" r:id="rId29"/>
            </a:graphicData>
          </a:graphic>
        </xdr:graphicFrame>
        <xdr:graphicFrame macro="">
          <xdr:nvGraphicFramePr>
            <xdr:cNvPr id="105" name="Gráfico 104">
              <a:extLst>
                <a:ext uri="{FF2B5EF4-FFF2-40B4-BE49-F238E27FC236}">
                  <a16:creationId xmlns:a16="http://schemas.microsoft.com/office/drawing/2014/main" id="{00000000-0008-0000-0D00-000069000000}"/>
                </a:ext>
              </a:extLst>
            </xdr:cNvPr>
            <xdr:cNvGraphicFramePr>
              <a:graphicFrameLocks/>
            </xdr:cNvGraphicFramePr>
          </xdr:nvGraphicFramePr>
          <xdr:xfrm>
            <a:off x="20221575" y="25669875"/>
            <a:ext cx="800100" cy="1008000"/>
          </xdr:xfrm>
          <a:graphic>
            <a:graphicData uri="http://schemas.openxmlformats.org/drawingml/2006/chart">
              <c:chart xmlns:c="http://schemas.openxmlformats.org/drawingml/2006/chart" xmlns:r="http://schemas.openxmlformats.org/officeDocument/2006/relationships" r:id="rId30"/>
            </a:graphicData>
          </a:graphic>
        </xdr:graphicFrame>
      </xdr:grpSp>
      <xdr:graphicFrame macro="">
        <xdr:nvGraphicFramePr>
          <xdr:cNvPr id="93" name="Gráfico 92">
            <a:extLst>
              <a:ext uri="{FF2B5EF4-FFF2-40B4-BE49-F238E27FC236}">
                <a16:creationId xmlns:a16="http://schemas.microsoft.com/office/drawing/2014/main" id="{00000000-0008-0000-0D00-00005D000000}"/>
              </a:ext>
            </a:extLst>
          </xdr:cNvPr>
          <xdr:cNvGraphicFramePr>
            <a:graphicFrameLocks/>
          </xdr:cNvGraphicFramePr>
        </xdr:nvGraphicFramePr>
        <xdr:xfrm>
          <a:off x="15577097" y="23318053"/>
          <a:ext cx="3780000" cy="4520522"/>
        </xdr:xfrm>
        <a:graphic>
          <a:graphicData uri="http://schemas.openxmlformats.org/drawingml/2006/chart">
            <c:chart xmlns:c="http://schemas.openxmlformats.org/drawingml/2006/chart" xmlns:r="http://schemas.openxmlformats.org/officeDocument/2006/relationships" r:id="rId31"/>
          </a:graphicData>
        </a:graphic>
      </xdr:graphicFrame>
      <xdr:graphicFrame macro="">
        <xdr:nvGraphicFramePr>
          <xdr:cNvPr id="94" name="Gráfico 93">
            <a:extLst>
              <a:ext uri="{FF2B5EF4-FFF2-40B4-BE49-F238E27FC236}">
                <a16:creationId xmlns:a16="http://schemas.microsoft.com/office/drawing/2014/main" id="{00000000-0008-0000-0D00-00005E000000}"/>
              </a:ext>
            </a:extLst>
          </xdr:cNvPr>
          <xdr:cNvGraphicFramePr/>
        </xdr:nvGraphicFramePr>
        <xdr:xfrm>
          <a:off x="17904620" y="23121938"/>
          <a:ext cx="1462879" cy="1436687"/>
        </xdr:xfrm>
        <a:graphic>
          <a:graphicData uri="http://schemas.openxmlformats.org/drawingml/2006/chart">
            <c:chart xmlns:c="http://schemas.openxmlformats.org/drawingml/2006/chart" xmlns:r="http://schemas.openxmlformats.org/officeDocument/2006/relationships" r:id="rId32"/>
          </a:graphicData>
        </a:graphic>
      </xdr:graphicFrame>
      <xdr:sp macro="" textlink="">
        <xdr:nvSpPr>
          <xdr:cNvPr id="95" name="CaixaDeTexto 94">
            <a:extLst>
              <a:ext uri="{FF2B5EF4-FFF2-40B4-BE49-F238E27FC236}">
                <a16:creationId xmlns:a16="http://schemas.microsoft.com/office/drawing/2014/main" id="{00000000-0008-0000-0D00-00005F000000}"/>
              </a:ext>
            </a:extLst>
          </xdr:cNvPr>
          <xdr:cNvSpPr txBox="1"/>
        </xdr:nvSpPr>
        <xdr:spPr>
          <a:xfrm>
            <a:off x="16840246" y="23185395"/>
            <a:ext cx="1423942" cy="119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lang="pt-PT" sz="900" b="1">
                <a:solidFill>
                  <a:schemeClr val="tx2"/>
                </a:solidFill>
              </a:rPr>
              <a:t>Sub-</a:t>
            </a:r>
            <a:r>
              <a:rPr lang="pt-PT" sz="900" b="1" baseline="0">
                <a:solidFill>
                  <a:schemeClr val="tx2"/>
                </a:solidFill>
              </a:rPr>
              <a:t>regiões </a:t>
            </a:r>
            <a:r>
              <a:rPr lang="pt-PT" sz="900" b="1">
                <a:solidFill>
                  <a:schemeClr val="tx2"/>
                </a:solidFill>
              </a:rPr>
              <a:t>NUTS III*</a:t>
            </a:r>
          </a:p>
        </xdr:txBody>
      </xdr:sp>
      <xdr:sp macro="" textlink="">
        <xdr:nvSpPr>
          <xdr:cNvPr id="96" name="CaixaDeTexto 95">
            <a:extLst>
              <a:ext uri="{FF2B5EF4-FFF2-40B4-BE49-F238E27FC236}">
                <a16:creationId xmlns:a16="http://schemas.microsoft.com/office/drawing/2014/main" id="{00000000-0008-0000-0D00-000060000000}"/>
              </a:ext>
            </a:extLst>
          </xdr:cNvPr>
          <xdr:cNvSpPr txBox="1"/>
        </xdr:nvSpPr>
        <xdr:spPr>
          <a:xfrm>
            <a:off x="18621789" y="23175307"/>
            <a:ext cx="1221961" cy="145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lang="pt-PT" sz="900" b="1" baseline="0">
                <a:solidFill>
                  <a:schemeClr val="tx2"/>
                </a:solidFill>
              </a:rPr>
              <a:t>Regiões </a:t>
            </a:r>
            <a:r>
              <a:rPr lang="pt-PT" sz="900" b="1">
                <a:solidFill>
                  <a:schemeClr val="tx2"/>
                </a:solidFill>
              </a:rPr>
              <a:t>NUTS II*</a:t>
            </a:r>
          </a:p>
        </xdr:txBody>
      </xdr:sp>
    </xdr:grpSp>
    <xdr:clientData/>
  </xdr:twoCellAnchor>
</xdr:wsDr>
</file>

<file path=xl/drawings/drawing41.xml><?xml version="1.0" encoding="utf-8"?>
<c:userShapes xmlns:c="http://schemas.openxmlformats.org/drawingml/2006/chart">
  <cdr:relSizeAnchor xmlns:cdr="http://schemas.openxmlformats.org/drawingml/2006/chartDrawing">
    <cdr:from>
      <cdr:x>0.7644</cdr:x>
      <cdr:y>0.01741</cdr:y>
    </cdr:from>
    <cdr:to>
      <cdr:x>0.98168</cdr:x>
      <cdr:y>0.10792</cdr:y>
    </cdr:to>
    <cdr:sp macro="" textlink="">
      <cdr:nvSpPr>
        <cdr:cNvPr id="2" name="CaixaDeTexto 1">
          <a:extLst xmlns:a="http://schemas.openxmlformats.org/drawingml/2006/main">
            <a:ext uri="{FF2B5EF4-FFF2-40B4-BE49-F238E27FC236}">
              <a16:creationId xmlns:a16="http://schemas.microsoft.com/office/drawing/2014/main" id="{C1039EE9-AEA0-40B8-AE5B-C8B5A095227E}"/>
            </a:ext>
          </a:extLst>
        </cdr:cNvPr>
        <cdr:cNvSpPr txBox="1"/>
      </cdr:nvSpPr>
      <cdr:spPr>
        <a:xfrm xmlns:a="http://schemas.openxmlformats.org/drawingml/2006/main">
          <a:off x="2781300" y="47625"/>
          <a:ext cx="7905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t-PT" sz="1100"/>
        </a:p>
        <a:p xmlns:a="http://schemas.openxmlformats.org/drawingml/2006/main">
          <a:endParaRPr lang="pt-PT" sz="1100"/>
        </a:p>
      </cdr:txBody>
    </cdr:sp>
  </cdr:relSizeAnchor>
</c:userShapes>
</file>

<file path=xl/drawings/drawing42.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9_13_16_27_28_39_40_E_Fig!$AT$3">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91947" y="16979"/>
          <a:ext cx="370013" cy="510136"/>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487530D-C469-42D2-99C8-D867D33B0AA9}"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9_13_16_27_28_39_40_E_Fig!$BD$3">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837" y="-3992"/>
          <a:ext cx="370013" cy="510136"/>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6A548F-78B3-4D72-ADF3-CECE132ACC1D}"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0.69647</cdr:x>
      <cdr:y>0.01779</cdr:y>
    </cdr:from>
    <cdr:to>
      <cdr:x>0.89688</cdr:x>
      <cdr:y>0.1661</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478637" y="-167683"/>
          <a:ext cx="484400" cy="936000"/>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1000" b="1">
              <a:solidFill>
                <a:schemeClr val="bg1"/>
              </a:solidFill>
            </a:rPr>
            <a:t>VARIAÇÃO 2024/2023</a:t>
          </a:r>
        </a:p>
      </cdr:txBody>
    </cdr:sp>
  </cdr:relSizeAnchor>
</c:userShapes>
</file>

<file path=xl/drawings/drawing43.xml><?xml version="1.0" encoding="utf-8"?>
<c:userShapes xmlns:c="http://schemas.openxmlformats.org/drawingml/2006/chart">
  <cdr:relSizeAnchor xmlns:cdr="http://schemas.openxmlformats.org/drawingml/2006/chartDrawing">
    <cdr:from>
      <cdr:x>0.60932</cdr:x>
      <cdr:y>0.10672</cdr:y>
    </cdr:from>
    <cdr:to>
      <cdr:x>0.72061</cdr:x>
      <cdr:y>0.1913</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371304" y="320059"/>
          <a:ext cx="250463" cy="253660"/>
          <a:chOff x="1963402" y="369817"/>
          <a:chExt cx="468179"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63402"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64</xdr:col>
          <xdr:colOff>47625</xdr:colOff>
          <xdr:row>14</xdr:row>
          <xdr:rowOff>133350</xdr:rowOff>
        </xdr:from>
        <xdr:to>
          <xdr:col>65</xdr:col>
          <xdr:colOff>85725</xdr:colOff>
          <xdr:row>16</xdr:row>
          <xdr:rowOff>9525</xdr:rowOff>
        </xdr:to>
        <xdr:sp macro="" textlink="">
          <xdr:nvSpPr>
            <xdr:cNvPr id="95234" name="Drop Down 2" hidden="1">
              <a:extLst>
                <a:ext uri="{63B3BB69-23CF-44E3-9099-C40C66FF867C}">
                  <a14:compatExt spid="_x0000_s95234"/>
                </a:ext>
                <a:ext uri="{FF2B5EF4-FFF2-40B4-BE49-F238E27FC236}">
                  <a16:creationId xmlns:a16="http://schemas.microsoft.com/office/drawing/2014/main" id="{00000000-0008-0000-0E00-000002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63</xdr:col>
      <xdr:colOff>438149</xdr:colOff>
      <xdr:row>31</xdr:row>
      <xdr:rowOff>38100</xdr:rowOff>
    </xdr:from>
    <xdr:to>
      <xdr:col>68</xdr:col>
      <xdr:colOff>570555</xdr:colOff>
      <xdr:row>55</xdr:row>
      <xdr:rowOff>57150</xdr:rowOff>
    </xdr:to>
    <xdr:grpSp>
      <xdr:nvGrpSpPr>
        <xdr:cNvPr id="23" name="Agrupar 22">
          <a:extLst>
            <a:ext uri="{FF2B5EF4-FFF2-40B4-BE49-F238E27FC236}">
              <a16:creationId xmlns:a16="http://schemas.microsoft.com/office/drawing/2014/main" id="{00000000-0008-0000-0E00-000017000000}"/>
            </a:ext>
          </a:extLst>
        </xdr:cNvPr>
        <xdr:cNvGrpSpPr/>
      </xdr:nvGrpSpPr>
      <xdr:grpSpPr>
        <a:xfrm>
          <a:off x="45324712" y="5185263"/>
          <a:ext cx="3200555" cy="3975589"/>
          <a:chOff x="45205649" y="5095875"/>
          <a:chExt cx="3180406" cy="3905250"/>
        </a:xfrm>
      </xdr:grpSpPr>
      <xdr:graphicFrame macro="">
        <xdr:nvGraphicFramePr>
          <xdr:cNvPr id="52" name="Gráfico 51">
            <a:extLst>
              <a:ext uri="{FF2B5EF4-FFF2-40B4-BE49-F238E27FC236}">
                <a16:creationId xmlns:a16="http://schemas.microsoft.com/office/drawing/2014/main" id="{00000000-0008-0000-0E00-000034000000}"/>
              </a:ext>
            </a:extLst>
          </xdr:cNvPr>
          <xdr:cNvGraphicFramePr>
            <a:graphicFrameLocks/>
          </xdr:cNvGraphicFramePr>
        </xdr:nvGraphicFramePr>
        <xdr:xfrm>
          <a:off x="45205649" y="5095875"/>
          <a:ext cx="3000375" cy="3905250"/>
        </xdr:xfrm>
        <a:graphic>
          <a:graphicData uri="http://schemas.openxmlformats.org/drawingml/2006/chart">
            <c:chart xmlns:c="http://schemas.openxmlformats.org/drawingml/2006/chart" xmlns:r="http://schemas.openxmlformats.org/officeDocument/2006/relationships" r:id="rId1"/>
          </a:graphicData>
        </a:graphic>
      </xdr:graphicFrame>
      <xdr:sp macro="" textlink="q22_q23_q34_q35_Fig!$BM$26">
        <xdr:nvSpPr>
          <xdr:cNvPr id="44" name="CaixaDeTexto 43">
            <a:extLst>
              <a:ext uri="{FF2B5EF4-FFF2-40B4-BE49-F238E27FC236}">
                <a16:creationId xmlns:a16="http://schemas.microsoft.com/office/drawing/2014/main" id="{00000000-0008-0000-0E00-00002C000000}"/>
              </a:ext>
            </a:extLst>
          </xdr:cNvPr>
          <xdr:cNvSpPr txBox="1"/>
        </xdr:nvSpPr>
        <xdr:spPr>
          <a:xfrm>
            <a:off x="46221036" y="5549537"/>
            <a:ext cx="739364" cy="152383"/>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D3A07DF7-A319-4AD1-8FA7-89FB3A2E76CA}"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1.383,38 €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22_q23_q34_q35_Fig!$BN$26">
        <xdr:nvSpPr>
          <xdr:cNvPr id="45" name="CaixaDeTexto 44">
            <a:extLst>
              <a:ext uri="{FF2B5EF4-FFF2-40B4-BE49-F238E27FC236}">
                <a16:creationId xmlns:a16="http://schemas.microsoft.com/office/drawing/2014/main" id="{00000000-0008-0000-0E00-00002D000000}"/>
              </a:ext>
            </a:extLst>
          </xdr:cNvPr>
          <xdr:cNvSpPr txBox="1"/>
        </xdr:nvSpPr>
        <xdr:spPr>
          <a:xfrm>
            <a:off x="46221036" y="5742952"/>
            <a:ext cx="739364" cy="152383"/>
          </a:xfrm>
          <a:prstGeom prst="rect">
            <a:avLst/>
          </a:prstGeom>
          <a:solidFill>
            <a:srgbClr val="FFC000">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34CFA93-6BFE-4609-8D66-884C4CF6927C}"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1.693,55 €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22_q23_q34_q35_Fig!$BO$25">
        <xdr:nvSpPr>
          <xdr:cNvPr id="46" name="CaixaDeTexto 45">
            <a:extLst>
              <a:ext uri="{FF2B5EF4-FFF2-40B4-BE49-F238E27FC236}">
                <a16:creationId xmlns:a16="http://schemas.microsoft.com/office/drawing/2014/main" id="{00000000-0008-0000-0E00-00002E000000}"/>
              </a:ext>
            </a:extLst>
          </xdr:cNvPr>
          <xdr:cNvSpPr txBox="1"/>
        </xdr:nvSpPr>
        <xdr:spPr>
          <a:xfrm>
            <a:off x="47646691" y="5534412"/>
            <a:ext cx="739364" cy="152383"/>
          </a:xfrm>
          <a:prstGeom prst="rect">
            <a:avLst/>
          </a:prstGeom>
          <a:solidFill>
            <a:srgbClr val="95B3D7">
              <a:alpha val="46667"/>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876025AA-CC5A-4A5C-B7FE-866B0947C87D}"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1.216,85 €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22_q23_q34_q35_Fig!$BP$25">
        <xdr:nvSpPr>
          <xdr:cNvPr id="47" name="CaixaDeTexto 46">
            <a:extLst>
              <a:ext uri="{FF2B5EF4-FFF2-40B4-BE49-F238E27FC236}">
                <a16:creationId xmlns:a16="http://schemas.microsoft.com/office/drawing/2014/main" id="{00000000-0008-0000-0E00-00002F000000}"/>
              </a:ext>
            </a:extLst>
          </xdr:cNvPr>
          <xdr:cNvSpPr txBox="1"/>
        </xdr:nvSpPr>
        <xdr:spPr>
          <a:xfrm>
            <a:off x="47646691" y="5727827"/>
            <a:ext cx="739364" cy="152383"/>
          </a:xfrm>
          <a:prstGeom prst="rect">
            <a:avLst/>
          </a:prstGeom>
          <a:solidFill>
            <a:srgbClr val="FFEF57">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D5C8ABA-A640-4197-8539-34E9824DD12E}"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1.445,59 €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clientData/>
  </xdr:twoCellAnchor>
  <xdr:twoCellAnchor>
    <xdr:from>
      <xdr:col>46</xdr:col>
      <xdr:colOff>450850</xdr:colOff>
      <xdr:row>8</xdr:row>
      <xdr:rowOff>25400</xdr:rowOff>
    </xdr:from>
    <xdr:to>
      <xdr:col>52</xdr:col>
      <xdr:colOff>300567</xdr:colOff>
      <xdr:row>22</xdr:row>
      <xdr:rowOff>2211</xdr:rowOff>
    </xdr:to>
    <xdr:grpSp>
      <xdr:nvGrpSpPr>
        <xdr:cNvPr id="43" name="Agrupar 42">
          <a:extLst>
            <a:ext uri="{FF2B5EF4-FFF2-40B4-BE49-F238E27FC236}">
              <a16:creationId xmlns:a16="http://schemas.microsoft.com/office/drawing/2014/main" id="{00000000-0008-0000-0E00-00002B000000}"/>
            </a:ext>
          </a:extLst>
        </xdr:cNvPr>
        <xdr:cNvGrpSpPr/>
      </xdr:nvGrpSpPr>
      <xdr:grpSpPr>
        <a:xfrm>
          <a:off x="32405393" y="1371722"/>
          <a:ext cx="4190919" cy="2293951"/>
          <a:chOff x="36182300" y="8426450"/>
          <a:chExt cx="4819650" cy="2597244"/>
        </a:xfrm>
      </xdr:grpSpPr>
      <xdr:graphicFrame macro="">
        <xdr:nvGraphicFramePr>
          <xdr:cNvPr id="48" name="Gráfico 47">
            <a:extLst>
              <a:ext uri="{FF2B5EF4-FFF2-40B4-BE49-F238E27FC236}">
                <a16:creationId xmlns:a16="http://schemas.microsoft.com/office/drawing/2014/main" id="{00000000-0008-0000-0E00-000030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49" name="CaixaDeTexto 48">
            <a:extLst>
              <a:ext uri="{FF2B5EF4-FFF2-40B4-BE49-F238E27FC236}">
                <a16:creationId xmlns:a16="http://schemas.microsoft.com/office/drawing/2014/main" id="{00000000-0008-0000-0E00-000031000000}"/>
              </a:ext>
            </a:extLst>
          </xdr:cNvPr>
          <xdr:cNvSpPr txBox="1"/>
        </xdr:nvSpPr>
        <xdr:spPr>
          <a:xfrm>
            <a:off x="39577074" y="9112250"/>
            <a:ext cx="1013632" cy="3168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Remuneração Base</a:t>
            </a:r>
          </a:p>
        </xdr:txBody>
      </xdr:sp>
      <xdr:sp macro="" textlink="">
        <xdr:nvSpPr>
          <xdr:cNvPr id="50" name="CaixaDeTexto 49">
            <a:extLst>
              <a:ext uri="{FF2B5EF4-FFF2-40B4-BE49-F238E27FC236}">
                <a16:creationId xmlns:a16="http://schemas.microsoft.com/office/drawing/2014/main" id="{00000000-0008-0000-0E00-000032000000}"/>
              </a:ext>
            </a:extLst>
          </xdr:cNvPr>
          <xdr:cNvSpPr txBox="1"/>
        </xdr:nvSpPr>
        <xdr:spPr>
          <a:xfrm>
            <a:off x="39567950" y="9956800"/>
            <a:ext cx="1013632" cy="3168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Remuneração Ganho</a:t>
            </a:r>
          </a:p>
        </xdr:txBody>
      </xdr:sp>
      <xdr:sp macro="" textlink="q22_q23_q34_q35_Fig!$BH$5">
        <xdr:nvSpPr>
          <xdr:cNvPr id="51" name="CaixaDeTexto 50">
            <a:extLst>
              <a:ext uri="{FF2B5EF4-FFF2-40B4-BE49-F238E27FC236}">
                <a16:creationId xmlns:a16="http://schemas.microsoft.com/office/drawing/2014/main" id="{00000000-0008-0000-0E00-000033000000}"/>
              </a:ext>
            </a:extLst>
          </xdr:cNvPr>
          <xdr:cNvSpPr txBox="1"/>
        </xdr:nvSpPr>
        <xdr:spPr>
          <a:xfrm>
            <a:off x="39561342" y="10299700"/>
            <a:ext cx="1013632" cy="3168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B6E12D4-8965-44E4-A4D0-F1B6393578C1}" type="TxLink">
              <a:rPr lang="en-US" sz="1000" b="1" i="0" u="none" strike="noStrike">
                <a:solidFill>
                  <a:schemeClr val="bg1"/>
                </a:solidFill>
                <a:latin typeface="Arial"/>
                <a:ea typeface="+mn-ea"/>
                <a:cs typeface="Arial"/>
              </a:rPr>
              <a:pPr marL="0" indent="0" algn="ctr"/>
              <a:t>44,8%</a:t>
            </a:fld>
            <a:endParaRPr lang="pt-PT" sz="1000" b="1" i="0" u="none" strike="noStrike">
              <a:solidFill>
                <a:schemeClr val="bg1"/>
              </a:solidFill>
              <a:latin typeface="+mn-lt"/>
              <a:ea typeface="+mn-ea"/>
              <a:cs typeface="Arial"/>
            </a:endParaRPr>
          </a:p>
        </xdr:txBody>
      </xdr:sp>
      <xdr:sp macro="" textlink="q22_q23_q34_q35_Fig!$BH$4">
        <xdr:nvSpPr>
          <xdr:cNvPr id="53" name="CaixaDeTexto 52">
            <a:extLst>
              <a:ext uri="{FF2B5EF4-FFF2-40B4-BE49-F238E27FC236}">
                <a16:creationId xmlns:a16="http://schemas.microsoft.com/office/drawing/2014/main" id="{00000000-0008-0000-0E00-000035000000}"/>
              </a:ext>
            </a:extLst>
          </xdr:cNvPr>
          <xdr:cNvSpPr txBox="1"/>
        </xdr:nvSpPr>
        <xdr:spPr>
          <a:xfrm>
            <a:off x="39574300" y="9455149"/>
            <a:ext cx="1013632" cy="316800"/>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C5434AC-5A8C-43C8-A5D7-B506D11131D2}" type="TxLink">
              <a:rPr lang="en-US" sz="1000" b="1" i="0" u="none" strike="noStrike">
                <a:solidFill>
                  <a:schemeClr val="bg1"/>
                </a:solidFill>
                <a:latin typeface="Arial"/>
                <a:cs typeface="Arial"/>
              </a:rPr>
              <a:pPr algn="ctr"/>
              <a:t>43,9%</a:t>
            </a:fld>
            <a:endParaRPr lang="pt-PT" sz="1000" b="1">
              <a:solidFill>
                <a:schemeClr val="bg1"/>
              </a:solidFill>
              <a:latin typeface="+mn-lt"/>
            </a:endParaRPr>
          </a:p>
        </xdr:txBody>
      </xdr:sp>
    </xdr:grpSp>
    <xdr:clientData/>
  </xdr:twoCellAnchor>
  <xdr:twoCellAnchor>
    <xdr:from>
      <xdr:col>53</xdr:col>
      <xdr:colOff>942975</xdr:colOff>
      <xdr:row>9</xdr:row>
      <xdr:rowOff>142875</xdr:rowOff>
    </xdr:from>
    <xdr:to>
      <xdr:col>58</xdr:col>
      <xdr:colOff>1123461</xdr:colOff>
      <xdr:row>13</xdr:row>
      <xdr:rowOff>104774</xdr:rowOff>
    </xdr:to>
    <xdr:sp macro="" textlink="">
      <xdr:nvSpPr>
        <xdr:cNvPr id="19" name="CaixaDeTexto 18">
          <a:extLst>
            <a:ext uri="{FF2B5EF4-FFF2-40B4-BE49-F238E27FC236}">
              <a16:creationId xmlns:a16="http://schemas.microsoft.com/office/drawing/2014/main" id="{00000000-0008-0000-0E00-000013000000}"/>
            </a:ext>
          </a:extLst>
        </xdr:cNvPr>
        <xdr:cNvSpPr txBox="1"/>
      </xdr:nvSpPr>
      <xdr:spPr>
        <a:xfrm>
          <a:off x="37680900" y="1638300"/>
          <a:ext cx="3942861" cy="609599"/>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en-US" sz="900" b="1" u="sng" baseline="0">
              <a:solidFill>
                <a:schemeClr val="dk1"/>
              </a:solidFill>
              <a:effectLst/>
              <a:latin typeface="+mn-lt"/>
              <a:ea typeface="+mn-ea"/>
              <a:cs typeface="+mn-cs"/>
            </a:rPr>
            <a:t>2024:</a:t>
          </a:r>
          <a:r>
            <a:rPr lang="en-US" sz="900" b="1" baseline="0">
              <a:solidFill>
                <a:schemeClr val="dk1"/>
              </a:solidFill>
              <a:effectLst/>
              <a:latin typeface="+mn-lt"/>
              <a:ea typeface="+mn-ea"/>
              <a:cs typeface="+mn-cs"/>
            </a:rPr>
            <a:t>                                                               </a:t>
          </a:r>
          <a:r>
            <a:rPr lang="en-US" sz="900" b="1" u="sng" baseline="0">
              <a:solidFill>
                <a:schemeClr val="dk1"/>
              </a:solidFill>
              <a:effectLst/>
              <a:latin typeface="+mn-lt"/>
              <a:ea typeface="+mn-ea"/>
              <a:cs typeface="+mn-cs"/>
            </a:rPr>
            <a:t>2024 vs. 2023: </a:t>
          </a:r>
          <a:endParaRPr lang="pt-PT" sz="900">
            <a:effectLst/>
          </a:endParaRPr>
        </a:p>
        <a:p>
          <a:pPr eaLnBrk="1" fontAlgn="auto" latinLnBrk="0" hangingPunct="1"/>
          <a:r>
            <a:rPr lang="en-US" sz="900" b="0" baseline="0">
              <a:solidFill>
                <a:schemeClr val="dk1"/>
              </a:solidFill>
              <a:effectLst/>
              <a:latin typeface="+mn-lt"/>
              <a:ea typeface="+mn-ea"/>
              <a:cs typeface="+mn-cs"/>
            </a:rPr>
            <a:t>1.309 € de remuneração base                    + 89 € de remuneração base  (+7,3%)</a:t>
          </a:r>
          <a:endParaRPr lang="pt-PT" sz="900">
            <a:effectLst/>
          </a:endParaRPr>
        </a:p>
        <a:p>
          <a:pPr eaLnBrk="1" fontAlgn="auto" latinLnBrk="0" hangingPunct="1"/>
          <a:r>
            <a:rPr lang="en-US" sz="900" b="0" baseline="0">
              <a:solidFill>
                <a:schemeClr val="dk1"/>
              </a:solidFill>
              <a:effectLst/>
              <a:latin typeface="+mn-lt"/>
              <a:ea typeface="+mn-ea"/>
              <a:cs typeface="+mn-cs"/>
            </a:rPr>
            <a:t>1.583 € de remuneração ganho                 + 116 € de remuneração ganho (+7,9%)</a:t>
          </a:r>
          <a:endParaRPr lang="en-US" sz="900" b="1" baseline="0">
            <a:solidFill>
              <a:schemeClr val="dk1"/>
            </a:solidFill>
            <a:effectLst/>
            <a:latin typeface="+mn-lt"/>
            <a:ea typeface="+mn-ea"/>
            <a:cs typeface="+mn-cs"/>
          </a:endParaRPr>
        </a:p>
      </xdr:txBody>
    </xdr:sp>
    <xdr:clientData/>
  </xdr:twoCellAnchor>
  <xdr:twoCellAnchor>
    <xdr:from>
      <xdr:col>2</xdr:col>
      <xdr:colOff>47625</xdr:colOff>
      <xdr:row>63</xdr:row>
      <xdr:rowOff>66675</xdr:rowOff>
    </xdr:from>
    <xdr:to>
      <xdr:col>6</xdr:col>
      <xdr:colOff>555625</xdr:colOff>
      <xdr:row>67</xdr:row>
      <xdr:rowOff>57150</xdr:rowOff>
    </xdr:to>
    <xdr:sp macro="" textlink="">
      <xdr:nvSpPr>
        <xdr:cNvPr id="20" name="CaixaDeTexto 19">
          <a:extLst>
            <a:ext uri="{FF2B5EF4-FFF2-40B4-BE49-F238E27FC236}">
              <a16:creationId xmlns:a16="http://schemas.microsoft.com/office/drawing/2014/main" id="{00000000-0008-0000-0E00-000014000000}"/>
            </a:ext>
          </a:extLst>
        </xdr:cNvPr>
        <xdr:cNvSpPr txBox="1"/>
      </xdr:nvSpPr>
      <xdr:spPr>
        <a:xfrm>
          <a:off x="2404452" y="10183935"/>
          <a:ext cx="3731846" cy="631580"/>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prstClr val="black"/>
              </a:solidFill>
              <a:effectLst/>
              <a:uLnTx/>
              <a:uFillTx/>
              <a:latin typeface="+mn-lt"/>
              <a:ea typeface="+mn-ea"/>
              <a:cs typeface="+mn-cs"/>
            </a:rPr>
            <a:t>2024</a:t>
          </a:r>
          <a:r>
            <a:rPr kumimoji="0" lang="en-US" sz="800" b="1" i="0" u="none" strike="noStrike" kern="0" cap="none" spc="0" normalizeH="0" baseline="0" noProof="0">
              <a:ln>
                <a:noFill/>
              </a:ln>
              <a:solidFill>
                <a:prstClr val="black"/>
              </a:solidFill>
              <a:effectLst/>
              <a:uLnTx/>
              <a:uFillTx/>
              <a:latin typeface="+mn-lt"/>
              <a:ea typeface="+mn-ea"/>
              <a:cs typeface="+mn-cs"/>
            </a:rPr>
            <a:t>:</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sysClr val="windowText" lastClr="000000"/>
              </a:solidFill>
              <a:effectLst/>
              <a:uLnTx/>
              <a:uFillTx/>
              <a:latin typeface="+mn-lt"/>
              <a:ea typeface="+mn-ea"/>
              <a:cs typeface="+mn-cs"/>
            </a:rPr>
            <a:t>Entre 1.080 € (Micro - 1 a 9 pessoas) e 1.591 € (Grandes - 250 e + pessoas)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1" i="0" u="sng" strike="noStrike" kern="0" cap="none" spc="0" normalizeH="0" baseline="0" noProof="0">
              <a:ln>
                <a:noFill/>
              </a:ln>
              <a:solidFill>
                <a:sysClr val="windowText" lastClr="000000"/>
              </a:solidFill>
              <a:effectLst/>
              <a:uLnTx/>
              <a:uFillTx/>
              <a:latin typeface="+mn-lt"/>
              <a:ea typeface="+mn-ea"/>
              <a:cs typeface="+mn-cs"/>
            </a:rPr>
            <a:t>2024 vs 2014</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prstClr val="black"/>
              </a:solidFill>
              <a:effectLst/>
              <a:uLnTx/>
              <a:uFillTx/>
              <a:latin typeface="+mn-lt"/>
              <a:ea typeface="+mn-ea"/>
              <a:cs typeface="+mn-cs"/>
            </a:rPr>
            <a:t>Variações entre 36% (Médios - 50 a 249 pessoas) e 47% (Grandes - 250 e + pessoas)</a:t>
          </a:r>
        </a:p>
      </xdr:txBody>
    </xdr:sp>
    <xdr:clientData/>
  </xdr:twoCellAnchor>
  <xdr:twoCellAnchor>
    <xdr:from>
      <xdr:col>7</xdr:col>
      <xdr:colOff>152644</xdr:colOff>
      <xdr:row>63</xdr:row>
      <xdr:rowOff>114300</xdr:rowOff>
    </xdr:from>
    <xdr:to>
      <xdr:col>12</xdr:col>
      <xdr:colOff>398094</xdr:colOff>
      <xdr:row>68</xdr:row>
      <xdr:rowOff>42741</xdr:rowOff>
    </xdr:to>
    <xdr:sp macro="" textlink="">
      <xdr:nvSpPr>
        <xdr:cNvPr id="21" name="CaixaDeTexto 20">
          <a:extLst>
            <a:ext uri="{FF2B5EF4-FFF2-40B4-BE49-F238E27FC236}">
              <a16:creationId xmlns:a16="http://schemas.microsoft.com/office/drawing/2014/main" id="{00000000-0008-0000-0E00-000015000000}"/>
            </a:ext>
          </a:extLst>
        </xdr:cNvPr>
        <xdr:cNvSpPr txBox="1"/>
      </xdr:nvSpPr>
      <xdr:spPr>
        <a:xfrm>
          <a:off x="6539279" y="10231560"/>
          <a:ext cx="4073767" cy="728296"/>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prstClr val="black"/>
              </a:solidFill>
              <a:effectLst/>
              <a:uLnTx/>
              <a:uFillTx/>
              <a:latin typeface="+mn-lt"/>
              <a:ea typeface="+mn-ea"/>
              <a:cs typeface="+mn-cs"/>
            </a:rPr>
            <a:t>2024</a:t>
          </a:r>
          <a:r>
            <a:rPr kumimoji="0" lang="en-US" sz="800" b="1" i="0" u="none" strike="noStrike" kern="0" cap="none" spc="0" normalizeH="0" baseline="0" noProof="0">
              <a:ln>
                <a:noFill/>
              </a:ln>
              <a:solidFill>
                <a:prstClr val="black"/>
              </a:solidFill>
              <a:effectLst/>
              <a:uLnTx/>
              <a:uFillTx/>
              <a:latin typeface="+mn-lt"/>
              <a:ea typeface="+mn-ea"/>
              <a:cs typeface="+mn-cs"/>
            </a:rPr>
            <a:t>:</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sysClr val="windowText" lastClr="000000"/>
              </a:solidFill>
              <a:effectLst/>
              <a:uLnTx/>
              <a:uFillTx/>
              <a:latin typeface="+mn-lt"/>
              <a:ea typeface="+mn-ea"/>
              <a:cs typeface="+mn-cs"/>
            </a:rPr>
            <a:t>Entre 1.260 € (Micro - 1 a 9 pessoas) e 1.989 € (Grandes - 250 e + pessoas)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1" i="0" u="sng" strike="noStrike" kern="0" cap="none" spc="0" normalizeH="0" baseline="0" noProof="0">
              <a:ln>
                <a:noFill/>
              </a:ln>
              <a:solidFill>
                <a:sysClr val="windowText" lastClr="000000"/>
              </a:solidFill>
              <a:effectLst/>
              <a:uLnTx/>
              <a:uFillTx/>
              <a:latin typeface="+mn-lt"/>
              <a:ea typeface="+mn-ea"/>
              <a:cs typeface="+mn-cs"/>
            </a:rPr>
            <a:t>2024 vs 2014</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prstClr val="black"/>
              </a:solidFill>
              <a:effectLst/>
              <a:uLnTx/>
              <a:uFillTx/>
              <a:latin typeface="+mn-lt"/>
              <a:ea typeface="+mn-ea"/>
              <a:cs typeface="+mn-cs"/>
            </a:rPr>
            <a:t>Variações entre 36% (Médios - 50 a 249 pessoas) e 48% </a:t>
          </a:r>
          <a:r>
            <a:rPr lang="pt-PT" sz="800" b="0" i="0" baseline="0">
              <a:effectLst/>
              <a:latin typeface="+mn-lt"/>
              <a:ea typeface="+mn-ea"/>
              <a:cs typeface="+mn-cs"/>
            </a:rPr>
            <a:t>(Grandes - 250 e + pessoas).</a:t>
          </a:r>
          <a:endParaRPr kumimoji="0" lang="pt-PT" sz="8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2</xdr:col>
      <xdr:colOff>28576</xdr:colOff>
      <xdr:row>85</xdr:row>
      <xdr:rowOff>47625</xdr:rowOff>
    </xdr:from>
    <xdr:to>
      <xdr:col>6</xdr:col>
      <xdr:colOff>409575</xdr:colOff>
      <xdr:row>90</xdr:row>
      <xdr:rowOff>76200</xdr:rowOff>
    </xdr:to>
    <xdr:sp macro="" textlink="$D$84">
      <xdr:nvSpPr>
        <xdr:cNvPr id="24" name="CaixaDeTexto 23">
          <a:extLst>
            <a:ext uri="{FF2B5EF4-FFF2-40B4-BE49-F238E27FC236}">
              <a16:creationId xmlns:a16="http://schemas.microsoft.com/office/drawing/2014/main" id="{00000000-0008-0000-0E00-000018000000}"/>
            </a:ext>
          </a:extLst>
        </xdr:cNvPr>
        <xdr:cNvSpPr txBox="1"/>
      </xdr:nvSpPr>
      <xdr:spPr>
        <a:xfrm>
          <a:off x="2276476" y="13849350"/>
          <a:ext cx="3467099" cy="838200"/>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760BEDE4-34B2-45D7-B4CD-2FBD9778F919}" type="TxLink">
            <a:rPr kumimoji="0" lang="en-US" sz="800" b="0" i="0" u="none" strike="noStrike" kern="0" cap="none" spc="0" normalizeH="0" baseline="0" noProof="0">
              <a:ln>
                <a:noFill/>
              </a:ln>
              <a:solidFill>
                <a:srgbClr val="000000"/>
              </a:solidFill>
              <a:effectLst/>
              <a:uLnTx/>
              <a:uFillTx/>
              <a:latin typeface="+mn-lt"/>
              <a:ea typeface="+mn-ea"/>
              <a:cs typeface="Arial"/>
            </a:rPr>
            <a:pPr marL="0" marR="0" lvl="0" indent="0" algn="l" defTabSz="914400" eaLnBrk="1" fontAlgn="auto" latinLnBrk="0" hangingPunct="1">
              <a:lnSpc>
                <a:spcPct val="100000"/>
              </a:lnSpc>
              <a:spcBef>
                <a:spcPts val="0"/>
              </a:spcBef>
              <a:spcAft>
                <a:spcPts val="0"/>
              </a:spcAft>
              <a:buClrTx/>
              <a:buSzTx/>
              <a:buFontTx/>
              <a:buNone/>
              <a:tabLst/>
              <a:defRPr/>
            </a:pPr>
            <a:t>2024:
Entre 1.080 € Micro (1-9 pessoas) e 1.591 € Grandes (250 ou + pessoas)
2024 vs 2014:
Variações entre 36% Médios (50 - 249 pessoas) e 47% Grandes (250 ou + pessoas).</a:t>
          </a:fld>
          <a:endParaRPr kumimoji="0" lang="pt-PT" sz="8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2</xdr:col>
      <xdr:colOff>0</xdr:colOff>
      <xdr:row>95</xdr:row>
      <xdr:rowOff>57150</xdr:rowOff>
    </xdr:from>
    <xdr:to>
      <xdr:col>7</xdr:col>
      <xdr:colOff>152400</xdr:colOff>
      <xdr:row>100</xdr:row>
      <xdr:rowOff>57150</xdr:rowOff>
    </xdr:to>
    <xdr:sp macro="" textlink="$D$94">
      <xdr:nvSpPr>
        <xdr:cNvPr id="25" name="CaixaDeTexto 24">
          <a:extLst>
            <a:ext uri="{FF2B5EF4-FFF2-40B4-BE49-F238E27FC236}">
              <a16:creationId xmlns:a16="http://schemas.microsoft.com/office/drawing/2014/main" id="{00000000-0008-0000-0E00-000019000000}"/>
            </a:ext>
          </a:extLst>
        </xdr:cNvPr>
        <xdr:cNvSpPr txBox="1"/>
      </xdr:nvSpPr>
      <xdr:spPr>
        <a:xfrm>
          <a:off x="2247900" y="15478125"/>
          <a:ext cx="4010025" cy="809625"/>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4320C582-956B-40CF-BCA5-2C5CADD67E2C}" type="TxLink">
            <a:rPr kumimoji="0" lang="en-US" sz="800" b="0" i="0" u="none" strike="noStrike" kern="0" cap="none" spc="0" normalizeH="0" baseline="0" noProof="0">
              <a:ln>
                <a:noFill/>
              </a:ln>
              <a:solidFill>
                <a:srgbClr val="000000"/>
              </a:solidFill>
              <a:effectLst/>
              <a:uLnTx/>
              <a:uFillTx/>
              <a:latin typeface="+mn-lt"/>
              <a:ea typeface="+mn-ea"/>
              <a:cs typeface="Arial"/>
            </a:rPr>
            <a:pPr marL="0" marR="0" lvl="0" indent="0" algn="l" defTabSz="914400" eaLnBrk="1" fontAlgn="auto" latinLnBrk="0" hangingPunct="1">
              <a:lnSpc>
                <a:spcPct val="100000"/>
              </a:lnSpc>
              <a:spcBef>
                <a:spcPts val="0"/>
              </a:spcBef>
              <a:spcAft>
                <a:spcPts val="0"/>
              </a:spcAft>
              <a:buClrTx/>
              <a:buSzTx/>
              <a:buFontTx/>
              <a:buNone/>
              <a:tabLst/>
              <a:defRPr/>
            </a:pPr>
            <a:t>2024:
Entre 1.260 € Micro (1-9 pessoas) e 1.989 € Grandes (250 ou + pessoas)
2024 vs 2014:
Variações entre 36% Médios (50 - 249 pessoas) e 48% Grandes (250 ou + pessoas).</a:t>
          </a:fld>
          <a:endParaRPr kumimoji="0" lang="pt-PT" sz="8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76</xdr:col>
      <xdr:colOff>533400</xdr:colOff>
      <xdr:row>38</xdr:row>
      <xdr:rowOff>114300</xdr:rowOff>
    </xdr:from>
    <xdr:to>
      <xdr:col>84</xdr:col>
      <xdr:colOff>175113</xdr:colOff>
      <xdr:row>42</xdr:row>
      <xdr:rowOff>103800</xdr:rowOff>
    </xdr:to>
    <xdr:sp macro="" textlink="q22_q23_q34_q35_Fig!$BZ$37">
      <xdr:nvSpPr>
        <xdr:cNvPr id="26" name="CaixaDeTexto 25">
          <a:extLst>
            <a:ext uri="{FF2B5EF4-FFF2-40B4-BE49-F238E27FC236}">
              <a16:creationId xmlns:a16="http://schemas.microsoft.com/office/drawing/2014/main" id="{00000000-0008-0000-0E00-00001A000000}"/>
            </a:ext>
          </a:extLst>
        </xdr:cNvPr>
        <xdr:cNvSpPr txBox="1"/>
      </xdr:nvSpPr>
      <xdr:spPr>
        <a:xfrm>
          <a:off x="55092600" y="6305550"/>
          <a:ext cx="4518513" cy="637200"/>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5AA5EC0D-310F-45B7-8569-D357C6298D02}" type="TxLink">
            <a:rPr kumimoji="0" lang="en-US" sz="800" b="0" i="0" u="none" strike="noStrike" kern="0" cap="none" spc="0" normalizeH="0" baseline="0" noProof="0">
              <a:ln>
                <a:noFill/>
              </a:ln>
              <a:solidFill>
                <a:srgbClr val="000000"/>
              </a:solidFill>
              <a:effectLst/>
              <a:uLnTx/>
              <a:uFillTx/>
              <a:latin typeface="+mn-lt"/>
              <a:ea typeface="+mn-ea"/>
              <a:cs typeface="Arial"/>
            </a:rPr>
            <a:pPr marL="0" marR="0" lvl="0" indent="0" algn="l" defTabSz="914400" eaLnBrk="1" fontAlgn="auto" latinLnBrk="0" hangingPunct="1">
              <a:lnSpc>
                <a:spcPct val="100000"/>
              </a:lnSpc>
              <a:spcBef>
                <a:spcPts val="0"/>
              </a:spcBef>
              <a:spcAft>
                <a:spcPts val="0"/>
              </a:spcAft>
              <a:buClrTx/>
              <a:buSzTx/>
              <a:buFontTx/>
              <a:buNone/>
              <a:tabLst/>
              <a:defRPr/>
            </a:pPr>
            <a:t>Remunerações - 2024:
Base Mulheres = 88,0% da dos Homens (H), entre 85,8% da dos H (Grandes) e 92,3% da dos H (Micro).
Ganho Mulheres = 85,4% da dos H, entre 83,4% da dos H (Médios) e 91,8% da dos H (Micro).</a:t>
          </a:fld>
          <a:endParaRPr kumimoji="0" lang="pt-PT" sz="8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17</xdr:col>
      <xdr:colOff>0</xdr:colOff>
      <xdr:row>66</xdr:row>
      <xdr:rowOff>121226</xdr:rowOff>
    </xdr:from>
    <xdr:to>
      <xdr:col>27</xdr:col>
      <xdr:colOff>334619</xdr:colOff>
      <xdr:row>78</xdr:row>
      <xdr:rowOff>135968</xdr:rowOff>
    </xdr:to>
    <xdr:grpSp>
      <xdr:nvGrpSpPr>
        <xdr:cNvPr id="27" name="Agrupar 26">
          <a:extLst>
            <a:ext uri="{FF2B5EF4-FFF2-40B4-BE49-F238E27FC236}">
              <a16:creationId xmlns:a16="http://schemas.microsoft.com/office/drawing/2014/main" id="{00000000-0008-0000-0E00-00001B000000}"/>
            </a:ext>
          </a:extLst>
        </xdr:cNvPr>
        <xdr:cNvGrpSpPr/>
      </xdr:nvGrpSpPr>
      <xdr:grpSpPr>
        <a:xfrm>
          <a:off x="12996130" y="11038341"/>
          <a:ext cx="7524162" cy="1993012"/>
          <a:chOff x="20056474" y="10299703"/>
          <a:chExt cx="8510403" cy="2749548"/>
        </a:xfrm>
      </xdr:grpSpPr>
      <xdr:graphicFrame macro="">
        <xdr:nvGraphicFramePr>
          <xdr:cNvPr id="28" name="Gráfico 27">
            <a:extLst>
              <a:ext uri="{FF2B5EF4-FFF2-40B4-BE49-F238E27FC236}">
                <a16:creationId xmlns:a16="http://schemas.microsoft.com/office/drawing/2014/main" id="{00000000-0008-0000-0E00-00001C000000}"/>
              </a:ext>
            </a:extLst>
          </xdr:cNvPr>
          <xdr:cNvGraphicFramePr/>
        </xdr:nvGraphicFramePr>
        <xdr:xfrm>
          <a:off x="20056474" y="10299703"/>
          <a:ext cx="4571998" cy="27432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29" name="Gráfico 28">
            <a:extLst>
              <a:ext uri="{FF2B5EF4-FFF2-40B4-BE49-F238E27FC236}">
                <a16:creationId xmlns:a16="http://schemas.microsoft.com/office/drawing/2014/main" id="{00000000-0008-0000-0E00-00001D000000}"/>
              </a:ext>
            </a:extLst>
          </xdr:cNvPr>
          <xdr:cNvGraphicFramePr>
            <a:graphicFrameLocks/>
          </xdr:cNvGraphicFramePr>
        </xdr:nvGraphicFramePr>
        <xdr:xfrm>
          <a:off x="24428449" y="10306051"/>
          <a:ext cx="4138428" cy="274320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45.xml><?xml version="1.0" encoding="utf-8"?>
<c:userShapes xmlns:c="http://schemas.openxmlformats.org/drawingml/2006/chart">
  <cdr:relSizeAnchor xmlns:cdr="http://schemas.openxmlformats.org/drawingml/2006/chartDrawing">
    <cdr:from>
      <cdr:x>0.65479</cdr:x>
      <cdr:y>0.10298</cdr:y>
    </cdr:from>
    <cdr:to>
      <cdr:x>0.76733</cdr:x>
      <cdr:y>0.19501</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967633" y="394944"/>
          <a:ext cx="338181" cy="352950"/>
          <a:chOff x="1958149" y="369817"/>
          <a:chExt cx="473434" cy="291245"/>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4"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58149" y="374649"/>
            <a:ext cx="180567" cy="27132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46.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22_q23_q34_q35_Fig!$AT$3">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F7CCA3A-425A-4F86-9688-6ECD51BCD00F}"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22_q23_q34_q35_Fig!$BD$3">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5DD7DBC-48E3-40B1-8F9D-AE2F27FD0074}"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0.71539</cdr:x>
      <cdr:y>0.03293</cdr:y>
    </cdr:from>
    <cdr:to>
      <cdr:x>0.90894</cdr:x>
      <cdr:y>0.17431</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653375" y="-188062"/>
          <a:ext cx="367200" cy="914400"/>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1000" b="1">
              <a:solidFill>
                <a:schemeClr val="bg1"/>
              </a:solidFill>
            </a:rPr>
            <a:t>VARIAÇÃO</a:t>
          </a:r>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349251</xdr:colOff>
      <xdr:row>100</xdr:row>
      <xdr:rowOff>95251</xdr:rowOff>
    </xdr:from>
    <xdr:to>
      <xdr:col>7</xdr:col>
      <xdr:colOff>309563</xdr:colOff>
      <xdr:row>119</xdr:row>
      <xdr:rowOff>95251</xdr:rowOff>
    </xdr:to>
    <xdr:graphicFrame macro="">
      <xdr:nvGraphicFramePr>
        <xdr:cNvPr id="2" name="Gráfico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114300</xdr:colOff>
      <xdr:row>96</xdr:row>
      <xdr:rowOff>85726</xdr:rowOff>
    </xdr:from>
    <xdr:to>
      <xdr:col>9</xdr:col>
      <xdr:colOff>206375</xdr:colOff>
      <xdr:row>101</xdr:row>
      <xdr:rowOff>130175</xdr:rowOff>
    </xdr:to>
    <mc:AlternateContent xmlns:mc="http://schemas.openxmlformats.org/markup-compatibility/2006" xmlns:a14="http://schemas.microsoft.com/office/drawing/2010/main">
      <mc:Choice Requires="a14">
        <xdr:graphicFrame macro="">
          <xdr:nvGraphicFramePr>
            <xdr:cNvPr id="3" name="Tipo de remuneração">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microsoft.com/office/drawing/2010/slicer">
              <sle:slicer xmlns:sle="http://schemas.microsoft.com/office/drawing/2010/slicer" name="Tipo de remuneração"/>
            </a:graphicData>
          </a:graphic>
        </xdr:graphicFrame>
      </mc:Choice>
      <mc:Fallback xmlns="">
        <xdr:sp macro="" textlink="">
          <xdr:nvSpPr>
            <xdr:cNvPr id="0" name=""/>
            <xdr:cNvSpPr>
              <a:spLocks noTextEdit="1"/>
            </xdr:cNvSpPr>
          </xdr:nvSpPr>
          <xdr:spPr>
            <a:xfrm>
              <a:off x="8420100" y="12068176"/>
              <a:ext cx="1800225" cy="847724"/>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clientData/>
  </xdr:twoCellAnchor>
  <xdr:twoCellAnchor editAs="oneCell">
    <xdr:from>
      <xdr:col>8</xdr:col>
      <xdr:colOff>104775</xdr:colOff>
      <xdr:row>101</xdr:row>
      <xdr:rowOff>123825</xdr:rowOff>
    </xdr:from>
    <xdr:to>
      <xdr:col>9</xdr:col>
      <xdr:colOff>225425</xdr:colOff>
      <xdr:row>108</xdr:row>
      <xdr:rowOff>130176</xdr:rowOff>
    </xdr:to>
    <mc:AlternateContent xmlns:mc="http://schemas.openxmlformats.org/markup-compatibility/2006" xmlns:a14="http://schemas.microsoft.com/office/drawing/2010/main">
      <mc:Choice Requires="a14">
        <xdr:graphicFrame macro="">
          <xdr:nvGraphicFramePr>
            <xdr:cNvPr id="5" name="Sexo">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microsoft.com/office/drawing/2010/slicer">
              <sle:slicer xmlns:sle="http://schemas.microsoft.com/office/drawing/2010/slicer" name="Sexo"/>
            </a:graphicData>
          </a:graphic>
        </xdr:graphicFrame>
      </mc:Choice>
      <mc:Fallback xmlns="">
        <xdr:sp macro="" textlink="">
          <xdr:nvSpPr>
            <xdr:cNvPr id="0" name=""/>
            <xdr:cNvSpPr>
              <a:spLocks noTextEdit="1"/>
            </xdr:cNvSpPr>
          </xdr:nvSpPr>
          <xdr:spPr>
            <a:xfrm>
              <a:off x="7467600" y="16478250"/>
              <a:ext cx="1828800" cy="1133476"/>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clientData/>
  </xdr:twoCellAnchor>
</xdr:wsDr>
</file>

<file path=xl/drawings/drawing48.xml><?xml version="1.0" encoding="utf-8"?>
<xdr:wsDr xmlns:xdr="http://schemas.openxmlformats.org/drawingml/2006/spreadsheetDrawing" xmlns:a="http://schemas.openxmlformats.org/drawingml/2006/main">
  <xdr:twoCellAnchor>
    <xdr:from>
      <xdr:col>7</xdr:col>
      <xdr:colOff>371475</xdr:colOff>
      <xdr:row>55</xdr:row>
      <xdr:rowOff>66675</xdr:rowOff>
    </xdr:from>
    <xdr:to>
      <xdr:col>9</xdr:col>
      <xdr:colOff>82550</xdr:colOff>
      <xdr:row>60</xdr:row>
      <xdr:rowOff>85725</xdr:rowOff>
    </xdr:to>
    <mc:AlternateContent xmlns:mc="http://schemas.openxmlformats.org/markup-compatibility/2006" xmlns:a14="http://schemas.microsoft.com/office/drawing/2010/main">
      <mc:Choice Requires="a14">
        <xdr:graphicFrame macro="">
          <xdr:nvGraphicFramePr>
            <xdr:cNvPr id="2" name="Tipo Remuneração">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microsoft.com/office/drawing/2010/slicer">
              <sle:slicer xmlns:sle="http://schemas.microsoft.com/office/drawing/2010/slicer" name="Tipo Remuneração"/>
            </a:graphicData>
          </a:graphic>
        </xdr:graphicFrame>
      </mc:Choice>
      <mc:Fallback xmlns="">
        <xdr:sp macro="" textlink="">
          <xdr:nvSpPr>
            <xdr:cNvPr id="0" name=""/>
            <xdr:cNvSpPr>
              <a:spLocks noTextEdit="1"/>
            </xdr:cNvSpPr>
          </xdr:nvSpPr>
          <xdr:spPr>
            <a:xfrm>
              <a:off x="4933950" y="8972550"/>
              <a:ext cx="1568450" cy="828675"/>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clientData/>
  </xdr:twoCellAnchor>
  <xdr:twoCellAnchor>
    <xdr:from>
      <xdr:col>9</xdr:col>
      <xdr:colOff>104775</xdr:colOff>
      <xdr:row>56</xdr:row>
      <xdr:rowOff>9525</xdr:rowOff>
    </xdr:from>
    <xdr:to>
      <xdr:col>11</xdr:col>
      <xdr:colOff>122765</xdr:colOff>
      <xdr:row>67</xdr:row>
      <xdr:rowOff>76199</xdr:rowOff>
    </xdr:to>
    <mc:AlternateContent xmlns:mc="http://schemas.openxmlformats.org/markup-compatibility/2006" xmlns:a14="http://schemas.microsoft.com/office/drawing/2010/main">
      <mc:Choice Requires="a14">
        <xdr:graphicFrame macro="">
          <xdr:nvGraphicFramePr>
            <xdr:cNvPr id="3" name="Selecionar CAE">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microsoft.com/office/drawing/2010/slicer">
              <sle:slicer xmlns:sle="http://schemas.microsoft.com/office/drawing/2010/slicer" name="Selecionar CAE"/>
            </a:graphicData>
          </a:graphic>
        </xdr:graphicFrame>
      </mc:Choice>
      <mc:Fallback xmlns="">
        <xdr:sp macro="" textlink="">
          <xdr:nvSpPr>
            <xdr:cNvPr id="0" name=""/>
            <xdr:cNvSpPr>
              <a:spLocks noTextEdit="1"/>
            </xdr:cNvSpPr>
          </xdr:nvSpPr>
          <xdr:spPr>
            <a:xfrm>
              <a:off x="6457950" y="9077325"/>
              <a:ext cx="3837515" cy="1847849"/>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clientData/>
  </xdr:twoCellAnchor>
  <xdr:twoCellAnchor>
    <xdr:from>
      <xdr:col>11</xdr:col>
      <xdr:colOff>647700</xdr:colOff>
      <xdr:row>54</xdr:row>
      <xdr:rowOff>149226</xdr:rowOff>
    </xdr:from>
    <xdr:to>
      <xdr:col>22</xdr:col>
      <xdr:colOff>54265</xdr:colOff>
      <xdr:row>75</xdr:row>
      <xdr:rowOff>9525</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absolute">
    <xdr:from>
      <xdr:col>11</xdr:col>
      <xdr:colOff>171450</xdr:colOff>
      <xdr:row>0</xdr:row>
      <xdr:rowOff>276225</xdr:rowOff>
    </xdr:from>
    <xdr:to>
      <xdr:col>12</xdr:col>
      <xdr:colOff>466725</xdr:colOff>
      <xdr:row>0</xdr:row>
      <xdr:rowOff>590550</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115050" y="276225"/>
          <a:ext cx="822325" cy="314325"/>
        </a:xfrm>
        <a:prstGeom prst="rect">
          <a:avLst/>
        </a:prstGeom>
        <a:noFill/>
        <a:ln w="1">
          <a:noFill/>
          <a:miter lim="800000"/>
          <a:headEnd/>
          <a:tailEnd type="none" w="med" len="med"/>
        </a:ln>
        <a:effectLst/>
      </xdr:spPr>
    </xdr:pic>
    <xdr:clientData fPrintsWithSheet="0"/>
  </xdr:twoCellAnchor>
</xdr:wsDr>
</file>

<file path=xl/drawings/drawing5.xml><?xml version="1.0" encoding="utf-8"?>
<c:userShapes xmlns:c="http://schemas.openxmlformats.org/drawingml/2006/chart">
  <cdr:relSizeAnchor xmlns:cdr="http://schemas.openxmlformats.org/drawingml/2006/chartDrawing">
    <cdr:from>
      <cdr:x>0.7644</cdr:x>
      <cdr:y>0.01741</cdr:y>
    </cdr:from>
    <cdr:to>
      <cdr:x>0.98168</cdr:x>
      <cdr:y>0.10792</cdr:y>
    </cdr:to>
    <cdr:sp macro="" textlink="">
      <cdr:nvSpPr>
        <cdr:cNvPr id="2" name="CaixaDeTexto 1">
          <a:extLst xmlns:a="http://schemas.openxmlformats.org/drawingml/2006/main">
            <a:ext uri="{FF2B5EF4-FFF2-40B4-BE49-F238E27FC236}">
              <a16:creationId xmlns:a16="http://schemas.microsoft.com/office/drawing/2014/main" id="{C1039EE9-AEA0-40B8-AE5B-C8B5A095227E}"/>
            </a:ext>
          </a:extLst>
        </cdr:cNvPr>
        <cdr:cNvSpPr txBox="1"/>
      </cdr:nvSpPr>
      <cdr:spPr>
        <a:xfrm xmlns:a="http://schemas.openxmlformats.org/drawingml/2006/main">
          <a:off x="2781300" y="47625"/>
          <a:ext cx="7905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t-PT" sz="1100"/>
        </a:p>
        <a:p xmlns:a="http://schemas.openxmlformats.org/drawingml/2006/main">
          <a:endParaRPr lang="pt-PT" sz="1100"/>
        </a:p>
      </cdr:txBody>
    </cdr:sp>
  </cdr:relSizeAnchor>
</c:userShapes>
</file>

<file path=xl/drawings/drawing50.xml><?xml version="1.0" encoding="utf-8"?>
<xdr:wsDr xmlns:xdr="http://schemas.openxmlformats.org/drawingml/2006/spreadsheetDrawing" xmlns:a="http://schemas.openxmlformats.org/drawingml/2006/main">
  <xdr:twoCellAnchor editAs="absolute">
    <xdr:from>
      <xdr:col>11</xdr:col>
      <xdr:colOff>19050</xdr:colOff>
      <xdr:row>0</xdr:row>
      <xdr:rowOff>238125</xdr:rowOff>
    </xdr:from>
    <xdr:to>
      <xdr:col>12</xdr:col>
      <xdr:colOff>371377</xdr:colOff>
      <xdr:row>1</xdr:row>
      <xdr:rowOff>180937</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019675" y="238125"/>
          <a:ext cx="780952" cy="304762"/>
        </a:xfrm>
        <a:prstGeom prst="rect">
          <a:avLst/>
        </a:prstGeom>
        <a:noFill/>
        <a:ln w="1">
          <a:noFill/>
          <a:miter lim="800000"/>
          <a:headEnd/>
          <a:tailEnd type="none" w="med" len="med"/>
        </a:ln>
        <a:effectLst/>
      </xdr:spPr>
    </xdr:pic>
    <xdr:clientData fPrintsWithSheet="0"/>
  </xdr:twoCellAnchor>
</xdr:wsDr>
</file>

<file path=xl/drawings/drawing51.xml><?xml version="1.0" encoding="utf-8"?>
<xdr:wsDr xmlns:xdr="http://schemas.openxmlformats.org/drawingml/2006/spreadsheetDrawing" xmlns:a="http://schemas.openxmlformats.org/drawingml/2006/main">
  <xdr:twoCellAnchor editAs="absolute">
    <xdr:from>
      <xdr:col>10</xdr:col>
      <xdr:colOff>419100</xdr:colOff>
      <xdr:row>0</xdr:row>
      <xdr:rowOff>228599</xdr:rowOff>
    </xdr:from>
    <xdr:to>
      <xdr:col>12</xdr:col>
      <xdr:colOff>380898</xdr:colOff>
      <xdr:row>1</xdr:row>
      <xdr:rowOff>171411</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4991100" y="228599"/>
          <a:ext cx="819048" cy="304762"/>
        </a:xfrm>
        <a:prstGeom prst="rect">
          <a:avLst/>
        </a:prstGeom>
        <a:noFill/>
        <a:ln w="1">
          <a:noFill/>
          <a:miter lim="800000"/>
          <a:headEnd/>
          <a:tailEnd type="none" w="med" len="med"/>
        </a:ln>
        <a:effectLst/>
      </xdr:spPr>
    </xdr:pic>
    <xdr:clientData fPrintsWithSheet="0"/>
  </xdr:twoCellAnchor>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9525</xdr:colOff>
          <xdr:row>0</xdr:row>
          <xdr:rowOff>152400</xdr:rowOff>
        </xdr:from>
        <xdr:to>
          <xdr:col>19</xdr:col>
          <xdr:colOff>495300</xdr:colOff>
          <xdr:row>2</xdr:row>
          <xdr:rowOff>19050</xdr:rowOff>
        </xdr:to>
        <xdr:sp macro="" textlink="">
          <xdr:nvSpPr>
            <xdr:cNvPr id="133121" name="Drop Down 1" hidden="1">
              <a:extLst>
                <a:ext uri="{63B3BB69-23CF-44E3-9099-C40C66FF867C}">
                  <a14:compatExt spid="_x0000_s133121"/>
                </a:ext>
                <a:ext uri="{FF2B5EF4-FFF2-40B4-BE49-F238E27FC236}">
                  <a16:creationId xmlns:a16="http://schemas.microsoft.com/office/drawing/2014/main" id="{00000000-0008-0000-1500-0000010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19</xdr:col>
      <xdr:colOff>0</xdr:colOff>
      <xdr:row>28</xdr:row>
      <xdr:rowOff>0</xdr:rowOff>
    </xdr:from>
    <xdr:to>
      <xdr:col>25</xdr:col>
      <xdr:colOff>361950</xdr:colOff>
      <xdr:row>44</xdr:row>
      <xdr:rowOff>47719</xdr:rowOff>
    </xdr:to>
    <xdr:grpSp>
      <xdr:nvGrpSpPr>
        <xdr:cNvPr id="3" name="Agrupar 2">
          <a:extLst>
            <a:ext uri="{FF2B5EF4-FFF2-40B4-BE49-F238E27FC236}">
              <a16:creationId xmlns:a16="http://schemas.microsoft.com/office/drawing/2014/main" id="{00000000-0008-0000-1500-000003000000}"/>
            </a:ext>
          </a:extLst>
        </xdr:cNvPr>
        <xdr:cNvGrpSpPr/>
      </xdr:nvGrpSpPr>
      <xdr:grpSpPr>
        <a:xfrm>
          <a:off x="12152313" y="4746625"/>
          <a:ext cx="4695825" cy="2587719"/>
          <a:chOff x="36182300" y="8426450"/>
          <a:chExt cx="4819650" cy="2597244"/>
        </a:xfrm>
      </xdr:grpSpPr>
      <xdr:graphicFrame macro="">
        <xdr:nvGraphicFramePr>
          <xdr:cNvPr id="4" name="Gráfico 3">
            <a:extLst>
              <a:ext uri="{FF2B5EF4-FFF2-40B4-BE49-F238E27FC236}">
                <a16:creationId xmlns:a16="http://schemas.microsoft.com/office/drawing/2014/main" id="{00000000-0008-0000-1500-000004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CaixaDeTexto 4">
            <a:extLst>
              <a:ext uri="{FF2B5EF4-FFF2-40B4-BE49-F238E27FC236}">
                <a16:creationId xmlns:a16="http://schemas.microsoft.com/office/drawing/2014/main" id="{00000000-0008-0000-1500-000005000000}"/>
              </a:ext>
            </a:extLst>
          </xdr:cNvPr>
          <xdr:cNvSpPr txBox="1"/>
        </xdr:nvSpPr>
        <xdr:spPr>
          <a:xfrm>
            <a:off x="39836724" y="8902700"/>
            <a:ext cx="820800"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Empresas</a:t>
            </a:r>
          </a:p>
        </xdr:txBody>
      </xdr:sp>
      <xdr:sp macro="" textlink="">
        <xdr:nvSpPr>
          <xdr:cNvPr id="6" name="CaixaDeTexto 5">
            <a:extLst>
              <a:ext uri="{FF2B5EF4-FFF2-40B4-BE49-F238E27FC236}">
                <a16:creationId xmlns:a16="http://schemas.microsoft.com/office/drawing/2014/main" id="{00000000-0008-0000-1500-000006000000}"/>
              </a:ext>
            </a:extLst>
          </xdr:cNvPr>
          <xdr:cNvSpPr txBox="1"/>
        </xdr:nvSpPr>
        <xdr:spPr>
          <a:xfrm>
            <a:off x="39833550" y="9721850"/>
            <a:ext cx="819150"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Estabelecimentos</a:t>
            </a:r>
          </a:p>
        </xdr:txBody>
      </xdr:sp>
      <xdr:sp macro="" textlink="q3_q7_q11_q15_q24_q36_Fig!$AG$23">
        <xdr:nvSpPr>
          <xdr:cNvPr id="7" name="CaixaDeTexto 6">
            <a:extLst>
              <a:ext uri="{FF2B5EF4-FFF2-40B4-BE49-F238E27FC236}">
                <a16:creationId xmlns:a16="http://schemas.microsoft.com/office/drawing/2014/main" id="{00000000-0008-0000-1500-000007000000}"/>
              </a:ext>
            </a:extLst>
          </xdr:cNvPr>
          <xdr:cNvSpPr txBox="1"/>
        </xdr:nvSpPr>
        <xdr:spPr>
          <a:xfrm>
            <a:off x="39839899" y="9994900"/>
            <a:ext cx="820800" cy="2753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32E978C-36E4-4EF9-9691-B755701A40E7}" type="TxLink">
              <a:rPr lang="en-US" sz="1000" b="1" i="0" u="none" strike="noStrike">
                <a:solidFill>
                  <a:schemeClr val="bg1"/>
                </a:solidFill>
                <a:latin typeface="Arial"/>
                <a:ea typeface="+mn-ea"/>
                <a:cs typeface="Arial"/>
              </a:rPr>
              <a:pPr marL="0" indent="0" algn="ctr"/>
              <a:t>7,4%</a:t>
            </a:fld>
            <a:endParaRPr lang="pt-PT" sz="1000" b="1" i="0" u="none" strike="noStrike">
              <a:solidFill>
                <a:schemeClr val="bg1"/>
              </a:solidFill>
              <a:latin typeface="+mn-lt"/>
              <a:ea typeface="+mn-ea"/>
              <a:cs typeface="Arial"/>
            </a:endParaRPr>
          </a:p>
        </xdr:txBody>
      </xdr:sp>
      <xdr:sp macro="" textlink="q3_q7_q11_q15_q24_q36_Fig!$AG$22">
        <xdr:nvSpPr>
          <xdr:cNvPr id="8" name="CaixaDeTexto 7">
            <a:extLst>
              <a:ext uri="{FF2B5EF4-FFF2-40B4-BE49-F238E27FC236}">
                <a16:creationId xmlns:a16="http://schemas.microsoft.com/office/drawing/2014/main" id="{00000000-0008-0000-1500-000008000000}"/>
              </a:ext>
            </a:extLst>
          </xdr:cNvPr>
          <xdr:cNvSpPr txBox="1"/>
        </xdr:nvSpPr>
        <xdr:spPr>
          <a:xfrm>
            <a:off x="39839900" y="9201150"/>
            <a:ext cx="820800" cy="281127"/>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7446CB2-B6D2-404F-B931-3C95308C5530}" type="TxLink">
              <a:rPr lang="en-US" sz="1000" b="1" i="0" u="none" strike="noStrike">
                <a:solidFill>
                  <a:schemeClr val="bg1"/>
                </a:solidFill>
                <a:latin typeface="Arial"/>
                <a:cs typeface="Arial"/>
              </a:rPr>
              <a:pPr algn="ctr"/>
              <a:t>9,3%</a:t>
            </a:fld>
            <a:endParaRPr lang="pt-PT" sz="1000" b="1">
              <a:solidFill>
                <a:schemeClr val="bg1"/>
              </a:solidFill>
              <a:latin typeface="+mn-lt"/>
            </a:endParaRPr>
          </a:p>
        </xdr:txBody>
      </xdr:sp>
    </xdr:grpSp>
    <xdr:clientData/>
  </xdr:twoCellAnchor>
  <xdr:twoCellAnchor>
    <xdr:from>
      <xdr:col>19</xdr:col>
      <xdr:colOff>0</xdr:colOff>
      <xdr:row>67</xdr:row>
      <xdr:rowOff>0</xdr:rowOff>
    </xdr:from>
    <xdr:to>
      <xdr:col>25</xdr:col>
      <xdr:colOff>361950</xdr:colOff>
      <xdr:row>83</xdr:row>
      <xdr:rowOff>47719</xdr:rowOff>
    </xdr:to>
    <xdr:grpSp>
      <xdr:nvGrpSpPr>
        <xdr:cNvPr id="9" name="Agrupar 8">
          <a:extLst>
            <a:ext uri="{FF2B5EF4-FFF2-40B4-BE49-F238E27FC236}">
              <a16:creationId xmlns:a16="http://schemas.microsoft.com/office/drawing/2014/main" id="{00000000-0008-0000-1500-000009000000}"/>
            </a:ext>
          </a:extLst>
        </xdr:cNvPr>
        <xdr:cNvGrpSpPr/>
      </xdr:nvGrpSpPr>
      <xdr:grpSpPr>
        <a:xfrm>
          <a:off x="12152313" y="10969625"/>
          <a:ext cx="4695825" cy="2587719"/>
          <a:chOff x="36182300" y="8426450"/>
          <a:chExt cx="4819650" cy="2597244"/>
        </a:xfrm>
      </xdr:grpSpPr>
      <xdr:graphicFrame macro="">
        <xdr:nvGraphicFramePr>
          <xdr:cNvPr id="10" name="Gráfico 9">
            <a:extLst>
              <a:ext uri="{FF2B5EF4-FFF2-40B4-BE49-F238E27FC236}">
                <a16:creationId xmlns:a16="http://schemas.microsoft.com/office/drawing/2014/main" id="{00000000-0008-0000-1500-00000A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1" name="CaixaDeTexto 10">
            <a:extLst>
              <a:ext uri="{FF2B5EF4-FFF2-40B4-BE49-F238E27FC236}">
                <a16:creationId xmlns:a16="http://schemas.microsoft.com/office/drawing/2014/main" id="{00000000-0008-0000-1500-00000B000000}"/>
              </a:ext>
            </a:extLst>
          </xdr:cNvPr>
          <xdr:cNvSpPr txBox="1"/>
        </xdr:nvSpPr>
        <xdr:spPr>
          <a:xfrm>
            <a:off x="39836724" y="8902700"/>
            <a:ext cx="820800"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Pessoas ao serviço</a:t>
            </a:r>
          </a:p>
        </xdr:txBody>
      </xdr:sp>
      <xdr:sp macro="" textlink="">
        <xdr:nvSpPr>
          <xdr:cNvPr id="12" name="CaixaDeTexto 11">
            <a:extLst>
              <a:ext uri="{FF2B5EF4-FFF2-40B4-BE49-F238E27FC236}">
                <a16:creationId xmlns:a16="http://schemas.microsoft.com/office/drawing/2014/main" id="{00000000-0008-0000-1500-00000C000000}"/>
              </a:ext>
            </a:extLst>
          </xdr:cNvPr>
          <xdr:cNvSpPr txBox="1"/>
        </xdr:nvSpPr>
        <xdr:spPr>
          <a:xfrm>
            <a:off x="39833550" y="9721850"/>
            <a:ext cx="819150"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TCO</a:t>
            </a:r>
          </a:p>
        </xdr:txBody>
      </xdr:sp>
      <xdr:sp macro="" textlink="q3_q7_q11_q15_q24_q36_Fig!$AG$63">
        <xdr:nvSpPr>
          <xdr:cNvPr id="13" name="CaixaDeTexto 12">
            <a:extLst>
              <a:ext uri="{FF2B5EF4-FFF2-40B4-BE49-F238E27FC236}">
                <a16:creationId xmlns:a16="http://schemas.microsoft.com/office/drawing/2014/main" id="{00000000-0008-0000-1500-00000D000000}"/>
              </a:ext>
            </a:extLst>
          </xdr:cNvPr>
          <xdr:cNvSpPr txBox="1"/>
        </xdr:nvSpPr>
        <xdr:spPr>
          <a:xfrm>
            <a:off x="39839899" y="9994900"/>
            <a:ext cx="820800" cy="2753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02D5924-8C9A-41C8-91E0-F846F9A251E2}" type="TxLink">
              <a:rPr lang="en-US" sz="1000" b="1" i="0" u="none" strike="noStrike">
                <a:solidFill>
                  <a:schemeClr val="bg1"/>
                </a:solidFill>
                <a:latin typeface="Arial"/>
                <a:ea typeface="+mn-ea"/>
                <a:cs typeface="Arial"/>
              </a:rPr>
              <a:pPr marL="0" indent="0" algn="ctr"/>
              <a:t>41,7%</a:t>
            </a:fld>
            <a:endParaRPr lang="pt-PT" sz="1000" b="1" i="0" u="none" strike="noStrike">
              <a:solidFill>
                <a:schemeClr val="bg1"/>
              </a:solidFill>
              <a:latin typeface="+mn-lt"/>
              <a:ea typeface="+mn-ea"/>
              <a:cs typeface="Arial"/>
            </a:endParaRPr>
          </a:p>
        </xdr:txBody>
      </xdr:sp>
      <xdr:sp macro="" textlink="q3_q7_q11_q15_q24_q36_Fig!$AG$62">
        <xdr:nvSpPr>
          <xdr:cNvPr id="14" name="CaixaDeTexto 13">
            <a:extLst>
              <a:ext uri="{FF2B5EF4-FFF2-40B4-BE49-F238E27FC236}">
                <a16:creationId xmlns:a16="http://schemas.microsoft.com/office/drawing/2014/main" id="{00000000-0008-0000-1500-00000E000000}"/>
              </a:ext>
            </a:extLst>
          </xdr:cNvPr>
          <xdr:cNvSpPr txBox="1"/>
        </xdr:nvSpPr>
        <xdr:spPr>
          <a:xfrm>
            <a:off x="39839900" y="9201150"/>
            <a:ext cx="820800" cy="281127"/>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6DB01A9-3583-4425-97F6-0D959BD0A5C1}" type="TxLink">
              <a:rPr lang="en-US" sz="1000" b="1" i="0" u="none" strike="noStrike">
                <a:solidFill>
                  <a:schemeClr val="bg1"/>
                </a:solidFill>
                <a:latin typeface="Arial"/>
                <a:cs typeface="Arial"/>
              </a:rPr>
              <a:pPr algn="ctr"/>
              <a:t>39,8%</a:t>
            </a:fld>
            <a:endParaRPr lang="pt-PT" sz="1000" b="1">
              <a:solidFill>
                <a:schemeClr val="bg1"/>
              </a:solidFill>
              <a:latin typeface="+mn-lt"/>
            </a:endParaRPr>
          </a:p>
        </xdr:txBody>
      </xdr:sp>
    </xdr:grpSp>
    <xdr:clientData/>
  </xdr:twoCellAnchor>
  <xdr:twoCellAnchor>
    <xdr:from>
      <xdr:col>19</xdr:col>
      <xdr:colOff>0</xdr:colOff>
      <xdr:row>107</xdr:row>
      <xdr:rowOff>0</xdr:rowOff>
    </xdr:from>
    <xdr:to>
      <xdr:col>25</xdr:col>
      <xdr:colOff>361950</xdr:colOff>
      <xdr:row>123</xdr:row>
      <xdr:rowOff>47719</xdr:rowOff>
    </xdr:to>
    <xdr:grpSp>
      <xdr:nvGrpSpPr>
        <xdr:cNvPr id="15" name="Agrupar 14">
          <a:extLst>
            <a:ext uri="{FF2B5EF4-FFF2-40B4-BE49-F238E27FC236}">
              <a16:creationId xmlns:a16="http://schemas.microsoft.com/office/drawing/2014/main" id="{00000000-0008-0000-1500-00000F000000}"/>
            </a:ext>
          </a:extLst>
        </xdr:cNvPr>
        <xdr:cNvGrpSpPr/>
      </xdr:nvGrpSpPr>
      <xdr:grpSpPr>
        <a:xfrm>
          <a:off x="12152313" y="17351375"/>
          <a:ext cx="4695825" cy="2587719"/>
          <a:chOff x="36182300" y="8426450"/>
          <a:chExt cx="4819650" cy="2597244"/>
        </a:xfrm>
      </xdr:grpSpPr>
      <xdr:graphicFrame macro="">
        <xdr:nvGraphicFramePr>
          <xdr:cNvPr id="16" name="Gráfico 15">
            <a:extLst>
              <a:ext uri="{FF2B5EF4-FFF2-40B4-BE49-F238E27FC236}">
                <a16:creationId xmlns:a16="http://schemas.microsoft.com/office/drawing/2014/main" id="{00000000-0008-0000-1500-000010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7" name="CaixaDeTexto 16">
            <a:extLst>
              <a:ext uri="{FF2B5EF4-FFF2-40B4-BE49-F238E27FC236}">
                <a16:creationId xmlns:a16="http://schemas.microsoft.com/office/drawing/2014/main" id="{00000000-0008-0000-1500-000011000000}"/>
              </a:ext>
            </a:extLst>
          </xdr:cNvPr>
          <xdr:cNvSpPr txBox="1"/>
        </xdr:nvSpPr>
        <xdr:spPr>
          <a:xfrm>
            <a:off x="39836724" y="8902700"/>
            <a:ext cx="796408"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a:t>
            </a:r>
            <a:r>
              <a:rPr lang="pt-PT" sz="800" b="1" baseline="0">
                <a:solidFill>
                  <a:schemeClr val="bg1"/>
                </a:solidFill>
                <a:latin typeface="+mn-lt"/>
                <a:ea typeface="+mn-ea"/>
                <a:cs typeface="+mn-cs"/>
              </a:rPr>
              <a:t> Base</a:t>
            </a:r>
          </a:p>
        </xdr:txBody>
      </xdr:sp>
      <xdr:sp macro="" textlink="">
        <xdr:nvSpPr>
          <xdr:cNvPr id="18" name="CaixaDeTexto 17">
            <a:extLst>
              <a:ext uri="{FF2B5EF4-FFF2-40B4-BE49-F238E27FC236}">
                <a16:creationId xmlns:a16="http://schemas.microsoft.com/office/drawing/2014/main" id="{00000000-0008-0000-1500-000012000000}"/>
              </a:ext>
            </a:extLst>
          </xdr:cNvPr>
          <xdr:cNvSpPr txBox="1"/>
        </xdr:nvSpPr>
        <xdr:spPr>
          <a:xfrm>
            <a:off x="39833550" y="9721850"/>
            <a:ext cx="819150"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 Ganho</a:t>
            </a:r>
          </a:p>
        </xdr:txBody>
      </xdr:sp>
      <xdr:sp macro="" textlink="q3_q7_q11_q15_q24_q36_Fig!$AG$103">
        <xdr:nvSpPr>
          <xdr:cNvPr id="19" name="CaixaDeTexto 18">
            <a:extLst>
              <a:ext uri="{FF2B5EF4-FFF2-40B4-BE49-F238E27FC236}">
                <a16:creationId xmlns:a16="http://schemas.microsoft.com/office/drawing/2014/main" id="{00000000-0008-0000-1500-000013000000}"/>
              </a:ext>
            </a:extLst>
          </xdr:cNvPr>
          <xdr:cNvSpPr txBox="1"/>
        </xdr:nvSpPr>
        <xdr:spPr>
          <a:xfrm>
            <a:off x="39839899" y="9994900"/>
            <a:ext cx="820800" cy="2753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BEB6391-2DA1-4399-8E59-5272F0F21967}" type="TxLink">
              <a:rPr lang="en-US" sz="1000" b="1" i="0" u="none" strike="noStrike">
                <a:solidFill>
                  <a:schemeClr val="bg1"/>
                </a:solidFill>
                <a:latin typeface="Arial"/>
                <a:ea typeface="+mn-ea"/>
                <a:cs typeface="Arial"/>
              </a:rPr>
              <a:pPr marL="0" indent="0" algn="ctr"/>
              <a:t>36,2%</a:t>
            </a:fld>
            <a:endParaRPr lang="pt-PT" sz="1000" b="1" i="0" u="none" strike="noStrike">
              <a:solidFill>
                <a:schemeClr val="bg1"/>
              </a:solidFill>
              <a:latin typeface="+mn-lt"/>
              <a:ea typeface="+mn-ea"/>
              <a:cs typeface="Arial"/>
            </a:endParaRPr>
          </a:p>
        </xdr:txBody>
      </xdr:sp>
      <xdr:sp macro="" textlink="q3_q7_q11_q15_q24_q36_Fig!$AG$102">
        <xdr:nvSpPr>
          <xdr:cNvPr id="20" name="CaixaDeTexto 19">
            <a:extLst>
              <a:ext uri="{FF2B5EF4-FFF2-40B4-BE49-F238E27FC236}">
                <a16:creationId xmlns:a16="http://schemas.microsoft.com/office/drawing/2014/main" id="{00000000-0008-0000-1500-000014000000}"/>
              </a:ext>
            </a:extLst>
          </xdr:cNvPr>
          <xdr:cNvSpPr txBox="1"/>
        </xdr:nvSpPr>
        <xdr:spPr>
          <a:xfrm>
            <a:off x="39839901" y="9201150"/>
            <a:ext cx="797393" cy="26075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28287C6-FD56-4FDB-A45D-6AFD0E0E070A}" type="TxLink">
              <a:rPr lang="en-US" sz="1000" b="1" i="0" u="none" strike="noStrike">
                <a:solidFill>
                  <a:schemeClr val="bg1"/>
                </a:solidFill>
                <a:latin typeface="Arial"/>
                <a:cs typeface="Arial"/>
              </a:rPr>
              <a:pPr algn="ctr"/>
              <a:t>36,3%</a:t>
            </a:fld>
            <a:endParaRPr lang="pt-PT" sz="1000" b="1">
              <a:solidFill>
                <a:schemeClr val="bg1"/>
              </a:solidFill>
              <a:latin typeface="+mn-lt"/>
            </a:endParaRPr>
          </a:p>
        </xdr:txBody>
      </xdr:sp>
    </xdr:grpSp>
    <xdr:clientData/>
  </xdr:twoCellAnchor>
  <mc:AlternateContent xmlns:mc="http://schemas.openxmlformats.org/markup-compatibility/2006">
    <mc:Choice xmlns:a14="http://schemas.microsoft.com/office/drawing/2010/main" Requires="a14">
      <xdr:twoCellAnchor editAs="oneCell">
        <xdr:from>
          <xdr:col>38</xdr:col>
          <xdr:colOff>9525</xdr:colOff>
          <xdr:row>15</xdr:row>
          <xdr:rowOff>0</xdr:rowOff>
        </xdr:from>
        <xdr:to>
          <xdr:col>39</xdr:col>
          <xdr:colOff>38100</xdr:colOff>
          <xdr:row>16</xdr:row>
          <xdr:rowOff>0</xdr:rowOff>
        </xdr:to>
        <xdr:sp macro="" textlink="">
          <xdr:nvSpPr>
            <xdr:cNvPr id="133122" name="Drop Down 2" hidden="1">
              <a:extLst>
                <a:ext uri="{63B3BB69-23CF-44E3-9099-C40C66FF867C}">
                  <a14:compatExt spid="_x0000_s133122"/>
                </a:ext>
                <a:ext uri="{FF2B5EF4-FFF2-40B4-BE49-F238E27FC236}">
                  <a16:creationId xmlns:a16="http://schemas.microsoft.com/office/drawing/2014/main" id="{00000000-0008-0000-1500-0000020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15</xdr:row>
          <xdr:rowOff>0</xdr:rowOff>
        </xdr:from>
        <xdr:to>
          <xdr:col>46</xdr:col>
          <xdr:colOff>38100</xdr:colOff>
          <xdr:row>16</xdr:row>
          <xdr:rowOff>0</xdr:rowOff>
        </xdr:to>
        <xdr:sp macro="" textlink="">
          <xdr:nvSpPr>
            <xdr:cNvPr id="133123" name="Drop Down 3" hidden="1">
              <a:extLst>
                <a:ext uri="{63B3BB69-23CF-44E3-9099-C40C66FF867C}">
                  <a14:compatExt spid="_x0000_s133123"/>
                </a:ext>
                <a:ext uri="{FF2B5EF4-FFF2-40B4-BE49-F238E27FC236}">
                  <a16:creationId xmlns:a16="http://schemas.microsoft.com/office/drawing/2014/main" id="{00000000-0008-0000-1500-0000030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9525</xdr:colOff>
          <xdr:row>15</xdr:row>
          <xdr:rowOff>0</xdr:rowOff>
        </xdr:from>
        <xdr:to>
          <xdr:col>53</xdr:col>
          <xdr:colOff>19050</xdr:colOff>
          <xdr:row>16</xdr:row>
          <xdr:rowOff>0</xdr:rowOff>
        </xdr:to>
        <xdr:sp macro="" textlink="">
          <xdr:nvSpPr>
            <xdr:cNvPr id="133124" name="Drop Down 4" hidden="1">
              <a:extLst>
                <a:ext uri="{63B3BB69-23CF-44E3-9099-C40C66FF867C}">
                  <a14:compatExt spid="_x0000_s133124"/>
                </a:ext>
                <a:ext uri="{FF2B5EF4-FFF2-40B4-BE49-F238E27FC236}">
                  <a16:creationId xmlns:a16="http://schemas.microsoft.com/office/drawing/2014/main" id="{00000000-0008-0000-1500-0000040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37</xdr:col>
      <xdr:colOff>60614</xdr:colOff>
      <xdr:row>43</xdr:row>
      <xdr:rowOff>37523</xdr:rowOff>
    </xdr:from>
    <xdr:to>
      <xdr:col>43</xdr:col>
      <xdr:colOff>224108</xdr:colOff>
      <xdr:row>67</xdr:row>
      <xdr:rowOff>131932</xdr:rowOff>
    </xdr:to>
    <xdr:grpSp>
      <xdr:nvGrpSpPr>
        <xdr:cNvPr id="2" name="Agrupar 1">
          <a:extLst>
            <a:ext uri="{FF2B5EF4-FFF2-40B4-BE49-F238E27FC236}">
              <a16:creationId xmlns:a16="http://schemas.microsoft.com/office/drawing/2014/main" id="{00000000-0008-0000-1500-000002000000}"/>
            </a:ext>
          </a:extLst>
        </xdr:cNvPr>
        <xdr:cNvGrpSpPr/>
      </xdr:nvGrpSpPr>
      <xdr:grpSpPr>
        <a:xfrm>
          <a:off x="25968614" y="7165398"/>
          <a:ext cx="3830619" cy="3936159"/>
          <a:chOff x="27198205" y="7478568"/>
          <a:chExt cx="4008130" cy="4123773"/>
        </a:xfrm>
      </xdr:grpSpPr>
      <xdr:graphicFrame macro="">
        <xdr:nvGraphicFramePr>
          <xdr:cNvPr id="45" name="Gráfico 44">
            <a:extLst>
              <a:ext uri="{FF2B5EF4-FFF2-40B4-BE49-F238E27FC236}">
                <a16:creationId xmlns:a16="http://schemas.microsoft.com/office/drawing/2014/main" id="{00000000-0008-0000-1500-00002D000000}"/>
              </a:ext>
            </a:extLst>
          </xdr:cNvPr>
          <xdr:cNvGraphicFramePr/>
        </xdr:nvGraphicFramePr>
        <xdr:xfrm>
          <a:off x="27198205" y="7478568"/>
          <a:ext cx="2710018" cy="4123773"/>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48" name="Agrupar 47">
            <a:extLst>
              <a:ext uri="{FF2B5EF4-FFF2-40B4-BE49-F238E27FC236}">
                <a16:creationId xmlns:a16="http://schemas.microsoft.com/office/drawing/2014/main" id="{00000000-0008-0000-1500-000030000000}"/>
              </a:ext>
            </a:extLst>
          </xdr:cNvPr>
          <xdr:cNvGrpSpPr/>
        </xdr:nvGrpSpPr>
        <xdr:grpSpPr>
          <a:xfrm>
            <a:off x="29186733" y="7567120"/>
            <a:ext cx="2019602" cy="3870968"/>
            <a:chOff x="25929945" y="6707910"/>
            <a:chExt cx="2164306" cy="3088635"/>
          </a:xfrm>
        </xdr:grpSpPr>
        <mc:AlternateContent xmlns:mc="http://schemas.openxmlformats.org/markup-compatibility/2006">
          <mc:Choice xmlns:cx4="http://schemas.microsoft.com/office/drawing/2016/5/10/chartex" Requires="cx4">
            <xdr:graphicFrame macro="">
              <xdr:nvGraphicFramePr>
                <xdr:cNvPr id="49" name="Gráfico 48">
                  <a:extLst>
                    <a:ext uri="{FF2B5EF4-FFF2-40B4-BE49-F238E27FC236}">
                      <a16:creationId xmlns:a16="http://schemas.microsoft.com/office/drawing/2014/main" id="{00000000-0008-0000-1500-000031000000}"/>
                    </a:ext>
                  </a:extLst>
                </xdr:cNvPr>
                <xdr:cNvGraphicFramePr/>
              </xdr:nvGraphicFramePr>
              <xdr:xfrm>
                <a:off x="25929945" y="6707910"/>
                <a:ext cx="2075527" cy="1529773"/>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25929945" y="6707910"/>
                  <a:ext cx="2075527" cy="1529773"/>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mc:AlternateContent xmlns:mc="http://schemas.openxmlformats.org/markup-compatibility/2006">
          <mc:Choice xmlns:cx4="http://schemas.microsoft.com/office/drawing/2016/5/10/chartex" Requires="cx4">
            <xdr:graphicFrame macro="">
              <xdr:nvGraphicFramePr>
                <xdr:cNvPr id="50" name="Gráfico 49">
                  <a:extLst>
                    <a:ext uri="{FF2B5EF4-FFF2-40B4-BE49-F238E27FC236}">
                      <a16:creationId xmlns:a16="http://schemas.microsoft.com/office/drawing/2014/main" id="{00000000-0008-0000-1500-000032000000}"/>
                    </a:ext>
                  </a:extLst>
                </xdr:cNvPr>
                <xdr:cNvGraphicFramePr/>
              </xdr:nvGraphicFramePr>
              <xdr:xfrm>
                <a:off x="26018728" y="8266545"/>
                <a:ext cx="2075523" cy="153000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26018728" y="8266545"/>
                  <a:ext cx="2075523" cy="1530000"/>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xdr:grpSp>
    </xdr:grpSp>
    <xdr:clientData/>
  </xdr:twoCellAnchor>
  <xdr:twoCellAnchor>
    <xdr:from>
      <xdr:col>45</xdr:col>
      <xdr:colOff>239568</xdr:colOff>
      <xdr:row>42</xdr:row>
      <xdr:rowOff>89477</xdr:rowOff>
    </xdr:from>
    <xdr:to>
      <xdr:col>51</xdr:col>
      <xdr:colOff>408547</xdr:colOff>
      <xdr:row>67</xdr:row>
      <xdr:rowOff>16477</xdr:rowOff>
    </xdr:to>
    <xdr:grpSp>
      <xdr:nvGrpSpPr>
        <xdr:cNvPr id="55" name="Agrupar 54">
          <a:extLst>
            <a:ext uri="{FF2B5EF4-FFF2-40B4-BE49-F238E27FC236}">
              <a16:creationId xmlns:a16="http://schemas.microsoft.com/office/drawing/2014/main" id="{00000000-0008-0000-1500-000037000000}"/>
            </a:ext>
          </a:extLst>
        </xdr:cNvPr>
        <xdr:cNvGrpSpPr/>
      </xdr:nvGrpSpPr>
      <xdr:grpSpPr>
        <a:xfrm>
          <a:off x="31037068" y="7058602"/>
          <a:ext cx="3836104" cy="3927500"/>
          <a:chOff x="4686304" y="5695948"/>
          <a:chExt cx="4047546" cy="4140000"/>
        </a:xfrm>
      </xdr:grpSpPr>
      <xdr:graphicFrame macro="">
        <xdr:nvGraphicFramePr>
          <xdr:cNvPr id="56" name="Gráfico 55">
            <a:extLst>
              <a:ext uri="{FF2B5EF4-FFF2-40B4-BE49-F238E27FC236}">
                <a16:creationId xmlns:a16="http://schemas.microsoft.com/office/drawing/2014/main" id="{00000000-0008-0000-1500-000038000000}"/>
              </a:ext>
            </a:extLst>
          </xdr:cNvPr>
          <xdr:cNvGraphicFramePr/>
        </xdr:nvGraphicFramePr>
        <xdr:xfrm>
          <a:off x="4686304" y="5695948"/>
          <a:ext cx="2700000" cy="4140000"/>
        </xdr:xfrm>
        <a:graphic>
          <a:graphicData uri="http://schemas.openxmlformats.org/drawingml/2006/chart">
            <c:chart xmlns:c="http://schemas.openxmlformats.org/drawingml/2006/chart" xmlns:r="http://schemas.openxmlformats.org/officeDocument/2006/relationships" r:id="rId7"/>
          </a:graphicData>
        </a:graphic>
      </xdr:graphicFrame>
      <xdr:grpSp>
        <xdr:nvGrpSpPr>
          <xdr:cNvPr id="57" name="Agrupar 56">
            <a:extLst>
              <a:ext uri="{FF2B5EF4-FFF2-40B4-BE49-F238E27FC236}">
                <a16:creationId xmlns:a16="http://schemas.microsoft.com/office/drawing/2014/main" id="{00000000-0008-0000-1500-000039000000}"/>
              </a:ext>
            </a:extLst>
          </xdr:cNvPr>
          <xdr:cNvGrpSpPr/>
        </xdr:nvGrpSpPr>
        <xdr:grpSpPr>
          <a:xfrm>
            <a:off x="6775450" y="5772150"/>
            <a:ext cx="1958400" cy="3888000"/>
            <a:chOff x="30699366" y="10194636"/>
            <a:chExt cx="1935370" cy="3790590"/>
          </a:xfrm>
        </xdr:grpSpPr>
        <mc:AlternateContent xmlns:mc="http://schemas.openxmlformats.org/markup-compatibility/2006">
          <mc:Choice xmlns:cx4="http://schemas.microsoft.com/office/drawing/2016/5/10/chartex" Requires="cx4">
            <xdr:graphicFrame macro="">
              <xdr:nvGraphicFramePr>
                <xdr:cNvPr id="58" name="Gráfico 57">
                  <a:extLst>
                    <a:ext uri="{FF2B5EF4-FFF2-40B4-BE49-F238E27FC236}">
                      <a16:creationId xmlns:a16="http://schemas.microsoft.com/office/drawing/2014/main" id="{00000000-0008-0000-1500-00003A000000}"/>
                    </a:ext>
                  </a:extLst>
                </xdr:cNvPr>
                <xdr:cNvGraphicFramePr/>
              </xdr:nvGraphicFramePr>
              <xdr:xfrm>
                <a:off x="30705136" y="10194636"/>
                <a:ext cx="1929600" cy="1925999"/>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30705136" y="10194636"/>
                  <a:ext cx="1929600" cy="1925999"/>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mc:AlternateContent xmlns:mc="http://schemas.openxmlformats.org/markup-compatibility/2006">
          <mc:Choice xmlns:cx4="http://schemas.microsoft.com/office/drawing/2016/5/10/chartex" Requires="cx4">
            <xdr:graphicFrame macro="">
              <xdr:nvGraphicFramePr>
                <xdr:cNvPr id="59" name="Gráfico 58">
                  <a:extLst>
                    <a:ext uri="{FF2B5EF4-FFF2-40B4-BE49-F238E27FC236}">
                      <a16:creationId xmlns:a16="http://schemas.microsoft.com/office/drawing/2014/main" id="{00000000-0008-0000-1500-00003B000000}"/>
                    </a:ext>
                  </a:extLst>
                </xdr:cNvPr>
                <xdr:cNvGraphicFramePr/>
              </xdr:nvGraphicFramePr>
              <xdr:xfrm>
                <a:off x="30699366" y="12059227"/>
                <a:ext cx="1929600" cy="1925999"/>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30699366" y="12059227"/>
                  <a:ext cx="1929600" cy="1925999"/>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xdr:grpSp>
    </xdr:grpSp>
    <xdr:clientData/>
  </xdr:twoCellAnchor>
  <xdr:twoCellAnchor>
    <xdr:from>
      <xdr:col>54</xdr:col>
      <xdr:colOff>196272</xdr:colOff>
      <xdr:row>42</xdr:row>
      <xdr:rowOff>144318</xdr:rowOff>
    </xdr:from>
    <xdr:to>
      <xdr:col>60</xdr:col>
      <xdr:colOff>240122</xdr:colOff>
      <xdr:row>67</xdr:row>
      <xdr:rowOff>74204</xdr:rowOff>
    </xdr:to>
    <xdr:grpSp>
      <xdr:nvGrpSpPr>
        <xdr:cNvPr id="68" name="Agrupar 67">
          <a:extLst>
            <a:ext uri="{FF2B5EF4-FFF2-40B4-BE49-F238E27FC236}">
              <a16:creationId xmlns:a16="http://schemas.microsoft.com/office/drawing/2014/main" id="{00000000-0008-0000-1500-000044000000}"/>
            </a:ext>
          </a:extLst>
        </xdr:cNvPr>
        <xdr:cNvGrpSpPr/>
      </xdr:nvGrpSpPr>
      <xdr:grpSpPr>
        <a:xfrm>
          <a:off x="36526210" y="7113443"/>
          <a:ext cx="3742725" cy="3930386"/>
          <a:chOff x="9321800" y="5695949"/>
          <a:chExt cx="3925560" cy="4140000"/>
        </a:xfrm>
      </xdr:grpSpPr>
      <xdr:grpSp>
        <xdr:nvGrpSpPr>
          <xdr:cNvPr id="69" name="Agrupar 68">
            <a:extLst>
              <a:ext uri="{FF2B5EF4-FFF2-40B4-BE49-F238E27FC236}">
                <a16:creationId xmlns:a16="http://schemas.microsoft.com/office/drawing/2014/main" id="{00000000-0008-0000-1500-000045000000}"/>
              </a:ext>
            </a:extLst>
          </xdr:cNvPr>
          <xdr:cNvGrpSpPr/>
        </xdr:nvGrpSpPr>
        <xdr:grpSpPr>
          <a:xfrm>
            <a:off x="11288960" y="5768938"/>
            <a:ext cx="1958400" cy="3888000"/>
            <a:chOff x="10933360" y="5102189"/>
            <a:chExt cx="1937290" cy="3770711"/>
          </a:xfrm>
        </xdr:grpSpPr>
        <mc:AlternateContent xmlns:mc="http://schemas.openxmlformats.org/markup-compatibility/2006">
          <mc:Choice xmlns:cx4="http://schemas.microsoft.com/office/drawing/2016/5/10/chartex" Requires="cx4">
            <xdr:graphicFrame macro="">
              <xdr:nvGraphicFramePr>
                <xdr:cNvPr id="71" name="Gráfico 70">
                  <a:extLst>
                    <a:ext uri="{FF2B5EF4-FFF2-40B4-BE49-F238E27FC236}">
                      <a16:creationId xmlns:a16="http://schemas.microsoft.com/office/drawing/2014/main" id="{00000000-0008-0000-1500-000047000000}"/>
                    </a:ext>
                  </a:extLst>
                </xdr:cNvPr>
                <xdr:cNvGraphicFramePr/>
              </xdr:nvGraphicFramePr>
              <xdr:xfrm>
                <a:off x="10933360" y="5102189"/>
                <a:ext cx="1929600" cy="1916778"/>
              </xdr:xfrm>
              <a:graphic>
                <a:graphicData uri="http://schemas.microsoft.com/office/drawing/2014/chartex">
                  <cx:chart xmlns:cx="http://schemas.microsoft.com/office/drawing/2014/chartex" xmlns:r="http://schemas.openxmlformats.org/officeDocument/2006/relationships" r:id="rId10"/>
                </a:graphicData>
              </a:graphic>
            </xdr:graphicFrame>
          </mc:Choice>
          <mc:Fallback>
            <xdr:sp macro="" textlink="">
              <xdr:nvSpPr>
                <xdr:cNvPr id="0" name=""/>
                <xdr:cNvSpPr>
                  <a:spLocks noTextEdit="1"/>
                </xdr:cNvSpPr>
              </xdr:nvSpPr>
              <xdr:spPr>
                <a:xfrm>
                  <a:off x="10933360" y="5102189"/>
                  <a:ext cx="1929600" cy="1916778"/>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mc:AlternateContent xmlns:mc="http://schemas.openxmlformats.org/markup-compatibility/2006">
          <mc:Choice xmlns:cx4="http://schemas.microsoft.com/office/drawing/2016/5/10/chartex" Requires="cx4">
            <xdr:graphicFrame macro="">
              <xdr:nvGraphicFramePr>
                <xdr:cNvPr id="72" name="Gráfico 71">
                  <a:extLst>
                    <a:ext uri="{FF2B5EF4-FFF2-40B4-BE49-F238E27FC236}">
                      <a16:creationId xmlns:a16="http://schemas.microsoft.com/office/drawing/2014/main" id="{00000000-0008-0000-1500-000048000000}"/>
                    </a:ext>
                  </a:extLst>
                </xdr:cNvPr>
                <xdr:cNvGraphicFramePr/>
              </xdr:nvGraphicFramePr>
              <xdr:xfrm>
                <a:off x="10941050" y="6946900"/>
                <a:ext cx="1929600" cy="192600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10941050" y="6946900"/>
                  <a:ext cx="1929600" cy="1926000"/>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xdr:grpSp>
      <xdr:graphicFrame macro="">
        <xdr:nvGraphicFramePr>
          <xdr:cNvPr id="70" name="Gráfico 69">
            <a:extLst>
              <a:ext uri="{FF2B5EF4-FFF2-40B4-BE49-F238E27FC236}">
                <a16:creationId xmlns:a16="http://schemas.microsoft.com/office/drawing/2014/main" id="{00000000-0008-0000-1500-000046000000}"/>
              </a:ext>
            </a:extLst>
          </xdr:cNvPr>
          <xdr:cNvGraphicFramePr>
            <a:graphicFrameLocks/>
          </xdr:cNvGraphicFramePr>
        </xdr:nvGraphicFramePr>
        <xdr:xfrm>
          <a:off x="9321800" y="5695949"/>
          <a:ext cx="2700000" cy="414000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oneCellAnchor>
    <xdr:from>
      <xdr:col>38</xdr:col>
      <xdr:colOff>80818</xdr:colOff>
      <xdr:row>9</xdr:row>
      <xdr:rowOff>55561</xdr:rowOff>
    </xdr:from>
    <xdr:ext cx="4305600" cy="805296"/>
    <xdr:sp macro="" textlink="q3_q7_q11_q15_q24_q36_Fig!$AL$4">
      <xdr:nvSpPr>
        <xdr:cNvPr id="74" name="CaixaDeTexto 73">
          <a:extLst>
            <a:ext uri="{FF2B5EF4-FFF2-40B4-BE49-F238E27FC236}">
              <a16:creationId xmlns:a16="http://schemas.microsoft.com/office/drawing/2014/main" id="{00000000-0008-0000-1500-00004A000000}"/>
            </a:ext>
          </a:extLst>
        </xdr:cNvPr>
        <xdr:cNvSpPr txBox="1"/>
      </xdr:nvSpPr>
      <xdr:spPr>
        <a:xfrm>
          <a:off x="26600006" y="1484311"/>
          <a:ext cx="4305600" cy="805296"/>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fld id="{05EE6538-8254-4769-9B41-D130758B06B6}" type="TxLink">
            <a:rPr lang="en-US" sz="900" b="1" i="0" u="none" strike="noStrike">
              <a:solidFill>
                <a:srgbClr val="19375E"/>
              </a:solidFill>
              <a:latin typeface="Calibri"/>
              <a:cs typeface="Calibri"/>
            </a:rPr>
            <a:pPr algn="l"/>
            <a:t>2024:
O distrito de Lisboa era a sede de 65.461 empresas (equivalendo a 22,7% do Continente, sendo o 1º de 18 distritos);
Era também a localização de 77.003 estabelecimentos (constituindo 22,8% do Continente, sendo o 1º de 18 distritos).</a:t>
          </a:fld>
          <a:endParaRPr lang="en-US" sz="900" b="1">
            <a:solidFill>
              <a:srgbClr val="19375E"/>
            </a:solidFill>
          </a:endParaRPr>
        </a:p>
      </xdr:txBody>
    </xdr:sp>
    <xdr:clientData/>
  </xdr:oneCellAnchor>
  <xdr:twoCellAnchor>
    <xdr:from>
      <xdr:col>30</xdr:col>
      <xdr:colOff>0</xdr:colOff>
      <xdr:row>77</xdr:row>
      <xdr:rowOff>0</xdr:rowOff>
    </xdr:from>
    <xdr:to>
      <xdr:col>35</xdr:col>
      <xdr:colOff>22560</xdr:colOff>
      <xdr:row>83</xdr:row>
      <xdr:rowOff>39688</xdr:rowOff>
    </xdr:to>
    <xdr:sp macro="" textlink="q3_q7_q11_q15_q24_q36_Fig!$AE$69">
      <xdr:nvSpPr>
        <xdr:cNvPr id="75" name="CaixaDeTexto 74">
          <a:extLst>
            <a:ext uri="{FF2B5EF4-FFF2-40B4-BE49-F238E27FC236}">
              <a16:creationId xmlns:a16="http://schemas.microsoft.com/office/drawing/2014/main" id="{00000000-0008-0000-1500-00004B000000}"/>
            </a:ext>
          </a:extLst>
        </xdr:cNvPr>
        <xdr:cNvSpPr txBox="1"/>
      </xdr:nvSpPr>
      <xdr:spPr>
        <a:xfrm>
          <a:off x="20407313" y="12557125"/>
          <a:ext cx="4300872" cy="992188"/>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B68D530-8978-42BF-A477-72FE6EFAFB1D}" type="TxLink">
            <a:rPr lang="en-US" sz="1000" b="1" i="0" u="none" strike="noStrike">
              <a:solidFill>
                <a:srgbClr val="17375E"/>
              </a:solidFill>
              <a:latin typeface="Calibri"/>
              <a:cs typeface="Calibri"/>
            </a:rPr>
            <a:pPr algn="l"/>
            <a:t>2024:
As empresas do distrito de Lisboa tinham ao seu serviço 1.068.615 pessoas (variação de 39,8% face a 2014, ou seja, mais 304.091) e tinham 1.024.115 TCO (variação de 41,7% face a 2014, ou seja, mais 301.261).</a:t>
          </a:fld>
          <a:endParaRPr lang="pt-PT" sz="1000" b="1">
            <a:solidFill>
              <a:srgbClr val="17375E"/>
            </a:solidFill>
            <a:latin typeface="+mn-lt"/>
          </a:endParaRPr>
        </a:p>
      </xdr:txBody>
    </xdr:sp>
    <xdr:clientData/>
  </xdr:twoCellAnchor>
  <xdr:twoCellAnchor>
    <xdr:from>
      <xdr:col>50</xdr:col>
      <xdr:colOff>60614</xdr:colOff>
      <xdr:row>8</xdr:row>
      <xdr:rowOff>103910</xdr:rowOff>
    </xdr:from>
    <xdr:to>
      <xdr:col>57</xdr:col>
      <xdr:colOff>17233</xdr:colOff>
      <xdr:row>14</xdr:row>
      <xdr:rowOff>77974</xdr:rowOff>
    </xdr:to>
    <xdr:sp macro="" textlink="q3_q7_q11_q15_q24_q36_Fig!$AY$2">
      <xdr:nvSpPr>
        <xdr:cNvPr id="76" name="CaixaDeTexto 75">
          <a:extLst>
            <a:ext uri="{FF2B5EF4-FFF2-40B4-BE49-F238E27FC236}">
              <a16:creationId xmlns:a16="http://schemas.microsoft.com/office/drawing/2014/main" id="{00000000-0008-0000-1500-00004C000000}"/>
            </a:ext>
          </a:extLst>
        </xdr:cNvPr>
        <xdr:cNvSpPr txBox="1"/>
      </xdr:nvSpPr>
      <xdr:spPr>
        <a:xfrm>
          <a:off x="33779114" y="1420092"/>
          <a:ext cx="4303483" cy="9612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1F28934-1925-4A62-87C6-4367C739C557}" type="TxLink">
            <a:rPr lang="en-US" sz="1000" b="1" i="0" u="none" strike="noStrike">
              <a:solidFill>
                <a:srgbClr val="19375E"/>
              </a:solidFill>
              <a:latin typeface="Calibri"/>
              <a:cs typeface="Calibri"/>
            </a:rPr>
            <a:pPr algn="l"/>
            <a:t>2024:
As empresas do distrito de Lisboa tinham ao seu serviço 1.068.615 pessoas (30,1% do Continente, ocupando a 1º posição entre 18 distritos) e  1.024.115 TCO ( 30,5% do Continente, sendo o 1º de 18 distritos).</a:t>
          </a:fld>
          <a:endParaRPr lang="pt-PT" sz="1000" b="1">
            <a:solidFill>
              <a:srgbClr val="19375E"/>
            </a:solidFill>
            <a:latin typeface="+mn-lt"/>
          </a:endParaRPr>
        </a:p>
      </xdr:txBody>
    </xdr:sp>
    <xdr:clientData/>
  </xdr:twoCellAnchor>
  <xdr:twoCellAnchor>
    <xdr:from>
      <xdr:col>30</xdr:col>
      <xdr:colOff>8659</xdr:colOff>
      <xdr:row>116</xdr:row>
      <xdr:rowOff>95249</xdr:rowOff>
    </xdr:from>
    <xdr:to>
      <xdr:col>35</xdr:col>
      <xdr:colOff>64269</xdr:colOff>
      <xdr:row>122</xdr:row>
      <xdr:rowOff>150813</xdr:rowOff>
    </xdr:to>
    <xdr:sp macro="" textlink="q3_q7_q11_q15_q24_q36_Fig!$AE$109">
      <xdr:nvSpPr>
        <xdr:cNvPr id="77" name="CaixaDeTexto 76">
          <a:extLst>
            <a:ext uri="{FF2B5EF4-FFF2-40B4-BE49-F238E27FC236}">
              <a16:creationId xmlns:a16="http://schemas.microsoft.com/office/drawing/2014/main" id="{00000000-0008-0000-1500-00004D000000}"/>
            </a:ext>
          </a:extLst>
        </xdr:cNvPr>
        <xdr:cNvSpPr txBox="1"/>
      </xdr:nvSpPr>
      <xdr:spPr>
        <a:xfrm>
          <a:off x="20415972" y="18875374"/>
          <a:ext cx="4333922" cy="1008064"/>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9677BE54-6F28-4EC0-8FA0-7616C2A8B54A}" type="TxLink">
            <a:rPr lang="en-US" sz="1000" b="1" i="0" u="none" strike="noStrike">
              <a:solidFill>
                <a:srgbClr val="17375E"/>
              </a:solidFill>
              <a:latin typeface="Calibri"/>
              <a:cs typeface="Calibri"/>
            </a:rPr>
            <a:pPr algn="l"/>
            <a:t>2024:
No distrito de Lisboa a remuneração média mensal base era de 1.567,8 euros (variação de 36,3% face a 2014, ou seja, + 417,3 euros) e de 1.896,5 euros a remuneração média mensal ganho (variação de 36,2% face a 2014, ou seja, + 504,1 euros).</a:t>
          </a:fld>
          <a:endParaRPr lang="pt-PT" sz="1000" b="1">
            <a:solidFill>
              <a:srgbClr val="17375E"/>
            </a:solidFill>
            <a:latin typeface="+mn-lt"/>
          </a:endParaRPr>
        </a:p>
      </xdr:txBody>
    </xdr:sp>
    <xdr:clientData/>
  </xdr:twoCellAnchor>
  <xdr:twoCellAnchor>
    <xdr:from>
      <xdr:col>63</xdr:col>
      <xdr:colOff>60614</xdr:colOff>
      <xdr:row>8</xdr:row>
      <xdr:rowOff>155863</xdr:rowOff>
    </xdr:from>
    <xdr:to>
      <xdr:col>69</xdr:col>
      <xdr:colOff>565055</xdr:colOff>
      <xdr:row>14</xdr:row>
      <xdr:rowOff>129927</xdr:rowOff>
    </xdr:to>
    <xdr:sp macro="" textlink="q3_q7_q11_q15_q24_q36_Fig!$BL$2">
      <xdr:nvSpPr>
        <xdr:cNvPr id="78" name="CaixaDeTexto 77">
          <a:extLst>
            <a:ext uri="{FF2B5EF4-FFF2-40B4-BE49-F238E27FC236}">
              <a16:creationId xmlns:a16="http://schemas.microsoft.com/office/drawing/2014/main" id="{00000000-0008-0000-1500-00004E000000}"/>
            </a:ext>
          </a:extLst>
        </xdr:cNvPr>
        <xdr:cNvSpPr txBox="1"/>
      </xdr:nvSpPr>
      <xdr:spPr>
        <a:xfrm>
          <a:off x="41762796" y="1472045"/>
          <a:ext cx="4141259" cy="9612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53C62BF-CF50-48B8-9FE7-1F22836FC988}" type="TxLink">
            <a:rPr lang="en-US" sz="1000" b="1" i="0" u="none" strike="noStrike">
              <a:solidFill>
                <a:srgbClr val="19375E"/>
              </a:solidFill>
              <a:latin typeface="Calibri"/>
              <a:cs typeface="Calibri"/>
            </a:rPr>
            <a:pPr algn="l"/>
            <a:t>2024:
No distrito de Lisboa a remuneração média mensal base era de 1.567,8 euros (+19,8% que no Continente, sendo o 1º de 18 distritos) e  1.896,5 euros a remuneração média mensal ganho (+19,8% que no Continente, sendo o 1º de 18 distritos).</a:t>
          </a:fld>
          <a:endParaRPr lang="pt-PT" sz="1000" b="1">
            <a:solidFill>
              <a:srgbClr val="19375E"/>
            </a:solidFill>
            <a:latin typeface="+mn-lt"/>
          </a:endParaRPr>
        </a:p>
      </xdr:txBody>
    </xdr:sp>
    <xdr:clientData/>
  </xdr:twoCellAnchor>
  <xdr:twoCellAnchor>
    <xdr:from>
      <xdr:col>39</xdr:col>
      <xdr:colOff>229466</xdr:colOff>
      <xdr:row>40</xdr:row>
      <xdr:rowOff>32231</xdr:rowOff>
    </xdr:from>
    <xdr:to>
      <xdr:col>45</xdr:col>
      <xdr:colOff>457486</xdr:colOff>
      <xdr:row>43</xdr:row>
      <xdr:rowOff>116137</xdr:rowOff>
    </xdr:to>
    <xdr:grpSp>
      <xdr:nvGrpSpPr>
        <xdr:cNvPr id="21" name="Agrupar 20">
          <a:extLst>
            <a:ext uri="{FF2B5EF4-FFF2-40B4-BE49-F238E27FC236}">
              <a16:creationId xmlns:a16="http://schemas.microsoft.com/office/drawing/2014/main" id="{00000000-0008-0000-1500-000015000000}"/>
            </a:ext>
          </a:extLst>
        </xdr:cNvPr>
        <xdr:cNvGrpSpPr/>
      </xdr:nvGrpSpPr>
      <xdr:grpSpPr>
        <a:xfrm>
          <a:off x="27359841" y="6683856"/>
          <a:ext cx="3895145" cy="560156"/>
          <a:chOff x="27137591" y="6707909"/>
          <a:chExt cx="3833088" cy="561600"/>
        </a:xfrm>
      </xdr:grpSpPr>
      <xdr:grpSp>
        <xdr:nvGrpSpPr>
          <xdr:cNvPr id="52" name="Agrupar 51">
            <a:extLst>
              <a:ext uri="{FF2B5EF4-FFF2-40B4-BE49-F238E27FC236}">
                <a16:creationId xmlns:a16="http://schemas.microsoft.com/office/drawing/2014/main" id="{00000000-0008-0000-1500-000034000000}"/>
              </a:ext>
            </a:extLst>
          </xdr:cNvPr>
          <xdr:cNvGrpSpPr/>
        </xdr:nvGrpSpPr>
        <xdr:grpSpPr>
          <a:xfrm>
            <a:off x="27137591" y="6875718"/>
            <a:ext cx="2083598" cy="246653"/>
            <a:chOff x="120650" y="4292600"/>
            <a:chExt cx="2076476" cy="247581"/>
          </a:xfrm>
        </xdr:grpSpPr>
        <mc:AlternateContent xmlns:mc="http://schemas.openxmlformats.org/markup-compatibility/2006">
          <mc:Choice xmlns:a14="http://schemas.microsoft.com/office/drawing/2010/main" Requires="a14">
            <xdr:sp macro="" textlink="">
              <xdr:nvSpPr>
                <xdr:cNvPr id="133125" name="Drop Down 5" hidden="1">
                  <a:extLst>
                    <a:ext uri="{63B3BB69-23CF-44E3-9099-C40C66FF867C}">
                      <a14:compatExt spid="_x0000_s133125"/>
                    </a:ext>
                    <a:ext uri="{FF2B5EF4-FFF2-40B4-BE49-F238E27FC236}">
                      <a16:creationId xmlns:a16="http://schemas.microsoft.com/office/drawing/2014/main" id="{00000000-0008-0000-1500-000005080200}"/>
                    </a:ext>
                  </a:extLst>
                </xdr:cNvPr>
                <xdr:cNvSpPr/>
              </xdr:nvSpPr>
              <xdr:spPr bwMode="auto">
                <a:xfrm>
                  <a:off x="1524026" y="4298877"/>
                  <a:ext cx="673100" cy="241304"/>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54" name="Text Box 10">
              <a:extLst>
                <a:ext uri="{FF2B5EF4-FFF2-40B4-BE49-F238E27FC236}">
                  <a16:creationId xmlns:a16="http://schemas.microsoft.com/office/drawing/2014/main" id="{00000000-0008-0000-1500-000036000000}"/>
                </a:ext>
              </a:extLst>
            </xdr:cNvPr>
            <xdr:cNvSpPr txBox="1">
              <a:spLocks noChangeArrowheads="1"/>
            </xdr:cNvSpPr>
          </xdr:nvSpPr>
          <xdr:spPr bwMode="auto">
            <a:xfrm>
              <a:off x="120650" y="4292600"/>
              <a:ext cx="1346200" cy="241300"/>
            </a:xfrm>
            <a:prstGeom prst="rect">
              <a:avLst/>
            </a:prstGeom>
            <a:solidFill>
              <a:srgbClr val="00467A"/>
            </a:solidFill>
            <a:ln>
              <a:noFill/>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xdr:grpSp>
      <xdr:graphicFrame macro="">
        <xdr:nvGraphicFramePr>
          <xdr:cNvPr id="79" name="Gráfico 78">
            <a:extLst>
              <a:ext uri="{FF2B5EF4-FFF2-40B4-BE49-F238E27FC236}">
                <a16:creationId xmlns:a16="http://schemas.microsoft.com/office/drawing/2014/main" id="{00000000-0008-0000-1500-00004F000000}"/>
              </a:ext>
            </a:extLst>
          </xdr:cNvPr>
          <xdr:cNvGraphicFramePr>
            <a:graphicFrameLocks/>
          </xdr:cNvGraphicFramePr>
        </xdr:nvGraphicFramePr>
        <xdr:xfrm>
          <a:off x="29394725" y="6707909"/>
          <a:ext cx="1575954" cy="561600"/>
        </xdr:xfrm>
        <a:graphic>
          <a:graphicData uri="http://schemas.openxmlformats.org/drawingml/2006/chart">
            <c:chart xmlns:c="http://schemas.openxmlformats.org/drawingml/2006/chart" xmlns:r="http://schemas.openxmlformats.org/officeDocument/2006/relationships" r:id="rId13"/>
          </a:graphicData>
        </a:graphic>
      </xdr:graphicFrame>
    </xdr:grpSp>
    <xdr:clientData/>
  </xdr:twoCellAnchor>
  <xdr:twoCellAnchor>
    <xdr:from>
      <xdr:col>47</xdr:col>
      <xdr:colOff>105593</xdr:colOff>
      <xdr:row>40</xdr:row>
      <xdr:rowOff>32231</xdr:rowOff>
    </xdr:from>
    <xdr:to>
      <xdr:col>53</xdr:col>
      <xdr:colOff>237643</xdr:colOff>
      <xdr:row>43</xdr:row>
      <xdr:rowOff>116137</xdr:rowOff>
    </xdr:to>
    <xdr:grpSp>
      <xdr:nvGrpSpPr>
        <xdr:cNvPr id="22" name="Agrupar 21">
          <a:extLst>
            <a:ext uri="{FF2B5EF4-FFF2-40B4-BE49-F238E27FC236}">
              <a16:creationId xmlns:a16="http://schemas.microsoft.com/office/drawing/2014/main" id="{00000000-0008-0000-1500-000016000000}"/>
            </a:ext>
          </a:extLst>
        </xdr:cNvPr>
        <xdr:cNvGrpSpPr/>
      </xdr:nvGrpSpPr>
      <xdr:grpSpPr>
        <a:xfrm>
          <a:off x="32125468" y="6683856"/>
          <a:ext cx="3815050" cy="560156"/>
          <a:chOff x="31830818" y="6707909"/>
          <a:chExt cx="3758044" cy="561600"/>
        </a:xfrm>
      </xdr:grpSpPr>
      <xdr:grpSp>
        <xdr:nvGrpSpPr>
          <xdr:cNvPr id="61" name="Agrupar 60">
            <a:extLst>
              <a:ext uri="{FF2B5EF4-FFF2-40B4-BE49-F238E27FC236}">
                <a16:creationId xmlns:a16="http://schemas.microsoft.com/office/drawing/2014/main" id="{00000000-0008-0000-1500-00003D000000}"/>
              </a:ext>
            </a:extLst>
          </xdr:cNvPr>
          <xdr:cNvGrpSpPr/>
        </xdr:nvGrpSpPr>
        <xdr:grpSpPr>
          <a:xfrm>
            <a:off x="31830818" y="6875776"/>
            <a:ext cx="2050193" cy="240396"/>
            <a:chOff x="5127622" y="4549776"/>
            <a:chExt cx="2050981" cy="241304"/>
          </a:xfrm>
        </xdr:grpSpPr>
        <xdr:sp macro="" textlink="">
          <xdr:nvSpPr>
            <xdr:cNvPr id="63" name="Text Box 10">
              <a:extLst>
                <a:ext uri="{FF2B5EF4-FFF2-40B4-BE49-F238E27FC236}">
                  <a16:creationId xmlns:a16="http://schemas.microsoft.com/office/drawing/2014/main" id="{00000000-0008-0000-1500-00003F000000}"/>
                </a:ext>
              </a:extLst>
            </xdr:cNvPr>
            <xdr:cNvSpPr txBox="1">
              <a:spLocks noChangeArrowheads="1"/>
            </xdr:cNvSpPr>
          </xdr:nvSpPr>
          <xdr:spPr bwMode="auto">
            <a:xfrm>
              <a:off x="5127622" y="4549780"/>
              <a:ext cx="1346200" cy="241300"/>
            </a:xfrm>
            <a:prstGeom prst="rect">
              <a:avLst/>
            </a:prstGeom>
            <a:solidFill>
              <a:srgbClr val="00467A"/>
            </a:solidFill>
            <a:ln>
              <a:noFill/>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133126" name="Drop Down 6" hidden="1">
                  <a:extLst>
                    <a:ext uri="{63B3BB69-23CF-44E3-9099-C40C66FF867C}">
                      <a14:compatExt spid="_x0000_s133126"/>
                    </a:ext>
                    <a:ext uri="{FF2B5EF4-FFF2-40B4-BE49-F238E27FC236}">
                      <a16:creationId xmlns:a16="http://schemas.microsoft.com/office/drawing/2014/main" id="{00000000-0008-0000-1500-000006080200}"/>
                    </a:ext>
                  </a:extLst>
                </xdr:cNvPr>
                <xdr:cNvSpPr/>
              </xdr:nvSpPr>
              <xdr:spPr bwMode="auto">
                <a:xfrm>
                  <a:off x="6505537" y="4549776"/>
                  <a:ext cx="673066" cy="241203"/>
                </a:xfrm>
                <a:prstGeom prst="rect">
                  <a:avLst/>
                </a:prstGeom>
                <a:noFill/>
                <a:ln>
                  <a:noFill/>
                </a:ln>
                <a:extLst>
                  <a:ext uri="{91240B29-F687-4F45-9708-019B960494DF}">
                    <a14:hiddenLine w="9525">
                      <a:noFill/>
                      <a:miter lim="800000"/>
                      <a:headEnd/>
                      <a:tailEnd/>
                    </a14:hiddenLine>
                  </a:ext>
                </a:extLst>
              </xdr:spPr>
            </xdr:sp>
          </mc:Choice>
          <mc:Fallback/>
        </mc:AlternateContent>
      </xdr:grpSp>
      <xdr:graphicFrame macro="">
        <xdr:nvGraphicFramePr>
          <xdr:cNvPr id="80" name="Gráfico 79">
            <a:extLst>
              <a:ext uri="{FF2B5EF4-FFF2-40B4-BE49-F238E27FC236}">
                <a16:creationId xmlns:a16="http://schemas.microsoft.com/office/drawing/2014/main" id="{00000000-0008-0000-1500-000050000000}"/>
              </a:ext>
            </a:extLst>
          </xdr:cNvPr>
          <xdr:cNvGraphicFramePr>
            <a:graphicFrameLocks/>
          </xdr:cNvGraphicFramePr>
        </xdr:nvGraphicFramePr>
        <xdr:xfrm>
          <a:off x="34012908" y="6707909"/>
          <a:ext cx="1575954" cy="561600"/>
        </xdr:xfrm>
        <a:graphic>
          <a:graphicData uri="http://schemas.openxmlformats.org/drawingml/2006/chart">
            <c:chart xmlns:c="http://schemas.openxmlformats.org/drawingml/2006/chart" xmlns:r="http://schemas.openxmlformats.org/officeDocument/2006/relationships" r:id="rId14"/>
          </a:graphicData>
        </a:graphic>
      </xdr:graphicFrame>
    </xdr:grpSp>
    <xdr:clientData/>
  </xdr:twoCellAnchor>
  <xdr:twoCellAnchor>
    <xdr:from>
      <xdr:col>55</xdr:col>
      <xdr:colOff>15155</xdr:colOff>
      <xdr:row>40</xdr:row>
      <xdr:rowOff>84186</xdr:rowOff>
    </xdr:from>
    <xdr:to>
      <xdr:col>61</xdr:col>
      <xdr:colOff>25737</xdr:colOff>
      <xdr:row>44</xdr:row>
      <xdr:rowOff>9342</xdr:rowOff>
    </xdr:to>
    <xdr:grpSp>
      <xdr:nvGrpSpPr>
        <xdr:cNvPr id="23" name="Agrupar 22">
          <a:extLst>
            <a:ext uri="{FF2B5EF4-FFF2-40B4-BE49-F238E27FC236}">
              <a16:creationId xmlns:a16="http://schemas.microsoft.com/office/drawing/2014/main" id="{00000000-0008-0000-1500-000017000000}"/>
            </a:ext>
          </a:extLst>
        </xdr:cNvPr>
        <xdr:cNvGrpSpPr/>
      </xdr:nvGrpSpPr>
      <xdr:grpSpPr>
        <a:xfrm>
          <a:off x="36956280" y="6735811"/>
          <a:ext cx="3709457" cy="560156"/>
          <a:chOff x="36599092" y="6759864"/>
          <a:chExt cx="3688772" cy="561600"/>
        </a:xfrm>
      </xdr:grpSpPr>
      <xdr:grpSp>
        <xdr:nvGrpSpPr>
          <xdr:cNvPr id="65" name="Agrupar 64">
            <a:extLst>
              <a:ext uri="{FF2B5EF4-FFF2-40B4-BE49-F238E27FC236}">
                <a16:creationId xmlns:a16="http://schemas.microsoft.com/office/drawing/2014/main" id="{00000000-0008-0000-1500-000041000000}"/>
              </a:ext>
            </a:extLst>
          </xdr:cNvPr>
          <xdr:cNvGrpSpPr/>
        </xdr:nvGrpSpPr>
        <xdr:grpSpPr>
          <a:xfrm>
            <a:off x="36599092" y="6916343"/>
            <a:ext cx="2054314" cy="246652"/>
            <a:chOff x="9423400" y="4330700"/>
            <a:chExt cx="2063817" cy="247580"/>
          </a:xfrm>
        </xdr:grpSpPr>
        <xdr:sp macro="" textlink="">
          <xdr:nvSpPr>
            <xdr:cNvPr id="67" name="Text Box 10">
              <a:extLst>
                <a:ext uri="{FF2B5EF4-FFF2-40B4-BE49-F238E27FC236}">
                  <a16:creationId xmlns:a16="http://schemas.microsoft.com/office/drawing/2014/main" id="{00000000-0008-0000-1500-000043000000}"/>
                </a:ext>
              </a:extLst>
            </xdr:cNvPr>
            <xdr:cNvSpPr txBox="1">
              <a:spLocks noChangeArrowheads="1"/>
            </xdr:cNvSpPr>
          </xdr:nvSpPr>
          <xdr:spPr bwMode="auto">
            <a:xfrm>
              <a:off x="9423400" y="4330700"/>
              <a:ext cx="1346200" cy="241300"/>
            </a:xfrm>
            <a:prstGeom prst="rect">
              <a:avLst/>
            </a:prstGeom>
            <a:solidFill>
              <a:srgbClr val="00467A"/>
            </a:solidFill>
            <a:ln>
              <a:noFill/>
            </a:ln>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133127" name="Drop Down 7" hidden="1">
                  <a:extLst>
                    <a:ext uri="{63B3BB69-23CF-44E3-9099-C40C66FF867C}">
                      <a14:compatExt spid="_x0000_s133127"/>
                    </a:ext>
                    <a:ext uri="{FF2B5EF4-FFF2-40B4-BE49-F238E27FC236}">
                      <a16:creationId xmlns:a16="http://schemas.microsoft.com/office/drawing/2014/main" id="{00000000-0008-0000-1500-000007080200}"/>
                    </a:ext>
                  </a:extLst>
                </xdr:cNvPr>
                <xdr:cNvSpPr/>
              </xdr:nvSpPr>
              <xdr:spPr bwMode="auto">
                <a:xfrm>
                  <a:off x="10814096" y="4337076"/>
                  <a:ext cx="673121" cy="241204"/>
                </a:xfrm>
                <a:prstGeom prst="rect">
                  <a:avLst/>
                </a:prstGeom>
                <a:noFill/>
                <a:ln>
                  <a:noFill/>
                </a:ln>
                <a:extLst>
                  <a:ext uri="{91240B29-F687-4F45-9708-019B960494DF}">
                    <a14:hiddenLine w="9525">
                      <a:noFill/>
                      <a:miter lim="800000"/>
                      <a:headEnd/>
                      <a:tailEnd/>
                    </a14:hiddenLine>
                  </a:ext>
                </a:extLst>
              </xdr:spPr>
            </xdr:sp>
          </mc:Choice>
          <mc:Fallback/>
        </mc:AlternateContent>
      </xdr:grpSp>
      <xdr:graphicFrame macro="">
        <xdr:nvGraphicFramePr>
          <xdr:cNvPr id="81" name="Gráfico 80">
            <a:extLst>
              <a:ext uri="{FF2B5EF4-FFF2-40B4-BE49-F238E27FC236}">
                <a16:creationId xmlns:a16="http://schemas.microsoft.com/office/drawing/2014/main" id="{00000000-0008-0000-1500-000051000000}"/>
              </a:ext>
            </a:extLst>
          </xdr:cNvPr>
          <xdr:cNvGraphicFramePr>
            <a:graphicFrameLocks/>
          </xdr:cNvGraphicFramePr>
        </xdr:nvGraphicFramePr>
        <xdr:xfrm>
          <a:off x="38711910" y="6759864"/>
          <a:ext cx="1575954" cy="561600"/>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30</xdr:col>
      <xdr:colOff>0</xdr:colOff>
      <xdr:row>48</xdr:row>
      <xdr:rowOff>0</xdr:rowOff>
    </xdr:from>
    <xdr:to>
      <xdr:col>35</xdr:col>
      <xdr:colOff>39494</xdr:colOff>
      <xdr:row>53</xdr:row>
      <xdr:rowOff>7938</xdr:rowOff>
    </xdr:to>
    <xdr:sp macro="" textlink="q3_q7_q11_q15_q24_q36_Fig!$AE$46">
      <xdr:nvSpPr>
        <xdr:cNvPr id="60" name="CaixaDeTexto 59">
          <a:extLst>
            <a:ext uri="{FF2B5EF4-FFF2-40B4-BE49-F238E27FC236}">
              <a16:creationId xmlns:a16="http://schemas.microsoft.com/office/drawing/2014/main" id="{00000000-0008-0000-1500-00003C000000}"/>
            </a:ext>
          </a:extLst>
        </xdr:cNvPr>
        <xdr:cNvSpPr txBox="1"/>
      </xdr:nvSpPr>
      <xdr:spPr>
        <a:xfrm>
          <a:off x="20407313" y="7921625"/>
          <a:ext cx="4317806" cy="801688"/>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AD5D32B2-A2B3-4A0C-81AE-CEAE5435D886}" type="TxLink">
            <a:rPr lang="en-US" sz="1000" b="1" i="0" u="none" strike="noStrike">
              <a:solidFill>
                <a:srgbClr val="19375E"/>
              </a:solidFill>
              <a:latin typeface="Calibri"/>
              <a:cs typeface="Calibri"/>
            </a:rPr>
            <a:pPr algn="l"/>
            <a:t>2024:
O distrito de Lisboa era a sede de 65.461 empresas (variação de 9,3% face a 2014, ou seja, mais 5.550) e era a localização de 77.003 estabelecimentos (variação de 7,4% face a 2014, ou seja, mais 5.313).</a:t>
          </a:fld>
          <a:endParaRPr lang="pt-PT" sz="1000" b="1">
            <a:solidFill>
              <a:srgbClr val="19375E"/>
            </a:solidFill>
            <a:latin typeface="+mn-lt"/>
          </a:endParaRPr>
        </a:p>
      </xdr:txBody>
    </xdr:sp>
    <xdr:clientData/>
  </xdr:twoCellAnchor>
</xdr:wsDr>
</file>

<file path=xl/drawings/drawing53.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6_Fig!$T$2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9F6455D-4342-4A1A-B4A9-581197AA6303}"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3_q7_q11_q15_q24_q36_Fig!$AD$2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5B4863-F92E-4721-A263-86A404FF0CA7}"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904728" y="-160966"/>
          <a:ext cx="300137" cy="72964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54.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6_Fig!$T$6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1562BE-B5C4-4463-8A69-D7384DB4EAF1}"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3_q7_q11_q15_q24_q36_Fig!$AD$6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74D2AA2-194D-463F-A90B-879DF062E9BC}"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904728" y="-160966"/>
          <a:ext cx="300137" cy="72964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55.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6_Fig!$T$10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2363ABA-4DF2-4BB4-B35C-BE4C0AECD3C3}"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3_q7_q11_q15_q24_q36_Fig!$AD$10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EBFF525-C5AC-4332-81AA-4A61089D2C43}"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904728" y="-160966"/>
          <a:ext cx="300137" cy="72964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266700</xdr:colOff>
          <xdr:row>0</xdr:row>
          <xdr:rowOff>142875</xdr:rowOff>
        </xdr:from>
        <xdr:to>
          <xdr:col>17</xdr:col>
          <xdr:colOff>942975</xdr:colOff>
          <xdr:row>2</xdr:row>
          <xdr:rowOff>19050</xdr:rowOff>
        </xdr:to>
        <xdr:sp macro="" textlink="">
          <xdr:nvSpPr>
            <xdr:cNvPr id="286721" name="Drop Down 1" hidden="1">
              <a:extLst>
                <a:ext uri="{63B3BB69-23CF-44E3-9099-C40C66FF867C}">
                  <a14:compatExt spid="_x0000_s286721"/>
                </a:ext>
                <a:ext uri="{FF2B5EF4-FFF2-40B4-BE49-F238E27FC236}">
                  <a16:creationId xmlns:a16="http://schemas.microsoft.com/office/drawing/2014/main" id="{00000000-0008-0000-1600-0000016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314325</xdr:colOff>
      <xdr:row>10</xdr:row>
      <xdr:rowOff>95250</xdr:rowOff>
    </xdr:from>
    <xdr:to>
      <xdr:col>24</xdr:col>
      <xdr:colOff>314325</xdr:colOff>
      <xdr:row>26</xdr:row>
      <xdr:rowOff>92169</xdr:rowOff>
    </xdr:to>
    <xdr:grpSp>
      <xdr:nvGrpSpPr>
        <xdr:cNvPr id="3" name="Agrupar 2">
          <a:extLst>
            <a:ext uri="{FF2B5EF4-FFF2-40B4-BE49-F238E27FC236}">
              <a16:creationId xmlns:a16="http://schemas.microsoft.com/office/drawing/2014/main" id="{00000000-0008-0000-1600-000003000000}"/>
            </a:ext>
          </a:extLst>
        </xdr:cNvPr>
        <xdr:cNvGrpSpPr/>
      </xdr:nvGrpSpPr>
      <xdr:grpSpPr>
        <a:xfrm>
          <a:off x="11903075" y="1682750"/>
          <a:ext cx="4706938" cy="3029044"/>
          <a:chOff x="36182300" y="8426450"/>
          <a:chExt cx="4819650" cy="2597244"/>
        </a:xfrm>
      </xdr:grpSpPr>
      <xdr:graphicFrame macro="">
        <xdr:nvGraphicFramePr>
          <xdr:cNvPr id="4" name="Gráfico 3">
            <a:extLst>
              <a:ext uri="{FF2B5EF4-FFF2-40B4-BE49-F238E27FC236}">
                <a16:creationId xmlns:a16="http://schemas.microsoft.com/office/drawing/2014/main" id="{00000000-0008-0000-1600-000004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CaixaDeTexto 4">
            <a:extLst>
              <a:ext uri="{FF2B5EF4-FFF2-40B4-BE49-F238E27FC236}">
                <a16:creationId xmlns:a16="http://schemas.microsoft.com/office/drawing/2014/main" id="{00000000-0008-0000-1600-000005000000}"/>
              </a:ext>
            </a:extLst>
          </xdr:cNvPr>
          <xdr:cNvSpPr txBox="1"/>
        </xdr:nvSpPr>
        <xdr:spPr>
          <a:xfrm>
            <a:off x="39836724" y="8902700"/>
            <a:ext cx="820800"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Empresas</a:t>
            </a:r>
          </a:p>
        </xdr:txBody>
      </xdr:sp>
      <xdr:sp macro="" textlink="">
        <xdr:nvSpPr>
          <xdr:cNvPr id="6" name="CaixaDeTexto 5">
            <a:extLst>
              <a:ext uri="{FF2B5EF4-FFF2-40B4-BE49-F238E27FC236}">
                <a16:creationId xmlns:a16="http://schemas.microsoft.com/office/drawing/2014/main" id="{00000000-0008-0000-1600-000006000000}"/>
              </a:ext>
            </a:extLst>
          </xdr:cNvPr>
          <xdr:cNvSpPr txBox="1"/>
        </xdr:nvSpPr>
        <xdr:spPr>
          <a:xfrm>
            <a:off x="39833550" y="9721850"/>
            <a:ext cx="819150"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Estabelecimentos</a:t>
            </a:r>
          </a:p>
        </xdr:txBody>
      </xdr:sp>
      <xdr:sp macro="" textlink="q4_8_12_16_25_37_Fig!$AF$7">
        <xdr:nvSpPr>
          <xdr:cNvPr id="7" name="CaixaDeTexto 6">
            <a:extLst>
              <a:ext uri="{FF2B5EF4-FFF2-40B4-BE49-F238E27FC236}">
                <a16:creationId xmlns:a16="http://schemas.microsoft.com/office/drawing/2014/main" id="{00000000-0008-0000-1600-000007000000}"/>
              </a:ext>
            </a:extLst>
          </xdr:cNvPr>
          <xdr:cNvSpPr txBox="1"/>
        </xdr:nvSpPr>
        <xdr:spPr>
          <a:xfrm>
            <a:off x="39839899" y="9994900"/>
            <a:ext cx="820800" cy="2753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2404EAA-843D-404C-97A7-A7D9C1759CE7}" type="TxLink">
              <a:rPr lang="en-US" sz="1000" b="1" i="0" u="none" strike="noStrike">
                <a:solidFill>
                  <a:schemeClr val="bg1"/>
                </a:solidFill>
                <a:latin typeface="Arial"/>
                <a:ea typeface="+mn-ea"/>
                <a:cs typeface="Arial"/>
              </a:rPr>
              <a:pPr marL="0" indent="0" algn="ctr"/>
              <a:t>6,9%</a:t>
            </a:fld>
            <a:endParaRPr lang="pt-PT" sz="1000" b="1" i="0" u="none" strike="noStrike">
              <a:solidFill>
                <a:schemeClr val="bg1"/>
              </a:solidFill>
              <a:latin typeface="+mn-lt"/>
              <a:ea typeface="+mn-ea"/>
              <a:cs typeface="Arial"/>
            </a:endParaRPr>
          </a:p>
        </xdr:txBody>
      </xdr:sp>
      <xdr:sp macro="" textlink="q4_8_12_16_25_37_Fig!$AF$6">
        <xdr:nvSpPr>
          <xdr:cNvPr id="8" name="CaixaDeTexto 7">
            <a:extLst>
              <a:ext uri="{FF2B5EF4-FFF2-40B4-BE49-F238E27FC236}">
                <a16:creationId xmlns:a16="http://schemas.microsoft.com/office/drawing/2014/main" id="{00000000-0008-0000-1600-000008000000}"/>
              </a:ext>
            </a:extLst>
          </xdr:cNvPr>
          <xdr:cNvSpPr txBox="1"/>
        </xdr:nvSpPr>
        <xdr:spPr>
          <a:xfrm>
            <a:off x="39839900" y="9201150"/>
            <a:ext cx="820800" cy="281127"/>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703C2B1-8626-42A2-AC00-65574A18ADD9}" type="TxLink">
              <a:rPr lang="en-US" sz="1000" b="1" i="0" u="none" strike="noStrike">
                <a:solidFill>
                  <a:schemeClr val="bg1"/>
                </a:solidFill>
                <a:latin typeface="Arial"/>
                <a:cs typeface="Arial"/>
              </a:rPr>
              <a:pPr algn="ctr"/>
              <a:t>8,9%</a:t>
            </a:fld>
            <a:endParaRPr lang="pt-PT" sz="1000" b="1">
              <a:solidFill>
                <a:schemeClr val="bg1"/>
              </a:solidFill>
              <a:latin typeface="+mn-lt"/>
            </a:endParaRPr>
          </a:p>
        </xdr:txBody>
      </xdr:sp>
    </xdr:grpSp>
    <xdr:clientData/>
  </xdr:twoCellAnchor>
  <xdr:twoCellAnchor>
    <xdr:from>
      <xdr:col>29</xdr:col>
      <xdr:colOff>0</xdr:colOff>
      <xdr:row>20</xdr:row>
      <xdr:rowOff>0</xdr:rowOff>
    </xdr:from>
    <xdr:to>
      <xdr:col>32</xdr:col>
      <xdr:colOff>590550</xdr:colOff>
      <xdr:row>25</xdr:row>
      <xdr:rowOff>123825</xdr:rowOff>
    </xdr:to>
    <xdr:sp macro="" textlink="q4_8_12_16_25_37_Fig!$AD$13">
      <xdr:nvSpPr>
        <xdr:cNvPr id="9" name="CaixaDeTexto 8">
          <a:extLst>
            <a:ext uri="{FF2B5EF4-FFF2-40B4-BE49-F238E27FC236}">
              <a16:creationId xmlns:a16="http://schemas.microsoft.com/office/drawing/2014/main" id="{00000000-0008-0000-1600-000009000000}"/>
            </a:ext>
          </a:extLst>
        </xdr:cNvPr>
        <xdr:cNvSpPr txBox="1"/>
      </xdr:nvSpPr>
      <xdr:spPr>
        <a:xfrm>
          <a:off x="19307175" y="3238500"/>
          <a:ext cx="3829050" cy="93345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F135EAE7-FE7B-413D-B5FA-84BD206EC832}" type="TxLink">
            <a:rPr lang="en-US" sz="1000" b="1" i="0" u="none" strike="noStrike">
              <a:solidFill>
                <a:srgbClr val="19375E"/>
              </a:solidFill>
              <a:latin typeface="Calibri"/>
              <a:cs typeface="Calibri"/>
            </a:rPr>
            <a:pPr algn="l"/>
            <a:t>2024:
A região Grande Lisboa era a sede de 59.232 empresas (variação de 8,9% face a 2014, ou seja, mais 4.817) e era a localização de 69.821 estabelecimentos (variação de 6,9% face a 2014, ou seja, mais 4.532).</a:t>
          </a:fld>
          <a:endParaRPr lang="pt-PT" sz="1000" b="1">
            <a:solidFill>
              <a:srgbClr val="19375E"/>
            </a:solidFill>
            <a:latin typeface="+mn-lt"/>
          </a:endParaRPr>
        </a:p>
      </xdr:txBody>
    </xdr:sp>
    <xdr:clientData/>
  </xdr:twoCellAnchor>
  <xdr:twoCellAnchor>
    <xdr:from>
      <xdr:col>17</xdr:col>
      <xdr:colOff>0</xdr:colOff>
      <xdr:row>43</xdr:row>
      <xdr:rowOff>0</xdr:rowOff>
    </xdr:from>
    <xdr:to>
      <xdr:col>24</xdr:col>
      <xdr:colOff>0</xdr:colOff>
      <xdr:row>58</xdr:row>
      <xdr:rowOff>158844</xdr:rowOff>
    </xdr:to>
    <xdr:grpSp>
      <xdr:nvGrpSpPr>
        <xdr:cNvPr id="10" name="Agrupar 9">
          <a:extLst>
            <a:ext uri="{FF2B5EF4-FFF2-40B4-BE49-F238E27FC236}">
              <a16:creationId xmlns:a16="http://schemas.microsoft.com/office/drawing/2014/main" id="{00000000-0008-0000-1600-00000A000000}"/>
            </a:ext>
          </a:extLst>
        </xdr:cNvPr>
        <xdr:cNvGrpSpPr/>
      </xdr:nvGrpSpPr>
      <xdr:grpSpPr>
        <a:xfrm>
          <a:off x="11588750" y="7318375"/>
          <a:ext cx="4706938" cy="2540094"/>
          <a:chOff x="36182300" y="8426450"/>
          <a:chExt cx="4819650" cy="2597244"/>
        </a:xfrm>
      </xdr:grpSpPr>
      <xdr:graphicFrame macro="">
        <xdr:nvGraphicFramePr>
          <xdr:cNvPr id="11" name="Gráfico 10">
            <a:extLst>
              <a:ext uri="{FF2B5EF4-FFF2-40B4-BE49-F238E27FC236}">
                <a16:creationId xmlns:a16="http://schemas.microsoft.com/office/drawing/2014/main" id="{00000000-0008-0000-1600-00000B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2" name="CaixaDeTexto 11">
            <a:extLst>
              <a:ext uri="{FF2B5EF4-FFF2-40B4-BE49-F238E27FC236}">
                <a16:creationId xmlns:a16="http://schemas.microsoft.com/office/drawing/2014/main" id="{00000000-0008-0000-1600-00000C000000}"/>
              </a:ext>
            </a:extLst>
          </xdr:cNvPr>
          <xdr:cNvSpPr txBox="1"/>
        </xdr:nvSpPr>
        <xdr:spPr>
          <a:xfrm>
            <a:off x="39738963" y="8902700"/>
            <a:ext cx="920821"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Pessoas</a:t>
            </a:r>
            <a:r>
              <a:rPr lang="pt-PT" sz="800" b="1" baseline="0">
                <a:solidFill>
                  <a:schemeClr val="bg1"/>
                </a:solidFill>
                <a:latin typeface="+mn-lt"/>
                <a:ea typeface="+mn-ea"/>
                <a:cs typeface="+mn-cs"/>
              </a:rPr>
              <a:t> ao serviço</a:t>
            </a:r>
            <a:endParaRPr lang="pt-PT" sz="800" b="1">
              <a:solidFill>
                <a:schemeClr val="bg1"/>
              </a:solidFill>
              <a:latin typeface="+mn-lt"/>
              <a:ea typeface="+mn-ea"/>
              <a:cs typeface="+mn-cs"/>
            </a:endParaRPr>
          </a:p>
        </xdr:txBody>
      </xdr:sp>
      <xdr:sp macro="" textlink="">
        <xdr:nvSpPr>
          <xdr:cNvPr id="13" name="CaixaDeTexto 12">
            <a:extLst>
              <a:ext uri="{FF2B5EF4-FFF2-40B4-BE49-F238E27FC236}">
                <a16:creationId xmlns:a16="http://schemas.microsoft.com/office/drawing/2014/main" id="{00000000-0008-0000-1600-00000D000000}"/>
              </a:ext>
            </a:extLst>
          </xdr:cNvPr>
          <xdr:cNvSpPr txBox="1"/>
        </xdr:nvSpPr>
        <xdr:spPr>
          <a:xfrm>
            <a:off x="39735787" y="9721850"/>
            <a:ext cx="920037"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TCO</a:t>
            </a:r>
          </a:p>
        </xdr:txBody>
      </xdr:sp>
      <xdr:sp macro="" textlink="q4_8_12_16_25_37_Fig!$AF$39">
        <xdr:nvSpPr>
          <xdr:cNvPr id="14" name="CaixaDeTexto 13">
            <a:extLst>
              <a:ext uri="{FF2B5EF4-FFF2-40B4-BE49-F238E27FC236}">
                <a16:creationId xmlns:a16="http://schemas.microsoft.com/office/drawing/2014/main" id="{00000000-0008-0000-1600-00000E000000}"/>
              </a:ext>
            </a:extLst>
          </xdr:cNvPr>
          <xdr:cNvSpPr txBox="1"/>
        </xdr:nvSpPr>
        <xdr:spPr>
          <a:xfrm>
            <a:off x="39742137" y="9994900"/>
            <a:ext cx="920037" cy="2753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C628681-42B8-490E-BF90-49FAE6624B3A}" type="TxLink">
              <a:rPr lang="en-US" sz="1000" b="1" i="0" u="none" strike="noStrike">
                <a:solidFill>
                  <a:schemeClr val="bg1"/>
                </a:solidFill>
                <a:latin typeface="Arial"/>
                <a:ea typeface="+mn-ea"/>
                <a:cs typeface="Arial"/>
              </a:rPr>
              <a:pPr marL="0" indent="0" algn="ctr"/>
              <a:t>41,2%</a:t>
            </a:fld>
            <a:endParaRPr lang="pt-PT" sz="1000" b="1" i="0" u="none" strike="noStrike">
              <a:solidFill>
                <a:schemeClr val="bg1"/>
              </a:solidFill>
              <a:latin typeface="+mn-lt"/>
              <a:ea typeface="+mn-ea"/>
              <a:cs typeface="Arial"/>
            </a:endParaRPr>
          </a:p>
        </xdr:txBody>
      </xdr:sp>
      <xdr:sp macro="" textlink="q4_8_12_16_25_37_Fig!$AF$38">
        <xdr:nvSpPr>
          <xdr:cNvPr id="15" name="CaixaDeTexto 14">
            <a:extLst>
              <a:ext uri="{FF2B5EF4-FFF2-40B4-BE49-F238E27FC236}">
                <a16:creationId xmlns:a16="http://schemas.microsoft.com/office/drawing/2014/main" id="{00000000-0008-0000-1600-00000F000000}"/>
              </a:ext>
            </a:extLst>
          </xdr:cNvPr>
          <xdr:cNvSpPr txBox="1"/>
        </xdr:nvSpPr>
        <xdr:spPr>
          <a:xfrm>
            <a:off x="39742138" y="9201150"/>
            <a:ext cx="920037" cy="281127"/>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8462A02-08D0-485C-A58B-9CFA442F8DAD}" type="TxLink">
              <a:rPr lang="en-US" sz="1000" b="1" i="0" u="none" strike="noStrike">
                <a:solidFill>
                  <a:schemeClr val="bg1"/>
                </a:solidFill>
                <a:latin typeface="Arial"/>
                <a:cs typeface="Arial"/>
              </a:rPr>
              <a:pPr algn="ctr"/>
              <a:t>39,3%</a:t>
            </a:fld>
            <a:endParaRPr lang="pt-PT" sz="1000" b="1">
              <a:solidFill>
                <a:schemeClr val="bg1"/>
              </a:solidFill>
              <a:latin typeface="+mn-lt"/>
            </a:endParaRPr>
          </a:p>
        </xdr:txBody>
      </xdr:sp>
    </xdr:grpSp>
    <xdr:clientData/>
  </xdr:twoCellAnchor>
  <xdr:twoCellAnchor>
    <xdr:from>
      <xdr:col>29</xdr:col>
      <xdr:colOff>0</xdr:colOff>
      <xdr:row>53</xdr:row>
      <xdr:rowOff>0</xdr:rowOff>
    </xdr:from>
    <xdr:to>
      <xdr:col>32</xdr:col>
      <xdr:colOff>590550</xdr:colOff>
      <xdr:row>58</xdr:row>
      <xdr:rowOff>123825</xdr:rowOff>
    </xdr:to>
    <xdr:sp macro="" textlink="q4_8_12_16_25_37_Fig!$AD$45">
      <xdr:nvSpPr>
        <xdr:cNvPr id="16" name="CaixaDeTexto 15">
          <a:extLst>
            <a:ext uri="{FF2B5EF4-FFF2-40B4-BE49-F238E27FC236}">
              <a16:creationId xmlns:a16="http://schemas.microsoft.com/office/drawing/2014/main" id="{00000000-0008-0000-1600-000010000000}"/>
            </a:ext>
          </a:extLst>
        </xdr:cNvPr>
        <xdr:cNvSpPr txBox="1"/>
      </xdr:nvSpPr>
      <xdr:spPr>
        <a:xfrm>
          <a:off x="19307175" y="8582025"/>
          <a:ext cx="3829050" cy="93345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4F71898-CF94-4DCE-AA2F-72DCD7959E3E}" type="TxLink">
            <a:rPr lang="en-US" sz="1000" b="1" i="0" u="none" strike="noStrike">
              <a:solidFill>
                <a:srgbClr val="17375E"/>
              </a:solidFill>
              <a:latin typeface="Calibri"/>
              <a:cs typeface="Calibri"/>
            </a:rPr>
            <a:pPr algn="l"/>
            <a:t>2024:
As empresas da região Grande Lisboa tinham ao seu serviço 996.445 pessoas (variação de 39,3% face a 2014, ou seja, mais 281.319) e tinham 956.374 TCO (variação de 41,2% face a 2014, ou seja, mais 279.109).</a:t>
          </a:fld>
          <a:endParaRPr lang="pt-PT" sz="1000" b="1">
            <a:solidFill>
              <a:srgbClr val="17375E"/>
            </a:solidFill>
            <a:latin typeface="+mn-lt"/>
          </a:endParaRPr>
        </a:p>
      </xdr:txBody>
    </xdr:sp>
    <xdr:clientData/>
  </xdr:twoCellAnchor>
  <xdr:twoCellAnchor>
    <xdr:from>
      <xdr:col>29</xdr:col>
      <xdr:colOff>27709</xdr:colOff>
      <xdr:row>87</xdr:row>
      <xdr:rowOff>66674</xdr:rowOff>
    </xdr:from>
    <xdr:to>
      <xdr:col>34</xdr:col>
      <xdr:colOff>83319</xdr:colOff>
      <xdr:row>94</xdr:row>
      <xdr:rowOff>7938</xdr:rowOff>
    </xdr:to>
    <xdr:sp macro="" textlink="q4_8_12_16_25_37_Fig!$AD$79">
      <xdr:nvSpPr>
        <xdr:cNvPr id="24" name="CaixaDeTexto 23">
          <a:extLst>
            <a:ext uri="{FF2B5EF4-FFF2-40B4-BE49-F238E27FC236}">
              <a16:creationId xmlns:a16="http://schemas.microsoft.com/office/drawing/2014/main" id="{00000000-0008-0000-1600-000018000000}"/>
            </a:ext>
          </a:extLst>
        </xdr:cNvPr>
        <xdr:cNvSpPr txBox="1"/>
      </xdr:nvSpPr>
      <xdr:spPr>
        <a:xfrm>
          <a:off x="19379334" y="14751049"/>
          <a:ext cx="4516485" cy="1052514"/>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87A5A50-91E7-41DD-9D93-498CEEF9164E}" type="TxLink">
            <a:rPr lang="en-US" sz="1000" b="1" i="0" u="none" strike="noStrike">
              <a:solidFill>
                <a:srgbClr val="17375E"/>
              </a:solidFill>
              <a:latin typeface="Calibri"/>
              <a:cs typeface="Calibri"/>
            </a:rPr>
            <a:pPr algn="l"/>
            <a:t>2024:
Na região Grande Lisboa a remuneração média mensal base era de 1.600 euros (variação de 36,3% face a 2014, ou seja, + 425,8 euros) e de 1.936 euros a remuneração média mensal ganho (variação de 36,2% face a 2014, ou seja , + 514,4 euros).</a:t>
          </a:fld>
          <a:endParaRPr lang="pt-PT" sz="1000" b="1">
            <a:solidFill>
              <a:srgbClr val="17375E"/>
            </a:solidFill>
            <a:latin typeface="+mn-lt"/>
          </a:endParaRPr>
        </a:p>
      </xdr:txBody>
    </xdr:sp>
    <xdr:clientData/>
  </xdr:twoCellAnchor>
  <xdr:twoCellAnchor>
    <xdr:from>
      <xdr:col>17</xdr:col>
      <xdr:colOff>0</xdr:colOff>
      <xdr:row>78</xdr:row>
      <xdr:rowOff>0</xdr:rowOff>
    </xdr:from>
    <xdr:to>
      <xdr:col>24</xdr:col>
      <xdr:colOff>0</xdr:colOff>
      <xdr:row>93</xdr:row>
      <xdr:rowOff>158844</xdr:rowOff>
    </xdr:to>
    <xdr:grpSp>
      <xdr:nvGrpSpPr>
        <xdr:cNvPr id="25" name="Agrupar 24">
          <a:extLst>
            <a:ext uri="{FF2B5EF4-FFF2-40B4-BE49-F238E27FC236}">
              <a16:creationId xmlns:a16="http://schemas.microsoft.com/office/drawing/2014/main" id="{00000000-0008-0000-1600-000019000000}"/>
            </a:ext>
          </a:extLst>
        </xdr:cNvPr>
        <xdr:cNvGrpSpPr/>
      </xdr:nvGrpSpPr>
      <xdr:grpSpPr>
        <a:xfrm>
          <a:off x="11588750" y="12874625"/>
          <a:ext cx="4706938" cy="2921094"/>
          <a:chOff x="36182300" y="8426450"/>
          <a:chExt cx="4819650" cy="2597244"/>
        </a:xfrm>
      </xdr:grpSpPr>
      <xdr:graphicFrame macro="">
        <xdr:nvGraphicFramePr>
          <xdr:cNvPr id="26" name="Gráfico 25">
            <a:extLst>
              <a:ext uri="{FF2B5EF4-FFF2-40B4-BE49-F238E27FC236}">
                <a16:creationId xmlns:a16="http://schemas.microsoft.com/office/drawing/2014/main" id="{00000000-0008-0000-1600-00001A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27" name="CaixaDeTexto 26">
            <a:extLst>
              <a:ext uri="{FF2B5EF4-FFF2-40B4-BE49-F238E27FC236}">
                <a16:creationId xmlns:a16="http://schemas.microsoft.com/office/drawing/2014/main" id="{00000000-0008-0000-1600-00001B000000}"/>
              </a:ext>
            </a:extLst>
          </xdr:cNvPr>
          <xdr:cNvSpPr txBox="1"/>
        </xdr:nvSpPr>
        <xdr:spPr>
          <a:xfrm>
            <a:off x="39836724" y="8902700"/>
            <a:ext cx="796408"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a:t>
            </a:r>
            <a:r>
              <a:rPr lang="pt-PT" sz="800" b="1" baseline="0">
                <a:solidFill>
                  <a:schemeClr val="bg1"/>
                </a:solidFill>
                <a:latin typeface="+mn-lt"/>
                <a:ea typeface="+mn-ea"/>
                <a:cs typeface="+mn-cs"/>
              </a:rPr>
              <a:t> Base</a:t>
            </a:r>
          </a:p>
        </xdr:txBody>
      </xdr:sp>
      <xdr:sp macro="" textlink="">
        <xdr:nvSpPr>
          <xdr:cNvPr id="28" name="CaixaDeTexto 27">
            <a:extLst>
              <a:ext uri="{FF2B5EF4-FFF2-40B4-BE49-F238E27FC236}">
                <a16:creationId xmlns:a16="http://schemas.microsoft.com/office/drawing/2014/main" id="{00000000-0008-0000-1600-00001C000000}"/>
              </a:ext>
            </a:extLst>
          </xdr:cNvPr>
          <xdr:cNvSpPr txBox="1"/>
        </xdr:nvSpPr>
        <xdr:spPr>
          <a:xfrm>
            <a:off x="39833550" y="9721850"/>
            <a:ext cx="819150"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 Ganho</a:t>
            </a:r>
          </a:p>
        </xdr:txBody>
      </xdr:sp>
      <xdr:sp macro="" textlink="$AF$73">
        <xdr:nvSpPr>
          <xdr:cNvPr id="29" name="CaixaDeTexto 28">
            <a:extLst>
              <a:ext uri="{FF2B5EF4-FFF2-40B4-BE49-F238E27FC236}">
                <a16:creationId xmlns:a16="http://schemas.microsoft.com/office/drawing/2014/main" id="{00000000-0008-0000-1600-00001D000000}"/>
              </a:ext>
            </a:extLst>
          </xdr:cNvPr>
          <xdr:cNvSpPr txBox="1"/>
        </xdr:nvSpPr>
        <xdr:spPr>
          <a:xfrm>
            <a:off x="39839899" y="9994900"/>
            <a:ext cx="820800" cy="2753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63BBC7EA-1A36-477F-82BD-085858888245}" type="TxLink">
              <a:rPr lang="en-US" sz="1000" b="1" i="0" u="none" strike="noStrike">
                <a:solidFill>
                  <a:schemeClr val="bg1"/>
                </a:solidFill>
                <a:latin typeface="Arial"/>
                <a:ea typeface="+mn-ea"/>
                <a:cs typeface="Arial"/>
              </a:rPr>
              <a:pPr marL="0" indent="0" algn="ctr"/>
              <a:t>36,2%</a:t>
            </a:fld>
            <a:endParaRPr lang="pt-PT" sz="1000" b="1" i="0" u="none" strike="noStrike">
              <a:solidFill>
                <a:schemeClr val="bg1"/>
              </a:solidFill>
              <a:latin typeface="+mn-lt"/>
              <a:ea typeface="+mn-ea"/>
              <a:cs typeface="Arial"/>
            </a:endParaRPr>
          </a:p>
        </xdr:txBody>
      </xdr:sp>
      <xdr:sp macro="" textlink="$AF$72">
        <xdr:nvSpPr>
          <xdr:cNvPr id="30" name="CaixaDeTexto 29">
            <a:extLst>
              <a:ext uri="{FF2B5EF4-FFF2-40B4-BE49-F238E27FC236}">
                <a16:creationId xmlns:a16="http://schemas.microsoft.com/office/drawing/2014/main" id="{00000000-0008-0000-1600-00001E000000}"/>
              </a:ext>
            </a:extLst>
          </xdr:cNvPr>
          <xdr:cNvSpPr txBox="1"/>
        </xdr:nvSpPr>
        <xdr:spPr>
          <a:xfrm>
            <a:off x="39839901" y="9201150"/>
            <a:ext cx="797393" cy="26075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A54472D-EA9A-4C5E-A6BB-A6190384620A}" type="TxLink">
              <a:rPr lang="en-US" sz="1000" b="1" i="0" u="none" strike="noStrike">
                <a:solidFill>
                  <a:schemeClr val="bg1"/>
                </a:solidFill>
                <a:latin typeface="Arial"/>
                <a:cs typeface="Arial"/>
              </a:rPr>
              <a:pPr algn="ctr"/>
              <a:t>36,3%</a:t>
            </a:fld>
            <a:endParaRPr lang="pt-PT" sz="1000" b="1">
              <a:solidFill>
                <a:schemeClr val="bg1"/>
              </a:solidFill>
              <a:latin typeface="+mn-lt"/>
            </a:endParaRPr>
          </a:p>
        </xdr:txBody>
      </xdr:sp>
    </xdr:grpSp>
    <xdr:clientData/>
  </xdr:twoCellAnchor>
  <mc:AlternateContent xmlns:mc="http://schemas.openxmlformats.org/markup-compatibility/2006">
    <mc:Choice xmlns:a14="http://schemas.microsoft.com/office/drawing/2010/main" Requires="a14">
      <xdr:twoCellAnchor editAs="oneCell">
        <xdr:from>
          <xdr:col>43</xdr:col>
          <xdr:colOff>9525</xdr:colOff>
          <xdr:row>1</xdr:row>
          <xdr:rowOff>0</xdr:rowOff>
        </xdr:from>
        <xdr:to>
          <xdr:col>43</xdr:col>
          <xdr:colOff>638175</xdr:colOff>
          <xdr:row>2</xdr:row>
          <xdr:rowOff>19050</xdr:rowOff>
        </xdr:to>
        <xdr:sp macro="" textlink="">
          <xdr:nvSpPr>
            <xdr:cNvPr id="286722" name="Drop Down 2" hidden="1">
              <a:extLst>
                <a:ext uri="{63B3BB69-23CF-44E3-9099-C40C66FF867C}">
                  <a14:compatExt spid="_x0000_s286722"/>
                </a:ext>
                <a:ext uri="{FF2B5EF4-FFF2-40B4-BE49-F238E27FC236}">
                  <a16:creationId xmlns:a16="http://schemas.microsoft.com/office/drawing/2014/main" id="{00000000-0008-0000-1600-0000026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41</xdr:col>
      <xdr:colOff>435924</xdr:colOff>
      <xdr:row>44</xdr:row>
      <xdr:rowOff>16327</xdr:rowOff>
    </xdr:from>
    <xdr:to>
      <xdr:col>49</xdr:col>
      <xdr:colOff>29830</xdr:colOff>
      <xdr:row>72</xdr:row>
      <xdr:rowOff>55789</xdr:rowOff>
    </xdr:to>
    <xdr:grpSp>
      <xdr:nvGrpSpPr>
        <xdr:cNvPr id="21" name="Agrupar 20">
          <a:extLst>
            <a:ext uri="{FF2B5EF4-FFF2-40B4-BE49-F238E27FC236}">
              <a16:creationId xmlns:a16="http://schemas.microsoft.com/office/drawing/2014/main" id="{00000000-0008-0000-1600-000015000000}"/>
            </a:ext>
          </a:extLst>
        </xdr:cNvPr>
        <xdr:cNvGrpSpPr/>
      </xdr:nvGrpSpPr>
      <xdr:grpSpPr>
        <a:xfrm>
          <a:off x="28526737" y="7493452"/>
          <a:ext cx="7023406" cy="4484462"/>
          <a:chOff x="28561888" y="7200898"/>
          <a:chExt cx="5383746" cy="4611462"/>
        </a:xfrm>
      </xdr:grpSpPr>
      <xdr:grpSp>
        <xdr:nvGrpSpPr>
          <xdr:cNvPr id="63" name="Agrupar 62">
            <a:extLst>
              <a:ext uri="{FF2B5EF4-FFF2-40B4-BE49-F238E27FC236}">
                <a16:creationId xmlns:a16="http://schemas.microsoft.com/office/drawing/2014/main" id="{00000000-0008-0000-1600-00003F000000}"/>
              </a:ext>
            </a:extLst>
          </xdr:cNvPr>
          <xdr:cNvGrpSpPr/>
        </xdr:nvGrpSpPr>
        <xdr:grpSpPr>
          <a:xfrm>
            <a:off x="30577059" y="7200898"/>
            <a:ext cx="3368575" cy="4368645"/>
            <a:chOff x="30803162" y="7231324"/>
            <a:chExt cx="3364246" cy="4315203"/>
          </a:xfrm>
          <a:solidFill>
            <a:schemeClr val="bg1"/>
          </a:solidFill>
        </xdr:grpSpPr>
        <xdr:grpSp>
          <xdr:nvGrpSpPr>
            <xdr:cNvPr id="39" name="Agrupar 38">
              <a:extLst>
                <a:ext uri="{FF2B5EF4-FFF2-40B4-BE49-F238E27FC236}">
                  <a16:creationId xmlns:a16="http://schemas.microsoft.com/office/drawing/2014/main" id="{00000000-0008-0000-1600-000027000000}"/>
                </a:ext>
              </a:extLst>
            </xdr:cNvPr>
            <xdr:cNvGrpSpPr/>
          </xdr:nvGrpSpPr>
          <xdr:grpSpPr>
            <a:xfrm>
              <a:off x="30803162" y="7422149"/>
              <a:ext cx="3364246" cy="4124378"/>
              <a:chOff x="14530245" y="132576"/>
              <a:chExt cx="5450221" cy="7645400"/>
            </a:xfrm>
            <a:grpFill/>
          </xdr:grpSpPr>
          <xdr:pic>
            <xdr:nvPicPr>
              <xdr:cNvPr id="40" name="Imagem 39" descr="2024">
                <a:extLst>
                  <a:ext uri="{FF2B5EF4-FFF2-40B4-BE49-F238E27FC236}">
                    <a16:creationId xmlns:a16="http://schemas.microsoft.com/office/drawing/2014/main" id="{00000000-0008-0000-1600-000028000000}"/>
                  </a:ext>
                </a:extLst>
              </xdr:cNvPr>
              <xdr:cNvPicPr>
                <a:picLocks noChangeAspect="1" noChangeArrowheads="1"/>
              </xdr:cNvPicPr>
            </xdr:nvPicPr>
            <xdr:blipFill>
              <a:blip xmlns:r="http://schemas.openxmlformats.org/officeDocument/2006/relationships" r:embed="rId4">
                <a:biLevel thresh="25000"/>
                <a:extLst>
                  <a:ext uri="{28A0092B-C50C-407E-A947-70E740481C1C}">
                    <a14:useLocalDpi xmlns:a14="http://schemas.microsoft.com/office/drawing/2010/main" val="0"/>
                  </a:ext>
                </a:extLst>
              </a:blip>
              <a:srcRect/>
              <a:stretch>
                <a:fillRect/>
              </a:stretch>
            </xdr:blipFill>
            <xdr:spPr bwMode="auto">
              <a:xfrm>
                <a:off x="14530245" y="132576"/>
                <a:ext cx="5450221" cy="7645400"/>
              </a:xfrm>
              <a:prstGeom prst="rect">
                <a:avLst/>
              </a:prstGeom>
              <a:grpFill/>
              <a:extLst/>
            </xdr:spPr>
          </xdr:pic>
          <xdr:sp macro="" textlink="">
            <xdr:nvSpPr>
              <xdr:cNvPr id="41" name="Retângulo 40">
                <a:extLst>
                  <a:ext uri="{FF2B5EF4-FFF2-40B4-BE49-F238E27FC236}">
                    <a16:creationId xmlns:a16="http://schemas.microsoft.com/office/drawing/2014/main" id="{00000000-0008-0000-1600-000029000000}"/>
                  </a:ext>
                </a:extLst>
              </xdr:cNvPr>
              <xdr:cNvSpPr/>
            </xdr:nvSpPr>
            <xdr:spPr>
              <a:xfrm>
                <a:off x="14723711" y="830833"/>
                <a:ext cx="1838325" cy="158115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42" name="Retângulo 41">
                <a:extLst>
                  <a:ext uri="{FF2B5EF4-FFF2-40B4-BE49-F238E27FC236}">
                    <a16:creationId xmlns:a16="http://schemas.microsoft.com/office/drawing/2014/main" id="{00000000-0008-0000-1600-00002A000000}"/>
                  </a:ext>
                </a:extLst>
              </xdr:cNvPr>
              <xdr:cNvSpPr/>
            </xdr:nvSpPr>
            <xdr:spPr>
              <a:xfrm>
                <a:off x="14825594" y="6227848"/>
                <a:ext cx="1465935" cy="134144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aphicFrame macro="">
          <xdr:nvGraphicFramePr>
            <xdr:cNvPr id="2" name="Gráfico 1">
              <a:extLst>
                <a:ext uri="{FF2B5EF4-FFF2-40B4-BE49-F238E27FC236}">
                  <a16:creationId xmlns:a16="http://schemas.microsoft.com/office/drawing/2014/main" id="{00000000-0008-0000-1600-000002000000}"/>
                </a:ext>
              </a:extLst>
            </xdr:cNvPr>
            <xdr:cNvGraphicFramePr/>
          </xdr:nvGraphicFramePr>
          <xdr:xfrm>
            <a:off x="32114942" y="7231324"/>
            <a:ext cx="756000" cy="1194648"/>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43" name="Gráfico 42">
              <a:extLst>
                <a:ext uri="{FF2B5EF4-FFF2-40B4-BE49-F238E27FC236}">
                  <a16:creationId xmlns:a16="http://schemas.microsoft.com/office/drawing/2014/main" id="{00000000-0008-0000-1600-00002B000000}"/>
                </a:ext>
              </a:extLst>
            </xdr:cNvPr>
            <xdr:cNvGraphicFramePr>
              <a:graphicFrameLocks/>
            </xdr:cNvGraphicFramePr>
          </xdr:nvGraphicFramePr>
          <xdr:xfrm>
            <a:off x="32867357" y="7811507"/>
            <a:ext cx="756000" cy="1265757"/>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44" name="Gráfico 43">
              <a:extLst>
                <a:ext uri="{FF2B5EF4-FFF2-40B4-BE49-F238E27FC236}">
                  <a16:creationId xmlns:a16="http://schemas.microsoft.com/office/drawing/2014/main" id="{00000000-0008-0000-1600-00002C000000}"/>
                </a:ext>
              </a:extLst>
            </xdr:cNvPr>
            <xdr:cNvGraphicFramePr>
              <a:graphicFrameLocks/>
            </xdr:cNvGraphicFramePr>
          </xdr:nvGraphicFramePr>
          <xdr:xfrm>
            <a:off x="31544838" y="7564654"/>
            <a:ext cx="756000" cy="2258034"/>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45" name="Gráfico 44">
              <a:extLst>
                <a:ext uri="{FF2B5EF4-FFF2-40B4-BE49-F238E27FC236}">
                  <a16:creationId xmlns:a16="http://schemas.microsoft.com/office/drawing/2014/main" id="{00000000-0008-0000-1600-00002D000000}"/>
                </a:ext>
              </a:extLst>
            </xdr:cNvPr>
            <xdr:cNvGraphicFramePr>
              <a:graphicFrameLocks/>
            </xdr:cNvGraphicFramePr>
          </xdr:nvGraphicFramePr>
          <xdr:xfrm>
            <a:off x="31913459" y="7880509"/>
            <a:ext cx="708375" cy="255373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6" name="Gráfico 45">
              <a:extLst>
                <a:ext uri="{FF2B5EF4-FFF2-40B4-BE49-F238E27FC236}">
                  <a16:creationId xmlns:a16="http://schemas.microsoft.com/office/drawing/2014/main" id="{00000000-0008-0000-1600-00002E000000}"/>
                </a:ext>
              </a:extLst>
            </xdr:cNvPr>
            <xdr:cNvGraphicFramePr>
              <a:graphicFrameLocks/>
            </xdr:cNvGraphicFramePr>
          </xdr:nvGraphicFramePr>
          <xdr:xfrm>
            <a:off x="30880757" y="9132749"/>
            <a:ext cx="756000" cy="1170944"/>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47" name="Gráfico 46">
              <a:extLst>
                <a:ext uri="{FF2B5EF4-FFF2-40B4-BE49-F238E27FC236}">
                  <a16:creationId xmlns:a16="http://schemas.microsoft.com/office/drawing/2014/main" id="{00000000-0008-0000-1600-00002F000000}"/>
                </a:ext>
              </a:extLst>
            </xdr:cNvPr>
            <xdr:cNvGraphicFramePr>
              <a:graphicFrameLocks/>
            </xdr:cNvGraphicFramePr>
          </xdr:nvGraphicFramePr>
          <xdr:xfrm>
            <a:off x="32786969" y="8115722"/>
            <a:ext cx="756000" cy="2641093"/>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48" name="Gráfico 47">
              <a:extLst>
                <a:ext uri="{FF2B5EF4-FFF2-40B4-BE49-F238E27FC236}">
                  <a16:creationId xmlns:a16="http://schemas.microsoft.com/office/drawing/2014/main" id="{00000000-0008-0000-1600-000030000000}"/>
                </a:ext>
              </a:extLst>
            </xdr:cNvPr>
            <xdr:cNvGraphicFramePr>
              <a:graphicFrameLocks/>
            </xdr:cNvGraphicFramePr>
          </xdr:nvGraphicFramePr>
          <xdr:xfrm>
            <a:off x="32748992" y="9238020"/>
            <a:ext cx="756000" cy="2216038"/>
          </xdr:xfrm>
          <a:graphic>
            <a:graphicData uri="http://schemas.openxmlformats.org/drawingml/2006/chart">
              <c:chart xmlns:c="http://schemas.openxmlformats.org/drawingml/2006/chart" xmlns:r="http://schemas.openxmlformats.org/officeDocument/2006/relationships" r:id="rId11"/>
            </a:graphicData>
          </a:graphic>
        </xdr:graphicFrame>
      </xdr:grpSp>
      <xdr:graphicFrame macro="">
        <xdr:nvGraphicFramePr>
          <xdr:cNvPr id="34" name="Gráfico 33">
            <a:extLst>
              <a:ext uri="{FF2B5EF4-FFF2-40B4-BE49-F238E27FC236}">
                <a16:creationId xmlns:a16="http://schemas.microsoft.com/office/drawing/2014/main" id="{00000000-0008-0000-1600-000022000000}"/>
              </a:ext>
            </a:extLst>
          </xdr:cNvPr>
          <xdr:cNvGraphicFramePr/>
        </xdr:nvGraphicFramePr>
        <xdr:xfrm>
          <a:off x="28561888" y="7335610"/>
          <a:ext cx="2902775" cy="447675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mc:AlternateContent xmlns:mc="http://schemas.openxmlformats.org/markup-compatibility/2006">
    <mc:Choice xmlns:a14="http://schemas.microsoft.com/office/drawing/2010/main" Requires="a14">
      <xdr:twoCellAnchor editAs="oneCell">
        <xdr:from>
          <xdr:col>64</xdr:col>
          <xdr:colOff>9525</xdr:colOff>
          <xdr:row>1</xdr:row>
          <xdr:rowOff>0</xdr:rowOff>
        </xdr:from>
        <xdr:to>
          <xdr:col>65</xdr:col>
          <xdr:colOff>28575</xdr:colOff>
          <xdr:row>2</xdr:row>
          <xdr:rowOff>19050</xdr:rowOff>
        </xdr:to>
        <xdr:sp macro="" textlink="">
          <xdr:nvSpPr>
            <xdr:cNvPr id="286723" name="Drop Down 3" hidden="1">
              <a:extLst>
                <a:ext uri="{63B3BB69-23CF-44E3-9099-C40C66FF867C}">
                  <a14:compatExt spid="_x0000_s286723"/>
                </a:ext>
                <a:ext uri="{FF2B5EF4-FFF2-40B4-BE49-F238E27FC236}">
                  <a16:creationId xmlns:a16="http://schemas.microsoft.com/office/drawing/2014/main" id="{00000000-0008-0000-1600-0000036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64</xdr:col>
      <xdr:colOff>0</xdr:colOff>
      <xdr:row>45</xdr:row>
      <xdr:rowOff>39687</xdr:rowOff>
    </xdr:from>
    <xdr:to>
      <xdr:col>70</xdr:col>
      <xdr:colOff>512314</xdr:colOff>
      <xdr:row>71</xdr:row>
      <xdr:rowOff>127101</xdr:rowOff>
    </xdr:to>
    <xdr:grpSp>
      <xdr:nvGrpSpPr>
        <xdr:cNvPr id="22" name="Agrupar 21">
          <a:extLst>
            <a:ext uri="{FF2B5EF4-FFF2-40B4-BE49-F238E27FC236}">
              <a16:creationId xmlns:a16="http://schemas.microsoft.com/office/drawing/2014/main" id="{00000000-0008-0000-1600-000016000000}"/>
            </a:ext>
          </a:extLst>
        </xdr:cNvPr>
        <xdr:cNvGrpSpPr/>
      </xdr:nvGrpSpPr>
      <xdr:grpSpPr>
        <a:xfrm>
          <a:off x="45307250" y="7675562"/>
          <a:ext cx="4893814" cy="4214914"/>
          <a:chOff x="39003020" y="7293427"/>
          <a:chExt cx="5501187" cy="4790952"/>
        </a:xfrm>
      </xdr:grpSpPr>
      <xdr:grpSp>
        <xdr:nvGrpSpPr>
          <xdr:cNvPr id="68" name="Agrupar 67">
            <a:extLst>
              <a:ext uri="{FF2B5EF4-FFF2-40B4-BE49-F238E27FC236}">
                <a16:creationId xmlns:a16="http://schemas.microsoft.com/office/drawing/2014/main" id="{00000000-0008-0000-1600-000044000000}"/>
              </a:ext>
            </a:extLst>
          </xdr:cNvPr>
          <xdr:cNvGrpSpPr/>
        </xdr:nvGrpSpPr>
        <xdr:grpSpPr>
          <a:xfrm>
            <a:off x="41118314" y="7293427"/>
            <a:ext cx="3385893" cy="4579553"/>
            <a:chOff x="31000212" y="7178848"/>
            <a:chExt cx="3364246" cy="4522247"/>
          </a:xfrm>
          <a:solidFill>
            <a:schemeClr val="bg1"/>
          </a:solidFill>
        </xdr:grpSpPr>
        <xdr:grpSp>
          <xdr:nvGrpSpPr>
            <xdr:cNvPr id="69" name="Agrupar 68">
              <a:extLst>
                <a:ext uri="{FF2B5EF4-FFF2-40B4-BE49-F238E27FC236}">
                  <a16:creationId xmlns:a16="http://schemas.microsoft.com/office/drawing/2014/main" id="{00000000-0008-0000-1600-000045000000}"/>
                </a:ext>
              </a:extLst>
            </xdr:cNvPr>
            <xdr:cNvGrpSpPr/>
          </xdr:nvGrpSpPr>
          <xdr:grpSpPr>
            <a:xfrm>
              <a:off x="31000212" y="7576717"/>
              <a:ext cx="3364246" cy="4124378"/>
              <a:chOff x="14849475" y="419100"/>
              <a:chExt cx="5450221" cy="7645400"/>
            </a:xfrm>
            <a:grpFill/>
          </xdr:grpSpPr>
          <xdr:pic>
            <xdr:nvPicPr>
              <xdr:cNvPr id="77" name="Imagem 76" descr="2024">
                <a:extLst>
                  <a:ext uri="{FF2B5EF4-FFF2-40B4-BE49-F238E27FC236}">
                    <a16:creationId xmlns:a16="http://schemas.microsoft.com/office/drawing/2014/main" id="{00000000-0008-0000-1600-00004D000000}"/>
                  </a:ext>
                </a:extLst>
              </xdr:cNvPr>
              <xdr:cNvPicPr>
                <a:picLocks noChangeAspect="1" noChangeArrowheads="1"/>
              </xdr:cNvPicPr>
            </xdr:nvPicPr>
            <xdr:blipFill>
              <a:blip xmlns:r="http://schemas.openxmlformats.org/officeDocument/2006/relationships" r:embed="rId13" cstate="print">
                <a:biLevel thresh="25000"/>
                <a:extLst>
                  <a:ext uri="{BEBA8EAE-BF5A-486C-A8C5-ECC9F3942E4B}">
                    <a14:imgProps xmlns:a14="http://schemas.microsoft.com/office/drawing/2010/main">
                      <a14:imgLayer r:embed="rId14">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14849475" y="419100"/>
                <a:ext cx="5450221" cy="7645400"/>
              </a:xfrm>
              <a:prstGeom prst="rect">
                <a:avLst/>
              </a:prstGeom>
              <a:grpFill/>
              <a:extLst/>
            </xdr:spPr>
          </xdr:pic>
          <xdr:sp macro="" textlink="">
            <xdr:nvSpPr>
              <xdr:cNvPr id="78" name="Retângulo 77">
                <a:extLst>
                  <a:ext uri="{FF2B5EF4-FFF2-40B4-BE49-F238E27FC236}">
                    <a16:creationId xmlns:a16="http://schemas.microsoft.com/office/drawing/2014/main" id="{00000000-0008-0000-1600-00004E000000}"/>
                  </a:ext>
                </a:extLst>
              </xdr:cNvPr>
              <xdr:cNvSpPr/>
            </xdr:nvSpPr>
            <xdr:spPr>
              <a:xfrm>
                <a:off x="15020925" y="1104900"/>
                <a:ext cx="1838325" cy="15811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79" name="Retângulo 78">
                <a:extLst>
                  <a:ext uri="{FF2B5EF4-FFF2-40B4-BE49-F238E27FC236}">
                    <a16:creationId xmlns:a16="http://schemas.microsoft.com/office/drawing/2014/main" id="{00000000-0008-0000-1600-00004F000000}"/>
                  </a:ext>
                </a:extLst>
              </xdr:cNvPr>
              <xdr:cNvSpPr/>
            </xdr:nvSpPr>
            <xdr:spPr>
              <a:xfrm>
                <a:off x="15111800" y="6477001"/>
                <a:ext cx="1465936" cy="1341442"/>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aphicFrame macro="">
          <xdr:nvGraphicFramePr>
            <xdr:cNvPr id="70" name="Gráfico 69">
              <a:extLst>
                <a:ext uri="{FF2B5EF4-FFF2-40B4-BE49-F238E27FC236}">
                  <a16:creationId xmlns:a16="http://schemas.microsoft.com/office/drawing/2014/main" id="{00000000-0008-0000-1600-000046000000}"/>
                </a:ext>
              </a:extLst>
            </xdr:cNvPr>
            <xdr:cNvGraphicFramePr/>
          </xdr:nvGraphicFramePr>
          <xdr:xfrm>
            <a:off x="32373041" y="7521486"/>
            <a:ext cx="756000" cy="1038904"/>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71" name="Gráfico 70">
              <a:extLst>
                <a:ext uri="{FF2B5EF4-FFF2-40B4-BE49-F238E27FC236}">
                  <a16:creationId xmlns:a16="http://schemas.microsoft.com/office/drawing/2014/main" id="{00000000-0008-0000-1600-000047000000}"/>
                </a:ext>
              </a:extLst>
            </xdr:cNvPr>
            <xdr:cNvGraphicFramePr>
              <a:graphicFrameLocks/>
            </xdr:cNvGraphicFramePr>
          </xdr:nvGraphicFramePr>
          <xdr:xfrm>
            <a:off x="33071132" y="7972866"/>
            <a:ext cx="756000" cy="1265757"/>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72" name="Gráfico 71">
              <a:extLst>
                <a:ext uri="{FF2B5EF4-FFF2-40B4-BE49-F238E27FC236}">
                  <a16:creationId xmlns:a16="http://schemas.microsoft.com/office/drawing/2014/main" id="{00000000-0008-0000-1600-000048000000}"/>
                </a:ext>
              </a:extLst>
            </xdr:cNvPr>
            <xdr:cNvGraphicFramePr>
              <a:graphicFrameLocks/>
            </xdr:cNvGraphicFramePr>
          </xdr:nvGraphicFramePr>
          <xdr:xfrm>
            <a:off x="31742236" y="7541644"/>
            <a:ext cx="756000" cy="2384470"/>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73" name="Gráfico 72">
              <a:extLst>
                <a:ext uri="{FF2B5EF4-FFF2-40B4-BE49-F238E27FC236}">
                  <a16:creationId xmlns:a16="http://schemas.microsoft.com/office/drawing/2014/main" id="{00000000-0008-0000-1600-000049000000}"/>
                </a:ext>
              </a:extLst>
            </xdr:cNvPr>
            <xdr:cNvGraphicFramePr>
              <a:graphicFrameLocks/>
            </xdr:cNvGraphicFramePr>
          </xdr:nvGraphicFramePr>
          <xdr:xfrm>
            <a:off x="32076536" y="7676012"/>
            <a:ext cx="708375" cy="296791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74" name="Gráfico 73">
              <a:extLst>
                <a:ext uri="{FF2B5EF4-FFF2-40B4-BE49-F238E27FC236}">
                  <a16:creationId xmlns:a16="http://schemas.microsoft.com/office/drawing/2014/main" id="{00000000-0008-0000-1600-00004A000000}"/>
                </a:ext>
              </a:extLst>
            </xdr:cNvPr>
            <xdr:cNvGraphicFramePr>
              <a:graphicFrameLocks/>
            </xdr:cNvGraphicFramePr>
          </xdr:nvGraphicFramePr>
          <xdr:xfrm>
            <a:off x="31104987" y="9273876"/>
            <a:ext cx="756000" cy="1170944"/>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75" name="Gráfico 74">
              <a:extLst>
                <a:ext uri="{FF2B5EF4-FFF2-40B4-BE49-F238E27FC236}">
                  <a16:creationId xmlns:a16="http://schemas.microsoft.com/office/drawing/2014/main" id="{00000000-0008-0000-1600-00004B000000}"/>
                </a:ext>
              </a:extLst>
            </xdr:cNvPr>
            <xdr:cNvGraphicFramePr>
              <a:graphicFrameLocks/>
            </xdr:cNvGraphicFramePr>
          </xdr:nvGraphicFramePr>
          <xdr:xfrm>
            <a:off x="32922727" y="7178848"/>
            <a:ext cx="756000" cy="3654826"/>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76" name="Gráfico 75">
              <a:extLst>
                <a:ext uri="{FF2B5EF4-FFF2-40B4-BE49-F238E27FC236}">
                  <a16:creationId xmlns:a16="http://schemas.microsoft.com/office/drawing/2014/main" id="{00000000-0008-0000-1600-00004C000000}"/>
                </a:ext>
              </a:extLst>
            </xdr:cNvPr>
            <xdr:cNvGraphicFramePr>
              <a:graphicFrameLocks/>
            </xdr:cNvGraphicFramePr>
          </xdr:nvGraphicFramePr>
          <xdr:xfrm>
            <a:off x="32952837" y="8502381"/>
            <a:ext cx="756000" cy="3146566"/>
          </xdr:xfrm>
          <a:graphic>
            <a:graphicData uri="http://schemas.openxmlformats.org/drawingml/2006/chart">
              <c:chart xmlns:c="http://schemas.openxmlformats.org/drawingml/2006/chart" xmlns:r="http://schemas.openxmlformats.org/officeDocument/2006/relationships" r:id="rId21"/>
            </a:graphicData>
          </a:graphic>
        </xdr:graphicFrame>
      </xdr:grpSp>
      <xdr:graphicFrame macro="">
        <xdr:nvGraphicFramePr>
          <xdr:cNvPr id="67" name="Gráfico 66">
            <a:extLst>
              <a:ext uri="{FF2B5EF4-FFF2-40B4-BE49-F238E27FC236}">
                <a16:creationId xmlns:a16="http://schemas.microsoft.com/office/drawing/2014/main" id="{00000000-0008-0000-1600-000043000000}"/>
              </a:ext>
            </a:extLst>
          </xdr:cNvPr>
          <xdr:cNvGraphicFramePr>
            <a:graphicFrameLocks/>
          </xdr:cNvGraphicFramePr>
        </xdr:nvGraphicFramePr>
        <xdr:xfrm>
          <a:off x="39003020" y="7606393"/>
          <a:ext cx="2913290" cy="4477986"/>
        </xdr:xfrm>
        <a:graphic>
          <a:graphicData uri="http://schemas.openxmlformats.org/drawingml/2006/chart">
            <c:chart xmlns:c="http://schemas.openxmlformats.org/drawingml/2006/chart" xmlns:r="http://schemas.openxmlformats.org/officeDocument/2006/relationships" r:id="rId22"/>
          </a:graphicData>
        </a:graphic>
      </xdr:graphicFrame>
    </xdr:grpSp>
    <xdr:clientData/>
  </xdr:twoCellAnchor>
  <mc:AlternateContent xmlns:mc="http://schemas.openxmlformats.org/markup-compatibility/2006">
    <mc:Choice xmlns:a14="http://schemas.microsoft.com/office/drawing/2010/main" Requires="a14">
      <xdr:twoCellAnchor editAs="oneCell">
        <xdr:from>
          <xdr:col>84</xdr:col>
          <xdr:colOff>9525</xdr:colOff>
          <xdr:row>1</xdr:row>
          <xdr:rowOff>0</xdr:rowOff>
        </xdr:from>
        <xdr:to>
          <xdr:col>85</xdr:col>
          <xdr:colOff>28575</xdr:colOff>
          <xdr:row>2</xdr:row>
          <xdr:rowOff>19050</xdr:rowOff>
        </xdr:to>
        <xdr:sp macro="" textlink="">
          <xdr:nvSpPr>
            <xdr:cNvPr id="286724" name="Drop Down 4" hidden="1">
              <a:extLst>
                <a:ext uri="{63B3BB69-23CF-44E3-9099-C40C66FF867C}">
                  <a14:compatExt spid="_x0000_s286724"/>
                </a:ext>
                <a:ext uri="{FF2B5EF4-FFF2-40B4-BE49-F238E27FC236}">
                  <a16:creationId xmlns:a16="http://schemas.microsoft.com/office/drawing/2014/main" id="{00000000-0008-0000-1600-0000046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83</xdr:col>
      <xdr:colOff>388938</xdr:colOff>
      <xdr:row>45</xdr:row>
      <xdr:rowOff>36739</xdr:rowOff>
    </xdr:from>
    <xdr:to>
      <xdr:col>92</xdr:col>
      <xdr:colOff>467161</xdr:colOff>
      <xdr:row>71</xdr:row>
      <xdr:rowOff>127000</xdr:rowOff>
    </xdr:to>
    <xdr:grpSp>
      <xdr:nvGrpSpPr>
        <xdr:cNvPr id="23" name="Agrupar 22">
          <a:extLst>
            <a:ext uri="{FF2B5EF4-FFF2-40B4-BE49-F238E27FC236}">
              <a16:creationId xmlns:a16="http://schemas.microsoft.com/office/drawing/2014/main" id="{00000000-0008-0000-1600-000017000000}"/>
            </a:ext>
          </a:extLst>
        </xdr:cNvPr>
        <xdr:cNvGrpSpPr/>
      </xdr:nvGrpSpPr>
      <xdr:grpSpPr>
        <a:xfrm>
          <a:off x="58205688" y="7672614"/>
          <a:ext cx="5578911" cy="4217761"/>
          <a:chOff x="48482250" y="7384596"/>
          <a:chExt cx="5787554" cy="4690258"/>
        </a:xfrm>
      </xdr:grpSpPr>
      <xdr:grpSp>
        <xdr:nvGrpSpPr>
          <xdr:cNvPr id="82" name="Agrupar 81">
            <a:extLst>
              <a:ext uri="{FF2B5EF4-FFF2-40B4-BE49-F238E27FC236}">
                <a16:creationId xmlns:a16="http://schemas.microsoft.com/office/drawing/2014/main" id="{00000000-0008-0000-1600-000052000000}"/>
              </a:ext>
            </a:extLst>
          </xdr:cNvPr>
          <xdr:cNvGrpSpPr/>
        </xdr:nvGrpSpPr>
        <xdr:grpSpPr>
          <a:xfrm>
            <a:off x="50879829" y="7384596"/>
            <a:ext cx="3389975" cy="4473295"/>
            <a:chOff x="31000212" y="7285159"/>
            <a:chExt cx="3364246" cy="4415936"/>
          </a:xfrm>
          <a:solidFill>
            <a:schemeClr val="bg1"/>
          </a:solidFill>
        </xdr:grpSpPr>
        <xdr:grpSp>
          <xdr:nvGrpSpPr>
            <xdr:cNvPr id="83" name="Agrupar 82">
              <a:extLst>
                <a:ext uri="{FF2B5EF4-FFF2-40B4-BE49-F238E27FC236}">
                  <a16:creationId xmlns:a16="http://schemas.microsoft.com/office/drawing/2014/main" id="{00000000-0008-0000-1600-000053000000}"/>
                </a:ext>
              </a:extLst>
            </xdr:cNvPr>
            <xdr:cNvGrpSpPr/>
          </xdr:nvGrpSpPr>
          <xdr:grpSpPr>
            <a:xfrm>
              <a:off x="31000212" y="7576717"/>
              <a:ext cx="3364246" cy="4124378"/>
              <a:chOff x="14849475" y="419100"/>
              <a:chExt cx="5450221" cy="7645400"/>
            </a:xfrm>
            <a:grpFill/>
          </xdr:grpSpPr>
          <xdr:pic>
            <xdr:nvPicPr>
              <xdr:cNvPr id="91" name="Imagem 90" descr="2024">
                <a:extLst>
                  <a:ext uri="{FF2B5EF4-FFF2-40B4-BE49-F238E27FC236}">
                    <a16:creationId xmlns:a16="http://schemas.microsoft.com/office/drawing/2014/main" id="{00000000-0008-0000-1600-00005B000000}"/>
                  </a:ext>
                </a:extLst>
              </xdr:cNvPr>
              <xdr:cNvPicPr>
                <a:picLocks noChangeAspect="1" noChangeArrowheads="1"/>
              </xdr:cNvPicPr>
            </xdr:nvPicPr>
            <xdr:blipFill>
              <a:blip xmlns:r="http://schemas.openxmlformats.org/officeDocument/2006/relationships" r:embed="rId13" cstate="print">
                <a:biLevel thresh="25000"/>
                <a:extLst>
                  <a:ext uri="{BEBA8EAE-BF5A-486C-A8C5-ECC9F3942E4B}">
                    <a14:imgProps xmlns:a14="http://schemas.microsoft.com/office/drawing/2010/main">
                      <a14:imgLayer r:embed="rId14">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14849475" y="419100"/>
                <a:ext cx="5450221" cy="7645400"/>
              </a:xfrm>
              <a:prstGeom prst="rect">
                <a:avLst/>
              </a:prstGeom>
              <a:grpFill/>
              <a:extLst/>
            </xdr:spPr>
          </xdr:pic>
          <xdr:sp macro="" textlink="">
            <xdr:nvSpPr>
              <xdr:cNvPr id="92" name="Retângulo 91">
                <a:extLst>
                  <a:ext uri="{FF2B5EF4-FFF2-40B4-BE49-F238E27FC236}">
                    <a16:creationId xmlns:a16="http://schemas.microsoft.com/office/drawing/2014/main" id="{00000000-0008-0000-1600-00005C000000}"/>
                  </a:ext>
                </a:extLst>
              </xdr:cNvPr>
              <xdr:cNvSpPr/>
            </xdr:nvSpPr>
            <xdr:spPr>
              <a:xfrm>
                <a:off x="15020925" y="1104900"/>
                <a:ext cx="1838325" cy="15811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93" name="Retângulo 92">
                <a:extLst>
                  <a:ext uri="{FF2B5EF4-FFF2-40B4-BE49-F238E27FC236}">
                    <a16:creationId xmlns:a16="http://schemas.microsoft.com/office/drawing/2014/main" id="{00000000-0008-0000-1600-00005D000000}"/>
                  </a:ext>
                </a:extLst>
              </xdr:cNvPr>
              <xdr:cNvSpPr/>
            </xdr:nvSpPr>
            <xdr:spPr>
              <a:xfrm>
                <a:off x="15111800" y="6477001"/>
                <a:ext cx="1465936" cy="1341442"/>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aphicFrame macro="">
          <xdr:nvGraphicFramePr>
            <xdr:cNvPr id="84" name="Gráfico 83">
              <a:extLst>
                <a:ext uri="{FF2B5EF4-FFF2-40B4-BE49-F238E27FC236}">
                  <a16:creationId xmlns:a16="http://schemas.microsoft.com/office/drawing/2014/main" id="{00000000-0008-0000-1600-000054000000}"/>
                </a:ext>
              </a:extLst>
            </xdr:cNvPr>
            <xdr:cNvGraphicFramePr/>
          </xdr:nvGraphicFramePr>
          <xdr:xfrm>
            <a:off x="32339257" y="7285159"/>
            <a:ext cx="756000" cy="1194648"/>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5" name="Gráfico 84">
              <a:extLst>
                <a:ext uri="{FF2B5EF4-FFF2-40B4-BE49-F238E27FC236}">
                  <a16:creationId xmlns:a16="http://schemas.microsoft.com/office/drawing/2014/main" id="{00000000-0008-0000-1600-000055000000}"/>
                </a:ext>
              </a:extLst>
            </xdr:cNvPr>
            <xdr:cNvGraphicFramePr>
              <a:graphicFrameLocks/>
            </xdr:cNvGraphicFramePr>
          </xdr:nvGraphicFramePr>
          <xdr:xfrm>
            <a:off x="33064364" y="8013242"/>
            <a:ext cx="756000" cy="1265757"/>
          </xdr:xfrm>
          <a:graphic>
            <a:graphicData uri="http://schemas.openxmlformats.org/drawingml/2006/chart">
              <c:chart xmlns:c="http://schemas.openxmlformats.org/drawingml/2006/chart" xmlns:r="http://schemas.openxmlformats.org/officeDocument/2006/relationships" r:id="rId24"/>
            </a:graphicData>
          </a:graphic>
        </xdr:graphicFrame>
        <xdr:graphicFrame macro="">
          <xdr:nvGraphicFramePr>
            <xdr:cNvPr id="86" name="Gráfico 85">
              <a:extLst>
                <a:ext uri="{FF2B5EF4-FFF2-40B4-BE49-F238E27FC236}">
                  <a16:creationId xmlns:a16="http://schemas.microsoft.com/office/drawing/2014/main" id="{00000000-0008-0000-1600-000056000000}"/>
                </a:ext>
              </a:extLst>
            </xdr:cNvPr>
            <xdr:cNvGraphicFramePr>
              <a:graphicFrameLocks/>
            </xdr:cNvGraphicFramePr>
          </xdr:nvGraphicFramePr>
          <xdr:xfrm>
            <a:off x="31742318" y="8755169"/>
            <a:ext cx="756000" cy="1170945"/>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87" name="Gráfico 86">
              <a:extLst>
                <a:ext uri="{FF2B5EF4-FFF2-40B4-BE49-F238E27FC236}">
                  <a16:creationId xmlns:a16="http://schemas.microsoft.com/office/drawing/2014/main" id="{00000000-0008-0000-1600-000057000000}"/>
                </a:ext>
              </a:extLst>
            </xdr:cNvPr>
            <xdr:cNvGraphicFramePr>
              <a:graphicFrameLocks/>
            </xdr:cNvGraphicFramePr>
          </xdr:nvGraphicFramePr>
          <xdr:xfrm>
            <a:off x="32076536" y="9700927"/>
            <a:ext cx="708375" cy="895985"/>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88" name="Gráfico 87">
              <a:extLst>
                <a:ext uri="{FF2B5EF4-FFF2-40B4-BE49-F238E27FC236}">
                  <a16:creationId xmlns:a16="http://schemas.microsoft.com/office/drawing/2014/main" id="{00000000-0008-0000-1600-000058000000}"/>
                </a:ext>
              </a:extLst>
            </xdr:cNvPr>
            <xdr:cNvGraphicFramePr>
              <a:graphicFrameLocks/>
            </xdr:cNvGraphicFramePr>
          </xdr:nvGraphicFramePr>
          <xdr:xfrm>
            <a:off x="31104987" y="9273876"/>
            <a:ext cx="756000" cy="1170944"/>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89" name="Gráfico 88">
              <a:extLst>
                <a:ext uri="{FF2B5EF4-FFF2-40B4-BE49-F238E27FC236}">
                  <a16:creationId xmlns:a16="http://schemas.microsoft.com/office/drawing/2014/main" id="{00000000-0008-0000-1600-000059000000}"/>
                </a:ext>
              </a:extLst>
            </xdr:cNvPr>
            <xdr:cNvGraphicFramePr>
              <a:graphicFrameLocks/>
            </xdr:cNvGraphicFramePr>
          </xdr:nvGraphicFramePr>
          <xdr:xfrm>
            <a:off x="32895687" y="9941216"/>
            <a:ext cx="756000" cy="878117"/>
          </xdr:xfrm>
          <a:graphic>
            <a:graphicData uri="http://schemas.openxmlformats.org/drawingml/2006/chart">
              <c:chart xmlns:c="http://schemas.openxmlformats.org/drawingml/2006/chart" xmlns:r="http://schemas.openxmlformats.org/officeDocument/2006/relationships" r:id="rId28"/>
            </a:graphicData>
          </a:graphic>
        </xdr:graphicFrame>
        <xdr:graphicFrame macro="">
          <xdr:nvGraphicFramePr>
            <xdr:cNvPr id="90" name="Gráfico 89">
              <a:extLst>
                <a:ext uri="{FF2B5EF4-FFF2-40B4-BE49-F238E27FC236}">
                  <a16:creationId xmlns:a16="http://schemas.microsoft.com/office/drawing/2014/main" id="{00000000-0008-0000-1600-00005A000000}"/>
                </a:ext>
              </a:extLst>
            </xdr:cNvPr>
            <xdr:cNvGraphicFramePr>
              <a:graphicFrameLocks/>
            </xdr:cNvGraphicFramePr>
          </xdr:nvGraphicFramePr>
          <xdr:xfrm>
            <a:off x="32952837" y="10861631"/>
            <a:ext cx="756000" cy="787316"/>
          </xdr:xfrm>
          <a:graphic>
            <a:graphicData uri="http://schemas.openxmlformats.org/drawingml/2006/chart">
              <c:chart xmlns:c="http://schemas.openxmlformats.org/drawingml/2006/chart" xmlns:r="http://schemas.openxmlformats.org/officeDocument/2006/relationships" r:id="rId29"/>
            </a:graphicData>
          </a:graphic>
        </xdr:graphicFrame>
      </xdr:grpSp>
      <xdr:graphicFrame macro="">
        <xdr:nvGraphicFramePr>
          <xdr:cNvPr id="81" name="Gráfico 80">
            <a:extLst>
              <a:ext uri="{FF2B5EF4-FFF2-40B4-BE49-F238E27FC236}">
                <a16:creationId xmlns:a16="http://schemas.microsoft.com/office/drawing/2014/main" id="{00000000-0008-0000-1600-000051000000}"/>
              </a:ext>
            </a:extLst>
          </xdr:cNvPr>
          <xdr:cNvGraphicFramePr>
            <a:graphicFrameLocks/>
          </xdr:cNvGraphicFramePr>
        </xdr:nvGraphicFramePr>
        <xdr:xfrm>
          <a:off x="48482250" y="7596868"/>
          <a:ext cx="3042557" cy="4477986"/>
        </xdr:xfrm>
        <a:graphic>
          <a:graphicData uri="http://schemas.openxmlformats.org/drawingml/2006/chart">
            <c:chart xmlns:c="http://schemas.openxmlformats.org/drawingml/2006/chart" xmlns:r="http://schemas.openxmlformats.org/officeDocument/2006/relationships" r:id="rId30"/>
          </a:graphicData>
        </a:graphic>
      </xdr:graphicFrame>
    </xdr:grpSp>
    <xdr:clientData/>
  </xdr:twoCellAnchor>
  <xdr:twoCellAnchor>
    <xdr:from>
      <xdr:col>39</xdr:col>
      <xdr:colOff>489858</xdr:colOff>
      <xdr:row>41</xdr:row>
      <xdr:rowOff>115661</xdr:rowOff>
    </xdr:from>
    <xdr:to>
      <xdr:col>42</xdr:col>
      <xdr:colOff>135038</xdr:colOff>
      <xdr:row>45</xdr:row>
      <xdr:rowOff>12242</xdr:rowOff>
    </xdr:to>
    <xdr:graphicFrame macro="">
      <xdr:nvGraphicFramePr>
        <xdr:cNvPr id="99" name="Gráfico 98">
          <a:extLst>
            <a:ext uri="{FF2B5EF4-FFF2-40B4-BE49-F238E27FC236}">
              <a16:creationId xmlns:a16="http://schemas.microsoft.com/office/drawing/2014/main" id="{00000000-0008-0000-16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66</xdr:col>
      <xdr:colOff>322036</xdr:colOff>
      <xdr:row>44</xdr:row>
      <xdr:rowOff>107722</xdr:rowOff>
    </xdr:from>
    <xdr:to>
      <xdr:col>68</xdr:col>
      <xdr:colOff>318508</xdr:colOff>
      <xdr:row>48</xdr:row>
      <xdr:rowOff>7478</xdr:rowOff>
    </xdr:to>
    <xdr:graphicFrame macro="">
      <xdr:nvGraphicFramePr>
        <xdr:cNvPr id="101" name="Gráfico 100">
          <a:extLst>
            <a:ext uri="{FF2B5EF4-FFF2-40B4-BE49-F238E27FC236}">
              <a16:creationId xmlns:a16="http://schemas.microsoft.com/office/drawing/2014/main" id="{00000000-0008-0000-16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87</xdr:col>
      <xdr:colOff>190500</xdr:colOff>
      <xdr:row>44</xdr:row>
      <xdr:rowOff>122466</xdr:rowOff>
    </xdr:from>
    <xdr:to>
      <xdr:col>89</xdr:col>
      <xdr:colOff>453445</xdr:colOff>
      <xdr:row>48</xdr:row>
      <xdr:rowOff>17005</xdr:rowOff>
    </xdr:to>
    <xdr:graphicFrame macro="">
      <xdr:nvGraphicFramePr>
        <xdr:cNvPr id="103" name="Gráfico 102">
          <a:extLst>
            <a:ext uri="{FF2B5EF4-FFF2-40B4-BE49-F238E27FC236}">
              <a16:creationId xmlns:a16="http://schemas.microsoft.com/office/drawing/2014/main" id="{00000000-0008-0000-16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45</xdr:col>
      <xdr:colOff>836839</xdr:colOff>
      <xdr:row>90</xdr:row>
      <xdr:rowOff>156484</xdr:rowOff>
    </xdr:from>
    <xdr:to>
      <xdr:col>47</xdr:col>
      <xdr:colOff>605518</xdr:colOff>
      <xdr:row>96</xdr:row>
      <xdr:rowOff>122467</xdr:rowOff>
    </xdr:to>
    <xdr:sp macro="" textlink="$AW$92">
      <xdr:nvSpPr>
        <xdr:cNvPr id="104" name="CaixaDeTexto 103">
          <a:extLst>
            <a:ext uri="{FF2B5EF4-FFF2-40B4-BE49-F238E27FC236}">
              <a16:creationId xmlns:a16="http://schemas.microsoft.com/office/drawing/2014/main" id="{00000000-0008-0000-1600-000068000000}"/>
            </a:ext>
          </a:extLst>
        </xdr:cNvPr>
        <xdr:cNvSpPr txBox="1"/>
      </xdr:nvSpPr>
      <xdr:spPr>
        <a:xfrm>
          <a:off x="32963303" y="15716252"/>
          <a:ext cx="1381126" cy="945697"/>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9CDB704-0720-45C6-8ADE-75E4044624AF}" type="TxLink">
            <a:rPr lang="en-US" sz="600" b="0" i="0" u="none" strike="noStrike">
              <a:solidFill>
                <a:srgbClr val="000000"/>
              </a:solidFill>
              <a:latin typeface="Calibri"/>
              <a:cs typeface="Calibri"/>
            </a:rPr>
            <a:pPr algn="l"/>
            <a:t>EMPRESAS
NUTS II Grande Lisboa: 59.232 (20,5% do Continente; 2ª região de 7)
Esta NUTS II coincide com a NUTS III.</a:t>
          </a:fld>
          <a:endParaRPr lang="pt-PT" sz="600" b="1">
            <a:solidFill>
              <a:srgbClr val="19375E"/>
            </a:solidFill>
            <a:latin typeface="+mn-lt"/>
          </a:endParaRPr>
        </a:p>
      </xdr:txBody>
    </xdr:sp>
    <xdr:clientData/>
  </xdr:twoCellAnchor>
  <xdr:twoCellAnchor>
    <xdr:from>
      <xdr:col>45</xdr:col>
      <xdr:colOff>544287</xdr:colOff>
      <xdr:row>110</xdr:row>
      <xdr:rowOff>163285</xdr:rowOff>
    </xdr:from>
    <xdr:to>
      <xdr:col>47</xdr:col>
      <xdr:colOff>312964</xdr:colOff>
      <xdr:row>116</xdr:row>
      <xdr:rowOff>129269</xdr:rowOff>
    </xdr:to>
    <xdr:sp macro="" textlink="$AW$112">
      <xdr:nvSpPr>
        <xdr:cNvPr id="105" name="CaixaDeTexto 104">
          <a:extLst>
            <a:ext uri="{FF2B5EF4-FFF2-40B4-BE49-F238E27FC236}">
              <a16:creationId xmlns:a16="http://schemas.microsoft.com/office/drawing/2014/main" id="{00000000-0008-0000-1600-000069000000}"/>
            </a:ext>
          </a:extLst>
        </xdr:cNvPr>
        <xdr:cNvSpPr txBox="1"/>
      </xdr:nvSpPr>
      <xdr:spPr>
        <a:xfrm>
          <a:off x="32670751" y="18988767"/>
          <a:ext cx="1381124" cy="945698"/>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7B1DBB8-9A93-4C5B-866C-5C67171F9CDB}" type="TxLink">
            <a:rPr lang="en-US" sz="600" b="0" i="0" u="none" strike="noStrike">
              <a:solidFill>
                <a:srgbClr val="000000"/>
              </a:solidFill>
              <a:latin typeface="Calibri"/>
              <a:cs typeface="Calibri"/>
            </a:rPr>
            <a:pPr algn="l"/>
            <a:t>ESTABELECIMENTOS
NUTS II Grande Lisboa: 69.821 (20,7% do Continente; 2ª região de 7)
Esta NUTS II coincide com a NUTS III.</a:t>
          </a:fld>
          <a:endParaRPr lang="pt-PT" sz="600" b="1">
            <a:solidFill>
              <a:srgbClr val="19375E"/>
            </a:solidFill>
            <a:latin typeface="+mn-lt"/>
          </a:endParaRPr>
        </a:p>
      </xdr:txBody>
    </xdr:sp>
    <xdr:clientData/>
  </xdr:twoCellAnchor>
  <xdr:twoCellAnchor>
    <xdr:from>
      <xdr:col>74</xdr:col>
      <xdr:colOff>171676</xdr:colOff>
      <xdr:row>84</xdr:row>
      <xdr:rowOff>77109</xdr:rowOff>
    </xdr:from>
    <xdr:to>
      <xdr:col>79</xdr:col>
      <xdr:colOff>87312</xdr:colOff>
      <xdr:row>90</xdr:row>
      <xdr:rowOff>43092</xdr:rowOff>
    </xdr:to>
    <xdr:sp macro="" textlink="$BS$92">
      <xdr:nvSpPr>
        <xdr:cNvPr id="80" name="CaixaDeTexto 79">
          <a:extLst>
            <a:ext uri="{FF2B5EF4-FFF2-40B4-BE49-F238E27FC236}">
              <a16:creationId xmlns:a16="http://schemas.microsoft.com/office/drawing/2014/main" id="{00000000-0008-0000-1600-000050000000}"/>
            </a:ext>
          </a:extLst>
        </xdr:cNvPr>
        <xdr:cNvSpPr txBox="1"/>
      </xdr:nvSpPr>
      <xdr:spPr>
        <a:xfrm>
          <a:off x="52487739" y="14285234"/>
          <a:ext cx="2971573" cy="91848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ED59423E-B8BF-4A94-9E6A-D8F2F253D56E}" type="TxLink">
            <a:rPr lang="en-US" sz="800" b="0" i="0" u="none" strike="noStrike">
              <a:solidFill>
                <a:srgbClr val="000000"/>
              </a:solidFill>
              <a:latin typeface="Calibri"/>
              <a:cs typeface="Calibri"/>
            </a:rPr>
            <a:pPr algn="l"/>
            <a:t>PESSOAS AO SERVIÇO
NUTS II Grande Lisboa: 996.445 (28,1% do Continente; 2ª região de 7)
Esta NUTS II coincide com a NUTS III.</a:t>
          </a:fld>
          <a:endParaRPr lang="pt-PT" sz="800" b="1">
            <a:solidFill>
              <a:srgbClr val="19375E"/>
            </a:solidFill>
            <a:latin typeface="+mn-lt"/>
          </a:endParaRPr>
        </a:p>
      </xdr:txBody>
    </xdr:sp>
    <xdr:clientData/>
  </xdr:twoCellAnchor>
  <xdr:twoCellAnchor>
    <xdr:from>
      <xdr:col>68</xdr:col>
      <xdr:colOff>349249</xdr:colOff>
      <xdr:row>114</xdr:row>
      <xdr:rowOff>0</xdr:rowOff>
    </xdr:from>
    <xdr:to>
      <xdr:col>72</xdr:col>
      <xdr:colOff>436562</xdr:colOff>
      <xdr:row>119</xdr:row>
      <xdr:rowOff>124733</xdr:rowOff>
    </xdr:to>
    <xdr:sp macro="" textlink="$BS$112">
      <xdr:nvSpPr>
        <xdr:cNvPr id="94" name="CaixaDeTexto 93">
          <a:extLst>
            <a:ext uri="{FF2B5EF4-FFF2-40B4-BE49-F238E27FC236}">
              <a16:creationId xmlns:a16="http://schemas.microsoft.com/office/drawing/2014/main" id="{00000000-0008-0000-1600-00005E000000}"/>
            </a:ext>
          </a:extLst>
        </xdr:cNvPr>
        <xdr:cNvSpPr txBox="1"/>
      </xdr:nvSpPr>
      <xdr:spPr>
        <a:xfrm>
          <a:off x="48577499" y="18970625"/>
          <a:ext cx="2952751" cy="91848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BBF6DBB-3390-4591-A2F4-679CCB309DB4}" type="TxLink">
            <a:rPr lang="en-US" sz="800" b="0" i="0" u="none" strike="noStrike">
              <a:solidFill>
                <a:srgbClr val="000000"/>
              </a:solidFill>
              <a:latin typeface="Calibri"/>
              <a:cs typeface="Calibri"/>
            </a:rPr>
            <a:pPr algn="l"/>
            <a:t>TCO
NUTS II Grande Lisboa: 956.374 (28,5% do Continente; 2ª região de 7)
Esta NUTS II coincide com a NUTS III.</a:t>
          </a:fld>
          <a:endParaRPr lang="pt-PT" sz="800" b="1">
            <a:solidFill>
              <a:srgbClr val="19375E"/>
            </a:solidFill>
            <a:latin typeface="+mn-lt"/>
          </a:endParaRPr>
        </a:p>
      </xdr:txBody>
    </xdr:sp>
    <xdr:clientData/>
  </xdr:twoCellAnchor>
  <xdr:twoCellAnchor>
    <xdr:from>
      <xdr:col>94</xdr:col>
      <xdr:colOff>55562</xdr:colOff>
      <xdr:row>80</xdr:row>
      <xdr:rowOff>63500</xdr:rowOff>
    </xdr:from>
    <xdr:to>
      <xdr:col>98</xdr:col>
      <xdr:colOff>582385</xdr:colOff>
      <xdr:row>85</xdr:row>
      <xdr:rowOff>119063</xdr:rowOff>
    </xdr:to>
    <xdr:sp macro="" textlink="$CM$92">
      <xdr:nvSpPr>
        <xdr:cNvPr id="95" name="CaixaDeTexto 94">
          <a:extLst>
            <a:ext uri="{FF2B5EF4-FFF2-40B4-BE49-F238E27FC236}">
              <a16:creationId xmlns:a16="http://schemas.microsoft.com/office/drawing/2014/main" id="{00000000-0008-0000-1600-00005F000000}"/>
            </a:ext>
          </a:extLst>
        </xdr:cNvPr>
        <xdr:cNvSpPr txBox="1"/>
      </xdr:nvSpPr>
      <xdr:spPr>
        <a:xfrm>
          <a:off x="64595375" y="13255625"/>
          <a:ext cx="2971573" cy="123031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9412C77-8EF1-4DCC-A19F-0279A943E6B1}" type="TxLink">
            <a:rPr lang="en-US" sz="1000" b="0" i="0" u="none" strike="noStrike">
              <a:solidFill>
                <a:srgbClr val="000000"/>
              </a:solidFill>
              <a:latin typeface="Calibri"/>
              <a:cs typeface="Calibri"/>
            </a:rPr>
            <a:pPr algn="l"/>
            <a:t>REMUNERAÇÃO BASE
NUTS II Grande Lisboa: 1.600 euros (22,2% que no Continente; 1ª região de 7)
Esta NUTS II coincide com a NUTS III.</a:t>
          </a:fld>
          <a:endParaRPr lang="pt-PT" sz="800" b="1">
            <a:solidFill>
              <a:srgbClr val="19375E"/>
            </a:solidFill>
            <a:latin typeface="+mn-lt"/>
          </a:endParaRPr>
        </a:p>
      </xdr:txBody>
    </xdr:sp>
    <xdr:clientData/>
  </xdr:twoCellAnchor>
  <xdr:twoCellAnchor>
    <xdr:from>
      <xdr:col>95</xdr:col>
      <xdr:colOff>87312</xdr:colOff>
      <xdr:row>103</xdr:row>
      <xdr:rowOff>63500</xdr:rowOff>
    </xdr:from>
    <xdr:to>
      <xdr:col>100</xdr:col>
      <xdr:colOff>515937</xdr:colOff>
      <xdr:row>111</xdr:row>
      <xdr:rowOff>23813</xdr:rowOff>
    </xdr:to>
    <xdr:sp macro="" textlink="$CM$112">
      <xdr:nvSpPr>
        <xdr:cNvPr id="96" name="CaixaDeTexto 95">
          <a:extLst>
            <a:ext uri="{FF2B5EF4-FFF2-40B4-BE49-F238E27FC236}">
              <a16:creationId xmlns:a16="http://schemas.microsoft.com/office/drawing/2014/main" id="{00000000-0008-0000-1600-000060000000}"/>
            </a:ext>
          </a:extLst>
        </xdr:cNvPr>
        <xdr:cNvSpPr txBox="1"/>
      </xdr:nvSpPr>
      <xdr:spPr>
        <a:xfrm>
          <a:off x="65238312" y="17287875"/>
          <a:ext cx="3484563" cy="123031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3674056-EFF6-46A6-A515-0293399AB118}" type="TxLink">
            <a:rPr lang="en-US" sz="1000" b="0" i="0" u="none" strike="noStrike">
              <a:solidFill>
                <a:srgbClr val="000000"/>
              </a:solidFill>
              <a:latin typeface="Calibri"/>
              <a:cs typeface="Calibri"/>
            </a:rPr>
            <a:pPr algn="l"/>
            <a:t>REMUNERAÇÃO GANHO
NUTS II Grande Lisboa: 1.936 euros (22,3% que no Continente; 1ª região de 7)
Esta NUTS II coincide com a NUTS III.</a:t>
          </a:fld>
          <a:endParaRPr lang="pt-PT" sz="800" b="1">
            <a:solidFill>
              <a:srgbClr val="19375E"/>
            </a:solidFill>
            <a:latin typeface="+mn-lt"/>
          </a:endParaRPr>
        </a:p>
      </xdr:txBody>
    </xdr:sp>
    <xdr:clientData/>
  </xdr:twoCellAnchor>
  <xdr:twoCellAnchor>
    <xdr:from>
      <xdr:col>97</xdr:col>
      <xdr:colOff>247942</xdr:colOff>
      <xdr:row>56</xdr:row>
      <xdr:rowOff>9900</xdr:rowOff>
    </xdr:from>
    <xdr:to>
      <xdr:col>97</xdr:col>
      <xdr:colOff>479262</xdr:colOff>
      <xdr:row>56</xdr:row>
      <xdr:rowOff>151364</xdr:rowOff>
    </xdr:to>
    <xdr:pic>
      <xdr:nvPicPr>
        <xdr:cNvPr id="112" name="Imagem 111">
          <a:extLst>
            <a:ext uri="{FF2B5EF4-FFF2-40B4-BE49-F238E27FC236}">
              <a16:creationId xmlns:a16="http://schemas.microsoft.com/office/drawing/2014/main" id="{00000000-0008-0000-1600-000070000000}"/>
            </a:ext>
          </a:extLst>
        </xdr:cNvPr>
        <xdr:cNvPicPr>
          <a:picLocks noChangeAspect="1"/>
        </xdr:cNvPicPr>
      </xdr:nvPicPr>
      <xdr:blipFill>
        <a:blip xmlns:r="http://schemas.openxmlformats.org/officeDocument/2006/relationships" r:embed="rId34">
          <a:extLst>
            <a:ext uri="{BEBA8EAE-BF5A-486C-A8C5-ECC9F3942E4B}">
              <a14:imgProps xmlns:a14="http://schemas.microsoft.com/office/drawing/2010/main">
                <a14:imgLayer r:embed="rId35">
                  <a14:imgEffect>
                    <a14:brightnessContrast bright="57000"/>
                  </a14:imgEffect>
                </a14:imgLayer>
              </a14:imgProps>
            </a:ext>
          </a:extLst>
        </a:blip>
        <a:stretch>
          <a:fillRect/>
        </a:stretch>
      </xdr:blipFill>
      <xdr:spPr>
        <a:xfrm>
          <a:off x="69785734" y="9519025"/>
          <a:ext cx="231320" cy="141464"/>
        </a:xfrm>
        <a:prstGeom prst="rect">
          <a:avLst/>
        </a:prstGeom>
      </xdr:spPr>
    </xdr:pic>
    <xdr:clientData/>
  </xdr:twoCellAnchor>
  <xdr:twoCellAnchor>
    <xdr:from>
      <xdr:col>97</xdr:col>
      <xdr:colOff>461783</xdr:colOff>
      <xdr:row>56</xdr:row>
      <xdr:rowOff>21358</xdr:rowOff>
    </xdr:from>
    <xdr:to>
      <xdr:col>98</xdr:col>
      <xdr:colOff>668</xdr:colOff>
      <xdr:row>57</xdr:row>
      <xdr:rowOff>1526</xdr:rowOff>
    </xdr:to>
    <xdr:pic>
      <xdr:nvPicPr>
        <xdr:cNvPr id="113" name="Imagem 112">
          <a:extLst>
            <a:ext uri="{FF2B5EF4-FFF2-40B4-BE49-F238E27FC236}">
              <a16:creationId xmlns:a16="http://schemas.microsoft.com/office/drawing/2014/main" id="{00000000-0008-0000-1600-000071000000}"/>
            </a:ext>
          </a:extLst>
        </xdr:cNvPr>
        <xdr:cNvPicPr>
          <a:picLocks noChangeAspect="1"/>
        </xdr:cNvPicPr>
      </xdr:nvPicPr>
      <xdr:blipFill>
        <a:blip xmlns:r="http://schemas.openxmlformats.org/officeDocument/2006/relationships" r:embed="rId36">
          <a:extLst>
            <a:ext uri="{BEBA8EAE-BF5A-486C-A8C5-ECC9F3942E4B}">
              <a14:imgProps xmlns:a14="http://schemas.microsoft.com/office/drawing/2010/main">
                <a14:imgLayer r:embed="rId37">
                  <a14:imgEffect>
                    <a14:brightnessContrast bright="64000"/>
                  </a14:imgEffect>
                </a14:imgLayer>
              </a14:imgProps>
            </a:ext>
          </a:extLst>
        </a:blip>
        <a:stretch>
          <a:fillRect/>
        </a:stretch>
      </xdr:blipFill>
      <xdr:spPr>
        <a:xfrm>
          <a:off x="69999575" y="9530483"/>
          <a:ext cx="179176" cy="144210"/>
        </a:xfrm>
        <a:prstGeom prst="rect">
          <a:avLst/>
        </a:prstGeom>
      </xdr:spPr>
    </xdr:pic>
    <xdr:clientData/>
  </xdr:twoCellAnchor>
  <xdr:twoCellAnchor>
    <xdr:from>
      <xdr:col>96</xdr:col>
      <xdr:colOff>297560</xdr:colOff>
      <xdr:row>62</xdr:row>
      <xdr:rowOff>120935</xdr:rowOff>
    </xdr:from>
    <xdr:to>
      <xdr:col>96</xdr:col>
      <xdr:colOff>423135</xdr:colOff>
      <xdr:row>63</xdr:row>
      <xdr:rowOff>18506</xdr:rowOff>
    </xdr:to>
    <xdr:pic>
      <xdr:nvPicPr>
        <xdr:cNvPr id="120" name="Imagem 119">
          <a:extLst>
            <a:ext uri="{FF2B5EF4-FFF2-40B4-BE49-F238E27FC236}">
              <a16:creationId xmlns:a16="http://schemas.microsoft.com/office/drawing/2014/main" id="{00000000-0008-0000-1600-000078000000}"/>
            </a:ext>
          </a:extLst>
        </xdr:cNvPr>
        <xdr:cNvPicPr>
          <a:picLocks noChangeAspect="1"/>
        </xdr:cNvPicPr>
      </xdr:nvPicPr>
      <xdr:blipFill>
        <a:blip xmlns:r="http://schemas.openxmlformats.org/officeDocument/2006/relationships" r:embed="rId38"/>
        <a:stretch>
          <a:fillRect/>
        </a:stretch>
      </xdr:blipFill>
      <xdr:spPr>
        <a:xfrm>
          <a:off x="69195060" y="10614310"/>
          <a:ext cx="125575" cy="61613"/>
        </a:xfrm>
        <a:prstGeom prst="rect">
          <a:avLst/>
        </a:prstGeom>
      </xdr:spPr>
    </xdr:pic>
    <xdr:clientData/>
  </xdr:twoCellAnchor>
  <xdr:twoCellAnchor>
    <xdr:from>
      <xdr:col>95</xdr:col>
      <xdr:colOff>405398</xdr:colOff>
      <xdr:row>65</xdr:row>
      <xdr:rowOff>19301</xdr:rowOff>
    </xdr:from>
    <xdr:to>
      <xdr:col>96</xdr:col>
      <xdr:colOff>290401</xdr:colOff>
      <xdr:row>65</xdr:row>
      <xdr:rowOff>151496</xdr:rowOff>
    </xdr:to>
    <xdr:sp macro="" textlink="">
      <xdr:nvSpPr>
        <xdr:cNvPr id="122" name="CaixaDeTexto 121">
          <a:extLst>
            <a:ext uri="{FF2B5EF4-FFF2-40B4-BE49-F238E27FC236}">
              <a16:creationId xmlns:a16="http://schemas.microsoft.com/office/drawing/2014/main" id="{00000000-0008-0000-1600-00007A000000}"/>
            </a:ext>
          </a:extLst>
        </xdr:cNvPr>
        <xdr:cNvSpPr txBox="1"/>
      </xdr:nvSpPr>
      <xdr:spPr>
        <a:xfrm>
          <a:off x="68662606" y="11004801"/>
          <a:ext cx="525295" cy="1321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pt-PT" sz="1100"/>
        </a:p>
      </xdr:txBody>
    </xdr:sp>
    <xdr:clientData/>
  </xdr:twoCellAnchor>
  <xdr:twoCellAnchor>
    <xdr:from>
      <xdr:col>97</xdr:col>
      <xdr:colOff>228497</xdr:colOff>
      <xdr:row>64</xdr:row>
      <xdr:rowOff>93031</xdr:rowOff>
    </xdr:from>
    <xdr:to>
      <xdr:col>97</xdr:col>
      <xdr:colOff>612358</xdr:colOff>
      <xdr:row>65</xdr:row>
      <xdr:rowOff>72680</xdr:rowOff>
    </xdr:to>
    <xdr:pic>
      <xdr:nvPicPr>
        <xdr:cNvPr id="123" name="Imagem 122">
          <a:extLst>
            <a:ext uri="{FF2B5EF4-FFF2-40B4-BE49-F238E27FC236}">
              <a16:creationId xmlns:a16="http://schemas.microsoft.com/office/drawing/2014/main" id="{00000000-0008-0000-1600-00007B000000}"/>
            </a:ext>
          </a:extLst>
        </xdr:cNvPr>
        <xdr:cNvPicPr>
          <a:picLocks noChangeAspect="1"/>
        </xdr:cNvPicPr>
      </xdr:nvPicPr>
      <xdr:blipFill>
        <a:blip xmlns:r="http://schemas.openxmlformats.org/officeDocument/2006/relationships" r:embed="rId39">
          <a:extLst>
            <a:ext uri="{BEBA8EAE-BF5A-486C-A8C5-ECC9F3942E4B}">
              <a14:imgProps xmlns:a14="http://schemas.microsoft.com/office/drawing/2010/main">
                <a14:imgLayer r:embed="rId40">
                  <a14:imgEffect>
                    <a14:brightnessContrast bright="53000"/>
                  </a14:imgEffect>
                </a14:imgLayer>
              </a14:imgProps>
            </a:ext>
          </a:extLst>
        </a:blip>
        <a:stretch>
          <a:fillRect/>
        </a:stretch>
      </xdr:blipFill>
      <xdr:spPr>
        <a:xfrm>
          <a:off x="69766289" y="10914489"/>
          <a:ext cx="383861" cy="143691"/>
        </a:xfrm>
        <a:prstGeom prst="rect">
          <a:avLst/>
        </a:prstGeom>
      </xdr:spPr>
    </xdr:pic>
    <xdr:clientData/>
  </xdr:twoCellAnchor>
  <xdr:twoCellAnchor>
    <xdr:from>
      <xdr:col>97</xdr:col>
      <xdr:colOff>128359</xdr:colOff>
      <xdr:row>68</xdr:row>
      <xdr:rowOff>6339</xdr:rowOff>
    </xdr:from>
    <xdr:to>
      <xdr:col>97</xdr:col>
      <xdr:colOff>582605</xdr:colOff>
      <xdr:row>68</xdr:row>
      <xdr:rowOff>94335</xdr:rowOff>
    </xdr:to>
    <xdr:pic>
      <xdr:nvPicPr>
        <xdr:cNvPr id="124" name="Imagem 123">
          <a:extLst>
            <a:ext uri="{FF2B5EF4-FFF2-40B4-BE49-F238E27FC236}">
              <a16:creationId xmlns:a16="http://schemas.microsoft.com/office/drawing/2014/main" id="{00000000-0008-0000-1600-00007C000000}"/>
            </a:ext>
          </a:extLst>
        </xdr:cNvPr>
        <xdr:cNvPicPr>
          <a:picLocks noChangeAspect="1"/>
        </xdr:cNvPicPr>
      </xdr:nvPicPr>
      <xdr:blipFill>
        <a:blip xmlns:r="http://schemas.openxmlformats.org/officeDocument/2006/relationships" r:embed="rId41">
          <a:extLst>
            <a:ext uri="{BEBA8EAE-BF5A-486C-A8C5-ECC9F3942E4B}">
              <a14:imgProps xmlns:a14="http://schemas.microsoft.com/office/drawing/2010/main">
                <a14:imgLayer r:embed="rId42">
                  <a14:imgEffect>
                    <a14:brightnessContrast bright="53000"/>
                  </a14:imgEffect>
                </a14:imgLayer>
              </a14:imgProps>
            </a:ext>
          </a:extLst>
        </a:blip>
        <a:stretch>
          <a:fillRect/>
        </a:stretch>
      </xdr:blipFill>
      <xdr:spPr>
        <a:xfrm>
          <a:off x="69666151" y="11483964"/>
          <a:ext cx="454246" cy="87996"/>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6_Fig!$T$2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9F6455D-4342-4A1A-B4A9-581197AA6303}"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3_q7_q11_q15_q24_q36_Fig!$AD$2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5B4863-F92E-4721-A263-86A404FF0CA7}"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904728" y="-160966"/>
          <a:ext cx="300137" cy="72964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58.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6_Fig!$T$2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9F6455D-4342-4A1A-B4A9-581197AA6303}"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3_q7_q11_q15_q24_q36_Fig!$AD$2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5B4863-F92E-4721-A263-86A404FF0CA7}"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0.73834</cdr:x>
      <cdr:y>0.02071</cdr:y>
    </cdr:from>
    <cdr:to>
      <cdr:x>0.917</cdr:x>
      <cdr:y>0.132</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742587" y="-221896"/>
          <a:ext cx="288000" cy="838973"/>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59.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6_Fig!$T$10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2363ABA-4DF2-4BB4-B35C-BE4C0AECD3C3}"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0.52969</cdr:x>
      <cdr:y>0.02092</cdr:y>
    </cdr:from>
    <cdr:to>
      <cdr:x>0.63426</cdr:x>
      <cdr:y>0.13808</cdr:y>
    </cdr:to>
    <cdr:sp macro="" textlink="q3_q7_q11_q15_q24_q36_Fig!$AD$10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1258" y="-39796"/>
          <a:ext cx="303177" cy="49104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EBFF525-C5AC-4332-81AA-4A61089D2C43}"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904728" y="-160966"/>
          <a:ext cx="300137" cy="72964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6.xml><?xml version="1.0" encoding="utf-8"?>
<c:userShapes xmlns:c="http://schemas.openxmlformats.org/drawingml/2006/chart">
  <cdr:relSizeAnchor xmlns:cdr="http://schemas.openxmlformats.org/drawingml/2006/chartDrawing">
    <cdr:from>
      <cdr:x>0.08648</cdr:x>
      <cdr:y>0.01534</cdr:y>
    </cdr:from>
    <cdr:to>
      <cdr:x>0.19105</cdr:x>
      <cdr:y>0.1325</cdr:y>
    </cdr:to>
    <cdr:sp macro="" textlink="q1_q2_q5_q6_Fig!$AT$3">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508722" y="-57031"/>
          <a:ext cx="304293" cy="498015"/>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7FB34D1-3862-4D9C-B9CC-D21B7A6E728F}"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0.52082</cdr:x>
      <cdr:y>0.0087</cdr:y>
    </cdr:from>
    <cdr:to>
      <cdr:x>0.62539</cdr:x>
      <cdr:y>0.12586</cdr:y>
    </cdr:to>
    <cdr:sp macro="" textlink="q1_q2_q5_q6_Fig!$BD$3">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77282" y="-74277"/>
          <a:ext cx="304293" cy="498015"/>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283FF92-6EE7-49B8-8960-61FB6312F779}"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0.70592</cdr:x>
      <cdr:y>0.02061</cdr:y>
    </cdr:from>
    <cdr:to>
      <cdr:x>0.89226</cdr:x>
      <cdr:y>0.13617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829867" y="-208723"/>
          <a:ext cx="383567" cy="937812"/>
        </a:xfrm>
        <a:prstGeom xmlns:a="http://schemas.openxmlformats.org/drawingml/2006/main" prst="homePlate">
          <a:avLst>
            <a:gd name="adj" fmla="val 50000"/>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1000" b="1">
              <a:solidFill>
                <a:schemeClr val="bg1"/>
              </a:solidFill>
            </a:rPr>
            <a:t>VARIAÇÃO</a:t>
          </a:r>
        </a:p>
      </cdr:txBody>
    </cdr:sp>
  </cdr:relSizeAnchor>
</c:userShapes>
</file>

<file path=xl/drawings/drawing6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266700</xdr:colOff>
          <xdr:row>0</xdr:row>
          <xdr:rowOff>142875</xdr:rowOff>
        </xdr:from>
        <xdr:to>
          <xdr:col>17</xdr:col>
          <xdr:colOff>942975</xdr:colOff>
          <xdr:row>2</xdr:row>
          <xdr:rowOff>19050</xdr:rowOff>
        </xdr:to>
        <xdr:sp macro="" textlink="">
          <xdr:nvSpPr>
            <xdr:cNvPr id="512001" name="Drop Down 1" hidden="1">
              <a:extLst>
                <a:ext uri="{63B3BB69-23CF-44E3-9099-C40C66FF867C}">
                  <a14:compatExt spid="_x0000_s512001"/>
                </a:ext>
                <a:ext uri="{FF2B5EF4-FFF2-40B4-BE49-F238E27FC236}">
                  <a16:creationId xmlns:a16="http://schemas.microsoft.com/office/drawing/2014/main" id="{00000000-0008-0000-1700-000001D0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314325</xdr:colOff>
      <xdr:row>10</xdr:row>
      <xdr:rowOff>95250</xdr:rowOff>
    </xdr:from>
    <xdr:to>
      <xdr:col>24</xdr:col>
      <xdr:colOff>314325</xdr:colOff>
      <xdr:row>26</xdr:row>
      <xdr:rowOff>92169</xdr:rowOff>
    </xdr:to>
    <xdr:grpSp>
      <xdr:nvGrpSpPr>
        <xdr:cNvPr id="3" name="Agrupar 2">
          <a:extLst>
            <a:ext uri="{FF2B5EF4-FFF2-40B4-BE49-F238E27FC236}">
              <a16:creationId xmlns:a16="http://schemas.microsoft.com/office/drawing/2014/main" id="{00000000-0008-0000-1700-000003000000}"/>
            </a:ext>
          </a:extLst>
        </xdr:cNvPr>
        <xdr:cNvGrpSpPr/>
      </xdr:nvGrpSpPr>
      <xdr:grpSpPr>
        <a:xfrm>
          <a:off x="11877675" y="1714500"/>
          <a:ext cx="4695825" cy="2587719"/>
          <a:chOff x="36182300" y="8426450"/>
          <a:chExt cx="4819650" cy="2597244"/>
        </a:xfrm>
      </xdr:grpSpPr>
      <xdr:graphicFrame macro="">
        <xdr:nvGraphicFramePr>
          <xdr:cNvPr id="4" name="Gráfico 3">
            <a:extLst>
              <a:ext uri="{FF2B5EF4-FFF2-40B4-BE49-F238E27FC236}">
                <a16:creationId xmlns:a16="http://schemas.microsoft.com/office/drawing/2014/main" id="{00000000-0008-0000-1700-000004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CaixaDeTexto 4">
            <a:extLst>
              <a:ext uri="{FF2B5EF4-FFF2-40B4-BE49-F238E27FC236}">
                <a16:creationId xmlns:a16="http://schemas.microsoft.com/office/drawing/2014/main" id="{00000000-0008-0000-1700-000005000000}"/>
              </a:ext>
            </a:extLst>
          </xdr:cNvPr>
          <xdr:cNvSpPr txBox="1"/>
        </xdr:nvSpPr>
        <xdr:spPr>
          <a:xfrm>
            <a:off x="39836724" y="8902700"/>
            <a:ext cx="820800"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Empresas</a:t>
            </a:r>
          </a:p>
        </xdr:txBody>
      </xdr:sp>
      <xdr:sp macro="" textlink="">
        <xdr:nvSpPr>
          <xdr:cNvPr id="6" name="CaixaDeTexto 5">
            <a:extLst>
              <a:ext uri="{FF2B5EF4-FFF2-40B4-BE49-F238E27FC236}">
                <a16:creationId xmlns:a16="http://schemas.microsoft.com/office/drawing/2014/main" id="{00000000-0008-0000-1700-000006000000}"/>
              </a:ext>
            </a:extLst>
          </xdr:cNvPr>
          <xdr:cNvSpPr txBox="1"/>
        </xdr:nvSpPr>
        <xdr:spPr>
          <a:xfrm>
            <a:off x="39833550" y="9721850"/>
            <a:ext cx="819150"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Estabelecimentos</a:t>
            </a:r>
          </a:p>
        </xdr:txBody>
      </xdr:sp>
      <xdr:sp macro="" textlink="q4_8_12_16_25_37_Fig_b!$AF$7">
        <xdr:nvSpPr>
          <xdr:cNvPr id="7" name="CaixaDeTexto 6">
            <a:extLst>
              <a:ext uri="{FF2B5EF4-FFF2-40B4-BE49-F238E27FC236}">
                <a16:creationId xmlns:a16="http://schemas.microsoft.com/office/drawing/2014/main" id="{00000000-0008-0000-1700-000007000000}"/>
              </a:ext>
            </a:extLst>
          </xdr:cNvPr>
          <xdr:cNvSpPr txBox="1"/>
        </xdr:nvSpPr>
        <xdr:spPr>
          <a:xfrm>
            <a:off x="39839899" y="9994900"/>
            <a:ext cx="820800" cy="2753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2404EAA-843D-404C-97A7-A7D9C1759CE7}" type="TxLink">
              <a:rPr lang="en-US" sz="1000" b="1" i="0" u="none" strike="noStrike">
                <a:solidFill>
                  <a:schemeClr val="bg1"/>
                </a:solidFill>
                <a:latin typeface="Arial"/>
                <a:ea typeface="+mn-ea"/>
                <a:cs typeface="Arial"/>
              </a:rPr>
              <a:pPr marL="0" indent="0" algn="ctr"/>
              <a:t>7,6%</a:t>
            </a:fld>
            <a:endParaRPr lang="pt-PT" sz="1000" b="1" i="0" u="none" strike="noStrike">
              <a:solidFill>
                <a:schemeClr val="bg1"/>
              </a:solidFill>
              <a:latin typeface="+mn-lt"/>
              <a:ea typeface="+mn-ea"/>
              <a:cs typeface="Arial"/>
            </a:endParaRPr>
          </a:p>
        </xdr:txBody>
      </xdr:sp>
      <xdr:sp macro="" textlink="q4_8_12_16_25_37_Fig_b!$AF$6">
        <xdr:nvSpPr>
          <xdr:cNvPr id="8" name="CaixaDeTexto 7">
            <a:extLst>
              <a:ext uri="{FF2B5EF4-FFF2-40B4-BE49-F238E27FC236}">
                <a16:creationId xmlns:a16="http://schemas.microsoft.com/office/drawing/2014/main" id="{00000000-0008-0000-1700-000008000000}"/>
              </a:ext>
            </a:extLst>
          </xdr:cNvPr>
          <xdr:cNvSpPr txBox="1"/>
        </xdr:nvSpPr>
        <xdr:spPr>
          <a:xfrm>
            <a:off x="39839900" y="9201150"/>
            <a:ext cx="820800" cy="281127"/>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703C2B1-8626-42A2-AC00-65574A18ADD9}" type="TxLink">
              <a:rPr lang="en-US" sz="1000" b="1" i="0" u="none" strike="noStrike">
                <a:solidFill>
                  <a:schemeClr val="bg1"/>
                </a:solidFill>
                <a:latin typeface="Arial"/>
                <a:cs typeface="Arial"/>
              </a:rPr>
              <a:pPr algn="ctr"/>
              <a:t>9,8%</a:t>
            </a:fld>
            <a:endParaRPr lang="pt-PT" sz="1000" b="1">
              <a:solidFill>
                <a:schemeClr val="bg1"/>
              </a:solidFill>
              <a:latin typeface="+mn-lt"/>
            </a:endParaRPr>
          </a:p>
        </xdr:txBody>
      </xdr:sp>
    </xdr:grpSp>
    <xdr:clientData/>
  </xdr:twoCellAnchor>
  <xdr:twoCellAnchor>
    <xdr:from>
      <xdr:col>29</xdr:col>
      <xdr:colOff>0</xdr:colOff>
      <xdr:row>20</xdr:row>
      <xdr:rowOff>0</xdr:rowOff>
    </xdr:from>
    <xdr:to>
      <xdr:col>32</xdr:col>
      <xdr:colOff>590550</xdr:colOff>
      <xdr:row>25</xdr:row>
      <xdr:rowOff>123825</xdr:rowOff>
    </xdr:to>
    <xdr:sp macro="" textlink="q4_8_12_16_25_37_Fig_b!$AD$13">
      <xdr:nvSpPr>
        <xdr:cNvPr id="9" name="CaixaDeTexto 8">
          <a:extLst>
            <a:ext uri="{FF2B5EF4-FFF2-40B4-BE49-F238E27FC236}">
              <a16:creationId xmlns:a16="http://schemas.microsoft.com/office/drawing/2014/main" id="{00000000-0008-0000-1700-000009000000}"/>
            </a:ext>
          </a:extLst>
        </xdr:cNvPr>
        <xdr:cNvSpPr txBox="1"/>
      </xdr:nvSpPr>
      <xdr:spPr>
        <a:xfrm>
          <a:off x="20294600" y="3295650"/>
          <a:ext cx="3987800" cy="1114425"/>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F135EAE7-FE7B-413D-B5FA-84BD206EC832}" type="TxLink">
            <a:rPr lang="en-US" sz="1000" b="1" i="0" u="none" strike="noStrike">
              <a:solidFill>
                <a:srgbClr val="19375E"/>
              </a:solidFill>
              <a:latin typeface="Calibri"/>
              <a:ea typeface="Calibri"/>
              <a:cs typeface="Calibri"/>
            </a:rPr>
            <a:pPr algn="l"/>
            <a:t>2024:
A região Área Metropolitana de Lisboa era a sede de 74.148 empresas (variação de 9,8% face a 2014, ou seja, mais 6.609) e era a localização de 87.949 estabelecimentos (variação de 7,6% face a 2014, ou seja, mais 6.243).</a:t>
          </a:fld>
          <a:endParaRPr lang="pt-PT" sz="1000" b="1">
            <a:solidFill>
              <a:srgbClr val="19375E"/>
            </a:solidFill>
            <a:latin typeface="+mn-lt"/>
          </a:endParaRPr>
        </a:p>
      </xdr:txBody>
    </xdr:sp>
    <xdr:clientData/>
  </xdr:twoCellAnchor>
  <xdr:twoCellAnchor>
    <xdr:from>
      <xdr:col>17</xdr:col>
      <xdr:colOff>0</xdr:colOff>
      <xdr:row>43</xdr:row>
      <xdr:rowOff>0</xdr:rowOff>
    </xdr:from>
    <xdr:to>
      <xdr:col>24</xdr:col>
      <xdr:colOff>0</xdr:colOff>
      <xdr:row>58</xdr:row>
      <xdr:rowOff>158844</xdr:rowOff>
    </xdr:to>
    <xdr:grpSp>
      <xdr:nvGrpSpPr>
        <xdr:cNvPr id="10" name="Agrupar 9">
          <a:extLst>
            <a:ext uri="{FF2B5EF4-FFF2-40B4-BE49-F238E27FC236}">
              <a16:creationId xmlns:a16="http://schemas.microsoft.com/office/drawing/2014/main" id="{00000000-0008-0000-1700-00000A000000}"/>
            </a:ext>
          </a:extLst>
        </xdr:cNvPr>
        <xdr:cNvGrpSpPr/>
      </xdr:nvGrpSpPr>
      <xdr:grpSpPr>
        <a:xfrm>
          <a:off x="11563350" y="6962775"/>
          <a:ext cx="4695825" cy="2587719"/>
          <a:chOff x="36182300" y="8426450"/>
          <a:chExt cx="4819650" cy="2597244"/>
        </a:xfrm>
      </xdr:grpSpPr>
      <xdr:graphicFrame macro="">
        <xdr:nvGraphicFramePr>
          <xdr:cNvPr id="11" name="Gráfico 10">
            <a:extLst>
              <a:ext uri="{FF2B5EF4-FFF2-40B4-BE49-F238E27FC236}">
                <a16:creationId xmlns:a16="http://schemas.microsoft.com/office/drawing/2014/main" id="{00000000-0008-0000-1700-00000B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2" name="CaixaDeTexto 11">
            <a:extLst>
              <a:ext uri="{FF2B5EF4-FFF2-40B4-BE49-F238E27FC236}">
                <a16:creationId xmlns:a16="http://schemas.microsoft.com/office/drawing/2014/main" id="{00000000-0008-0000-1700-00000C000000}"/>
              </a:ext>
            </a:extLst>
          </xdr:cNvPr>
          <xdr:cNvSpPr txBox="1"/>
        </xdr:nvSpPr>
        <xdr:spPr>
          <a:xfrm>
            <a:off x="39738963" y="8902700"/>
            <a:ext cx="920821"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Pessoas</a:t>
            </a:r>
            <a:r>
              <a:rPr lang="pt-PT" sz="800" b="1" baseline="0">
                <a:solidFill>
                  <a:schemeClr val="bg1"/>
                </a:solidFill>
                <a:latin typeface="+mn-lt"/>
                <a:ea typeface="+mn-ea"/>
                <a:cs typeface="+mn-cs"/>
              </a:rPr>
              <a:t> ao serviço</a:t>
            </a:r>
            <a:endParaRPr lang="pt-PT" sz="800" b="1">
              <a:solidFill>
                <a:schemeClr val="bg1"/>
              </a:solidFill>
              <a:latin typeface="+mn-lt"/>
              <a:ea typeface="+mn-ea"/>
              <a:cs typeface="+mn-cs"/>
            </a:endParaRPr>
          </a:p>
        </xdr:txBody>
      </xdr:sp>
      <xdr:sp macro="" textlink="">
        <xdr:nvSpPr>
          <xdr:cNvPr id="13" name="CaixaDeTexto 12">
            <a:extLst>
              <a:ext uri="{FF2B5EF4-FFF2-40B4-BE49-F238E27FC236}">
                <a16:creationId xmlns:a16="http://schemas.microsoft.com/office/drawing/2014/main" id="{00000000-0008-0000-1700-00000D000000}"/>
              </a:ext>
            </a:extLst>
          </xdr:cNvPr>
          <xdr:cNvSpPr txBox="1"/>
        </xdr:nvSpPr>
        <xdr:spPr>
          <a:xfrm>
            <a:off x="39735787" y="9721850"/>
            <a:ext cx="920037"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TCO</a:t>
            </a:r>
          </a:p>
        </xdr:txBody>
      </xdr:sp>
      <xdr:sp macro="" textlink="q4_8_12_16_25_37_Fig_b!$AF$39">
        <xdr:nvSpPr>
          <xdr:cNvPr id="14" name="CaixaDeTexto 13">
            <a:extLst>
              <a:ext uri="{FF2B5EF4-FFF2-40B4-BE49-F238E27FC236}">
                <a16:creationId xmlns:a16="http://schemas.microsoft.com/office/drawing/2014/main" id="{00000000-0008-0000-1700-00000E000000}"/>
              </a:ext>
            </a:extLst>
          </xdr:cNvPr>
          <xdr:cNvSpPr txBox="1"/>
        </xdr:nvSpPr>
        <xdr:spPr>
          <a:xfrm>
            <a:off x="39742137" y="9994900"/>
            <a:ext cx="920037" cy="2753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C628681-42B8-490E-BF90-49FAE6624B3A}" type="TxLink">
              <a:rPr lang="en-US" sz="1000" b="1" i="0" u="none" strike="noStrike">
                <a:solidFill>
                  <a:schemeClr val="bg1"/>
                </a:solidFill>
                <a:latin typeface="Arial"/>
                <a:ea typeface="+mn-ea"/>
                <a:cs typeface="Arial"/>
              </a:rPr>
              <a:pPr marL="0" indent="0" algn="ctr"/>
              <a:t>40,9%</a:t>
            </a:fld>
            <a:endParaRPr lang="pt-PT" sz="1000" b="1" i="0" u="none" strike="noStrike">
              <a:solidFill>
                <a:schemeClr val="bg1"/>
              </a:solidFill>
              <a:latin typeface="+mn-lt"/>
              <a:ea typeface="+mn-ea"/>
              <a:cs typeface="Arial"/>
            </a:endParaRPr>
          </a:p>
        </xdr:txBody>
      </xdr:sp>
      <xdr:sp macro="" textlink="q4_8_12_16_25_37_Fig_b!$AF$38">
        <xdr:nvSpPr>
          <xdr:cNvPr id="15" name="CaixaDeTexto 14">
            <a:extLst>
              <a:ext uri="{FF2B5EF4-FFF2-40B4-BE49-F238E27FC236}">
                <a16:creationId xmlns:a16="http://schemas.microsoft.com/office/drawing/2014/main" id="{00000000-0008-0000-1700-00000F000000}"/>
              </a:ext>
            </a:extLst>
          </xdr:cNvPr>
          <xdr:cNvSpPr txBox="1"/>
        </xdr:nvSpPr>
        <xdr:spPr>
          <a:xfrm>
            <a:off x="39742138" y="9201150"/>
            <a:ext cx="920037" cy="281127"/>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8462A02-08D0-485C-A58B-9CFA442F8DAD}" type="TxLink">
              <a:rPr lang="en-US" sz="1000" b="1" i="0" u="none" strike="noStrike">
                <a:solidFill>
                  <a:schemeClr val="bg1"/>
                </a:solidFill>
                <a:latin typeface="Arial"/>
                <a:cs typeface="Arial"/>
              </a:rPr>
              <a:pPr algn="ctr"/>
              <a:t>39,0%</a:t>
            </a:fld>
            <a:endParaRPr lang="pt-PT" sz="1000" b="1">
              <a:solidFill>
                <a:schemeClr val="bg1"/>
              </a:solidFill>
              <a:latin typeface="+mn-lt"/>
            </a:endParaRPr>
          </a:p>
        </xdr:txBody>
      </xdr:sp>
    </xdr:grpSp>
    <xdr:clientData/>
  </xdr:twoCellAnchor>
  <xdr:twoCellAnchor>
    <xdr:from>
      <xdr:col>29</xdr:col>
      <xdr:colOff>0</xdr:colOff>
      <xdr:row>53</xdr:row>
      <xdr:rowOff>0</xdr:rowOff>
    </xdr:from>
    <xdr:to>
      <xdr:col>32</xdr:col>
      <xdr:colOff>590550</xdr:colOff>
      <xdr:row>58</xdr:row>
      <xdr:rowOff>123825</xdr:rowOff>
    </xdr:to>
    <xdr:sp macro="" textlink="q4_8_12_16_25_37_Fig_b!$AD$45">
      <xdr:nvSpPr>
        <xdr:cNvPr id="16" name="CaixaDeTexto 15">
          <a:extLst>
            <a:ext uri="{FF2B5EF4-FFF2-40B4-BE49-F238E27FC236}">
              <a16:creationId xmlns:a16="http://schemas.microsoft.com/office/drawing/2014/main" id="{00000000-0008-0000-1700-000010000000}"/>
            </a:ext>
          </a:extLst>
        </xdr:cNvPr>
        <xdr:cNvSpPr txBox="1"/>
      </xdr:nvSpPr>
      <xdr:spPr>
        <a:xfrm>
          <a:off x="20294600" y="9074150"/>
          <a:ext cx="3987800" cy="949325"/>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4F71898-CF94-4DCE-AA2F-72DCD7959E3E}" type="TxLink">
            <a:rPr lang="en-US" sz="1000" b="1" i="0" u="none" strike="noStrike">
              <a:solidFill>
                <a:srgbClr val="17375E"/>
              </a:solidFill>
              <a:latin typeface="Calibri"/>
              <a:cs typeface="Calibri"/>
            </a:rPr>
            <a:pPr algn="l"/>
            <a:t>2024:
As empresas da região Área Metropolitana de Lisboa tinham ao seu serviço 1.174.107 pessoas (variação de 39% face a 2014, ou seja, mais 329.389) e tinham 1.124.021 TCO (variação de 40,9% face a 2014, ou seja, mais 326.022).</a:t>
          </a:fld>
          <a:endParaRPr lang="pt-PT" sz="1000" b="1">
            <a:solidFill>
              <a:srgbClr val="17375E"/>
            </a:solidFill>
            <a:latin typeface="+mn-lt"/>
          </a:endParaRPr>
        </a:p>
      </xdr:txBody>
    </xdr:sp>
    <xdr:clientData/>
  </xdr:twoCellAnchor>
  <xdr:twoCellAnchor>
    <xdr:from>
      <xdr:col>29</xdr:col>
      <xdr:colOff>27709</xdr:colOff>
      <xdr:row>87</xdr:row>
      <xdr:rowOff>66674</xdr:rowOff>
    </xdr:from>
    <xdr:to>
      <xdr:col>34</xdr:col>
      <xdr:colOff>83319</xdr:colOff>
      <xdr:row>94</xdr:row>
      <xdr:rowOff>7938</xdr:rowOff>
    </xdr:to>
    <xdr:sp macro="" textlink="q4_8_12_16_25_37_Fig_b!$AD$79">
      <xdr:nvSpPr>
        <xdr:cNvPr id="17" name="CaixaDeTexto 16">
          <a:extLst>
            <a:ext uri="{FF2B5EF4-FFF2-40B4-BE49-F238E27FC236}">
              <a16:creationId xmlns:a16="http://schemas.microsoft.com/office/drawing/2014/main" id="{00000000-0008-0000-1700-000011000000}"/>
            </a:ext>
          </a:extLst>
        </xdr:cNvPr>
        <xdr:cNvSpPr txBox="1"/>
      </xdr:nvSpPr>
      <xdr:spPr>
        <a:xfrm>
          <a:off x="20322309" y="15122524"/>
          <a:ext cx="4735560" cy="1084264"/>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87A5A50-91E7-41DD-9D93-498CEEF9164E}" type="TxLink">
            <a:rPr lang="en-US" sz="1000" b="1" i="0" u="none" strike="noStrike">
              <a:solidFill>
                <a:srgbClr val="17375E"/>
              </a:solidFill>
              <a:latin typeface="Calibri"/>
              <a:cs typeface="Calibri"/>
            </a:rPr>
            <a:pPr algn="l"/>
            <a:t>2024:
Na região Área Metropolitana de Lisboa a remuneração média mensal base era de 1.554 euros (var. de 36,4% face a 2014, ou seja, + 414,8 euros) e de 1.881 euros a remuneração média mensal ganho (variação de 36,5% face a 2014, ou seja , + 502,6 euros).</a:t>
          </a:fld>
          <a:endParaRPr lang="pt-PT" sz="1000" b="1">
            <a:solidFill>
              <a:srgbClr val="17375E"/>
            </a:solidFill>
            <a:latin typeface="+mn-lt"/>
          </a:endParaRPr>
        </a:p>
      </xdr:txBody>
    </xdr:sp>
    <xdr:clientData/>
  </xdr:twoCellAnchor>
  <xdr:twoCellAnchor>
    <xdr:from>
      <xdr:col>17</xdr:col>
      <xdr:colOff>0</xdr:colOff>
      <xdr:row>78</xdr:row>
      <xdr:rowOff>0</xdr:rowOff>
    </xdr:from>
    <xdr:to>
      <xdr:col>24</xdr:col>
      <xdr:colOff>0</xdr:colOff>
      <xdr:row>93</xdr:row>
      <xdr:rowOff>158844</xdr:rowOff>
    </xdr:to>
    <xdr:grpSp>
      <xdr:nvGrpSpPr>
        <xdr:cNvPr id="18" name="Agrupar 17">
          <a:extLst>
            <a:ext uri="{FF2B5EF4-FFF2-40B4-BE49-F238E27FC236}">
              <a16:creationId xmlns:a16="http://schemas.microsoft.com/office/drawing/2014/main" id="{00000000-0008-0000-1700-000012000000}"/>
            </a:ext>
          </a:extLst>
        </xdr:cNvPr>
        <xdr:cNvGrpSpPr/>
      </xdr:nvGrpSpPr>
      <xdr:grpSpPr>
        <a:xfrm>
          <a:off x="11563350" y="12630150"/>
          <a:ext cx="4695825" cy="2968719"/>
          <a:chOff x="36182300" y="8426450"/>
          <a:chExt cx="4819650" cy="2597244"/>
        </a:xfrm>
      </xdr:grpSpPr>
      <xdr:graphicFrame macro="">
        <xdr:nvGraphicFramePr>
          <xdr:cNvPr id="19" name="Gráfico 18">
            <a:extLst>
              <a:ext uri="{FF2B5EF4-FFF2-40B4-BE49-F238E27FC236}">
                <a16:creationId xmlns:a16="http://schemas.microsoft.com/office/drawing/2014/main" id="{00000000-0008-0000-1700-000013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20" name="CaixaDeTexto 19">
            <a:extLst>
              <a:ext uri="{FF2B5EF4-FFF2-40B4-BE49-F238E27FC236}">
                <a16:creationId xmlns:a16="http://schemas.microsoft.com/office/drawing/2014/main" id="{00000000-0008-0000-1700-000014000000}"/>
              </a:ext>
            </a:extLst>
          </xdr:cNvPr>
          <xdr:cNvSpPr txBox="1"/>
        </xdr:nvSpPr>
        <xdr:spPr>
          <a:xfrm>
            <a:off x="39836724" y="8902700"/>
            <a:ext cx="796408"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a:t>
            </a:r>
            <a:r>
              <a:rPr lang="pt-PT" sz="800" b="1" baseline="0">
                <a:solidFill>
                  <a:schemeClr val="bg1"/>
                </a:solidFill>
                <a:latin typeface="+mn-lt"/>
                <a:ea typeface="+mn-ea"/>
                <a:cs typeface="+mn-cs"/>
              </a:rPr>
              <a:t> Base</a:t>
            </a:r>
          </a:p>
        </xdr:txBody>
      </xdr:sp>
      <xdr:sp macro="" textlink="">
        <xdr:nvSpPr>
          <xdr:cNvPr id="21" name="CaixaDeTexto 20">
            <a:extLst>
              <a:ext uri="{FF2B5EF4-FFF2-40B4-BE49-F238E27FC236}">
                <a16:creationId xmlns:a16="http://schemas.microsoft.com/office/drawing/2014/main" id="{00000000-0008-0000-1700-000015000000}"/>
              </a:ext>
            </a:extLst>
          </xdr:cNvPr>
          <xdr:cNvSpPr txBox="1"/>
        </xdr:nvSpPr>
        <xdr:spPr>
          <a:xfrm>
            <a:off x="39833550" y="9721850"/>
            <a:ext cx="819150"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 Ganho</a:t>
            </a:r>
          </a:p>
        </xdr:txBody>
      </xdr:sp>
      <xdr:sp macro="" textlink="$AF$73">
        <xdr:nvSpPr>
          <xdr:cNvPr id="22" name="CaixaDeTexto 21">
            <a:extLst>
              <a:ext uri="{FF2B5EF4-FFF2-40B4-BE49-F238E27FC236}">
                <a16:creationId xmlns:a16="http://schemas.microsoft.com/office/drawing/2014/main" id="{00000000-0008-0000-1700-000016000000}"/>
              </a:ext>
            </a:extLst>
          </xdr:cNvPr>
          <xdr:cNvSpPr txBox="1"/>
        </xdr:nvSpPr>
        <xdr:spPr>
          <a:xfrm>
            <a:off x="39839899" y="9994900"/>
            <a:ext cx="820800" cy="2753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63BBC7EA-1A36-477F-82BD-085858888245}" type="TxLink">
              <a:rPr lang="en-US" sz="1000" b="1" i="0" u="none" strike="noStrike">
                <a:solidFill>
                  <a:schemeClr val="bg1"/>
                </a:solidFill>
                <a:latin typeface="Arial"/>
                <a:ea typeface="+mn-ea"/>
                <a:cs typeface="Arial"/>
              </a:rPr>
              <a:pPr marL="0" indent="0" algn="ctr"/>
              <a:t>36,5%</a:t>
            </a:fld>
            <a:endParaRPr lang="pt-PT" sz="1000" b="1" i="0" u="none" strike="noStrike">
              <a:solidFill>
                <a:schemeClr val="bg1"/>
              </a:solidFill>
              <a:latin typeface="+mn-lt"/>
              <a:ea typeface="+mn-ea"/>
              <a:cs typeface="Arial"/>
            </a:endParaRPr>
          </a:p>
        </xdr:txBody>
      </xdr:sp>
      <xdr:sp macro="" textlink="$AF$72">
        <xdr:nvSpPr>
          <xdr:cNvPr id="23" name="CaixaDeTexto 22">
            <a:extLst>
              <a:ext uri="{FF2B5EF4-FFF2-40B4-BE49-F238E27FC236}">
                <a16:creationId xmlns:a16="http://schemas.microsoft.com/office/drawing/2014/main" id="{00000000-0008-0000-1700-000017000000}"/>
              </a:ext>
            </a:extLst>
          </xdr:cNvPr>
          <xdr:cNvSpPr txBox="1"/>
        </xdr:nvSpPr>
        <xdr:spPr>
          <a:xfrm>
            <a:off x="39839901" y="9201150"/>
            <a:ext cx="797393" cy="26075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A54472D-EA9A-4C5E-A6BB-A6190384620A}" type="TxLink">
              <a:rPr lang="en-US" sz="1000" b="1" i="0" u="none" strike="noStrike">
                <a:solidFill>
                  <a:schemeClr val="bg1"/>
                </a:solidFill>
                <a:latin typeface="Arial"/>
                <a:cs typeface="Arial"/>
              </a:rPr>
              <a:pPr algn="ctr"/>
              <a:t>36,4%</a:t>
            </a:fld>
            <a:endParaRPr lang="pt-PT" sz="1000" b="1">
              <a:solidFill>
                <a:schemeClr val="bg1"/>
              </a:solidFill>
              <a:latin typeface="+mn-lt"/>
            </a:endParaRPr>
          </a:p>
        </xdr:txBody>
      </xdr:sp>
    </xdr:grpSp>
    <xdr:clientData/>
  </xdr:twoCellAnchor>
  <mc:AlternateContent xmlns:mc="http://schemas.openxmlformats.org/markup-compatibility/2006">
    <mc:Choice xmlns:a14="http://schemas.microsoft.com/office/drawing/2010/main" Requires="a14">
      <xdr:twoCellAnchor editAs="oneCell">
        <xdr:from>
          <xdr:col>43</xdr:col>
          <xdr:colOff>9525</xdr:colOff>
          <xdr:row>1</xdr:row>
          <xdr:rowOff>0</xdr:rowOff>
        </xdr:from>
        <xdr:to>
          <xdr:col>43</xdr:col>
          <xdr:colOff>638175</xdr:colOff>
          <xdr:row>2</xdr:row>
          <xdr:rowOff>19050</xdr:rowOff>
        </xdr:to>
        <xdr:sp macro="" textlink="">
          <xdr:nvSpPr>
            <xdr:cNvPr id="512002" name="Drop Down 2" hidden="1">
              <a:extLst>
                <a:ext uri="{63B3BB69-23CF-44E3-9099-C40C66FF867C}">
                  <a14:compatExt spid="_x0000_s512002"/>
                </a:ext>
                <a:ext uri="{FF2B5EF4-FFF2-40B4-BE49-F238E27FC236}">
                  <a16:creationId xmlns:a16="http://schemas.microsoft.com/office/drawing/2014/main" id="{00000000-0008-0000-1700-000002D0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46</xdr:col>
      <xdr:colOff>389605</xdr:colOff>
      <xdr:row>50</xdr:row>
      <xdr:rowOff>7141</xdr:rowOff>
    </xdr:from>
    <xdr:to>
      <xdr:col>47</xdr:col>
      <xdr:colOff>785768</xdr:colOff>
      <xdr:row>57</xdr:row>
      <xdr:rowOff>63500</xdr:rowOff>
    </xdr:to>
    <xdr:graphicFrame macro="">
      <xdr:nvGraphicFramePr>
        <xdr:cNvPr id="34" name="Gráfico 33">
          <a:extLst>
            <a:ext uri="{FF2B5EF4-FFF2-40B4-BE49-F238E27FC236}">
              <a16:creationId xmlns:a16="http://schemas.microsoft.com/office/drawing/2014/main" id="{00000000-0008-0000-17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64</xdr:col>
          <xdr:colOff>9525</xdr:colOff>
          <xdr:row>1</xdr:row>
          <xdr:rowOff>0</xdr:rowOff>
        </xdr:from>
        <xdr:to>
          <xdr:col>65</xdr:col>
          <xdr:colOff>28575</xdr:colOff>
          <xdr:row>2</xdr:row>
          <xdr:rowOff>19050</xdr:rowOff>
        </xdr:to>
        <xdr:sp macro="" textlink="">
          <xdr:nvSpPr>
            <xdr:cNvPr id="512003" name="Drop Down 3" hidden="1">
              <a:extLst>
                <a:ext uri="{63B3BB69-23CF-44E3-9099-C40C66FF867C}">
                  <a14:compatExt spid="_x0000_s512003"/>
                </a:ext>
                <a:ext uri="{FF2B5EF4-FFF2-40B4-BE49-F238E27FC236}">
                  <a16:creationId xmlns:a16="http://schemas.microsoft.com/office/drawing/2014/main" id="{00000000-0008-0000-1700-000003D0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9525</xdr:colOff>
          <xdr:row>1</xdr:row>
          <xdr:rowOff>0</xdr:rowOff>
        </xdr:from>
        <xdr:to>
          <xdr:col>85</xdr:col>
          <xdr:colOff>28575</xdr:colOff>
          <xdr:row>2</xdr:row>
          <xdr:rowOff>19050</xdr:rowOff>
        </xdr:to>
        <xdr:sp macro="" textlink="">
          <xdr:nvSpPr>
            <xdr:cNvPr id="512004" name="Drop Down 4" hidden="1">
              <a:extLst>
                <a:ext uri="{63B3BB69-23CF-44E3-9099-C40C66FF867C}">
                  <a14:compatExt spid="_x0000_s512004"/>
                </a:ext>
                <a:ext uri="{FF2B5EF4-FFF2-40B4-BE49-F238E27FC236}">
                  <a16:creationId xmlns:a16="http://schemas.microsoft.com/office/drawing/2014/main" id="{00000000-0008-0000-1700-000004D0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93</xdr:col>
      <xdr:colOff>426305</xdr:colOff>
      <xdr:row>65</xdr:row>
      <xdr:rowOff>50372</xdr:rowOff>
    </xdr:from>
    <xdr:to>
      <xdr:col>94</xdr:col>
      <xdr:colOff>555005</xdr:colOff>
      <xdr:row>69</xdr:row>
      <xdr:rowOff>135244</xdr:rowOff>
    </xdr:to>
    <xdr:graphicFrame macro="">
      <xdr:nvGraphicFramePr>
        <xdr:cNvPr id="65" name="Gráfico 64">
          <a:extLst>
            <a:ext uri="{FF2B5EF4-FFF2-40B4-BE49-F238E27FC236}">
              <a16:creationId xmlns:a16="http://schemas.microsoft.com/office/drawing/2014/main" id="{00000000-0008-0000-17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42</xdr:col>
      <xdr:colOff>477158</xdr:colOff>
      <xdr:row>43</xdr:row>
      <xdr:rowOff>26761</xdr:rowOff>
    </xdr:from>
    <xdr:to>
      <xdr:col>43</xdr:col>
      <xdr:colOff>1405038</xdr:colOff>
      <xdr:row>46</xdr:row>
      <xdr:rowOff>88442</xdr:rowOff>
    </xdr:to>
    <xdr:graphicFrame macro="">
      <xdr:nvGraphicFramePr>
        <xdr:cNvPr id="69" name="Gráfico 68">
          <a:extLst>
            <a:ext uri="{FF2B5EF4-FFF2-40B4-BE49-F238E27FC236}">
              <a16:creationId xmlns:a16="http://schemas.microsoft.com/office/drawing/2014/main" id="{00000000-0008-0000-17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62</xdr:col>
      <xdr:colOff>607786</xdr:colOff>
      <xdr:row>44</xdr:row>
      <xdr:rowOff>139472</xdr:rowOff>
    </xdr:from>
    <xdr:to>
      <xdr:col>65</xdr:col>
      <xdr:colOff>242308</xdr:colOff>
      <xdr:row>48</xdr:row>
      <xdr:rowOff>39228</xdr:rowOff>
    </xdr:to>
    <xdr:graphicFrame macro="">
      <xdr:nvGraphicFramePr>
        <xdr:cNvPr id="70" name="Gráfico 69">
          <a:extLst>
            <a:ext uri="{FF2B5EF4-FFF2-40B4-BE49-F238E27FC236}">
              <a16:creationId xmlns:a16="http://schemas.microsoft.com/office/drawing/2014/main" id="{00000000-0008-0000-17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81</xdr:col>
      <xdr:colOff>120650</xdr:colOff>
      <xdr:row>43</xdr:row>
      <xdr:rowOff>71666</xdr:rowOff>
    </xdr:from>
    <xdr:to>
      <xdr:col>83</xdr:col>
      <xdr:colOff>383595</xdr:colOff>
      <xdr:row>46</xdr:row>
      <xdr:rowOff>131305</xdr:rowOff>
    </xdr:to>
    <xdr:graphicFrame macro="">
      <xdr:nvGraphicFramePr>
        <xdr:cNvPr id="71" name="Gráfico 70">
          <a:extLst>
            <a:ext uri="{FF2B5EF4-FFF2-40B4-BE49-F238E27FC236}">
              <a16:creationId xmlns:a16="http://schemas.microsoft.com/office/drawing/2014/main" id="{00000000-0008-0000-17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836839</xdr:colOff>
      <xdr:row>90</xdr:row>
      <xdr:rowOff>156484</xdr:rowOff>
    </xdr:from>
    <xdr:to>
      <xdr:col>47</xdr:col>
      <xdr:colOff>605518</xdr:colOff>
      <xdr:row>96</xdr:row>
      <xdr:rowOff>122467</xdr:rowOff>
    </xdr:to>
    <xdr:sp macro="" textlink="$AW$92">
      <xdr:nvSpPr>
        <xdr:cNvPr id="72" name="CaixaDeTexto 71">
          <a:extLst>
            <a:ext uri="{FF2B5EF4-FFF2-40B4-BE49-F238E27FC236}">
              <a16:creationId xmlns:a16="http://schemas.microsoft.com/office/drawing/2014/main" id="{00000000-0008-0000-1700-000048000000}"/>
            </a:ext>
          </a:extLst>
        </xdr:cNvPr>
        <xdr:cNvSpPr txBox="1"/>
      </xdr:nvSpPr>
      <xdr:spPr>
        <a:xfrm>
          <a:off x="34491839" y="15701284"/>
          <a:ext cx="1457779" cy="94388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9CDB704-0720-45C6-8ADE-75E4044624AF}" type="TxLink">
            <a:rPr lang="en-US" sz="600" b="0" i="0" u="none" strike="noStrike">
              <a:solidFill>
                <a:srgbClr val="000000"/>
              </a:solidFill>
              <a:latin typeface="Calibri"/>
              <a:cs typeface="Calibri"/>
            </a:rPr>
            <a:pPr algn="l"/>
            <a:t>EMPRESAS
NUTS II Área Metropolitana de Lisboa: 74.148 (25,7% do Continente; 2ª região de 5)
Esta NUTS II coincide com a NUTS III.</a:t>
          </a:fld>
          <a:endParaRPr lang="pt-PT" sz="600" b="1">
            <a:solidFill>
              <a:srgbClr val="19375E"/>
            </a:solidFill>
            <a:latin typeface="+mn-lt"/>
          </a:endParaRPr>
        </a:p>
      </xdr:txBody>
    </xdr:sp>
    <xdr:clientData/>
  </xdr:twoCellAnchor>
  <xdr:twoCellAnchor>
    <xdr:from>
      <xdr:col>45</xdr:col>
      <xdr:colOff>544287</xdr:colOff>
      <xdr:row>110</xdr:row>
      <xdr:rowOff>163285</xdr:rowOff>
    </xdr:from>
    <xdr:to>
      <xdr:col>47</xdr:col>
      <xdr:colOff>312964</xdr:colOff>
      <xdr:row>116</xdr:row>
      <xdr:rowOff>129269</xdr:rowOff>
    </xdr:to>
    <xdr:sp macro="" textlink="$AW$112">
      <xdr:nvSpPr>
        <xdr:cNvPr id="73" name="CaixaDeTexto 72">
          <a:extLst>
            <a:ext uri="{FF2B5EF4-FFF2-40B4-BE49-F238E27FC236}">
              <a16:creationId xmlns:a16="http://schemas.microsoft.com/office/drawing/2014/main" id="{00000000-0008-0000-1700-000049000000}"/>
            </a:ext>
          </a:extLst>
        </xdr:cNvPr>
        <xdr:cNvSpPr txBox="1"/>
      </xdr:nvSpPr>
      <xdr:spPr>
        <a:xfrm>
          <a:off x="34199287" y="18984685"/>
          <a:ext cx="1457777" cy="956584"/>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7B1DBB8-9A93-4C5B-866C-5C67171F9CDB}" type="TxLink">
            <a:rPr lang="en-US" sz="600" b="0" i="0" u="none" strike="noStrike">
              <a:solidFill>
                <a:srgbClr val="000000"/>
              </a:solidFill>
              <a:latin typeface="Calibri"/>
              <a:cs typeface="Calibri"/>
            </a:rPr>
            <a:pPr algn="l"/>
            <a:t>ESTABELECIMENTOS
NUTS II Área Metropolitana de Lisboa: 87.949 (26,0% do Continente; 2ª região de 5)
Esta NUTS II coincide com a NUTS III.</a:t>
          </a:fld>
          <a:endParaRPr lang="pt-PT" sz="600" b="1">
            <a:solidFill>
              <a:srgbClr val="19375E"/>
            </a:solidFill>
            <a:latin typeface="+mn-lt"/>
          </a:endParaRPr>
        </a:p>
      </xdr:txBody>
    </xdr:sp>
    <xdr:clientData/>
  </xdr:twoCellAnchor>
  <xdr:twoCellAnchor>
    <xdr:from>
      <xdr:col>74</xdr:col>
      <xdr:colOff>171676</xdr:colOff>
      <xdr:row>84</xdr:row>
      <xdr:rowOff>77109</xdr:rowOff>
    </xdr:from>
    <xdr:to>
      <xdr:col>79</xdr:col>
      <xdr:colOff>87312</xdr:colOff>
      <xdr:row>90</xdr:row>
      <xdr:rowOff>43092</xdr:rowOff>
    </xdr:to>
    <xdr:sp macro="" textlink="$BS$92">
      <xdr:nvSpPr>
        <xdr:cNvPr id="74" name="CaixaDeTexto 73">
          <a:extLst>
            <a:ext uri="{FF2B5EF4-FFF2-40B4-BE49-F238E27FC236}">
              <a16:creationId xmlns:a16="http://schemas.microsoft.com/office/drawing/2014/main" id="{00000000-0008-0000-1700-00004A000000}"/>
            </a:ext>
          </a:extLst>
        </xdr:cNvPr>
        <xdr:cNvSpPr txBox="1"/>
      </xdr:nvSpPr>
      <xdr:spPr>
        <a:xfrm>
          <a:off x="55042026" y="14637659"/>
          <a:ext cx="3122386" cy="95023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ED59423E-B8BF-4A94-9E6A-D8F2F253D56E}" type="TxLink">
            <a:rPr lang="en-US" sz="800" b="0" i="0" u="none" strike="noStrike">
              <a:solidFill>
                <a:srgbClr val="000000"/>
              </a:solidFill>
              <a:latin typeface="Calibri"/>
              <a:cs typeface="Calibri"/>
            </a:rPr>
            <a:pPr algn="l"/>
            <a:t>PESSOAS AO SERVIÇO
NUTS II Área Metropolitana de Lisboa: 1.174.107 (33,1% do Continente; 2ª região de 5)
Esta NUTS II coincide com a NUTS III.</a:t>
          </a:fld>
          <a:endParaRPr lang="pt-PT" sz="800" b="1">
            <a:solidFill>
              <a:srgbClr val="19375E"/>
            </a:solidFill>
            <a:latin typeface="+mn-lt"/>
          </a:endParaRPr>
        </a:p>
      </xdr:txBody>
    </xdr:sp>
    <xdr:clientData/>
  </xdr:twoCellAnchor>
  <xdr:twoCellAnchor>
    <xdr:from>
      <xdr:col>68</xdr:col>
      <xdr:colOff>349249</xdr:colOff>
      <xdr:row>114</xdr:row>
      <xdr:rowOff>0</xdr:rowOff>
    </xdr:from>
    <xdr:to>
      <xdr:col>72</xdr:col>
      <xdr:colOff>436562</xdr:colOff>
      <xdr:row>119</xdr:row>
      <xdr:rowOff>124733</xdr:rowOff>
    </xdr:to>
    <xdr:sp macro="" textlink="$BS$112">
      <xdr:nvSpPr>
        <xdr:cNvPr id="75" name="CaixaDeTexto 74">
          <a:extLst>
            <a:ext uri="{FF2B5EF4-FFF2-40B4-BE49-F238E27FC236}">
              <a16:creationId xmlns:a16="http://schemas.microsoft.com/office/drawing/2014/main" id="{00000000-0008-0000-1700-00004B000000}"/>
            </a:ext>
          </a:extLst>
        </xdr:cNvPr>
        <xdr:cNvSpPr txBox="1"/>
      </xdr:nvSpPr>
      <xdr:spPr>
        <a:xfrm>
          <a:off x="50939699" y="19481800"/>
          <a:ext cx="3084513" cy="95023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BBF6DBB-3390-4591-A2F4-679CCB309DB4}" type="TxLink">
            <a:rPr lang="en-US" sz="800" b="0" i="0" u="none" strike="noStrike">
              <a:solidFill>
                <a:srgbClr val="000000"/>
              </a:solidFill>
              <a:latin typeface="Calibri"/>
              <a:cs typeface="Calibri"/>
            </a:rPr>
            <a:pPr algn="l"/>
            <a:t>TCO
NUTS II Área Metropolitana de Lisboa: 1.124.021 (33,5% do Continente; 2ª região de 5)
Esta NUTS II coincide com a NUTS III.</a:t>
          </a:fld>
          <a:endParaRPr lang="pt-PT" sz="800" b="1">
            <a:solidFill>
              <a:srgbClr val="19375E"/>
            </a:solidFill>
            <a:latin typeface="+mn-lt"/>
          </a:endParaRPr>
        </a:p>
      </xdr:txBody>
    </xdr:sp>
    <xdr:clientData/>
  </xdr:twoCellAnchor>
  <xdr:twoCellAnchor>
    <xdr:from>
      <xdr:col>94</xdr:col>
      <xdr:colOff>55562</xdr:colOff>
      <xdr:row>80</xdr:row>
      <xdr:rowOff>63500</xdr:rowOff>
    </xdr:from>
    <xdr:to>
      <xdr:col>98</xdr:col>
      <xdr:colOff>582385</xdr:colOff>
      <xdr:row>85</xdr:row>
      <xdr:rowOff>119063</xdr:rowOff>
    </xdr:to>
    <xdr:sp macro="" textlink="$CM$92">
      <xdr:nvSpPr>
        <xdr:cNvPr id="76" name="CaixaDeTexto 75">
          <a:extLst>
            <a:ext uri="{FF2B5EF4-FFF2-40B4-BE49-F238E27FC236}">
              <a16:creationId xmlns:a16="http://schemas.microsoft.com/office/drawing/2014/main" id="{00000000-0008-0000-1700-00004C000000}"/>
            </a:ext>
          </a:extLst>
        </xdr:cNvPr>
        <xdr:cNvSpPr txBox="1"/>
      </xdr:nvSpPr>
      <xdr:spPr>
        <a:xfrm>
          <a:off x="67752912" y="13589000"/>
          <a:ext cx="3092223" cy="125571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9412C77-8EF1-4DCC-A19F-0279A943E6B1}" type="TxLink">
            <a:rPr lang="en-US" sz="1000" b="0" i="0" u="none" strike="noStrike">
              <a:solidFill>
                <a:srgbClr val="000000"/>
              </a:solidFill>
              <a:latin typeface="Calibri"/>
              <a:cs typeface="Calibri"/>
            </a:rPr>
            <a:pPr algn="l"/>
            <a:t>REMUNERAÇÃO BASE
NUTS II Área Metropolitana de Lisboa: 1.554 euros (18,8% que no Continente; 1ª região de 5)
Esta NUTS II coincide com a NUTS III.</a:t>
          </a:fld>
          <a:endParaRPr lang="pt-PT" sz="800" b="1">
            <a:solidFill>
              <a:srgbClr val="19375E"/>
            </a:solidFill>
            <a:latin typeface="+mn-lt"/>
          </a:endParaRPr>
        </a:p>
      </xdr:txBody>
    </xdr:sp>
    <xdr:clientData/>
  </xdr:twoCellAnchor>
  <xdr:twoCellAnchor>
    <xdr:from>
      <xdr:col>95</xdr:col>
      <xdr:colOff>87312</xdr:colOff>
      <xdr:row>103</xdr:row>
      <xdr:rowOff>63500</xdr:rowOff>
    </xdr:from>
    <xdr:to>
      <xdr:col>100</xdr:col>
      <xdr:colOff>515937</xdr:colOff>
      <xdr:row>111</xdr:row>
      <xdr:rowOff>23813</xdr:rowOff>
    </xdr:to>
    <xdr:sp macro="" textlink="$CM$112">
      <xdr:nvSpPr>
        <xdr:cNvPr id="77" name="CaixaDeTexto 76">
          <a:extLst>
            <a:ext uri="{FF2B5EF4-FFF2-40B4-BE49-F238E27FC236}">
              <a16:creationId xmlns:a16="http://schemas.microsoft.com/office/drawing/2014/main" id="{00000000-0008-0000-1700-00004D000000}"/>
            </a:ext>
          </a:extLst>
        </xdr:cNvPr>
        <xdr:cNvSpPr txBox="1"/>
      </xdr:nvSpPr>
      <xdr:spPr>
        <a:xfrm>
          <a:off x="68426012" y="17735550"/>
          <a:ext cx="3635375" cy="127476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3674056-EFF6-46A6-A515-0293399AB118}" type="TxLink">
            <a:rPr lang="en-US" sz="1000" b="0" i="0" u="none" strike="noStrike">
              <a:solidFill>
                <a:srgbClr val="000000"/>
              </a:solidFill>
              <a:latin typeface="Calibri"/>
              <a:cs typeface="Calibri"/>
            </a:rPr>
            <a:pPr algn="l"/>
            <a:t>REMUNERAÇÃO GANHO
NUTS II Área Metropolitana de Lisboa: 1.881 euros (18,8% que no Continente; 1ª região de 5)
Esta NUTS II coincide com a NUTS III.</a:t>
          </a:fld>
          <a:endParaRPr lang="pt-PT" sz="800" b="1">
            <a:solidFill>
              <a:srgbClr val="19375E"/>
            </a:solidFill>
            <a:latin typeface="+mn-lt"/>
          </a:endParaRPr>
        </a:p>
      </xdr:txBody>
    </xdr:sp>
    <xdr:clientData/>
  </xdr:twoCellAnchor>
  <xdr:twoCellAnchor>
    <xdr:from>
      <xdr:col>97</xdr:col>
      <xdr:colOff>247942</xdr:colOff>
      <xdr:row>56</xdr:row>
      <xdr:rowOff>9900</xdr:rowOff>
    </xdr:from>
    <xdr:to>
      <xdr:col>97</xdr:col>
      <xdr:colOff>479262</xdr:colOff>
      <xdr:row>56</xdr:row>
      <xdr:rowOff>151364</xdr:rowOff>
    </xdr:to>
    <xdr:pic>
      <xdr:nvPicPr>
        <xdr:cNvPr id="78" name="Imagem 77">
          <a:extLst>
            <a:ext uri="{FF2B5EF4-FFF2-40B4-BE49-F238E27FC236}">
              <a16:creationId xmlns:a16="http://schemas.microsoft.com/office/drawing/2014/main" id="{00000000-0008-0000-1700-00004E000000}"/>
            </a:ext>
          </a:extLst>
        </xdr:cNvPr>
        <xdr:cNvPicPr>
          <a:picLocks noChangeAspect="1"/>
        </xdr:cNvPicPr>
      </xdr:nvPicPr>
      <xdr:blipFill>
        <a:blip xmlns:r="http://schemas.openxmlformats.org/officeDocument/2006/relationships" r:embed="rId9">
          <a:extLst>
            <a:ext uri="{BEBA8EAE-BF5A-486C-A8C5-ECC9F3942E4B}">
              <a14:imgProps xmlns:a14="http://schemas.microsoft.com/office/drawing/2010/main">
                <a14:imgLayer r:embed="rId10">
                  <a14:imgEffect>
                    <a14:brightnessContrast bright="57000"/>
                  </a14:imgEffect>
                </a14:imgLayer>
              </a14:imgProps>
            </a:ext>
          </a:extLst>
        </a:blip>
        <a:stretch>
          <a:fillRect/>
        </a:stretch>
      </xdr:blipFill>
      <xdr:spPr>
        <a:xfrm>
          <a:off x="69869342" y="9579350"/>
          <a:ext cx="231320" cy="141464"/>
        </a:xfrm>
        <a:prstGeom prst="rect">
          <a:avLst/>
        </a:prstGeom>
      </xdr:spPr>
    </xdr:pic>
    <xdr:clientData/>
  </xdr:twoCellAnchor>
  <xdr:twoCellAnchor>
    <xdr:from>
      <xdr:col>97</xdr:col>
      <xdr:colOff>461783</xdr:colOff>
      <xdr:row>56</xdr:row>
      <xdr:rowOff>21358</xdr:rowOff>
    </xdr:from>
    <xdr:to>
      <xdr:col>98</xdr:col>
      <xdr:colOff>668</xdr:colOff>
      <xdr:row>57</xdr:row>
      <xdr:rowOff>1526</xdr:rowOff>
    </xdr:to>
    <xdr:pic>
      <xdr:nvPicPr>
        <xdr:cNvPr id="79" name="Imagem 78">
          <a:extLst>
            <a:ext uri="{FF2B5EF4-FFF2-40B4-BE49-F238E27FC236}">
              <a16:creationId xmlns:a16="http://schemas.microsoft.com/office/drawing/2014/main" id="{00000000-0008-0000-1700-00004F000000}"/>
            </a:ext>
          </a:extLst>
        </xdr:cNvPr>
        <xdr:cNvPicPr>
          <a:picLocks noChangeAspect="1"/>
        </xdr:cNvPicPr>
      </xdr:nvPicPr>
      <xdr:blipFill>
        <a:blip xmlns:r="http://schemas.openxmlformats.org/officeDocument/2006/relationships" r:embed="rId11">
          <a:extLst>
            <a:ext uri="{BEBA8EAE-BF5A-486C-A8C5-ECC9F3942E4B}">
              <a14:imgProps xmlns:a14="http://schemas.microsoft.com/office/drawing/2010/main">
                <a14:imgLayer r:embed="rId12">
                  <a14:imgEffect>
                    <a14:brightnessContrast bright="64000"/>
                  </a14:imgEffect>
                </a14:imgLayer>
              </a14:imgProps>
            </a:ext>
          </a:extLst>
        </a:blip>
        <a:stretch>
          <a:fillRect/>
        </a:stretch>
      </xdr:blipFill>
      <xdr:spPr>
        <a:xfrm>
          <a:off x="70083183" y="9590808"/>
          <a:ext cx="180235" cy="145268"/>
        </a:xfrm>
        <a:prstGeom prst="rect">
          <a:avLst/>
        </a:prstGeom>
      </xdr:spPr>
    </xdr:pic>
    <xdr:clientData/>
  </xdr:twoCellAnchor>
  <xdr:twoCellAnchor>
    <xdr:from>
      <xdr:col>96</xdr:col>
      <xdr:colOff>297560</xdr:colOff>
      <xdr:row>62</xdr:row>
      <xdr:rowOff>120935</xdr:rowOff>
    </xdr:from>
    <xdr:to>
      <xdr:col>96</xdr:col>
      <xdr:colOff>423135</xdr:colOff>
      <xdr:row>63</xdr:row>
      <xdr:rowOff>18506</xdr:rowOff>
    </xdr:to>
    <xdr:pic>
      <xdr:nvPicPr>
        <xdr:cNvPr id="80" name="Imagem 79">
          <a:extLst>
            <a:ext uri="{FF2B5EF4-FFF2-40B4-BE49-F238E27FC236}">
              <a16:creationId xmlns:a16="http://schemas.microsoft.com/office/drawing/2014/main" id="{00000000-0008-0000-1700-000050000000}"/>
            </a:ext>
          </a:extLst>
        </xdr:cNvPr>
        <xdr:cNvPicPr>
          <a:picLocks noChangeAspect="1"/>
        </xdr:cNvPicPr>
      </xdr:nvPicPr>
      <xdr:blipFill>
        <a:blip xmlns:r="http://schemas.openxmlformats.org/officeDocument/2006/relationships" r:embed="rId13"/>
        <a:stretch>
          <a:fillRect/>
        </a:stretch>
      </xdr:blipFill>
      <xdr:spPr>
        <a:xfrm>
          <a:off x="69277610" y="10680985"/>
          <a:ext cx="125575" cy="62671"/>
        </a:xfrm>
        <a:prstGeom prst="rect">
          <a:avLst/>
        </a:prstGeom>
      </xdr:spPr>
    </xdr:pic>
    <xdr:clientData/>
  </xdr:twoCellAnchor>
  <xdr:twoCellAnchor>
    <xdr:from>
      <xdr:col>95</xdr:col>
      <xdr:colOff>405398</xdr:colOff>
      <xdr:row>65</xdr:row>
      <xdr:rowOff>19301</xdr:rowOff>
    </xdr:from>
    <xdr:to>
      <xdr:col>96</xdr:col>
      <xdr:colOff>290401</xdr:colOff>
      <xdr:row>65</xdr:row>
      <xdr:rowOff>151496</xdr:rowOff>
    </xdr:to>
    <xdr:sp macro="" textlink="">
      <xdr:nvSpPr>
        <xdr:cNvPr id="81" name="CaixaDeTexto 80">
          <a:extLst>
            <a:ext uri="{FF2B5EF4-FFF2-40B4-BE49-F238E27FC236}">
              <a16:creationId xmlns:a16="http://schemas.microsoft.com/office/drawing/2014/main" id="{00000000-0008-0000-1700-000051000000}"/>
            </a:ext>
          </a:extLst>
        </xdr:cNvPr>
        <xdr:cNvSpPr txBox="1"/>
      </xdr:nvSpPr>
      <xdr:spPr>
        <a:xfrm>
          <a:off x="68744098" y="11074651"/>
          <a:ext cx="526353" cy="1321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pt-PT" sz="1100"/>
        </a:p>
      </xdr:txBody>
    </xdr:sp>
    <xdr:clientData/>
  </xdr:twoCellAnchor>
  <xdr:twoCellAnchor>
    <xdr:from>
      <xdr:col>97</xdr:col>
      <xdr:colOff>228497</xdr:colOff>
      <xdr:row>64</xdr:row>
      <xdr:rowOff>93031</xdr:rowOff>
    </xdr:from>
    <xdr:to>
      <xdr:col>97</xdr:col>
      <xdr:colOff>612358</xdr:colOff>
      <xdr:row>65</xdr:row>
      <xdr:rowOff>72680</xdr:rowOff>
    </xdr:to>
    <xdr:pic>
      <xdr:nvPicPr>
        <xdr:cNvPr id="82" name="Imagem 81">
          <a:extLst>
            <a:ext uri="{FF2B5EF4-FFF2-40B4-BE49-F238E27FC236}">
              <a16:creationId xmlns:a16="http://schemas.microsoft.com/office/drawing/2014/main" id="{00000000-0008-0000-1700-000052000000}"/>
            </a:ext>
          </a:extLst>
        </xdr:cNvPr>
        <xdr:cNvPicPr>
          <a:picLocks noChangeAspect="1"/>
        </xdr:cNvPicPr>
      </xdr:nvPicPr>
      <xdr:blipFill>
        <a:blip xmlns:r="http://schemas.openxmlformats.org/officeDocument/2006/relationships" r:embed="rId14">
          <a:extLst>
            <a:ext uri="{BEBA8EAE-BF5A-486C-A8C5-ECC9F3942E4B}">
              <a14:imgProps xmlns:a14="http://schemas.microsoft.com/office/drawing/2010/main">
                <a14:imgLayer r:embed="rId15">
                  <a14:imgEffect>
                    <a14:brightnessContrast bright="53000"/>
                  </a14:imgEffect>
                </a14:imgLayer>
              </a14:imgProps>
            </a:ext>
          </a:extLst>
        </a:blip>
        <a:stretch>
          <a:fillRect/>
        </a:stretch>
      </xdr:blipFill>
      <xdr:spPr>
        <a:xfrm>
          <a:off x="69849897" y="10983281"/>
          <a:ext cx="383861" cy="144749"/>
        </a:xfrm>
        <a:prstGeom prst="rect">
          <a:avLst/>
        </a:prstGeom>
      </xdr:spPr>
    </xdr:pic>
    <xdr:clientData/>
  </xdr:twoCellAnchor>
  <xdr:twoCellAnchor>
    <xdr:from>
      <xdr:col>97</xdr:col>
      <xdr:colOff>128359</xdr:colOff>
      <xdr:row>68</xdr:row>
      <xdr:rowOff>6339</xdr:rowOff>
    </xdr:from>
    <xdr:to>
      <xdr:col>97</xdr:col>
      <xdr:colOff>582605</xdr:colOff>
      <xdr:row>68</xdr:row>
      <xdr:rowOff>94335</xdr:rowOff>
    </xdr:to>
    <xdr:pic>
      <xdr:nvPicPr>
        <xdr:cNvPr id="83" name="Imagem 82">
          <a:extLst>
            <a:ext uri="{FF2B5EF4-FFF2-40B4-BE49-F238E27FC236}">
              <a16:creationId xmlns:a16="http://schemas.microsoft.com/office/drawing/2014/main" id="{00000000-0008-0000-1700-000053000000}"/>
            </a:ext>
          </a:extLst>
        </xdr:cNvPr>
        <xdr:cNvPicPr>
          <a:picLocks noChangeAspect="1"/>
        </xdr:cNvPicPr>
      </xdr:nvPicPr>
      <xdr:blipFill>
        <a:blip xmlns:r="http://schemas.openxmlformats.org/officeDocument/2006/relationships" r:embed="rId16">
          <a:extLst>
            <a:ext uri="{BEBA8EAE-BF5A-486C-A8C5-ECC9F3942E4B}">
              <a14:imgProps xmlns:a14="http://schemas.microsoft.com/office/drawing/2010/main">
                <a14:imgLayer r:embed="rId17">
                  <a14:imgEffect>
                    <a14:brightnessContrast bright="53000"/>
                  </a14:imgEffect>
                </a14:imgLayer>
              </a14:imgProps>
            </a:ext>
          </a:extLst>
        </a:blip>
        <a:stretch>
          <a:fillRect/>
        </a:stretch>
      </xdr:blipFill>
      <xdr:spPr>
        <a:xfrm>
          <a:off x="69749759" y="11556989"/>
          <a:ext cx="454246" cy="87996"/>
        </a:xfrm>
        <a:prstGeom prst="rect">
          <a:avLst/>
        </a:prstGeom>
      </xdr:spPr>
    </xdr:pic>
    <xdr:clientData/>
  </xdr:twoCellAnchor>
  <xdr:twoCellAnchor>
    <xdr:from>
      <xdr:col>43</xdr:col>
      <xdr:colOff>1441449</xdr:colOff>
      <xdr:row>43</xdr:row>
      <xdr:rowOff>57273</xdr:rowOff>
    </xdr:from>
    <xdr:to>
      <xdr:col>48</xdr:col>
      <xdr:colOff>312799</xdr:colOff>
      <xdr:row>70</xdr:row>
      <xdr:rowOff>88773</xdr:rowOff>
    </xdr:to>
    <xdr:grpSp>
      <xdr:nvGrpSpPr>
        <xdr:cNvPr id="39" name="Agrupar 38">
          <a:extLst>
            <a:ext uri="{FF2B5EF4-FFF2-40B4-BE49-F238E27FC236}">
              <a16:creationId xmlns:a16="http://schemas.microsoft.com/office/drawing/2014/main" id="{00000000-0008-0000-1700-000027000000}"/>
            </a:ext>
          </a:extLst>
        </xdr:cNvPr>
        <xdr:cNvGrpSpPr/>
      </xdr:nvGrpSpPr>
      <xdr:grpSpPr>
        <a:xfrm>
          <a:off x="30645099" y="7020048"/>
          <a:ext cx="4272025" cy="4403475"/>
          <a:chOff x="30321249" y="7816973"/>
          <a:chExt cx="7073901" cy="4444878"/>
        </a:xfrm>
      </xdr:grpSpPr>
      <xdr:grpSp>
        <xdr:nvGrpSpPr>
          <xdr:cNvPr id="24" name="Agrupar 23">
            <a:extLst>
              <a:ext uri="{FF2B5EF4-FFF2-40B4-BE49-F238E27FC236}">
                <a16:creationId xmlns:a16="http://schemas.microsoft.com/office/drawing/2014/main" id="{00000000-0008-0000-1700-000018000000}"/>
              </a:ext>
            </a:extLst>
          </xdr:cNvPr>
          <xdr:cNvGrpSpPr/>
        </xdr:nvGrpSpPr>
        <xdr:grpSpPr>
          <a:xfrm>
            <a:off x="33350200" y="7956550"/>
            <a:ext cx="4044950" cy="4278927"/>
            <a:chOff x="36995100" y="7382327"/>
            <a:chExt cx="4518701" cy="6122723"/>
          </a:xfrm>
        </xdr:grpSpPr>
        <xdr:pic>
          <xdr:nvPicPr>
            <xdr:cNvPr id="86" name="Imagem 85" descr="C:\Users\lsbgep7346\Downloads\ChatGPT Image 11_05_2026, 15_30_11.png">
              <a:extLst>
                <a:ext uri="{FF2B5EF4-FFF2-40B4-BE49-F238E27FC236}">
                  <a16:creationId xmlns:a16="http://schemas.microsoft.com/office/drawing/2014/main" id="{00000000-0008-0000-1700-000056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6995100" y="7385050"/>
              <a:ext cx="4518701" cy="6120000"/>
            </a:xfrm>
            <a:prstGeom prst="rect">
              <a:avLst/>
            </a:prstGeom>
            <a:noFill/>
            <a:extLst>
              <a:ext uri="{909E8E84-426E-40DD-AFC4-6F175D3DCCD1}">
                <a14:hiddenFill xmlns:a14="http://schemas.microsoft.com/office/drawing/2010/main">
                  <a:solidFill>
                    <a:srgbClr val="FFFFFF"/>
                  </a:solidFill>
                </a14:hiddenFill>
              </a:ext>
            </a:extLst>
          </xdr:spPr>
        </xdr:pic>
        <xdr:graphicFrame macro="">
          <xdr:nvGraphicFramePr>
            <xdr:cNvPr id="29" name="Gráfico 28">
              <a:extLst>
                <a:ext uri="{FF2B5EF4-FFF2-40B4-BE49-F238E27FC236}">
                  <a16:creationId xmlns:a16="http://schemas.microsoft.com/office/drawing/2014/main" id="{00000000-0008-0000-1700-00001D000000}"/>
                </a:ext>
              </a:extLst>
            </xdr:cNvPr>
            <xdr:cNvGraphicFramePr/>
          </xdr:nvGraphicFramePr>
          <xdr:xfrm>
            <a:off x="39529484" y="7382327"/>
            <a:ext cx="1037513" cy="1222766"/>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30" name="Gráfico 29">
              <a:extLst>
                <a:ext uri="{FF2B5EF4-FFF2-40B4-BE49-F238E27FC236}">
                  <a16:creationId xmlns:a16="http://schemas.microsoft.com/office/drawing/2014/main" id="{00000000-0008-0000-1700-00001E000000}"/>
                </a:ext>
              </a:extLst>
            </xdr:cNvPr>
            <xdr:cNvGraphicFramePr>
              <a:graphicFrameLocks/>
            </xdr:cNvGraphicFramePr>
          </xdr:nvGraphicFramePr>
          <xdr:xfrm>
            <a:off x="38276077" y="9119166"/>
            <a:ext cx="1037513" cy="1295549"/>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32" name="Gráfico 31">
              <a:extLst>
                <a:ext uri="{FF2B5EF4-FFF2-40B4-BE49-F238E27FC236}">
                  <a16:creationId xmlns:a16="http://schemas.microsoft.com/office/drawing/2014/main" id="{00000000-0008-0000-1700-000020000000}"/>
                </a:ext>
              </a:extLst>
            </xdr:cNvPr>
            <xdr:cNvGraphicFramePr>
              <a:graphicFrameLocks/>
            </xdr:cNvGraphicFramePr>
          </xdr:nvGraphicFramePr>
          <xdr:xfrm>
            <a:off x="38033774" y="10815392"/>
            <a:ext cx="972154" cy="2613837"/>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31" name="Gráfico 30">
              <a:extLst>
                <a:ext uri="{FF2B5EF4-FFF2-40B4-BE49-F238E27FC236}">
                  <a16:creationId xmlns:a16="http://schemas.microsoft.com/office/drawing/2014/main" id="{00000000-0008-0000-1700-00001F000000}"/>
                </a:ext>
              </a:extLst>
            </xdr:cNvPr>
            <xdr:cNvGraphicFramePr>
              <a:graphicFrameLocks/>
            </xdr:cNvGraphicFramePr>
          </xdr:nvGraphicFramePr>
          <xdr:xfrm>
            <a:off x="37591389" y="9425303"/>
            <a:ext cx="1037513" cy="2311181"/>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87" name="Gráfico 86">
              <a:extLst>
                <a:ext uri="{FF2B5EF4-FFF2-40B4-BE49-F238E27FC236}">
                  <a16:creationId xmlns:a16="http://schemas.microsoft.com/office/drawing/2014/main" id="{00000000-0008-0000-1700-000057000000}"/>
                </a:ext>
              </a:extLst>
            </xdr:cNvPr>
            <xdr:cNvGraphicFramePr>
              <a:graphicFrameLocks/>
            </xdr:cNvGraphicFramePr>
          </xdr:nvGraphicFramePr>
          <xdr:xfrm>
            <a:off x="38963600" y="9347200"/>
            <a:ext cx="972154" cy="2613837"/>
          </xdr:xfrm>
          <a:graphic>
            <a:graphicData uri="http://schemas.openxmlformats.org/drawingml/2006/chart">
              <c:chart xmlns:c="http://schemas.openxmlformats.org/drawingml/2006/chart" xmlns:r="http://schemas.openxmlformats.org/officeDocument/2006/relationships" r:id="rId23"/>
            </a:graphicData>
          </a:graphic>
        </xdr:graphicFrame>
      </xdr:grpSp>
      <xdr:graphicFrame macro="">
        <xdr:nvGraphicFramePr>
          <xdr:cNvPr id="27" name="Gráfico 26">
            <a:extLst>
              <a:ext uri="{FF2B5EF4-FFF2-40B4-BE49-F238E27FC236}">
                <a16:creationId xmlns:a16="http://schemas.microsoft.com/office/drawing/2014/main" id="{00000000-0008-0000-1700-00001B000000}"/>
              </a:ext>
            </a:extLst>
          </xdr:cNvPr>
          <xdr:cNvGraphicFramePr/>
        </xdr:nvGraphicFramePr>
        <xdr:xfrm>
          <a:off x="30321249" y="7816973"/>
          <a:ext cx="4065773" cy="4444878"/>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65</xdr:col>
      <xdr:colOff>127000</xdr:colOff>
      <xdr:row>46</xdr:row>
      <xdr:rowOff>90205</xdr:rowOff>
    </xdr:from>
    <xdr:to>
      <xdr:col>70</xdr:col>
      <xdr:colOff>643000</xdr:colOff>
      <xdr:row>73</xdr:row>
      <xdr:rowOff>121705</xdr:rowOff>
    </xdr:to>
    <xdr:grpSp>
      <xdr:nvGrpSpPr>
        <xdr:cNvPr id="85" name="Agrupar 84">
          <a:extLst>
            <a:ext uri="{FF2B5EF4-FFF2-40B4-BE49-F238E27FC236}">
              <a16:creationId xmlns:a16="http://schemas.microsoft.com/office/drawing/2014/main" id="{00000000-0008-0000-1700-000055000000}"/>
            </a:ext>
          </a:extLst>
        </xdr:cNvPr>
        <xdr:cNvGrpSpPr/>
      </xdr:nvGrpSpPr>
      <xdr:grpSpPr>
        <a:xfrm>
          <a:off x="45961300" y="7538755"/>
          <a:ext cx="4287900" cy="4403475"/>
          <a:chOff x="53873400" y="8053105"/>
          <a:chExt cx="4776849" cy="4722845"/>
        </a:xfrm>
      </xdr:grpSpPr>
      <xdr:grpSp>
        <xdr:nvGrpSpPr>
          <xdr:cNvPr id="54" name="Agrupar 53">
            <a:extLst>
              <a:ext uri="{FF2B5EF4-FFF2-40B4-BE49-F238E27FC236}">
                <a16:creationId xmlns:a16="http://schemas.microsoft.com/office/drawing/2014/main" id="{00000000-0008-0000-1700-000036000000}"/>
              </a:ext>
            </a:extLst>
          </xdr:cNvPr>
          <xdr:cNvGrpSpPr/>
        </xdr:nvGrpSpPr>
        <xdr:grpSpPr>
          <a:xfrm>
            <a:off x="56089441" y="8053105"/>
            <a:ext cx="2560808" cy="4359658"/>
            <a:chOff x="56165641" y="7995955"/>
            <a:chExt cx="2560808" cy="4359658"/>
          </a:xfrm>
        </xdr:grpSpPr>
        <xdr:pic>
          <xdr:nvPicPr>
            <xdr:cNvPr id="93" name="Imagem 92" descr="C:\Users\lsbgep7346\Downloads\ChatGPT Image 11_05_2026, 15_30_11.png">
              <a:extLst>
                <a:ext uri="{FF2B5EF4-FFF2-40B4-BE49-F238E27FC236}">
                  <a16:creationId xmlns:a16="http://schemas.microsoft.com/office/drawing/2014/main" id="{00000000-0008-0000-1700-00005D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6165641" y="8035941"/>
              <a:ext cx="2560808" cy="4319672"/>
            </a:xfrm>
            <a:prstGeom prst="rect">
              <a:avLst/>
            </a:prstGeom>
            <a:noFill/>
            <a:extLst>
              <a:ext uri="{909E8E84-426E-40DD-AFC4-6F175D3DCCD1}">
                <a14:hiddenFill xmlns:a14="http://schemas.microsoft.com/office/drawing/2010/main">
                  <a:solidFill>
                    <a:srgbClr val="FFFFFF"/>
                  </a:solidFill>
                </a14:hiddenFill>
              </a:ext>
            </a:extLst>
          </xdr:spPr>
        </xdr:pic>
        <xdr:graphicFrame macro="">
          <xdr:nvGraphicFramePr>
            <xdr:cNvPr id="47" name="Gráfico 46">
              <a:extLst>
                <a:ext uri="{FF2B5EF4-FFF2-40B4-BE49-F238E27FC236}">
                  <a16:creationId xmlns:a16="http://schemas.microsoft.com/office/drawing/2014/main" id="{00000000-0008-0000-1700-00002F000000}"/>
                </a:ext>
              </a:extLst>
            </xdr:cNvPr>
            <xdr:cNvGraphicFramePr>
              <a:graphicFrameLocks/>
            </xdr:cNvGraphicFramePr>
          </xdr:nvGraphicFramePr>
          <xdr:xfrm>
            <a:off x="56714672" y="9542367"/>
            <a:ext cx="663023" cy="2782983"/>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48" name="Gráfico 47">
              <a:extLst>
                <a:ext uri="{FF2B5EF4-FFF2-40B4-BE49-F238E27FC236}">
                  <a16:creationId xmlns:a16="http://schemas.microsoft.com/office/drawing/2014/main" id="{00000000-0008-0000-1700-000030000000}"/>
                </a:ext>
              </a:extLst>
            </xdr:cNvPr>
            <xdr:cNvGraphicFramePr>
              <a:graphicFrameLocks/>
            </xdr:cNvGraphicFramePr>
          </xdr:nvGraphicFramePr>
          <xdr:xfrm>
            <a:off x="57291225" y="8826500"/>
            <a:ext cx="707598" cy="2275961"/>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45" name="Gráfico 44">
              <a:extLst>
                <a:ext uri="{FF2B5EF4-FFF2-40B4-BE49-F238E27FC236}">
                  <a16:creationId xmlns:a16="http://schemas.microsoft.com/office/drawing/2014/main" id="{00000000-0008-0000-1700-00002D000000}"/>
                </a:ext>
              </a:extLst>
            </xdr:cNvPr>
            <xdr:cNvGraphicFramePr>
              <a:graphicFrameLocks/>
            </xdr:cNvGraphicFramePr>
          </xdr:nvGraphicFramePr>
          <xdr:xfrm>
            <a:off x="57480491" y="8712298"/>
            <a:ext cx="707598" cy="1171852"/>
          </xdr:xfrm>
          <a:graphic>
            <a:graphicData uri="http://schemas.openxmlformats.org/drawingml/2006/chart">
              <c:chart xmlns:c="http://schemas.openxmlformats.org/drawingml/2006/chart" xmlns:r="http://schemas.openxmlformats.org/officeDocument/2006/relationships" r:id="rId28"/>
            </a:graphicData>
          </a:graphic>
        </xdr:graphicFrame>
        <xdr:graphicFrame macro="">
          <xdr:nvGraphicFramePr>
            <xdr:cNvPr id="44" name="Gráfico 43">
              <a:extLst>
                <a:ext uri="{FF2B5EF4-FFF2-40B4-BE49-F238E27FC236}">
                  <a16:creationId xmlns:a16="http://schemas.microsoft.com/office/drawing/2014/main" id="{00000000-0008-0000-1700-00002C000000}"/>
                </a:ext>
              </a:extLst>
            </xdr:cNvPr>
            <xdr:cNvGraphicFramePr/>
          </xdr:nvGraphicFramePr>
          <xdr:xfrm>
            <a:off x="56852494" y="7995955"/>
            <a:ext cx="707598" cy="961829"/>
          </xdr:xfrm>
          <a:graphic>
            <a:graphicData uri="http://schemas.openxmlformats.org/drawingml/2006/chart">
              <c:chart xmlns:c="http://schemas.openxmlformats.org/drawingml/2006/chart" xmlns:r="http://schemas.openxmlformats.org/officeDocument/2006/relationships" r:id="rId29"/>
            </a:graphicData>
          </a:graphic>
        </xdr:graphicFrame>
        <xdr:graphicFrame macro="">
          <xdr:nvGraphicFramePr>
            <xdr:cNvPr id="99" name="Gráfico 98">
              <a:extLst>
                <a:ext uri="{FF2B5EF4-FFF2-40B4-BE49-F238E27FC236}">
                  <a16:creationId xmlns:a16="http://schemas.microsoft.com/office/drawing/2014/main" id="{00000000-0008-0000-1700-000063000000}"/>
                </a:ext>
              </a:extLst>
            </xdr:cNvPr>
            <xdr:cNvGraphicFramePr>
              <a:graphicFrameLocks/>
            </xdr:cNvGraphicFramePr>
          </xdr:nvGraphicFramePr>
          <xdr:xfrm>
            <a:off x="56502300" y="10140950"/>
            <a:ext cx="707598" cy="961829"/>
          </xdr:xfrm>
          <a:graphic>
            <a:graphicData uri="http://schemas.openxmlformats.org/drawingml/2006/chart">
              <c:chart xmlns:c="http://schemas.openxmlformats.org/drawingml/2006/chart" xmlns:r="http://schemas.openxmlformats.org/officeDocument/2006/relationships" r:id="rId30"/>
            </a:graphicData>
          </a:graphic>
        </xdr:graphicFrame>
      </xdr:grpSp>
      <xdr:graphicFrame macro="">
        <xdr:nvGraphicFramePr>
          <xdr:cNvPr id="92" name="Gráfico 91">
            <a:extLst>
              <a:ext uri="{FF2B5EF4-FFF2-40B4-BE49-F238E27FC236}">
                <a16:creationId xmlns:a16="http://schemas.microsoft.com/office/drawing/2014/main" id="{00000000-0008-0000-1700-00005C000000}"/>
              </a:ext>
            </a:extLst>
          </xdr:cNvPr>
          <xdr:cNvGraphicFramePr/>
        </xdr:nvGraphicFramePr>
        <xdr:xfrm>
          <a:off x="53873400" y="8153400"/>
          <a:ext cx="2618441" cy="4622550"/>
        </xdr:xfrm>
        <a:graphic>
          <a:graphicData uri="http://schemas.openxmlformats.org/drawingml/2006/chart">
            <c:chart xmlns:c="http://schemas.openxmlformats.org/drawingml/2006/chart" xmlns:r="http://schemas.openxmlformats.org/officeDocument/2006/relationships" r:id="rId31"/>
          </a:graphicData>
        </a:graphic>
      </xdr:graphicFrame>
    </xdr:grpSp>
    <xdr:clientData/>
  </xdr:twoCellAnchor>
  <xdr:twoCellAnchor>
    <xdr:from>
      <xdr:col>83</xdr:col>
      <xdr:colOff>475109</xdr:colOff>
      <xdr:row>44</xdr:row>
      <xdr:rowOff>13607</xdr:rowOff>
    </xdr:from>
    <xdr:to>
      <xdr:col>90</xdr:col>
      <xdr:colOff>476759</xdr:colOff>
      <xdr:row>71</xdr:row>
      <xdr:rowOff>94093</xdr:rowOff>
    </xdr:to>
    <xdr:grpSp>
      <xdr:nvGrpSpPr>
        <xdr:cNvPr id="89" name="Agrupar 88">
          <a:extLst>
            <a:ext uri="{FF2B5EF4-FFF2-40B4-BE49-F238E27FC236}">
              <a16:creationId xmlns:a16="http://schemas.microsoft.com/office/drawing/2014/main" id="{00000000-0008-0000-1700-000059000000}"/>
            </a:ext>
          </a:extLst>
        </xdr:cNvPr>
        <xdr:cNvGrpSpPr/>
      </xdr:nvGrpSpPr>
      <xdr:grpSpPr>
        <a:xfrm>
          <a:off x="58187084" y="7138307"/>
          <a:ext cx="4268850" cy="4452461"/>
          <a:chOff x="60995145" y="7193643"/>
          <a:chExt cx="5779641" cy="4513036"/>
        </a:xfrm>
      </xdr:grpSpPr>
      <xdr:grpSp>
        <xdr:nvGrpSpPr>
          <xdr:cNvPr id="88" name="Agrupar 87">
            <a:extLst>
              <a:ext uri="{FF2B5EF4-FFF2-40B4-BE49-F238E27FC236}">
                <a16:creationId xmlns:a16="http://schemas.microsoft.com/office/drawing/2014/main" id="{00000000-0008-0000-1700-000058000000}"/>
              </a:ext>
            </a:extLst>
          </xdr:cNvPr>
          <xdr:cNvGrpSpPr/>
        </xdr:nvGrpSpPr>
        <xdr:grpSpPr>
          <a:xfrm>
            <a:off x="63904586" y="7193643"/>
            <a:ext cx="2870200" cy="4354286"/>
            <a:chOff x="64897907" y="7108824"/>
            <a:chExt cx="2393943" cy="3628386"/>
          </a:xfrm>
        </xdr:grpSpPr>
        <xdr:pic>
          <xdr:nvPicPr>
            <xdr:cNvPr id="102" name="Imagem 101" descr="C:\Users\lsbgep7346\Downloads\ChatGPT Image 11_05_2026, 15_30_11.png">
              <a:extLst>
                <a:ext uri="{FF2B5EF4-FFF2-40B4-BE49-F238E27FC236}">
                  <a16:creationId xmlns:a16="http://schemas.microsoft.com/office/drawing/2014/main" id="{00000000-0008-0000-1700-000066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64897907" y="7500257"/>
              <a:ext cx="2393943" cy="3215832"/>
            </a:xfrm>
            <a:prstGeom prst="rect">
              <a:avLst/>
            </a:prstGeom>
            <a:noFill/>
            <a:extLst>
              <a:ext uri="{909E8E84-426E-40DD-AFC4-6F175D3DCCD1}">
                <a14:hiddenFill xmlns:a14="http://schemas.microsoft.com/office/drawing/2010/main">
                  <a:solidFill>
                    <a:srgbClr val="FFFFFF"/>
                  </a:solidFill>
                </a14:hiddenFill>
              </a:ext>
            </a:extLst>
          </xdr:spPr>
        </xdr:pic>
        <xdr:graphicFrame macro="">
          <xdr:nvGraphicFramePr>
            <xdr:cNvPr id="59" name="Gráfico 58">
              <a:extLst>
                <a:ext uri="{FF2B5EF4-FFF2-40B4-BE49-F238E27FC236}">
                  <a16:creationId xmlns:a16="http://schemas.microsoft.com/office/drawing/2014/main" id="{00000000-0008-0000-1700-00003B000000}"/>
                </a:ext>
              </a:extLst>
            </xdr:cNvPr>
            <xdr:cNvGraphicFramePr/>
          </xdr:nvGraphicFramePr>
          <xdr:xfrm>
            <a:off x="66108022" y="7108824"/>
            <a:ext cx="766422" cy="1118152"/>
          </xdr:xfrm>
          <a:graphic>
            <a:graphicData uri="http://schemas.openxmlformats.org/drawingml/2006/chart">
              <c:chart xmlns:c="http://schemas.openxmlformats.org/drawingml/2006/chart" xmlns:r="http://schemas.openxmlformats.org/officeDocument/2006/relationships" r:id="rId33"/>
            </a:graphicData>
          </a:graphic>
        </xdr:graphicFrame>
        <xdr:graphicFrame macro="">
          <xdr:nvGraphicFramePr>
            <xdr:cNvPr id="60" name="Gráfico 59">
              <a:extLst>
                <a:ext uri="{FF2B5EF4-FFF2-40B4-BE49-F238E27FC236}">
                  <a16:creationId xmlns:a16="http://schemas.microsoft.com/office/drawing/2014/main" id="{00000000-0008-0000-1700-00003C000000}"/>
                </a:ext>
              </a:extLst>
            </xdr:cNvPr>
            <xdr:cNvGraphicFramePr>
              <a:graphicFrameLocks/>
            </xdr:cNvGraphicFramePr>
          </xdr:nvGraphicFramePr>
          <xdr:xfrm>
            <a:off x="65486642" y="7810500"/>
            <a:ext cx="757505" cy="1092255"/>
          </xdr:xfrm>
          <a:graphic>
            <a:graphicData uri="http://schemas.openxmlformats.org/drawingml/2006/chart">
              <c:chart xmlns:c="http://schemas.openxmlformats.org/drawingml/2006/chart" xmlns:r="http://schemas.openxmlformats.org/officeDocument/2006/relationships" r:id="rId34"/>
            </a:graphicData>
          </a:graphic>
        </xdr:graphicFrame>
        <xdr:graphicFrame macro="">
          <xdr:nvGraphicFramePr>
            <xdr:cNvPr id="61" name="Gráfico 60">
              <a:extLst>
                <a:ext uri="{FF2B5EF4-FFF2-40B4-BE49-F238E27FC236}">
                  <a16:creationId xmlns:a16="http://schemas.microsoft.com/office/drawing/2014/main" id="{00000000-0008-0000-1700-00003D000000}"/>
                </a:ext>
              </a:extLst>
            </xdr:cNvPr>
            <xdr:cNvGraphicFramePr>
              <a:graphicFrameLocks/>
            </xdr:cNvGraphicFramePr>
          </xdr:nvGraphicFramePr>
          <xdr:xfrm>
            <a:off x="65231475" y="8807855"/>
            <a:ext cx="768235" cy="1095715"/>
          </xdr:xfrm>
          <a:graphic>
            <a:graphicData uri="http://schemas.openxmlformats.org/drawingml/2006/chart">
              <c:chart xmlns:c="http://schemas.openxmlformats.org/drawingml/2006/chart" xmlns:r="http://schemas.openxmlformats.org/officeDocument/2006/relationships" r:id="rId35"/>
            </a:graphicData>
          </a:graphic>
        </xdr:graphicFrame>
        <xdr:graphicFrame macro="">
          <xdr:nvGraphicFramePr>
            <xdr:cNvPr id="62" name="Gráfico 61">
              <a:extLst>
                <a:ext uri="{FF2B5EF4-FFF2-40B4-BE49-F238E27FC236}">
                  <a16:creationId xmlns:a16="http://schemas.microsoft.com/office/drawing/2014/main" id="{00000000-0008-0000-1700-00003E000000}"/>
                </a:ext>
              </a:extLst>
            </xdr:cNvPr>
            <xdr:cNvGraphicFramePr>
              <a:graphicFrameLocks/>
            </xdr:cNvGraphicFramePr>
          </xdr:nvGraphicFramePr>
          <xdr:xfrm>
            <a:off x="65395919" y="9898144"/>
            <a:ext cx="719725" cy="839066"/>
          </xdr:xfrm>
          <a:graphic>
            <a:graphicData uri="http://schemas.openxmlformats.org/drawingml/2006/chart">
              <c:chart xmlns:c="http://schemas.openxmlformats.org/drawingml/2006/chart" xmlns:r="http://schemas.openxmlformats.org/officeDocument/2006/relationships" r:id="rId36"/>
            </a:graphicData>
          </a:graphic>
        </xdr:graphicFrame>
        <xdr:graphicFrame macro="">
          <xdr:nvGraphicFramePr>
            <xdr:cNvPr id="63" name="Gráfico 62">
              <a:extLst>
                <a:ext uri="{FF2B5EF4-FFF2-40B4-BE49-F238E27FC236}">
                  <a16:creationId xmlns:a16="http://schemas.microsoft.com/office/drawing/2014/main" id="{00000000-0008-0000-1700-00003F000000}"/>
                </a:ext>
              </a:extLst>
            </xdr:cNvPr>
            <xdr:cNvGraphicFramePr>
              <a:graphicFrameLocks/>
            </xdr:cNvGraphicFramePr>
          </xdr:nvGraphicFramePr>
          <xdr:xfrm>
            <a:off x="65870441" y="8899720"/>
            <a:ext cx="768236" cy="1095714"/>
          </xdr:xfrm>
          <a:graphic>
            <a:graphicData uri="http://schemas.openxmlformats.org/drawingml/2006/chart">
              <c:chart xmlns:c="http://schemas.openxmlformats.org/drawingml/2006/chart" xmlns:r="http://schemas.openxmlformats.org/officeDocument/2006/relationships" r:id="rId37"/>
            </a:graphicData>
          </a:graphic>
        </xdr:graphicFrame>
      </xdr:grpSp>
      <xdr:graphicFrame macro="">
        <xdr:nvGraphicFramePr>
          <xdr:cNvPr id="57" name="Gráfico 56">
            <a:extLst>
              <a:ext uri="{FF2B5EF4-FFF2-40B4-BE49-F238E27FC236}">
                <a16:creationId xmlns:a16="http://schemas.microsoft.com/office/drawing/2014/main" id="{00000000-0008-0000-1700-000039000000}"/>
              </a:ext>
            </a:extLst>
          </xdr:cNvPr>
          <xdr:cNvGraphicFramePr>
            <a:graphicFrameLocks/>
          </xdr:cNvGraphicFramePr>
        </xdr:nvGraphicFramePr>
        <xdr:xfrm>
          <a:off x="60995145" y="7343322"/>
          <a:ext cx="3085419" cy="4363357"/>
        </xdr:xfrm>
        <a:graphic>
          <a:graphicData uri="http://schemas.openxmlformats.org/drawingml/2006/chart">
            <c:chart xmlns:c="http://schemas.openxmlformats.org/drawingml/2006/chart" xmlns:r="http://schemas.openxmlformats.org/officeDocument/2006/relationships" r:id="rId38"/>
          </a:graphicData>
        </a:graphic>
      </xdr:graphicFrame>
    </xdr:grpSp>
    <xdr:clientData/>
  </xdr:twoCellAnchor>
  <mc:AlternateContent xmlns:mc="http://schemas.openxmlformats.org/markup-compatibility/2006">
    <mc:Choice xmlns:a14="http://schemas.microsoft.com/office/drawing/2010/main" Requires="a14">
      <xdr:twoCellAnchor editAs="oneCell">
        <xdr:from>
          <xdr:col>17</xdr:col>
          <xdr:colOff>66675</xdr:colOff>
          <xdr:row>32</xdr:row>
          <xdr:rowOff>19050</xdr:rowOff>
        </xdr:from>
        <xdr:to>
          <xdr:col>18</xdr:col>
          <xdr:colOff>295275</xdr:colOff>
          <xdr:row>33</xdr:row>
          <xdr:rowOff>57150</xdr:rowOff>
        </xdr:to>
        <xdr:sp macro="" textlink="">
          <xdr:nvSpPr>
            <xdr:cNvPr id="512005" name="Drop Down 5" hidden="1">
              <a:extLst>
                <a:ext uri="{63B3BB69-23CF-44E3-9099-C40C66FF867C}">
                  <a14:compatExt spid="_x0000_s512005"/>
                </a:ext>
                <a:ext uri="{FF2B5EF4-FFF2-40B4-BE49-F238E27FC236}">
                  <a16:creationId xmlns:a16="http://schemas.microsoft.com/office/drawing/2014/main" id="{00000000-0008-0000-1700-000005D0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457200</xdr:colOff>
          <xdr:row>66</xdr:row>
          <xdr:rowOff>123825</xdr:rowOff>
        </xdr:from>
        <xdr:to>
          <xdr:col>25</xdr:col>
          <xdr:colOff>495300</xdr:colOff>
          <xdr:row>68</xdr:row>
          <xdr:rowOff>0</xdr:rowOff>
        </xdr:to>
        <xdr:sp macro="" textlink="">
          <xdr:nvSpPr>
            <xdr:cNvPr id="512006" name="Drop Down 6" hidden="1">
              <a:extLst>
                <a:ext uri="{63B3BB69-23CF-44E3-9099-C40C66FF867C}">
                  <a14:compatExt spid="_x0000_s512006"/>
                </a:ext>
                <a:ext uri="{FF2B5EF4-FFF2-40B4-BE49-F238E27FC236}">
                  <a16:creationId xmlns:a16="http://schemas.microsoft.com/office/drawing/2014/main" id="{00000000-0008-0000-1700-000006D0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1.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6_Fig!$T$2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9F6455D-4342-4A1A-B4A9-581197AA6303}"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3_q7_q11_q15_q24_q36_Fig!$AD$2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5B4863-F92E-4721-A263-86A404FF0CA7}"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904728" y="-160966"/>
          <a:ext cx="300137" cy="72964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62.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6_Fig!$T$2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9F6455D-4342-4A1A-B4A9-581197AA6303}"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3_q7_q11_q15_q24_q36_Fig!$AD$2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5B4863-F92E-4721-A263-86A404FF0CA7}"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0.73834</cdr:x>
      <cdr:y>0.02071</cdr:y>
    </cdr:from>
    <cdr:to>
      <cdr:x>0.917</cdr:x>
      <cdr:y>0.132</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742587" y="-221896"/>
          <a:ext cx="288000" cy="838973"/>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63.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7_q11_q15_q24_q36_Fig!$T$10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2363ABA-4DF2-4BB4-B35C-BE4C0AECD3C3}"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0.52969</cdr:x>
      <cdr:y>0.02092</cdr:y>
    </cdr:from>
    <cdr:to>
      <cdr:x>0.63426</cdr:x>
      <cdr:y>0.13808</cdr:y>
    </cdr:to>
    <cdr:sp macro="" textlink="q3_q7_q11_q15_q24_q36_Fig!$AD$10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1258" y="-39796"/>
          <a:ext cx="303177" cy="49104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EBFF525-C5AC-4332-81AA-4A61089D2C43}"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904728" y="-160966"/>
          <a:ext cx="300137" cy="72964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6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9525</xdr:colOff>
          <xdr:row>8</xdr:row>
          <xdr:rowOff>9525</xdr:rowOff>
        </xdr:from>
        <xdr:to>
          <xdr:col>19</xdr:col>
          <xdr:colOff>771525</xdr:colOff>
          <xdr:row>9</xdr:row>
          <xdr:rowOff>19050</xdr:rowOff>
        </xdr:to>
        <xdr:sp macro="" textlink="">
          <xdr:nvSpPr>
            <xdr:cNvPr id="359425" name="Drop Down 1" hidden="1">
              <a:extLst>
                <a:ext uri="{63B3BB69-23CF-44E3-9099-C40C66FF867C}">
                  <a14:compatExt spid="_x0000_s359425"/>
                </a:ext>
                <a:ext uri="{FF2B5EF4-FFF2-40B4-BE49-F238E27FC236}">
                  <a16:creationId xmlns:a16="http://schemas.microsoft.com/office/drawing/2014/main" id="{00000000-0008-0000-1800-0000017C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25</xdr:col>
      <xdr:colOff>138113</xdr:colOff>
      <xdr:row>5</xdr:row>
      <xdr:rowOff>92075</xdr:rowOff>
    </xdr:from>
    <xdr:to>
      <xdr:col>34</xdr:col>
      <xdr:colOff>463550</xdr:colOff>
      <xdr:row>26</xdr:row>
      <xdr:rowOff>155574</xdr:rowOff>
    </xdr:to>
    <xdr:grpSp>
      <xdr:nvGrpSpPr>
        <xdr:cNvPr id="2" name="Agrupar 1">
          <a:extLst>
            <a:ext uri="{FF2B5EF4-FFF2-40B4-BE49-F238E27FC236}">
              <a16:creationId xmlns:a16="http://schemas.microsoft.com/office/drawing/2014/main" id="{00000000-0008-0000-1800-000002000000}"/>
            </a:ext>
          </a:extLst>
        </xdr:cNvPr>
        <xdr:cNvGrpSpPr/>
      </xdr:nvGrpSpPr>
      <xdr:grpSpPr>
        <a:xfrm>
          <a:off x="17235488" y="901700"/>
          <a:ext cx="5811837" cy="3463924"/>
          <a:chOff x="17325975" y="933450"/>
          <a:chExt cx="5810250" cy="3467099"/>
        </a:xfrm>
      </xdr:grpSpPr>
      <xdr:graphicFrame macro="">
        <xdr:nvGraphicFramePr>
          <xdr:cNvPr id="4" name="Gráfico 3">
            <a:extLst>
              <a:ext uri="{FF2B5EF4-FFF2-40B4-BE49-F238E27FC236}">
                <a16:creationId xmlns:a16="http://schemas.microsoft.com/office/drawing/2014/main" id="{00000000-0008-0000-1800-000004000000}"/>
              </a:ext>
            </a:extLst>
          </xdr:cNvPr>
          <xdr:cNvGraphicFramePr>
            <a:graphicFrameLocks/>
          </xdr:cNvGraphicFramePr>
        </xdr:nvGraphicFramePr>
        <xdr:xfrm>
          <a:off x="17325975" y="1305142"/>
          <a:ext cx="3905250" cy="3095407"/>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5" name="Agrupar 4">
            <a:extLst>
              <a:ext uri="{FF2B5EF4-FFF2-40B4-BE49-F238E27FC236}">
                <a16:creationId xmlns:a16="http://schemas.microsoft.com/office/drawing/2014/main" id="{00000000-0008-0000-1800-000005000000}"/>
              </a:ext>
            </a:extLst>
          </xdr:cNvPr>
          <xdr:cNvGrpSpPr/>
        </xdr:nvGrpSpPr>
        <xdr:grpSpPr>
          <a:xfrm>
            <a:off x="20111887" y="933450"/>
            <a:ext cx="3024338" cy="3295647"/>
            <a:chOff x="15382876" y="10342315"/>
            <a:chExt cx="2836231" cy="2080882"/>
          </a:xfrm>
        </xdr:grpSpPr>
        <xdr:graphicFrame macro="">
          <xdr:nvGraphicFramePr>
            <xdr:cNvPr id="6" name="Gráfico 5">
              <a:extLst>
                <a:ext uri="{FF2B5EF4-FFF2-40B4-BE49-F238E27FC236}">
                  <a16:creationId xmlns:a16="http://schemas.microsoft.com/office/drawing/2014/main" id="{00000000-0008-0000-1800-000006000000}"/>
                </a:ext>
              </a:extLst>
            </xdr:cNvPr>
            <xdr:cNvGraphicFramePr>
              <a:graphicFrameLocks/>
            </xdr:cNvGraphicFramePr>
          </xdr:nvGraphicFramePr>
          <xdr:xfrm>
            <a:off x="15382876" y="10368740"/>
            <a:ext cx="2836231" cy="2054457"/>
          </xdr:xfrm>
          <a:graphic>
            <a:graphicData uri="http://schemas.openxmlformats.org/drawingml/2006/chart">
              <c:chart xmlns:c="http://schemas.openxmlformats.org/drawingml/2006/chart" xmlns:r="http://schemas.openxmlformats.org/officeDocument/2006/relationships" r:id="rId2"/>
            </a:graphicData>
          </a:graphic>
        </xdr:graphicFrame>
        <xdr:sp macro="" textlink="q19_q28_q29_q40_Fig!$T$27">
          <xdr:nvSpPr>
            <xdr:cNvPr id="7" name="CaixaDeTexto 6">
              <a:extLst>
                <a:ext uri="{FF2B5EF4-FFF2-40B4-BE49-F238E27FC236}">
                  <a16:creationId xmlns:a16="http://schemas.microsoft.com/office/drawing/2014/main" id="{00000000-0008-0000-1800-000007000000}"/>
                </a:ext>
              </a:extLst>
            </xdr:cNvPr>
            <xdr:cNvSpPr txBox="1"/>
          </xdr:nvSpPr>
          <xdr:spPr>
            <a:xfrm>
              <a:off x="17385495" y="10583829"/>
              <a:ext cx="823129" cy="157512"/>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504791E-1670-4D29-8964-4C65E74FB918}"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3.354.136</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8" name="CaixaDeTexto 7">
              <a:extLst>
                <a:ext uri="{FF2B5EF4-FFF2-40B4-BE49-F238E27FC236}">
                  <a16:creationId xmlns:a16="http://schemas.microsoft.com/office/drawing/2014/main" id="{00000000-0008-0000-1800-000008000000}"/>
                </a:ext>
              </a:extLst>
            </xdr:cNvPr>
            <xdr:cNvSpPr txBox="1"/>
          </xdr:nvSpPr>
          <xdr:spPr>
            <a:xfrm>
              <a:off x="17385495" y="10342315"/>
              <a:ext cx="831067" cy="184497"/>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grpSp>
    </xdr:grpSp>
    <xdr:clientData/>
  </xdr:twoCellAnchor>
  <xdr:twoCellAnchor>
    <xdr:from>
      <xdr:col>23</xdr:col>
      <xdr:colOff>369888</xdr:colOff>
      <xdr:row>33</xdr:row>
      <xdr:rowOff>127000</xdr:rowOff>
    </xdr:from>
    <xdr:to>
      <xdr:col>32</xdr:col>
      <xdr:colOff>508001</xdr:colOff>
      <xdr:row>57</xdr:row>
      <xdr:rowOff>48156</xdr:rowOff>
    </xdr:to>
    <xdr:grpSp>
      <xdr:nvGrpSpPr>
        <xdr:cNvPr id="9" name="Agrupar 8">
          <a:extLst>
            <a:ext uri="{FF2B5EF4-FFF2-40B4-BE49-F238E27FC236}">
              <a16:creationId xmlns:a16="http://schemas.microsoft.com/office/drawing/2014/main" id="{00000000-0008-0000-1800-000009000000}"/>
            </a:ext>
          </a:extLst>
        </xdr:cNvPr>
        <xdr:cNvGrpSpPr/>
      </xdr:nvGrpSpPr>
      <xdr:grpSpPr>
        <a:xfrm>
          <a:off x="16248063" y="5470525"/>
          <a:ext cx="5624513" cy="3807356"/>
          <a:chOff x="16221075" y="5397500"/>
          <a:chExt cx="5638801" cy="3731156"/>
        </a:xfrm>
      </xdr:grpSpPr>
      <xdr:graphicFrame macro="">
        <xdr:nvGraphicFramePr>
          <xdr:cNvPr id="20" name="Gráfico 19">
            <a:extLst>
              <a:ext uri="{FF2B5EF4-FFF2-40B4-BE49-F238E27FC236}">
                <a16:creationId xmlns:a16="http://schemas.microsoft.com/office/drawing/2014/main" id="{00000000-0008-0000-1800-000014000000}"/>
              </a:ext>
            </a:extLst>
          </xdr:cNvPr>
          <xdr:cNvGraphicFramePr>
            <a:graphicFrameLocks/>
          </xdr:cNvGraphicFramePr>
        </xdr:nvGraphicFramePr>
        <xdr:xfrm>
          <a:off x="16221075" y="5734051"/>
          <a:ext cx="3800474" cy="3394605"/>
        </xdr:xfrm>
        <a:graphic>
          <a:graphicData uri="http://schemas.openxmlformats.org/drawingml/2006/chart">
            <c:chart xmlns:c="http://schemas.openxmlformats.org/drawingml/2006/chart" xmlns:r="http://schemas.openxmlformats.org/officeDocument/2006/relationships" r:id="rId3"/>
          </a:graphicData>
        </a:graphic>
      </xdr:graphicFrame>
      <xdr:sp macro="" textlink="q19_q28_q29_q40_Fig!$U$27">
        <xdr:nvSpPr>
          <xdr:cNvPr id="21" name="CaixaDeTexto 20">
            <a:extLst>
              <a:ext uri="{FF2B5EF4-FFF2-40B4-BE49-F238E27FC236}">
                <a16:creationId xmlns:a16="http://schemas.microsoft.com/office/drawing/2014/main" id="{00000000-0008-0000-1800-000015000000}"/>
              </a:ext>
            </a:extLst>
          </xdr:cNvPr>
          <xdr:cNvSpPr txBox="1"/>
        </xdr:nvSpPr>
        <xdr:spPr>
          <a:xfrm>
            <a:off x="16617421" y="5845032"/>
            <a:ext cx="692678" cy="143018"/>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10D81485-0E9F-45F2-BB6A-073D96AAE5ED}"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1.308,96 €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22" name="CaixaDeTexto 21">
            <a:extLst>
              <a:ext uri="{FF2B5EF4-FFF2-40B4-BE49-F238E27FC236}">
                <a16:creationId xmlns:a16="http://schemas.microsoft.com/office/drawing/2014/main" id="{00000000-0008-0000-1800-000016000000}"/>
              </a:ext>
            </a:extLst>
          </xdr:cNvPr>
          <xdr:cNvSpPr txBox="1"/>
        </xdr:nvSpPr>
        <xdr:spPr>
          <a:xfrm>
            <a:off x="16617421" y="5613571"/>
            <a:ext cx="692679" cy="206204"/>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sp macro="" textlink="q19_q28_q29_q40_Fig!$V$27">
        <xdr:nvSpPr>
          <xdr:cNvPr id="23" name="CaixaDeTexto 22">
            <a:extLst>
              <a:ext uri="{FF2B5EF4-FFF2-40B4-BE49-F238E27FC236}">
                <a16:creationId xmlns:a16="http://schemas.microsoft.com/office/drawing/2014/main" id="{00000000-0008-0000-1800-000017000000}"/>
              </a:ext>
            </a:extLst>
          </xdr:cNvPr>
          <xdr:cNvSpPr txBox="1"/>
        </xdr:nvSpPr>
        <xdr:spPr>
          <a:xfrm>
            <a:off x="16617421" y="6023130"/>
            <a:ext cx="692678" cy="104621"/>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CBF5914B-4E77-48C0-85B0-5F7441EF3F66}"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1.582,75 €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nvGrpSpPr>
          <xdr:cNvPr id="15" name="Agrupar 14">
            <a:extLst>
              <a:ext uri="{FF2B5EF4-FFF2-40B4-BE49-F238E27FC236}">
                <a16:creationId xmlns:a16="http://schemas.microsoft.com/office/drawing/2014/main" id="{00000000-0008-0000-1800-00000F000000}"/>
              </a:ext>
            </a:extLst>
          </xdr:cNvPr>
          <xdr:cNvGrpSpPr/>
        </xdr:nvGrpSpPr>
        <xdr:grpSpPr>
          <a:xfrm>
            <a:off x="19701235" y="5603993"/>
            <a:ext cx="2158641" cy="3444760"/>
            <a:chOff x="20489329" y="14115698"/>
            <a:chExt cx="2954034" cy="2531384"/>
          </a:xfrm>
        </xdr:grpSpPr>
        <xdr:graphicFrame macro="">
          <xdr:nvGraphicFramePr>
            <xdr:cNvPr id="16" name="Gráfico 15">
              <a:extLst>
                <a:ext uri="{FF2B5EF4-FFF2-40B4-BE49-F238E27FC236}">
                  <a16:creationId xmlns:a16="http://schemas.microsoft.com/office/drawing/2014/main" id="{00000000-0008-0000-1800-000010000000}"/>
                </a:ext>
              </a:extLst>
            </xdr:cNvPr>
            <xdr:cNvGraphicFramePr>
              <a:graphicFrameLocks/>
            </xdr:cNvGraphicFramePr>
          </xdr:nvGraphicFramePr>
          <xdr:xfrm>
            <a:off x="20815828" y="14262773"/>
            <a:ext cx="2627535" cy="2384309"/>
          </xdr:xfrm>
          <a:graphic>
            <a:graphicData uri="http://schemas.openxmlformats.org/drawingml/2006/chart">
              <c:chart xmlns:c="http://schemas.openxmlformats.org/drawingml/2006/chart" xmlns:r="http://schemas.openxmlformats.org/officeDocument/2006/relationships" r:id="rId4"/>
            </a:graphicData>
          </a:graphic>
        </xdr:graphicFrame>
        <xdr:sp macro="" textlink="q19_q28_q29_q40_Fig!$W$27">
          <xdr:nvSpPr>
            <xdr:cNvPr id="17" name="CaixaDeTexto 16">
              <a:extLst>
                <a:ext uri="{FF2B5EF4-FFF2-40B4-BE49-F238E27FC236}">
                  <a16:creationId xmlns:a16="http://schemas.microsoft.com/office/drawing/2014/main" id="{00000000-0008-0000-1800-000011000000}"/>
                </a:ext>
              </a:extLst>
            </xdr:cNvPr>
            <xdr:cNvSpPr txBox="1"/>
          </xdr:nvSpPr>
          <xdr:spPr>
            <a:xfrm>
              <a:off x="20489331" y="14269390"/>
              <a:ext cx="1068605" cy="100056"/>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CE745607-F38E-4CED-BD7C-67315DAAACD4}"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7,38 €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8" name="CaixaDeTexto 17">
              <a:extLst>
                <a:ext uri="{FF2B5EF4-FFF2-40B4-BE49-F238E27FC236}">
                  <a16:creationId xmlns:a16="http://schemas.microsoft.com/office/drawing/2014/main" id="{00000000-0008-0000-1800-000012000000}"/>
                </a:ext>
              </a:extLst>
            </xdr:cNvPr>
            <xdr:cNvSpPr txBox="1"/>
          </xdr:nvSpPr>
          <xdr:spPr>
            <a:xfrm>
              <a:off x="20489329" y="14115698"/>
              <a:ext cx="1083522" cy="130262"/>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grpSp>
      <xdr:sp macro="" textlink="">
        <xdr:nvSpPr>
          <xdr:cNvPr id="12" name="CaixaDeTexto 11">
            <a:extLst>
              <a:ext uri="{FF2B5EF4-FFF2-40B4-BE49-F238E27FC236}">
                <a16:creationId xmlns:a16="http://schemas.microsoft.com/office/drawing/2014/main" id="{00000000-0008-0000-1800-00000C000000}"/>
              </a:ext>
            </a:extLst>
          </xdr:cNvPr>
          <xdr:cNvSpPr txBox="1"/>
        </xdr:nvSpPr>
        <xdr:spPr>
          <a:xfrm>
            <a:off x="17186755" y="5398912"/>
            <a:ext cx="1539726" cy="1797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Remunerações</a:t>
            </a:r>
            <a:r>
              <a:rPr lang="pt-PT" sz="800" b="1" baseline="0">
                <a:solidFill>
                  <a:schemeClr val="tx2"/>
                </a:solidFill>
              </a:rPr>
              <a:t> médias mensais</a:t>
            </a:r>
            <a:endParaRPr lang="pt-PT" sz="800" b="1">
              <a:solidFill>
                <a:schemeClr val="tx2"/>
              </a:solidFill>
            </a:endParaRPr>
          </a:p>
        </xdr:txBody>
      </xdr:sp>
      <xdr:sp macro="" textlink="">
        <xdr:nvSpPr>
          <xdr:cNvPr id="13" name="CaixaDeTexto 12">
            <a:extLst>
              <a:ext uri="{FF2B5EF4-FFF2-40B4-BE49-F238E27FC236}">
                <a16:creationId xmlns:a16="http://schemas.microsoft.com/office/drawing/2014/main" id="{00000000-0008-0000-1800-00000D000000}"/>
              </a:ext>
            </a:extLst>
          </xdr:cNvPr>
          <xdr:cNvSpPr txBox="1"/>
        </xdr:nvSpPr>
        <xdr:spPr>
          <a:xfrm>
            <a:off x="19681208" y="5397500"/>
            <a:ext cx="1850055" cy="17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Remuneração</a:t>
            </a:r>
            <a:r>
              <a:rPr lang="pt-PT" sz="800" b="1" baseline="0">
                <a:solidFill>
                  <a:schemeClr val="tx2"/>
                </a:solidFill>
              </a:rPr>
              <a:t> base horária</a:t>
            </a:r>
            <a:endParaRPr lang="pt-PT" sz="800" b="1">
              <a:solidFill>
                <a:schemeClr val="tx2"/>
              </a:solidFill>
            </a:endParaRPr>
          </a:p>
        </xdr:txBody>
      </xdr:sp>
    </xdr:grpSp>
    <xdr:clientData/>
  </xdr:twoCellAnchor>
</xdr:wsDr>
</file>

<file path=xl/drawings/drawing6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561975</xdr:colOff>
          <xdr:row>7</xdr:row>
          <xdr:rowOff>142875</xdr:rowOff>
        </xdr:from>
        <xdr:to>
          <xdr:col>17</xdr:col>
          <xdr:colOff>19050</xdr:colOff>
          <xdr:row>9</xdr:row>
          <xdr:rowOff>9525</xdr:rowOff>
        </xdr:to>
        <xdr:sp macro="" textlink="">
          <xdr:nvSpPr>
            <xdr:cNvPr id="179201" name="Drop Down 1" hidden="1">
              <a:extLst>
                <a:ext uri="{63B3BB69-23CF-44E3-9099-C40C66FF867C}">
                  <a14:compatExt spid="_x0000_s179201"/>
                </a:ext>
                <a:ext uri="{FF2B5EF4-FFF2-40B4-BE49-F238E27FC236}">
                  <a16:creationId xmlns:a16="http://schemas.microsoft.com/office/drawing/2014/main" id="{00000000-0008-0000-1900-000001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581025</xdr:colOff>
          <xdr:row>116</xdr:row>
          <xdr:rowOff>123825</xdr:rowOff>
        </xdr:from>
        <xdr:to>
          <xdr:col>19</xdr:col>
          <xdr:colOff>361950</xdr:colOff>
          <xdr:row>117</xdr:row>
          <xdr:rowOff>142875</xdr:rowOff>
        </xdr:to>
        <xdr:sp macro="" textlink="">
          <xdr:nvSpPr>
            <xdr:cNvPr id="179206" name="Drop Down 6" hidden="1">
              <a:extLst>
                <a:ext uri="{63B3BB69-23CF-44E3-9099-C40C66FF867C}">
                  <a14:compatExt spid="_x0000_s179206"/>
                </a:ext>
                <a:ext uri="{FF2B5EF4-FFF2-40B4-BE49-F238E27FC236}">
                  <a16:creationId xmlns:a16="http://schemas.microsoft.com/office/drawing/2014/main" id="{00000000-0008-0000-1900-000006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142</xdr:row>
          <xdr:rowOff>123825</xdr:rowOff>
        </xdr:from>
        <xdr:to>
          <xdr:col>20</xdr:col>
          <xdr:colOff>171450</xdr:colOff>
          <xdr:row>143</xdr:row>
          <xdr:rowOff>142875</xdr:rowOff>
        </xdr:to>
        <xdr:sp macro="" textlink="">
          <xdr:nvSpPr>
            <xdr:cNvPr id="179207" name="Drop Down 7" hidden="1">
              <a:extLst>
                <a:ext uri="{63B3BB69-23CF-44E3-9099-C40C66FF867C}">
                  <a14:compatExt spid="_x0000_s179207"/>
                </a:ext>
                <a:ext uri="{FF2B5EF4-FFF2-40B4-BE49-F238E27FC236}">
                  <a16:creationId xmlns:a16="http://schemas.microsoft.com/office/drawing/2014/main" id="{00000000-0008-0000-1900-000007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23</xdr:col>
      <xdr:colOff>317500</xdr:colOff>
      <xdr:row>10</xdr:row>
      <xdr:rowOff>68792</xdr:rowOff>
    </xdr:from>
    <xdr:to>
      <xdr:col>30</xdr:col>
      <xdr:colOff>392483</xdr:colOff>
      <xdr:row>29</xdr:row>
      <xdr:rowOff>93133</xdr:rowOff>
    </xdr:to>
    <xdr:grpSp>
      <xdr:nvGrpSpPr>
        <xdr:cNvPr id="78" name="Agrupar 77">
          <a:extLst>
            <a:ext uri="{FF2B5EF4-FFF2-40B4-BE49-F238E27FC236}">
              <a16:creationId xmlns:a16="http://schemas.microsoft.com/office/drawing/2014/main" id="{00000000-0008-0000-1900-00004E000000}"/>
            </a:ext>
          </a:extLst>
        </xdr:cNvPr>
        <xdr:cNvGrpSpPr/>
      </xdr:nvGrpSpPr>
      <xdr:grpSpPr>
        <a:xfrm>
          <a:off x="14787563" y="1576917"/>
          <a:ext cx="4496170" cy="2889779"/>
          <a:chOff x="190500" y="1133475"/>
          <a:chExt cx="4134750" cy="1964700"/>
        </a:xfrm>
      </xdr:grpSpPr>
      <xdr:grpSp>
        <xdr:nvGrpSpPr>
          <xdr:cNvPr id="79" name="Agrupar 78">
            <a:extLst>
              <a:ext uri="{FF2B5EF4-FFF2-40B4-BE49-F238E27FC236}">
                <a16:creationId xmlns:a16="http://schemas.microsoft.com/office/drawing/2014/main" id="{00000000-0008-0000-1900-00004F000000}"/>
              </a:ext>
            </a:extLst>
          </xdr:cNvPr>
          <xdr:cNvGrpSpPr/>
        </xdr:nvGrpSpPr>
        <xdr:grpSpPr>
          <a:xfrm>
            <a:off x="1924050" y="1133475"/>
            <a:ext cx="2401200" cy="1850400"/>
            <a:chOff x="379" y="50819742"/>
            <a:chExt cx="3722129" cy="2517772"/>
          </a:xfrm>
        </xdr:grpSpPr>
        <xdr:graphicFrame macro="">
          <xdr:nvGraphicFramePr>
            <xdr:cNvPr id="81" name="Gráfico 80">
              <a:extLst>
                <a:ext uri="{FF2B5EF4-FFF2-40B4-BE49-F238E27FC236}">
                  <a16:creationId xmlns:a16="http://schemas.microsoft.com/office/drawing/2014/main" id="{00000000-0008-0000-1900-000051000000}"/>
                </a:ext>
              </a:extLst>
            </xdr:cNvPr>
            <xdr:cNvGraphicFramePr/>
          </xdr:nvGraphicFramePr>
          <xdr:xfrm>
            <a:off x="379" y="50819742"/>
            <a:ext cx="3722129" cy="2517772"/>
          </xdr:xfrm>
          <a:graphic>
            <a:graphicData uri="http://schemas.openxmlformats.org/drawingml/2006/chart">
              <c:chart xmlns:c="http://schemas.openxmlformats.org/drawingml/2006/chart" xmlns:r="http://schemas.openxmlformats.org/officeDocument/2006/relationships" r:id="rId1"/>
            </a:graphicData>
          </a:graphic>
        </xdr:graphicFrame>
        <xdr:sp macro="" textlink="q17_a_q19_q26_a_q29_q38_q41_Fig!$S$23">
          <xdr:nvSpPr>
            <xdr:cNvPr id="82" name="CaixaDeTexto 81">
              <a:extLst>
                <a:ext uri="{FF2B5EF4-FFF2-40B4-BE49-F238E27FC236}">
                  <a16:creationId xmlns:a16="http://schemas.microsoft.com/office/drawing/2014/main" id="{00000000-0008-0000-1900-000052000000}"/>
                </a:ext>
              </a:extLst>
            </xdr:cNvPr>
            <xdr:cNvSpPr txBox="1"/>
          </xdr:nvSpPr>
          <xdr:spPr>
            <a:xfrm>
              <a:off x="2466973" y="51215403"/>
              <a:ext cx="1060276" cy="244918"/>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13C352D-7C4F-4D98-833F-9C18CA6F96EA}" type="TxLink">
                <a:rPr kumimoji="0" lang="en-US" sz="9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1.570.424</a:t>
              </a:fld>
              <a:endParaRPr kumimoji="0" lang="pt-PT" sz="900" b="1" i="0" u="none" strike="noStrike" kern="0" cap="none" spc="0" normalizeH="0" baseline="0" noProof="0">
                <a:ln>
                  <a:noFill/>
                </a:ln>
                <a:solidFill>
                  <a:srgbClr val="000000"/>
                </a:solidFill>
                <a:effectLst/>
                <a:uLnTx/>
                <a:uFillTx/>
                <a:latin typeface="+mn-lt"/>
                <a:ea typeface="+mn-ea"/>
                <a:cs typeface="Arial"/>
              </a:endParaRPr>
            </a:p>
          </xdr:txBody>
        </xdr:sp>
        <xdr:sp macro="" textlink="q17_a_q19_q26_a_q29_q38_q41_Fig!$R$23">
          <xdr:nvSpPr>
            <xdr:cNvPr id="90" name="CaixaDeTexto 89">
              <a:extLst>
                <a:ext uri="{FF2B5EF4-FFF2-40B4-BE49-F238E27FC236}">
                  <a16:creationId xmlns:a16="http://schemas.microsoft.com/office/drawing/2014/main" id="{00000000-0008-0000-1900-00005A000000}"/>
                </a:ext>
              </a:extLst>
            </xdr:cNvPr>
            <xdr:cNvSpPr txBox="1"/>
          </xdr:nvSpPr>
          <xdr:spPr>
            <a:xfrm>
              <a:off x="827210" y="51207396"/>
              <a:ext cx="1060276" cy="244918"/>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8C47EF46-8E6E-47B5-B759-236E824EAE36}" type="TxLink">
                <a:rPr kumimoji="0" lang="en-US" sz="9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1.783.712</a:t>
              </a:fld>
              <a:endParaRPr kumimoji="0" lang="pt-PT" sz="9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aphicFrame macro="">
        <xdr:nvGraphicFramePr>
          <xdr:cNvPr id="80" name="Gráfico 79">
            <a:extLst>
              <a:ext uri="{FF2B5EF4-FFF2-40B4-BE49-F238E27FC236}">
                <a16:creationId xmlns:a16="http://schemas.microsoft.com/office/drawing/2014/main" id="{00000000-0008-0000-1900-000050000000}"/>
              </a:ext>
            </a:extLst>
          </xdr:cNvPr>
          <xdr:cNvGraphicFramePr>
            <a:graphicFrameLocks/>
          </xdr:cNvGraphicFramePr>
        </xdr:nvGraphicFramePr>
        <xdr:xfrm>
          <a:off x="190500" y="1247775"/>
          <a:ext cx="2314575" cy="18504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25</xdr:col>
      <xdr:colOff>534458</xdr:colOff>
      <xdr:row>4</xdr:row>
      <xdr:rowOff>79376</xdr:rowOff>
    </xdr:from>
    <xdr:to>
      <xdr:col>32</xdr:col>
      <xdr:colOff>85195</xdr:colOff>
      <xdr:row>7</xdr:row>
      <xdr:rowOff>150238</xdr:rowOff>
    </xdr:to>
    <xdr:sp macro="" textlink="q17_a_q19_q26_a_q29_q38_q41_Fig!$Z$1">
      <xdr:nvSpPr>
        <xdr:cNvPr id="91" name="CaixaDeTexto 90">
          <a:extLst>
            <a:ext uri="{FF2B5EF4-FFF2-40B4-BE49-F238E27FC236}">
              <a16:creationId xmlns:a16="http://schemas.microsoft.com/office/drawing/2014/main" id="{00000000-0008-0000-1900-00005B000000}"/>
            </a:ext>
          </a:extLst>
        </xdr:cNvPr>
        <xdr:cNvSpPr txBox="1"/>
      </xdr:nvSpPr>
      <xdr:spPr>
        <a:xfrm>
          <a:off x="15734771" y="682626"/>
          <a:ext cx="3606799" cy="5233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1E7581E2-9095-4569-90A1-D838D0031323}" type="TxLink">
            <a:rPr lang="en-US" sz="900" b="0" i="0" u="none" strike="noStrike">
              <a:solidFill>
                <a:sysClr val="windowText" lastClr="000000"/>
              </a:solidFill>
              <a:latin typeface="Calibri"/>
              <a:cs typeface="Calibri"/>
            </a:rPr>
            <a:pPr/>
            <a:t>2024:
Existiam 3.354.136 TCO, dos quais 50,2% tinham entre 25 e 44 anos; 
A taxa de feminização era de 46,8%</a:t>
          </a:fld>
          <a:endParaRPr lang="pt-PT" sz="900" b="0">
            <a:solidFill>
              <a:sysClr val="windowText" lastClr="000000"/>
            </a:solidFill>
          </a:endParaRPr>
        </a:p>
      </xdr:txBody>
    </xdr:sp>
    <xdr:clientData/>
  </xdr:twoCellAnchor>
  <xdr:twoCellAnchor>
    <xdr:from>
      <xdr:col>29</xdr:col>
      <xdr:colOff>407458</xdr:colOff>
      <xdr:row>84</xdr:row>
      <xdr:rowOff>21166</xdr:rowOff>
    </xdr:from>
    <xdr:to>
      <xdr:col>36</xdr:col>
      <xdr:colOff>467666</xdr:colOff>
      <xdr:row>111</xdr:row>
      <xdr:rowOff>50597</xdr:rowOff>
    </xdr:to>
    <xdr:grpSp>
      <xdr:nvGrpSpPr>
        <xdr:cNvPr id="92" name="Agrupar 91">
          <a:extLst>
            <a:ext uri="{FF2B5EF4-FFF2-40B4-BE49-F238E27FC236}">
              <a16:creationId xmlns:a16="http://schemas.microsoft.com/office/drawing/2014/main" id="{00000000-0008-0000-1900-00005C000000}"/>
            </a:ext>
          </a:extLst>
        </xdr:cNvPr>
        <xdr:cNvGrpSpPr/>
      </xdr:nvGrpSpPr>
      <xdr:grpSpPr>
        <a:xfrm>
          <a:off x="18624021" y="12689416"/>
          <a:ext cx="4211520" cy="4148994"/>
          <a:chOff x="17928168" y="13873923"/>
          <a:chExt cx="5162525" cy="3324013"/>
        </a:xfrm>
      </xdr:grpSpPr>
      <xdr:grpSp>
        <xdr:nvGrpSpPr>
          <xdr:cNvPr id="93" name="Agrupar 92">
            <a:extLst>
              <a:ext uri="{FF2B5EF4-FFF2-40B4-BE49-F238E27FC236}">
                <a16:creationId xmlns:a16="http://schemas.microsoft.com/office/drawing/2014/main" id="{00000000-0008-0000-1900-00005D000000}"/>
              </a:ext>
            </a:extLst>
          </xdr:cNvPr>
          <xdr:cNvGrpSpPr/>
        </xdr:nvGrpSpPr>
        <xdr:grpSpPr>
          <a:xfrm>
            <a:off x="17928168" y="13918940"/>
            <a:ext cx="2595140" cy="3278996"/>
            <a:chOff x="16790459" y="14269574"/>
            <a:chExt cx="2595140" cy="2552635"/>
          </a:xfrm>
        </xdr:grpSpPr>
        <xdr:graphicFrame macro="">
          <xdr:nvGraphicFramePr>
            <xdr:cNvPr id="109" name="Gráfico 108">
              <a:extLst>
                <a:ext uri="{FF2B5EF4-FFF2-40B4-BE49-F238E27FC236}">
                  <a16:creationId xmlns:a16="http://schemas.microsoft.com/office/drawing/2014/main" id="{00000000-0008-0000-1900-00006D000000}"/>
                </a:ext>
              </a:extLst>
            </xdr:cNvPr>
            <xdr:cNvGraphicFramePr>
              <a:graphicFrameLocks/>
            </xdr:cNvGraphicFramePr>
          </xdr:nvGraphicFramePr>
          <xdr:xfrm>
            <a:off x="16790459" y="14440959"/>
            <a:ext cx="2595140" cy="2381250"/>
          </xdr:xfrm>
          <a:graphic>
            <a:graphicData uri="http://schemas.openxmlformats.org/drawingml/2006/chart">
              <c:chart xmlns:c="http://schemas.openxmlformats.org/drawingml/2006/chart" xmlns:r="http://schemas.openxmlformats.org/officeDocument/2006/relationships" r:id="rId3"/>
            </a:graphicData>
          </a:graphic>
        </xdr:graphicFrame>
        <xdr:sp macro="" textlink="q17_a_q19_q26_a_q29_q38_q41_Fig!$R$107">
          <xdr:nvSpPr>
            <xdr:cNvPr id="110" name="CaixaDeTexto 109">
              <a:extLst>
                <a:ext uri="{FF2B5EF4-FFF2-40B4-BE49-F238E27FC236}">
                  <a16:creationId xmlns:a16="http://schemas.microsoft.com/office/drawing/2014/main" id="{00000000-0008-0000-1900-00006E000000}"/>
                </a:ext>
              </a:extLst>
            </xdr:cNvPr>
            <xdr:cNvSpPr txBox="1"/>
          </xdr:nvSpPr>
          <xdr:spPr>
            <a:xfrm>
              <a:off x="17065625" y="14440466"/>
              <a:ext cx="828116" cy="107708"/>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1C5C7F2-35F2-4BD7-AFD6-3A9B2ABBDB23}"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1.308,96 €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11" name="CaixaDeTexto 110">
              <a:extLst>
                <a:ext uri="{FF2B5EF4-FFF2-40B4-BE49-F238E27FC236}">
                  <a16:creationId xmlns:a16="http://schemas.microsoft.com/office/drawing/2014/main" id="{00000000-0008-0000-1900-00006F000000}"/>
                </a:ext>
              </a:extLst>
            </xdr:cNvPr>
            <xdr:cNvSpPr txBox="1"/>
          </xdr:nvSpPr>
          <xdr:spPr>
            <a:xfrm>
              <a:off x="17065623" y="14269574"/>
              <a:ext cx="835055" cy="141666"/>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sp macro="" textlink="q17_a_q19_q26_a_q29_q38_q41_Fig!$R$108">
          <xdr:nvSpPr>
            <xdr:cNvPr id="112" name="CaixaDeTexto 111">
              <a:extLst>
                <a:ext uri="{FF2B5EF4-FFF2-40B4-BE49-F238E27FC236}">
                  <a16:creationId xmlns:a16="http://schemas.microsoft.com/office/drawing/2014/main" id="{00000000-0008-0000-1900-000070000000}"/>
                </a:ext>
              </a:extLst>
            </xdr:cNvPr>
            <xdr:cNvSpPr txBox="1"/>
          </xdr:nvSpPr>
          <xdr:spPr>
            <a:xfrm>
              <a:off x="17065625" y="14584089"/>
              <a:ext cx="835055" cy="109542"/>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2B156ECC-38C7-4F73-8CAE-70A781794369}"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1.582,75 €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103" name="Agrupar 102">
            <a:extLst>
              <a:ext uri="{FF2B5EF4-FFF2-40B4-BE49-F238E27FC236}">
                <a16:creationId xmlns:a16="http://schemas.microsoft.com/office/drawing/2014/main" id="{00000000-0008-0000-1900-000067000000}"/>
              </a:ext>
            </a:extLst>
          </xdr:cNvPr>
          <xdr:cNvGrpSpPr/>
        </xdr:nvGrpSpPr>
        <xdr:grpSpPr>
          <a:xfrm>
            <a:off x="20312568" y="13873923"/>
            <a:ext cx="2778125" cy="3100196"/>
            <a:chOff x="20936984" y="14847589"/>
            <a:chExt cx="2778125" cy="3100196"/>
          </a:xfrm>
        </xdr:grpSpPr>
        <xdr:graphicFrame macro="">
          <xdr:nvGraphicFramePr>
            <xdr:cNvPr id="104" name="Gráfico 103">
              <a:extLst>
                <a:ext uri="{FF2B5EF4-FFF2-40B4-BE49-F238E27FC236}">
                  <a16:creationId xmlns:a16="http://schemas.microsoft.com/office/drawing/2014/main" id="{00000000-0008-0000-1900-000068000000}"/>
                </a:ext>
              </a:extLst>
            </xdr:cNvPr>
            <xdr:cNvGraphicFramePr/>
          </xdr:nvGraphicFramePr>
          <xdr:xfrm>
            <a:off x="20936984" y="14847589"/>
            <a:ext cx="2778125" cy="3100196"/>
          </xdr:xfrm>
          <a:graphic>
            <a:graphicData uri="http://schemas.openxmlformats.org/drawingml/2006/chart">
              <c:chart xmlns:c="http://schemas.openxmlformats.org/drawingml/2006/chart" xmlns:r="http://schemas.openxmlformats.org/officeDocument/2006/relationships" r:id="rId4"/>
            </a:graphicData>
          </a:graphic>
        </xdr:graphicFrame>
        <xdr:sp macro="" textlink="q17_a_q19_q26_a_q29_q38_q41_Fig!$R$114">
          <xdr:nvSpPr>
            <xdr:cNvPr id="105" name="CaixaDeTexto 104">
              <a:extLst>
                <a:ext uri="{FF2B5EF4-FFF2-40B4-BE49-F238E27FC236}">
                  <a16:creationId xmlns:a16="http://schemas.microsoft.com/office/drawing/2014/main" id="{00000000-0008-0000-1900-000069000000}"/>
                </a:ext>
              </a:extLst>
            </xdr:cNvPr>
            <xdr:cNvSpPr txBox="1"/>
          </xdr:nvSpPr>
          <xdr:spPr>
            <a:xfrm>
              <a:off x="21534234" y="15168110"/>
              <a:ext cx="684270" cy="144000"/>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707BD8C-99F2-4650-BA3A-00151E8ADD39}"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1.383,38 €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8_q41_Fig!$R$115">
          <xdr:nvSpPr>
            <xdr:cNvPr id="106" name="CaixaDeTexto 105">
              <a:extLst>
                <a:ext uri="{FF2B5EF4-FFF2-40B4-BE49-F238E27FC236}">
                  <a16:creationId xmlns:a16="http://schemas.microsoft.com/office/drawing/2014/main" id="{00000000-0008-0000-1900-00006A000000}"/>
                </a:ext>
              </a:extLst>
            </xdr:cNvPr>
            <xdr:cNvSpPr txBox="1"/>
          </xdr:nvSpPr>
          <xdr:spPr>
            <a:xfrm>
              <a:off x="21534234" y="15359885"/>
              <a:ext cx="684270" cy="144000"/>
            </a:xfrm>
            <a:prstGeom prst="rect">
              <a:avLst/>
            </a:prstGeom>
            <a:solidFill>
              <a:srgbClr val="FFC000">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9CF34B2E-6095-4C26-83B7-DA38221164E4}"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1.693,55 €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8_q41_Fig!$U$104">
          <xdr:nvSpPr>
            <xdr:cNvPr id="107" name="CaixaDeTexto 106">
              <a:extLst>
                <a:ext uri="{FF2B5EF4-FFF2-40B4-BE49-F238E27FC236}">
                  <a16:creationId xmlns:a16="http://schemas.microsoft.com/office/drawing/2014/main" id="{00000000-0008-0000-1900-00006B000000}"/>
                </a:ext>
              </a:extLst>
            </xdr:cNvPr>
            <xdr:cNvSpPr txBox="1"/>
          </xdr:nvSpPr>
          <xdr:spPr>
            <a:xfrm>
              <a:off x="22755761" y="15181015"/>
              <a:ext cx="684270" cy="144000"/>
            </a:xfrm>
            <a:prstGeom prst="rect">
              <a:avLst/>
            </a:prstGeom>
            <a:solidFill>
              <a:srgbClr val="95B3D7">
                <a:alpha val="46667"/>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ED31F1F-4F1E-4B28-80C7-E1D677609C7A}"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1.216,85 €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8_q41_Fig!$V$104">
          <xdr:nvSpPr>
            <xdr:cNvPr id="108" name="CaixaDeTexto 107">
              <a:extLst>
                <a:ext uri="{FF2B5EF4-FFF2-40B4-BE49-F238E27FC236}">
                  <a16:creationId xmlns:a16="http://schemas.microsoft.com/office/drawing/2014/main" id="{00000000-0008-0000-1900-00006C000000}"/>
                </a:ext>
              </a:extLst>
            </xdr:cNvPr>
            <xdr:cNvSpPr txBox="1"/>
          </xdr:nvSpPr>
          <xdr:spPr>
            <a:xfrm>
              <a:off x="22755761" y="15372791"/>
              <a:ext cx="684270" cy="144000"/>
            </a:xfrm>
            <a:prstGeom prst="rect">
              <a:avLst/>
            </a:prstGeom>
            <a:solidFill>
              <a:srgbClr val="FFEF57">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DA095E1-FC08-48A6-9F65-B082055869C6}"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1.445,59 €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clientData/>
  </xdr:twoCellAnchor>
  <xdr:twoCellAnchor>
    <xdr:from>
      <xdr:col>37</xdr:col>
      <xdr:colOff>464079</xdr:colOff>
      <xdr:row>102</xdr:row>
      <xdr:rowOff>136688</xdr:rowOff>
    </xdr:from>
    <xdr:to>
      <xdr:col>41</xdr:col>
      <xdr:colOff>77787</xdr:colOff>
      <xdr:row>109</xdr:row>
      <xdr:rowOff>29633</xdr:rowOff>
    </xdr:to>
    <xdr:sp macro="" textlink="q17_a_q19_q26_a_q29_q38_q41_Fig!$AM$99">
      <xdr:nvSpPr>
        <xdr:cNvPr id="123" name="CaixaDeTexto 122">
          <a:extLst>
            <a:ext uri="{FF2B5EF4-FFF2-40B4-BE49-F238E27FC236}">
              <a16:creationId xmlns:a16="http://schemas.microsoft.com/office/drawing/2014/main" id="{00000000-0008-0000-1900-00007B000000}"/>
            </a:ext>
          </a:extLst>
        </xdr:cNvPr>
        <xdr:cNvSpPr txBox="1"/>
      </xdr:nvSpPr>
      <xdr:spPr>
        <a:xfrm>
          <a:off x="23411392" y="15567188"/>
          <a:ext cx="1931458" cy="948633"/>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33992CCA-45C9-49C1-84AF-6891D620D75B}" type="TxLink">
            <a:rPr kumimoji="0" lang="en-US" sz="900" b="1"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2024 - Continente:
Base: 82,7% do Ganho, entre 996 € (18 - 24 anos) e 1.414 €  (65 e + anos).
Ganho: Entre 1.191 € (18 - 24 anos) e 1.723 €  (45 - 54 anos).</a:t>
          </a:fld>
          <a:endParaRPr kumimoji="0" lang="pt-PT" sz="10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44</xdr:col>
      <xdr:colOff>322794</xdr:colOff>
      <xdr:row>103</xdr:row>
      <xdr:rowOff>39687</xdr:rowOff>
    </xdr:from>
    <xdr:to>
      <xdr:col>48</xdr:col>
      <xdr:colOff>346075</xdr:colOff>
      <xdr:row>109</xdr:row>
      <xdr:rowOff>71438</xdr:rowOff>
    </xdr:to>
    <xdr:sp macro="" textlink="q17_a_q19_q26_a_q29_q38_q41_Fig!AX92">
      <xdr:nvSpPr>
        <xdr:cNvPr id="125" name="CaixaDeTexto 124">
          <a:extLst>
            <a:ext uri="{FF2B5EF4-FFF2-40B4-BE49-F238E27FC236}">
              <a16:creationId xmlns:a16="http://schemas.microsoft.com/office/drawing/2014/main" id="{00000000-0008-0000-1900-00007D000000}"/>
            </a:ext>
          </a:extLst>
        </xdr:cNvPr>
        <xdr:cNvSpPr txBox="1"/>
      </xdr:nvSpPr>
      <xdr:spPr>
        <a:xfrm>
          <a:off x="27326169" y="15621000"/>
          <a:ext cx="2341031" cy="936626"/>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BE1D93B8-A427-4A4B-8792-3BED9284426F}"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2024:
Base Mulheres = 88,0% da dos Homens (H), entre  61,4% da dos H (&lt; 18 anos) e 94,1% (25 - 34 anos).
Ganho Mulheres = 85,4% da dos H, entre  66,3% da dos H (&lt; 18 anos) e 92,4% (18 - 24 anos).</a:t>
          </a:fld>
          <a:endParaRPr kumimoji="0" lang="en-US" i="0" u="none" strike="noStrike" kern="0" cap="none" spc="0" normalizeH="0" baseline="0" noProof="0">
            <a:ln>
              <a:noFill/>
            </a:ln>
            <a:solidFill>
              <a:sysClr val="windowText" lastClr="000000"/>
            </a:solidFill>
            <a:effectLst/>
            <a:uLnTx/>
            <a:uFillTx/>
            <a:latin typeface="Calibri"/>
            <a:ea typeface="+mn-ea"/>
          </a:endParaRPr>
        </a:p>
      </xdr:txBody>
    </xdr:sp>
    <xdr:clientData/>
  </xdr:twoCellAnchor>
  <xdr:twoCellAnchor>
    <xdr:from>
      <xdr:col>23</xdr:col>
      <xdr:colOff>63499</xdr:colOff>
      <xdr:row>36</xdr:row>
      <xdr:rowOff>127000</xdr:rowOff>
    </xdr:from>
    <xdr:to>
      <xdr:col>30</xdr:col>
      <xdr:colOff>569384</xdr:colOff>
      <xdr:row>55</xdr:row>
      <xdr:rowOff>110132</xdr:rowOff>
    </xdr:to>
    <xdr:grpSp>
      <xdr:nvGrpSpPr>
        <xdr:cNvPr id="126" name="Agrupar 125">
          <a:extLst>
            <a:ext uri="{FF2B5EF4-FFF2-40B4-BE49-F238E27FC236}">
              <a16:creationId xmlns:a16="http://schemas.microsoft.com/office/drawing/2014/main" id="{00000000-0008-0000-1900-00007E000000}"/>
            </a:ext>
          </a:extLst>
        </xdr:cNvPr>
        <xdr:cNvGrpSpPr/>
      </xdr:nvGrpSpPr>
      <xdr:grpSpPr>
        <a:xfrm>
          <a:off x="14533562" y="5556250"/>
          <a:ext cx="4927072" cy="2848570"/>
          <a:chOff x="4838698" y="1104900"/>
          <a:chExt cx="4438651" cy="2174250"/>
        </a:xfrm>
      </xdr:grpSpPr>
      <xdr:grpSp>
        <xdr:nvGrpSpPr>
          <xdr:cNvPr id="127" name="Agrupar 126">
            <a:extLst>
              <a:ext uri="{FF2B5EF4-FFF2-40B4-BE49-F238E27FC236}">
                <a16:creationId xmlns:a16="http://schemas.microsoft.com/office/drawing/2014/main" id="{00000000-0008-0000-1900-00007F000000}"/>
              </a:ext>
            </a:extLst>
          </xdr:cNvPr>
          <xdr:cNvGrpSpPr/>
        </xdr:nvGrpSpPr>
        <xdr:grpSpPr>
          <a:xfrm>
            <a:off x="6905624" y="1104900"/>
            <a:ext cx="2371725" cy="2088525"/>
            <a:chOff x="237729" y="50865118"/>
            <a:chExt cx="3452223" cy="2472395"/>
          </a:xfrm>
        </xdr:grpSpPr>
        <xdr:graphicFrame macro="">
          <xdr:nvGraphicFramePr>
            <xdr:cNvPr id="129" name="Gráfico 128">
              <a:extLst>
                <a:ext uri="{FF2B5EF4-FFF2-40B4-BE49-F238E27FC236}">
                  <a16:creationId xmlns:a16="http://schemas.microsoft.com/office/drawing/2014/main" id="{00000000-0008-0000-1900-000081000000}"/>
                </a:ext>
              </a:extLst>
            </xdr:cNvPr>
            <xdr:cNvGraphicFramePr/>
          </xdr:nvGraphicFramePr>
          <xdr:xfrm>
            <a:off x="237729" y="50865118"/>
            <a:ext cx="3452223" cy="2472395"/>
          </xdr:xfrm>
          <a:graphic>
            <a:graphicData uri="http://schemas.openxmlformats.org/drawingml/2006/chart">
              <c:chart xmlns:c="http://schemas.openxmlformats.org/drawingml/2006/chart" xmlns:r="http://schemas.openxmlformats.org/officeDocument/2006/relationships" r:id="rId5"/>
            </a:graphicData>
          </a:graphic>
        </xdr:graphicFrame>
        <xdr:sp macro="" textlink="q17_a_q19_q26_a_q29_q38_q41_Fig!$S$53">
          <xdr:nvSpPr>
            <xdr:cNvPr id="130" name="CaixaDeTexto 129">
              <a:extLst>
                <a:ext uri="{FF2B5EF4-FFF2-40B4-BE49-F238E27FC236}">
                  <a16:creationId xmlns:a16="http://schemas.microsoft.com/office/drawing/2014/main" id="{00000000-0008-0000-1900-000082000000}"/>
                </a:ext>
              </a:extLst>
            </xdr:cNvPr>
            <xdr:cNvSpPr txBox="1"/>
          </xdr:nvSpPr>
          <xdr:spPr>
            <a:xfrm>
              <a:off x="2462259" y="51257392"/>
              <a:ext cx="972653" cy="212825"/>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33346763-475C-40D3-8C96-022D8ECA6C62}"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1.570.424</a:t>
              </a:fld>
              <a:endParaRPr kumimoji="0" lang="pt-PT" sz="800" b="1" i="0" u="none" strike="noStrike" kern="0" cap="none" spc="0" normalizeH="0" baseline="0" noProof="0">
                <a:ln>
                  <a:noFill/>
                </a:ln>
                <a:solidFill>
                  <a:srgbClr val="000000"/>
                </a:solidFill>
                <a:effectLst/>
                <a:uLnTx/>
                <a:uFillTx/>
                <a:latin typeface="+mn-lt"/>
                <a:ea typeface="+mn-ea"/>
                <a:cs typeface="Arial"/>
              </a:endParaRPr>
            </a:p>
          </xdr:txBody>
        </xdr:sp>
        <xdr:sp macro="" textlink="q17_a_q19_q26_a_q29_q38_q41_Fig!$R$53">
          <xdr:nvSpPr>
            <xdr:cNvPr id="131" name="CaixaDeTexto 130">
              <a:extLst>
                <a:ext uri="{FF2B5EF4-FFF2-40B4-BE49-F238E27FC236}">
                  <a16:creationId xmlns:a16="http://schemas.microsoft.com/office/drawing/2014/main" id="{00000000-0008-0000-1900-000083000000}"/>
                </a:ext>
              </a:extLst>
            </xdr:cNvPr>
            <xdr:cNvSpPr txBox="1"/>
          </xdr:nvSpPr>
          <xdr:spPr>
            <a:xfrm>
              <a:off x="930254" y="51250755"/>
              <a:ext cx="972653" cy="213084"/>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28F9F58-0452-4DC4-9A48-9DAD84751F7C}"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1.783.712</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aphicFrame macro="">
        <xdr:nvGraphicFramePr>
          <xdr:cNvPr id="128" name="Gráfico 127">
            <a:extLst>
              <a:ext uri="{FF2B5EF4-FFF2-40B4-BE49-F238E27FC236}">
                <a16:creationId xmlns:a16="http://schemas.microsoft.com/office/drawing/2014/main" id="{00000000-0008-0000-1900-000080000000}"/>
              </a:ext>
            </a:extLst>
          </xdr:cNvPr>
          <xdr:cNvGraphicFramePr>
            <a:graphicFrameLocks/>
          </xdr:cNvGraphicFramePr>
        </xdr:nvGraphicFramePr>
        <xdr:xfrm>
          <a:off x="4838698" y="1428750"/>
          <a:ext cx="2838452" cy="1850400"/>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16</xdr:col>
      <xdr:colOff>216958</xdr:colOff>
      <xdr:row>55</xdr:row>
      <xdr:rowOff>116417</xdr:rowOff>
    </xdr:from>
    <xdr:to>
      <xdr:col>21</xdr:col>
      <xdr:colOff>434975</xdr:colOff>
      <xdr:row>60</xdr:row>
      <xdr:rowOff>89958</xdr:rowOff>
    </xdr:to>
    <xdr:sp macro="" textlink="q17_a_q19_q26_a_q29_q38_q41_Fig!$Y$57">
      <xdr:nvSpPr>
        <xdr:cNvPr id="132" name="CaixaDeTexto 131">
          <a:extLst>
            <a:ext uri="{FF2B5EF4-FFF2-40B4-BE49-F238E27FC236}">
              <a16:creationId xmlns:a16="http://schemas.microsoft.com/office/drawing/2014/main" id="{00000000-0008-0000-1900-000084000000}"/>
            </a:ext>
          </a:extLst>
        </xdr:cNvPr>
        <xdr:cNvSpPr txBox="1"/>
      </xdr:nvSpPr>
      <xdr:spPr>
        <a:xfrm>
          <a:off x="10546291" y="8556625"/>
          <a:ext cx="3414184" cy="740833"/>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48839FCC-299A-463A-BB08-0CE435B4BBAF}" type="TxLink">
            <a:rPr lang="en-US" sz="900" b="0" i="0" u="none" strike="noStrike">
              <a:solidFill>
                <a:sysClr val="windowText" lastClr="000000"/>
              </a:solidFill>
              <a:latin typeface="Calibri"/>
              <a:cs typeface="Calibri"/>
            </a:rPr>
            <a:pPr/>
            <a:t>2024:
55,9% dos TCO eram profissionais qualificados e semi-qualificados, onde a taxa de feminização era de  41,4% e de 56,2%, respetivamente.</a:t>
          </a:fld>
          <a:endParaRPr lang="pt-PT" sz="900" b="0">
            <a:solidFill>
              <a:sysClr val="windowText" lastClr="000000"/>
            </a:solidFill>
          </a:endParaRPr>
        </a:p>
      </xdr:txBody>
    </xdr:sp>
    <xdr:clientData/>
  </xdr:twoCellAnchor>
  <xdr:twoCellAnchor>
    <xdr:from>
      <xdr:col>31</xdr:col>
      <xdr:colOff>508000</xdr:colOff>
      <xdr:row>113</xdr:row>
      <xdr:rowOff>21166</xdr:rowOff>
    </xdr:from>
    <xdr:to>
      <xdr:col>37</xdr:col>
      <xdr:colOff>502673</xdr:colOff>
      <xdr:row>134</xdr:row>
      <xdr:rowOff>105833</xdr:rowOff>
    </xdr:to>
    <xdr:grpSp>
      <xdr:nvGrpSpPr>
        <xdr:cNvPr id="133" name="Agrupar 132">
          <a:extLst>
            <a:ext uri="{FF2B5EF4-FFF2-40B4-BE49-F238E27FC236}">
              <a16:creationId xmlns:a16="http://schemas.microsoft.com/office/drawing/2014/main" id="{00000000-0008-0000-1900-000085000000}"/>
            </a:ext>
          </a:extLst>
        </xdr:cNvPr>
        <xdr:cNvGrpSpPr/>
      </xdr:nvGrpSpPr>
      <xdr:grpSpPr>
        <a:xfrm>
          <a:off x="19978688" y="17110604"/>
          <a:ext cx="3471298" cy="3251729"/>
          <a:chOff x="18293291" y="17907757"/>
          <a:chExt cx="5355382" cy="3534079"/>
        </a:xfrm>
      </xdr:grpSpPr>
      <xdr:grpSp>
        <xdr:nvGrpSpPr>
          <xdr:cNvPr id="134" name="Agrupar 133">
            <a:extLst>
              <a:ext uri="{FF2B5EF4-FFF2-40B4-BE49-F238E27FC236}">
                <a16:creationId xmlns:a16="http://schemas.microsoft.com/office/drawing/2014/main" id="{00000000-0008-0000-1900-000086000000}"/>
              </a:ext>
            </a:extLst>
          </xdr:cNvPr>
          <xdr:cNvGrpSpPr/>
        </xdr:nvGrpSpPr>
        <xdr:grpSpPr>
          <a:xfrm>
            <a:off x="18293291" y="17938754"/>
            <a:ext cx="2846916" cy="3503082"/>
            <a:chOff x="20214167" y="14049372"/>
            <a:chExt cx="2846916" cy="2603503"/>
          </a:xfrm>
        </xdr:grpSpPr>
        <xdr:graphicFrame macro="">
          <xdr:nvGraphicFramePr>
            <xdr:cNvPr id="151" name="Gráfico 150">
              <a:extLst>
                <a:ext uri="{FF2B5EF4-FFF2-40B4-BE49-F238E27FC236}">
                  <a16:creationId xmlns:a16="http://schemas.microsoft.com/office/drawing/2014/main" id="{00000000-0008-0000-1900-000097000000}"/>
                </a:ext>
              </a:extLst>
            </xdr:cNvPr>
            <xdr:cNvGraphicFramePr>
              <a:graphicFrameLocks/>
            </xdr:cNvGraphicFramePr>
          </xdr:nvGraphicFramePr>
          <xdr:xfrm>
            <a:off x="20214167" y="14271625"/>
            <a:ext cx="2846916" cy="2381250"/>
          </xdr:xfrm>
          <a:graphic>
            <a:graphicData uri="http://schemas.openxmlformats.org/drawingml/2006/chart">
              <c:chart xmlns:c="http://schemas.openxmlformats.org/drawingml/2006/chart" xmlns:r="http://schemas.openxmlformats.org/officeDocument/2006/relationships" r:id="rId7"/>
            </a:graphicData>
          </a:graphic>
        </xdr:graphicFrame>
        <xdr:sp macro="" textlink="q17_a_q19_q26_a_q29_q38_q41_Fig!$R$132">
          <xdr:nvSpPr>
            <xdr:cNvPr id="152" name="CaixaDeTexto 151">
              <a:extLst>
                <a:ext uri="{FF2B5EF4-FFF2-40B4-BE49-F238E27FC236}">
                  <a16:creationId xmlns:a16="http://schemas.microsoft.com/office/drawing/2014/main" id="{00000000-0008-0000-1900-000098000000}"/>
                </a:ext>
              </a:extLst>
            </xdr:cNvPr>
            <xdr:cNvSpPr txBox="1"/>
          </xdr:nvSpPr>
          <xdr:spPr>
            <a:xfrm>
              <a:off x="20489330" y="14220587"/>
              <a:ext cx="966890" cy="103652"/>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C94FF904-7FF2-4811-B6FA-9508B3DAD15C}"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1.308,96 €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53" name="CaixaDeTexto 152">
              <a:extLst>
                <a:ext uri="{FF2B5EF4-FFF2-40B4-BE49-F238E27FC236}">
                  <a16:creationId xmlns:a16="http://schemas.microsoft.com/office/drawing/2014/main" id="{00000000-0008-0000-1900-000099000000}"/>
                </a:ext>
              </a:extLst>
            </xdr:cNvPr>
            <xdr:cNvSpPr txBox="1"/>
          </xdr:nvSpPr>
          <xdr:spPr>
            <a:xfrm>
              <a:off x="20489333" y="14049372"/>
              <a:ext cx="950758" cy="139765"/>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sp macro="" textlink="q17_a_q19_q26_a_q29_q38_q41_Fig!$R$133">
          <xdr:nvSpPr>
            <xdr:cNvPr id="154" name="CaixaDeTexto 153">
              <a:extLst>
                <a:ext uri="{FF2B5EF4-FFF2-40B4-BE49-F238E27FC236}">
                  <a16:creationId xmlns:a16="http://schemas.microsoft.com/office/drawing/2014/main" id="{00000000-0008-0000-1900-00009A000000}"/>
                </a:ext>
              </a:extLst>
            </xdr:cNvPr>
            <xdr:cNvSpPr txBox="1"/>
          </xdr:nvSpPr>
          <xdr:spPr>
            <a:xfrm>
              <a:off x="20489330" y="14370432"/>
              <a:ext cx="950759" cy="107547"/>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F41B4DC-6B12-4705-972B-8D9EFE182F4F}"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1.582,75 €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135" name="Agrupar 134">
            <a:extLst>
              <a:ext uri="{FF2B5EF4-FFF2-40B4-BE49-F238E27FC236}">
                <a16:creationId xmlns:a16="http://schemas.microsoft.com/office/drawing/2014/main" id="{00000000-0008-0000-1900-000087000000}"/>
              </a:ext>
            </a:extLst>
          </xdr:cNvPr>
          <xdr:cNvGrpSpPr/>
        </xdr:nvGrpSpPr>
        <xdr:grpSpPr>
          <a:xfrm>
            <a:off x="20418296" y="17907757"/>
            <a:ext cx="3230377" cy="3327698"/>
            <a:chOff x="21145612" y="14869909"/>
            <a:chExt cx="2840782" cy="3090007"/>
          </a:xfrm>
        </xdr:grpSpPr>
        <xdr:graphicFrame macro="">
          <xdr:nvGraphicFramePr>
            <xdr:cNvPr id="146" name="Gráfico 145">
              <a:extLst>
                <a:ext uri="{FF2B5EF4-FFF2-40B4-BE49-F238E27FC236}">
                  <a16:creationId xmlns:a16="http://schemas.microsoft.com/office/drawing/2014/main" id="{00000000-0008-0000-1900-000092000000}"/>
                </a:ext>
              </a:extLst>
            </xdr:cNvPr>
            <xdr:cNvGraphicFramePr/>
          </xdr:nvGraphicFramePr>
          <xdr:xfrm>
            <a:off x="21145612" y="14869909"/>
            <a:ext cx="2778125" cy="3090007"/>
          </xdr:xfrm>
          <a:graphic>
            <a:graphicData uri="http://schemas.openxmlformats.org/drawingml/2006/chart">
              <c:chart xmlns:c="http://schemas.openxmlformats.org/drawingml/2006/chart" xmlns:r="http://schemas.openxmlformats.org/officeDocument/2006/relationships" r:id="rId8"/>
            </a:graphicData>
          </a:graphic>
        </xdr:graphicFrame>
        <xdr:sp macro="" textlink="q17_a_q19_q26_a_q29_q38_q41_Fig!$R$136">
          <xdr:nvSpPr>
            <xdr:cNvPr id="147" name="CaixaDeTexto 146">
              <a:extLst>
                <a:ext uri="{FF2B5EF4-FFF2-40B4-BE49-F238E27FC236}">
                  <a16:creationId xmlns:a16="http://schemas.microsoft.com/office/drawing/2014/main" id="{00000000-0008-0000-1900-000093000000}"/>
                </a:ext>
              </a:extLst>
            </xdr:cNvPr>
            <xdr:cNvSpPr txBox="1"/>
          </xdr:nvSpPr>
          <xdr:spPr>
            <a:xfrm>
              <a:off x="21936641" y="15221481"/>
              <a:ext cx="782888" cy="119790"/>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E49E796-DCE6-4364-B448-F5CA0509A2D2}"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1.383,38 €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8_q41_Fig!$R$137">
          <xdr:nvSpPr>
            <xdr:cNvPr id="148" name="CaixaDeTexto 147">
              <a:extLst>
                <a:ext uri="{FF2B5EF4-FFF2-40B4-BE49-F238E27FC236}">
                  <a16:creationId xmlns:a16="http://schemas.microsoft.com/office/drawing/2014/main" id="{00000000-0008-0000-1900-000094000000}"/>
                </a:ext>
              </a:extLst>
            </xdr:cNvPr>
            <xdr:cNvSpPr txBox="1"/>
          </xdr:nvSpPr>
          <xdr:spPr>
            <a:xfrm>
              <a:off x="21943733" y="15413258"/>
              <a:ext cx="782231" cy="119900"/>
            </a:xfrm>
            <a:prstGeom prst="rect">
              <a:avLst/>
            </a:prstGeom>
            <a:solidFill>
              <a:srgbClr val="FFC000">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94AF2D3-E95C-4965-BDF3-A75C1EA1175A}"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1.693,55 €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8_q41_Fig!$T$129">
          <xdr:nvSpPr>
            <xdr:cNvPr id="149" name="CaixaDeTexto 148">
              <a:extLst>
                <a:ext uri="{FF2B5EF4-FFF2-40B4-BE49-F238E27FC236}">
                  <a16:creationId xmlns:a16="http://schemas.microsoft.com/office/drawing/2014/main" id="{00000000-0008-0000-1900-000095000000}"/>
                </a:ext>
              </a:extLst>
            </xdr:cNvPr>
            <xdr:cNvSpPr txBox="1"/>
          </xdr:nvSpPr>
          <xdr:spPr>
            <a:xfrm>
              <a:off x="23202946" y="15216190"/>
              <a:ext cx="783448" cy="119790"/>
            </a:xfrm>
            <a:prstGeom prst="rect">
              <a:avLst/>
            </a:prstGeom>
            <a:solidFill>
              <a:srgbClr val="95B3D7">
                <a:alpha val="46667"/>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7E772E6-B5EE-4022-A5D7-B926F70E47F9}"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1.216,85 €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a_q19_q26_a_q29_q38_q41_Fig!$U$129">
          <xdr:nvSpPr>
            <xdr:cNvPr id="150" name="CaixaDeTexto 149">
              <a:extLst>
                <a:ext uri="{FF2B5EF4-FFF2-40B4-BE49-F238E27FC236}">
                  <a16:creationId xmlns:a16="http://schemas.microsoft.com/office/drawing/2014/main" id="{00000000-0008-0000-1900-000096000000}"/>
                </a:ext>
              </a:extLst>
            </xdr:cNvPr>
            <xdr:cNvSpPr txBox="1"/>
          </xdr:nvSpPr>
          <xdr:spPr>
            <a:xfrm>
              <a:off x="23202947" y="15407964"/>
              <a:ext cx="782888" cy="119790"/>
            </a:xfrm>
            <a:prstGeom prst="rect">
              <a:avLst/>
            </a:prstGeom>
            <a:solidFill>
              <a:srgbClr val="FFEF57">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1402D5C1-CE2B-4A98-9B05-1F7756AEEC85}"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1.445,59 €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clientData/>
  </xdr:twoCellAnchor>
  <xdr:twoCellAnchor>
    <xdr:from>
      <xdr:col>40</xdr:col>
      <xdr:colOff>354552</xdr:colOff>
      <xdr:row>111</xdr:row>
      <xdr:rowOff>100543</xdr:rowOff>
    </xdr:from>
    <xdr:to>
      <xdr:col>44</xdr:col>
      <xdr:colOff>216967</xdr:colOff>
      <xdr:row>118</xdr:row>
      <xdr:rowOff>93134</xdr:rowOff>
    </xdr:to>
    <xdr:sp macro="" textlink="q17_a_q19_q26_a_q29_q38_q41_Fig!AN135">
      <xdr:nvSpPr>
        <xdr:cNvPr id="155" name="CaixaDeTexto 154">
          <a:extLst>
            <a:ext uri="{FF2B5EF4-FFF2-40B4-BE49-F238E27FC236}">
              <a16:creationId xmlns:a16="http://schemas.microsoft.com/office/drawing/2014/main" id="{00000000-0008-0000-1900-00009B000000}"/>
            </a:ext>
          </a:extLst>
        </xdr:cNvPr>
        <xdr:cNvSpPr txBox="1"/>
      </xdr:nvSpPr>
      <xdr:spPr>
        <a:xfrm>
          <a:off x="26273135" y="17176751"/>
          <a:ext cx="2296582" cy="10668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1912416A-AF04-4DEC-A1EB-FA2979111E70}"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2024 - Continente:
Base: 82,7% do Ganho, entre 862 €  (Profissionais não qualificados) e  2.526 €  (Quadros superiores).
Ganho: Entre 1.024 €  e 2.980 €, nos mesmos níveis de qualificação, respetivamente.</a:t>
          </a:fld>
          <a:endParaRPr kumimoji="0" lang="en-US" b="0" i="0" u="none" strike="noStrike" kern="0" cap="none" spc="0" normalizeH="0" baseline="0" noProof="0">
            <a:ln>
              <a:noFill/>
            </a:ln>
            <a:effectLst/>
            <a:uLnTx/>
            <a:uFillTx/>
            <a:latin typeface="Calibri"/>
            <a:ea typeface="+mn-ea"/>
          </a:endParaRPr>
        </a:p>
      </xdr:txBody>
    </xdr:sp>
    <xdr:clientData/>
  </xdr:twoCellAnchor>
  <xdr:twoCellAnchor>
    <xdr:from>
      <xdr:col>45</xdr:col>
      <xdr:colOff>51867</xdr:colOff>
      <xdr:row>111</xdr:row>
      <xdr:rowOff>127001</xdr:rowOff>
    </xdr:from>
    <xdr:to>
      <xdr:col>49</xdr:col>
      <xdr:colOff>587384</xdr:colOff>
      <xdr:row>118</xdr:row>
      <xdr:rowOff>63500</xdr:rowOff>
    </xdr:to>
    <xdr:sp macro="" textlink="q17_a_q19_q26_a_q29_q38_q41_Fig!AN137">
      <xdr:nvSpPr>
        <xdr:cNvPr id="156" name="CaixaDeTexto 155">
          <a:extLst>
            <a:ext uri="{FF2B5EF4-FFF2-40B4-BE49-F238E27FC236}">
              <a16:creationId xmlns:a16="http://schemas.microsoft.com/office/drawing/2014/main" id="{00000000-0008-0000-1900-00009C000000}"/>
            </a:ext>
          </a:extLst>
        </xdr:cNvPr>
        <xdr:cNvSpPr txBox="1"/>
      </xdr:nvSpPr>
      <xdr:spPr>
        <a:xfrm>
          <a:off x="29013159" y="17203209"/>
          <a:ext cx="2969683" cy="1010708"/>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0D1E7EE5-876E-4ADB-805A-AD48B9195947}"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2024:
Base Mulheres = 88,0%  da dos Homens (H), entre  74,6% da dos H (Quadros superiores ) e 98,1% (Praticantes e aprendizes).
Ganho Mulheres = 85,4% da dos H, entre 74,7% da dos H (Quadros superiores) e 96,2% (Praticantes e aprendizes).</a:t>
          </a:fld>
          <a:endParaRPr kumimoji="0" lang="en-US" sz="900" b="0"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22</xdr:col>
      <xdr:colOff>121708</xdr:colOff>
      <xdr:row>66</xdr:row>
      <xdr:rowOff>116901</xdr:rowOff>
    </xdr:from>
    <xdr:to>
      <xdr:col>29</xdr:col>
      <xdr:colOff>37942</xdr:colOff>
      <xdr:row>84</xdr:row>
      <xdr:rowOff>51976</xdr:rowOff>
    </xdr:to>
    <xdr:grpSp>
      <xdr:nvGrpSpPr>
        <xdr:cNvPr id="164" name="Agrupar 163">
          <a:extLst>
            <a:ext uri="{FF2B5EF4-FFF2-40B4-BE49-F238E27FC236}">
              <a16:creationId xmlns:a16="http://schemas.microsoft.com/office/drawing/2014/main" id="{00000000-0008-0000-1900-0000A4000000}"/>
            </a:ext>
          </a:extLst>
        </xdr:cNvPr>
        <xdr:cNvGrpSpPr/>
      </xdr:nvGrpSpPr>
      <xdr:grpSpPr>
        <a:xfrm>
          <a:off x="14012333" y="10070526"/>
          <a:ext cx="4242172" cy="2649700"/>
          <a:chOff x="8543925" y="1371599"/>
          <a:chExt cx="4049025" cy="2050426"/>
        </a:xfrm>
      </xdr:grpSpPr>
      <xdr:graphicFrame macro="">
        <xdr:nvGraphicFramePr>
          <xdr:cNvPr id="165" name="Gráfico 164">
            <a:extLst>
              <a:ext uri="{FF2B5EF4-FFF2-40B4-BE49-F238E27FC236}">
                <a16:creationId xmlns:a16="http://schemas.microsoft.com/office/drawing/2014/main" id="{00000000-0008-0000-1900-0000A5000000}"/>
              </a:ext>
            </a:extLst>
          </xdr:cNvPr>
          <xdr:cNvGraphicFramePr>
            <a:graphicFrameLocks/>
          </xdr:cNvGraphicFramePr>
        </xdr:nvGraphicFramePr>
        <xdr:xfrm>
          <a:off x="8543925" y="1533525"/>
          <a:ext cx="2857500" cy="1888500"/>
        </xdr:xfrm>
        <a:graphic>
          <a:graphicData uri="http://schemas.openxmlformats.org/drawingml/2006/chart">
            <c:chart xmlns:c="http://schemas.openxmlformats.org/drawingml/2006/chart" xmlns:r="http://schemas.openxmlformats.org/officeDocument/2006/relationships" r:id="rId9"/>
          </a:graphicData>
        </a:graphic>
      </xdr:graphicFrame>
      <xdr:grpSp>
        <xdr:nvGrpSpPr>
          <xdr:cNvPr id="166" name="Agrupar 165">
            <a:extLst>
              <a:ext uri="{FF2B5EF4-FFF2-40B4-BE49-F238E27FC236}">
                <a16:creationId xmlns:a16="http://schemas.microsoft.com/office/drawing/2014/main" id="{00000000-0008-0000-1900-0000A6000000}"/>
              </a:ext>
            </a:extLst>
          </xdr:cNvPr>
          <xdr:cNvGrpSpPr/>
        </xdr:nvGrpSpPr>
        <xdr:grpSpPr>
          <a:xfrm>
            <a:off x="10191750" y="1371599"/>
            <a:ext cx="2401200" cy="1821825"/>
            <a:chOff x="15382876" y="10342315"/>
            <a:chExt cx="2836231" cy="2008440"/>
          </a:xfrm>
        </xdr:grpSpPr>
        <xdr:graphicFrame macro="">
          <xdr:nvGraphicFramePr>
            <xdr:cNvPr id="167" name="Gráfico 166">
              <a:extLst>
                <a:ext uri="{FF2B5EF4-FFF2-40B4-BE49-F238E27FC236}">
                  <a16:creationId xmlns:a16="http://schemas.microsoft.com/office/drawing/2014/main" id="{00000000-0008-0000-1900-0000A7000000}"/>
                </a:ext>
              </a:extLst>
            </xdr:cNvPr>
            <xdr:cNvGraphicFramePr>
              <a:graphicFrameLocks/>
            </xdr:cNvGraphicFramePr>
          </xdr:nvGraphicFramePr>
          <xdr:xfrm>
            <a:off x="15382876" y="10414000"/>
            <a:ext cx="2836231" cy="1936755"/>
          </xdr:xfrm>
          <a:graphic>
            <a:graphicData uri="http://schemas.openxmlformats.org/drawingml/2006/chart">
              <c:chart xmlns:c="http://schemas.openxmlformats.org/drawingml/2006/chart" xmlns:r="http://schemas.openxmlformats.org/officeDocument/2006/relationships" r:id="rId10"/>
            </a:graphicData>
          </a:graphic>
        </xdr:graphicFrame>
        <xdr:sp macro="" textlink="q17_a_q19_q26_a_q29_q38_q41_Fig!$R$82">
          <xdr:nvSpPr>
            <xdr:cNvPr id="168" name="CaixaDeTexto 167">
              <a:extLst>
                <a:ext uri="{FF2B5EF4-FFF2-40B4-BE49-F238E27FC236}">
                  <a16:creationId xmlns:a16="http://schemas.microsoft.com/office/drawing/2014/main" id="{00000000-0008-0000-1900-0000A8000000}"/>
                </a:ext>
              </a:extLst>
            </xdr:cNvPr>
            <xdr:cNvSpPr txBox="1"/>
          </xdr:nvSpPr>
          <xdr:spPr>
            <a:xfrm>
              <a:off x="17385495" y="10583829"/>
              <a:ext cx="823129" cy="157512"/>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BBF52B7-D790-4BD9-8770-3F0155F9A181}"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2.506.911</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69" name="CaixaDeTexto 168">
              <a:extLst>
                <a:ext uri="{FF2B5EF4-FFF2-40B4-BE49-F238E27FC236}">
                  <a16:creationId xmlns:a16="http://schemas.microsoft.com/office/drawing/2014/main" id="{00000000-0008-0000-1900-0000A9000000}"/>
                </a:ext>
              </a:extLst>
            </xdr:cNvPr>
            <xdr:cNvSpPr txBox="1"/>
          </xdr:nvSpPr>
          <xdr:spPr>
            <a:xfrm>
              <a:off x="17385495" y="10342315"/>
              <a:ext cx="831067" cy="184497"/>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grpSp>
    </xdr:grpSp>
    <xdr:clientData/>
  </xdr:twoCellAnchor>
  <xdr:twoCellAnchor>
    <xdr:from>
      <xdr:col>21</xdr:col>
      <xdr:colOff>280308</xdr:colOff>
      <xdr:row>88</xdr:row>
      <xdr:rowOff>111125</xdr:rowOff>
    </xdr:from>
    <xdr:to>
      <xdr:col>28</xdr:col>
      <xdr:colOff>30541</xdr:colOff>
      <xdr:row>91</xdr:row>
      <xdr:rowOff>112400</xdr:rowOff>
    </xdr:to>
    <xdr:sp macro="" textlink="q17_a_q19_q26_a_q29_q38_q41_Fig!$W$86">
      <xdr:nvSpPr>
        <xdr:cNvPr id="170" name="CaixaDeTexto 169">
          <a:extLst>
            <a:ext uri="{FF2B5EF4-FFF2-40B4-BE49-F238E27FC236}">
              <a16:creationId xmlns:a16="http://schemas.microsoft.com/office/drawing/2014/main" id="{00000000-0008-0000-1900-0000AA000000}"/>
            </a:ext>
          </a:extLst>
        </xdr:cNvPr>
        <xdr:cNvSpPr txBox="1"/>
      </xdr:nvSpPr>
      <xdr:spPr>
        <a:xfrm>
          <a:off x="13805808" y="13657792"/>
          <a:ext cx="4010025" cy="46165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E93C6ABD-1843-4229-A504-5C37C5A7ECF0}" type="TxLink">
            <a:rPr lang="en-US" sz="900" b="0" i="0" u="none" strike="noStrike">
              <a:solidFill>
                <a:sysClr val="windowText" lastClr="000000"/>
              </a:solidFill>
              <a:latin typeface="Calibri"/>
              <a:cs typeface="Calibri"/>
            </a:rPr>
            <a:pPr/>
            <a:t>2024:
62,7% dos TCO tinham os Ensinos Secundário e Superior completos.</a:t>
          </a:fld>
          <a:endParaRPr lang="pt-PT" sz="900" b="0">
            <a:solidFill>
              <a:sysClr val="windowText" lastClr="000000"/>
            </a:solidFill>
          </a:endParaRPr>
        </a:p>
      </xdr:txBody>
    </xdr:sp>
    <xdr:clientData/>
  </xdr:twoCellAnchor>
  <xdr:twoCellAnchor>
    <xdr:from>
      <xdr:col>22</xdr:col>
      <xdr:colOff>211666</xdr:colOff>
      <xdr:row>81</xdr:row>
      <xdr:rowOff>84667</xdr:rowOff>
    </xdr:from>
    <xdr:to>
      <xdr:col>29</xdr:col>
      <xdr:colOff>397575</xdr:colOff>
      <xdr:row>84</xdr:row>
      <xdr:rowOff>4715</xdr:rowOff>
    </xdr:to>
    <xdr:sp macro="" textlink="">
      <xdr:nvSpPr>
        <xdr:cNvPr id="171" name="CaixaDeTexto 170">
          <a:extLst>
            <a:ext uri="{FF2B5EF4-FFF2-40B4-BE49-F238E27FC236}">
              <a16:creationId xmlns:a16="http://schemas.microsoft.com/office/drawing/2014/main" id="{00000000-0008-0000-1900-0000AB000000}"/>
            </a:ext>
          </a:extLst>
        </xdr:cNvPr>
        <xdr:cNvSpPr txBox="1"/>
      </xdr:nvSpPr>
      <xdr:spPr>
        <a:xfrm>
          <a:off x="14345708" y="12514792"/>
          <a:ext cx="4445700" cy="380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PT" sz="600" b="0">
              <a:solidFill>
                <a:schemeClr val="tx1">
                  <a:lumMod val="50000"/>
                  <a:lumOff val="50000"/>
                </a:schemeClr>
              </a:solidFill>
            </a:rPr>
            <a:t>* Dos TCO a tempo completo, que auferiram remuneração completa no período de referência (outubro).</a:t>
          </a:r>
        </a:p>
        <a:p>
          <a:pPr algn="l"/>
          <a:r>
            <a:rPr lang="pt-PT" sz="600" b="0">
              <a:solidFill>
                <a:schemeClr val="tx1">
                  <a:lumMod val="50000"/>
                  <a:lumOff val="50000"/>
                </a:schemeClr>
              </a:solidFill>
            </a:rPr>
            <a:t>**No Ensino superior</a:t>
          </a:r>
          <a:r>
            <a:rPr lang="pt-PT" sz="600" b="0" baseline="0">
              <a:solidFill>
                <a:schemeClr val="tx1">
                  <a:lumMod val="50000"/>
                  <a:lumOff val="50000"/>
                </a:schemeClr>
              </a:solidFill>
            </a:rPr>
            <a:t> consideram-se: Curso técnico superior profissional, Bacharelato, Licenciatura, Mestrado e Doutoramento.</a:t>
          </a:r>
        </a:p>
        <a:p>
          <a:pPr algn="l"/>
          <a:endParaRPr lang="pt-PT" sz="600" b="0"/>
        </a:p>
      </xdr:txBody>
    </xdr:sp>
    <xdr:clientData/>
  </xdr:twoCellAnchor>
  <xdr:twoCellAnchor>
    <xdr:from>
      <xdr:col>29</xdr:col>
      <xdr:colOff>322792</xdr:colOff>
      <xdr:row>136</xdr:row>
      <xdr:rowOff>95250</xdr:rowOff>
    </xdr:from>
    <xdr:to>
      <xdr:col>36</xdr:col>
      <xdr:colOff>108928</xdr:colOff>
      <xdr:row>161</xdr:row>
      <xdr:rowOff>24342</xdr:rowOff>
    </xdr:to>
    <xdr:grpSp>
      <xdr:nvGrpSpPr>
        <xdr:cNvPr id="172" name="Agrupar 171">
          <a:extLst>
            <a:ext uri="{FF2B5EF4-FFF2-40B4-BE49-F238E27FC236}">
              <a16:creationId xmlns:a16="http://schemas.microsoft.com/office/drawing/2014/main" id="{00000000-0008-0000-1900-0000AC000000}"/>
            </a:ext>
          </a:extLst>
        </xdr:cNvPr>
        <xdr:cNvGrpSpPr/>
      </xdr:nvGrpSpPr>
      <xdr:grpSpPr>
        <a:xfrm>
          <a:off x="18539355" y="20653375"/>
          <a:ext cx="3937448" cy="3699405"/>
          <a:chOff x="9582147" y="4362666"/>
          <a:chExt cx="4057651" cy="2986700"/>
        </a:xfrm>
      </xdr:grpSpPr>
      <xdr:grpSp>
        <xdr:nvGrpSpPr>
          <xdr:cNvPr id="173" name="Agrupar 172">
            <a:extLst>
              <a:ext uri="{FF2B5EF4-FFF2-40B4-BE49-F238E27FC236}">
                <a16:creationId xmlns:a16="http://schemas.microsoft.com/office/drawing/2014/main" id="{00000000-0008-0000-1900-0000AD000000}"/>
              </a:ext>
            </a:extLst>
          </xdr:cNvPr>
          <xdr:cNvGrpSpPr/>
        </xdr:nvGrpSpPr>
        <xdr:grpSpPr>
          <a:xfrm>
            <a:off x="9582147" y="4531941"/>
            <a:ext cx="4057651" cy="2817425"/>
            <a:chOff x="15954373" y="22489526"/>
            <a:chExt cx="6017904" cy="2804664"/>
          </a:xfrm>
        </xdr:grpSpPr>
        <xdr:grpSp>
          <xdr:nvGrpSpPr>
            <xdr:cNvPr id="176" name="Agrupar 175">
              <a:extLst>
                <a:ext uri="{FF2B5EF4-FFF2-40B4-BE49-F238E27FC236}">
                  <a16:creationId xmlns:a16="http://schemas.microsoft.com/office/drawing/2014/main" id="{00000000-0008-0000-1900-0000B0000000}"/>
                </a:ext>
              </a:extLst>
            </xdr:cNvPr>
            <xdr:cNvGrpSpPr/>
          </xdr:nvGrpSpPr>
          <xdr:grpSpPr>
            <a:xfrm>
              <a:off x="15954373" y="22497228"/>
              <a:ext cx="3084446" cy="2796962"/>
              <a:chOff x="20214165" y="14146309"/>
              <a:chExt cx="3084446" cy="2506567"/>
            </a:xfrm>
          </xdr:grpSpPr>
          <xdr:graphicFrame macro="">
            <xdr:nvGraphicFramePr>
              <xdr:cNvPr id="182" name="Gráfico 181">
                <a:extLst>
                  <a:ext uri="{FF2B5EF4-FFF2-40B4-BE49-F238E27FC236}">
                    <a16:creationId xmlns:a16="http://schemas.microsoft.com/office/drawing/2014/main" id="{00000000-0008-0000-1900-0000B6000000}"/>
                  </a:ext>
                </a:extLst>
              </xdr:cNvPr>
              <xdr:cNvGraphicFramePr>
                <a:graphicFrameLocks/>
              </xdr:cNvGraphicFramePr>
            </xdr:nvGraphicFramePr>
            <xdr:xfrm>
              <a:off x="20214165" y="14238964"/>
              <a:ext cx="3084446" cy="2413912"/>
            </xdr:xfrm>
            <a:graphic>
              <a:graphicData uri="http://schemas.openxmlformats.org/drawingml/2006/chart">
                <c:chart xmlns:c="http://schemas.openxmlformats.org/drawingml/2006/chart" xmlns:r="http://schemas.openxmlformats.org/officeDocument/2006/relationships" r:id="rId11"/>
              </a:graphicData>
            </a:graphic>
          </xdr:graphicFrame>
          <xdr:sp macro="" textlink="q17_a_q19_q26_a_q29_q38_q41_Fig!$R$156">
            <xdr:nvSpPr>
              <xdr:cNvPr id="183" name="CaixaDeTexto 182">
                <a:extLst>
                  <a:ext uri="{FF2B5EF4-FFF2-40B4-BE49-F238E27FC236}">
                    <a16:creationId xmlns:a16="http://schemas.microsoft.com/office/drawing/2014/main" id="{00000000-0008-0000-1900-0000B7000000}"/>
                  </a:ext>
                </a:extLst>
              </xdr:cNvPr>
              <xdr:cNvSpPr txBox="1"/>
            </xdr:nvSpPr>
            <xdr:spPr>
              <a:xfrm>
                <a:off x="20489330" y="14315305"/>
                <a:ext cx="1046793" cy="90428"/>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0F94BA2-6B0E-4433-82C5-B4EFBE3CC760}"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1.308,96 €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84" name="CaixaDeTexto 183">
                <a:extLst>
                  <a:ext uri="{FF2B5EF4-FFF2-40B4-BE49-F238E27FC236}">
                    <a16:creationId xmlns:a16="http://schemas.microsoft.com/office/drawing/2014/main" id="{00000000-0008-0000-1900-0000B8000000}"/>
                  </a:ext>
                </a:extLst>
              </xdr:cNvPr>
              <xdr:cNvSpPr txBox="1"/>
            </xdr:nvSpPr>
            <xdr:spPr>
              <a:xfrm>
                <a:off x="20489331" y="14146309"/>
                <a:ext cx="832831" cy="152704"/>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sp macro="" textlink="q17_a_q19_q26_a_q29_q38_q41_Fig!$R$157">
            <xdr:nvSpPr>
              <xdr:cNvPr id="185" name="CaixaDeTexto 184">
                <a:extLst>
                  <a:ext uri="{FF2B5EF4-FFF2-40B4-BE49-F238E27FC236}">
                    <a16:creationId xmlns:a16="http://schemas.microsoft.com/office/drawing/2014/main" id="{00000000-0008-0000-1900-0000B9000000}"/>
                  </a:ext>
                </a:extLst>
              </xdr:cNvPr>
              <xdr:cNvSpPr txBox="1"/>
            </xdr:nvSpPr>
            <xdr:spPr>
              <a:xfrm>
                <a:off x="20489330" y="14445866"/>
                <a:ext cx="1046793" cy="102791"/>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DA4E0333-78D4-439B-B537-AEE1F2DB13B3}"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1.582,75 €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177" name="Agrupar 176">
              <a:extLst>
                <a:ext uri="{FF2B5EF4-FFF2-40B4-BE49-F238E27FC236}">
                  <a16:creationId xmlns:a16="http://schemas.microsoft.com/office/drawing/2014/main" id="{00000000-0008-0000-1900-0000B1000000}"/>
                </a:ext>
              </a:extLst>
            </xdr:cNvPr>
            <xdr:cNvGrpSpPr/>
          </xdr:nvGrpSpPr>
          <xdr:grpSpPr>
            <a:xfrm>
              <a:off x="19018245" y="22489526"/>
              <a:ext cx="2954032" cy="2699106"/>
              <a:chOff x="20489331" y="14115698"/>
              <a:chExt cx="2954032" cy="2418871"/>
            </a:xfrm>
          </xdr:grpSpPr>
          <xdr:graphicFrame macro="">
            <xdr:nvGraphicFramePr>
              <xdr:cNvPr id="178" name="Gráfico 177">
                <a:extLst>
                  <a:ext uri="{FF2B5EF4-FFF2-40B4-BE49-F238E27FC236}">
                    <a16:creationId xmlns:a16="http://schemas.microsoft.com/office/drawing/2014/main" id="{00000000-0008-0000-1900-0000B2000000}"/>
                  </a:ext>
                </a:extLst>
              </xdr:cNvPr>
              <xdr:cNvGraphicFramePr>
                <a:graphicFrameLocks/>
              </xdr:cNvGraphicFramePr>
            </xdr:nvGraphicFramePr>
            <xdr:xfrm>
              <a:off x="20815828" y="14262773"/>
              <a:ext cx="2627535" cy="2271796"/>
            </xdr:xfrm>
            <a:graphic>
              <a:graphicData uri="http://schemas.openxmlformats.org/drawingml/2006/chart">
                <c:chart xmlns:c="http://schemas.openxmlformats.org/drawingml/2006/chart" xmlns:r="http://schemas.openxmlformats.org/officeDocument/2006/relationships" r:id="rId12"/>
              </a:graphicData>
            </a:graphic>
          </xdr:graphicFrame>
          <xdr:sp macro="" textlink="q17_a_q19_q26_a_q29_q38_q41_Fig!$R$161">
            <xdr:nvSpPr>
              <xdr:cNvPr id="179" name="CaixaDeTexto 178">
                <a:extLst>
                  <a:ext uri="{FF2B5EF4-FFF2-40B4-BE49-F238E27FC236}">
                    <a16:creationId xmlns:a16="http://schemas.microsoft.com/office/drawing/2014/main" id="{00000000-0008-0000-1900-0000B3000000}"/>
                  </a:ext>
                </a:extLst>
              </xdr:cNvPr>
              <xdr:cNvSpPr txBox="1"/>
            </xdr:nvSpPr>
            <xdr:spPr>
              <a:xfrm>
                <a:off x="20489332" y="14269390"/>
                <a:ext cx="832831" cy="104984"/>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E587BF85-BB14-4F3A-AD15-798073BC924D}"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950,00 €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80" name="CaixaDeTexto 179">
                <a:extLst>
                  <a:ext uri="{FF2B5EF4-FFF2-40B4-BE49-F238E27FC236}">
                    <a16:creationId xmlns:a16="http://schemas.microsoft.com/office/drawing/2014/main" id="{00000000-0008-0000-1900-0000B4000000}"/>
                  </a:ext>
                </a:extLst>
              </xdr:cNvPr>
              <xdr:cNvSpPr txBox="1"/>
            </xdr:nvSpPr>
            <xdr:spPr>
              <a:xfrm>
                <a:off x="20489331" y="14115698"/>
                <a:ext cx="832831" cy="152704"/>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sp macro="" textlink="q17_a_q19_q26_a_q29_q38_q41_Fig!$R$162">
            <xdr:nvSpPr>
              <xdr:cNvPr id="181" name="CaixaDeTexto 180">
                <a:extLst>
                  <a:ext uri="{FF2B5EF4-FFF2-40B4-BE49-F238E27FC236}">
                    <a16:creationId xmlns:a16="http://schemas.microsoft.com/office/drawing/2014/main" id="{00000000-0008-0000-1900-0000B5000000}"/>
                  </a:ext>
                </a:extLst>
              </xdr:cNvPr>
              <xdr:cNvSpPr txBox="1"/>
            </xdr:nvSpPr>
            <xdr:spPr>
              <a:xfrm>
                <a:off x="20489332" y="14399947"/>
                <a:ext cx="832831" cy="104984"/>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D6D98A2-6D76-440E-BC60-B4CCDBEDA45B}"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1.191,02 €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sp macro="" textlink="">
        <xdr:nvSpPr>
          <xdr:cNvPr id="174" name="CaixaDeTexto 173">
            <a:extLst>
              <a:ext uri="{FF2B5EF4-FFF2-40B4-BE49-F238E27FC236}">
                <a16:creationId xmlns:a16="http://schemas.microsoft.com/office/drawing/2014/main" id="{00000000-0008-0000-1900-0000AE000000}"/>
              </a:ext>
            </a:extLst>
          </xdr:cNvPr>
          <xdr:cNvSpPr txBox="1"/>
        </xdr:nvSpPr>
        <xdr:spPr>
          <a:xfrm>
            <a:off x="9632950" y="4363806"/>
            <a:ext cx="1622714" cy="147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Remunerações</a:t>
            </a:r>
            <a:r>
              <a:rPr lang="pt-PT" sz="800" b="1" baseline="0">
                <a:solidFill>
                  <a:schemeClr val="tx2"/>
                </a:solidFill>
              </a:rPr>
              <a:t> médias mensais</a:t>
            </a:r>
            <a:endParaRPr lang="pt-PT" sz="800" b="1">
              <a:solidFill>
                <a:schemeClr val="tx2"/>
              </a:solidFill>
            </a:endParaRPr>
          </a:p>
        </xdr:txBody>
      </xdr:sp>
      <xdr:sp macro="" textlink="">
        <xdr:nvSpPr>
          <xdr:cNvPr id="175" name="CaixaDeTexto 174">
            <a:extLst>
              <a:ext uri="{FF2B5EF4-FFF2-40B4-BE49-F238E27FC236}">
                <a16:creationId xmlns:a16="http://schemas.microsoft.com/office/drawing/2014/main" id="{00000000-0008-0000-1900-0000AF000000}"/>
              </a:ext>
            </a:extLst>
          </xdr:cNvPr>
          <xdr:cNvSpPr txBox="1"/>
        </xdr:nvSpPr>
        <xdr:spPr>
          <a:xfrm>
            <a:off x="11626850" y="4362666"/>
            <a:ext cx="1690234" cy="1620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Remunerações</a:t>
            </a:r>
            <a:r>
              <a:rPr lang="pt-PT" sz="800" b="1" baseline="0">
                <a:solidFill>
                  <a:schemeClr val="tx2"/>
                </a:solidFill>
              </a:rPr>
              <a:t> medianas mensais</a:t>
            </a:r>
            <a:endParaRPr lang="pt-PT" sz="800" b="1">
              <a:solidFill>
                <a:schemeClr val="tx2"/>
              </a:solidFill>
            </a:endParaRPr>
          </a:p>
        </xdr:txBody>
      </xdr:sp>
    </xdr:grpSp>
    <xdr:clientData/>
  </xdr:twoCellAnchor>
  <xdr:twoCellAnchor>
    <xdr:from>
      <xdr:col>26</xdr:col>
      <xdr:colOff>0</xdr:colOff>
      <xdr:row>184</xdr:row>
      <xdr:rowOff>0</xdr:rowOff>
    </xdr:from>
    <xdr:to>
      <xdr:col>29</xdr:col>
      <xdr:colOff>241301</xdr:colOff>
      <xdr:row>191</xdr:row>
      <xdr:rowOff>119592</xdr:rowOff>
    </xdr:to>
    <xdr:sp macro="" textlink="q17_a_q19_q26_a_q29_q38_q41_Fig!$AA$177">
      <xdr:nvSpPr>
        <xdr:cNvPr id="186" name="CaixaDeTexto 185">
          <a:extLst>
            <a:ext uri="{FF2B5EF4-FFF2-40B4-BE49-F238E27FC236}">
              <a16:creationId xmlns:a16="http://schemas.microsoft.com/office/drawing/2014/main" id="{00000000-0008-0000-1900-0000BA000000}"/>
            </a:ext>
          </a:extLst>
        </xdr:cNvPr>
        <xdr:cNvSpPr txBox="1"/>
      </xdr:nvSpPr>
      <xdr:spPr>
        <a:xfrm>
          <a:off x="16568208" y="28278667"/>
          <a:ext cx="2066926" cy="11938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07780C63-7073-4FE6-9238-51DD5D689977}"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2024 - Continente:
Base média: 82,7% do Ganho, entre 880 € (&lt; 1.º ciclo do ensino básico) e  1.990 € (Ensino superior**).
Ganho médio:Entre 1.033 € e 2.363 €, nos mesmos níveis de habilitação, respetivamente.</a:t>
          </a:fld>
          <a:endParaRPr kumimoji="0" lang="pt-PT" sz="1000" b="1" i="0" u="none" strike="noStrike" kern="0" cap="none" spc="0" normalizeH="0" baseline="0" noProof="0">
            <a:ln>
              <a:noFill/>
            </a:ln>
            <a:solidFill>
              <a:srgbClr val="17375E"/>
            </a:solidFill>
            <a:effectLst/>
            <a:uLnTx/>
            <a:uFillTx/>
            <a:latin typeface="Calibri"/>
            <a:ea typeface="+mn-ea"/>
            <a:cs typeface="+mn-cs"/>
          </a:endParaRPr>
        </a:p>
      </xdr:txBody>
    </xdr:sp>
    <xdr:clientData/>
  </xdr:twoCellAnchor>
  <xdr:twoCellAnchor>
    <xdr:from>
      <xdr:col>32</xdr:col>
      <xdr:colOff>102661</xdr:colOff>
      <xdr:row>182</xdr:row>
      <xdr:rowOff>142875</xdr:rowOff>
    </xdr:from>
    <xdr:to>
      <xdr:col>35</xdr:col>
      <xdr:colOff>286811</xdr:colOff>
      <xdr:row>190</xdr:row>
      <xdr:rowOff>118533</xdr:rowOff>
    </xdr:to>
    <xdr:sp macro="" textlink="q17_a_q19_q26_a_q29_q38_q41_Fig!AG177">
      <xdr:nvSpPr>
        <xdr:cNvPr id="187" name="CaixaDeTexto 186">
          <a:extLst>
            <a:ext uri="{FF2B5EF4-FFF2-40B4-BE49-F238E27FC236}">
              <a16:creationId xmlns:a16="http://schemas.microsoft.com/office/drawing/2014/main" id="{00000000-0008-0000-1900-0000BB000000}"/>
            </a:ext>
          </a:extLst>
        </xdr:cNvPr>
        <xdr:cNvSpPr txBox="1"/>
      </xdr:nvSpPr>
      <xdr:spPr>
        <a:xfrm>
          <a:off x="20322119" y="28114625"/>
          <a:ext cx="2009775" cy="1203325"/>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20BB0AFB-71B7-40F7-B536-9863E539EB2E}"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2024 - Continente:
Base mediana: 79,8% do Ganho, entre 820 € (&lt; 1.º ciclo do ensino básico) e  1.544 € (Ensino superior**).
Ganho mediano: Entre 958 € e 1.853 €, nos mesmos níveis de habilitação, respetivamente.</a:t>
          </a:fld>
          <a:endParaRPr kumimoji="0" lang="en-US" sz="900" b="0"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mc:AlternateContent xmlns:mc="http://schemas.openxmlformats.org/markup-compatibility/2006">
    <mc:Choice xmlns:a14="http://schemas.microsoft.com/office/drawing/2010/main" Requires="a14">
      <xdr:twoCellAnchor editAs="oneCell">
        <xdr:from>
          <xdr:col>18</xdr:col>
          <xdr:colOff>0</xdr:colOff>
          <xdr:row>248</xdr:row>
          <xdr:rowOff>123825</xdr:rowOff>
        </xdr:from>
        <xdr:to>
          <xdr:col>18</xdr:col>
          <xdr:colOff>752475</xdr:colOff>
          <xdr:row>249</xdr:row>
          <xdr:rowOff>142875</xdr:rowOff>
        </xdr:to>
        <xdr:sp macro="" textlink="">
          <xdr:nvSpPr>
            <xdr:cNvPr id="179208" name="Drop Down 8" hidden="1">
              <a:extLst>
                <a:ext uri="{63B3BB69-23CF-44E3-9099-C40C66FF867C}">
                  <a14:compatExt spid="_x0000_s179208"/>
                </a:ext>
                <a:ext uri="{FF2B5EF4-FFF2-40B4-BE49-F238E27FC236}">
                  <a16:creationId xmlns:a16="http://schemas.microsoft.com/office/drawing/2014/main" id="{00000000-0008-0000-1900-000008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30</xdr:col>
      <xdr:colOff>238125</xdr:colOff>
      <xdr:row>246</xdr:row>
      <xdr:rowOff>71439</xdr:rowOff>
    </xdr:from>
    <xdr:to>
      <xdr:col>40</xdr:col>
      <xdr:colOff>255587</xdr:colOff>
      <xdr:row>269</xdr:row>
      <xdr:rowOff>66675</xdr:rowOff>
    </xdr:to>
    <xdr:grpSp>
      <xdr:nvGrpSpPr>
        <xdr:cNvPr id="72" name="Agrupar 71">
          <a:extLst>
            <a:ext uri="{FF2B5EF4-FFF2-40B4-BE49-F238E27FC236}">
              <a16:creationId xmlns:a16="http://schemas.microsoft.com/office/drawing/2014/main" id="{00000000-0008-0000-1900-000048000000}"/>
            </a:ext>
          </a:extLst>
        </xdr:cNvPr>
        <xdr:cNvGrpSpPr/>
      </xdr:nvGrpSpPr>
      <xdr:grpSpPr>
        <a:xfrm>
          <a:off x="19129375" y="37218939"/>
          <a:ext cx="5811837" cy="3463924"/>
          <a:chOff x="17325975" y="933450"/>
          <a:chExt cx="5810250" cy="3467099"/>
        </a:xfrm>
      </xdr:grpSpPr>
      <xdr:graphicFrame macro="">
        <xdr:nvGraphicFramePr>
          <xdr:cNvPr id="73" name="Gráfico 72">
            <a:extLst>
              <a:ext uri="{FF2B5EF4-FFF2-40B4-BE49-F238E27FC236}">
                <a16:creationId xmlns:a16="http://schemas.microsoft.com/office/drawing/2014/main" id="{00000000-0008-0000-1900-000049000000}"/>
              </a:ext>
            </a:extLst>
          </xdr:cNvPr>
          <xdr:cNvGraphicFramePr>
            <a:graphicFrameLocks/>
          </xdr:cNvGraphicFramePr>
        </xdr:nvGraphicFramePr>
        <xdr:xfrm>
          <a:off x="17325975" y="1305142"/>
          <a:ext cx="3905250" cy="3095407"/>
        </xdr:xfrm>
        <a:graphic>
          <a:graphicData uri="http://schemas.openxmlformats.org/drawingml/2006/chart">
            <c:chart xmlns:c="http://schemas.openxmlformats.org/drawingml/2006/chart" xmlns:r="http://schemas.openxmlformats.org/officeDocument/2006/relationships" r:id="rId13"/>
          </a:graphicData>
        </a:graphic>
      </xdr:graphicFrame>
      <xdr:grpSp>
        <xdr:nvGrpSpPr>
          <xdr:cNvPr id="74" name="Agrupar 73">
            <a:extLst>
              <a:ext uri="{FF2B5EF4-FFF2-40B4-BE49-F238E27FC236}">
                <a16:creationId xmlns:a16="http://schemas.microsoft.com/office/drawing/2014/main" id="{00000000-0008-0000-1900-00004A000000}"/>
              </a:ext>
            </a:extLst>
          </xdr:cNvPr>
          <xdr:cNvGrpSpPr/>
        </xdr:nvGrpSpPr>
        <xdr:grpSpPr>
          <a:xfrm>
            <a:off x="20111887" y="933450"/>
            <a:ext cx="3024338" cy="3295647"/>
            <a:chOff x="15382876" y="10342315"/>
            <a:chExt cx="2836231" cy="2080882"/>
          </a:xfrm>
        </xdr:grpSpPr>
        <xdr:graphicFrame macro="">
          <xdr:nvGraphicFramePr>
            <xdr:cNvPr id="75" name="Gráfico 74">
              <a:extLst>
                <a:ext uri="{FF2B5EF4-FFF2-40B4-BE49-F238E27FC236}">
                  <a16:creationId xmlns:a16="http://schemas.microsoft.com/office/drawing/2014/main" id="{00000000-0008-0000-1900-00004B000000}"/>
                </a:ext>
              </a:extLst>
            </xdr:cNvPr>
            <xdr:cNvGraphicFramePr>
              <a:graphicFrameLocks/>
            </xdr:cNvGraphicFramePr>
          </xdr:nvGraphicFramePr>
          <xdr:xfrm>
            <a:off x="15382876" y="10368740"/>
            <a:ext cx="2836231" cy="2054457"/>
          </xdr:xfrm>
          <a:graphic>
            <a:graphicData uri="http://schemas.openxmlformats.org/drawingml/2006/chart">
              <c:chart xmlns:c="http://schemas.openxmlformats.org/drawingml/2006/chart" xmlns:r="http://schemas.openxmlformats.org/officeDocument/2006/relationships" r:id="rId14"/>
            </a:graphicData>
          </a:graphic>
        </xdr:graphicFrame>
        <xdr:sp macro="" textlink="q17_a_q19_q26_a_q29_q38_q41_Fig!$T$264">
          <xdr:nvSpPr>
            <xdr:cNvPr id="76" name="CaixaDeTexto 75">
              <a:extLst>
                <a:ext uri="{FF2B5EF4-FFF2-40B4-BE49-F238E27FC236}">
                  <a16:creationId xmlns:a16="http://schemas.microsoft.com/office/drawing/2014/main" id="{00000000-0008-0000-1900-00004C000000}"/>
                </a:ext>
              </a:extLst>
            </xdr:cNvPr>
            <xdr:cNvSpPr txBox="1"/>
          </xdr:nvSpPr>
          <xdr:spPr>
            <a:xfrm>
              <a:off x="17385495" y="10583829"/>
              <a:ext cx="823129" cy="157512"/>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E21FB161-F1F9-49F3-BCBC-1AB2C8F36695}"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3.354.136</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77" name="CaixaDeTexto 76">
              <a:extLst>
                <a:ext uri="{FF2B5EF4-FFF2-40B4-BE49-F238E27FC236}">
                  <a16:creationId xmlns:a16="http://schemas.microsoft.com/office/drawing/2014/main" id="{00000000-0008-0000-1900-00004D000000}"/>
                </a:ext>
              </a:extLst>
            </xdr:cNvPr>
            <xdr:cNvSpPr txBox="1"/>
          </xdr:nvSpPr>
          <xdr:spPr>
            <a:xfrm>
              <a:off x="17385495" y="10342315"/>
              <a:ext cx="831067" cy="184497"/>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grpSp>
    </xdr:grpSp>
    <xdr:clientData/>
  </xdr:twoCellAnchor>
  <xdr:twoCellAnchor>
    <xdr:from>
      <xdr:col>30</xdr:col>
      <xdr:colOff>254001</xdr:colOff>
      <xdr:row>270</xdr:row>
      <xdr:rowOff>71437</xdr:rowOff>
    </xdr:from>
    <xdr:to>
      <xdr:col>40</xdr:col>
      <xdr:colOff>84139</xdr:colOff>
      <xdr:row>295</xdr:row>
      <xdr:rowOff>108480</xdr:rowOff>
    </xdr:to>
    <xdr:grpSp>
      <xdr:nvGrpSpPr>
        <xdr:cNvPr id="83" name="Agrupar 82">
          <a:extLst>
            <a:ext uri="{FF2B5EF4-FFF2-40B4-BE49-F238E27FC236}">
              <a16:creationId xmlns:a16="http://schemas.microsoft.com/office/drawing/2014/main" id="{00000000-0008-0000-1900-000053000000}"/>
            </a:ext>
          </a:extLst>
        </xdr:cNvPr>
        <xdr:cNvGrpSpPr/>
      </xdr:nvGrpSpPr>
      <xdr:grpSpPr>
        <a:xfrm>
          <a:off x="19145251" y="40838437"/>
          <a:ext cx="5624513" cy="3807356"/>
          <a:chOff x="16221075" y="5397500"/>
          <a:chExt cx="5638801" cy="3731156"/>
        </a:xfrm>
      </xdr:grpSpPr>
      <xdr:graphicFrame macro="">
        <xdr:nvGraphicFramePr>
          <xdr:cNvPr id="84" name="Gráfico 83">
            <a:extLst>
              <a:ext uri="{FF2B5EF4-FFF2-40B4-BE49-F238E27FC236}">
                <a16:creationId xmlns:a16="http://schemas.microsoft.com/office/drawing/2014/main" id="{00000000-0008-0000-1900-000054000000}"/>
              </a:ext>
            </a:extLst>
          </xdr:cNvPr>
          <xdr:cNvGraphicFramePr>
            <a:graphicFrameLocks/>
          </xdr:cNvGraphicFramePr>
        </xdr:nvGraphicFramePr>
        <xdr:xfrm>
          <a:off x="16221075" y="5734051"/>
          <a:ext cx="3800474" cy="3394605"/>
        </xdr:xfrm>
        <a:graphic>
          <a:graphicData uri="http://schemas.openxmlformats.org/drawingml/2006/chart">
            <c:chart xmlns:c="http://schemas.openxmlformats.org/drawingml/2006/chart" xmlns:r="http://schemas.openxmlformats.org/officeDocument/2006/relationships" r:id="rId15"/>
          </a:graphicData>
        </a:graphic>
      </xdr:graphicFrame>
      <xdr:sp macro="" textlink="q17_a_q19_q26_a_q29_q38_q41_Fig!$U$264">
        <xdr:nvSpPr>
          <xdr:cNvPr id="85" name="CaixaDeTexto 84">
            <a:extLst>
              <a:ext uri="{FF2B5EF4-FFF2-40B4-BE49-F238E27FC236}">
                <a16:creationId xmlns:a16="http://schemas.microsoft.com/office/drawing/2014/main" id="{00000000-0008-0000-1900-000055000000}"/>
              </a:ext>
            </a:extLst>
          </xdr:cNvPr>
          <xdr:cNvSpPr txBox="1"/>
        </xdr:nvSpPr>
        <xdr:spPr>
          <a:xfrm>
            <a:off x="16617421" y="5845032"/>
            <a:ext cx="692678" cy="143018"/>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72ECE00-A87A-4283-9A52-74C3749E319F}"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1.308,96 €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86" name="CaixaDeTexto 85">
            <a:extLst>
              <a:ext uri="{FF2B5EF4-FFF2-40B4-BE49-F238E27FC236}">
                <a16:creationId xmlns:a16="http://schemas.microsoft.com/office/drawing/2014/main" id="{00000000-0008-0000-1900-000056000000}"/>
              </a:ext>
            </a:extLst>
          </xdr:cNvPr>
          <xdr:cNvSpPr txBox="1"/>
        </xdr:nvSpPr>
        <xdr:spPr>
          <a:xfrm>
            <a:off x="16617421" y="5613571"/>
            <a:ext cx="692679" cy="206204"/>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sp macro="" textlink="q17_a_q19_q26_a_q29_q38_q41_Fig!$V$264">
        <xdr:nvSpPr>
          <xdr:cNvPr id="87" name="CaixaDeTexto 86">
            <a:extLst>
              <a:ext uri="{FF2B5EF4-FFF2-40B4-BE49-F238E27FC236}">
                <a16:creationId xmlns:a16="http://schemas.microsoft.com/office/drawing/2014/main" id="{00000000-0008-0000-1900-000057000000}"/>
              </a:ext>
            </a:extLst>
          </xdr:cNvPr>
          <xdr:cNvSpPr txBox="1"/>
        </xdr:nvSpPr>
        <xdr:spPr>
          <a:xfrm>
            <a:off x="16617421" y="6023130"/>
            <a:ext cx="692678" cy="104621"/>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F2CD233-01EE-469E-8399-17A6EEED23C3}"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1.582,75 €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nvGrpSpPr>
          <xdr:cNvPr id="88" name="Agrupar 87">
            <a:extLst>
              <a:ext uri="{FF2B5EF4-FFF2-40B4-BE49-F238E27FC236}">
                <a16:creationId xmlns:a16="http://schemas.microsoft.com/office/drawing/2014/main" id="{00000000-0008-0000-1900-000058000000}"/>
              </a:ext>
            </a:extLst>
          </xdr:cNvPr>
          <xdr:cNvGrpSpPr/>
        </xdr:nvGrpSpPr>
        <xdr:grpSpPr>
          <a:xfrm>
            <a:off x="19701235" y="5603993"/>
            <a:ext cx="2158641" cy="3444760"/>
            <a:chOff x="20489329" y="14115698"/>
            <a:chExt cx="2954034" cy="2531384"/>
          </a:xfrm>
        </xdr:grpSpPr>
        <xdr:graphicFrame macro="">
          <xdr:nvGraphicFramePr>
            <xdr:cNvPr id="95" name="Gráfico 94">
              <a:extLst>
                <a:ext uri="{FF2B5EF4-FFF2-40B4-BE49-F238E27FC236}">
                  <a16:creationId xmlns:a16="http://schemas.microsoft.com/office/drawing/2014/main" id="{00000000-0008-0000-1900-00005F000000}"/>
                </a:ext>
              </a:extLst>
            </xdr:cNvPr>
            <xdr:cNvGraphicFramePr>
              <a:graphicFrameLocks/>
            </xdr:cNvGraphicFramePr>
          </xdr:nvGraphicFramePr>
          <xdr:xfrm>
            <a:off x="20815828" y="14262773"/>
            <a:ext cx="2627535" cy="2384309"/>
          </xdr:xfrm>
          <a:graphic>
            <a:graphicData uri="http://schemas.openxmlformats.org/drawingml/2006/chart">
              <c:chart xmlns:c="http://schemas.openxmlformats.org/drawingml/2006/chart" xmlns:r="http://schemas.openxmlformats.org/officeDocument/2006/relationships" r:id="rId16"/>
            </a:graphicData>
          </a:graphic>
        </xdr:graphicFrame>
        <xdr:sp macro="" textlink="q17_a_q19_q26_a_q29_q38_q41_Fig!$W$264">
          <xdr:nvSpPr>
            <xdr:cNvPr id="96" name="CaixaDeTexto 95">
              <a:extLst>
                <a:ext uri="{FF2B5EF4-FFF2-40B4-BE49-F238E27FC236}">
                  <a16:creationId xmlns:a16="http://schemas.microsoft.com/office/drawing/2014/main" id="{00000000-0008-0000-1900-000060000000}"/>
                </a:ext>
              </a:extLst>
            </xdr:cNvPr>
            <xdr:cNvSpPr txBox="1"/>
          </xdr:nvSpPr>
          <xdr:spPr>
            <a:xfrm>
              <a:off x="20489331" y="14269390"/>
              <a:ext cx="1068605" cy="100056"/>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159EE41-3203-4DE7-A967-4559667BB7F1}" type="TxLink">
                <a:rPr kumimoji="0" lang="en-US" sz="800" b="1" i="0" u="none" strike="noStrike" kern="0" cap="none" spc="0" normalizeH="0" baseline="0" noProof="0">
                  <a:ln>
                    <a:noFill/>
                  </a:ln>
                  <a:solidFill>
                    <a:srgbClr val="000000"/>
                  </a:solidFill>
                  <a:effectLst/>
                  <a:uLnTx/>
                  <a:uFillTx/>
                  <a:latin typeface="+mn-lt"/>
                  <a:ea typeface="+mn-ea"/>
                  <a:cs typeface="Arial"/>
                </a:rPr>
                <a:pPr marL="0" marR="0" lvl="0" indent="0" algn="ctr" defTabSz="914400" eaLnBrk="1" fontAlgn="auto" latinLnBrk="0" hangingPunct="1">
                  <a:lnSpc>
                    <a:spcPct val="100000"/>
                  </a:lnSpc>
                  <a:spcBef>
                    <a:spcPts val="0"/>
                  </a:spcBef>
                  <a:spcAft>
                    <a:spcPts val="0"/>
                  </a:spcAft>
                  <a:buClrTx/>
                  <a:buSzTx/>
                  <a:buFontTx/>
                  <a:buNone/>
                  <a:tabLst/>
                  <a:defRPr/>
                </a:pPr>
                <a:t>7,38 €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97" name="CaixaDeTexto 96">
              <a:extLst>
                <a:ext uri="{FF2B5EF4-FFF2-40B4-BE49-F238E27FC236}">
                  <a16:creationId xmlns:a16="http://schemas.microsoft.com/office/drawing/2014/main" id="{00000000-0008-0000-1900-000061000000}"/>
                </a:ext>
              </a:extLst>
            </xdr:cNvPr>
            <xdr:cNvSpPr txBox="1"/>
          </xdr:nvSpPr>
          <xdr:spPr>
            <a:xfrm>
              <a:off x="20489329" y="14115698"/>
              <a:ext cx="1083522" cy="130262"/>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grpSp>
      <xdr:sp macro="" textlink="">
        <xdr:nvSpPr>
          <xdr:cNvPr id="89" name="CaixaDeTexto 88">
            <a:extLst>
              <a:ext uri="{FF2B5EF4-FFF2-40B4-BE49-F238E27FC236}">
                <a16:creationId xmlns:a16="http://schemas.microsoft.com/office/drawing/2014/main" id="{00000000-0008-0000-1900-000059000000}"/>
              </a:ext>
            </a:extLst>
          </xdr:cNvPr>
          <xdr:cNvSpPr txBox="1"/>
        </xdr:nvSpPr>
        <xdr:spPr>
          <a:xfrm>
            <a:off x="17186755" y="5398912"/>
            <a:ext cx="1539726" cy="1797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Remunerações</a:t>
            </a:r>
            <a:r>
              <a:rPr lang="pt-PT" sz="800" b="1" baseline="0">
                <a:solidFill>
                  <a:schemeClr val="tx2"/>
                </a:solidFill>
              </a:rPr>
              <a:t> médias mensais</a:t>
            </a:r>
            <a:endParaRPr lang="pt-PT" sz="800" b="1">
              <a:solidFill>
                <a:schemeClr val="tx2"/>
              </a:solidFill>
            </a:endParaRPr>
          </a:p>
        </xdr:txBody>
      </xdr:sp>
      <xdr:sp macro="" textlink="">
        <xdr:nvSpPr>
          <xdr:cNvPr id="94" name="CaixaDeTexto 93">
            <a:extLst>
              <a:ext uri="{FF2B5EF4-FFF2-40B4-BE49-F238E27FC236}">
                <a16:creationId xmlns:a16="http://schemas.microsoft.com/office/drawing/2014/main" id="{00000000-0008-0000-1900-00005E000000}"/>
              </a:ext>
            </a:extLst>
          </xdr:cNvPr>
          <xdr:cNvSpPr txBox="1"/>
        </xdr:nvSpPr>
        <xdr:spPr>
          <a:xfrm>
            <a:off x="19681208" y="5397500"/>
            <a:ext cx="1850055" cy="17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Remuneração</a:t>
            </a:r>
            <a:r>
              <a:rPr lang="pt-PT" sz="800" b="1" baseline="0">
                <a:solidFill>
                  <a:schemeClr val="tx2"/>
                </a:solidFill>
              </a:rPr>
              <a:t> base horária</a:t>
            </a:r>
            <a:endParaRPr lang="pt-PT" sz="800" b="1">
              <a:solidFill>
                <a:schemeClr val="tx2"/>
              </a:solidFill>
            </a:endParaRPr>
          </a:p>
        </xdr:txBody>
      </xdr:sp>
    </xdr:grpSp>
    <xdr:clientData/>
  </xdr:twoCellAnchor>
  <xdr:twoCellAnchor>
    <xdr:from>
      <xdr:col>18</xdr:col>
      <xdr:colOff>95250</xdr:colOff>
      <xdr:row>279</xdr:row>
      <xdr:rowOff>89959</xdr:rowOff>
    </xdr:from>
    <xdr:to>
      <xdr:col>23</xdr:col>
      <xdr:colOff>607483</xdr:colOff>
      <xdr:row>284</xdr:row>
      <xdr:rowOff>31751</xdr:rowOff>
    </xdr:to>
    <xdr:sp macro="" textlink="q17_a_q19_q26_a_q29_q38_q41_Fig!$S$278">
      <xdr:nvSpPr>
        <xdr:cNvPr id="98" name="CaixaDeTexto 97">
          <a:extLst>
            <a:ext uri="{FF2B5EF4-FFF2-40B4-BE49-F238E27FC236}">
              <a16:creationId xmlns:a16="http://schemas.microsoft.com/office/drawing/2014/main" id="{00000000-0008-0000-1900-000062000000}"/>
            </a:ext>
          </a:extLst>
        </xdr:cNvPr>
        <xdr:cNvSpPr txBox="1"/>
      </xdr:nvSpPr>
      <xdr:spPr>
        <a:xfrm>
          <a:off x="11789833" y="42947167"/>
          <a:ext cx="4004733" cy="709084"/>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CDA9329E-1407-43D7-85FB-08FE87CA96AF}" type="TxLink">
            <a:rPr lang="en-US" sz="900" b="0" i="0" u="none" strike="noStrike">
              <a:solidFill>
                <a:srgbClr val="000000"/>
              </a:solidFill>
              <a:latin typeface="Calibri"/>
              <a:cs typeface="Calibri"/>
            </a:rPr>
            <a:pPr/>
            <a:t>2024:
35,4% dos TCO eram "Trabalhadores dos serviços pessoais, de protecção e segurança e vendedores" (20,9%) e "Trabalhadores não qualificados " (14,5%).</a:t>
          </a:fld>
          <a:endParaRPr lang="pt-PT" sz="900" b="0">
            <a:solidFill>
              <a:sysClr val="windowText" lastClr="000000"/>
            </a:solidFill>
          </a:endParaRPr>
        </a:p>
      </xdr:txBody>
    </xdr:sp>
    <xdr:clientData/>
  </xdr:twoCellAnchor>
  <xdr:twoCellAnchor>
    <xdr:from>
      <xdr:col>18</xdr:col>
      <xdr:colOff>248711</xdr:colOff>
      <xdr:row>297</xdr:row>
      <xdr:rowOff>95252</xdr:rowOff>
    </xdr:from>
    <xdr:to>
      <xdr:col>22</xdr:col>
      <xdr:colOff>76730</xdr:colOff>
      <xdr:row>304</xdr:row>
      <xdr:rowOff>150815</xdr:rowOff>
    </xdr:to>
    <xdr:sp macro="" textlink="q17_a_q19_q26_a_q29_q38_q41_Fig!$S$296">
      <xdr:nvSpPr>
        <xdr:cNvPr id="99" name="CaixaDeTexto 98">
          <a:extLst>
            <a:ext uri="{FF2B5EF4-FFF2-40B4-BE49-F238E27FC236}">
              <a16:creationId xmlns:a16="http://schemas.microsoft.com/office/drawing/2014/main" id="{00000000-0008-0000-1900-000063000000}"/>
            </a:ext>
          </a:extLst>
        </xdr:cNvPr>
        <xdr:cNvSpPr txBox="1"/>
      </xdr:nvSpPr>
      <xdr:spPr>
        <a:xfrm>
          <a:off x="11943294" y="45714710"/>
          <a:ext cx="2711978" cy="1129772"/>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0B7611C2-A919-4823-804F-CBBAFBAF13AC}"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2024 - Continente:
Base média: 82,7% do Ganho, entre 894 € (Trabalhadores não qualificados) e 3.107 € (Trabalhadores sem profissão atribuida).
Ganho médio: Entre 1.058 € e 3.505 € nas mesmas profissões, respetivamente.</a:t>
          </a:fld>
          <a:endParaRPr kumimoji="0" lang="pt-PT" sz="1000" b="1" i="0" u="none" strike="noStrike" kern="0" cap="none" spc="0" normalizeH="0" baseline="0" noProof="0">
            <a:ln>
              <a:noFill/>
            </a:ln>
            <a:solidFill>
              <a:srgbClr val="17375E"/>
            </a:solidFill>
            <a:effectLst/>
            <a:uLnTx/>
            <a:uFillTx/>
            <a:latin typeface="Calibri"/>
            <a:ea typeface="+mn-ea"/>
            <a:cs typeface="+mn-cs"/>
          </a:endParaRPr>
        </a:p>
      </xdr:txBody>
    </xdr:sp>
    <xdr:clientData/>
  </xdr:twoCellAnchor>
  <xdr:twoCellAnchor>
    <xdr:from>
      <xdr:col>23</xdr:col>
      <xdr:colOff>280458</xdr:colOff>
      <xdr:row>298</xdr:row>
      <xdr:rowOff>66145</xdr:rowOff>
    </xdr:from>
    <xdr:to>
      <xdr:col>28</xdr:col>
      <xdr:colOff>232833</xdr:colOff>
      <xdr:row>304</xdr:row>
      <xdr:rowOff>34394</xdr:rowOff>
    </xdr:to>
    <xdr:sp macro="" textlink="q17_a_q19_q26_a_q29_q38_q41_Fig!$Z$296">
      <xdr:nvSpPr>
        <xdr:cNvPr id="100" name="CaixaDeTexto 99">
          <a:extLst>
            <a:ext uri="{FF2B5EF4-FFF2-40B4-BE49-F238E27FC236}">
              <a16:creationId xmlns:a16="http://schemas.microsoft.com/office/drawing/2014/main" id="{00000000-0008-0000-1900-000064000000}"/>
            </a:ext>
          </a:extLst>
        </xdr:cNvPr>
        <xdr:cNvSpPr txBox="1"/>
      </xdr:nvSpPr>
      <xdr:spPr>
        <a:xfrm>
          <a:off x="15467541" y="45839062"/>
          <a:ext cx="3137959" cy="888999"/>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8D5B2176-8C9B-40FB-92EB-B6ACFE3B426F}"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2024 - Continente:
Base horária média: 7,38 € a variar entre 5,12 € (Trabalhadores não qualificados ) e 18,20 € (Trabalhadores sem profissão atribuida).</a:t>
          </a:fld>
          <a:endParaRPr kumimoji="0" lang="pt-PT" sz="1000" b="1" i="0" u="none" strike="noStrike" kern="0" cap="none" spc="0" normalizeH="0" baseline="0" noProof="0">
            <a:ln>
              <a:noFill/>
            </a:ln>
            <a:solidFill>
              <a:srgbClr val="17375E"/>
            </a:solidFill>
            <a:effectLst/>
            <a:uLnTx/>
            <a:uFillTx/>
            <a:latin typeface="Calibri"/>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18</xdr:col>
          <xdr:colOff>561975</xdr:colOff>
          <xdr:row>87</xdr:row>
          <xdr:rowOff>142875</xdr:rowOff>
        </xdr:from>
        <xdr:to>
          <xdr:col>19</xdr:col>
          <xdr:colOff>352425</xdr:colOff>
          <xdr:row>89</xdr:row>
          <xdr:rowOff>9525</xdr:rowOff>
        </xdr:to>
        <xdr:sp macro="" textlink="">
          <xdr:nvSpPr>
            <xdr:cNvPr id="179209" name="Drop Down 9" hidden="1">
              <a:extLst>
                <a:ext uri="{63B3BB69-23CF-44E3-9099-C40C66FF867C}">
                  <a14:compatExt spid="_x0000_s179209"/>
                </a:ext>
                <a:ext uri="{FF2B5EF4-FFF2-40B4-BE49-F238E27FC236}">
                  <a16:creationId xmlns:a16="http://schemas.microsoft.com/office/drawing/2014/main" id="{00000000-0008-0000-1900-000009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561975</xdr:colOff>
          <xdr:row>80</xdr:row>
          <xdr:rowOff>142875</xdr:rowOff>
        </xdr:from>
        <xdr:to>
          <xdr:col>51</xdr:col>
          <xdr:colOff>152400</xdr:colOff>
          <xdr:row>82</xdr:row>
          <xdr:rowOff>9525</xdr:rowOff>
        </xdr:to>
        <xdr:sp macro="" textlink="">
          <xdr:nvSpPr>
            <xdr:cNvPr id="179210" name="Drop Down 10" hidden="1">
              <a:extLst>
                <a:ext uri="{63B3BB69-23CF-44E3-9099-C40C66FF867C}">
                  <a14:compatExt spid="_x0000_s179210"/>
                </a:ext>
                <a:ext uri="{FF2B5EF4-FFF2-40B4-BE49-F238E27FC236}">
                  <a16:creationId xmlns:a16="http://schemas.microsoft.com/office/drawing/2014/main" id="{00000000-0008-0000-1900-00000A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24</xdr:col>
      <xdr:colOff>566207</xdr:colOff>
      <xdr:row>276</xdr:row>
      <xdr:rowOff>5292</xdr:rowOff>
    </xdr:from>
    <xdr:to>
      <xdr:col>30</xdr:col>
      <xdr:colOff>533398</xdr:colOff>
      <xdr:row>280</xdr:row>
      <xdr:rowOff>100542</xdr:rowOff>
    </xdr:to>
    <xdr:sp macro="" textlink="$Z$281">
      <xdr:nvSpPr>
        <xdr:cNvPr id="101" name="CaixaDeTexto 100">
          <a:extLst>
            <a:ext uri="{FF2B5EF4-FFF2-40B4-BE49-F238E27FC236}">
              <a16:creationId xmlns:a16="http://schemas.microsoft.com/office/drawing/2014/main" id="{00000000-0008-0000-1900-000065000000}"/>
            </a:ext>
          </a:extLst>
        </xdr:cNvPr>
        <xdr:cNvSpPr txBox="1"/>
      </xdr:nvSpPr>
      <xdr:spPr>
        <a:xfrm>
          <a:off x="16361832" y="42402125"/>
          <a:ext cx="4004733" cy="709084"/>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62721AEB-F578-4816-9AB3-7FDA3647AB1E}" type="TxLink">
            <a:rPr lang="en-US" sz="900" b="0" i="0" u="none" strike="noStrike">
              <a:solidFill>
                <a:srgbClr val="000000"/>
              </a:solidFill>
              <a:latin typeface="Calibri"/>
              <a:ea typeface="Calibri"/>
              <a:cs typeface="Calibri"/>
            </a:rPr>
            <a:pPr/>
            <a:t>2024:
49,0% dos TCO eram "Trabalhadores dos serviços pessoais, de protecção e segurança e vendedores" (20,9%), "Trabalhadores não qualificados " e "Trab.qualif.da ind.,constr.e artific." (ambos com 14,5%).</a:t>
          </a:fld>
          <a:endParaRPr lang="pt-PT" sz="900" b="0">
            <a:solidFill>
              <a:sysClr val="windowText" lastClr="000000"/>
            </a:solidFill>
          </a:endParaRPr>
        </a:p>
      </xdr:txBody>
    </xdr:sp>
    <xdr:clientData/>
  </xdr:twoCellAnchor>
</xdr:wsDr>
</file>

<file path=xl/drawings/drawing66.xml><?xml version="1.0" encoding="utf-8"?>
<c:userShapes xmlns:c="http://schemas.openxmlformats.org/drawingml/2006/chart">
  <cdr:relSizeAnchor xmlns:cdr="http://schemas.openxmlformats.org/drawingml/2006/chartDrawing">
    <cdr:from>
      <cdr:x>0.51845</cdr:x>
      <cdr:y>0.14688</cdr:y>
    </cdr:from>
    <cdr:to>
      <cdr:x>0.65457</cdr:x>
      <cdr:y>0.26625</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353720" y="399758"/>
          <a:ext cx="355421" cy="324884"/>
          <a:chOff x="1925896" y="369817"/>
          <a:chExt cx="505685"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25896"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67.xml><?xml version="1.0" encoding="utf-8"?>
<c:userShapes xmlns:c="http://schemas.openxmlformats.org/drawingml/2006/chart">
  <cdr:relSizeAnchor xmlns:cdr="http://schemas.openxmlformats.org/drawingml/2006/chartDrawing">
    <cdr:from>
      <cdr:x>0.49765</cdr:x>
      <cdr:y>0.09441</cdr:y>
    </cdr:from>
    <cdr:to>
      <cdr:x>0.61405</cdr:x>
      <cdr:y>0.18938</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127853" y="365332"/>
          <a:ext cx="263804" cy="367498"/>
          <a:chOff x="1941922" y="369817"/>
          <a:chExt cx="489659"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41922"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68.xml><?xml version="1.0" encoding="utf-8"?>
<c:userShapes xmlns:c="http://schemas.openxmlformats.org/drawingml/2006/chart">
  <cdr:relSizeAnchor xmlns:cdr="http://schemas.openxmlformats.org/drawingml/2006/chartDrawing">
    <cdr:from>
      <cdr:x>0.50439</cdr:x>
      <cdr:y>0.13317</cdr:y>
    </cdr:from>
    <cdr:to>
      <cdr:x>0.64051</cdr:x>
      <cdr:y>0.25254</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327910" y="364387"/>
          <a:ext cx="358364" cy="326628"/>
          <a:chOff x="1925896" y="369817"/>
          <a:chExt cx="505685"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25896"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69.xml><?xml version="1.0" encoding="utf-8"?>
<c:userShapes xmlns:c="http://schemas.openxmlformats.org/drawingml/2006/chart">
  <cdr:relSizeAnchor xmlns:cdr="http://schemas.openxmlformats.org/drawingml/2006/chartDrawing">
    <cdr:from>
      <cdr:x>0.60932</cdr:x>
      <cdr:y>0.10672</cdr:y>
    </cdr:from>
    <cdr:to>
      <cdr:x>0.72061</cdr:x>
      <cdr:y>0.1913</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247711" y="326759"/>
          <a:ext cx="227890" cy="258970"/>
          <a:chOff x="1963402" y="369817"/>
          <a:chExt cx="468179"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63402"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7.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11_q13_q15_q17_Fig!$AT$3">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2CDC873-C7D5-4AA6-A695-E44A0D80BFC0}"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11_q13_q15_q17_Fig!$BD$3">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0FE9F98-09CD-4ADD-B8D3-2E780357645C}"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0.69647</cdr:x>
      <cdr:y>0.01779</cdr:y>
    </cdr:from>
    <cdr:to>
      <cdr:x>0.89688</cdr:x>
      <cdr:y>0.1661</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478637" y="-167683"/>
          <a:ext cx="484400" cy="936000"/>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1000" b="1">
              <a:solidFill>
                <a:schemeClr val="bg1"/>
              </a:solidFill>
            </a:rPr>
            <a:t>VARIAÇÃO</a:t>
          </a:r>
        </a:p>
      </cdr:txBody>
    </cdr:sp>
  </cdr:relSizeAnchor>
</c:userShapes>
</file>

<file path=xl/drawings/drawing70.xml><?xml version="1.0" encoding="utf-8"?>
<xdr:wsDr xmlns:xdr="http://schemas.openxmlformats.org/drawingml/2006/spreadsheetDrawing" xmlns:a="http://schemas.openxmlformats.org/drawingml/2006/main">
  <xdr:twoCellAnchor editAs="absolute">
    <xdr:from>
      <xdr:col>11</xdr:col>
      <xdr:colOff>133350</xdr:colOff>
      <xdr:row>0</xdr:row>
      <xdr:rowOff>266700</xdr:rowOff>
    </xdr:from>
    <xdr:to>
      <xdr:col>12</xdr:col>
      <xdr:colOff>428625</xdr:colOff>
      <xdr:row>0</xdr:row>
      <xdr:rowOff>581025</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076950" y="266700"/>
          <a:ext cx="822325" cy="314325"/>
        </a:xfrm>
        <a:prstGeom prst="rect">
          <a:avLst/>
        </a:prstGeom>
        <a:noFill/>
        <a:ln w="1">
          <a:noFill/>
          <a:miter lim="800000"/>
          <a:headEnd/>
          <a:tailEnd type="none" w="med" len="med"/>
        </a:ln>
        <a:effectLst/>
      </xdr:spPr>
    </xdr:pic>
    <xdr:clientData fPrintsWithSheet="0"/>
  </xdr:twoCellAnchor>
</xdr:wsDr>
</file>

<file path=xl/drawings/drawing71.xml><?xml version="1.0" encoding="utf-8"?>
<xdr:wsDr xmlns:xdr="http://schemas.openxmlformats.org/drawingml/2006/spreadsheetDrawing" xmlns:a="http://schemas.openxmlformats.org/drawingml/2006/main">
  <xdr:twoCellAnchor editAs="absolute">
    <xdr:from>
      <xdr:col>11</xdr:col>
      <xdr:colOff>47625</xdr:colOff>
      <xdr:row>0</xdr:row>
      <xdr:rowOff>238125</xdr:rowOff>
    </xdr:from>
    <xdr:to>
      <xdr:col>12</xdr:col>
      <xdr:colOff>399952</xdr:colOff>
      <xdr:row>1</xdr:row>
      <xdr:rowOff>180937</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210175" y="238125"/>
          <a:ext cx="780952" cy="304762"/>
        </a:xfrm>
        <a:prstGeom prst="rect">
          <a:avLst/>
        </a:prstGeom>
        <a:noFill/>
        <a:ln w="1">
          <a:noFill/>
          <a:miter lim="800000"/>
          <a:headEnd/>
          <a:tailEnd type="none" w="med" len="med"/>
        </a:ln>
        <a:effectLst/>
      </xdr:spPr>
    </xdr:pic>
    <xdr:clientData fPrintsWithSheet="0"/>
  </xdr:twoCellAnchor>
</xdr:wsDr>
</file>

<file path=xl/drawings/drawing72.xml><?xml version="1.0" encoding="utf-8"?>
<xdr:wsDr xmlns:xdr="http://schemas.openxmlformats.org/drawingml/2006/spreadsheetDrawing" xmlns:a="http://schemas.openxmlformats.org/drawingml/2006/main">
  <xdr:twoCellAnchor editAs="absolute">
    <xdr:from>
      <xdr:col>11</xdr:col>
      <xdr:colOff>0</xdr:colOff>
      <xdr:row>0</xdr:row>
      <xdr:rowOff>257174</xdr:rowOff>
    </xdr:from>
    <xdr:to>
      <xdr:col>12</xdr:col>
      <xdr:colOff>390423</xdr:colOff>
      <xdr:row>1</xdr:row>
      <xdr:rowOff>180975</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019675" y="257174"/>
          <a:ext cx="819048" cy="285751"/>
        </a:xfrm>
        <a:prstGeom prst="rect">
          <a:avLst/>
        </a:prstGeom>
        <a:noFill/>
        <a:ln w="1">
          <a:noFill/>
          <a:miter lim="800000"/>
          <a:headEnd/>
          <a:tailEnd type="none" w="med" len="med"/>
        </a:ln>
        <a:effectLst/>
      </xdr:spPr>
    </xdr:pic>
    <xdr:clientData fPrintsWithSheet="0"/>
  </xdr:twoCellAnchor>
</xdr:wsDr>
</file>

<file path=xl/drawings/drawing73.xml><?xml version="1.0" encoding="utf-8"?>
<xdr:wsDr xmlns:xdr="http://schemas.openxmlformats.org/drawingml/2006/spreadsheetDrawing" xmlns:a="http://schemas.openxmlformats.org/drawingml/2006/main">
  <xdr:twoCellAnchor>
    <xdr:from>
      <xdr:col>16</xdr:col>
      <xdr:colOff>571500</xdr:colOff>
      <xdr:row>1</xdr:row>
      <xdr:rowOff>121708</xdr:rowOff>
    </xdr:from>
    <xdr:to>
      <xdr:col>39</xdr:col>
      <xdr:colOff>565679</xdr:colOff>
      <xdr:row>16</xdr:row>
      <xdr:rowOff>16933</xdr:rowOff>
    </xdr:to>
    <xdr:grpSp>
      <xdr:nvGrpSpPr>
        <xdr:cNvPr id="5" name="Agrupar 4">
          <a:extLst>
            <a:ext uri="{FF2B5EF4-FFF2-40B4-BE49-F238E27FC236}">
              <a16:creationId xmlns:a16="http://schemas.microsoft.com/office/drawing/2014/main" id="{00000000-0008-0000-1D00-000005000000}"/>
            </a:ext>
          </a:extLst>
        </xdr:cNvPr>
        <xdr:cNvGrpSpPr/>
      </xdr:nvGrpSpPr>
      <xdr:grpSpPr>
        <a:xfrm>
          <a:off x="10445750" y="272521"/>
          <a:ext cx="13321242" cy="2157412"/>
          <a:chOff x="8448671" y="712203"/>
          <a:chExt cx="14601170" cy="4374147"/>
        </a:xfrm>
      </xdr:grpSpPr>
      <xdr:graphicFrame macro="">
        <xdr:nvGraphicFramePr>
          <xdr:cNvPr id="6" name="Gráfico 5">
            <a:extLst>
              <a:ext uri="{FF2B5EF4-FFF2-40B4-BE49-F238E27FC236}">
                <a16:creationId xmlns:a16="http://schemas.microsoft.com/office/drawing/2014/main" id="{00000000-0008-0000-1D00-000006000000}"/>
              </a:ext>
            </a:extLst>
          </xdr:cNvPr>
          <xdr:cNvGraphicFramePr/>
        </xdr:nvGraphicFramePr>
        <xdr:xfrm>
          <a:off x="8448671" y="717551"/>
          <a:ext cx="7760518" cy="436879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Gráfico 6">
            <a:extLst>
              <a:ext uri="{FF2B5EF4-FFF2-40B4-BE49-F238E27FC236}">
                <a16:creationId xmlns:a16="http://schemas.microsoft.com/office/drawing/2014/main" id="{00000000-0008-0000-1D00-000007000000}"/>
              </a:ext>
            </a:extLst>
          </xdr:cNvPr>
          <xdr:cNvGraphicFramePr>
            <a:graphicFrameLocks/>
          </xdr:cNvGraphicFramePr>
        </xdr:nvGraphicFramePr>
        <xdr:xfrm>
          <a:off x="15989778" y="712203"/>
          <a:ext cx="7060063" cy="436879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16</xdr:col>
      <xdr:colOff>603250</xdr:colOff>
      <xdr:row>17</xdr:row>
      <xdr:rowOff>10583</xdr:rowOff>
    </xdr:from>
    <xdr:to>
      <xdr:col>34</xdr:col>
      <xdr:colOff>432859</xdr:colOff>
      <xdr:row>19</xdr:row>
      <xdr:rowOff>13759</xdr:rowOff>
    </xdr:to>
    <xdr:sp macro="" textlink="">
      <xdr:nvSpPr>
        <xdr:cNvPr id="8" name="CaixaDeTexto 7">
          <a:extLst>
            <a:ext uri="{FF2B5EF4-FFF2-40B4-BE49-F238E27FC236}">
              <a16:creationId xmlns:a16="http://schemas.microsoft.com/office/drawing/2014/main" id="{00000000-0008-0000-1D00-000008000000}"/>
            </a:ext>
          </a:extLst>
        </xdr:cNvPr>
        <xdr:cNvSpPr txBox="1"/>
      </xdr:nvSpPr>
      <xdr:spPr>
        <a:xfrm>
          <a:off x="10969625" y="2619375"/>
          <a:ext cx="10783359" cy="310092"/>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pt-PT" sz="600" b="0" i="0" baseline="0">
              <a:solidFill>
                <a:schemeClr val="tx1">
                  <a:lumMod val="50000"/>
                  <a:lumOff val="50000"/>
                </a:schemeClr>
              </a:solidFill>
              <a:effectLst/>
              <a:latin typeface="+mn-lt"/>
              <a:ea typeface="+mn-ea"/>
              <a:cs typeface="+mn-cs"/>
            </a:rPr>
            <a:t>* Trabalhadores por conta de outrem a tempo completo, que auferiram remuneração completa no período de referência.</a:t>
          </a:r>
          <a:endParaRPr lang="pt-PT" sz="600">
            <a:solidFill>
              <a:schemeClr val="tx1">
                <a:lumMod val="50000"/>
                <a:lumOff val="50000"/>
              </a:schemeClr>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600" b="0" i="0" u="none" strike="noStrike" kern="0" cap="none" spc="0" normalizeH="0" baseline="0" noProof="0">
              <a:ln>
                <a:noFill/>
              </a:ln>
              <a:solidFill>
                <a:schemeClr val="tx1">
                  <a:lumMod val="50000"/>
                  <a:lumOff val="50000"/>
                </a:schemeClr>
              </a:solidFill>
              <a:effectLst/>
              <a:uLnTx/>
              <a:uFillTx/>
              <a:latin typeface="+mn-lt"/>
              <a:ea typeface="+mn-ea"/>
              <a:cs typeface="+mn-cs"/>
            </a:rPr>
            <a:t>** Retribuição Mínima Mensal Garantida (RMMG) - Continente 2011=485,00 euros; 2012=485,00 euros; 2013=485,00 euros; 2014=505,00 euros; 2015=505,00 euros; 2016=530,00 euros; 2017=557,00 euros; 2018=580,00 euros; 2019=600,00 euros; 2020=635,00 euros e 2021 = 665,00 euros.</a:t>
          </a:r>
        </a:p>
      </xdr:txBody>
    </xdr:sp>
    <xdr:clientData/>
  </xdr:twoCellAnchor>
  <xdr:twoCellAnchor>
    <xdr:from>
      <xdr:col>6</xdr:col>
      <xdr:colOff>555625</xdr:colOff>
      <xdr:row>32</xdr:row>
      <xdr:rowOff>0</xdr:rowOff>
    </xdr:from>
    <xdr:to>
      <xdr:col>11</xdr:col>
      <xdr:colOff>277812</xdr:colOff>
      <xdr:row>36</xdr:row>
      <xdr:rowOff>15875</xdr:rowOff>
    </xdr:to>
    <xdr:sp macro="" textlink="">
      <xdr:nvSpPr>
        <xdr:cNvPr id="9" name="CaixaDeTexto 8">
          <a:extLst>
            <a:ext uri="{FF2B5EF4-FFF2-40B4-BE49-F238E27FC236}">
              <a16:creationId xmlns:a16="http://schemas.microsoft.com/office/drawing/2014/main" id="{00000000-0008-0000-1D00-000009000000}"/>
            </a:ext>
          </a:extLst>
        </xdr:cNvPr>
        <xdr:cNvSpPr txBox="1"/>
      </xdr:nvSpPr>
      <xdr:spPr>
        <a:xfrm>
          <a:off x="4635500" y="4833938"/>
          <a:ext cx="2619375" cy="619125"/>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800" b="1" i="0" u="none" strike="noStrike">
              <a:solidFill>
                <a:sysClr val="windowText" lastClr="000000"/>
              </a:solidFill>
              <a:latin typeface="+mn-lt"/>
              <a:cs typeface="Calibri"/>
            </a:rPr>
            <a:t>2024</a:t>
          </a:r>
          <a:r>
            <a:rPr lang="en-US" sz="800" b="0" i="0" u="none" strike="noStrike" baseline="0">
              <a:solidFill>
                <a:sysClr val="windowText" lastClr="000000"/>
              </a:solidFill>
              <a:latin typeface="+mn-lt"/>
              <a:cs typeface="Calibri"/>
            </a:rPr>
            <a:t> - </a:t>
          </a:r>
          <a:r>
            <a:rPr lang="en-US" sz="800" b="0" i="0" u="sng" strike="noStrike">
              <a:solidFill>
                <a:sysClr val="windowText" lastClr="000000"/>
              </a:solidFill>
              <a:latin typeface="+mn-lt"/>
              <a:cs typeface="Calibri"/>
            </a:rPr>
            <a:t>Proporção</a:t>
          </a:r>
          <a:r>
            <a:rPr lang="en-US" sz="800" b="0" i="0" u="sng" strike="noStrike" baseline="0">
              <a:solidFill>
                <a:sysClr val="windowText" lastClr="000000"/>
              </a:solidFill>
              <a:latin typeface="+mn-lt"/>
              <a:cs typeface="Calibri"/>
            </a:rPr>
            <a:t> de TCO com remuneração Base</a:t>
          </a:r>
        </a:p>
        <a:p>
          <a:r>
            <a:rPr lang="en-US" sz="800" b="0" i="0" u="none" strike="noStrike" baseline="0">
              <a:solidFill>
                <a:sysClr val="windowText" lastClr="000000"/>
              </a:solidFill>
              <a:latin typeface="+mn-lt"/>
              <a:cs typeface="Calibri"/>
            </a:rPr>
            <a:t>&gt;= RMMG e  &lt; 1.000 €: 53</a:t>
          </a:r>
          <a:r>
            <a:rPr lang="en-US" sz="800" b="0" i="0" u="none" strike="noStrike">
              <a:solidFill>
                <a:sysClr val="windowText" lastClr="000000"/>
              </a:solidFill>
              <a:latin typeface="+mn-lt"/>
              <a:cs typeface="Calibri"/>
            </a:rPr>
            <a:t>,9% (-20,7 p.p face a 2013)</a:t>
          </a:r>
        </a:p>
        <a:p>
          <a:r>
            <a:rPr lang="en-US" sz="800" b="0" i="0" u="none" strike="noStrike">
              <a:solidFill>
                <a:sysClr val="windowText" lastClr="000000"/>
              </a:solidFill>
              <a:latin typeface="+mn-lt"/>
              <a:cs typeface="Calibri"/>
            </a:rPr>
            <a:t>= </a:t>
          </a:r>
          <a:r>
            <a:rPr lang="en-US" sz="800" b="0" i="0" u="none" strike="noStrike" baseline="0">
              <a:solidFill>
                <a:sysClr val="windowText" lastClr="000000"/>
              </a:solidFill>
              <a:latin typeface="+mn-lt"/>
              <a:cs typeface="Calibri"/>
            </a:rPr>
            <a:t>RMMG: </a:t>
          </a:r>
          <a:r>
            <a:rPr lang="en-US" sz="800" b="0" i="0" u="none" strike="noStrike">
              <a:solidFill>
                <a:sysClr val="windowText" lastClr="000000"/>
              </a:solidFill>
              <a:latin typeface="+mn-lt"/>
              <a:cs typeface="Calibri"/>
            </a:rPr>
            <a:t>20,4% (inalterado face a 2014)</a:t>
          </a:r>
          <a:r>
            <a:rPr lang="en-US" sz="800" b="0" i="0" u="none" strike="noStrike" baseline="0">
              <a:solidFill>
                <a:sysClr val="windowText" lastClr="000000"/>
              </a:solidFill>
              <a:latin typeface="+mn-lt"/>
              <a:cs typeface="Calibri"/>
            </a:rPr>
            <a:t>                                      </a:t>
          </a:r>
        </a:p>
        <a:p>
          <a:r>
            <a:rPr lang="en-US" sz="800" b="0" i="0" u="none" strike="noStrike" baseline="0">
              <a:solidFill>
                <a:sysClr val="windowText" lastClr="000000"/>
              </a:solidFill>
              <a:latin typeface="+mn-lt"/>
              <a:cs typeface="Calibri"/>
            </a:rPr>
            <a:t>&gt; RMMG e &lt; 1.000 €: 33,5% (- 20,7 p.p. face a 2014).</a:t>
          </a:r>
          <a:endParaRPr lang="en-US" sz="800" b="0" i="0" u="none" strike="noStrike">
            <a:solidFill>
              <a:sysClr val="windowText" lastClr="000000"/>
            </a:solidFill>
            <a:latin typeface="+mn-lt"/>
            <a:cs typeface="Calibri"/>
          </a:endParaRPr>
        </a:p>
        <a:p>
          <a:endParaRPr lang="en-US" sz="800" b="0" i="0" u="none" strike="noStrike" baseline="0">
            <a:solidFill>
              <a:sysClr val="windowText" lastClr="000000"/>
            </a:solidFill>
            <a:latin typeface="Calibri"/>
            <a:cs typeface="Calibri"/>
          </a:endParaRPr>
        </a:p>
      </xdr:txBody>
    </xdr:sp>
    <xdr:clientData/>
  </xdr:twoCellAnchor>
  <xdr:twoCellAnchor>
    <xdr:from>
      <xdr:col>1</xdr:col>
      <xdr:colOff>412749</xdr:colOff>
      <xdr:row>35</xdr:row>
      <xdr:rowOff>13229</xdr:rowOff>
    </xdr:from>
    <xdr:to>
      <xdr:col>5</xdr:col>
      <xdr:colOff>444500</xdr:colOff>
      <xdr:row>40</xdr:row>
      <xdr:rowOff>127000</xdr:rowOff>
    </xdr:to>
    <xdr:sp macro="" textlink="$H$38">
      <xdr:nvSpPr>
        <xdr:cNvPr id="10" name="CaixaDeTexto 9">
          <a:extLst>
            <a:ext uri="{FF2B5EF4-FFF2-40B4-BE49-F238E27FC236}">
              <a16:creationId xmlns:a16="http://schemas.microsoft.com/office/drawing/2014/main" id="{00000000-0008-0000-1D00-00000A000000}"/>
            </a:ext>
          </a:extLst>
        </xdr:cNvPr>
        <xdr:cNvSpPr txBox="1"/>
      </xdr:nvSpPr>
      <xdr:spPr>
        <a:xfrm>
          <a:off x="1595437" y="5299604"/>
          <a:ext cx="2349501" cy="87577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BB8039AF-2252-4D28-A5BC-EA7278A8D6BE}" type="TxLink">
            <a:rPr lang="en-US" sz="800" b="0" i="0" u="none" strike="noStrike">
              <a:solidFill>
                <a:srgbClr val="000000"/>
              </a:solidFill>
              <a:latin typeface="+mn-lt"/>
              <a:cs typeface="Calibri"/>
            </a:rPr>
            <a:pPr/>
            <a:t>2024 - Proporção de TCO com remuneração Base: Igual à RMMG e &lt; 1.000 €: 53,9% (-20,7 p.p. face a 2014):
Igual à RMMG: 20,4% (inalterado face a 2014)
Entre RMMG e &lt; 1.000 €: 33,5% (-20,7 p.p. face a 2014).</a:t>
          </a:fld>
          <a:endParaRPr lang="en-US" sz="800" b="0" i="0" u="none" strike="noStrike" baseline="0">
            <a:solidFill>
              <a:sysClr val="windowText" lastClr="000000"/>
            </a:solidFill>
            <a:latin typeface="+mn-lt"/>
            <a:cs typeface="Calibri"/>
          </a:endParaRPr>
        </a:p>
      </xdr:txBody>
    </xdr:sp>
    <xdr:clientData/>
  </xdr:twoCellAnchor>
  <xdr:twoCellAnchor>
    <xdr:from>
      <xdr:col>25</xdr:col>
      <xdr:colOff>576792</xdr:colOff>
      <xdr:row>26</xdr:row>
      <xdr:rowOff>31750</xdr:rowOff>
    </xdr:from>
    <xdr:to>
      <xdr:col>30</xdr:col>
      <xdr:colOff>254000</xdr:colOff>
      <xdr:row>30</xdr:row>
      <xdr:rowOff>63500</xdr:rowOff>
    </xdr:to>
    <xdr:sp macro="" textlink="">
      <xdr:nvSpPr>
        <xdr:cNvPr id="11" name="CaixaDeTexto 10">
          <a:extLst>
            <a:ext uri="{FF2B5EF4-FFF2-40B4-BE49-F238E27FC236}">
              <a16:creationId xmlns:a16="http://schemas.microsoft.com/office/drawing/2014/main" id="{00000000-0008-0000-1D00-00000B000000}"/>
            </a:ext>
          </a:extLst>
        </xdr:cNvPr>
        <xdr:cNvSpPr txBox="1"/>
      </xdr:nvSpPr>
      <xdr:spPr>
        <a:xfrm>
          <a:off x="16420042" y="4021667"/>
          <a:ext cx="2719916" cy="645583"/>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800" b="1" i="0" u="none" strike="noStrike">
              <a:solidFill>
                <a:sysClr val="windowText" lastClr="000000"/>
              </a:solidFill>
              <a:latin typeface="+mn-lt"/>
              <a:cs typeface="Calibri"/>
            </a:rPr>
            <a:t>2024</a:t>
          </a:r>
          <a:r>
            <a:rPr lang="en-US" sz="800" b="0" i="0" u="none" strike="noStrike">
              <a:solidFill>
                <a:sysClr val="windowText" lastClr="000000"/>
              </a:solidFill>
              <a:latin typeface="+mn-lt"/>
              <a:cs typeface="Calibri"/>
            </a:rPr>
            <a:t> - </a:t>
          </a:r>
          <a:r>
            <a:rPr lang="en-US" sz="800" b="0" i="0" u="sng" strike="noStrike">
              <a:solidFill>
                <a:sysClr val="windowText" lastClr="000000"/>
              </a:solidFill>
              <a:latin typeface="+mn-lt"/>
              <a:cs typeface="Calibri"/>
            </a:rPr>
            <a:t>Proporção de TCO com remuneração Ganho</a:t>
          </a:r>
        </a:p>
        <a:p>
          <a:r>
            <a:rPr lang="en-US" sz="800" b="0" i="0" u="none" strike="noStrike">
              <a:solidFill>
                <a:sysClr val="windowText" lastClr="000000"/>
              </a:solidFill>
              <a:latin typeface="+mn-lt"/>
              <a:cs typeface="Calibri"/>
            </a:rPr>
            <a:t>&gt;= RMMG e  &lt; 1.000 €: 27,2% (-39,3 p.p face a 2014)</a:t>
          </a:r>
        </a:p>
        <a:p>
          <a:r>
            <a:rPr lang="en-US" sz="800" b="0" i="0" u="none" strike="noStrike">
              <a:solidFill>
                <a:sysClr val="windowText" lastClr="000000"/>
              </a:solidFill>
              <a:latin typeface="+mn-lt"/>
              <a:cs typeface="Calibri"/>
            </a:rPr>
            <a:t>= RMMG: 4,0% (-1,0 p.p. face a 2014)                                      </a:t>
          </a:r>
        </a:p>
        <a:p>
          <a:r>
            <a:rPr lang="en-US" sz="800" b="0" i="0" u="none" strike="noStrike">
              <a:solidFill>
                <a:sysClr val="windowText" lastClr="000000"/>
              </a:solidFill>
              <a:latin typeface="+mn-lt"/>
              <a:cs typeface="Calibri"/>
            </a:rPr>
            <a:t>&gt; RMMG e &lt; 1.000 €: 23,1% (- 38,3 p.p. face a 2014).</a:t>
          </a:r>
        </a:p>
        <a:p>
          <a:endParaRPr lang="en-US" sz="800" b="0" i="0" u="none" strike="noStrike" baseline="0">
            <a:solidFill>
              <a:sysClr val="windowText" lastClr="000000"/>
            </a:solidFill>
            <a:latin typeface="Calibri"/>
            <a:cs typeface="Calibri"/>
          </a:endParaRPr>
        </a:p>
      </xdr:txBody>
    </xdr:sp>
    <xdr:clientData/>
  </xdr:twoCellAnchor>
  <xdr:twoCellAnchor>
    <xdr:from>
      <xdr:col>26</xdr:col>
      <xdr:colOff>0</xdr:colOff>
      <xdr:row>37</xdr:row>
      <xdr:rowOff>0</xdr:rowOff>
    </xdr:from>
    <xdr:to>
      <xdr:col>33</xdr:col>
      <xdr:colOff>486834</xdr:colOff>
      <xdr:row>42</xdr:row>
      <xdr:rowOff>7938</xdr:rowOff>
    </xdr:to>
    <xdr:sp macro="" textlink="$AA$33">
      <xdr:nvSpPr>
        <xdr:cNvPr id="12" name="CaixaDeTexto 11">
          <a:extLst>
            <a:ext uri="{FF2B5EF4-FFF2-40B4-BE49-F238E27FC236}">
              <a16:creationId xmlns:a16="http://schemas.microsoft.com/office/drawing/2014/main" id="{00000000-0008-0000-1D00-00000C000000}"/>
            </a:ext>
          </a:extLst>
        </xdr:cNvPr>
        <xdr:cNvSpPr txBox="1"/>
      </xdr:nvSpPr>
      <xdr:spPr>
        <a:xfrm>
          <a:off x="15668625" y="5595938"/>
          <a:ext cx="4542897" cy="762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11BDB1A1-79D9-45A2-9F29-DA75D00D1B39}" type="TxLink">
            <a:rPr lang="en-US" sz="800" b="0" i="0" u="none" strike="noStrike">
              <a:solidFill>
                <a:srgbClr val="000000"/>
              </a:solidFill>
              <a:latin typeface="Calibri"/>
              <a:cs typeface="Calibri"/>
            </a:rPr>
            <a:pPr/>
            <a:t>2024 - Proporção de TCO com remuneração Ganho: Igual à RMMG e &lt; 1.000 €:  27,2% (-39,3 p.p. face a 2014):
Igual à RMMG: 4,0% (-1,0 p.p. face a 2014)
Entre RMMG e &lt; 1.000 €: 23,1% (-38,3 p.p. face a 2014).</a:t>
          </a:fld>
          <a:endParaRPr lang="en-US" sz="800" b="0" i="0" u="none" strike="noStrike" baseline="0">
            <a:solidFill>
              <a:sysClr val="windowText" lastClr="000000"/>
            </a:solidFill>
            <a:latin typeface="Calibri"/>
            <a:cs typeface="Calibri"/>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16</xdr:col>
      <xdr:colOff>333376</xdr:colOff>
      <xdr:row>11</xdr:row>
      <xdr:rowOff>89958</xdr:rowOff>
    </xdr:from>
    <xdr:to>
      <xdr:col>25</xdr:col>
      <xdr:colOff>590550</xdr:colOff>
      <xdr:row>21</xdr:row>
      <xdr:rowOff>87313</xdr:rowOff>
    </xdr:to>
    <xdr:graphicFrame macro="">
      <xdr:nvGraphicFramePr>
        <xdr:cNvPr id="10" name="Gráfico 9">
          <a:extLst>
            <a:ext uri="{FF2B5EF4-FFF2-40B4-BE49-F238E27FC236}">
              <a16:creationId xmlns:a16="http://schemas.microsoft.com/office/drawing/2014/main" id="{00000000-0008-0000-1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25</xdr:row>
      <xdr:rowOff>0</xdr:rowOff>
    </xdr:from>
    <xdr:to>
      <xdr:col>25</xdr:col>
      <xdr:colOff>516846</xdr:colOff>
      <xdr:row>34</xdr:row>
      <xdr:rowOff>73025</xdr:rowOff>
    </xdr:to>
    <xdr:grpSp>
      <xdr:nvGrpSpPr>
        <xdr:cNvPr id="13" name="Agrupar 12">
          <a:extLst>
            <a:ext uri="{FF2B5EF4-FFF2-40B4-BE49-F238E27FC236}">
              <a16:creationId xmlns:a16="http://schemas.microsoft.com/office/drawing/2014/main" id="{00000000-0008-0000-1E00-00000D000000}"/>
            </a:ext>
          </a:extLst>
        </xdr:cNvPr>
        <xdr:cNvGrpSpPr/>
      </xdr:nvGrpSpPr>
      <xdr:grpSpPr>
        <a:xfrm>
          <a:off x="10969625" y="3968750"/>
          <a:ext cx="6628721" cy="1501775"/>
          <a:chOff x="9525000" y="4636111"/>
          <a:chExt cx="8715370" cy="3506179"/>
        </a:xfrm>
      </xdr:grpSpPr>
      <xdr:graphicFrame macro="">
        <xdr:nvGraphicFramePr>
          <xdr:cNvPr id="15" name="Gráfico 14">
            <a:extLst>
              <a:ext uri="{FF2B5EF4-FFF2-40B4-BE49-F238E27FC236}">
                <a16:creationId xmlns:a16="http://schemas.microsoft.com/office/drawing/2014/main" id="{00000000-0008-0000-1E00-00000F000000}"/>
              </a:ext>
            </a:extLst>
          </xdr:cNvPr>
          <xdr:cNvGraphicFramePr>
            <a:graphicFrameLocks/>
          </xdr:cNvGraphicFramePr>
        </xdr:nvGraphicFramePr>
        <xdr:xfrm>
          <a:off x="9525000" y="4754563"/>
          <a:ext cx="4746624" cy="3371851"/>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7" name="Gráfico 16">
            <a:extLst>
              <a:ext uri="{FF2B5EF4-FFF2-40B4-BE49-F238E27FC236}">
                <a16:creationId xmlns:a16="http://schemas.microsoft.com/office/drawing/2014/main" id="{00000000-0008-0000-1E00-000011000000}"/>
              </a:ext>
            </a:extLst>
          </xdr:cNvPr>
          <xdr:cNvGraphicFramePr>
            <a:graphicFrameLocks/>
          </xdr:cNvGraphicFramePr>
        </xdr:nvGraphicFramePr>
        <xdr:xfrm>
          <a:off x="13493746" y="4636111"/>
          <a:ext cx="4746624" cy="3506179"/>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editAs="oneCell">
    <xdr:from>
      <xdr:col>12</xdr:col>
      <xdr:colOff>179917</xdr:colOff>
      <xdr:row>35</xdr:row>
      <xdr:rowOff>148167</xdr:rowOff>
    </xdr:from>
    <xdr:to>
      <xdr:col>33</xdr:col>
      <xdr:colOff>299029</xdr:colOff>
      <xdr:row>37</xdr:row>
      <xdr:rowOff>76200</xdr:rowOff>
    </xdr:to>
    <xdr:pic>
      <xdr:nvPicPr>
        <xdr:cNvPr id="18" name="Imagem 17">
          <a:extLst>
            <a:ext uri="{FF2B5EF4-FFF2-40B4-BE49-F238E27FC236}">
              <a16:creationId xmlns:a16="http://schemas.microsoft.com/office/drawing/2014/main" id="{00000000-0008-0000-1E00-000012000000}"/>
            </a:ext>
          </a:extLst>
        </xdr:cNvPr>
        <xdr:cNvPicPr>
          <a:picLocks noChangeAspect="1"/>
        </xdr:cNvPicPr>
      </xdr:nvPicPr>
      <xdr:blipFill>
        <a:blip xmlns:r="http://schemas.openxmlformats.org/officeDocument/2006/relationships" r:embed="rId4"/>
        <a:stretch>
          <a:fillRect/>
        </a:stretch>
      </xdr:blipFill>
      <xdr:spPr>
        <a:xfrm>
          <a:off x="9255125" y="5815542"/>
          <a:ext cx="12898487" cy="250825"/>
        </a:xfrm>
        <a:prstGeom prst="rect">
          <a:avLst/>
        </a:prstGeom>
      </xdr:spPr>
    </xdr:pic>
    <xdr:clientData/>
  </xdr:twoCellAnchor>
  <xdr:twoCellAnchor>
    <xdr:from>
      <xdr:col>24</xdr:col>
      <xdr:colOff>476251</xdr:colOff>
      <xdr:row>57</xdr:row>
      <xdr:rowOff>121709</xdr:rowOff>
    </xdr:from>
    <xdr:to>
      <xdr:col>30</xdr:col>
      <xdr:colOff>316924</xdr:colOff>
      <xdr:row>60</xdr:row>
      <xdr:rowOff>118727</xdr:rowOff>
    </xdr:to>
    <xdr:sp macro="" textlink="">
      <xdr:nvSpPr>
        <xdr:cNvPr id="9" name="CaixaDeTexto 8">
          <a:extLst>
            <a:ext uri="{FF2B5EF4-FFF2-40B4-BE49-F238E27FC236}">
              <a16:creationId xmlns:a16="http://schemas.microsoft.com/office/drawing/2014/main" id="{00000000-0008-0000-1E00-000009000000}"/>
            </a:ext>
          </a:extLst>
        </xdr:cNvPr>
        <xdr:cNvSpPr txBox="1"/>
      </xdr:nvSpPr>
      <xdr:spPr>
        <a:xfrm>
          <a:off x="17335501" y="9366251"/>
          <a:ext cx="3491923" cy="489143"/>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sysClr val="windowText" lastClr="000000"/>
              </a:solidFill>
              <a:effectLst/>
              <a:uLnTx/>
              <a:uFillTx/>
              <a:latin typeface="+mn-lt"/>
              <a:ea typeface="+mn-ea"/>
              <a:cs typeface="Calibri"/>
            </a:rPr>
            <a:t>2024 - Remuneração média mensal Base</a:t>
          </a:r>
          <a:r>
            <a:rPr kumimoji="0" lang="en-US" sz="800" b="0" i="0" u="none" strike="noStrike" kern="0" cap="none" spc="0" normalizeH="0" baseline="0" noProof="0">
              <a:ln>
                <a:noFill/>
              </a:ln>
              <a:solidFill>
                <a:sysClr val="windowText" lastClr="000000"/>
              </a:solidFill>
              <a:effectLst/>
              <a:uLnTx/>
              <a:uFillTx/>
              <a:latin typeface="+mn-lt"/>
              <a:ea typeface="+mn-ea"/>
              <a:cs typeface="Calibri"/>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abrangidos por CCT: 90,2% da remuneração média total;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não abrangidos por IRCT: 19,9% superior à remuneração média total.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a:t>
          </a:r>
        </a:p>
      </xdr:txBody>
    </xdr:sp>
    <xdr:clientData/>
  </xdr:twoCellAnchor>
  <xdr:twoCellAnchor>
    <xdr:from>
      <xdr:col>24</xdr:col>
      <xdr:colOff>518773</xdr:colOff>
      <xdr:row>73</xdr:row>
      <xdr:rowOff>18085</xdr:rowOff>
    </xdr:from>
    <xdr:to>
      <xdr:col>30</xdr:col>
      <xdr:colOff>369259</xdr:colOff>
      <xdr:row>76</xdr:row>
      <xdr:rowOff>36269</xdr:rowOff>
    </xdr:to>
    <xdr:sp macro="" textlink="">
      <xdr:nvSpPr>
        <xdr:cNvPr id="11" name="CaixaDeTexto 10">
          <a:extLst>
            <a:ext uri="{FF2B5EF4-FFF2-40B4-BE49-F238E27FC236}">
              <a16:creationId xmlns:a16="http://schemas.microsoft.com/office/drawing/2014/main" id="{00000000-0008-0000-1E00-00000B000000}"/>
            </a:ext>
          </a:extLst>
        </xdr:cNvPr>
        <xdr:cNvSpPr txBox="1"/>
      </xdr:nvSpPr>
      <xdr:spPr>
        <a:xfrm>
          <a:off x="17378023" y="11860835"/>
          <a:ext cx="3501736" cy="494434"/>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sysClr val="windowText" lastClr="000000"/>
              </a:solidFill>
              <a:effectLst/>
              <a:uLnTx/>
              <a:uFillTx/>
              <a:latin typeface="+mn-lt"/>
              <a:ea typeface="+mn-ea"/>
              <a:cs typeface="Calibri"/>
            </a:rPr>
            <a:t>2024 - Remuneração média mensal Ganho</a:t>
          </a:r>
          <a:r>
            <a:rPr kumimoji="0" lang="en-US" sz="800" b="0" i="0" u="none" strike="noStrike" kern="0" cap="none" spc="0" normalizeH="0" baseline="0" noProof="0">
              <a:ln>
                <a:noFill/>
              </a:ln>
              <a:solidFill>
                <a:sysClr val="windowText" lastClr="000000"/>
              </a:solidFill>
              <a:effectLst/>
              <a:uLnTx/>
              <a:uFillTx/>
              <a:latin typeface="+mn-lt"/>
              <a:ea typeface="+mn-ea"/>
              <a:cs typeface="Calibri"/>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abrangidos por CCT: 89,0% da remuneração média total;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não abrangidos por IRCT: 17,1% superior à remuneração média total.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a:t>
          </a:r>
        </a:p>
      </xdr:txBody>
    </xdr:sp>
    <xdr:clientData/>
  </xdr:twoCellAnchor>
  <xdr:twoCellAnchor>
    <xdr:from>
      <xdr:col>21</xdr:col>
      <xdr:colOff>0</xdr:colOff>
      <xdr:row>40</xdr:row>
      <xdr:rowOff>0</xdr:rowOff>
    </xdr:from>
    <xdr:to>
      <xdr:col>28</xdr:col>
      <xdr:colOff>238538</xdr:colOff>
      <xdr:row>43</xdr:row>
      <xdr:rowOff>15490</xdr:rowOff>
    </xdr:to>
    <xdr:sp macro="" textlink="">
      <xdr:nvSpPr>
        <xdr:cNvPr id="12" name="CaixaDeTexto 11">
          <a:extLst>
            <a:ext uri="{FF2B5EF4-FFF2-40B4-BE49-F238E27FC236}">
              <a16:creationId xmlns:a16="http://schemas.microsoft.com/office/drawing/2014/main" id="{00000000-0008-0000-1E00-00000C000000}"/>
            </a:ext>
          </a:extLst>
        </xdr:cNvPr>
        <xdr:cNvSpPr txBox="1"/>
      </xdr:nvSpPr>
      <xdr:spPr>
        <a:xfrm>
          <a:off x="15033625" y="6471708"/>
          <a:ext cx="4498330" cy="497032"/>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sysClr val="windowText" lastClr="000000"/>
              </a:solidFill>
              <a:effectLst/>
              <a:uLnTx/>
              <a:uFillTx/>
              <a:latin typeface="Calibri"/>
              <a:ea typeface="+mn-ea"/>
              <a:cs typeface="Calibri"/>
            </a:rPr>
            <a:t>2024:</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TCO abrangidos por </a:t>
          </a:r>
          <a:r>
            <a:rPr lang="en-US" sz="800" b="0" i="0" baseline="0">
              <a:effectLst/>
              <a:latin typeface="+mn-lt"/>
              <a:ea typeface="+mn-ea"/>
              <a:cs typeface="+mn-cs"/>
            </a:rPr>
            <a:t>Contratos Coletivos de Trabalho</a:t>
          </a: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68,9% (-4,5 p.p. face a 2014);</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TCO não abrangidos por IRCT: 17,2% (+6,1 p.p. face a 2014).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a:t>
          </a:r>
        </a:p>
      </xdr:txBody>
    </xdr:sp>
    <xdr:clientData/>
  </xdr:twoCellAnchor>
  <xdr:twoCellAnchor>
    <xdr:from>
      <xdr:col>23</xdr:col>
      <xdr:colOff>354542</xdr:colOff>
      <xdr:row>52</xdr:row>
      <xdr:rowOff>42333</xdr:rowOff>
    </xdr:from>
    <xdr:to>
      <xdr:col>30</xdr:col>
      <xdr:colOff>593080</xdr:colOff>
      <xdr:row>55</xdr:row>
      <xdr:rowOff>52532</xdr:rowOff>
    </xdr:to>
    <xdr:sp macro="" textlink="$Z$45">
      <xdr:nvSpPr>
        <xdr:cNvPr id="14" name="CaixaDeTexto 13">
          <a:extLst>
            <a:ext uri="{FF2B5EF4-FFF2-40B4-BE49-F238E27FC236}">
              <a16:creationId xmlns:a16="http://schemas.microsoft.com/office/drawing/2014/main" id="{00000000-0008-0000-1E00-00000E000000}"/>
            </a:ext>
          </a:extLst>
        </xdr:cNvPr>
        <xdr:cNvSpPr txBox="1"/>
      </xdr:nvSpPr>
      <xdr:spPr>
        <a:xfrm>
          <a:off x="16605250" y="8471958"/>
          <a:ext cx="4498330" cy="497032"/>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7382368A-6C49-4C52-B44F-250F6D11BD0E}" type="TxLink">
            <a:rPr kumimoji="0" lang="en-US" sz="800" b="0" i="0" u="none" strike="noStrike" kern="0" cap="none" spc="0" normalizeH="0" baseline="0" noProof="0">
              <a:ln>
                <a:noFill/>
              </a:ln>
              <a:solidFill>
                <a:srgbClr val="000000"/>
              </a:solidFill>
              <a:effectLst/>
              <a:uLnTx/>
              <a:uFillTx/>
              <a:latin typeface="+mn-lt"/>
              <a:ea typeface="+mn-ea"/>
              <a:cs typeface="Arial"/>
            </a:rPr>
            <a:pPr marL="0" marR="0" lvl="0" indent="0" defTabSz="914400" eaLnBrk="1" fontAlgn="auto" latinLnBrk="0" hangingPunct="1">
              <a:lnSpc>
                <a:spcPct val="100000"/>
              </a:lnSpc>
              <a:spcBef>
                <a:spcPts val="0"/>
              </a:spcBef>
              <a:spcAft>
                <a:spcPts val="0"/>
              </a:spcAft>
              <a:buClrTx/>
              <a:buSzTx/>
              <a:buFontTx/>
              <a:buNone/>
              <a:tabLst/>
              <a:defRPr/>
            </a:pPr>
            <a:t>2024:
TCO abrangidos por  Contrato Coletivo de Trabalho (CCT): 68,9% (-4,5 p.p.face a 2014);
TCO não abrangidos por IRCT: 17,2% (+6,1 p.p. face a 2014).</a:t>
          </a:fld>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xdr:txBody>
    </xdr:sp>
    <xdr:clientData/>
  </xdr:twoCellAnchor>
  <xdr:twoCellAnchor>
    <xdr:from>
      <xdr:col>24</xdr:col>
      <xdr:colOff>222252</xdr:colOff>
      <xdr:row>67</xdr:row>
      <xdr:rowOff>137583</xdr:rowOff>
    </xdr:from>
    <xdr:to>
      <xdr:col>31</xdr:col>
      <xdr:colOff>190502</xdr:colOff>
      <xdr:row>70</xdr:row>
      <xdr:rowOff>134601</xdr:rowOff>
    </xdr:to>
    <xdr:sp macro="" textlink="$Z$63">
      <xdr:nvSpPr>
        <xdr:cNvPr id="16" name="CaixaDeTexto 15">
          <a:extLst>
            <a:ext uri="{FF2B5EF4-FFF2-40B4-BE49-F238E27FC236}">
              <a16:creationId xmlns:a16="http://schemas.microsoft.com/office/drawing/2014/main" id="{00000000-0008-0000-1E00-000010000000}"/>
            </a:ext>
          </a:extLst>
        </xdr:cNvPr>
        <xdr:cNvSpPr txBox="1"/>
      </xdr:nvSpPr>
      <xdr:spPr>
        <a:xfrm>
          <a:off x="17139710" y="11001375"/>
          <a:ext cx="4228042" cy="489143"/>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72BDEBDE-CFD5-4F05-B17D-59993B657981}" type="TxLink">
            <a:rPr kumimoji="0" lang="en-US" sz="800" b="0" i="0" u="none" strike="noStrike" kern="0" cap="none" spc="0" normalizeH="0" baseline="0" noProof="0">
              <a:ln>
                <a:noFill/>
              </a:ln>
              <a:solidFill>
                <a:srgbClr val="000000"/>
              </a:solidFill>
              <a:effectLst/>
              <a:uLnTx/>
              <a:uFillTx/>
              <a:latin typeface="+mn-lt"/>
              <a:ea typeface="+mn-ea"/>
              <a:cs typeface="Arial"/>
            </a:rPr>
            <a:pPr marL="0" marR="0" lvl="0" indent="0" defTabSz="914400" eaLnBrk="1" fontAlgn="auto" latinLnBrk="0" hangingPunct="1">
              <a:lnSpc>
                <a:spcPct val="100000"/>
              </a:lnSpc>
              <a:spcBef>
                <a:spcPts val="0"/>
              </a:spcBef>
              <a:spcAft>
                <a:spcPts val="0"/>
              </a:spcAft>
              <a:buClrTx/>
              <a:buSzTx/>
              <a:buFontTx/>
              <a:buNone/>
              <a:tabLst/>
              <a:defRPr/>
            </a:pPr>
            <a:t>2024 - Remuneração média mensal Base:
TCO abrangidos por  Contrato Coletivo de Trabalho (CCT): 90,2% da remuneração média total;
TCO não abrangidos por IRCT: 19,9% superior à remuneração média total.</a:t>
          </a:fld>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xdr:txBody>
    </xdr:sp>
    <xdr:clientData/>
  </xdr:twoCellAnchor>
  <xdr:twoCellAnchor>
    <xdr:from>
      <xdr:col>25</xdr:col>
      <xdr:colOff>0</xdr:colOff>
      <xdr:row>85</xdr:row>
      <xdr:rowOff>0</xdr:rowOff>
    </xdr:from>
    <xdr:to>
      <xdr:col>31</xdr:col>
      <xdr:colOff>576792</xdr:colOff>
      <xdr:row>88</xdr:row>
      <xdr:rowOff>12893</xdr:rowOff>
    </xdr:to>
    <xdr:sp macro="" textlink="$Z$80">
      <xdr:nvSpPr>
        <xdr:cNvPr id="19" name="CaixaDeTexto 18">
          <a:extLst>
            <a:ext uri="{FF2B5EF4-FFF2-40B4-BE49-F238E27FC236}">
              <a16:creationId xmlns:a16="http://schemas.microsoft.com/office/drawing/2014/main" id="{00000000-0008-0000-1E00-000013000000}"/>
            </a:ext>
          </a:extLst>
        </xdr:cNvPr>
        <xdr:cNvSpPr txBox="1"/>
      </xdr:nvSpPr>
      <xdr:spPr>
        <a:xfrm>
          <a:off x="17467792" y="13753042"/>
          <a:ext cx="4228042" cy="489143"/>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87D13D7A-822D-4E80-A7CD-AAC00E14E98B}" type="TxLink">
            <a:rPr kumimoji="0" lang="en-US" sz="800" b="0" i="0" u="none" strike="noStrike" kern="0" cap="none" spc="0" normalizeH="0" baseline="0" noProof="0">
              <a:ln>
                <a:noFill/>
              </a:ln>
              <a:solidFill>
                <a:srgbClr val="000000"/>
              </a:solidFill>
              <a:effectLst/>
              <a:uLnTx/>
              <a:uFillTx/>
              <a:latin typeface="+mn-lt"/>
              <a:ea typeface="+mn-ea"/>
              <a:cs typeface="Arial"/>
            </a:rPr>
            <a:pPr marL="0" marR="0" lvl="0" indent="0" defTabSz="914400" eaLnBrk="1" fontAlgn="auto" latinLnBrk="0" hangingPunct="1">
              <a:lnSpc>
                <a:spcPct val="100000"/>
              </a:lnSpc>
              <a:spcBef>
                <a:spcPts val="0"/>
              </a:spcBef>
              <a:spcAft>
                <a:spcPts val="0"/>
              </a:spcAft>
              <a:buClrTx/>
              <a:buSzTx/>
              <a:buFontTx/>
              <a:buNone/>
              <a:tabLst/>
              <a:defRPr/>
            </a:pPr>
            <a:t>2024 - Remuneração média mensal Ganho:
TCO abrangidos por  Contrato Coletivo de Trabalho (CCT): 89,0% da remuneração média total;
TCO não abrangidos por IRCT: 17,1% superior à remuneração média total.</a:t>
          </a:fld>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3</xdr:col>
      <xdr:colOff>76200</xdr:colOff>
      <xdr:row>46</xdr:row>
      <xdr:rowOff>52917</xdr:rowOff>
    </xdr:from>
    <xdr:to>
      <xdr:col>8</xdr:col>
      <xdr:colOff>3175</xdr:colOff>
      <xdr:row>50</xdr:row>
      <xdr:rowOff>74084</xdr:rowOff>
    </xdr:to>
    <xdr:sp macro="" textlink="$D$51">
      <xdr:nvSpPr>
        <xdr:cNvPr id="24" name="CaixaDeTexto 23">
          <a:extLst>
            <a:ext uri="{FF2B5EF4-FFF2-40B4-BE49-F238E27FC236}">
              <a16:creationId xmlns:a16="http://schemas.microsoft.com/office/drawing/2014/main" id="{00000000-0008-0000-1F00-000018000000}"/>
            </a:ext>
          </a:extLst>
        </xdr:cNvPr>
        <xdr:cNvSpPr txBox="1"/>
      </xdr:nvSpPr>
      <xdr:spPr>
        <a:xfrm>
          <a:off x="3784600" y="7869767"/>
          <a:ext cx="3171825" cy="681567"/>
        </a:xfrm>
        <a:prstGeom prst="rect">
          <a:avLst/>
        </a:prstGeom>
        <a:solidFill>
          <a:sysClr val="window" lastClr="FFFFFF"/>
        </a:solidFill>
        <a:ln w="25400" cap="flat" cmpd="sng" algn="ctr">
          <a:solidFill>
            <a:srgbClr val="4F81BD"/>
          </a:solidFill>
          <a:prstDash val="solid"/>
        </a:ln>
        <a:effectLst/>
      </xdr:spPr>
      <xdr:txBody>
        <a:bodyPr vertOverflow="clip" horzOverflow="clip" wrap="square" numCol="1" rtlCol="0" anchor="t"/>
        <a:lstStyle/>
        <a:p>
          <a:pPr marL="0" marR="0" lvl="0" indent="0" defTabSz="914400" eaLnBrk="1" fontAlgn="auto" latinLnBrk="0" hangingPunct="1">
            <a:lnSpc>
              <a:spcPct val="100000"/>
            </a:lnSpc>
            <a:spcBef>
              <a:spcPts val="0"/>
            </a:spcBef>
            <a:spcAft>
              <a:spcPts val="0"/>
            </a:spcAft>
            <a:buClrTx/>
            <a:buSzTx/>
            <a:buFontTx/>
            <a:buNone/>
            <a:tabLst/>
            <a:defRPr/>
          </a:pPr>
          <a:fld id="{6478C513-AD90-4C9E-A4A9-60DD94A18961}" type="TxLink">
            <a:rPr kumimoji="0" lang="en-US" sz="800" b="0" i="0" u="none" strike="noStrike" kern="0" cap="none" spc="0" normalizeH="0" baseline="0" noProof="0">
              <a:ln>
                <a:noFill/>
              </a:ln>
              <a:solidFill>
                <a:srgbClr val="000000"/>
              </a:solidFill>
              <a:effectLst/>
              <a:uLnTx/>
              <a:uFillTx/>
              <a:latin typeface="Calibri"/>
              <a:ea typeface="Calibri"/>
              <a:cs typeface="Calibri"/>
            </a:rPr>
            <a:pPr marL="0" marR="0" lvl="0" indent="0" defTabSz="914400" eaLnBrk="1" fontAlgn="auto" latinLnBrk="0" hangingPunct="1">
              <a:lnSpc>
                <a:spcPct val="100000"/>
              </a:lnSpc>
              <a:spcBef>
                <a:spcPts val="0"/>
              </a:spcBef>
              <a:spcAft>
                <a:spcPts val="0"/>
              </a:spcAft>
              <a:buClrTx/>
              <a:buSzTx/>
              <a:buFontTx/>
              <a:buNone/>
              <a:tabLst/>
              <a:defRPr/>
            </a:pPr>
            <a:t>2014 - 2024: 
P50 e P80: Em 2014, metade dos TCO tinham até 787 euros de remuneração ganho e 80% não recebiam mais do que 1.350 euros. Em 2024, estes valores passaram para 1.191 e 1.893 euros, respetivamente.</a:t>
          </a:fld>
          <a:endParaRPr kumimoji="0" lang="en-US" sz="600" b="0" i="0" u="none" strike="noStrike" kern="0" cap="none" spc="0" normalizeH="0" baseline="0" noProof="0">
            <a:ln>
              <a:noFill/>
            </a:ln>
            <a:solidFill>
              <a:sysClr val="windowText" lastClr="000000"/>
            </a:solidFill>
            <a:effectLst/>
            <a:uLnTx/>
            <a:uFillTx/>
            <a:latin typeface="+mn-lt"/>
            <a:ea typeface="+mn-ea"/>
            <a:cs typeface="Calibri"/>
          </a:endParaRPr>
        </a:p>
      </xdr:txBody>
    </xdr:sp>
    <xdr:clientData/>
  </xdr:twoCellAnchor>
  <xdr:twoCellAnchor>
    <xdr:from>
      <xdr:col>11</xdr:col>
      <xdr:colOff>277283</xdr:colOff>
      <xdr:row>92</xdr:row>
      <xdr:rowOff>17992</xdr:rowOff>
    </xdr:from>
    <xdr:to>
      <xdr:col>18</xdr:col>
      <xdr:colOff>209430</xdr:colOff>
      <xdr:row>114</xdr:row>
      <xdr:rowOff>123825</xdr:rowOff>
    </xdr:to>
    <xdr:grpSp>
      <xdr:nvGrpSpPr>
        <xdr:cNvPr id="47" name="Agrupar 46">
          <a:extLst>
            <a:ext uri="{FF2B5EF4-FFF2-40B4-BE49-F238E27FC236}">
              <a16:creationId xmlns:a16="http://schemas.microsoft.com/office/drawing/2014/main" id="{00000000-0008-0000-1F00-00002F000000}"/>
            </a:ext>
          </a:extLst>
        </xdr:cNvPr>
        <xdr:cNvGrpSpPr/>
      </xdr:nvGrpSpPr>
      <xdr:grpSpPr>
        <a:xfrm>
          <a:off x="8738658" y="14908742"/>
          <a:ext cx="4440647" cy="3892021"/>
          <a:chOff x="1280582" y="14964350"/>
          <a:chExt cx="8310973" cy="4392567"/>
        </a:xfrm>
      </xdr:grpSpPr>
      <xdr:sp macro="" textlink="$A$85">
        <xdr:nvSpPr>
          <xdr:cNvPr id="29" name="CaixaDeTexto 1">
            <a:extLst>
              <a:ext uri="{FF2B5EF4-FFF2-40B4-BE49-F238E27FC236}">
                <a16:creationId xmlns:a16="http://schemas.microsoft.com/office/drawing/2014/main" id="{00000000-0008-0000-1F00-00001D000000}"/>
              </a:ext>
            </a:extLst>
          </xdr:cNvPr>
          <xdr:cNvSpPr txBox="1"/>
        </xdr:nvSpPr>
        <xdr:spPr>
          <a:xfrm>
            <a:off x="3271104" y="15025411"/>
            <a:ext cx="5120329" cy="194197"/>
          </a:xfrm>
          <a:prstGeom prst="rect">
            <a:avLst/>
          </a:prstGeom>
        </xdr:spPr>
        <xdr:txBody>
          <a:bodyPr wrap="square" rtlCol="0"/>
          <a:lstStyle>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fld id="{5272611F-2706-432B-ABBB-8E46F61836F4}" type="TxLink">
              <a:rPr kumimoji="0" lang="en-US" sz="700" b="1" i="0" u="none" strike="noStrike" kern="0" cap="none" spc="0" normalizeH="0" baseline="0" noProof="0">
                <a:ln>
                  <a:noFill/>
                </a:ln>
                <a:solidFill>
                  <a:srgbClr val="1F497D"/>
                </a:solidFill>
                <a:effectLst/>
                <a:uLnTx/>
                <a:uFillTx/>
                <a:latin typeface="Calibri"/>
                <a:ea typeface="Calibri"/>
                <a:cs typeface="Calibri"/>
              </a:rPr>
              <a:pPr marL="0" marR="0" lvl="0" indent="0" algn="ctr" defTabSz="914400" eaLnBrk="1" fontAlgn="auto" latinLnBrk="0" hangingPunct="1">
                <a:lnSpc>
                  <a:spcPct val="100000"/>
                </a:lnSpc>
                <a:spcBef>
                  <a:spcPts val="0"/>
                </a:spcBef>
                <a:spcAft>
                  <a:spcPts val="0"/>
                </a:spcAft>
                <a:buClrTx/>
                <a:buSzTx/>
                <a:buFontTx/>
                <a:buNone/>
                <a:tabLst/>
                <a:defRPr/>
              </a:pPr>
              <a:t>Ganho mensal mediano, limiar de baixos salários*, remuneração mínima mensal garantida e Incidência de baixos salários</a:t>
            </a:fld>
            <a:endParaRPr kumimoji="0" lang="pt-PT" sz="700" b="1" i="0" u="none" strike="noStrike" kern="0" cap="none" spc="0" normalizeH="0" baseline="0" noProof="0">
              <a:ln>
                <a:noFill/>
              </a:ln>
              <a:solidFill>
                <a:srgbClr val="1F497D"/>
              </a:solidFill>
              <a:effectLst/>
              <a:uLnTx/>
              <a:uFillTx/>
              <a:latin typeface="Calibri"/>
            </a:endParaRPr>
          </a:p>
        </xdr:txBody>
      </xdr:sp>
      <xdr:grpSp>
        <xdr:nvGrpSpPr>
          <xdr:cNvPr id="46" name="Agrupar 45">
            <a:extLst>
              <a:ext uri="{FF2B5EF4-FFF2-40B4-BE49-F238E27FC236}">
                <a16:creationId xmlns:a16="http://schemas.microsoft.com/office/drawing/2014/main" id="{00000000-0008-0000-1F00-00002E000000}"/>
              </a:ext>
            </a:extLst>
          </xdr:cNvPr>
          <xdr:cNvGrpSpPr/>
        </xdr:nvGrpSpPr>
        <xdr:grpSpPr>
          <a:xfrm>
            <a:off x="1280582" y="14964350"/>
            <a:ext cx="8310973" cy="4392567"/>
            <a:chOff x="1608665" y="14281725"/>
            <a:chExt cx="8310973" cy="4392567"/>
          </a:xfrm>
        </xdr:grpSpPr>
        <xdr:graphicFrame macro="">
          <xdr:nvGraphicFramePr>
            <xdr:cNvPr id="31" name="Gráfico 30">
              <a:extLst>
                <a:ext uri="{FF2B5EF4-FFF2-40B4-BE49-F238E27FC236}">
                  <a16:creationId xmlns:a16="http://schemas.microsoft.com/office/drawing/2014/main" id="{00000000-0008-0000-1F00-00001F000000}"/>
                </a:ext>
              </a:extLst>
            </xdr:cNvPr>
            <xdr:cNvGraphicFramePr>
              <a:graphicFrameLocks/>
            </xdr:cNvGraphicFramePr>
          </xdr:nvGraphicFramePr>
          <xdr:xfrm>
            <a:off x="1608665" y="14281725"/>
            <a:ext cx="8310973" cy="4392567"/>
          </xdr:xfrm>
          <a:graphic>
            <a:graphicData uri="http://schemas.openxmlformats.org/drawingml/2006/chart">
              <c:chart xmlns:c="http://schemas.openxmlformats.org/drawingml/2006/chart" xmlns:r="http://schemas.openxmlformats.org/officeDocument/2006/relationships" r:id="rId1"/>
            </a:graphicData>
          </a:graphic>
        </xdr:graphicFrame>
        <xdr:sp macro="" textlink="$A$89">
          <xdr:nvSpPr>
            <xdr:cNvPr id="28" name="CaixaDeTexto 27">
              <a:extLst>
                <a:ext uri="{FF2B5EF4-FFF2-40B4-BE49-F238E27FC236}">
                  <a16:creationId xmlns:a16="http://schemas.microsoft.com/office/drawing/2014/main" id="{00000000-0008-0000-1F00-00001C000000}"/>
                </a:ext>
              </a:extLst>
            </xdr:cNvPr>
            <xdr:cNvSpPr txBox="1"/>
          </xdr:nvSpPr>
          <xdr:spPr>
            <a:xfrm>
              <a:off x="1826484" y="18274972"/>
              <a:ext cx="8002453" cy="254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35B18F93-1D90-4097-BA73-1F5516C12328}" type="TxLink">
                <a:rPr lang="en-US" sz="600" b="0" i="0" u="none" strike="noStrike">
                  <a:solidFill>
                    <a:srgbClr val="000000"/>
                  </a:solidFill>
                  <a:latin typeface="Calibri"/>
                  <a:ea typeface="Calibri"/>
                  <a:cs typeface="Calibri"/>
                </a:rPr>
                <a:pPr algn="l"/>
                <a:t>*Limiar de baixos salários - considerado como sendo 2/3 da mediana do ganho mensal do Continente, neste exercício.</a:t>
              </a:fld>
              <a:endParaRPr lang="pt-PT" sz="600"/>
            </a:p>
          </xdr:txBody>
        </xdr:sp>
      </xdr:grpSp>
    </xdr:grpSp>
    <xdr:clientData/>
  </xdr:twoCellAnchor>
  <mc:AlternateContent xmlns:mc="http://schemas.openxmlformats.org/markup-compatibility/2006">
    <mc:Choice xmlns:a14="http://schemas.microsoft.com/office/drawing/2010/main" Requires="a14">
      <xdr:twoCellAnchor editAs="oneCell">
        <xdr:from>
          <xdr:col>0</xdr:col>
          <xdr:colOff>561975</xdr:colOff>
          <xdr:row>28</xdr:row>
          <xdr:rowOff>142875</xdr:rowOff>
        </xdr:from>
        <xdr:to>
          <xdr:col>0</xdr:col>
          <xdr:colOff>1362075</xdr:colOff>
          <xdr:row>29</xdr:row>
          <xdr:rowOff>152400</xdr:rowOff>
        </xdr:to>
        <xdr:sp macro="" textlink="">
          <xdr:nvSpPr>
            <xdr:cNvPr id="509953" name="Drop Down 1" hidden="1">
              <a:extLst>
                <a:ext uri="{63B3BB69-23CF-44E3-9099-C40C66FF867C}">
                  <a14:compatExt spid="_x0000_s509953"/>
                </a:ext>
                <a:ext uri="{FF2B5EF4-FFF2-40B4-BE49-F238E27FC236}">
                  <a16:creationId xmlns:a16="http://schemas.microsoft.com/office/drawing/2014/main" id="{00000000-0008-0000-1F00-000001C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609600</xdr:colOff>
          <xdr:row>28</xdr:row>
          <xdr:rowOff>95250</xdr:rowOff>
        </xdr:from>
        <xdr:to>
          <xdr:col>17</xdr:col>
          <xdr:colOff>133350</xdr:colOff>
          <xdr:row>29</xdr:row>
          <xdr:rowOff>104775</xdr:rowOff>
        </xdr:to>
        <xdr:sp macro="" textlink="">
          <xdr:nvSpPr>
            <xdr:cNvPr id="509954" name="Drop Down 2" hidden="1">
              <a:extLst>
                <a:ext uri="{63B3BB69-23CF-44E3-9099-C40C66FF867C}">
                  <a14:compatExt spid="_x0000_s509954"/>
                </a:ext>
                <a:ext uri="{FF2B5EF4-FFF2-40B4-BE49-F238E27FC236}">
                  <a16:creationId xmlns:a16="http://schemas.microsoft.com/office/drawing/2014/main" id="{00000000-0008-0000-1F00-000002C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542925</xdr:colOff>
          <xdr:row>68</xdr:row>
          <xdr:rowOff>28575</xdr:rowOff>
        </xdr:from>
        <xdr:to>
          <xdr:col>0</xdr:col>
          <xdr:colOff>1352550</xdr:colOff>
          <xdr:row>69</xdr:row>
          <xdr:rowOff>28575</xdr:rowOff>
        </xdr:to>
        <xdr:sp macro="" textlink="">
          <xdr:nvSpPr>
            <xdr:cNvPr id="509955" name="Drop Down 3" hidden="1">
              <a:extLst>
                <a:ext uri="{63B3BB69-23CF-44E3-9099-C40C66FF867C}">
                  <a14:compatExt spid="_x0000_s509955"/>
                </a:ext>
                <a:ext uri="{FF2B5EF4-FFF2-40B4-BE49-F238E27FC236}">
                  <a16:creationId xmlns:a16="http://schemas.microsoft.com/office/drawing/2014/main" id="{00000000-0008-0000-1F00-000003C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91</xdr:row>
          <xdr:rowOff>66675</xdr:rowOff>
        </xdr:from>
        <xdr:to>
          <xdr:col>9</xdr:col>
          <xdr:colOff>352425</xdr:colOff>
          <xdr:row>92</xdr:row>
          <xdr:rowOff>76200</xdr:rowOff>
        </xdr:to>
        <xdr:sp macro="" textlink="">
          <xdr:nvSpPr>
            <xdr:cNvPr id="509956" name="Drop Down 4" hidden="1">
              <a:extLst>
                <a:ext uri="{63B3BB69-23CF-44E3-9099-C40C66FF867C}">
                  <a14:compatExt spid="_x0000_s509956"/>
                </a:ext>
                <a:ext uri="{FF2B5EF4-FFF2-40B4-BE49-F238E27FC236}">
                  <a16:creationId xmlns:a16="http://schemas.microsoft.com/office/drawing/2014/main" id="{00000000-0008-0000-1F00-000004C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15</xdr:col>
      <xdr:colOff>516289</xdr:colOff>
      <xdr:row>31</xdr:row>
      <xdr:rowOff>150283</xdr:rowOff>
    </xdr:from>
    <xdr:to>
      <xdr:col>27</xdr:col>
      <xdr:colOff>110066</xdr:colOff>
      <xdr:row>57</xdr:row>
      <xdr:rowOff>86783</xdr:rowOff>
    </xdr:to>
    <xdr:grpSp>
      <xdr:nvGrpSpPr>
        <xdr:cNvPr id="49" name="Agrupar 48">
          <a:extLst>
            <a:ext uri="{FF2B5EF4-FFF2-40B4-BE49-F238E27FC236}">
              <a16:creationId xmlns:a16="http://schemas.microsoft.com/office/drawing/2014/main" id="{00000000-0008-0000-1F00-000031000000}"/>
            </a:ext>
          </a:extLst>
        </xdr:cNvPr>
        <xdr:cNvGrpSpPr/>
      </xdr:nvGrpSpPr>
      <xdr:grpSpPr>
        <a:xfrm>
          <a:off x="11652602" y="5119158"/>
          <a:ext cx="6928027" cy="4302125"/>
          <a:chOff x="12148431" y="5238750"/>
          <a:chExt cx="7277277" cy="4386791"/>
        </a:xfrm>
      </xdr:grpSpPr>
      <xdr:grpSp>
        <xdr:nvGrpSpPr>
          <xdr:cNvPr id="48" name="Agrupar 47">
            <a:extLst>
              <a:ext uri="{FF2B5EF4-FFF2-40B4-BE49-F238E27FC236}">
                <a16:creationId xmlns:a16="http://schemas.microsoft.com/office/drawing/2014/main" id="{00000000-0008-0000-1F00-000030000000}"/>
              </a:ext>
            </a:extLst>
          </xdr:cNvPr>
          <xdr:cNvGrpSpPr/>
        </xdr:nvGrpSpPr>
        <xdr:grpSpPr>
          <a:xfrm>
            <a:off x="12148431" y="5238750"/>
            <a:ext cx="7277277" cy="4386791"/>
            <a:chOff x="12069056" y="5106458"/>
            <a:chExt cx="7277277" cy="4386791"/>
          </a:xfrm>
        </xdr:grpSpPr>
        <xdr:graphicFrame macro="">
          <xdr:nvGraphicFramePr>
            <xdr:cNvPr id="9" name="Gráfico 8">
              <a:extLst>
                <a:ext uri="{FF2B5EF4-FFF2-40B4-BE49-F238E27FC236}">
                  <a16:creationId xmlns:a16="http://schemas.microsoft.com/office/drawing/2014/main" id="{00000000-0008-0000-1F00-000009000000}"/>
                </a:ext>
              </a:extLst>
            </xdr:cNvPr>
            <xdr:cNvGraphicFramePr>
              <a:graphicFrameLocks/>
            </xdr:cNvGraphicFramePr>
          </xdr:nvGraphicFramePr>
          <xdr:xfrm>
            <a:off x="12069056" y="5106458"/>
            <a:ext cx="7177261" cy="4384579"/>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3" name="CaixaDeTexto 22">
              <a:extLst>
                <a:ext uri="{FF2B5EF4-FFF2-40B4-BE49-F238E27FC236}">
                  <a16:creationId xmlns:a16="http://schemas.microsoft.com/office/drawing/2014/main" id="{00000000-0008-0000-1F00-000017000000}"/>
                </a:ext>
              </a:extLst>
            </xdr:cNvPr>
            <xdr:cNvSpPr txBox="1"/>
          </xdr:nvSpPr>
          <xdr:spPr>
            <a:xfrm>
              <a:off x="12279072" y="9165166"/>
              <a:ext cx="7067261" cy="328083"/>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pt-PT" sz="700" b="0" i="0" baseline="0">
                  <a:solidFill>
                    <a:schemeClr val="tx1">
                      <a:lumMod val="50000"/>
                      <a:lumOff val="50000"/>
                    </a:schemeClr>
                  </a:solidFill>
                  <a:effectLst/>
                  <a:latin typeface="+mn-lt"/>
                  <a:ea typeface="+mn-ea"/>
                  <a:cs typeface="+mn-cs"/>
                </a:rPr>
                <a:t>Percentis (P) - pontos de corte regulares de uma distribuição acumulada, que dividem os dados ordenados em 100 subconjuntos de dados de igual dimensão. Pk - percentil k, com 1&lt; k &lt; 100.</a:t>
              </a:r>
            </a:p>
            <a:p>
              <a:pPr marL="0" marR="0" lvl="0" indent="0" algn="l" defTabSz="914400" eaLnBrk="1" fontAlgn="auto" latinLnBrk="0" hangingPunct="1">
                <a:lnSpc>
                  <a:spcPct val="100000"/>
                </a:lnSpc>
                <a:spcBef>
                  <a:spcPts val="0"/>
                </a:spcBef>
                <a:spcAft>
                  <a:spcPts val="0"/>
                </a:spcAft>
                <a:buClrTx/>
                <a:buSzTx/>
                <a:buFontTx/>
                <a:buNone/>
                <a:tabLst/>
                <a:defRPr/>
              </a:pPr>
              <a:r>
                <a:rPr lang="pt-PT" sz="700" b="0" i="0" baseline="0">
                  <a:solidFill>
                    <a:schemeClr val="tx1">
                      <a:lumMod val="50000"/>
                      <a:lumOff val="50000"/>
                    </a:schemeClr>
                  </a:solidFill>
                  <a:effectLst/>
                  <a:latin typeface="+mn-lt"/>
                  <a:ea typeface="+mn-ea"/>
                  <a:cs typeface="+mn-cs"/>
                </a:rPr>
                <a:t>Nota: P10 =  1º decil; P20 = 2º decil; P50 = 5º decil = mediana; P80 = 8º decil e P90 = 9º decil.</a:t>
              </a:r>
              <a:endParaRPr kumimoji="0" lang="pt-PT" sz="700" b="0" i="0" u="none" strike="noStrike" kern="0" cap="none" spc="0" normalizeH="0" baseline="0" noProof="0">
                <a:ln>
                  <a:noFill/>
                </a:ln>
                <a:solidFill>
                  <a:schemeClr val="tx1">
                    <a:lumMod val="50000"/>
                    <a:lumOff val="50000"/>
                  </a:schemeClr>
                </a:solidFill>
                <a:effectLst/>
                <a:uLnTx/>
                <a:uFillTx/>
                <a:latin typeface="+mn-lt"/>
                <a:ea typeface="+mn-ea"/>
                <a:cs typeface="+mn-cs"/>
              </a:endParaRPr>
            </a:p>
          </xdr:txBody>
        </xdr:sp>
      </xdr:grpSp>
      <xdr:sp macro="" textlink="$AC$31">
        <xdr:nvSpPr>
          <xdr:cNvPr id="52" name="CaixaDeTexto 1">
            <a:extLst>
              <a:ext uri="{FF2B5EF4-FFF2-40B4-BE49-F238E27FC236}">
                <a16:creationId xmlns:a16="http://schemas.microsoft.com/office/drawing/2014/main" id="{00000000-0008-0000-1F00-000034000000}"/>
              </a:ext>
            </a:extLst>
          </xdr:cNvPr>
          <xdr:cNvSpPr txBox="1"/>
        </xdr:nvSpPr>
        <xdr:spPr>
          <a:xfrm>
            <a:off x="14261041" y="5291667"/>
            <a:ext cx="2968625" cy="264582"/>
          </a:xfrm>
          <a:prstGeom prst="rect">
            <a:avLst/>
          </a:prstGeom>
        </xdr:spPr>
        <xdr:txBody>
          <a:bodyPr wrap="square" rtlCol="0"/>
          <a:lstStyle>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fld id="{14A57AD0-713A-454A-9A6D-57BED82BDF8C}" type="TxLink">
              <a:rPr kumimoji="0" lang="en-US" sz="800" b="1" i="0" u="none" strike="noStrike" kern="0" cap="none" spc="0" normalizeH="0" baseline="0" noProof="0">
                <a:ln>
                  <a:noFill/>
                </a:ln>
                <a:solidFill>
                  <a:srgbClr val="1F497D"/>
                </a:solidFill>
                <a:effectLst/>
                <a:uLnTx/>
                <a:uFillTx/>
                <a:latin typeface="Calibri"/>
                <a:ea typeface="Calibri"/>
                <a:cs typeface="Calibri"/>
              </a:rPr>
              <a:pPr marL="0" marR="0" lvl="0" indent="0" algn="ctr" defTabSz="914400" eaLnBrk="1" fontAlgn="auto" latinLnBrk="0" hangingPunct="1">
                <a:lnSpc>
                  <a:spcPct val="100000"/>
                </a:lnSpc>
                <a:spcBef>
                  <a:spcPts val="0"/>
                </a:spcBef>
                <a:spcAft>
                  <a:spcPts val="0"/>
                </a:spcAft>
                <a:buClrTx/>
                <a:buSzTx/>
                <a:buFontTx/>
                <a:buNone/>
                <a:tabLst/>
                <a:defRPr/>
              </a:pPr>
              <a:t>Ganho mensal - percentis (euros)</a:t>
            </a:fld>
            <a:endParaRPr kumimoji="0" lang="pt-PT" sz="800" b="1" i="0" u="none" strike="noStrike" kern="0" cap="none" spc="0" normalizeH="0" baseline="0" noProof="0">
              <a:ln>
                <a:noFill/>
              </a:ln>
              <a:solidFill>
                <a:srgbClr val="1F497D"/>
              </a:solidFill>
              <a:effectLst/>
              <a:uLnTx/>
              <a:uFillTx/>
              <a:latin typeface="Calibri"/>
            </a:endParaRPr>
          </a:p>
        </xdr:txBody>
      </xdr:sp>
    </xdr:grpSp>
    <xdr:clientData/>
  </xdr:twoCellAnchor>
  <xdr:twoCellAnchor>
    <xdr:from>
      <xdr:col>8</xdr:col>
      <xdr:colOff>456140</xdr:colOff>
      <xdr:row>46</xdr:row>
      <xdr:rowOff>85725</xdr:rowOff>
    </xdr:from>
    <xdr:to>
      <xdr:col>12</xdr:col>
      <xdr:colOff>238124</xdr:colOff>
      <xdr:row>50</xdr:row>
      <xdr:rowOff>91016</xdr:rowOff>
    </xdr:to>
    <xdr:sp macro="" textlink="$D$55">
      <xdr:nvSpPr>
        <xdr:cNvPr id="55" name="CaixaDeTexto 54">
          <a:extLst>
            <a:ext uri="{FF2B5EF4-FFF2-40B4-BE49-F238E27FC236}">
              <a16:creationId xmlns:a16="http://schemas.microsoft.com/office/drawing/2014/main" id="{00000000-0008-0000-1F00-000037000000}"/>
            </a:ext>
          </a:extLst>
        </xdr:cNvPr>
        <xdr:cNvSpPr txBox="1"/>
      </xdr:nvSpPr>
      <xdr:spPr>
        <a:xfrm>
          <a:off x="7409390" y="7902575"/>
          <a:ext cx="2366434" cy="665691"/>
        </a:xfrm>
        <a:prstGeom prst="rect">
          <a:avLst/>
        </a:prstGeom>
        <a:solidFill>
          <a:sysClr val="window" lastClr="FFFFFF"/>
        </a:solidFill>
        <a:ln w="25400" cap="flat" cmpd="sng" algn="ctr">
          <a:solidFill>
            <a:srgbClr val="4F81BD"/>
          </a:solidFill>
          <a:prstDash val="solid"/>
        </a:ln>
        <a:effectLst/>
      </xdr:spPr>
      <xdr:txBody>
        <a:bodyPr vertOverflow="clip" horzOverflow="clip" wrap="square" numCol="1" rtlCol="0" anchor="t"/>
        <a:lstStyle/>
        <a:p>
          <a:pPr marL="0" marR="0" lvl="0" indent="0" defTabSz="914400" eaLnBrk="1" fontAlgn="auto" latinLnBrk="0" hangingPunct="1">
            <a:lnSpc>
              <a:spcPct val="100000"/>
            </a:lnSpc>
            <a:spcBef>
              <a:spcPts val="0"/>
            </a:spcBef>
            <a:spcAft>
              <a:spcPts val="0"/>
            </a:spcAft>
            <a:buClrTx/>
            <a:buSzTx/>
            <a:buFontTx/>
            <a:buNone/>
            <a:tabLst/>
            <a:defRPr/>
          </a:pPr>
          <a:fld id="{D369569E-C389-4652-809D-E937358E22D2}" type="TxLink">
            <a:rPr kumimoji="0" lang="en-US" sz="800" b="0" i="0" u="none" strike="noStrike" kern="0" cap="none" spc="0" normalizeH="0" baseline="0" noProof="0">
              <a:ln>
                <a:noFill/>
              </a:ln>
              <a:solidFill>
                <a:srgbClr val="000000"/>
              </a:solidFill>
              <a:effectLst/>
              <a:uLnTx/>
              <a:uFillTx/>
              <a:latin typeface="Calibri"/>
              <a:ea typeface="Calibri"/>
              <a:cs typeface="Calibri"/>
            </a:rPr>
            <a:pPr marL="0" marR="0" lvl="0" indent="0" defTabSz="914400" eaLnBrk="1" fontAlgn="auto" latinLnBrk="0" hangingPunct="1">
              <a:lnSpc>
                <a:spcPct val="100000"/>
              </a:lnSpc>
              <a:spcBef>
                <a:spcPts val="0"/>
              </a:spcBef>
              <a:spcAft>
                <a:spcPts val="0"/>
              </a:spcAft>
              <a:buClrTx/>
              <a:buSzTx/>
              <a:buFontTx/>
              <a:buNone/>
              <a:tabLst/>
              <a:defRPr/>
            </a:pPr>
            <a:t>Entre 2014 e 2024 observou-se uma redução da desigualdade na remuneração ganho. 
P80/P20: 2,2 → 2,0.
P90/P10: 3,5 → 2,9.</a:t>
          </a:fld>
          <a:endParaRPr kumimoji="0" lang="en-US" sz="400" b="0" i="0" u="none" strike="noStrike" kern="0" cap="none" spc="0" normalizeH="0" baseline="0" noProof="0">
            <a:ln>
              <a:noFill/>
            </a:ln>
            <a:solidFill>
              <a:sysClr val="windowText" lastClr="000000"/>
            </a:solidFill>
            <a:effectLst/>
            <a:uLnTx/>
            <a:uFillTx/>
            <a:latin typeface="+mn-lt"/>
            <a:ea typeface="+mn-ea"/>
            <a:cs typeface="Calibri"/>
          </a:endParaRPr>
        </a:p>
      </xdr:txBody>
    </xdr:sp>
    <xdr:clientData/>
  </xdr:twoCellAnchor>
  <mc:AlternateContent xmlns:mc="http://schemas.openxmlformats.org/markup-compatibility/2006">
    <mc:Choice xmlns:a14="http://schemas.microsoft.com/office/drawing/2010/main" Requires="a14">
      <xdr:twoCellAnchor editAs="oneCell">
        <xdr:from>
          <xdr:col>6</xdr:col>
          <xdr:colOff>581025</xdr:colOff>
          <xdr:row>109</xdr:row>
          <xdr:rowOff>123825</xdr:rowOff>
        </xdr:from>
        <xdr:to>
          <xdr:col>8</xdr:col>
          <xdr:colOff>85725</xdr:colOff>
          <xdr:row>110</xdr:row>
          <xdr:rowOff>133350</xdr:rowOff>
        </xdr:to>
        <xdr:sp macro="" textlink="">
          <xdr:nvSpPr>
            <xdr:cNvPr id="509957" name="Drop Down 5" hidden="1">
              <a:extLst>
                <a:ext uri="{63B3BB69-23CF-44E3-9099-C40C66FF867C}">
                  <a14:compatExt spid="_x0000_s509957"/>
                </a:ext>
                <a:ext uri="{FF2B5EF4-FFF2-40B4-BE49-F238E27FC236}">
                  <a16:creationId xmlns:a16="http://schemas.microsoft.com/office/drawing/2014/main" id="{00000000-0008-0000-1F00-000005C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104775</xdr:colOff>
      <xdr:row>115</xdr:row>
      <xdr:rowOff>7937</xdr:rowOff>
    </xdr:from>
    <xdr:to>
      <xdr:col>17</xdr:col>
      <xdr:colOff>23462</xdr:colOff>
      <xdr:row>116</xdr:row>
      <xdr:rowOff>39687</xdr:rowOff>
    </xdr:to>
    <xdr:sp macro="" textlink="$G$114">
      <xdr:nvSpPr>
        <xdr:cNvPr id="57" name="CaixaDeTexto 56">
          <a:extLst>
            <a:ext uri="{FF2B5EF4-FFF2-40B4-BE49-F238E27FC236}">
              <a16:creationId xmlns:a16="http://schemas.microsoft.com/office/drawing/2014/main" id="{00000000-0008-0000-1F00-000039000000}"/>
            </a:ext>
          </a:extLst>
        </xdr:cNvPr>
        <xdr:cNvSpPr txBox="1"/>
      </xdr:nvSpPr>
      <xdr:spPr>
        <a:xfrm>
          <a:off x="8566150" y="18875375"/>
          <a:ext cx="3816000" cy="222250"/>
        </a:xfrm>
        <a:prstGeom prst="rect">
          <a:avLst/>
        </a:prstGeom>
        <a:solidFill>
          <a:sysClr val="window" lastClr="FFFFFF"/>
        </a:solidFill>
        <a:ln w="25400" cap="flat" cmpd="sng" algn="ctr">
          <a:solidFill>
            <a:srgbClr val="4F81BD"/>
          </a:solidFill>
          <a:prstDash val="solid"/>
        </a:ln>
        <a:effectLst/>
      </xdr:spPr>
      <xdr:txBody>
        <a:bodyPr vertOverflow="clip" horzOverflow="clip" wrap="square" numCol="1" rtlCol="0" anchor="t"/>
        <a:lstStyle/>
        <a:p>
          <a:pPr marL="0" marR="0" lvl="0" indent="0" defTabSz="914400" eaLnBrk="1" fontAlgn="auto" latinLnBrk="0" hangingPunct="1">
            <a:lnSpc>
              <a:spcPct val="100000"/>
            </a:lnSpc>
            <a:spcBef>
              <a:spcPts val="0"/>
            </a:spcBef>
            <a:spcAft>
              <a:spcPts val="0"/>
            </a:spcAft>
            <a:buClrTx/>
            <a:buSzTx/>
            <a:buFontTx/>
            <a:buNone/>
            <a:tabLst/>
            <a:defRPr/>
          </a:pPr>
          <a:fld id="{AC52BD10-23DC-49FA-AE4A-CFEC3A278AB0}" type="TxLink">
            <a:rPr kumimoji="0" lang="en-US" sz="800" b="0" i="0" u="none" strike="noStrike" kern="0" cap="none" spc="0" normalizeH="0" baseline="0" noProof="0">
              <a:ln>
                <a:noFill/>
              </a:ln>
              <a:solidFill>
                <a:srgbClr val="000000"/>
              </a:solidFill>
              <a:effectLst/>
              <a:uLnTx/>
              <a:uFillTx/>
              <a:latin typeface="Calibri"/>
              <a:ea typeface="Calibri"/>
              <a:cs typeface="Calibri"/>
            </a:rPr>
            <a:pPr marL="0" marR="0" lvl="0" indent="0" defTabSz="914400" eaLnBrk="1" fontAlgn="auto" latinLnBrk="0" hangingPunct="1">
              <a:lnSpc>
                <a:spcPct val="100000"/>
              </a:lnSpc>
              <a:spcBef>
                <a:spcPts val="0"/>
              </a:spcBef>
              <a:spcAft>
                <a:spcPts val="0"/>
              </a:spcAft>
              <a:buClrTx/>
              <a:buSzTx/>
              <a:buFontTx/>
              <a:buNone/>
              <a:tabLst/>
              <a:defRPr/>
            </a:pPr>
            <a:t>Ganho mediano:Total: 2014 = 787 €; 2024 = 1.191 €; Tx. v. h. = +51,3%.</a:t>
          </a:fld>
          <a:endParaRPr kumimoji="0" lang="en-US" sz="400" b="0" i="0" u="none" strike="noStrike" kern="0" cap="none" spc="0" normalizeH="0" baseline="0" noProof="0">
            <a:ln>
              <a:noFill/>
            </a:ln>
            <a:solidFill>
              <a:sysClr val="windowText" lastClr="000000"/>
            </a:solidFill>
            <a:effectLst/>
            <a:uLnTx/>
            <a:uFillTx/>
            <a:latin typeface="+mn-lt"/>
            <a:ea typeface="+mn-ea"/>
            <a:cs typeface="Calibri"/>
          </a:endParaRPr>
        </a:p>
      </xdr:txBody>
    </xdr:sp>
    <xdr:clientData/>
  </xdr:twoCellAnchor>
  <xdr:twoCellAnchor>
    <xdr:from>
      <xdr:col>11</xdr:col>
      <xdr:colOff>103187</xdr:colOff>
      <xdr:row>116</xdr:row>
      <xdr:rowOff>104245</xdr:rowOff>
    </xdr:from>
    <xdr:to>
      <xdr:col>17</xdr:col>
      <xdr:colOff>21874</xdr:colOff>
      <xdr:row>118</xdr:row>
      <xdr:rowOff>134937</xdr:rowOff>
    </xdr:to>
    <xdr:sp macro="" textlink="$G$120">
      <xdr:nvSpPr>
        <xdr:cNvPr id="58" name="CaixaDeTexto 57">
          <a:extLst>
            <a:ext uri="{FF2B5EF4-FFF2-40B4-BE49-F238E27FC236}">
              <a16:creationId xmlns:a16="http://schemas.microsoft.com/office/drawing/2014/main" id="{00000000-0008-0000-1F00-00003A000000}"/>
            </a:ext>
          </a:extLst>
        </xdr:cNvPr>
        <xdr:cNvSpPr txBox="1"/>
      </xdr:nvSpPr>
      <xdr:spPr>
        <a:xfrm>
          <a:off x="8564562" y="19162183"/>
          <a:ext cx="3816000" cy="649817"/>
        </a:xfrm>
        <a:prstGeom prst="rect">
          <a:avLst/>
        </a:prstGeom>
        <a:solidFill>
          <a:sysClr val="window" lastClr="FFFFFF"/>
        </a:solidFill>
        <a:ln w="25400" cap="flat" cmpd="sng" algn="ctr">
          <a:solidFill>
            <a:srgbClr val="4F81BD"/>
          </a:solidFill>
          <a:prstDash val="solid"/>
        </a:ln>
        <a:effectLst/>
      </xdr:spPr>
      <xdr:txBody>
        <a:bodyPr vertOverflow="clip" horzOverflow="clip" wrap="square" numCol="1" rtlCol="0" anchor="t"/>
        <a:lstStyle/>
        <a:p>
          <a:pPr marL="0" marR="0" lvl="0" indent="0" defTabSz="914400" eaLnBrk="1" fontAlgn="auto" latinLnBrk="0" hangingPunct="1">
            <a:lnSpc>
              <a:spcPct val="100000"/>
            </a:lnSpc>
            <a:spcBef>
              <a:spcPts val="0"/>
            </a:spcBef>
            <a:spcAft>
              <a:spcPts val="0"/>
            </a:spcAft>
            <a:buClrTx/>
            <a:buSzTx/>
            <a:buFontTx/>
            <a:buNone/>
            <a:tabLst/>
            <a:defRPr/>
          </a:pPr>
          <a:fld id="{08DB2445-6FA2-4BD6-91C4-78F73774013E}" type="TxLink">
            <a:rPr kumimoji="0" lang="en-US" sz="800" b="0" i="0" u="none" strike="noStrike" kern="0" cap="none" spc="0" normalizeH="0" baseline="0" noProof="0">
              <a:ln>
                <a:noFill/>
              </a:ln>
              <a:solidFill>
                <a:srgbClr val="000000"/>
              </a:solidFill>
              <a:effectLst/>
              <a:uLnTx/>
              <a:uFillTx/>
              <a:latin typeface="Calibri"/>
              <a:ea typeface="Calibri"/>
              <a:cs typeface="Calibri"/>
            </a:rPr>
            <a:pPr marL="0" marR="0" lvl="0" indent="0" defTabSz="914400" eaLnBrk="1" fontAlgn="auto" latinLnBrk="0" hangingPunct="1">
              <a:lnSpc>
                <a:spcPct val="100000"/>
              </a:lnSpc>
              <a:spcBef>
                <a:spcPts val="0"/>
              </a:spcBef>
              <a:spcAft>
                <a:spcPts val="0"/>
              </a:spcAft>
              <a:buClrTx/>
              <a:buSzTx/>
              <a:buFontTx/>
              <a:buNone/>
              <a:tabLst/>
              <a:defRPr/>
            </a:pPr>
            <a:t>Incidência de baixos salários:
2014 - 2016 → T entre 6,78% e 5,86%; H entre 5,01% e 4,38%; M entre 8,87% e 7,59%.
2017 - 2024 → T entre 0,19% e 0,09%; H entre 0,10% e 0,07%; M entre 0,29% e 0,11%.
2017 → RMMG &gt; limiar de baixos salários, pela primeira vez</a:t>
          </a:fld>
          <a:endParaRPr kumimoji="0" lang="en-US" sz="200" b="0" i="0" u="none" strike="noStrike" kern="0" cap="none" spc="0" normalizeH="0" baseline="0" noProof="0">
            <a:ln>
              <a:noFill/>
            </a:ln>
            <a:solidFill>
              <a:sysClr val="windowText" lastClr="000000"/>
            </a:solidFill>
            <a:effectLst/>
            <a:uLnTx/>
            <a:uFillTx/>
            <a:latin typeface="+mn-lt"/>
            <a:ea typeface="+mn-ea"/>
            <a:cs typeface="Calibri"/>
          </a:endParaRPr>
        </a:p>
      </xdr:txBody>
    </xdr:sp>
    <xdr:clientData/>
  </xdr:twoCellAnchor>
  <xdr:twoCellAnchor>
    <xdr:from>
      <xdr:col>22</xdr:col>
      <xdr:colOff>309563</xdr:colOff>
      <xdr:row>89</xdr:row>
      <xdr:rowOff>95249</xdr:rowOff>
    </xdr:from>
    <xdr:to>
      <xdr:col>31</xdr:col>
      <xdr:colOff>497897</xdr:colOff>
      <xdr:row>95</xdr:row>
      <xdr:rowOff>115453</xdr:rowOff>
    </xdr:to>
    <xdr:sp macro="" textlink="">
      <xdr:nvSpPr>
        <xdr:cNvPr id="21" name="CaixaDeTexto 20">
          <a:extLst>
            <a:ext uri="{FF2B5EF4-FFF2-40B4-BE49-F238E27FC236}">
              <a16:creationId xmlns:a16="http://schemas.microsoft.com/office/drawing/2014/main" id="{00000000-0008-0000-1F00-000015000000}"/>
            </a:ext>
          </a:extLst>
        </xdr:cNvPr>
        <xdr:cNvSpPr txBox="1"/>
      </xdr:nvSpPr>
      <xdr:spPr>
        <a:xfrm>
          <a:off x="15724188" y="14509749"/>
          <a:ext cx="5704897" cy="972704"/>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800" b="1" i="0" u="none" strike="noStrike">
              <a:solidFill>
                <a:sysClr val="windowText" lastClr="000000"/>
              </a:solidFill>
              <a:latin typeface="+mn-lt"/>
              <a:ea typeface="+mn-ea"/>
              <a:cs typeface="Calibri"/>
            </a:rPr>
            <a:t>Ganho mediano:     </a:t>
          </a:r>
          <a:r>
            <a:rPr lang="en-US" sz="800" b="1" i="0" u="none" strike="noStrike" baseline="0">
              <a:solidFill>
                <a:sysClr val="windowText" lastClr="000000"/>
              </a:solidFill>
              <a:latin typeface="+mn-lt"/>
              <a:ea typeface="+mn-ea"/>
              <a:cs typeface="Calibri"/>
            </a:rPr>
            <a:t>                                                                                                 Incidência de baixos salários:</a:t>
          </a:r>
          <a:endParaRPr lang="en-US" sz="800" b="1" i="0" u="none" strike="noStrike">
            <a:solidFill>
              <a:sysClr val="windowText" lastClr="000000"/>
            </a:solidFill>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u="sng" strike="noStrike">
              <a:solidFill>
                <a:sysClr val="windowText" lastClr="000000"/>
              </a:solidFill>
              <a:latin typeface="+mn-lt"/>
              <a:ea typeface="+mn-ea"/>
              <a:cs typeface="Calibri"/>
            </a:rPr>
            <a:t>2023:</a:t>
          </a:r>
          <a:r>
            <a:rPr lang="en-US" sz="800" b="0" i="0" u="none" strike="noStrike">
              <a:solidFill>
                <a:sysClr val="windowText" lastClr="000000"/>
              </a:solidFill>
              <a:latin typeface="+mn-lt"/>
              <a:ea typeface="+mn-ea"/>
              <a:cs typeface="Calibri"/>
            </a:rPr>
            <a:t> Metade dos TCO ganhava até 1.100 euros (+40,1% face a 2013).       </a:t>
          </a:r>
          <a:r>
            <a:rPr lang="en-US" sz="800" b="0" i="0" u="sng" strike="noStrike">
              <a:solidFill>
                <a:sysClr val="windowText" lastClr="000000"/>
              </a:solidFill>
              <a:latin typeface="+mn-lt"/>
              <a:ea typeface="+mn-ea"/>
              <a:cs typeface="Calibri"/>
            </a:rPr>
            <a:t>2013 - 2016</a:t>
          </a:r>
          <a:r>
            <a:rPr lang="en-US" sz="800" b="0" i="0" u="none" strike="noStrike">
              <a:solidFill>
                <a:sysClr val="windowText" lastClr="000000"/>
              </a:solidFill>
              <a:latin typeface="+mn-lt"/>
              <a:ea typeface="+mn-ea"/>
              <a:cs typeface="Calibri"/>
            </a:rPr>
            <a:t>: Total</a:t>
          </a:r>
          <a:r>
            <a:rPr lang="en-US" sz="800" b="0" i="0" u="none" strike="noStrike" baseline="0">
              <a:solidFill>
                <a:sysClr val="windowText" lastClr="000000"/>
              </a:solidFill>
              <a:latin typeface="+mn-lt"/>
              <a:ea typeface="+mn-ea"/>
              <a:cs typeface="Calibri"/>
            </a:rPr>
            <a:t> entre 7,59% e 5,86%;</a:t>
          </a:r>
          <a:r>
            <a:rPr lang="en-US" sz="800" b="0" i="0" u="none" strike="noStrike">
              <a:solidFill>
                <a:sysClr val="windowText" lastClr="000000"/>
              </a:solidFill>
              <a:latin typeface="+mn-lt"/>
              <a:ea typeface="+mn-ea"/>
              <a:cs typeface="Calibri"/>
            </a:rPr>
            <a:t> </a:t>
          </a:r>
        </a:p>
        <a:p>
          <a:r>
            <a:rPr lang="en-US" sz="800" b="1" i="0" u="none" strike="noStrike">
              <a:solidFill>
                <a:sysClr val="windowText" lastClr="000000"/>
              </a:solidFill>
              <a:latin typeface="+mn-lt"/>
              <a:ea typeface="+mn-ea"/>
              <a:cs typeface="Calibri"/>
            </a:rPr>
            <a:t>RMMG:			</a:t>
          </a:r>
          <a:r>
            <a:rPr lang="en-US" sz="800" b="1" i="0" u="none" strike="noStrike" baseline="0">
              <a:solidFill>
                <a:sysClr val="windowText" lastClr="000000"/>
              </a:solidFill>
              <a:latin typeface="+mn-lt"/>
              <a:ea typeface="+mn-ea"/>
              <a:cs typeface="Calibri"/>
            </a:rPr>
            <a:t>                                      </a:t>
          </a:r>
          <a:r>
            <a:rPr lang="en-US" sz="800" b="0" i="0" u="none" strike="noStrike" baseline="0">
              <a:solidFill>
                <a:sysClr val="windowText" lastClr="000000"/>
              </a:solidFill>
              <a:latin typeface="+mn-lt"/>
              <a:ea typeface="+mn-ea"/>
              <a:cs typeface="Calibri"/>
            </a:rPr>
            <a:t>Homens: entre 5,46% e 4,38%;</a:t>
          </a:r>
          <a:endParaRPr lang="en-US" sz="800" b="0" i="0" u="none" strike="noStrike">
            <a:solidFill>
              <a:sysClr val="windowText" lastClr="000000"/>
            </a:solidFill>
            <a:latin typeface="+mn-lt"/>
            <a:ea typeface="+mn-ea"/>
            <a:cs typeface="Calibri"/>
          </a:endParaRPr>
        </a:p>
        <a:p>
          <a:r>
            <a:rPr lang="en-US" sz="800" b="0" i="0" u="sng" strike="noStrike">
              <a:solidFill>
                <a:sysClr val="windowText" lastClr="000000"/>
              </a:solidFill>
              <a:latin typeface="+mn-lt"/>
              <a:cs typeface="Calibri"/>
            </a:rPr>
            <a:t>2013 -</a:t>
          </a:r>
          <a:r>
            <a:rPr lang="en-US" sz="800" b="0" i="0" u="sng" strike="noStrike" baseline="0">
              <a:solidFill>
                <a:sysClr val="windowText" lastClr="000000"/>
              </a:solidFill>
              <a:latin typeface="+mn-lt"/>
              <a:cs typeface="Calibri"/>
            </a:rPr>
            <a:t> </a:t>
          </a:r>
          <a:r>
            <a:rPr lang="en-US" sz="800" b="0" i="0" u="sng" strike="noStrike">
              <a:solidFill>
                <a:sysClr val="windowText" lastClr="000000"/>
              </a:solidFill>
              <a:latin typeface="+mn-lt"/>
              <a:cs typeface="Calibri"/>
            </a:rPr>
            <a:t>2016</a:t>
          </a:r>
          <a:r>
            <a:rPr lang="en-US" sz="800" b="0" i="0" u="none" strike="noStrike">
              <a:solidFill>
                <a:sysClr val="windowText" lastClr="000000"/>
              </a:solidFill>
              <a:latin typeface="+mn-lt"/>
              <a:cs typeface="Calibri"/>
            </a:rPr>
            <a:t>:</a:t>
          </a:r>
          <a:r>
            <a:rPr lang="en-US" sz="800" b="0" i="0" u="none" strike="noStrike" baseline="0">
              <a:solidFill>
                <a:sysClr val="windowText" lastClr="000000"/>
              </a:solidFill>
              <a:latin typeface="+mn-lt"/>
              <a:cs typeface="Calibri"/>
            </a:rPr>
            <a:t> aumento de 4,1%;		                                      Mulheres: entre 10,09% e 7,59%</a:t>
          </a:r>
        </a:p>
        <a:p>
          <a:r>
            <a:rPr lang="en-US" sz="800" b="0" i="0" u="sng" strike="noStrike">
              <a:solidFill>
                <a:sysClr val="windowText" lastClr="000000"/>
              </a:solidFill>
              <a:latin typeface="+mn-lt"/>
              <a:cs typeface="Calibri"/>
            </a:rPr>
            <a:t>2016 - 2023</a:t>
          </a:r>
          <a:r>
            <a:rPr lang="en-US" sz="800" b="0" i="0" u="none" strike="noStrike">
              <a:solidFill>
                <a:sysClr val="windowText" lastClr="000000"/>
              </a:solidFill>
              <a:latin typeface="+mn-lt"/>
              <a:cs typeface="Calibri"/>
            </a:rPr>
            <a:t>: aumento de 39,6%;		</a:t>
          </a:r>
          <a:r>
            <a:rPr lang="en-US" sz="800" b="0" i="0" u="none" strike="noStrike" baseline="0">
              <a:solidFill>
                <a:sysClr val="windowText" lastClr="000000"/>
              </a:solidFill>
              <a:latin typeface="+mn-lt"/>
              <a:cs typeface="Calibri"/>
            </a:rPr>
            <a:t>              </a:t>
          </a:r>
          <a:r>
            <a:rPr lang="en-US" sz="800" b="0" i="0" u="sng" strike="noStrike" baseline="0">
              <a:solidFill>
                <a:sysClr val="windowText" lastClr="000000"/>
              </a:solidFill>
              <a:latin typeface="+mn-lt"/>
              <a:cs typeface="Calibri"/>
            </a:rPr>
            <a:t>2017 - 2023</a:t>
          </a:r>
          <a:r>
            <a:rPr lang="en-US" sz="800" b="0" i="0" u="none" strike="noStrike" baseline="0">
              <a:solidFill>
                <a:sysClr val="windowText" lastClr="000000"/>
              </a:solidFill>
              <a:latin typeface="+mn-lt"/>
              <a:cs typeface="Calibri"/>
            </a:rPr>
            <a:t>: Total entre 0,19% e 0,10%;</a:t>
          </a:r>
          <a:endParaRPr lang="en-US" sz="800" b="0" i="0" u="none" strike="noStrike">
            <a:solidFill>
              <a:sysClr val="windowText" lastClr="000000"/>
            </a:solidFill>
            <a:latin typeface="+mn-lt"/>
            <a:cs typeface="Calibri"/>
          </a:endParaRPr>
        </a:p>
        <a:p>
          <a:r>
            <a:rPr lang="en-US" sz="800" b="0" i="0" u="sng" strike="noStrike">
              <a:solidFill>
                <a:sysClr val="windowText" lastClr="000000"/>
              </a:solidFill>
              <a:latin typeface="+mn-lt"/>
              <a:cs typeface="Calibri"/>
            </a:rPr>
            <a:t>2017:</a:t>
          </a:r>
          <a:r>
            <a:rPr lang="en-US" sz="800" b="0" i="0" u="sng" strike="noStrike" baseline="0">
              <a:solidFill>
                <a:sysClr val="windowText" lastClr="000000"/>
              </a:solidFill>
              <a:latin typeface="+mn-lt"/>
              <a:cs typeface="Calibri"/>
            </a:rPr>
            <a:t> </a:t>
          </a:r>
          <a:r>
            <a:rPr lang="en-US" sz="800" b="0" i="0" u="none" strike="noStrike" baseline="0">
              <a:solidFill>
                <a:sysClr val="windowText" lastClr="000000"/>
              </a:solidFill>
              <a:latin typeface="+mn-lt"/>
              <a:cs typeface="Calibri"/>
            </a:rPr>
            <a:t>RMMG &gt; limiar de baixos salários, </a:t>
          </a:r>
          <a:r>
            <a:rPr lang="en-US" sz="800" b="0" i="0" u="none" strike="noStrike">
              <a:solidFill>
                <a:sysClr val="windowText" lastClr="000000"/>
              </a:solidFill>
              <a:latin typeface="+mn-lt"/>
              <a:cs typeface="Calibri"/>
            </a:rPr>
            <a:t>pela primeira vez.                                                    Homens entre 0,10% e 0,07% (2020 e 2021);</a:t>
          </a:r>
        </a:p>
        <a:p>
          <a:r>
            <a:rPr lang="en-US" sz="800" b="0" i="0" u="none" strike="noStrike">
              <a:solidFill>
                <a:sysClr val="windowText" lastClr="000000"/>
              </a:solidFill>
              <a:latin typeface="+mn-lt"/>
              <a:cs typeface="Calibri"/>
            </a:rPr>
            <a:t>			</a:t>
          </a:r>
          <a:r>
            <a:rPr lang="en-US" sz="800" b="0" i="0" u="none" strike="noStrike" baseline="0">
              <a:solidFill>
                <a:sysClr val="windowText" lastClr="000000"/>
              </a:solidFill>
              <a:latin typeface="+mn-lt"/>
              <a:cs typeface="Calibri"/>
            </a:rPr>
            <a:t>                                      </a:t>
          </a:r>
          <a:r>
            <a:rPr lang="en-US" sz="800" b="0" i="0" u="none" strike="noStrike">
              <a:solidFill>
                <a:sysClr val="windowText" lastClr="000000"/>
              </a:solidFill>
              <a:latin typeface="+mn-lt"/>
              <a:cs typeface="Calibri"/>
            </a:rPr>
            <a:t>Mulheres entre 0,29% e 0,13%    </a:t>
          </a:r>
        </a:p>
        <a:p>
          <a:endParaRPr lang="en-US" sz="800" b="0" i="0" u="none" strike="noStrike">
            <a:solidFill>
              <a:sysClr val="windowText" lastClr="000000"/>
            </a:solidFill>
            <a:latin typeface="+mn-lt"/>
            <a:cs typeface="Calibri"/>
          </a:endParaRPr>
        </a:p>
      </xdr:txBody>
    </xdr:sp>
    <xdr:clientData/>
  </xdr:twoCellAnchor>
</xdr:wsDr>
</file>

<file path=xl/drawings/drawing76.xml><?xml version="1.0" encoding="utf-8"?>
<xdr:wsDr xmlns:xdr="http://schemas.openxmlformats.org/drawingml/2006/spreadsheetDrawing" xmlns:a="http://schemas.openxmlformats.org/drawingml/2006/main">
  <xdr:oneCellAnchor>
    <xdr:from>
      <xdr:col>11</xdr:col>
      <xdr:colOff>38099</xdr:colOff>
      <xdr:row>0</xdr:row>
      <xdr:rowOff>295275</xdr:rowOff>
    </xdr:from>
    <xdr:ext cx="790476" cy="276190"/>
    <xdr:pic>
      <xdr:nvPicPr>
        <xdr:cNvPr id="4" name="Picture 5">
          <a:hlinkClick xmlns:r="http://schemas.openxmlformats.org/officeDocument/2006/relationships" r:id="rId1"/>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657849" y="295275"/>
          <a:ext cx="790476" cy="276190"/>
        </a:xfrm>
        <a:prstGeom prst="rect">
          <a:avLst/>
        </a:prstGeom>
        <a:noFill/>
        <a:ln w="1">
          <a:noFill/>
          <a:miter lim="800000"/>
          <a:headEnd/>
          <a:tailEnd type="none" w="med" len="med"/>
        </a:ln>
        <a:effectLst/>
      </xdr:spPr>
    </xdr:pic>
    <xdr:clientData fPrintsWithSheet="0"/>
  </xdr:oneCellAnchor>
</xdr:wsDr>
</file>

<file path=xl/drawings/drawing77.xml><?xml version="1.0" encoding="utf-8"?>
<xdr:wsDr xmlns:xdr="http://schemas.openxmlformats.org/drawingml/2006/spreadsheetDrawing" xmlns:a="http://schemas.openxmlformats.org/drawingml/2006/main">
  <xdr:oneCellAnchor>
    <xdr:from>
      <xdr:col>10</xdr:col>
      <xdr:colOff>142874</xdr:colOff>
      <xdr:row>0</xdr:row>
      <xdr:rowOff>342900</xdr:rowOff>
    </xdr:from>
    <xdr:ext cx="790476" cy="276190"/>
    <xdr:pic>
      <xdr:nvPicPr>
        <xdr:cNvPr id="3" name="Picture 5">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324474" y="342900"/>
          <a:ext cx="790476" cy="276190"/>
        </a:xfrm>
        <a:prstGeom prst="rect">
          <a:avLst/>
        </a:prstGeom>
        <a:noFill/>
        <a:ln w="1">
          <a:noFill/>
          <a:miter lim="800000"/>
          <a:headEnd/>
          <a:tailEnd type="none" w="med" len="med"/>
        </a:ln>
        <a:effectLst/>
      </xdr:spPr>
    </xdr:pic>
    <xdr:clientData fPrintsWithSheet="0"/>
  </xdr:oneCellAnchor>
</xdr:wsDr>
</file>

<file path=xl/drawings/drawing78.xml><?xml version="1.0" encoding="utf-8"?>
<xdr:wsDr xmlns:xdr="http://schemas.openxmlformats.org/drawingml/2006/spreadsheetDrawing" xmlns:a="http://schemas.openxmlformats.org/drawingml/2006/main">
  <xdr:oneCellAnchor>
    <xdr:from>
      <xdr:col>10</xdr:col>
      <xdr:colOff>171449</xdr:colOff>
      <xdr:row>0</xdr:row>
      <xdr:rowOff>304800</xdr:rowOff>
    </xdr:from>
    <xdr:ext cx="790476" cy="276190"/>
    <xdr:pic>
      <xdr:nvPicPr>
        <xdr:cNvPr id="3" name="Picture 5">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353049" y="304800"/>
          <a:ext cx="790476" cy="276190"/>
        </a:xfrm>
        <a:prstGeom prst="rect">
          <a:avLst/>
        </a:prstGeom>
        <a:noFill/>
        <a:ln w="1">
          <a:noFill/>
          <a:miter lim="800000"/>
          <a:headEnd/>
          <a:tailEnd type="none" w="med" len="med"/>
        </a:ln>
        <a:effectLst/>
      </xdr:spPr>
    </xdr:pic>
    <xdr:clientData fPrintsWithSheet="0"/>
  </xdr:oneCellAnchor>
</xdr:wsDr>
</file>

<file path=xl/drawings/drawing79.xml><?xml version="1.0" encoding="utf-8"?>
<xdr:wsDr xmlns:xdr="http://schemas.openxmlformats.org/drawingml/2006/spreadsheetDrawing" xmlns:a="http://schemas.openxmlformats.org/drawingml/2006/main">
  <xdr:oneCellAnchor>
    <xdr:from>
      <xdr:col>10</xdr:col>
      <xdr:colOff>171449</xdr:colOff>
      <xdr:row>0</xdr:row>
      <xdr:rowOff>304800</xdr:rowOff>
    </xdr:from>
    <xdr:ext cx="790476" cy="276190"/>
    <xdr:pic>
      <xdr:nvPicPr>
        <xdr:cNvPr id="2" name="Picture 5">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603999" y="304800"/>
          <a:ext cx="790476" cy="276190"/>
        </a:xfrm>
        <a:prstGeom prst="rect">
          <a:avLst/>
        </a:prstGeom>
        <a:noFill/>
        <a:ln w="1">
          <a:noFill/>
          <a:miter lim="800000"/>
          <a:headEnd/>
          <a:tailEnd type="none" w="med" len="med"/>
        </a:ln>
        <a:effectLst/>
      </xdr:spPr>
    </xdr:pic>
    <xdr:clientData fPrintsWithSheet="0"/>
  </xdr:oneCellAnchor>
</xdr:wsDr>
</file>

<file path=xl/drawings/drawing8.xml><?xml version="1.0" encoding="utf-8"?>
<xdr:wsDr xmlns:xdr="http://schemas.openxmlformats.org/drawingml/2006/spreadsheetDrawing" xmlns:a="http://schemas.openxmlformats.org/drawingml/2006/main">
  <xdr:twoCellAnchor>
    <xdr:from>
      <xdr:col>0</xdr:col>
      <xdr:colOff>47624</xdr:colOff>
      <xdr:row>2</xdr:row>
      <xdr:rowOff>161650</xdr:rowOff>
    </xdr:from>
    <xdr:to>
      <xdr:col>22</xdr:col>
      <xdr:colOff>578202</xdr:colOff>
      <xdr:row>4</xdr:row>
      <xdr:rowOff>77125</xdr:rowOff>
    </xdr:to>
    <xdr:grpSp>
      <xdr:nvGrpSpPr>
        <xdr:cNvPr id="2" name="Agrupar 1">
          <a:extLst>
            <a:ext uri="{FF2B5EF4-FFF2-40B4-BE49-F238E27FC236}">
              <a16:creationId xmlns:a16="http://schemas.microsoft.com/office/drawing/2014/main" id="{00000000-0008-0000-0300-000002000000}"/>
            </a:ext>
          </a:extLst>
        </xdr:cNvPr>
        <xdr:cNvGrpSpPr/>
      </xdr:nvGrpSpPr>
      <xdr:grpSpPr>
        <a:xfrm>
          <a:off x="47624" y="542650"/>
          <a:ext cx="12989278" cy="296475"/>
          <a:chOff x="230187" y="611737"/>
          <a:chExt cx="5846763" cy="499513"/>
        </a:xfrm>
      </xdr:grpSpPr>
      <xdr:sp macro="" textlink="">
        <xdr:nvSpPr>
          <xdr:cNvPr id="3" name="Rectangle 3">
            <a:extLst>
              <a:ext uri="{FF2B5EF4-FFF2-40B4-BE49-F238E27FC236}">
                <a16:creationId xmlns:a16="http://schemas.microsoft.com/office/drawing/2014/main" id="{00000000-0008-0000-0300-000003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4" name="Text Box 10">
            <a:extLst>
              <a:ext uri="{FF2B5EF4-FFF2-40B4-BE49-F238E27FC236}">
                <a16:creationId xmlns:a16="http://schemas.microsoft.com/office/drawing/2014/main" id="{00000000-0008-0000-0300-000004000000}"/>
              </a:ext>
            </a:extLst>
          </xdr:cNvPr>
          <xdr:cNvSpPr txBox="1">
            <a:spLocks noChangeArrowheads="1"/>
          </xdr:cNvSpPr>
        </xdr:nvSpPr>
        <xdr:spPr bwMode="auto">
          <a:xfrm>
            <a:off x="307901" y="611737"/>
            <a:ext cx="908701" cy="426243"/>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Remunerações médias mensais</a:t>
            </a:r>
            <a:endParaRPr lang="en-US" altLang="pt-PT" sz="1200" b="1">
              <a:solidFill>
                <a:srgbClr val="00467A"/>
              </a:solidFill>
              <a:latin typeface="Arial" charset="0"/>
            </a:endParaRPr>
          </a:p>
        </xdr:txBody>
      </xdr:sp>
    </xdr:grpSp>
    <xdr:clientData/>
  </xdr:twoCellAnchor>
  <xdr:twoCellAnchor>
    <xdr:from>
      <xdr:col>1</xdr:col>
      <xdr:colOff>469834</xdr:colOff>
      <xdr:row>0</xdr:row>
      <xdr:rowOff>41276</xdr:rowOff>
    </xdr:from>
    <xdr:to>
      <xdr:col>22</xdr:col>
      <xdr:colOff>596836</xdr:colOff>
      <xdr:row>2</xdr:row>
      <xdr:rowOff>165100</xdr:rowOff>
    </xdr:to>
    <xdr:sp macro="" textlink="">
      <xdr:nvSpPr>
        <xdr:cNvPr id="6" name="Rectangle 17">
          <a:extLst>
            <a:ext uri="{FF2B5EF4-FFF2-40B4-BE49-F238E27FC236}">
              <a16:creationId xmlns:a16="http://schemas.microsoft.com/office/drawing/2014/main" id="{00000000-0008-0000-0300-000006000000}"/>
            </a:ext>
          </a:extLst>
        </xdr:cNvPr>
        <xdr:cNvSpPr>
          <a:spLocks noChangeArrowheads="1"/>
        </xdr:cNvSpPr>
      </xdr:nvSpPr>
      <xdr:spPr bwMode="auto">
        <a:xfrm>
          <a:off x="1060384" y="41276"/>
          <a:ext cx="12617452" cy="492124"/>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1600" b="1" i="1">
              <a:solidFill>
                <a:schemeClr val="bg1"/>
              </a:solidFill>
              <a:effectLst>
                <a:outerShdw blurRad="38100" dist="38100" dir="2700000" algn="tl">
                  <a:srgbClr val="000000"/>
                </a:outerShdw>
              </a:effectLst>
              <a:latin typeface="Arial" charset="0"/>
            </a:rPr>
            <a:t>Séries Cronológicas 2014 - 2024: Quadros de Pessoal</a:t>
          </a:r>
        </a:p>
        <a:p>
          <a:pPr defTabSz="988538">
            <a:defRPr/>
          </a:pPr>
          <a:r>
            <a:rPr lang="pt-PT" sz="1600" b="1" i="1">
              <a:solidFill>
                <a:srgbClr val="FFE600"/>
              </a:solidFill>
              <a:effectLst>
                <a:outerShdw blurRad="38100" dist="38100" dir="2700000" algn="tl">
                  <a:srgbClr val="000000"/>
                </a:outerShdw>
              </a:effectLst>
              <a:latin typeface="Arial" charset="0"/>
            </a:rPr>
            <a:t>Estrutura Empresarial - Remunerações</a:t>
          </a:r>
        </a:p>
      </xdr:txBody>
    </xdr:sp>
    <xdr:clientData/>
  </xdr:twoCellAnchor>
  <xdr:twoCellAnchor>
    <xdr:from>
      <xdr:col>4</xdr:col>
      <xdr:colOff>46094</xdr:colOff>
      <xdr:row>27</xdr:row>
      <xdr:rowOff>130484</xdr:rowOff>
    </xdr:from>
    <xdr:to>
      <xdr:col>5</xdr:col>
      <xdr:colOff>64908</xdr:colOff>
      <xdr:row>28</xdr:row>
      <xdr:rowOff>132156</xdr:rowOff>
    </xdr:to>
    <xdr:grpSp>
      <xdr:nvGrpSpPr>
        <xdr:cNvPr id="8" name="Agrupar 7">
          <a:extLst>
            <a:ext uri="{FF2B5EF4-FFF2-40B4-BE49-F238E27FC236}">
              <a16:creationId xmlns:a16="http://schemas.microsoft.com/office/drawing/2014/main" id="{00000000-0008-0000-0300-000008000000}"/>
            </a:ext>
          </a:extLst>
        </xdr:cNvPr>
        <xdr:cNvGrpSpPr/>
      </xdr:nvGrpSpPr>
      <xdr:grpSpPr>
        <a:xfrm>
          <a:off x="2293994" y="5273984"/>
          <a:ext cx="580789" cy="192172"/>
          <a:chOff x="2408294" y="5054526"/>
          <a:chExt cx="609364" cy="179986"/>
        </a:xfrm>
      </xdr:grpSpPr>
      <xdr:sp macro="" textlink="">
        <xdr:nvSpPr>
          <xdr:cNvPr id="9" name="CaixaDeTexto 8">
            <a:extLst>
              <a:ext uri="{FF2B5EF4-FFF2-40B4-BE49-F238E27FC236}">
                <a16:creationId xmlns:a16="http://schemas.microsoft.com/office/drawing/2014/main" id="{00000000-0008-0000-0300-000009000000}"/>
              </a:ext>
            </a:extLst>
          </xdr:cNvPr>
          <xdr:cNvSpPr txBox="1"/>
        </xdr:nvSpPr>
        <xdr:spPr>
          <a:xfrm>
            <a:off x="2408294" y="5054526"/>
            <a:ext cx="609364" cy="1799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endParaRPr lang="pt-PT" sz="800" b="1"/>
          </a:p>
        </xdr:txBody>
      </xdr:sp>
    </xdr:grpSp>
    <xdr:clientData/>
  </xdr:twoCellAnchor>
  <xdr:twoCellAnchor>
    <xdr:from>
      <xdr:col>6</xdr:col>
      <xdr:colOff>345109</xdr:colOff>
      <xdr:row>27</xdr:row>
      <xdr:rowOff>64141</xdr:rowOff>
    </xdr:from>
    <xdr:to>
      <xdr:col>7</xdr:col>
      <xdr:colOff>249169</xdr:colOff>
      <xdr:row>28</xdr:row>
      <xdr:rowOff>57727</xdr:rowOff>
    </xdr:to>
    <xdr:sp macro="" textlink="">
      <xdr:nvSpPr>
        <xdr:cNvPr id="10" name="CaixaDeTexto 9">
          <a:extLst>
            <a:ext uri="{FF2B5EF4-FFF2-40B4-BE49-F238E27FC236}">
              <a16:creationId xmlns:a16="http://schemas.microsoft.com/office/drawing/2014/main" id="{00000000-0008-0000-0300-00000A000000}"/>
            </a:ext>
          </a:extLst>
        </xdr:cNvPr>
        <xdr:cNvSpPr txBox="1"/>
      </xdr:nvSpPr>
      <xdr:spPr>
        <a:xfrm>
          <a:off x="3888409" y="5061591"/>
          <a:ext cx="494610" cy="1777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endParaRPr lang="pt-PT" sz="800" b="1"/>
        </a:p>
      </xdr:txBody>
    </xdr:sp>
    <xdr:clientData/>
  </xdr:twoCellAnchor>
  <xdr:twoCellAnchor>
    <xdr:from>
      <xdr:col>0</xdr:col>
      <xdr:colOff>27573</xdr:colOff>
      <xdr:row>20</xdr:row>
      <xdr:rowOff>2819</xdr:rowOff>
    </xdr:from>
    <xdr:to>
      <xdr:col>23</xdr:col>
      <xdr:colOff>0</xdr:colOff>
      <xdr:row>21</xdr:row>
      <xdr:rowOff>125801</xdr:rowOff>
    </xdr:to>
    <xdr:grpSp>
      <xdr:nvGrpSpPr>
        <xdr:cNvPr id="15" name="Agrupar 14">
          <a:extLst>
            <a:ext uri="{FF2B5EF4-FFF2-40B4-BE49-F238E27FC236}">
              <a16:creationId xmlns:a16="http://schemas.microsoft.com/office/drawing/2014/main" id="{00000000-0008-0000-0300-00000F000000}"/>
            </a:ext>
          </a:extLst>
        </xdr:cNvPr>
        <xdr:cNvGrpSpPr/>
      </xdr:nvGrpSpPr>
      <xdr:grpSpPr>
        <a:xfrm>
          <a:off x="27573" y="3812819"/>
          <a:ext cx="13012152" cy="313482"/>
          <a:chOff x="230187" y="612160"/>
          <a:chExt cx="5846763" cy="499090"/>
        </a:xfrm>
      </xdr:grpSpPr>
      <xdr:sp macro="" textlink="">
        <xdr:nvSpPr>
          <xdr:cNvPr id="19" name="Rectangle 3">
            <a:extLst>
              <a:ext uri="{FF2B5EF4-FFF2-40B4-BE49-F238E27FC236}">
                <a16:creationId xmlns:a16="http://schemas.microsoft.com/office/drawing/2014/main" id="{00000000-0008-0000-0300-000013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20" name="Text Box 10">
            <a:extLst>
              <a:ext uri="{FF2B5EF4-FFF2-40B4-BE49-F238E27FC236}">
                <a16:creationId xmlns:a16="http://schemas.microsoft.com/office/drawing/2014/main" id="{00000000-0008-0000-0300-000014000000}"/>
              </a:ext>
            </a:extLst>
          </xdr:cNvPr>
          <xdr:cNvSpPr txBox="1">
            <a:spLocks noChangeArrowheads="1"/>
          </xdr:cNvSpPr>
        </xdr:nvSpPr>
        <xdr:spPr bwMode="auto">
          <a:xfrm>
            <a:off x="273050" y="612160"/>
            <a:ext cx="1284349" cy="402777"/>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...Por secção de atividade do estabelecimento</a:t>
            </a:r>
          </a:p>
        </xdr:txBody>
      </xdr:sp>
    </xdr:grpSp>
    <xdr:clientData/>
  </xdr:twoCellAnchor>
  <xdr:twoCellAnchor>
    <xdr:from>
      <xdr:col>0</xdr:col>
      <xdr:colOff>171738</xdr:colOff>
      <xdr:row>21</xdr:row>
      <xdr:rowOff>140377</xdr:rowOff>
    </xdr:from>
    <xdr:to>
      <xdr:col>3</xdr:col>
      <xdr:colOff>562840</xdr:colOff>
      <xdr:row>26</xdr:row>
      <xdr:rowOff>52532</xdr:rowOff>
    </xdr:to>
    <mc:AlternateContent xmlns:mc="http://schemas.openxmlformats.org/markup-compatibility/2006" xmlns:a14="http://schemas.microsoft.com/office/drawing/2010/main">
      <mc:Choice Requires="a14">
        <xdr:graphicFrame macro="">
          <xdr:nvGraphicFramePr>
            <xdr:cNvPr id="46" name="Tipo Remuneração 4">
              <a:extLst>
                <a:ext uri="{FF2B5EF4-FFF2-40B4-BE49-F238E27FC236}">
                  <a16:creationId xmlns:a16="http://schemas.microsoft.com/office/drawing/2014/main" id="{00000000-0008-0000-0300-00002E000000}"/>
                </a:ext>
              </a:extLst>
            </xdr:cNvPr>
            <xdr:cNvGraphicFramePr/>
          </xdr:nvGraphicFramePr>
          <xdr:xfrm>
            <a:off x="0" y="0"/>
            <a:ext cx="0" cy="0"/>
          </xdr:xfrm>
          <a:graphic>
            <a:graphicData uri="http://schemas.microsoft.com/office/drawing/2010/slicer">
              <sle:slicer xmlns:sle="http://schemas.microsoft.com/office/drawing/2010/slicer" name="Tipo Remuneração 4"/>
            </a:graphicData>
          </a:graphic>
        </xdr:graphicFrame>
      </mc:Choice>
      <mc:Fallback xmlns="">
        <xdr:sp macro="" textlink="">
          <xdr:nvSpPr>
            <xdr:cNvPr id="0" name=""/>
            <xdr:cNvSpPr>
              <a:spLocks noTextEdit="1"/>
            </xdr:cNvSpPr>
          </xdr:nvSpPr>
          <xdr:spPr>
            <a:xfrm>
              <a:off x="171738" y="4140877"/>
              <a:ext cx="2077027" cy="864655"/>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clientData fLocksWithSheet="0"/>
  </xdr:twoCellAnchor>
  <xdr:twoCellAnchor>
    <xdr:from>
      <xdr:col>0</xdr:col>
      <xdr:colOff>147206</xdr:colOff>
      <xdr:row>25</xdr:row>
      <xdr:rowOff>181841</xdr:rowOff>
    </xdr:from>
    <xdr:to>
      <xdr:col>5</xdr:col>
      <xdr:colOff>502709</xdr:colOff>
      <xdr:row>34</xdr:row>
      <xdr:rowOff>42334</xdr:rowOff>
    </xdr:to>
    <mc:AlternateContent xmlns:mc="http://schemas.openxmlformats.org/markup-compatibility/2006" xmlns:a14="http://schemas.microsoft.com/office/drawing/2010/main">
      <mc:Choice Requires="a14">
        <xdr:graphicFrame macro="">
          <xdr:nvGraphicFramePr>
            <xdr:cNvPr id="47" name="Selecionar CAE 2">
              <a:extLst>
                <a:ext uri="{FF2B5EF4-FFF2-40B4-BE49-F238E27FC236}">
                  <a16:creationId xmlns:a16="http://schemas.microsoft.com/office/drawing/2014/main" id="{00000000-0008-0000-0300-00002F000000}"/>
                </a:ext>
              </a:extLst>
            </xdr:cNvPr>
            <xdr:cNvGraphicFramePr/>
          </xdr:nvGraphicFramePr>
          <xdr:xfrm>
            <a:off x="0" y="0"/>
            <a:ext cx="0" cy="0"/>
          </xdr:xfrm>
          <a:graphic>
            <a:graphicData uri="http://schemas.microsoft.com/office/drawing/2010/slicer">
              <sle:slicer xmlns:sle="http://schemas.microsoft.com/office/drawing/2010/slicer" name="Selecionar CAE 2"/>
            </a:graphicData>
          </a:graphic>
        </xdr:graphicFrame>
      </mc:Choice>
      <mc:Fallback xmlns="">
        <xdr:sp macro="" textlink="">
          <xdr:nvSpPr>
            <xdr:cNvPr id="0" name=""/>
            <xdr:cNvSpPr>
              <a:spLocks noTextEdit="1"/>
            </xdr:cNvSpPr>
          </xdr:nvSpPr>
          <xdr:spPr>
            <a:xfrm>
              <a:off x="147206" y="4944341"/>
              <a:ext cx="3165378" cy="1574993"/>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clientData fLocksWithSheet="0"/>
  </xdr:twoCellAnchor>
  <xdr:twoCellAnchor>
    <xdr:from>
      <xdr:col>6</xdr:col>
      <xdr:colOff>146049</xdr:colOff>
      <xdr:row>21</xdr:row>
      <xdr:rowOff>133350</xdr:rowOff>
    </xdr:from>
    <xdr:to>
      <xdr:col>22</xdr:col>
      <xdr:colOff>466725</xdr:colOff>
      <xdr:row>36</xdr:row>
      <xdr:rowOff>47625</xdr:rowOff>
    </xdr:to>
    <xdr:graphicFrame macro="">
      <xdr:nvGraphicFramePr>
        <xdr:cNvPr id="48" name="Gráfico 47">
          <a:extLst>
            <a:ext uri="{FF2B5EF4-FFF2-40B4-BE49-F238E27FC236}">
              <a16:creationId xmlns:a16="http://schemas.microsoft.com/office/drawing/2014/main" id="{00000000-0008-0000-03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xdr:colOff>
      <xdr:row>7</xdr:row>
      <xdr:rowOff>177800</xdr:rowOff>
    </xdr:from>
    <xdr:to>
      <xdr:col>7</xdr:col>
      <xdr:colOff>247650</xdr:colOff>
      <xdr:row>19</xdr:row>
      <xdr:rowOff>177894</xdr:rowOff>
    </xdr:to>
    <xdr:grpSp>
      <xdr:nvGrpSpPr>
        <xdr:cNvPr id="67" name="Agrupar 66">
          <a:extLst>
            <a:ext uri="{FF2B5EF4-FFF2-40B4-BE49-F238E27FC236}">
              <a16:creationId xmlns:a16="http://schemas.microsoft.com/office/drawing/2014/main" id="{00000000-0008-0000-0300-000043000000}"/>
            </a:ext>
          </a:extLst>
        </xdr:cNvPr>
        <xdr:cNvGrpSpPr/>
      </xdr:nvGrpSpPr>
      <xdr:grpSpPr>
        <a:xfrm>
          <a:off x="12700" y="1511300"/>
          <a:ext cx="4168775" cy="2286094"/>
          <a:chOff x="36182300" y="8426450"/>
          <a:chExt cx="4819650" cy="2597244"/>
        </a:xfrm>
      </xdr:grpSpPr>
      <xdr:graphicFrame macro="">
        <xdr:nvGraphicFramePr>
          <xdr:cNvPr id="68" name="Gráfico 67">
            <a:extLst>
              <a:ext uri="{FF2B5EF4-FFF2-40B4-BE49-F238E27FC236}">
                <a16:creationId xmlns:a16="http://schemas.microsoft.com/office/drawing/2014/main" id="{00000000-0008-0000-0300-000044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69" name="CaixaDeTexto 68">
            <a:extLst>
              <a:ext uri="{FF2B5EF4-FFF2-40B4-BE49-F238E27FC236}">
                <a16:creationId xmlns:a16="http://schemas.microsoft.com/office/drawing/2014/main" id="{00000000-0008-0000-0300-000045000000}"/>
              </a:ext>
            </a:extLst>
          </xdr:cNvPr>
          <xdr:cNvSpPr txBox="1"/>
        </xdr:nvSpPr>
        <xdr:spPr>
          <a:xfrm>
            <a:off x="39577074" y="9112250"/>
            <a:ext cx="1013632" cy="3168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Remuneração Base</a:t>
            </a:r>
          </a:p>
        </xdr:txBody>
      </xdr:sp>
      <xdr:sp macro="" textlink="">
        <xdr:nvSpPr>
          <xdr:cNvPr id="70" name="CaixaDeTexto 69">
            <a:extLst>
              <a:ext uri="{FF2B5EF4-FFF2-40B4-BE49-F238E27FC236}">
                <a16:creationId xmlns:a16="http://schemas.microsoft.com/office/drawing/2014/main" id="{00000000-0008-0000-0300-000046000000}"/>
              </a:ext>
            </a:extLst>
          </xdr:cNvPr>
          <xdr:cNvSpPr txBox="1"/>
        </xdr:nvSpPr>
        <xdr:spPr>
          <a:xfrm>
            <a:off x="39567950" y="9956800"/>
            <a:ext cx="1013632" cy="3168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Remuneração Ganho</a:t>
            </a:r>
          </a:p>
        </xdr:txBody>
      </xdr:sp>
      <xdr:sp macro="" textlink="q22_q23_q34_q35_Fig!$BH$5">
        <xdr:nvSpPr>
          <xdr:cNvPr id="71" name="CaixaDeTexto 70">
            <a:extLst>
              <a:ext uri="{FF2B5EF4-FFF2-40B4-BE49-F238E27FC236}">
                <a16:creationId xmlns:a16="http://schemas.microsoft.com/office/drawing/2014/main" id="{00000000-0008-0000-0300-000047000000}"/>
              </a:ext>
            </a:extLst>
          </xdr:cNvPr>
          <xdr:cNvSpPr txBox="1"/>
        </xdr:nvSpPr>
        <xdr:spPr>
          <a:xfrm>
            <a:off x="39561342" y="10299700"/>
            <a:ext cx="1013632" cy="3168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B6E12D4-8965-44E4-A4D0-F1B6393578C1}" type="TxLink">
              <a:rPr lang="en-US" sz="1000" b="1" i="0" u="none" strike="noStrike">
                <a:solidFill>
                  <a:schemeClr val="bg1"/>
                </a:solidFill>
                <a:latin typeface="Arial"/>
                <a:ea typeface="+mn-ea"/>
                <a:cs typeface="Arial"/>
              </a:rPr>
              <a:pPr marL="0" indent="0" algn="ctr"/>
              <a:t>44,8%</a:t>
            </a:fld>
            <a:endParaRPr lang="pt-PT" sz="1000" b="1" i="0" u="none" strike="noStrike">
              <a:solidFill>
                <a:schemeClr val="bg1"/>
              </a:solidFill>
              <a:latin typeface="+mn-lt"/>
              <a:ea typeface="+mn-ea"/>
              <a:cs typeface="Arial"/>
            </a:endParaRPr>
          </a:p>
        </xdr:txBody>
      </xdr:sp>
      <xdr:sp macro="" textlink="q22_q23_q34_q35_Fig!$BH$4">
        <xdr:nvSpPr>
          <xdr:cNvPr id="72" name="CaixaDeTexto 71">
            <a:extLst>
              <a:ext uri="{FF2B5EF4-FFF2-40B4-BE49-F238E27FC236}">
                <a16:creationId xmlns:a16="http://schemas.microsoft.com/office/drawing/2014/main" id="{00000000-0008-0000-0300-000048000000}"/>
              </a:ext>
            </a:extLst>
          </xdr:cNvPr>
          <xdr:cNvSpPr txBox="1"/>
        </xdr:nvSpPr>
        <xdr:spPr>
          <a:xfrm>
            <a:off x="39574300" y="9455149"/>
            <a:ext cx="1013632" cy="316800"/>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C5434AC-5A8C-43C8-A5D7-B506D11131D2}" type="TxLink">
              <a:rPr lang="en-US" sz="1000" b="1" i="0" u="none" strike="noStrike">
                <a:solidFill>
                  <a:schemeClr val="bg1"/>
                </a:solidFill>
                <a:latin typeface="Arial"/>
                <a:cs typeface="Arial"/>
              </a:rPr>
              <a:pPr algn="ctr"/>
              <a:t>43,9%</a:t>
            </a:fld>
            <a:endParaRPr lang="pt-PT" sz="1000" b="1">
              <a:solidFill>
                <a:schemeClr val="bg1"/>
              </a:solidFill>
              <a:latin typeface="+mn-lt"/>
            </a:endParaRPr>
          </a:p>
        </xdr:txBody>
      </xdr:sp>
    </xdr:grpSp>
    <xdr:clientData/>
  </xdr:twoCellAnchor>
  <xdr:twoCellAnchor>
    <xdr:from>
      <xdr:col>10</xdr:col>
      <xdr:colOff>228600</xdr:colOff>
      <xdr:row>4</xdr:row>
      <xdr:rowOff>85725</xdr:rowOff>
    </xdr:from>
    <xdr:to>
      <xdr:col>22</xdr:col>
      <xdr:colOff>523874</xdr:colOff>
      <xdr:row>20</xdr:row>
      <xdr:rowOff>9525</xdr:rowOff>
    </xdr:to>
    <xdr:graphicFrame macro="">
      <xdr:nvGraphicFramePr>
        <xdr:cNvPr id="31" name="Gráfico 30">
          <a:extLst>
            <a:ext uri="{FF2B5EF4-FFF2-40B4-BE49-F238E27FC236}">
              <a16:creationId xmlns:a16="http://schemas.microsoft.com/office/drawing/2014/main" id="{00000000-0008-0000-03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571503</xdr:colOff>
      <xdr:row>41</xdr:row>
      <xdr:rowOff>133350</xdr:rowOff>
    </xdr:from>
    <xdr:to>
      <xdr:col>22</xdr:col>
      <xdr:colOff>299400</xdr:colOff>
      <xdr:row>52</xdr:row>
      <xdr:rowOff>114300</xdr:rowOff>
    </xdr:to>
    <xdr:grpSp>
      <xdr:nvGrpSpPr>
        <xdr:cNvPr id="40" name="Agrupar 39">
          <a:extLst>
            <a:ext uri="{FF2B5EF4-FFF2-40B4-BE49-F238E27FC236}">
              <a16:creationId xmlns:a16="http://schemas.microsoft.com/office/drawing/2014/main" id="{00000000-0008-0000-0300-000028000000}"/>
            </a:ext>
          </a:extLst>
        </xdr:cNvPr>
        <xdr:cNvGrpSpPr/>
      </xdr:nvGrpSpPr>
      <xdr:grpSpPr>
        <a:xfrm>
          <a:off x="8382003" y="7943850"/>
          <a:ext cx="4376097" cy="2076450"/>
          <a:chOff x="45205649" y="5095875"/>
          <a:chExt cx="3000375" cy="3905250"/>
        </a:xfrm>
      </xdr:grpSpPr>
      <xdr:graphicFrame macro="">
        <xdr:nvGraphicFramePr>
          <xdr:cNvPr id="41" name="Gráfico 40">
            <a:extLst>
              <a:ext uri="{FF2B5EF4-FFF2-40B4-BE49-F238E27FC236}">
                <a16:creationId xmlns:a16="http://schemas.microsoft.com/office/drawing/2014/main" id="{00000000-0008-0000-0300-000029000000}"/>
              </a:ext>
            </a:extLst>
          </xdr:cNvPr>
          <xdr:cNvGraphicFramePr>
            <a:graphicFrameLocks/>
          </xdr:cNvGraphicFramePr>
        </xdr:nvGraphicFramePr>
        <xdr:xfrm>
          <a:off x="45205649" y="5095875"/>
          <a:ext cx="3000375" cy="3905250"/>
        </xdr:xfrm>
        <a:graphic>
          <a:graphicData uri="http://schemas.openxmlformats.org/drawingml/2006/chart">
            <c:chart xmlns:c="http://schemas.openxmlformats.org/drawingml/2006/chart" xmlns:r="http://schemas.openxmlformats.org/officeDocument/2006/relationships" r:id="rId4"/>
          </a:graphicData>
        </a:graphic>
      </xdr:graphicFrame>
      <xdr:sp macro="" textlink="q22_q23_q34_q35_Fig!$BM$26">
        <xdr:nvSpPr>
          <xdr:cNvPr id="42" name="CaixaDeTexto 41">
            <a:extLst>
              <a:ext uri="{FF2B5EF4-FFF2-40B4-BE49-F238E27FC236}">
                <a16:creationId xmlns:a16="http://schemas.microsoft.com/office/drawing/2014/main" id="{00000000-0008-0000-0300-00002A000000}"/>
              </a:ext>
            </a:extLst>
          </xdr:cNvPr>
          <xdr:cNvSpPr txBox="1"/>
        </xdr:nvSpPr>
        <xdr:spPr>
          <a:xfrm>
            <a:off x="46567157" y="5384313"/>
            <a:ext cx="468970" cy="227077"/>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D3A07DF7-A319-4AD1-8FA7-89FB3A2E76CA}"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1.383,38 €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22_q23_q34_q35_Fig!$BN$26">
        <xdr:nvSpPr>
          <xdr:cNvPr id="43" name="CaixaDeTexto 42">
            <a:extLst>
              <a:ext uri="{FF2B5EF4-FFF2-40B4-BE49-F238E27FC236}">
                <a16:creationId xmlns:a16="http://schemas.microsoft.com/office/drawing/2014/main" id="{00000000-0008-0000-0300-00002B000000}"/>
              </a:ext>
            </a:extLst>
          </xdr:cNvPr>
          <xdr:cNvSpPr txBox="1"/>
        </xdr:nvSpPr>
        <xdr:spPr>
          <a:xfrm>
            <a:off x="46567158" y="5667850"/>
            <a:ext cx="468970" cy="227077"/>
          </a:xfrm>
          <a:prstGeom prst="rect">
            <a:avLst/>
          </a:prstGeom>
          <a:solidFill>
            <a:srgbClr val="FFC000">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34CFA93-6BFE-4609-8D66-884C4CF6927C}"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1.693,55 €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22_q23_q34_q35_Fig!$BO$25">
        <xdr:nvSpPr>
          <xdr:cNvPr id="44" name="CaixaDeTexto 43">
            <a:extLst>
              <a:ext uri="{FF2B5EF4-FFF2-40B4-BE49-F238E27FC236}">
                <a16:creationId xmlns:a16="http://schemas.microsoft.com/office/drawing/2014/main" id="{00000000-0008-0000-0300-00002C000000}"/>
              </a:ext>
            </a:extLst>
          </xdr:cNvPr>
          <xdr:cNvSpPr txBox="1"/>
        </xdr:nvSpPr>
        <xdr:spPr>
          <a:xfrm>
            <a:off x="47476894" y="5384209"/>
            <a:ext cx="468970" cy="227077"/>
          </a:xfrm>
          <a:prstGeom prst="rect">
            <a:avLst/>
          </a:prstGeom>
          <a:solidFill>
            <a:srgbClr val="95B3D7">
              <a:alpha val="46667"/>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876025AA-CC5A-4A5C-B7FE-866B0947C87D}"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1.216,85 €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22_q23_q34_q35_Fig!$BP$25">
        <xdr:nvSpPr>
          <xdr:cNvPr id="45" name="CaixaDeTexto 44">
            <a:extLst>
              <a:ext uri="{FF2B5EF4-FFF2-40B4-BE49-F238E27FC236}">
                <a16:creationId xmlns:a16="http://schemas.microsoft.com/office/drawing/2014/main" id="{00000000-0008-0000-0300-00002D000000}"/>
              </a:ext>
            </a:extLst>
          </xdr:cNvPr>
          <xdr:cNvSpPr txBox="1"/>
        </xdr:nvSpPr>
        <xdr:spPr>
          <a:xfrm>
            <a:off x="47476895" y="5697785"/>
            <a:ext cx="468970" cy="227077"/>
          </a:xfrm>
          <a:prstGeom prst="rect">
            <a:avLst/>
          </a:prstGeom>
          <a:solidFill>
            <a:srgbClr val="FFEF57">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D5C8ABA-A640-4197-8539-34E9824DD12E}"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1.445,59 €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clientData/>
  </xdr:twoCellAnchor>
  <xdr:twoCellAnchor>
    <xdr:from>
      <xdr:col>0</xdr:col>
      <xdr:colOff>35447</xdr:colOff>
      <xdr:row>35</xdr:row>
      <xdr:rowOff>41822</xdr:rowOff>
    </xdr:from>
    <xdr:to>
      <xdr:col>22</xdr:col>
      <xdr:colOff>551777</xdr:colOff>
      <xdr:row>36</xdr:row>
      <xdr:rowOff>103267</xdr:rowOff>
    </xdr:to>
    <xdr:grpSp>
      <xdr:nvGrpSpPr>
        <xdr:cNvPr id="11" name="Agrupar 10">
          <a:extLst>
            <a:ext uri="{FF2B5EF4-FFF2-40B4-BE49-F238E27FC236}">
              <a16:creationId xmlns:a16="http://schemas.microsoft.com/office/drawing/2014/main" id="{00000000-0008-0000-0300-00000B000000}"/>
            </a:ext>
          </a:extLst>
        </xdr:cNvPr>
        <xdr:cNvGrpSpPr/>
      </xdr:nvGrpSpPr>
      <xdr:grpSpPr>
        <a:xfrm>
          <a:off x="35447" y="6709322"/>
          <a:ext cx="12975030" cy="251945"/>
          <a:chOff x="38100" y="6799599"/>
          <a:chExt cx="12985200" cy="305936"/>
        </a:xfrm>
      </xdr:grpSpPr>
      <xdr:grpSp>
        <xdr:nvGrpSpPr>
          <xdr:cNvPr id="24" name="Agrupar 23">
            <a:extLst>
              <a:ext uri="{FF2B5EF4-FFF2-40B4-BE49-F238E27FC236}">
                <a16:creationId xmlns:a16="http://schemas.microsoft.com/office/drawing/2014/main" id="{00000000-0008-0000-0300-000018000000}"/>
              </a:ext>
            </a:extLst>
          </xdr:cNvPr>
          <xdr:cNvGrpSpPr/>
        </xdr:nvGrpSpPr>
        <xdr:grpSpPr>
          <a:xfrm>
            <a:off x="38100" y="6799599"/>
            <a:ext cx="12985200" cy="305936"/>
            <a:chOff x="230187" y="612263"/>
            <a:chExt cx="5846763" cy="498987"/>
          </a:xfrm>
        </xdr:grpSpPr>
        <xdr:sp macro="" textlink="">
          <xdr:nvSpPr>
            <xdr:cNvPr id="25" name="Rectangle 3">
              <a:extLst>
                <a:ext uri="{FF2B5EF4-FFF2-40B4-BE49-F238E27FC236}">
                  <a16:creationId xmlns:a16="http://schemas.microsoft.com/office/drawing/2014/main" id="{00000000-0008-0000-0300-000019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26" name="Text Box 10">
              <a:extLst>
                <a:ext uri="{FF2B5EF4-FFF2-40B4-BE49-F238E27FC236}">
                  <a16:creationId xmlns:a16="http://schemas.microsoft.com/office/drawing/2014/main" id="{00000000-0008-0000-0300-00001A000000}"/>
                </a:ext>
              </a:extLst>
            </xdr:cNvPr>
            <xdr:cNvSpPr txBox="1">
              <a:spLocks noChangeArrowheads="1"/>
            </xdr:cNvSpPr>
          </xdr:nvSpPr>
          <xdr:spPr bwMode="auto">
            <a:xfrm>
              <a:off x="264330" y="612263"/>
              <a:ext cx="982294" cy="412630"/>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 Por Dimensão do</a:t>
              </a:r>
              <a:r>
                <a:rPr lang="en-US" altLang="pt-PT" sz="1000" b="1" baseline="0">
                  <a:solidFill>
                    <a:srgbClr val="00467A"/>
                  </a:solidFill>
                  <a:latin typeface="+mn-lt"/>
                </a:rPr>
                <a:t> estabelecimento</a:t>
              </a:r>
              <a:endParaRPr lang="en-US" altLang="pt-PT" sz="1000" b="1">
                <a:solidFill>
                  <a:srgbClr val="00467A"/>
                </a:solidFill>
                <a:latin typeface="+mn-lt"/>
              </a:endParaRPr>
            </a:p>
          </xdr:txBody>
        </xdr:sp>
      </xdr:grpSp>
      <xdr:grpSp>
        <xdr:nvGrpSpPr>
          <xdr:cNvPr id="7" name="Agrupar 6">
            <a:extLst>
              <a:ext uri="{FF2B5EF4-FFF2-40B4-BE49-F238E27FC236}">
                <a16:creationId xmlns:a16="http://schemas.microsoft.com/office/drawing/2014/main" id="{00000000-0008-0000-0300-000007000000}"/>
              </a:ext>
            </a:extLst>
          </xdr:cNvPr>
          <xdr:cNvGrpSpPr/>
        </xdr:nvGrpSpPr>
        <xdr:grpSpPr>
          <a:xfrm>
            <a:off x="9144000" y="6829425"/>
            <a:ext cx="1904995" cy="257173"/>
            <a:chOff x="8172450" y="10477500"/>
            <a:chExt cx="1904995" cy="257173"/>
          </a:xfrm>
        </xdr:grpSpPr>
        <xdr:sp macro="" textlink="">
          <xdr:nvSpPr>
            <xdr:cNvPr id="55" name="Text Box 10">
              <a:extLst>
                <a:ext uri="{FF2B5EF4-FFF2-40B4-BE49-F238E27FC236}">
                  <a16:creationId xmlns:a16="http://schemas.microsoft.com/office/drawing/2014/main" id="{00000000-0008-0000-0300-000037000000}"/>
                </a:ext>
              </a:extLst>
            </xdr:cNvPr>
            <xdr:cNvSpPr txBox="1">
              <a:spLocks noChangeArrowheads="1"/>
            </xdr:cNvSpPr>
          </xdr:nvSpPr>
          <xdr:spPr bwMode="auto">
            <a:xfrm>
              <a:off x="8172450" y="10477500"/>
              <a:ext cx="1065693" cy="251966"/>
            </a:xfrm>
            <a:prstGeom prst="rect">
              <a:avLst/>
            </a:prstGeom>
            <a:solidFill>
              <a:srgbClr val="FFE600"/>
            </a:solidFill>
            <a:ln w="9525">
              <a:solidFill>
                <a:srgbClr val="000000"/>
              </a:solidFill>
              <a:miter lim="800000"/>
              <a:headEnd/>
              <a:tailEnd/>
            </a:ln>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tx2">
                      <a:lumMod val="75000"/>
                    </a:schemeClr>
                  </a:solidFill>
                  <a:latin typeface="+mn-lt"/>
                </a:rPr>
                <a:t>Selecione o ano:</a:t>
              </a:r>
              <a:endParaRPr lang="en-US" altLang="pt-PT" sz="1200" b="1">
                <a:solidFill>
                  <a:schemeClr val="tx2">
                    <a:lumMod val="75000"/>
                  </a:schemeClr>
                </a:solidFill>
                <a:latin typeface="Arial" charset="0"/>
              </a:endParaRPr>
            </a:p>
          </xdr:txBody>
        </xdr:sp>
        <mc:AlternateContent xmlns:mc="http://schemas.openxmlformats.org/markup-compatibility/2006">
          <mc:Choice xmlns:a14="http://schemas.microsoft.com/office/drawing/2010/main" Requires="a14">
            <xdr:sp macro="" textlink="">
              <xdr:nvSpPr>
                <xdr:cNvPr id="8194" name="Drop Down 2" hidden="1">
                  <a:extLst>
                    <a:ext uri="{63B3BB69-23CF-44E3-9099-C40C66FF867C}">
                      <a14:compatExt spid="_x0000_s8194"/>
                    </a:ext>
                    <a:ext uri="{FF2B5EF4-FFF2-40B4-BE49-F238E27FC236}">
                      <a16:creationId xmlns:a16="http://schemas.microsoft.com/office/drawing/2014/main" id="{00000000-0008-0000-0300-000002200000}"/>
                    </a:ext>
                  </a:extLst>
                </xdr:cNvPr>
                <xdr:cNvSpPr/>
              </xdr:nvSpPr>
              <xdr:spPr bwMode="auto">
                <a:xfrm>
                  <a:off x="9267820" y="10487024"/>
                  <a:ext cx="809625" cy="247649"/>
                </a:xfrm>
                <a:prstGeom prst="rect">
                  <a:avLst/>
                </a:prstGeom>
                <a:noFill/>
                <a:ln>
                  <a:noFill/>
                </a:ln>
                <a:extLst>
                  <a:ext uri="{91240B29-F687-4F45-9708-019B960494DF}">
                    <a14:hiddenLine w="9525">
                      <a:noFill/>
                      <a:miter lim="800000"/>
                      <a:headEnd/>
                      <a:tailEnd/>
                    </a14:hiddenLine>
                  </a:ext>
                </a:extLst>
              </xdr:spPr>
            </xdr:sp>
          </mc:Choice>
          <mc:Fallback/>
        </mc:AlternateContent>
      </xdr:grpSp>
    </xdr:grpSp>
    <xdr:clientData/>
  </xdr:twoCellAnchor>
  <xdr:twoCellAnchor>
    <xdr:from>
      <xdr:col>20</xdr:col>
      <xdr:colOff>565084</xdr:colOff>
      <xdr:row>0</xdr:row>
      <xdr:rowOff>146051</xdr:rowOff>
    </xdr:from>
    <xdr:to>
      <xdr:col>22</xdr:col>
      <xdr:colOff>436550</xdr:colOff>
      <xdr:row>2</xdr:row>
      <xdr:rowOff>2478</xdr:rowOff>
    </xdr:to>
    <xdr:sp macro="" textlink="">
      <xdr:nvSpPr>
        <xdr:cNvPr id="50" name="Text Box 10">
          <a:hlinkClick xmlns:r="http://schemas.openxmlformats.org/officeDocument/2006/relationships" r:id="rId5"/>
          <a:extLst>
            <a:ext uri="{FF2B5EF4-FFF2-40B4-BE49-F238E27FC236}">
              <a16:creationId xmlns:a16="http://schemas.microsoft.com/office/drawing/2014/main" id="{00000000-0008-0000-0300-000032000000}"/>
            </a:ext>
          </a:extLst>
        </xdr:cNvPr>
        <xdr:cNvSpPr txBox="1">
          <a:spLocks noChangeArrowheads="1"/>
        </xdr:cNvSpPr>
      </xdr:nvSpPr>
      <xdr:spPr bwMode="auto">
        <a:xfrm>
          <a:off x="11861734" y="146051"/>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twoCellAnchor>
    <xdr:from>
      <xdr:col>15</xdr:col>
      <xdr:colOff>38618</xdr:colOff>
      <xdr:row>36</xdr:row>
      <xdr:rowOff>151345</xdr:rowOff>
    </xdr:from>
    <xdr:to>
      <xdr:col>22</xdr:col>
      <xdr:colOff>505343</xdr:colOff>
      <xdr:row>41</xdr:row>
      <xdr:rowOff>30937</xdr:rowOff>
    </xdr:to>
    <xdr:grpSp>
      <xdr:nvGrpSpPr>
        <xdr:cNvPr id="16" name="Agrupar 15">
          <a:extLst>
            <a:ext uri="{FF2B5EF4-FFF2-40B4-BE49-F238E27FC236}">
              <a16:creationId xmlns:a16="http://schemas.microsoft.com/office/drawing/2014/main" id="{00000000-0008-0000-0300-000010000000}"/>
            </a:ext>
          </a:extLst>
        </xdr:cNvPr>
        <xdr:cNvGrpSpPr/>
      </xdr:nvGrpSpPr>
      <xdr:grpSpPr>
        <a:xfrm>
          <a:off x="8430143" y="7009345"/>
          <a:ext cx="4533900" cy="832092"/>
          <a:chOff x="8430143" y="7009345"/>
          <a:chExt cx="4533900" cy="832092"/>
        </a:xfrm>
      </xdr:grpSpPr>
      <xdr:sp macro="" textlink="q22_q23_q34_q35_Fig!$BZ$37">
        <xdr:nvSpPr>
          <xdr:cNvPr id="49" name="CaixaDeTexto 48">
            <a:extLst>
              <a:ext uri="{FF2B5EF4-FFF2-40B4-BE49-F238E27FC236}">
                <a16:creationId xmlns:a16="http://schemas.microsoft.com/office/drawing/2014/main" id="{00000000-0008-0000-0300-000031000000}"/>
              </a:ext>
            </a:extLst>
          </xdr:cNvPr>
          <xdr:cNvSpPr txBox="1"/>
        </xdr:nvSpPr>
        <xdr:spPr>
          <a:xfrm>
            <a:off x="8430143" y="7204237"/>
            <a:ext cx="4533900" cy="637200"/>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5AA5EC0D-310F-45B7-8569-D357C6298D02}" type="TxLink">
              <a:rPr kumimoji="0" lang="en-US" sz="800" b="0" i="0" u="none" strike="noStrike" kern="0" cap="none" spc="0" normalizeH="0" baseline="0" noProof="0">
                <a:ln>
                  <a:noFill/>
                </a:ln>
                <a:solidFill>
                  <a:srgbClr val="000000"/>
                </a:solidFill>
                <a:effectLst/>
                <a:uLnTx/>
                <a:uFillTx/>
                <a:latin typeface="+mn-lt"/>
                <a:ea typeface="+mn-ea"/>
                <a:cs typeface="Arial"/>
              </a:rPr>
              <a:pPr marL="0" marR="0" lvl="0" indent="0" algn="l" defTabSz="914400" eaLnBrk="1" fontAlgn="auto" latinLnBrk="0" hangingPunct="1">
                <a:lnSpc>
                  <a:spcPct val="100000"/>
                </a:lnSpc>
                <a:spcBef>
                  <a:spcPts val="0"/>
                </a:spcBef>
                <a:spcAft>
                  <a:spcPts val="0"/>
                </a:spcAft>
                <a:buClrTx/>
                <a:buSzTx/>
                <a:buFontTx/>
                <a:buNone/>
                <a:tabLst/>
                <a:defRPr/>
              </a:pPr>
              <a:t>Remunerações - 2024:
Base Mulheres = 88,0% da dos Homens (H), entre 85,8% da dos H (Grandes) e 92,3% da dos H (Micro).
Ganho Mulheres = 85,4% da dos H, entre 83,4% da dos H (Médios) e 91,8% da dos H (Micro).</a:t>
            </a:fld>
            <a:endParaRPr kumimoji="0" lang="pt-PT" sz="800" b="1" i="0" u="none" strike="noStrike" kern="0" cap="none" spc="0" normalizeH="0" baseline="0" noProof="0">
              <a:ln>
                <a:noFill/>
              </a:ln>
              <a:solidFill>
                <a:prstClr val="black"/>
              </a:solidFill>
              <a:effectLst/>
              <a:uLnTx/>
              <a:uFillTx/>
              <a:latin typeface="+mn-lt"/>
              <a:ea typeface="+mn-ea"/>
              <a:cs typeface="+mn-cs"/>
            </a:endParaRPr>
          </a:p>
        </xdr:txBody>
      </xdr:sp>
      <xdr:sp macro="" textlink="">
        <xdr:nvSpPr>
          <xdr:cNvPr id="53" name="CaixaDeTexto 52">
            <a:extLst>
              <a:ext uri="{FF2B5EF4-FFF2-40B4-BE49-F238E27FC236}">
                <a16:creationId xmlns:a16="http://schemas.microsoft.com/office/drawing/2014/main" id="{00000000-0008-0000-0300-000035000000}"/>
              </a:ext>
            </a:extLst>
          </xdr:cNvPr>
          <xdr:cNvSpPr txBox="1"/>
        </xdr:nvSpPr>
        <xdr:spPr>
          <a:xfrm>
            <a:off x="9874250" y="7009345"/>
            <a:ext cx="1981199"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...por Dimensão e Sexo</a:t>
            </a:r>
          </a:p>
        </xdr:txBody>
      </xdr:sp>
    </xdr:grpSp>
    <xdr:clientData/>
  </xdr:twoCellAnchor>
  <xdr:twoCellAnchor>
    <xdr:from>
      <xdr:col>7</xdr:col>
      <xdr:colOff>219075</xdr:colOff>
      <xdr:row>5</xdr:row>
      <xdr:rowOff>133350</xdr:rowOff>
    </xdr:from>
    <xdr:to>
      <xdr:col>10</xdr:col>
      <xdr:colOff>238125</xdr:colOff>
      <xdr:row>17</xdr:row>
      <xdr:rowOff>19049</xdr:rowOff>
    </xdr:to>
    <xdr:grpSp>
      <xdr:nvGrpSpPr>
        <xdr:cNvPr id="13" name="Agrupar 12">
          <a:extLst>
            <a:ext uri="{FF2B5EF4-FFF2-40B4-BE49-F238E27FC236}">
              <a16:creationId xmlns:a16="http://schemas.microsoft.com/office/drawing/2014/main" id="{00000000-0008-0000-0300-00000D000000}"/>
            </a:ext>
          </a:extLst>
        </xdr:cNvPr>
        <xdr:cNvGrpSpPr/>
      </xdr:nvGrpSpPr>
      <xdr:grpSpPr>
        <a:xfrm>
          <a:off x="4152900" y="1085850"/>
          <a:ext cx="1704975" cy="2171699"/>
          <a:chOff x="4191000" y="1362075"/>
          <a:chExt cx="1704975" cy="1943099"/>
        </a:xfrm>
      </xdr:grpSpPr>
      <mc:AlternateContent xmlns:mc="http://schemas.openxmlformats.org/markup-compatibility/2006" xmlns:a14="http://schemas.microsoft.com/office/drawing/2010/main">
        <mc:Choice Requires="a14">
          <xdr:graphicFrame macro="">
            <xdr:nvGraphicFramePr>
              <xdr:cNvPr id="32" name="Tipo de remuneração 1">
                <a:extLst>
                  <a:ext uri="{FF2B5EF4-FFF2-40B4-BE49-F238E27FC236}">
                    <a16:creationId xmlns:a16="http://schemas.microsoft.com/office/drawing/2014/main" id="{00000000-0008-0000-0300-000020000000}"/>
                  </a:ext>
                </a:extLst>
              </xdr:cNvPr>
              <xdr:cNvGraphicFramePr/>
            </xdr:nvGraphicFramePr>
            <xdr:xfrm>
              <a:off x="4191000" y="1362075"/>
              <a:ext cx="1704975" cy="838200"/>
            </xdr:xfrm>
            <a:graphic>
              <a:graphicData uri="http://schemas.microsoft.com/office/drawing/2010/slicer">
                <sle:slicer xmlns:sle="http://schemas.microsoft.com/office/drawing/2010/slicer" name="Tipo de remuneração 1"/>
              </a:graphicData>
            </a:graphic>
          </xdr:graphicFrame>
        </mc:Choice>
        <mc:Fallback xmlns="">
          <xdr:sp macro="" textlink="">
            <xdr:nvSpPr>
              <xdr:cNvPr id="0" name=""/>
              <xdr:cNvSpPr>
                <a:spLocks noTextEdit="1"/>
              </xdr:cNvSpPr>
            </xdr:nvSpPr>
            <xdr:spPr>
              <a:xfrm>
                <a:off x="4152900" y="1085850"/>
                <a:ext cx="1704975" cy="936812"/>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mc:AlternateContent xmlns:mc="http://schemas.openxmlformats.org/markup-compatibility/2006" xmlns:a14="http://schemas.microsoft.com/office/drawing/2010/main">
        <mc:Choice Requires="a14">
          <xdr:graphicFrame macro="">
            <xdr:nvGraphicFramePr>
              <xdr:cNvPr id="54" name="Sexo 2">
                <a:extLst>
                  <a:ext uri="{FF2B5EF4-FFF2-40B4-BE49-F238E27FC236}">
                    <a16:creationId xmlns:a16="http://schemas.microsoft.com/office/drawing/2014/main" id="{00000000-0008-0000-0300-000036000000}"/>
                  </a:ext>
                </a:extLst>
              </xdr:cNvPr>
              <xdr:cNvGraphicFramePr/>
            </xdr:nvGraphicFramePr>
            <xdr:xfrm>
              <a:off x="4191000" y="2171699"/>
              <a:ext cx="1685925" cy="1133475"/>
            </xdr:xfrm>
            <a:graphic>
              <a:graphicData uri="http://schemas.microsoft.com/office/drawing/2010/slicer">
                <sle:slicer xmlns:sle="http://schemas.microsoft.com/office/drawing/2010/slicer" name="Sexo 2"/>
              </a:graphicData>
            </a:graphic>
          </xdr:graphicFrame>
        </mc:Choice>
        <mc:Fallback xmlns="">
          <xdr:sp macro="" textlink="">
            <xdr:nvSpPr>
              <xdr:cNvPr id="0" name=""/>
              <xdr:cNvSpPr>
                <a:spLocks noTextEdit="1"/>
              </xdr:cNvSpPr>
            </xdr:nvSpPr>
            <xdr:spPr>
              <a:xfrm>
                <a:off x="4152900" y="1990724"/>
                <a:ext cx="1685925" cy="1266825"/>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grpSp>
    <xdr:clientData fLocksWithSheet="0"/>
  </xdr:twoCellAnchor>
  <xdr:twoCellAnchor>
    <xdr:from>
      <xdr:col>0</xdr:col>
      <xdr:colOff>345722</xdr:colOff>
      <xdr:row>40</xdr:row>
      <xdr:rowOff>169333</xdr:rowOff>
    </xdr:from>
    <xdr:to>
      <xdr:col>13</xdr:col>
      <xdr:colOff>323715</xdr:colOff>
      <xdr:row>51</xdr:row>
      <xdr:rowOff>140459</xdr:rowOff>
    </xdr:to>
    <xdr:grpSp>
      <xdr:nvGrpSpPr>
        <xdr:cNvPr id="51" name="Agrupar 50">
          <a:extLst>
            <a:ext uri="{FF2B5EF4-FFF2-40B4-BE49-F238E27FC236}">
              <a16:creationId xmlns:a16="http://schemas.microsoft.com/office/drawing/2014/main" id="{00000000-0008-0000-0300-000033000000}"/>
            </a:ext>
          </a:extLst>
        </xdr:cNvPr>
        <xdr:cNvGrpSpPr/>
      </xdr:nvGrpSpPr>
      <xdr:grpSpPr>
        <a:xfrm>
          <a:off x="345722" y="7789333"/>
          <a:ext cx="7207468" cy="2066626"/>
          <a:chOff x="20056474" y="10299703"/>
          <a:chExt cx="8510403" cy="2749548"/>
        </a:xfrm>
      </xdr:grpSpPr>
      <xdr:graphicFrame macro="">
        <xdr:nvGraphicFramePr>
          <xdr:cNvPr id="58" name="Gráfico 57">
            <a:extLst>
              <a:ext uri="{FF2B5EF4-FFF2-40B4-BE49-F238E27FC236}">
                <a16:creationId xmlns:a16="http://schemas.microsoft.com/office/drawing/2014/main" id="{00000000-0008-0000-0300-00003A000000}"/>
              </a:ext>
            </a:extLst>
          </xdr:cNvPr>
          <xdr:cNvGraphicFramePr/>
        </xdr:nvGraphicFramePr>
        <xdr:xfrm>
          <a:off x="20056474" y="10299703"/>
          <a:ext cx="4571998" cy="274320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59" name="Gráfico 58">
            <a:extLst>
              <a:ext uri="{FF2B5EF4-FFF2-40B4-BE49-F238E27FC236}">
                <a16:creationId xmlns:a16="http://schemas.microsoft.com/office/drawing/2014/main" id="{00000000-0008-0000-0300-00003B000000}"/>
              </a:ext>
            </a:extLst>
          </xdr:cNvPr>
          <xdr:cNvGraphicFramePr>
            <a:graphicFrameLocks/>
          </xdr:cNvGraphicFramePr>
        </xdr:nvGraphicFramePr>
        <xdr:xfrm>
          <a:off x="24428449" y="10306051"/>
          <a:ext cx="4138428" cy="274320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331611</xdr:colOff>
      <xdr:row>36</xdr:row>
      <xdr:rowOff>109846</xdr:rowOff>
    </xdr:from>
    <xdr:to>
      <xdr:col>6</xdr:col>
      <xdr:colOff>424311</xdr:colOff>
      <xdr:row>41</xdr:row>
      <xdr:rowOff>134389</xdr:rowOff>
    </xdr:to>
    <xdr:grpSp>
      <xdr:nvGrpSpPr>
        <xdr:cNvPr id="5" name="Agrupar 4">
          <a:extLst>
            <a:ext uri="{FF2B5EF4-FFF2-40B4-BE49-F238E27FC236}">
              <a16:creationId xmlns:a16="http://schemas.microsoft.com/office/drawing/2014/main" id="{00000000-0008-0000-0300-000005000000}"/>
            </a:ext>
          </a:extLst>
        </xdr:cNvPr>
        <xdr:cNvGrpSpPr/>
      </xdr:nvGrpSpPr>
      <xdr:grpSpPr>
        <a:xfrm>
          <a:off x="331611" y="6967846"/>
          <a:ext cx="3464550" cy="977043"/>
          <a:chOff x="331611" y="6967846"/>
          <a:chExt cx="3464550" cy="977043"/>
        </a:xfrm>
      </xdr:grpSpPr>
      <xdr:sp macro="" textlink="">
        <xdr:nvSpPr>
          <xdr:cNvPr id="12" name="CaixaDeTexto 11">
            <a:extLst>
              <a:ext uri="{FF2B5EF4-FFF2-40B4-BE49-F238E27FC236}">
                <a16:creationId xmlns:a16="http://schemas.microsoft.com/office/drawing/2014/main" id="{00000000-0008-0000-0300-00000C000000}"/>
              </a:ext>
            </a:extLst>
          </xdr:cNvPr>
          <xdr:cNvSpPr txBox="1"/>
        </xdr:nvSpPr>
        <xdr:spPr>
          <a:xfrm>
            <a:off x="1035660" y="6967846"/>
            <a:ext cx="1952624" cy="27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Remuneração média mensal base</a:t>
            </a:r>
          </a:p>
        </xdr:txBody>
      </xdr:sp>
      <xdr:sp macro="" textlink="">
        <xdr:nvSpPr>
          <xdr:cNvPr id="60" name="CaixaDeTexto 59">
            <a:extLst>
              <a:ext uri="{FF2B5EF4-FFF2-40B4-BE49-F238E27FC236}">
                <a16:creationId xmlns:a16="http://schemas.microsoft.com/office/drawing/2014/main" id="{00000000-0008-0000-0300-00003C000000}"/>
              </a:ext>
            </a:extLst>
          </xdr:cNvPr>
          <xdr:cNvSpPr txBox="1"/>
        </xdr:nvSpPr>
        <xdr:spPr>
          <a:xfrm>
            <a:off x="331611" y="7224889"/>
            <a:ext cx="3464550" cy="720000"/>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prstClr val="black"/>
                </a:solidFill>
                <a:effectLst/>
                <a:uLnTx/>
                <a:uFillTx/>
                <a:latin typeface="+mn-lt"/>
                <a:ea typeface="+mn-ea"/>
                <a:cs typeface="+mn-cs"/>
              </a:rPr>
              <a:t>2024</a:t>
            </a:r>
            <a:r>
              <a:rPr kumimoji="0" lang="en-US" sz="800" b="1" i="0" u="none" strike="noStrike" kern="0" cap="none" spc="0" normalizeH="0" baseline="0" noProof="0">
                <a:ln>
                  <a:noFill/>
                </a:ln>
                <a:solidFill>
                  <a:prstClr val="black"/>
                </a:solidFill>
                <a:effectLst/>
                <a:uLnTx/>
                <a:uFillTx/>
                <a:latin typeface="+mn-lt"/>
                <a:ea typeface="+mn-ea"/>
                <a:cs typeface="+mn-cs"/>
              </a:rPr>
              <a:t>:</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sysClr val="windowText" lastClr="000000"/>
                </a:solidFill>
                <a:effectLst/>
                <a:uLnTx/>
                <a:uFillTx/>
                <a:latin typeface="+mn-lt"/>
                <a:ea typeface="+mn-ea"/>
                <a:cs typeface="+mn-cs"/>
              </a:rPr>
              <a:t>Entre 1.080 € (Micro - 1 a 9 pessoas) e 1.591 € (Grandes - 250 e + pessoas)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1" i="0" u="sng" strike="noStrike" kern="0" cap="none" spc="0" normalizeH="0" baseline="0" noProof="0">
                <a:ln>
                  <a:noFill/>
                </a:ln>
                <a:solidFill>
                  <a:sysClr val="windowText" lastClr="000000"/>
                </a:solidFill>
                <a:effectLst/>
                <a:uLnTx/>
                <a:uFillTx/>
                <a:latin typeface="+mn-lt"/>
                <a:ea typeface="+mn-ea"/>
                <a:cs typeface="+mn-cs"/>
              </a:rPr>
              <a:t>2024 vs 2014</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prstClr val="black"/>
                </a:solidFill>
                <a:effectLst/>
                <a:uLnTx/>
                <a:uFillTx/>
                <a:latin typeface="+mn-lt"/>
                <a:ea typeface="+mn-ea"/>
                <a:cs typeface="+mn-cs"/>
              </a:rPr>
              <a:t>Variações entre 36% (Médios - 50 a 249 pessoas) e 47% (Grandes - 250 e + pessoas)</a:t>
            </a:r>
          </a:p>
        </xdr:txBody>
      </xdr:sp>
    </xdr:grpSp>
    <xdr:clientData/>
  </xdr:twoCellAnchor>
  <xdr:twoCellAnchor>
    <xdr:from>
      <xdr:col>7</xdr:col>
      <xdr:colOff>152400</xdr:colOff>
      <xdr:row>36</xdr:row>
      <xdr:rowOff>126779</xdr:rowOff>
    </xdr:from>
    <xdr:to>
      <xdr:col>13</xdr:col>
      <xdr:colOff>492750</xdr:colOff>
      <xdr:row>41</xdr:row>
      <xdr:rowOff>84191</xdr:rowOff>
    </xdr:to>
    <xdr:grpSp>
      <xdr:nvGrpSpPr>
        <xdr:cNvPr id="14" name="Agrupar 13">
          <a:extLst>
            <a:ext uri="{FF2B5EF4-FFF2-40B4-BE49-F238E27FC236}">
              <a16:creationId xmlns:a16="http://schemas.microsoft.com/office/drawing/2014/main" id="{00000000-0008-0000-0300-00000E000000}"/>
            </a:ext>
          </a:extLst>
        </xdr:cNvPr>
        <xdr:cNvGrpSpPr/>
      </xdr:nvGrpSpPr>
      <xdr:grpSpPr>
        <a:xfrm>
          <a:off x="4086225" y="6984779"/>
          <a:ext cx="3636000" cy="909912"/>
          <a:chOff x="4086225" y="6984779"/>
          <a:chExt cx="3636000" cy="909912"/>
        </a:xfrm>
      </xdr:grpSpPr>
      <xdr:sp macro="" textlink="">
        <xdr:nvSpPr>
          <xdr:cNvPr id="52" name="CaixaDeTexto 51">
            <a:extLst>
              <a:ext uri="{FF2B5EF4-FFF2-40B4-BE49-F238E27FC236}">
                <a16:creationId xmlns:a16="http://schemas.microsoft.com/office/drawing/2014/main" id="{00000000-0008-0000-0300-000034000000}"/>
              </a:ext>
            </a:extLst>
          </xdr:cNvPr>
          <xdr:cNvSpPr txBox="1"/>
        </xdr:nvSpPr>
        <xdr:spPr>
          <a:xfrm>
            <a:off x="5153923" y="6984779"/>
            <a:ext cx="1952624" cy="27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Remuneração média mensal ganho</a:t>
            </a:r>
          </a:p>
        </xdr:txBody>
      </xdr:sp>
      <xdr:sp macro="" textlink="">
        <xdr:nvSpPr>
          <xdr:cNvPr id="61" name="CaixaDeTexto 60">
            <a:extLst>
              <a:ext uri="{FF2B5EF4-FFF2-40B4-BE49-F238E27FC236}">
                <a16:creationId xmlns:a16="http://schemas.microsoft.com/office/drawing/2014/main" id="{00000000-0008-0000-0300-00003D000000}"/>
              </a:ext>
            </a:extLst>
          </xdr:cNvPr>
          <xdr:cNvSpPr txBox="1"/>
        </xdr:nvSpPr>
        <xdr:spPr>
          <a:xfrm>
            <a:off x="4086225" y="7224891"/>
            <a:ext cx="3636000" cy="669800"/>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prstClr val="black"/>
                </a:solidFill>
                <a:effectLst/>
                <a:uLnTx/>
                <a:uFillTx/>
                <a:latin typeface="+mn-lt"/>
                <a:ea typeface="+mn-ea"/>
                <a:cs typeface="+mn-cs"/>
              </a:rPr>
              <a:t>2024</a:t>
            </a:r>
            <a:r>
              <a:rPr kumimoji="0" lang="en-US" sz="800" b="1" i="0" u="none" strike="noStrike" kern="0" cap="none" spc="0" normalizeH="0" baseline="0" noProof="0">
                <a:ln>
                  <a:noFill/>
                </a:ln>
                <a:solidFill>
                  <a:prstClr val="black"/>
                </a:solidFill>
                <a:effectLst/>
                <a:uLnTx/>
                <a:uFillTx/>
                <a:latin typeface="+mn-lt"/>
                <a:ea typeface="+mn-ea"/>
                <a:cs typeface="+mn-cs"/>
              </a:rPr>
              <a:t>:</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sysClr val="windowText" lastClr="000000"/>
                </a:solidFill>
                <a:effectLst/>
                <a:uLnTx/>
                <a:uFillTx/>
                <a:latin typeface="+mn-lt"/>
                <a:ea typeface="+mn-ea"/>
                <a:cs typeface="+mn-cs"/>
              </a:rPr>
              <a:t>Entre 1.260 € (Micro - 1 a 9 pessoas) e 1.989 € (Grandes - 250 e + pessoas)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1" i="0" u="sng" strike="noStrike" kern="0" cap="none" spc="0" normalizeH="0" baseline="0" noProof="0">
                <a:ln>
                  <a:noFill/>
                </a:ln>
                <a:solidFill>
                  <a:sysClr val="windowText" lastClr="000000"/>
                </a:solidFill>
                <a:effectLst/>
                <a:uLnTx/>
                <a:uFillTx/>
                <a:latin typeface="+mn-lt"/>
                <a:ea typeface="+mn-ea"/>
                <a:cs typeface="+mn-cs"/>
              </a:rPr>
              <a:t>2024 vs 2014</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prstClr val="black"/>
                </a:solidFill>
                <a:effectLst/>
                <a:uLnTx/>
                <a:uFillTx/>
                <a:latin typeface="+mn-lt"/>
                <a:ea typeface="+mn-ea"/>
                <a:cs typeface="+mn-cs"/>
              </a:rPr>
              <a:t>Variações entre 36% (Médios - 50 a 249 pessoas) e 48% (Grandes - 250 e + pessoas)</a:t>
            </a:r>
          </a:p>
        </xdr:txBody>
      </xdr:sp>
    </xdr:grpSp>
    <xdr:clientData/>
  </xdr:twoCellAnchor>
  <xdr:twoCellAnchor>
    <xdr:from>
      <xdr:col>0</xdr:col>
      <xdr:colOff>88900</xdr:colOff>
      <xdr:row>4</xdr:row>
      <xdr:rowOff>107950</xdr:rowOff>
    </xdr:from>
    <xdr:to>
      <xdr:col>7</xdr:col>
      <xdr:colOff>24911</xdr:colOff>
      <xdr:row>7</xdr:row>
      <xdr:rowOff>158505</xdr:rowOff>
    </xdr:to>
    <xdr:sp macro="" textlink="">
      <xdr:nvSpPr>
        <xdr:cNvPr id="56" name="CaixaDeTexto 55">
          <a:extLst>
            <a:ext uri="{FF2B5EF4-FFF2-40B4-BE49-F238E27FC236}">
              <a16:creationId xmlns:a16="http://schemas.microsoft.com/office/drawing/2014/main" id="{00000000-0008-0000-0300-000038000000}"/>
            </a:ext>
          </a:extLst>
        </xdr:cNvPr>
        <xdr:cNvSpPr txBox="1"/>
      </xdr:nvSpPr>
      <xdr:spPr>
        <a:xfrm>
          <a:off x="88900" y="844550"/>
          <a:ext cx="4069861" cy="603005"/>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en-US" sz="900" b="1" u="sng" baseline="0">
              <a:solidFill>
                <a:schemeClr val="dk1"/>
              </a:solidFill>
              <a:effectLst/>
              <a:latin typeface="+mn-lt"/>
              <a:ea typeface="+mn-ea"/>
              <a:cs typeface="+mn-cs"/>
            </a:rPr>
            <a:t>2024:</a:t>
          </a:r>
          <a:r>
            <a:rPr lang="en-US" sz="900" b="1" baseline="0">
              <a:solidFill>
                <a:schemeClr val="dk1"/>
              </a:solidFill>
              <a:effectLst/>
              <a:latin typeface="+mn-lt"/>
              <a:ea typeface="+mn-ea"/>
              <a:cs typeface="+mn-cs"/>
            </a:rPr>
            <a:t>                                                               </a:t>
          </a:r>
          <a:r>
            <a:rPr lang="en-US" sz="900" b="1" u="sng" baseline="0">
              <a:solidFill>
                <a:schemeClr val="dk1"/>
              </a:solidFill>
              <a:effectLst/>
              <a:latin typeface="+mn-lt"/>
              <a:ea typeface="+mn-ea"/>
              <a:cs typeface="+mn-cs"/>
            </a:rPr>
            <a:t>2024 vs. 20223 </a:t>
          </a:r>
          <a:endParaRPr lang="pt-PT" sz="900">
            <a:effectLst/>
          </a:endParaRPr>
        </a:p>
        <a:p>
          <a:pPr eaLnBrk="1" fontAlgn="auto" latinLnBrk="0" hangingPunct="1"/>
          <a:r>
            <a:rPr lang="en-US" sz="900" b="0" baseline="0">
              <a:solidFill>
                <a:schemeClr val="dk1"/>
              </a:solidFill>
              <a:effectLst/>
              <a:latin typeface="+mn-lt"/>
              <a:ea typeface="+mn-ea"/>
              <a:cs typeface="+mn-cs"/>
            </a:rPr>
            <a:t>1.309 € de remuneração base                    + 89 € de remuneração base  (+7,3%)</a:t>
          </a:r>
          <a:endParaRPr lang="pt-PT" sz="900">
            <a:effectLst/>
          </a:endParaRPr>
        </a:p>
        <a:p>
          <a:pPr eaLnBrk="1" fontAlgn="auto" latinLnBrk="0" hangingPunct="1"/>
          <a:r>
            <a:rPr lang="en-US" sz="900" b="0" baseline="0">
              <a:solidFill>
                <a:schemeClr val="dk1"/>
              </a:solidFill>
              <a:effectLst/>
              <a:latin typeface="+mn-lt"/>
              <a:ea typeface="+mn-ea"/>
              <a:cs typeface="+mn-cs"/>
            </a:rPr>
            <a:t>1.583 € de remuneração ganho                 + 116 € de remuneração ganho (+7,9%)</a:t>
          </a:r>
          <a:endParaRPr lang="en-US" sz="900" b="1" baseline="0">
            <a:solidFill>
              <a:schemeClr val="dk1"/>
            </a:solidFill>
            <a:effectLst/>
            <a:latin typeface="+mn-lt"/>
            <a:ea typeface="+mn-ea"/>
            <a:cs typeface="+mn-cs"/>
          </a:endParaRPr>
        </a:p>
      </xdr:txBody>
    </xdr:sp>
    <xdr:clientData/>
  </xdr:twoCellAnchor>
  <xdr:twoCellAnchor editAs="oneCell">
    <xdr:from>
      <xdr:col>0</xdr:col>
      <xdr:colOff>79021</xdr:colOff>
      <xdr:row>0</xdr:row>
      <xdr:rowOff>52822</xdr:rowOff>
    </xdr:from>
    <xdr:to>
      <xdr:col>1</xdr:col>
      <xdr:colOff>372853</xdr:colOff>
      <xdr:row>2</xdr:row>
      <xdr:rowOff>96117</xdr:rowOff>
    </xdr:to>
    <xdr:pic>
      <xdr:nvPicPr>
        <xdr:cNvPr id="57" name="Imagem 56" descr="Z:\G_EME_INFOESTAT\5_apoio_pedidos\imagens\logoDGCP_pq.png">
          <a:extLst>
            <a:ext uri="{FF2B5EF4-FFF2-40B4-BE49-F238E27FC236}">
              <a16:creationId xmlns:a16="http://schemas.microsoft.com/office/drawing/2014/main" id="{00000000-0008-0000-0300-00003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9021" y="52822"/>
          <a:ext cx="882650" cy="41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0.xml><?xml version="1.0" encoding="utf-8"?>
<xdr:wsDr xmlns:xdr="http://schemas.openxmlformats.org/drawingml/2006/spreadsheetDrawing" xmlns:a="http://schemas.openxmlformats.org/drawingml/2006/main">
  <xdr:oneCellAnchor>
    <xdr:from>
      <xdr:col>10</xdr:col>
      <xdr:colOff>171449</xdr:colOff>
      <xdr:row>0</xdr:row>
      <xdr:rowOff>304800</xdr:rowOff>
    </xdr:from>
    <xdr:ext cx="790476" cy="276190"/>
    <xdr:pic>
      <xdr:nvPicPr>
        <xdr:cNvPr id="2" name="Picture 5">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432549" y="304800"/>
          <a:ext cx="790476" cy="276190"/>
        </a:xfrm>
        <a:prstGeom prst="rect">
          <a:avLst/>
        </a:prstGeom>
        <a:noFill/>
        <a:ln w="1">
          <a:noFill/>
          <a:miter lim="800000"/>
          <a:headEnd/>
          <a:tailEnd type="none" w="med" len="med"/>
        </a:ln>
        <a:effectLst/>
      </xdr:spPr>
    </xdr:pic>
    <xdr:clientData fPrintsWithSheet="0"/>
  </xdr:oneCellAnchor>
</xdr:wsDr>
</file>

<file path=xl/drawings/drawing81.xml><?xml version="1.0" encoding="utf-8"?>
<xdr:wsDr xmlns:xdr="http://schemas.openxmlformats.org/drawingml/2006/spreadsheetDrawing" xmlns:a="http://schemas.openxmlformats.org/drawingml/2006/main">
  <xdr:oneCellAnchor>
    <xdr:from>
      <xdr:col>11</xdr:col>
      <xdr:colOff>0</xdr:colOff>
      <xdr:row>0</xdr:row>
      <xdr:rowOff>238125</xdr:rowOff>
    </xdr:from>
    <xdr:ext cx="790476" cy="276190"/>
    <xdr:pic>
      <xdr:nvPicPr>
        <xdr:cNvPr id="3" name="Picture 5">
          <a:hlinkClick xmlns:r="http://schemas.openxmlformats.org/officeDocument/2006/relationships" r:id="rId1"/>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600700" y="238125"/>
          <a:ext cx="790476" cy="276190"/>
        </a:xfrm>
        <a:prstGeom prst="rect">
          <a:avLst/>
        </a:prstGeom>
        <a:noFill/>
        <a:ln w="1">
          <a:noFill/>
          <a:miter lim="800000"/>
          <a:headEnd/>
          <a:tailEnd type="none" w="med" len="med"/>
        </a:ln>
        <a:effectLst/>
      </xdr:spPr>
    </xdr:pic>
    <xdr:clientData fPrintsWithSheet="0"/>
  </xdr:oneCellAnchor>
</xdr:wsDr>
</file>

<file path=xl/drawings/drawing82.xml><?xml version="1.0" encoding="utf-8"?>
<xdr:wsDr xmlns:xdr="http://schemas.openxmlformats.org/drawingml/2006/spreadsheetDrawing" xmlns:a="http://schemas.openxmlformats.org/drawingml/2006/main">
  <xdr:oneCellAnchor>
    <xdr:from>
      <xdr:col>10</xdr:col>
      <xdr:colOff>142874</xdr:colOff>
      <xdr:row>0</xdr:row>
      <xdr:rowOff>323850</xdr:rowOff>
    </xdr:from>
    <xdr:ext cx="790476" cy="276190"/>
    <xdr:pic>
      <xdr:nvPicPr>
        <xdr:cNvPr id="3" name="Picture 5">
          <a:hlinkClick xmlns:r="http://schemas.openxmlformats.org/officeDocument/2006/relationships" r:id="rId1"/>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324474" y="323850"/>
          <a:ext cx="790476" cy="276190"/>
        </a:xfrm>
        <a:prstGeom prst="rect">
          <a:avLst/>
        </a:prstGeom>
        <a:noFill/>
        <a:ln w="1">
          <a:noFill/>
          <a:miter lim="800000"/>
          <a:headEnd/>
          <a:tailEnd type="none" w="med" len="med"/>
        </a:ln>
        <a:effectLst/>
      </xdr:spPr>
    </xdr:pic>
    <xdr:clientData fPrintsWithSheet="0"/>
  </xdr:oneCellAnchor>
</xdr:wsDr>
</file>

<file path=xl/drawings/drawing83.xml><?xml version="1.0" encoding="utf-8"?>
<xdr:wsDr xmlns:xdr="http://schemas.openxmlformats.org/drawingml/2006/spreadsheetDrawing" xmlns:a="http://schemas.openxmlformats.org/drawingml/2006/main">
  <xdr:oneCellAnchor>
    <xdr:from>
      <xdr:col>10</xdr:col>
      <xdr:colOff>171449</xdr:colOff>
      <xdr:row>0</xdr:row>
      <xdr:rowOff>314325</xdr:rowOff>
    </xdr:from>
    <xdr:ext cx="790476" cy="276190"/>
    <xdr:pic>
      <xdr:nvPicPr>
        <xdr:cNvPr id="3" name="Picture 5">
          <a:hlinkClick xmlns:r="http://schemas.openxmlformats.org/officeDocument/2006/relationships" r:id="rId1"/>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353049" y="314325"/>
          <a:ext cx="790476" cy="276190"/>
        </a:xfrm>
        <a:prstGeom prst="rect">
          <a:avLst/>
        </a:prstGeom>
        <a:noFill/>
        <a:ln w="1">
          <a:noFill/>
          <a:miter lim="800000"/>
          <a:headEnd/>
          <a:tailEnd type="none" w="med" len="med"/>
        </a:ln>
        <a:effectLst/>
      </xdr:spPr>
    </xdr:pic>
    <xdr:clientData fPrintsWithSheet="0"/>
  </xdr:oneCellAnchor>
</xdr:wsDr>
</file>

<file path=xl/drawings/drawing84.xml><?xml version="1.0" encoding="utf-8"?>
<xdr:wsDr xmlns:xdr="http://schemas.openxmlformats.org/drawingml/2006/spreadsheetDrawing" xmlns:a="http://schemas.openxmlformats.org/drawingml/2006/main">
  <xdr:oneCellAnchor>
    <xdr:from>
      <xdr:col>10</xdr:col>
      <xdr:colOff>171449</xdr:colOff>
      <xdr:row>0</xdr:row>
      <xdr:rowOff>304800</xdr:rowOff>
    </xdr:from>
    <xdr:ext cx="790476" cy="276190"/>
    <xdr:pic>
      <xdr:nvPicPr>
        <xdr:cNvPr id="2" name="Picture 5">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603999" y="304800"/>
          <a:ext cx="790476" cy="276190"/>
        </a:xfrm>
        <a:prstGeom prst="rect">
          <a:avLst/>
        </a:prstGeom>
        <a:noFill/>
        <a:ln w="1">
          <a:noFill/>
          <a:miter lim="800000"/>
          <a:headEnd/>
          <a:tailEnd type="none" w="med" len="med"/>
        </a:ln>
        <a:effectLst/>
      </xdr:spPr>
    </xdr:pic>
    <xdr:clientData fPrintsWithSheet="0"/>
  </xdr:oneCellAnchor>
</xdr:wsDr>
</file>

<file path=xl/drawings/drawing85.xml><?xml version="1.0" encoding="utf-8"?>
<xdr:wsDr xmlns:xdr="http://schemas.openxmlformats.org/drawingml/2006/spreadsheetDrawing" xmlns:a="http://schemas.openxmlformats.org/drawingml/2006/main">
  <xdr:oneCellAnchor>
    <xdr:from>
      <xdr:col>10</xdr:col>
      <xdr:colOff>171449</xdr:colOff>
      <xdr:row>0</xdr:row>
      <xdr:rowOff>304800</xdr:rowOff>
    </xdr:from>
    <xdr:ext cx="790476" cy="276190"/>
    <xdr:pic>
      <xdr:nvPicPr>
        <xdr:cNvPr id="2" name="Picture 5">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432549" y="304800"/>
          <a:ext cx="790476" cy="276190"/>
        </a:xfrm>
        <a:prstGeom prst="rect">
          <a:avLst/>
        </a:prstGeom>
        <a:noFill/>
        <a:ln w="1">
          <a:noFill/>
          <a:miter lim="800000"/>
          <a:headEnd/>
          <a:tailEnd type="none" w="med" len="med"/>
        </a:ln>
        <a:effectLst/>
      </xdr:spPr>
    </xdr:pic>
    <xdr:clientData fPrintsWithSheet="0"/>
  </xdr:oneCellAnchor>
</xdr:wsDr>
</file>

<file path=xl/drawings/drawing86.xml><?xml version="1.0" encoding="utf-8"?>
<xdr:wsDr xmlns:xdr="http://schemas.openxmlformats.org/drawingml/2006/spreadsheetDrawing" xmlns:a="http://schemas.openxmlformats.org/drawingml/2006/main">
  <xdr:twoCellAnchor>
    <xdr:from>
      <xdr:col>6</xdr:col>
      <xdr:colOff>425450</xdr:colOff>
      <xdr:row>2</xdr:row>
      <xdr:rowOff>28575</xdr:rowOff>
    </xdr:from>
    <xdr:to>
      <xdr:col>10</xdr:col>
      <xdr:colOff>225425</xdr:colOff>
      <xdr:row>2</xdr:row>
      <xdr:rowOff>28575</xdr:rowOff>
    </xdr:to>
    <xdr:sp macro="" textlink="">
      <xdr:nvSpPr>
        <xdr:cNvPr id="2" name="Line 3">
          <a:extLst>
            <a:ext uri="{FF2B5EF4-FFF2-40B4-BE49-F238E27FC236}">
              <a16:creationId xmlns:a16="http://schemas.microsoft.com/office/drawing/2014/main" id="{00000000-0008-0000-2A00-000002000000}"/>
            </a:ext>
          </a:extLst>
        </xdr:cNvPr>
        <xdr:cNvSpPr>
          <a:spLocks noChangeShapeType="1"/>
        </xdr:cNvSpPr>
      </xdr:nvSpPr>
      <xdr:spPr bwMode="auto">
        <a:xfrm>
          <a:off x="3911600" y="409575"/>
          <a:ext cx="2124075" cy="0"/>
        </a:xfrm>
        <a:prstGeom prst="line">
          <a:avLst/>
        </a:prstGeom>
        <a:noFill/>
        <a:ln w="25400">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136525</xdr:colOff>
      <xdr:row>7</xdr:row>
      <xdr:rowOff>60325</xdr:rowOff>
    </xdr:from>
    <xdr:to>
      <xdr:col>9</xdr:col>
      <xdr:colOff>355600</xdr:colOff>
      <xdr:row>12</xdr:row>
      <xdr:rowOff>173038</xdr:rowOff>
    </xdr:to>
    <xdr:sp macro="" textlink="">
      <xdr:nvSpPr>
        <xdr:cNvPr id="3" name="Rectangle 5">
          <a:extLst>
            <a:ext uri="{FF2B5EF4-FFF2-40B4-BE49-F238E27FC236}">
              <a16:creationId xmlns:a16="http://schemas.microsoft.com/office/drawing/2014/main" id="{00000000-0008-0000-2A00-000003000000}"/>
            </a:ext>
          </a:extLst>
        </xdr:cNvPr>
        <xdr:cNvSpPr>
          <a:spLocks noChangeArrowheads="1"/>
        </xdr:cNvSpPr>
      </xdr:nvSpPr>
      <xdr:spPr bwMode="auto">
        <a:xfrm>
          <a:off x="5365750" y="1393825"/>
          <a:ext cx="219075" cy="1065213"/>
        </a:xfrm>
        <a:prstGeom prst="rect">
          <a:avLst/>
        </a:prstGeom>
        <a:solidFill>
          <a:srgbClr val="FFFF00"/>
        </a:solidFill>
        <a:ln>
          <a:noFill/>
        </a:ln>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9</xdr:col>
      <xdr:colOff>120650</xdr:colOff>
      <xdr:row>0</xdr:row>
      <xdr:rowOff>0</xdr:rowOff>
    </xdr:from>
    <xdr:to>
      <xdr:col>9</xdr:col>
      <xdr:colOff>136525</xdr:colOff>
      <xdr:row>12</xdr:row>
      <xdr:rowOff>157163</xdr:rowOff>
    </xdr:to>
    <xdr:sp macro="" textlink="">
      <xdr:nvSpPr>
        <xdr:cNvPr id="4" name="Line 6">
          <a:extLst>
            <a:ext uri="{FF2B5EF4-FFF2-40B4-BE49-F238E27FC236}">
              <a16:creationId xmlns:a16="http://schemas.microsoft.com/office/drawing/2014/main" id="{00000000-0008-0000-2A00-000004000000}"/>
            </a:ext>
          </a:extLst>
        </xdr:cNvPr>
        <xdr:cNvSpPr>
          <a:spLocks noChangeShapeType="1"/>
        </xdr:cNvSpPr>
      </xdr:nvSpPr>
      <xdr:spPr bwMode="auto">
        <a:xfrm rot="5421033" flipH="1">
          <a:off x="4136231" y="1213644"/>
          <a:ext cx="2443163" cy="15875"/>
        </a:xfrm>
        <a:prstGeom prst="line">
          <a:avLst/>
        </a:prstGeom>
        <a:noFill/>
        <a:ln w="2857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8</xdr:col>
      <xdr:colOff>325437</xdr:colOff>
      <xdr:row>7</xdr:row>
      <xdr:rowOff>57151</xdr:rowOff>
    </xdr:from>
    <xdr:to>
      <xdr:col>10</xdr:col>
      <xdr:colOff>533400</xdr:colOff>
      <xdr:row>7</xdr:row>
      <xdr:rowOff>58739</xdr:rowOff>
    </xdr:to>
    <xdr:sp macro="" textlink="">
      <xdr:nvSpPr>
        <xdr:cNvPr id="5" name="Line 7">
          <a:extLst>
            <a:ext uri="{FF2B5EF4-FFF2-40B4-BE49-F238E27FC236}">
              <a16:creationId xmlns:a16="http://schemas.microsoft.com/office/drawing/2014/main" id="{00000000-0008-0000-2A00-000005000000}"/>
            </a:ext>
          </a:extLst>
        </xdr:cNvPr>
        <xdr:cNvSpPr>
          <a:spLocks noChangeShapeType="1"/>
        </xdr:cNvSpPr>
      </xdr:nvSpPr>
      <xdr:spPr bwMode="auto">
        <a:xfrm flipV="1">
          <a:off x="4973637" y="1390651"/>
          <a:ext cx="1370013" cy="1588"/>
        </a:xfrm>
        <a:prstGeom prst="line">
          <a:avLst/>
        </a:prstGeom>
        <a:noFill/>
        <a:ln w="28575">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3</xdr:col>
      <xdr:colOff>336550</xdr:colOff>
      <xdr:row>12</xdr:row>
      <xdr:rowOff>173038</xdr:rowOff>
    </xdr:from>
    <xdr:to>
      <xdr:col>9</xdr:col>
      <xdr:colOff>355600</xdr:colOff>
      <xdr:row>12</xdr:row>
      <xdr:rowOff>173038</xdr:rowOff>
    </xdr:to>
    <xdr:sp macro="" textlink="">
      <xdr:nvSpPr>
        <xdr:cNvPr id="6" name="Line 11">
          <a:extLst>
            <a:ext uri="{FF2B5EF4-FFF2-40B4-BE49-F238E27FC236}">
              <a16:creationId xmlns:a16="http://schemas.microsoft.com/office/drawing/2014/main" id="{00000000-0008-0000-2A00-000006000000}"/>
            </a:ext>
          </a:extLst>
        </xdr:cNvPr>
        <xdr:cNvSpPr>
          <a:spLocks noChangeShapeType="1"/>
        </xdr:cNvSpPr>
      </xdr:nvSpPr>
      <xdr:spPr bwMode="auto">
        <a:xfrm>
          <a:off x="2079625" y="2459038"/>
          <a:ext cx="3505200" cy="0"/>
        </a:xfrm>
        <a:prstGeom prst="line">
          <a:avLst/>
        </a:prstGeom>
        <a:noFill/>
        <a:ln w="28575">
          <a:solidFill>
            <a:srgbClr val="FFFF00"/>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352425</xdr:colOff>
      <xdr:row>2</xdr:row>
      <xdr:rowOff>28575</xdr:rowOff>
    </xdr:from>
    <xdr:to>
      <xdr:col>9</xdr:col>
      <xdr:colOff>355600</xdr:colOff>
      <xdr:row>14</xdr:row>
      <xdr:rowOff>82550</xdr:rowOff>
    </xdr:to>
    <xdr:sp macro="" textlink="">
      <xdr:nvSpPr>
        <xdr:cNvPr id="7" name="Line 12">
          <a:extLst>
            <a:ext uri="{FF2B5EF4-FFF2-40B4-BE49-F238E27FC236}">
              <a16:creationId xmlns:a16="http://schemas.microsoft.com/office/drawing/2014/main" id="{00000000-0008-0000-2A00-000007000000}"/>
            </a:ext>
          </a:extLst>
        </xdr:cNvPr>
        <xdr:cNvSpPr>
          <a:spLocks noChangeShapeType="1"/>
        </xdr:cNvSpPr>
      </xdr:nvSpPr>
      <xdr:spPr bwMode="auto">
        <a:xfrm rot="5397016">
          <a:off x="4413250" y="1577975"/>
          <a:ext cx="2339975" cy="3175"/>
        </a:xfrm>
        <a:prstGeom prst="line">
          <a:avLst/>
        </a:prstGeom>
        <a:noFill/>
        <a:ln w="1460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0</xdr:col>
      <xdr:colOff>0</xdr:colOff>
      <xdr:row>28</xdr:row>
      <xdr:rowOff>73025</xdr:rowOff>
    </xdr:from>
    <xdr:to>
      <xdr:col>10</xdr:col>
      <xdr:colOff>536575</xdr:colOff>
      <xdr:row>32</xdr:row>
      <xdr:rowOff>46038</xdr:rowOff>
    </xdr:to>
    <xdr:sp macro="" textlink="">
      <xdr:nvSpPr>
        <xdr:cNvPr id="8" name="Rectangle 2">
          <a:extLst>
            <a:ext uri="{FF2B5EF4-FFF2-40B4-BE49-F238E27FC236}">
              <a16:creationId xmlns:a16="http://schemas.microsoft.com/office/drawing/2014/main" id="{00000000-0008-0000-2A00-000008000000}"/>
            </a:ext>
          </a:extLst>
        </xdr:cNvPr>
        <xdr:cNvSpPr>
          <a:spLocks noChangeArrowheads="1"/>
        </xdr:cNvSpPr>
      </xdr:nvSpPr>
      <xdr:spPr bwMode="auto">
        <a:xfrm>
          <a:off x="0" y="4454525"/>
          <a:ext cx="6346825" cy="735013"/>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0</xdr:col>
      <xdr:colOff>147637</xdr:colOff>
      <xdr:row>27</xdr:row>
      <xdr:rowOff>101600</xdr:rowOff>
    </xdr:from>
    <xdr:to>
      <xdr:col>5</xdr:col>
      <xdr:colOff>547687</xdr:colOff>
      <xdr:row>31</xdr:row>
      <xdr:rowOff>68263</xdr:rowOff>
    </xdr:to>
    <xdr:sp macro="" textlink="">
      <xdr:nvSpPr>
        <xdr:cNvPr id="9" name="Rectangle 3">
          <a:extLst>
            <a:ext uri="{FF2B5EF4-FFF2-40B4-BE49-F238E27FC236}">
              <a16:creationId xmlns:a16="http://schemas.microsoft.com/office/drawing/2014/main" id="{00000000-0008-0000-2A00-000009000000}"/>
            </a:ext>
          </a:extLst>
        </xdr:cNvPr>
        <xdr:cNvSpPr>
          <a:spLocks noChangeArrowheads="1"/>
        </xdr:cNvSpPr>
      </xdr:nvSpPr>
      <xdr:spPr bwMode="auto">
        <a:xfrm>
          <a:off x="147637" y="4292600"/>
          <a:ext cx="3305175" cy="728663"/>
        </a:xfrm>
        <a:prstGeom prst="rect">
          <a:avLst/>
        </a:prstGeom>
        <a:solidFill>
          <a:srgbClr val="FFE600"/>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clientData/>
  </xdr:twoCellAnchor>
  <xdr:twoCellAnchor>
    <xdr:from>
      <xdr:col>0</xdr:col>
      <xdr:colOff>158750</xdr:colOff>
      <xdr:row>28</xdr:row>
      <xdr:rowOff>147638</xdr:rowOff>
    </xdr:from>
    <xdr:to>
      <xdr:col>4</xdr:col>
      <xdr:colOff>277812</xdr:colOff>
      <xdr:row>30</xdr:row>
      <xdr:rowOff>84321</xdr:rowOff>
    </xdr:to>
    <xdr:sp macro="" textlink="">
      <xdr:nvSpPr>
        <xdr:cNvPr id="10" name="Text Box 10">
          <a:extLst>
            <a:ext uri="{FF2B5EF4-FFF2-40B4-BE49-F238E27FC236}">
              <a16:creationId xmlns:a16="http://schemas.microsoft.com/office/drawing/2014/main" id="{00000000-0008-0000-2A00-00000A000000}"/>
            </a:ext>
          </a:extLst>
        </xdr:cNvPr>
        <xdr:cNvSpPr txBox="1">
          <a:spLocks noChangeArrowheads="1"/>
        </xdr:cNvSpPr>
      </xdr:nvSpPr>
      <xdr:spPr bwMode="auto">
        <a:xfrm>
          <a:off x="158750" y="4529138"/>
          <a:ext cx="2443162" cy="317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Emprego</a:t>
          </a:r>
        </a:p>
      </xdr:txBody>
    </xdr:sp>
    <xdr:clientData/>
  </xdr:twoCellAnchor>
  <xdr:twoCellAnchor>
    <xdr:from>
      <xdr:col>10</xdr:col>
      <xdr:colOff>196850</xdr:colOff>
      <xdr:row>29</xdr:row>
      <xdr:rowOff>11113</xdr:rowOff>
    </xdr:from>
    <xdr:to>
      <xdr:col>10</xdr:col>
      <xdr:colOff>307975</xdr:colOff>
      <xdr:row>31</xdr:row>
      <xdr:rowOff>100013</xdr:rowOff>
    </xdr:to>
    <xdr:sp macro="" textlink="">
      <xdr:nvSpPr>
        <xdr:cNvPr id="11" name="WordArt 4">
          <a:extLst>
            <a:ext uri="{FF2B5EF4-FFF2-40B4-BE49-F238E27FC236}">
              <a16:creationId xmlns:a16="http://schemas.microsoft.com/office/drawing/2014/main" id="{00000000-0008-0000-2A00-00000B000000}"/>
            </a:ext>
          </a:extLst>
        </xdr:cNvPr>
        <xdr:cNvSpPr>
          <a:spLocks noChangeArrowheads="1" noChangeShapeType="1" noTextEdit="1"/>
        </xdr:cNvSpPr>
      </xdr:nvSpPr>
      <xdr:spPr bwMode="auto">
        <a:xfrm>
          <a:off x="6007100" y="4583113"/>
          <a:ext cx="111125"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clientData/>
  </xdr:twoCellAnchor>
  <xdr:twoCellAnchor>
    <xdr:from>
      <xdr:col>9</xdr:col>
      <xdr:colOff>552450</xdr:colOff>
      <xdr:row>29</xdr:row>
      <xdr:rowOff>0</xdr:rowOff>
    </xdr:from>
    <xdr:to>
      <xdr:col>10</xdr:col>
      <xdr:colOff>83025</xdr:colOff>
      <xdr:row>31</xdr:row>
      <xdr:rowOff>90600</xdr:rowOff>
    </xdr:to>
    <xdr:sp macro="" textlink="">
      <xdr:nvSpPr>
        <xdr:cNvPr id="40961" name="Text Box 1">
          <a:extLst>
            <a:ext uri="{FF2B5EF4-FFF2-40B4-BE49-F238E27FC236}">
              <a16:creationId xmlns:a16="http://schemas.microsoft.com/office/drawing/2014/main" id="{00000000-0008-0000-2A00-000001A00000}"/>
            </a:ext>
          </a:extLst>
        </xdr:cNvPr>
        <xdr:cNvSpPr txBox="1">
          <a:spLocks noChangeArrowheads="1"/>
        </xdr:cNvSpPr>
      </xdr:nvSpPr>
      <xdr:spPr bwMode="auto">
        <a:xfrm>
          <a:off x="5781675" y="4572000"/>
          <a:ext cx="111600" cy="471600"/>
        </a:xfrm>
        <a:prstGeom prst="rect">
          <a:avLst/>
        </a:prstGeom>
        <a:solidFill>
          <a:srgbClr val="00467A"/>
        </a:solidFill>
        <a:ln w="9525">
          <a:solidFill>
            <a:schemeClr val="bg1"/>
          </a:solidFill>
          <a:miter lim="800000"/>
          <a:headEnd/>
          <a:tailEnd/>
        </a:ln>
      </xdr:spPr>
      <xdr:txBody>
        <a:bodyPr vertOverflow="clip" wrap="square" lIns="27432" tIns="22860" rIns="0" bIns="0" anchor="t" upright="1"/>
        <a:lstStyle/>
        <a:p>
          <a:pPr algn="l" rtl="0">
            <a:defRPr sz="1000"/>
          </a:pPr>
          <a:endParaRPr lang="pt-PT" sz="1000" b="0" i="0" u="none" strike="noStrike" baseline="0">
            <a:solidFill>
              <a:srgbClr val="000000"/>
            </a:solidFill>
            <a:latin typeface="Arial"/>
            <a:cs typeface="Arial"/>
          </a:endParaRPr>
        </a:p>
      </xdr:txBody>
    </xdr:sp>
    <xdr:clientData/>
  </xdr:twoCellAnchor>
</xdr:wsDr>
</file>

<file path=xl/drawings/drawing87.xml><?xml version="1.0" encoding="utf-8"?>
<xdr:wsDr xmlns:xdr="http://schemas.openxmlformats.org/drawingml/2006/spreadsheetDrawing" xmlns:a="http://schemas.openxmlformats.org/drawingml/2006/main">
  <xdr:twoCellAnchor editAs="absolute">
    <xdr:from>
      <xdr:col>11</xdr:col>
      <xdr:colOff>139700</xdr:colOff>
      <xdr:row>0</xdr:row>
      <xdr:rowOff>273050</xdr:rowOff>
    </xdr:from>
    <xdr:to>
      <xdr:col>12</xdr:col>
      <xdr:colOff>438050</xdr:colOff>
      <xdr:row>2</xdr:row>
      <xdr:rowOff>38061</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677025" y="276225"/>
          <a:ext cx="800000" cy="314286"/>
        </a:xfrm>
        <a:prstGeom prst="rect">
          <a:avLst/>
        </a:prstGeom>
        <a:noFill/>
        <a:ln w="1">
          <a:noFill/>
          <a:miter lim="800000"/>
          <a:headEnd/>
          <a:tailEnd type="none" w="med" len="med"/>
        </a:ln>
        <a:effectLst/>
      </xdr:spPr>
    </xdr:pic>
    <xdr:clientData fPrintsWithSheet="0"/>
  </xdr:twoCellAnchor>
</xdr:wsDr>
</file>

<file path=xl/drawings/drawing88.xml><?xml version="1.0" encoding="utf-8"?>
<xdr:wsDr xmlns:xdr="http://schemas.openxmlformats.org/drawingml/2006/spreadsheetDrawing" xmlns:a="http://schemas.openxmlformats.org/drawingml/2006/main">
  <xdr:twoCellAnchor editAs="absolute">
    <xdr:from>
      <xdr:col>11</xdr:col>
      <xdr:colOff>193675</xdr:colOff>
      <xdr:row>0</xdr:row>
      <xdr:rowOff>282575</xdr:rowOff>
    </xdr:from>
    <xdr:to>
      <xdr:col>12</xdr:col>
      <xdr:colOff>485675</xdr:colOff>
      <xdr:row>2</xdr:row>
      <xdr:rowOff>47586</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165975" y="282575"/>
          <a:ext cx="825400" cy="317461"/>
        </a:xfrm>
        <a:prstGeom prst="rect">
          <a:avLst/>
        </a:prstGeom>
        <a:noFill/>
        <a:ln w="1">
          <a:noFill/>
          <a:miter lim="800000"/>
          <a:headEnd/>
          <a:tailEnd type="none" w="med" len="med"/>
        </a:ln>
        <a:effectLst/>
      </xdr:spPr>
    </xdr:pic>
    <xdr:clientData fPrintsWithSheet="0"/>
  </xdr:twoCellAnchor>
</xdr:wsDr>
</file>

<file path=xl/drawings/drawing89.xml><?xml version="1.0" encoding="utf-8"?>
<xdr:wsDr xmlns:xdr="http://schemas.openxmlformats.org/drawingml/2006/spreadsheetDrawing" xmlns:a="http://schemas.openxmlformats.org/drawingml/2006/main">
  <xdr:twoCellAnchor editAs="absolute">
    <xdr:from>
      <xdr:col>10</xdr:col>
      <xdr:colOff>152400</xdr:colOff>
      <xdr:row>0</xdr:row>
      <xdr:rowOff>285750</xdr:rowOff>
    </xdr:from>
    <xdr:to>
      <xdr:col>11</xdr:col>
      <xdr:colOff>450750</xdr:colOff>
      <xdr:row>2</xdr:row>
      <xdr:rowOff>50761</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838825" y="285750"/>
          <a:ext cx="800000" cy="314286"/>
        </a:xfrm>
        <a:prstGeom prst="rect">
          <a:avLst/>
        </a:prstGeom>
        <a:noFill/>
        <a:ln w="1">
          <a:noFill/>
          <a:miter lim="800000"/>
          <a:headEnd/>
          <a:tailEnd type="none" w="med" len="med"/>
        </a:ln>
        <a:effectLst/>
      </xdr:spPr>
    </xdr:pic>
    <xdr:clientData fPrintsWithSheet="0"/>
  </xdr:twoCellAnchor>
</xdr:wsDr>
</file>

<file path=xl/drawings/drawing9.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22_q23_q34_q35_Fig!$AT$3">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AFC81DC-3EC4-477D-8B43-E36C4DC9E67C}" type="TxLink">
            <a:rPr lang="en-US" sz="800" b="1" i="0" u="none" strike="noStrike">
              <a:solidFill>
                <a:schemeClr val="bg1"/>
              </a:solidFill>
              <a:latin typeface="Arial"/>
              <a:cs typeface="Arial"/>
            </a:rPr>
            <a:pPr algn="ctr"/>
            <a:t>2014</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22_q23_q34_q35_Fig!$BD$3">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A8E4F49-4FD5-4F90-859B-56F07EF8E503}" type="TxLink">
            <a:rPr lang="en-US" sz="800" b="1" i="0" u="none" strike="noStrike">
              <a:solidFill>
                <a:schemeClr val="bg1"/>
              </a:solidFill>
              <a:latin typeface="Arial"/>
              <a:cs typeface="Arial"/>
            </a:rPr>
            <a:pPr algn="ctr"/>
            <a:t>2024</a:t>
          </a:fld>
          <a:endParaRPr lang="pt-PT" sz="800" b="1">
            <a:solidFill>
              <a:schemeClr val="bg1"/>
            </a:solidFill>
          </a:endParaRPr>
        </a:p>
      </cdr:txBody>
    </cdr:sp>
  </cdr:relSizeAnchor>
  <cdr:relSizeAnchor xmlns:cdr="http://schemas.openxmlformats.org/drawingml/2006/chartDrawing">
    <cdr:from>
      <cdr:x>0.71539</cdr:x>
      <cdr:y>0.03293</cdr:y>
    </cdr:from>
    <cdr:to>
      <cdr:x>0.90894</cdr:x>
      <cdr:y>0.17431</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653375" y="-188062"/>
          <a:ext cx="367200" cy="914400"/>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1000" b="1">
              <a:solidFill>
                <a:schemeClr val="bg1"/>
              </a:solidFill>
            </a:rPr>
            <a:t>VARIAÇÃO</a:t>
          </a:r>
        </a:p>
      </cdr:txBody>
    </cdr:sp>
  </cdr:relSizeAnchor>
</c:userShapes>
</file>

<file path=xl/drawings/drawing90.xml><?xml version="1.0" encoding="utf-8"?>
<xdr:wsDr xmlns:xdr="http://schemas.openxmlformats.org/drawingml/2006/spreadsheetDrawing" xmlns:a="http://schemas.openxmlformats.org/drawingml/2006/main">
  <xdr:twoCellAnchor editAs="absolute">
    <xdr:from>
      <xdr:col>10</xdr:col>
      <xdr:colOff>171450</xdr:colOff>
      <xdr:row>0</xdr:row>
      <xdr:rowOff>266700</xdr:rowOff>
    </xdr:from>
    <xdr:to>
      <xdr:col>11</xdr:col>
      <xdr:colOff>466625</xdr:colOff>
      <xdr:row>2</xdr:row>
      <xdr:rowOff>28536</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857875" y="266700"/>
          <a:ext cx="800000" cy="314286"/>
        </a:xfrm>
        <a:prstGeom prst="rect">
          <a:avLst/>
        </a:prstGeom>
        <a:noFill/>
        <a:ln w="1">
          <a:noFill/>
          <a:miter lim="800000"/>
          <a:headEnd/>
          <a:tailEnd type="none" w="med" len="med"/>
        </a:ln>
        <a:effectLst/>
      </xdr:spPr>
    </xdr:pic>
    <xdr:clientData fPrintsWithSheet="0"/>
  </xdr:twoCellAnchor>
</xdr:wsDr>
</file>

<file path=xl/drawings/drawing91.xml><?xml version="1.0" encoding="utf-8"?>
<xdr:wsDr xmlns:xdr="http://schemas.openxmlformats.org/drawingml/2006/spreadsheetDrawing" xmlns:a="http://schemas.openxmlformats.org/drawingml/2006/main">
  <xdr:twoCellAnchor editAs="absolute">
    <xdr:from>
      <xdr:col>10</xdr:col>
      <xdr:colOff>114300</xdr:colOff>
      <xdr:row>0</xdr:row>
      <xdr:rowOff>298450</xdr:rowOff>
    </xdr:from>
    <xdr:to>
      <xdr:col>11</xdr:col>
      <xdr:colOff>409475</xdr:colOff>
      <xdr:row>2</xdr:row>
      <xdr:rowOff>60286</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565900" y="298450"/>
          <a:ext cx="822225" cy="314286"/>
        </a:xfrm>
        <a:prstGeom prst="rect">
          <a:avLst/>
        </a:prstGeom>
        <a:noFill/>
        <a:ln w="1">
          <a:noFill/>
          <a:miter lim="800000"/>
          <a:headEnd/>
          <a:tailEnd type="none" w="med" len="med"/>
        </a:ln>
        <a:effectLst/>
      </xdr:spPr>
    </xdr:pic>
    <xdr:clientData fPrintsWithSheet="0"/>
  </xdr:twoCellAnchor>
</xdr:wsDr>
</file>

<file path=xl/drawings/drawing92.xml><?xml version="1.0" encoding="utf-8"?>
<xdr:wsDr xmlns:xdr="http://schemas.openxmlformats.org/drawingml/2006/spreadsheetDrawing" xmlns:a="http://schemas.openxmlformats.org/drawingml/2006/main">
  <xdr:twoCellAnchor editAs="absolute">
    <xdr:from>
      <xdr:col>10</xdr:col>
      <xdr:colOff>228600</xdr:colOff>
      <xdr:row>0</xdr:row>
      <xdr:rowOff>304800</xdr:rowOff>
    </xdr:from>
    <xdr:to>
      <xdr:col>11</xdr:col>
      <xdr:colOff>482500</xdr:colOff>
      <xdr:row>2</xdr:row>
      <xdr:rowOff>63461</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023100" y="304800"/>
          <a:ext cx="825400" cy="317461"/>
        </a:xfrm>
        <a:prstGeom prst="rect">
          <a:avLst/>
        </a:prstGeom>
        <a:noFill/>
        <a:ln w="1">
          <a:noFill/>
          <a:miter lim="800000"/>
          <a:headEnd/>
          <a:tailEnd type="none" w="med" len="med"/>
        </a:ln>
        <a:effectLst/>
      </xdr:spPr>
    </xdr:pic>
    <xdr:clientData fPrintsWithSheet="0"/>
  </xdr:twoCellAnchor>
</xdr:wsDr>
</file>

<file path=xl/drawings/drawing93.xml><?xml version="1.0" encoding="utf-8"?>
<xdr:wsDr xmlns:xdr="http://schemas.openxmlformats.org/drawingml/2006/spreadsheetDrawing" xmlns:a="http://schemas.openxmlformats.org/drawingml/2006/main">
  <xdr:twoCellAnchor editAs="absolute">
    <xdr:from>
      <xdr:col>11</xdr:col>
      <xdr:colOff>142875</xdr:colOff>
      <xdr:row>0</xdr:row>
      <xdr:rowOff>304800</xdr:rowOff>
    </xdr:from>
    <xdr:to>
      <xdr:col>12</xdr:col>
      <xdr:colOff>438150</xdr:colOff>
      <xdr:row>2</xdr:row>
      <xdr:rowOff>57150</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715125" y="304800"/>
          <a:ext cx="800100" cy="314325"/>
        </a:xfrm>
        <a:prstGeom prst="rect">
          <a:avLst/>
        </a:prstGeom>
        <a:noFill/>
        <a:ln w="1">
          <a:noFill/>
          <a:miter lim="800000"/>
          <a:headEnd/>
          <a:tailEnd type="none" w="med" len="med"/>
        </a:ln>
        <a:effectLst/>
      </xdr:spPr>
    </xdr:pic>
    <xdr:clientData fPrintsWithSheet="0"/>
  </xdr:twoCellAnchor>
</xdr:wsDr>
</file>

<file path=xl/drawings/drawing94.xml><?xml version="1.0" encoding="utf-8"?>
<xdr:wsDr xmlns:xdr="http://schemas.openxmlformats.org/drawingml/2006/spreadsheetDrawing" xmlns:a="http://schemas.openxmlformats.org/drawingml/2006/main">
  <xdr:twoCellAnchor editAs="absolute">
    <xdr:from>
      <xdr:col>11</xdr:col>
      <xdr:colOff>168275</xdr:colOff>
      <xdr:row>0</xdr:row>
      <xdr:rowOff>298450</xdr:rowOff>
    </xdr:from>
    <xdr:to>
      <xdr:col>12</xdr:col>
      <xdr:colOff>454025</xdr:colOff>
      <xdr:row>2</xdr:row>
      <xdr:rowOff>50800</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223125" y="298450"/>
          <a:ext cx="819150" cy="311150"/>
        </a:xfrm>
        <a:prstGeom prst="rect">
          <a:avLst/>
        </a:prstGeom>
        <a:noFill/>
        <a:ln w="1">
          <a:noFill/>
          <a:miter lim="800000"/>
          <a:headEnd/>
          <a:tailEnd type="none" w="med" len="med"/>
        </a:ln>
        <a:effectLst/>
      </xdr:spPr>
    </xdr:pic>
    <xdr:clientData fPrintsWithSheet="0"/>
  </xdr:twoCellAnchor>
</xdr:wsDr>
</file>

<file path=xl/drawings/drawing95.xml><?xml version="1.0" encoding="utf-8"?>
<xdr:wsDr xmlns:xdr="http://schemas.openxmlformats.org/drawingml/2006/spreadsheetDrawing" xmlns:a="http://schemas.openxmlformats.org/drawingml/2006/main">
  <xdr:twoCellAnchor editAs="absolute">
    <xdr:from>
      <xdr:col>11</xdr:col>
      <xdr:colOff>171450</xdr:colOff>
      <xdr:row>0</xdr:row>
      <xdr:rowOff>276225</xdr:rowOff>
    </xdr:from>
    <xdr:to>
      <xdr:col>12</xdr:col>
      <xdr:colOff>466725</xdr:colOff>
      <xdr:row>2</xdr:row>
      <xdr:rowOff>38100</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3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857875" y="276225"/>
          <a:ext cx="800100" cy="314325"/>
        </a:xfrm>
        <a:prstGeom prst="rect">
          <a:avLst/>
        </a:prstGeom>
        <a:noFill/>
        <a:ln w="1">
          <a:noFill/>
          <a:miter lim="800000"/>
          <a:headEnd/>
          <a:tailEnd type="none" w="med" len="med"/>
        </a:ln>
        <a:effectLst/>
      </xdr:spPr>
    </xdr:pic>
    <xdr:clientData fPrintsWithSheet="0"/>
  </xdr:twoCellAnchor>
</xdr:wsDr>
</file>

<file path=xl/drawings/drawing96.xml><?xml version="1.0" encoding="utf-8"?>
<xdr:wsDr xmlns:xdr="http://schemas.openxmlformats.org/drawingml/2006/spreadsheetDrawing" xmlns:a="http://schemas.openxmlformats.org/drawingml/2006/main">
  <xdr:twoCellAnchor editAs="absolute">
    <xdr:from>
      <xdr:col>10</xdr:col>
      <xdr:colOff>200025</xdr:colOff>
      <xdr:row>0</xdr:row>
      <xdr:rowOff>266700</xdr:rowOff>
    </xdr:from>
    <xdr:to>
      <xdr:col>11</xdr:col>
      <xdr:colOff>495300</xdr:colOff>
      <xdr:row>2</xdr:row>
      <xdr:rowOff>28575</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24525" y="266700"/>
          <a:ext cx="800100" cy="314325"/>
        </a:xfrm>
        <a:prstGeom prst="rect">
          <a:avLst/>
        </a:prstGeom>
        <a:noFill/>
        <a:ln w="1">
          <a:noFill/>
          <a:miter lim="800000"/>
          <a:headEnd/>
          <a:tailEnd type="none" w="med" len="med"/>
        </a:ln>
        <a:effectLst/>
      </xdr:spPr>
    </xdr:pic>
    <xdr:clientData fPrintsWithSheet="0"/>
  </xdr:twoCellAnchor>
</xdr:wsDr>
</file>

<file path=xl/drawings/drawing97.xml><?xml version="1.0" encoding="utf-8"?>
<xdr:wsDr xmlns:xdr="http://schemas.openxmlformats.org/drawingml/2006/spreadsheetDrawing" xmlns:a="http://schemas.openxmlformats.org/drawingml/2006/main">
  <xdr:twoCellAnchor editAs="absolute">
    <xdr:from>
      <xdr:col>10</xdr:col>
      <xdr:colOff>38100</xdr:colOff>
      <xdr:row>0</xdr:row>
      <xdr:rowOff>276225</xdr:rowOff>
    </xdr:from>
    <xdr:to>
      <xdr:col>11</xdr:col>
      <xdr:colOff>333275</xdr:colOff>
      <xdr:row>2</xdr:row>
      <xdr:rowOff>38061</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489700" y="276225"/>
          <a:ext cx="822225" cy="314286"/>
        </a:xfrm>
        <a:prstGeom prst="rect">
          <a:avLst/>
        </a:prstGeom>
        <a:noFill/>
        <a:ln w="1">
          <a:noFill/>
          <a:miter lim="800000"/>
          <a:headEnd/>
          <a:tailEnd type="none" w="med" len="med"/>
        </a:ln>
        <a:effectLst/>
      </xdr:spPr>
    </xdr:pic>
    <xdr:clientData fPrintsWithSheet="0"/>
  </xdr:twoCellAnchor>
</xdr:wsDr>
</file>

<file path=xl/drawings/drawing98.xml><?xml version="1.0" encoding="utf-8"?>
<xdr:wsDr xmlns:xdr="http://schemas.openxmlformats.org/drawingml/2006/spreadsheetDrawing" xmlns:a="http://schemas.openxmlformats.org/drawingml/2006/main">
  <xdr:twoCellAnchor editAs="absolute">
    <xdr:from>
      <xdr:col>10</xdr:col>
      <xdr:colOff>234950</xdr:colOff>
      <xdr:row>0</xdr:row>
      <xdr:rowOff>228600</xdr:rowOff>
    </xdr:from>
    <xdr:to>
      <xdr:col>11</xdr:col>
      <xdr:colOff>488850</xdr:colOff>
      <xdr:row>1</xdr:row>
      <xdr:rowOff>177761</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6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086600" y="228600"/>
          <a:ext cx="825400" cy="317461"/>
        </a:xfrm>
        <a:prstGeom prst="rect">
          <a:avLst/>
        </a:prstGeom>
        <a:noFill/>
        <a:ln w="1">
          <a:noFill/>
          <a:miter lim="800000"/>
          <a:headEnd/>
          <a:tailEnd type="none" w="med" len="med"/>
        </a:ln>
        <a:effectLst/>
      </xdr:spPr>
    </xdr:pic>
    <xdr:clientData fPrintsWithSheet="0"/>
  </xdr:twoCellAnchor>
</xdr:wsDr>
</file>

<file path=xl/drawings/drawing99.xml><?xml version="1.0" encoding="utf-8"?>
<xdr:wsDr xmlns:xdr="http://schemas.openxmlformats.org/drawingml/2006/spreadsheetDrawing" xmlns:a="http://schemas.openxmlformats.org/drawingml/2006/main">
  <xdr:twoCellAnchor editAs="absolute">
    <xdr:from>
      <xdr:col>10</xdr:col>
      <xdr:colOff>193675</xdr:colOff>
      <xdr:row>0</xdr:row>
      <xdr:rowOff>301625</xdr:rowOff>
    </xdr:from>
    <xdr:to>
      <xdr:col>11</xdr:col>
      <xdr:colOff>447575</xdr:colOff>
      <xdr:row>1</xdr:row>
      <xdr:rowOff>158711</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153275" y="301625"/>
          <a:ext cx="825400" cy="314286"/>
        </a:xfrm>
        <a:prstGeom prst="rect">
          <a:avLst/>
        </a:prstGeom>
        <a:noFill/>
        <a:ln w="1">
          <a:noFill/>
          <a:miter lim="800000"/>
          <a:headEnd/>
          <a:tailEnd type="none" w="med" len="med"/>
        </a:ln>
        <a:effectLst/>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b268bdc\grupos\3_dados\ine\ipc\dashboard-table-scroll_IPC_com%20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a.G.Rafael" refreshedDate="46152.954377314818" createdVersion="6" refreshedVersion="6" minRefreshableVersion="3" recordCount="440" xr:uid="{D9C671BF-4E04-4F96-8309-EA1D34AA007F}">
  <cacheSource type="worksheet">
    <worksheetSource ref="A4:E444" sheet="q22_q34_Fig"/>
  </cacheSource>
  <cacheFields count="5">
    <cacheField name="Ano" numFmtId="0">
      <sharedItems containsSemiMixedTypes="0" containsString="0" containsNumber="1" containsInteger="1" minValue="2011" maxValue="2024" count="14">
        <n v="2014"/>
        <n v="2015"/>
        <n v="2016"/>
        <n v="2017"/>
        <n v="2018"/>
        <n v="2019"/>
        <n v="2020"/>
        <n v="2021"/>
        <n v="2022"/>
        <n v="2023"/>
        <n v="2024"/>
        <n v="2013" u="1"/>
        <n v="2011" u="1"/>
        <n v="2012" u="1"/>
      </sharedItems>
    </cacheField>
    <cacheField name="Selecionar CAE" numFmtId="0">
      <sharedItems count="27">
        <s v="A - Agricultura, produção animal, caça, floresta e pesca "/>
        <s v="B - Indústrias extrativas"/>
        <s v="C - Ind. transf."/>
        <s v="D - Eletricidade, gás, vapor, água quente e fria e ar frio"/>
        <s v="E - Captação, trat. e dist. água; saneam., gest. resíduos e desp."/>
        <s v="F - Construção"/>
        <s v="G - Com. por grosso e ret. (…)"/>
        <s v="H - Transportes e armazenagem"/>
        <s v="I - Alojamento, rest. e sim."/>
        <s v="J - Atividades de informação e de comunicação"/>
        <s v="K - Atividades financeiras e de seguros"/>
        <s v="L - Atividades imobiliárias"/>
        <s v="M - Atividades de consultoria, científicas, técnicas e similares"/>
        <s v="N - Ativ. Admin. e dos serv. apoio"/>
        <s v="O - Administração pública e defesa; segurança social obrigatória"/>
        <s v="P - Educação"/>
        <s v="Q - Ativ. de saúde humana e apoio social"/>
        <s v="R - Atividades artísticas, de espectáculos, desp. e recreativas"/>
        <s v="S - Outras atividades de serviços"/>
        <s v="U - Ativ. org. interna. e outras instituições extra-territoriais"/>
        <s v="C - Indústrias transformadoras" u="1"/>
        <s v="G - Comércio por grosso e a retalho; rep. de veíc. autom. e mot." u="1"/>
        <s v="Q - Atividades de saúde humana e apoio social" u="1"/>
        <s v="G - Com. por grosso e a ret.; rep. de veíc. autom. e mot." u="1"/>
        <s v="I - Alojamento, restauração e similares" u="1"/>
        <s v="C - Ind. transformadoras" u="1"/>
        <s v="N - Atividades administrativas e dos serviços de apoio" u="1"/>
      </sharedItems>
    </cacheField>
    <cacheField name="CAE" numFmtId="0">
      <sharedItems count="20">
        <s v="A"/>
        <s v="B"/>
        <s v="C"/>
        <s v="D"/>
        <s v="E"/>
        <s v="F"/>
        <s v="G"/>
        <s v="H"/>
        <s v="I"/>
        <s v="J"/>
        <s v="K"/>
        <s v="L"/>
        <s v="M"/>
        <s v="N"/>
        <s v="O"/>
        <s v="P"/>
        <s v="Q"/>
        <s v="R"/>
        <s v="S"/>
        <s v="U"/>
      </sharedItems>
    </cacheField>
    <cacheField name="Tipo Remuneração" numFmtId="0">
      <sharedItems count="4">
        <s v="Base"/>
        <s v="Ganho"/>
        <s v="Remuneração Base" u="1"/>
        <s v="Remuneração Ganho" u="1"/>
      </sharedItems>
    </cacheField>
    <cacheField name="Valor" numFmtId="172">
      <sharedItems containsSemiMixedTypes="0" containsString="0" containsNumber="1" minValue="669.99" maxValue="3521.63"/>
    </cacheField>
  </cacheFields>
  <extLst>
    <ext xmlns:x14="http://schemas.microsoft.com/office/spreadsheetml/2009/9/main" uri="{725AE2AE-9491-48be-B2B4-4EB974FC3084}">
      <x14:pivotCacheDefinition pivotCacheId="1890679138"/>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a.G.Rafael" refreshedDate="46152.954970833336" createdVersion="6" refreshedVersion="6" minRefreshableVersion="3" recordCount="66" xr:uid="{CA833CC0-BFE8-4B0E-A405-F7520E1D78D7}">
  <cacheSource type="worksheet">
    <worksheetSource ref="A4:D70" sheet="q23_q35_Fig"/>
  </cacheSource>
  <cacheFields count="4">
    <cacheField name="Ano" numFmtId="0">
      <sharedItems containsSemiMixedTypes="0" containsString="0" containsNumber="1" containsInteger="1" minValue="2011" maxValue="2024" count="14">
        <n v="2014"/>
        <n v="2015"/>
        <n v="2016"/>
        <n v="2017"/>
        <n v="2018"/>
        <n v="2019"/>
        <n v="2020"/>
        <n v="2021"/>
        <n v="2022"/>
        <n v="2023"/>
        <n v="2024"/>
        <n v="2013" u="1"/>
        <n v="2011" u="1"/>
        <n v="2012" u="1"/>
      </sharedItems>
    </cacheField>
    <cacheField name="Tipo de remuneração" numFmtId="0">
      <sharedItems count="4">
        <s v="Base"/>
        <s v="Ganho"/>
        <s v="Remuneração base" u="1"/>
        <s v="Remuneração ganho" u="1"/>
      </sharedItems>
    </cacheField>
    <cacheField name="Sexo" numFmtId="0">
      <sharedItems count="3">
        <s v="Total"/>
        <s v="Homens"/>
        <s v="Mulheres"/>
      </sharedItems>
    </cacheField>
    <cacheField name="Valor" numFmtId="2">
      <sharedItems containsSemiMixedTypes="0" containsString="0" containsNumber="1" minValue="820.25" maxValue="1693.55"/>
    </cacheField>
  </cacheFields>
  <extLst>
    <ext xmlns:x14="http://schemas.microsoft.com/office/spreadsheetml/2009/9/main" uri="{725AE2AE-9491-48be-B2B4-4EB974FC3084}">
      <x14:pivotCacheDefinition pivotCacheId="7915565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0">
  <r>
    <x v="0"/>
    <x v="0"/>
    <x v="0"/>
    <x v="0"/>
    <n v="687.92"/>
  </r>
  <r>
    <x v="0"/>
    <x v="1"/>
    <x v="1"/>
    <x v="0"/>
    <n v="934.74"/>
  </r>
  <r>
    <x v="0"/>
    <x v="2"/>
    <x v="2"/>
    <x v="0"/>
    <n v="844.01"/>
  </r>
  <r>
    <x v="0"/>
    <x v="3"/>
    <x v="3"/>
    <x v="0"/>
    <n v="2065.0700000000002"/>
  </r>
  <r>
    <x v="0"/>
    <x v="4"/>
    <x v="4"/>
    <x v="0"/>
    <n v="885.35"/>
  </r>
  <r>
    <x v="0"/>
    <x v="5"/>
    <x v="5"/>
    <x v="0"/>
    <n v="800.21"/>
  </r>
  <r>
    <x v="0"/>
    <x v="6"/>
    <x v="6"/>
    <x v="0"/>
    <n v="862.67"/>
  </r>
  <r>
    <x v="0"/>
    <x v="7"/>
    <x v="7"/>
    <x v="0"/>
    <n v="977.22"/>
  </r>
  <r>
    <x v="0"/>
    <x v="8"/>
    <x v="8"/>
    <x v="0"/>
    <n v="669.99"/>
  </r>
  <r>
    <x v="0"/>
    <x v="9"/>
    <x v="9"/>
    <x v="0"/>
    <n v="1500.69"/>
  </r>
  <r>
    <x v="0"/>
    <x v="10"/>
    <x v="10"/>
    <x v="0"/>
    <n v="1572.96"/>
  </r>
  <r>
    <x v="0"/>
    <x v="11"/>
    <x v="11"/>
    <x v="0"/>
    <n v="951.85"/>
  </r>
  <r>
    <x v="0"/>
    <x v="12"/>
    <x v="12"/>
    <x v="0"/>
    <n v="1170.25"/>
  </r>
  <r>
    <x v="0"/>
    <x v="13"/>
    <x v="13"/>
    <x v="0"/>
    <n v="772.15"/>
  </r>
  <r>
    <x v="0"/>
    <x v="14"/>
    <x v="14"/>
    <x v="0"/>
    <n v="880.99"/>
  </r>
  <r>
    <x v="0"/>
    <x v="15"/>
    <x v="15"/>
    <x v="0"/>
    <n v="1119.54"/>
  </r>
  <r>
    <x v="0"/>
    <x v="16"/>
    <x v="16"/>
    <x v="0"/>
    <n v="821.86"/>
  </r>
  <r>
    <x v="0"/>
    <x v="17"/>
    <x v="17"/>
    <x v="0"/>
    <n v="1383.37"/>
  </r>
  <r>
    <x v="0"/>
    <x v="18"/>
    <x v="18"/>
    <x v="0"/>
    <n v="847.6"/>
  </r>
  <r>
    <x v="0"/>
    <x v="19"/>
    <x v="19"/>
    <x v="0"/>
    <n v="1772.71"/>
  </r>
  <r>
    <x v="1"/>
    <x v="0"/>
    <x v="0"/>
    <x v="0"/>
    <n v="701.34"/>
  </r>
  <r>
    <x v="1"/>
    <x v="1"/>
    <x v="1"/>
    <x v="0"/>
    <n v="937.81"/>
  </r>
  <r>
    <x v="1"/>
    <x v="2"/>
    <x v="2"/>
    <x v="0"/>
    <n v="856.12"/>
  </r>
  <r>
    <x v="1"/>
    <x v="3"/>
    <x v="3"/>
    <x v="0"/>
    <n v="2091.5"/>
  </r>
  <r>
    <x v="1"/>
    <x v="4"/>
    <x v="4"/>
    <x v="0"/>
    <n v="893.71"/>
  </r>
  <r>
    <x v="1"/>
    <x v="5"/>
    <x v="5"/>
    <x v="0"/>
    <n v="796.22"/>
  </r>
  <r>
    <x v="1"/>
    <x v="6"/>
    <x v="6"/>
    <x v="0"/>
    <n v="867.89"/>
  </r>
  <r>
    <x v="1"/>
    <x v="7"/>
    <x v="7"/>
    <x v="0"/>
    <n v="988.25"/>
  </r>
  <r>
    <x v="1"/>
    <x v="8"/>
    <x v="8"/>
    <x v="0"/>
    <n v="673.94"/>
  </r>
  <r>
    <x v="1"/>
    <x v="9"/>
    <x v="9"/>
    <x v="0"/>
    <n v="1488.73"/>
  </r>
  <r>
    <x v="1"/>
    <x v="10"/>
    <x v="10"/>
    <x v="0"/>
    <n v="1571.12"/>
  </r>
  <r>
    <x v="1"/>
    <x v="11"/>
    <x v="11"/>
    <x v="0"/>
    <n v="945.14"/>
  </r>
  <r>
    <x v="1"/>
    <x v="12"/>
    <x v="12"/>
    <x v="0"/>
    <n v="1171.06"/>
  </r>
  <r>
    <x v="1"/>
    <x v="13"/>
    <x v="13"/>
    <x v="0"/>
    <n v="768.27"/>
  </r>
  <r>
    <x v="1"/>
    <x v="14"/>
    <x v="14"/>
    <x v="0"/>
    <n v="849.2"/>
  </r>
  <r>
    <x v="1"/>
    <x v="15"/>
    <x v="15"/>
    <x v="0"/>
    <n v="1118.44"/>
  </r>
  <r>
    <x v="1"/>
    <x v="16"/>
    <x v="16"/>
    <x v="0"/>
    <n v="833.44"/>
  </r>
  <r>
    <x v="1"/>
    <x v="17"/>
    <x v="17"/>
    <x v="0"/>
    <n v="1514.4"/>
  </r>
  <r>
    <x v="1"/>
    <x v="18"/>
    <x v="18"/>
    <x v="0"/>
    <n v="847.05"/>
  </r>
  <r>
    <x v="1"/>
    <x v="19"/>
    <x v="19"/>
    <x v="0"/>
    <n v="1910.54"/>
  </r>
  <r>
    <x v="2"/>
    <x v="0"/>
    <x v="0"/>
    <x v="0"/>
    <n v="726.49"/>
  </r>
  <r>
    <x v="2"/>
    <x v="1"/>
    <x v="1"/>
    <x v="0"/>
    <n v="958.1"/>
  </r>
  <r>
    <x v="2"/>
    <x v="2"/>
    <x v="2"/>
    <x v="0"/>
    <n v="870.08"/>
  </r>
  <r>
    <x v="2"/>
    <x v="3"/>
    <x v="3"/>
    <x v="0"/>
    <n v="2075.64"/>
  </r>
  <r>
    <x v="2"/>
    <x v="4"/>
    <x v="4"/>
    <x v="0"/>
    <n v="883.84"/>
  </r>
  <r>
    <x v="2"/>
    <x v="5"/>
    <x v="5"/>
    <x v="0"/>
    <n v="798.87"/>
  </r>
  <r>
    <x v="2"/>
    <x v="6"/>
    <x v="6"/>
    <x v="0"/>
    <n v="881.9"/>
  </r>
  <r>
    <x v="2"/>
    <x v="7"/>
    <x v="7"/>
    <x v="0"/>
    <n v="994.98"/>
  </r>
  <r>
    <x v="2"/>
    <x v="8"/>
    <x v="8"/>
    <x v="0"/>
    <n v="690.54"/>
  </r>
  <r>
    <x v="2"/>
    <x v="9"/>
    <x v="9"/>
    <x v="0"/>
    <n v="1520.09"/>
  </r>
  <r>
    <x v="2"/>
    <x v="10"/>
    <x v="10"/>
    <x v="0"/>
    <n v="1585.29"/>
  </r>
  <r>
    <x v="2"/>
    <x v="11"/>
    <x v="11"/>
    <x v="0"/>
    <n v="969.55"/>
  </r>
  <r>
    <x v="2"/>
    <x v="12"/>
    <x v="12"/>
    <x v="0"/>
    <n v="1183.3900000000001"/>
  </r>
  <r>
    <x v="2"/>
    <x v="13"/>
    <x v="13"/>
    <x v="0"/>
    <n v="772.59"/>
  </r>
  <r>
    <x v="2"/>
    <x v="14"/>
    <x v="14"/>
    <x v="0"/>
    <n v="848.71"/>
  </r>
  <r>
    <x v="2"/>
    <x v="15"/>
    <x v="15"/>
    <x v="0"/>
    <n v="1121.57"/>
  </r>
  <r>
    <x v="2"/>
    <x v="16"/>
    <x v="16"/>
    <x v="0"/>
    <n v="851.36"/>
  </r>
  <r>
    <x v="2"/>
    <x v="17"/>
    <x v="17"/>
    <x v="0"/>
    <n v="1537.25"/>
  </r>
  <r>
    <x v="2"/>
    <x v="18"/>
    <x v="18"/>
    <x v="0"/>
    <n v="857.44"/>
  </r>
  <r>
    <x v="2"/>
    <x v="19"/>
    <x v="19"/>
    <x v="0"/>
    <n v="2028.96"/>
  </r>
  <r>
    <x v="3"/>
    <x v="0"/>
    <x v="0"/>
    <x v="0"/>
    <n v="738.39"/>
  </r>
  <r>
    <x v="3"/>
    <x v="1"/>
    <x v="1"/>
    <x v="0"/>
    <n v="986.18"/>
  </r>
  <r>
    <x v="3"/>
    <x v="2"/>
    <x v="2"/>
    <x v="0"/>
    <n v="895.89"/>
  </r>
  <r>
    <x v="3"/>
    <x v="3"/>
    <x v="3"/>
    <x v="0"/>
    <n v="2070.14"/>
  </r>
  <r>
    <x v="3"/>
    <x v="4"/>
    <x v="4"/>
    <x v="0"/>
    <n v="891.49"/>
  </r>
  <r>
    <x v="3"/>
    <x v="5"/>
    <x v="5"/>
    <x v="0"/>
    <n v="808.62"/>
  </r>
  <r>
    <x v="3"/>
    <x v="6"/>
    <x v="6"/>
    <x v="0"/>
    <n v="900.4"/>
  </r>
  <r>
    <x v="3"/>
    <x v="7"/>
    <x v="7"/>
    <x v="0"/>
    <n v="1002.64"/>
  </r>
  <r>
    <x v="3"/>
    <x v="8"/>
    <x v="8"/>
    <x v="0"/>
    <n v="713.45"/>
  </r>
  <r>
    <x v="3"/>
    <x v="9"/>
    <x v="9"/>
    <x v="0"/>
    <n v="1522.79"/>
  </r>
  <r>
    <x v="3"/>
    <x v="10"/>
    <x v="10"/>
    <x v="0"/>
    <n v="1592.44"/>
  </r>
  <r>
    <x v="3"/>
    <x v="11"/>
    <x v="11"/>
    <x v="0"/>
    <n v="978.99"/>
  </r>
  <r>
    <x v="3"/>
    <x v="12"/>
    <x v="12"/>
    <x v="0"/>
    <n v="1225.58"/>
  </r>
  <r>
    <x v="3"/>
    <x v="13"/>
    <x v="13"/>
    <x v="0"/>
    <n v="787.93"/>
  </r>
  <r>
    <x v="3"/>
    <x v="14"/>
    <x v="14"/>
    <x v="0"/>
    <n v="866.69"/>
  </r>
  <r>
    <x v="3"/>
    <x v="15"/>
    <x v="15"/>
    <x v="0"/>
    <n v="1136.27"/>
  </r>
  <r>
    <x v="3"/>
    <x v="16"/>
    <x v="16"/>
    <x v="0"/>
    <n v="871"/>
  </r>
  <r>
    <x v="3"/>
    <x v="17"/>
    <x v="17"/>
    <x v="0"/>
    <n v="1612.9"/>
  </r>
  <r>
    <x v="3"/>
    <x v="18"/>
    <x v="18"/>
    <x v="0"/>
    <n v="877.34"/>
  </r>
  <r>
    <x v="3"/>
    <x v="19"/>
    <x v="19"/>
    <x v="0"/>
    <n v="1986.43"/>
  </r>
  <r>
    <x v="4"/>
    <x v="0"/>
    <x v="0"/>
    <x v="0"/>
    <n v="773.22"/>
  </r>
  <r>
    <x v="4"/>
    <x v="1"/>
    <x v="1"/>
    <x v="0"/>
    <n v="1036.73"/>
  </r>
  <r>
    <x v="4"/>
    <x v="2"/>
    <x v="2"/>
    <x v="0"/>
    <n v="929.15"/>
  </r>
  <r>
    <x v="4"/>
    <x v="3"/>
    <x v="3"/>
    <x v="0"/>
    <n v="2080.65"/>
  </r>
  <r>
    <x v="4"/>
    <x v="4"/>
    <x v="4"/>
    <x v="0"/>
    <n v="920.04"/>
  </r>
  <r>
    <x v="4"/>
    <x v="5"/>
    <x v="5"/>
    <x v="0"/>
    <n v="824.76"/>
  </r>
  <r>
    <x v="4"/>
    <x v="6"/>
    <x v="6"/>
    <x v="0"/>
    <n v="924.91"/>
  </r>
  <r>
    <x v="4"/>
    <x v="7"/>
    <x v="7"/>
    <x v="0"/>
    <n v="1033.97"/>
  </r>
  <r>
    <x v="4"/>
    <x v="8"/>
    <x v="8"/>
    <x v="0"/>
    <n v="739.37"/>
  </r>
  <r>
    <x v="4"/>
    <x v="9"/>
    <x v="9"/>
    <x v="0"/>
    <n v="1562.86"/>
  </r>
  <r>
    <x v="4"/>
    <x v="10"/>
    <x v="10"/>
    <x v="0"/>
    <n v="1601.12"/>
  </r>
  <r>
    <x v="4"/>
    <x v="11"/>
    <x v="11"/>
    <x v="0"/>
    <n v="1001.04"/>
  </r>
  <r>
    <x v="4"/>
    <x v="12"/>
    <x v="12"/>
    <x v="0"/>
    <n v="1249.78"/>
  </r>
  <r>
    <x v="4"/>
    <x v="13"/>
    <x v="13"/>
    <x v="0"/>
    <n v="807.44"/>
  </r>
  <r>
    <x v="4"/>
    <x v="14"/>
    <x v="14"/>
    <x v="0"/>
    <n v="895.16"/>
  </r>
  <r>
    <x v="4"/>
    <x v="15"/>
    <x v="15"/>
    <x v="0"/>
    <n v="1161.1400000000001"/>
  </r>
  <r>
    <x v="4"/>
    <x v="16"/>
    <x v="16"/>
    <x v="0"/>
    <n v="891.94"/>
  </r>
  <r>
    <x v="4"/>
    <x v="17"/>
    <x v="17"/>
    <x v="0"/>
    <n v="1607.95"/>
  </r>
  <r>
    <x v="4"/>
    <x v="18"/>
    <x v="18"/>
    <x v="0"/>
    <n v="901.62"/>
  </r>
  <r>
    <x v="4"/>
    <x v="19"/>
    <x v="19"/>
    <x v="0"/>
    <n v="2136.13"/>
  </r>
  <r>
    <x v="5"/>
    <x v="0"/>
    <x v="0"/>
    <x v="0"/>
    <n v="823.08"/>
  </r>
  <r>
    <x v="5"/>
    <x v="1"/>
    <x v="1"/>
    <x v="0"/>
    <n v="1083.24"/>
  </r>
  <r>
    <x v="5"/>
    <x v="2"/>
    <x v="2"/>
    <x v="0"/>
    <n v="964.71"/>
  </r>
  <r>
    <x v="5"/>
    <x v="3"/>
    <x v="3"/>
    <x v="0"/>
    <n v="2086.9"/>
  </r>
  <r>
    <x v="5"/>
    <x v="4"/>
    <x v="4"/>
    <x v="0"/>
    <n v="936.67"/>
  </r>
  <r>
    <x v="5"/>
    <x v="5"/>
    <x v="5"/>
    <x v="0"/>
    <n v="853.92"/>
  </r>
  <r>
    <x v="5"/>
    <x v="6"/>
    <x v="6"/>
    <x v="0"/>
    <n v="959.33"/>
  </r>
  <r>
    <x v="5"/>
    <x v="7"/>
    <x v="7"/>
    <x v="0"/>
    <n v="1071.3699999999999"/>
  </r>
  <r>
    <x v="5"/>
    <x v="8"/>
    <x v="8"/>
    <x v="0"/>
    <n v="764.08"/>
  </r>
  <r>
    <x v="5"/>
    <x v="9"/>
    <x v="9"/>
    <x v="0"/>
    <n v="1614.97"/>
  </r>
  <r>
    <x v="5"/>
    <x v="10"/>
    <x v="10"/>
    <x v="0"/>
    <n v="1632.26"/>
  </r>
  <r>
    <x v="5"/>
    <x v="11"/>
    <x v="11"/>
    <x v="0"/>
    <n v="1045.96"/>
  </r>
  <r>
    <x v="5"/>
    <x v="12"/>
    <x v="12"/>
    <x v="0"/>
    <n v="1288.0899999999999"/>
  </r>
  <r>
    <x v="5"/>
    <x v="13"/>
    <x v="13"/>
    <x v="0"/>
    <n v="842.48"/>
  </r>
  <r>
    <x v="5"/>
    <x v="14"/>
    <x v="14"/>
    <x v="0"/>
    <n v="950.41"/>
  </r>
  <r>
    <x v="5"/>
    <x v="15"/>
    <x v="15"/>
    <x v="0"/>
    <n v="1219.79"/>
  </r>
  <r>
    <x v="5"/>
    <x v="16"/>
    <x v="16"/>
    <x v="0"/>
    <n v="923.59"/>
  </r>
  <r>
    <x v="5"/>
    <x v="17"/>
    <x v="17"/>
    <x v="0"/>
    <n v="1645.66"/>
  </r>
  <r>
    <x v="5"/>
    <x v="18"/>
    <x v="18"/>
    <x v="0"/>
    <n v="932.37"/>
  </r>
  <r>
    <x v="5"/>
    <x v="19"/>
    <x v="19"/>
    <x v="0"/>
    <n v="2160.36"/>
  </r>
  <r>
    <x v="6"/>
    <x v="0"/>
    <x v="0"/>
    <x v="0"/>
    <n v="823.12"/>
  </r>
  <r>
    <x v="6"/>
    <x v="1"/>
    <x v="1"/>
    <x v="0"/>
    <n v="1099.73"/>
  </r>
  <r>
    <x v="6"/>
    <x v="2"/>
    <x v="2"/>
    <x v="0"/>
    <n v="1003.21"/>
  </r>
  <r>
    <x v="6"/>
    <x v="3"/>
    <x v="3"/>
    <x v="0"/>
    <n v="2128.4699999999998"/>
  </r>
  <r>
    <x v="6"/>
    <x v="4"/>
    <x v="4"/>
    <x v="0"/>
    <n v="970.37"/>
  </r>
  <r>
    <x v="6"/>
    <x v="5"/>
    <x v="5"/>
    <x v="0"/>
    <n v="880.77"/>
  </r>
  <r>
    <x v="6"/>
    <x v="6"/>
    <x v="6"/>
    <x v="0"/>
    <n v="989.91"/>
  </r>
  <r>
    <x v="6"/>
    <x v="7"/>
    <x v="7"/>
    <x v="0"/>
    <n v="1033.25"/>
  </r>
  <r>
    <x v="6"/>
    <x v="8"/>
    <x v="8"/>
    <x v="0"/>
    <n v="780.14"/>
  </r>
  <r>
    <x v="6"/>
    <x v="9"/>
    <x v="9"/>
    <x v="0"/>
    <n v="1668.12"/>
  </r>
  <r>
    <x v="6"/>
    <x v="10"/>
    <x v="10"/>
    <x v="0"/>
    <n v="1651.3"/>
  </r>
  <r>
    <x v="6"/>
    <x v="11"/>
    <x v="11"/>
    <x v="0"/>
    <n v="1091.6400000000001"/>
  </r>
  <r>
    <x v="6"/>
    <x v="12"/>
    <x v="12"/>
    <x v="0"/>
    <n v="1335.14"/>
  </r>
  <r>
    <x v="6"/>
    <x v="13"/>
    <x v="13"/>
    <x v="0"/>
    <n v="864.18"/>
  </r>
  <r>
    <x v="6"/>
    <x v="14"/>
    <x v="14"/>
    <x v="0"/>
    <n v="990.79"/>
  </r>
  <r>
    <x v="6"/>
    <x v="15"/>
    <x v="15"/>
    <x v="0"/>
    <n v="1259.28"/>
  </r>
  <r>
    <x v="6"/>
    <x v="16"/>
    <x v="16"/>
    <x v="0"/>
    <n v="942.71"/>
  </r>
  <r>
    <x v="6"/>
    <x v="17"/>
    <x v="17"/>
    <x v="0"/>
    <n v="1838.97"/>
  </r>
  <r>
    <x v="6"/>
    <x v="18"/>
    <x v="18"/>
    <x v="0"/>
    <n v="987.51"/>
  </r>
  <r>
    <x v="6"/>
    <x v="19"/>
    <x v="19"/>
    <x v="0"/>
    <n v="1978.98"/>
  </r>
  <r>
    <x v="7"/>
    <x v="0"/>
    <x v="0"/>
    <x v="0"/>
    <n v="872.68"/>
  </r>
  <r>
    <x v="7"/>
    <x v="1"/>
    <x v="1"/>
    <x v="0"/>
    <n v="1159.45"/>
  </r>
  <r>
    <x v="7"/>
    <x v="2"/>
    <x v="2"/>
    <x v="0"/>
    <n v="1031.03"/>
  </r>
  <r>
    <x v="7"/>
    <x v="3"/>
    <x v="3"/>
    <x v="0"/>
    <n v="2156.69"/>
  </r>
  <r>
    <x v="7"/>
    <x v="4"/>
    <x v="4"/>
    <x v="0"/>
    <n v="989.79"/>
  </r>
  <r>
    <x v="7"/>
    <x v="5"/>
    <x v="5"/>
    <x v="0"/>
    <n v="934.51"/>
  </r>
  <r>
    <x v="7"/>
    <x v="6"/>
    <x v="6"/>
    <x v="0"/>
    <n v="1031.8499999999999"/>
  </r>
  <r>
    <x v="7"/>
    <x v="7"/>
    <x v="7"/>
    <x v="0"/>
    <n v="1056.1199999999999"/>
  </r>
  <r>
    <x v="7"/>
    <x v="8"/>
    <x v="8"/>
    <x v="0"/>
    <n v="822.39"/>
  </r>
  <r>
    <x v="7"/>
    <x v="9"/>
    <x v="9"/>
    <x v="0"/>
    <n v="1748.11"/>
  </r>
  <r>
    <x v="7"/>
    <x v="10"/>
    <x v="10"/>
    <x v="0"/>
    <n v="1674.12"/>
  </r>
  <r>
    <x v="7"/>
    <x v="11"/>
    <x v="11"/>
    <x v="0"/>
    <n v="1129.19"/>
  </r>
  <r>
    <x v="7"/>
    <x v="12"/>
    <x v="12"/>
    <x v="0"/>
    <n v="1403.13"/>
  </r>
  <r>
    <x v="7"/>
    <x v="13"/>
    <x v="13"/>
    <x v="0"/>
    <n v="916.97"/>
  </r>
  <r>
    <x v="7"/>
    <x v="14"/>
    <x v="14"/>
    <x v="0"/>
    <n v="1027.51"/>
  </r>
  <r>
    <x v="7"/>
    <x v="15"/>
    <x v="15"/>
    <x v="0"/>
    <n v="1296.72"/>
  </r>
  <r>
    <x v="7"/>
    <x v="16"/>
    <x v="16"/>
    <x v="0"/>
    <n v="974.58"/>
  </r>
  <r>
    <x v="7"/>
    <x v="17"/>
    <x v="17"/>
    <x v="0"/>
    <n v="1780.1"/>
  </r>
  <r>
    <x v="7"/>
    <x v="18"/>
    <x v="18"/>
    <x v="0"/>
    <n v="1012.59"/>
  </r>
  <r>
    <x v="7"/>
    <x v="19"/>
    <x v="19"/>
    <x v="0"/>
    <n v="1886.51"/>
  </r>
  <r>
    <x v="8"/>
    <x v="0"/>
    <x v="0"/>
    <x v="0"/>
    <n v="916.19"/>
  </r>
  <r>
    <x v="8"/>
    <x v="1"/>
    <x v="1"/>
    <x v="0"/>
    <n v="1221.07"/>
  </r>
  <r>
    <x v="8"/>
    <x v="2"/>
    <x v="2"/>
    <x v="0"/>
    <n v="1095.17"/>
  </r>
  <r>
    <x v="8"/>
    <x v="3"/>
    <x v="3"/>
    <x v="0"/>
    <n v="2243.09"/>
  </r>
  <r>
    <x v="8"/>
    <x v="4"/>
    <x v="4"/>
    <x v="0"/>
    <n v="1034.78"/>
  </r>
  <r>
    <x v="8"/>
    <x v="5"/>
    <x v="5"/>
    <x v="0"/>
    <n v="973.22"/>
  </r>
  <r>
    <x v="8"/>
    <x v="6"/>
    <x v="6"/>
    <x v="0"/>
    <n v="1075.5999999999999"/>
  </r>
  <r>
    <x v="8"/>
    <x v="7"/>
    <x v="7"/>
    <x v="0"/>
    <n v="1184.24"/>
  </r>
  <r>
    <x v="8"/>
    <x v="8"/>
    <x v="8"/>
    <x v="0"/>
    <n v="872.72"/>
  </r>
  <r>
    <x v="8"/>
    <x v="9"/>
    <x v="9"/>
    <x v="0"/>
    <n v="1915.45"/>
  </r>
  <r>
    <x v="8"/>
    <x v="10"/>
    <x v="10"/>
    <x v="0"/>
    <n v="1705.23"/>
  </r>
  <r>
    <x v="8"/>
    <x v="11"/>
    <x v="11"/>
    <x v="0"/>
    <n v="1185.33"/>
  </r>
  <r>
    <x v="8"/>
    <x v="12"/>
    <x v="12"/>
    <x v="0"/>
    <n v="1491.97"/>
  </r>
  <r>
    <x v="8"/>
    <x v="13"/>
    <x v="13"/>
    <x v="0"/>
    <n v="970.39"/>
  </r>
  <r>
    <x v="8"/>
    <x v="14"/>
    <x v="14"/>
    <x v="0"/>
    <n v="1035.5"/>
  </r>
  <r>
    <x v="8"/>
    <x v="15"/>
    <x v="15"/>
    <x v="0"/>
    <n v="1348.73"/>
  </r>
  <r>
    <x v="8"/>
    <x v="16"/>
    <x v="16"/>
    <x v="0"/>
    <n v="1004.81"/>
  </r>
  <r>
    <x v="8"/>
    <x v="17"/>
    <x v="17"/>
    <x v="0"/>
    <n v="1789.86"/>
  </r>
  <r>
    <x v="8"/>
    <x v="18"/>
    <x v="18"/>
    <x v="0"/>
    <n v="1053.43"/>
  </r>
  <r>
    <x v="8"/>
    <x v="19"/>
    <x v="19"/>
    <x v="0"/>
    <n v="3156.84"/>
  </r>
  <r>
    <x v="9"/>
    <x v="0"/>
    <x v="0"/>
    <x v="0"/>
    <n v="969.65"/>
  </r>
  <r>
    <x v="9"/>
    <x v="1"/>
    <x v="1"/>
    <x v="0"/>
    <n v="1316.39"/>
  </r>
  <r>
    <x v="9"/>
    <x v="2"/>
    <x v="2"/>
    <x v="0"/>
    <n v="1172.58"/>
  </r>
  <r>
    <x v="9"/>
    <x v="3"/>
    <x v="3"/>
    <x v="0"/>
    <n v="2384.1999999999998"/>
  </r>
  <r>
    <x v="9"/>
    <x v="4"/>
    <x v="4"/>
    <x v="0"/>
    <n v="1116.05"/>
  </r>
  <r>
    <x v="9"/>
    <x v="5"/>
    <x v="5"/>
    <x v="0"/>
    <n v="1035.72"/>
  </r>
  <r>
    <x v="9"/>
    <x v="6"/>
    <x v="6"/>
    <x v="0"/>
    <n v="1146.8499999999999"/>
  </r>
  <r>
    <x v="9"/>
    <x v="7"/>
    <x v="7"/>
    <x v="0"/>
    <n v="1269.02"/>
  </r>
  <r>
    <x v="9"/>
    <x v="8"/>
    <x v="8"/>
    <x v="0"/>
    <n v="929.8"/>
  </r>
  <r>
    <x v="9"/>
    <x v="9"/>
    <x v="9"/>
    <x v="0"/>
    <n v="2022.39"/>
  </r>
  <r>
    <x v="9"/>
    <x v="10"/>
    <x v="10"/>
    <x v="0"/>
    <n v="1801.31"/>
  </r>
  <r>
    <x v="9"/>
    <x v="11"/>
    <x v="11"/>
    <x v="0"/>
    <n v="1267.8800000000001"/>
  </r>
  <r>
    <x v="9"/>
    <x v="12"/>
    <x v="12"/>
    <x v="0"/>
    <n v="1607.85"/>
  </r>
  <r>
    <x v="9"/>
    <x v="13"/>
    <x v="13"/>
    <x v="0"/>
    <n v="1056.28"/>
  </r>
  <r>
    <x v="9"/>
    <x v="14"/>
    <x v="14"/>
    <x v="0"/>
    <n v="1098.71"/>
  </r>
  <r>
    <x v="9"/>
    <x v="15"/>
    <x v="15"/>
    <x v="0"/>
    <n v="1435.78"/>
  </r>
  <r>
    <x v="9"/>
    <x v="16"/>
    <x v="16"/>
    <x v="0"/>
    <n v="1055.5"/>
  </r>
  <r>
    <x v="9"/>
    <x v="17"/>
    <x v="17"/>
    <x v="0"/>
    <n v="1903.38"/>
  </r>
  <r>
    <x v="9"/>
    <x v="18"/>
    <x v="18"/>
    <x v="0"/>
    <n v="1105.46"/>
  </r>
  <r>
    <x v="9"/>
    <x v="19"/>
    <x v="19"/>
    <x v="0"/>
    <n v="3347.61"/>
  </r>
  <r>
    <x v="10"/>
    <x v="0"/>
    <x v="0"/>
    <x v="0"/>
    <n v="1041.6300000000001"/>
  </r>
  <r>
    <x v="10"/>
    <x v="1"/>
    <x v="1"/>
    <x v="0"/>
    <n v="1434.33"/>
  </r>
  <r>
    <x v="10"/>
    <x v="2"/>
    <x v="2"/>
    <x v="0"/>
    <n v="1262.53"/>
  </r>
  <r>
    <x v="10"/>
    <x v="3"/>
    <x v="3"/>
    <x v="0"/>
    <n v="2492.3000000000002"/>
  </r>
  <r>
    <x v="10"/>
    <x v="4"/>
    <x v="4"/>
    <x v="0"/>
    <n v="1175.5899999999999"/>
  </r>
  <r>
    <x v="10"/>
    <x v="5"/>
    <x v="5"/>
    <x v="0"/>
    <n v="1114.46"/>
  </r>
  <r>
    <x v="10"/>
    <x v="6"/>
    <x v="6"/>
    <x v="0"/>
    <n v="1222.95"/>
  </r>
  <r>
    <x v="10"/>
    <x v="7"/>
    <x v="7"/>
    <x v="0"/>
    <n v="1347.49"/>
  </r>
  <r>
    <x v="10"/>
    <x v="8"/>
    <x v="8"/>
    <x v="0"/>
    <n v="994.57"/>
  </r>
  <r>
    <x v="10"/>
    <x v="9"/>
    <x v="9"/>
    <x v="0"/>
    <n v="2199"/>
  </r>
  <r>
    <x v="10"/>
    <x v="10"/>
    <x v="10"/>
    <x v="0"/>
    <n v="1896.55"/>
  </r>
  <r>
    <x v="10"/>
    <x v="11"/>
    <x v="11"/>
    <x v="0"/>
    <n v="1328.45"/>
  </r>
  <r>
    <x v="10"/>
    <x v="12"/>
    <x v="12"/>
    <x v="0"/>
    <n v="1707.41"/>
  </r>
  <r>
    <x v="10"/>
    <x v="13"/>
    <x v="13"/>
    <x v="0"/>
    <n v="1139.6600000000001"/>
  </r>
  <r>
    <x v="10"/>
    <x v="14"/>
    <x v="14"/>
    <x v="0"/>
    <n v="1162.82"/>
  </r>
  <r>
    <x v="10"/>
    <x v="15"/>
    <x v="15"/>
    <x v="0"/>
    <n v="1511.69"/>
  </r>
  <r>
    <x v="10"/>
    <x v="16"/>
    <x v="16"/>
    <x v="0"/>
    <n v="1145.81"/>
  </r>
  <r>
    <x v="10"/>
    <x v="17"/>
    <x v="17"/>
    <x v="0"/>
    <n v="1963.43"/>
  </r>
  <r>
    <x v="10"/>
    <x v="18"/>
    <x v="18"/>
    <x v="0"/>
    <n v="1180.2"/>
  </r>
  <r>
    <x v="10"/>
    <x v="19"/>
    <x v="19"/>
    <x v="0"/>
    <n v="3203.52"/>
  </r>
  <r>
    <x v="0"/>
    <x v="0"/>
    <x v="0"/>
    <x v="1"/>
    <n v="794.63"/>
  </r>
  <r>
    <x v="0"/>
    <x v="1"/>
    <x v="1"/>
    <x v="1"/>
    <n v="1253.19"/>
  </r>
  <r>
    <x v="0"/>
    <x v="2"/>
    <x v="2"/>
    <x v="1"/>
    <n v="1003.09"/>
  </r>
  <r>
    <x v="0"/>
    <x v="3"/>
    <x v="3"/>
    <x v="1"/>
    <n v="2899.03"/>
  </r>
  <r>
    <x v="0"/>
    <x v="4"/>
    <x v="4"/>
    <x v="1"/>
    <n v="1091.92"/>
  </r>
  <r>
    <x v="0"/>
    <x v="5"/>
    <x v="5"/>
    <x v="1"/>
    <n v="962.23"/>
  </r>
  <r>
    <x v="0"/>
    <x v="6"/>
    <x v="6"/>
    <x v="1"/>
    <n v="1014.14"/>
  </r>
  <r>
    <x v="0"/>
    <x v="7"/>
    <x v="7"/>
    <x v="1"/>
    <n v="1335.45"/>
  </r>
  <r>
    <x v="0"/>
    <x v="8"/>
    <x v="8"/>
    <x v="1"/>
    <n v="734.04"/>
  </r>
  <r>
    <x v="0"/>
    <x v="9"/>
    <x v="9"/>
    <x v="1"/>
    <n v="1779.88"/>
  </r>
  <r>
    <x v="0"/>
    <x v="10"/>
    <x v="10"/>
    <x v="1"/>
    <n v="2312.4899999999998"/>
  </r>
  <r>
    <x v="0"/>
    <x v="11"/>
    <x v="11"/>
    <x v="1"/>
    <n v="1087.28"/>
  </r>
  <r>
    <x v="0"/>
    <x v="12"/>
    <x v="12"/>
    <x v="1"/>
    <n v="1347.85"/>
  </r>
  <r>
    <x v="0"/>
    <x v="13"/>
    <x v="13"/>
    <x v="1"/>
    <n v="915.77"/>
  </r>
  <r>
    <x v="0"/>
    <x v="14"/>
    <x v="14"/>
    <x v="1"/>
    <n v="1049.32"/>
  </r>
  <r>
    <x v="0"/>
    <x v="15"/>
    <x v="15"/>
    <x v="1"/>
    <n v="1224.42"/>
  </r>
  <r>
    <x v="0"/>
    <x v="16"/>
    <x v="16"/>
    <x v="1"/>
    <n v="941.14"/>
  </r>
  <r>
    <x v="0"/>
    <x v="17"/>
    <x v="17"/>
    <x v="1"/>
    <n v="1556.9"/>
  </r>
  <r>
    <x v="0"/>
    <x v="18"/>
    <x v="18"/>
    <x v="1"/>
    <n v="957.11"/>
  </r>
  <r>
    <x v="0"/>
    <x v="19"/>
    <x v="19"/>
    <x v="1"/>
    <n v="1860.19"/>
  </r>
  <r>
    <x v="1"/>
    <x v="0"/>
    <x v="0"/>
    <x v="1"/>
    <n v="802.68"/>
  </r>
  <r>
    <x v="1"/>
    <x v="1"/>
    <x v="1"/>
    <x v="1"/>
    <n v="1254.1099999999999"/>
  </r>
  <r>
    <x v="1"/>
    <x v="2"/>
    <x v="2"/>
    <x v="1"/>
    <n v="1015.82"/>
  </r>
  <r>
    <x v="1"/>
    <x v="3"/>
    <x v="3"/>
    <x v="1"/>
    <n v="2923.78"/>
  </r>
  <r>
    <x v="1"/>
    <x v="4"/>
    <x v="4"/>
    <x v="1"/>
    <n v="1102.67"/>
  </r>
  <r>
    <x v="1"/>
    <x v="5"/>
    <x v="5"/>
    <x v="1"/>
    <n v="958.61"/>
  </r>
  <r>
    <x v="1"/>
    <x v="6"/>
    <x v="6"/>
    <x v="1"/>
    <n v="1022.01"/>
  </r>
  <r>
    <x v="1"/>
    <x v="7"/>
    <x v="7"/>
    <x v="1"/>
    <n v="1342.5"/>
  </r>
  <r>
    <x v="1"/>
    <x v="8"/>
    <x v="8"/>
    <x v="1"/>
    <n v="736.8"/>
  </r>
  <r>
    <x v="1"/>
    <x v="9"/>
    <x v="9"/>
    <x v="1"/>
    <n v="1770.68"/>
  </r>
  <r>
    <x v="1"/>
    <x v="10"/>
    <x v="10"/>
    <x v="1"/>
    <n v="2302.13"/>
  </r>
  <r>
    <x v="1"/>
    <x v="11"/>
    <x v="11"/>
    <x v="1"/>
    <n v="1080.53"/>
  </r>
  <r>
    <x v="1"/>
    <x v="12"/>
    <x v="12"/>
    <x v="1"/>
    <n v="1352.56"/>
  </r>
  <r>
    <x v="1"/>
    <x v="13"/>
    <x v="13"/>
    <x v="1"/>
    <n v="909.36"/>
  </r>
  <r>
    <x v="1"/>
    <x v="14"/>
    <x v="14"/>
    <x v="1"/>
    <n v="1055.0899999999999"/>
  </r>
  <r>
    <x v="1"/>
    <x v="15"/>
    <x v="15"/>
    <x v="1"/>
    <n v="1215.92"/>
  </r>
  <r>
    <x v="1"/>
    <x v="16"/>
    <x v="16"/>
    <x v="1"/>
    <n v="957.95"/>
  </r>
  <r>
    <x v="1"/>
    <x v="17"/>
    <x v="17"/>
    <x v="1"/>
    <n v="1683.9"/>
  </r>
  <r>
    <x v="1"/>
    <x v="18"/>
    <x v="18"/>
    <x v="1"/>
    <n v="956.51"/>
  </r>
  <r>
    <x v="1"/>
    <x v="19"/>
    <x v="19"/>
    <x v="1"/>
    <n v="2012.88"/>
  </r>
  <r>
    <x v="2"/>
    <x v="0"/>
    <x v="0"/>
    <x v="1"/>
    <n v="832.8"/>
  </r>
  <r>
    <x v="2"/>
    <x v="1"/>
    <x v="1"/>
    <x v="1"/>
    <n v="1286.78"/>
  </r>
  <r>
    <x v="2"/>
    <x v="2"/>
    <x v="2"/>
    <x v="1"/>
    <n v="1031.5999999999999"/>
  </r>
  <r>
    <x v="2"/>
    <x v="3"/>
    <x v="3"/>
    <x v="1"/>
    <n v="2941.6"/>
  </r>
  <r>
    <x v="2"/>
    <x v="4"/>
    <x v="4"/>
    <x v="1"/>
    <n v="1092.5"/>
  </r>
  <r>
    <x v="2"/>
    <x v="5"/>
    <x v="5"/>
    <x v="1"/>
    <n v="955.52"/>
  </r>
  <r>
    <x v="2"/>
    <x v="6"/>
    <x v="6"/>
    <x v="1"/>
    <n v="1039.55"/>
  </r>
  <r>
    <x v="2"/>
    <x v="7"/>
    <x v="7"/>
    <x v="1"/>
    <n v="1359.02"/>
  </r>
  <r>
    <x v="2"/>
    <x v="8"/>
    <x v="8"/>
    <x v="1"/>
    <n v="758.99"/>
  </r>
  <r>
    <x v="2"/>
    <x v="9"/>
    <x v="9"/>
    <x v="1"/>
    <n v="1797.94"/>
  </r>
  <r>
    <x v="2"/>
    <x v="10"/>
    <x v="10"/>
    <x v="1"/>
    <n v="2313.46"/>
  </r>
  <r>
    <x v="2"/>
    <x v="11"/>
    <x v="11"/>
    <x v="1"/>
    <n v="1101.57"/>
  </r>
  <r>
    <x v="2"/>
    <x v="12"/>
    <x v="12"/>
    <x v="1"/>
    <n v="1358.58"/>
  </r>
  <r>
    <x v="2"/>
    <x v="13"/>
    <x v="13"/>
    <x v="1"/>
    <n v="915.81"/>
  </r>
  <r>
    <x v="2"/>
    <x v="14"/>
    <x v="14"/>
    <x v="1"/>
    <n v="1031.68"/>
  </r>
  <r>
    <x v="2"/>
    <x v="15"/>
    <x v="15"/>
    <x v="1"/>
    <n v="1218.18"/>
  </r>
  <r>
    <x v="2"/>
    <x v="16"/>
    <x v="16"/>
    <x v="1"/>
    <n v="977.41"/>
  </r>
  <r>
    <x v="2"/>
    <x v="17"/>
    <x v="17"/>
    <x v="1"/>
    <n v="1710.96"/>
  </r>
  <r>
    <x v="2"/>
    <x v="18"/>
    <x v="18"/>
    <x v="1"/>
    <n v="964.7"/>
  </r>
  <r>
    <x v="2"/>
    <x v="19"/>
    <x v="19"/>
    <x v="1"/>
    <n v="2228.17"/>
  </r>
  <r>
    <x v="3"/>
    <x v="0"/>
    <x v="0"/>
    <x v="1"/>
    <n v="850.4"/>
  </r>
  <r>
    <x v="3"/>
    <x v="1"/>
    <x v="1"/>
    <x v="1"/>
    <n v="1296.04"/>
  </r>
  <r>
    <x v="3"/>
    <x v="2"/>
    <x v="2"/>
    <x v="1"/>
    <n v="1068.43"/>
  </r>
  <r>
    <x v="3"/>
    <x v="3"/>
    <x v="3"/>
    <x v="1"/>
    <n v="2914.67"/>
  </r>
  <r>
    <x v="3"/>
    <x v="4"/>
    <x v="4"/>
    <x v="1"/>
    <n v="1108.54"/>
  </r>
  <r>
    <x v="3"/>
    <x v="5"/>
    <x v="5"/>
    <x v="1"/>
    <n v="967.03"/>
  </r>
  <r>
    <x v="3"/>
    <x v="6"/>
    <x v="6"/>
    <x v="1"/>
    <n v="1066.6400000000001"/>
  </r>
  <r>
    <x v="3"/>
    <x v="7"/>
    <x v="7"/>
    <x v="1"/>
    <n v="1384.77"/>
  </r>
  <r>
    <x v="3"/>
    <x v="8"/>
    <x v="8"/>
    <x v="1"/>
    <n v="788.29"/>
  </r>
  <r>
    <x v="3"/>
    <x v="9"/>
    <x v="9"/>
    <x v="1"/>
    <n v="1808.57"/>
  </r>
  <r>
    <x v="3"/>
    <x v="10"/>
    <x v="10"/>
    <x v="1"/>
    <n v="2305.21"/>
  </r>
  <r>
    <x v="3"/>
    <x v="11"/>
    <x v="11"/>
    <x v="1"/>
    <n v="1115"/>
  </r>
  <r>
    <x v="3"/>
    <x v="12"/>
    <x v="12"/>
    <x v="1"/>
    <n v="1414.09"/>
  </r>
  <r>
    <x v="3"/>
    <x v="13"/>
    <x v="13"/>
    <x v="1"/>
    <n v="940.16"/>
  </r>
  <r>
    <x v="3"/>
    <x v="14"/>
    <x v="14"/>
    <x v="1"/>
    <n v="1056.22"/>
  </r>
  <r>
    <x v="3"/>
    <x v="15"/>
    <x v="15"/>
    <x v="1"/>
    <n v="1243.1300000000001"/>
  </r>
  <r>
    <x v="3"/>
    <x v="16"/>
    <x v="16"/>
    <x v="1"/>
    <n v="1008.97"/>
  </r>
  <r>
    <x v="3"/>
    <x v="17"/>
    <x v="17"/>
    <x v="1"/>
    <n v="1798.97"/>
  </r>
  <r>
    <x v="3"/>
    <x v="18"/>
    <x v="18"/>
    <x v="1"/>
    <n v="994.49"/>
  </r>
  <r>
    <x v="3"/>
    <x v="19"/>
    <x v="19"/>
    <x v="1"/>
    <n v="2104.88"/>
  </r>
  <r>
    <x v="4"/>
    <x v="0"/>
    <x v="0"/>
    <x v="1"/>
    <n v="896.43"/>
  </r>
  <r>
    <x v="4"/>
    <x v="1"/>
    <x v="1"/>
    <x v="1"/>
    <n v="1403.23"/>
  </r>
  <r>
    <x v="4"/>
    <x v="2"/>
    <x v="2"/>
    <x v="1"/>
    <n v="1110.54"/>
  </r>
  <r>
    <x v="4"/>
    <x v="3"/>
    <x v="3"/>
    <x v="1"/>
    <n v="2948.55"/>
  </r>
  <r>
    <x v="4"/>
    <x v="4"/>
    <x v="4"/>
    <x v="1"/>
    <n v="1150.68"/>
  </r>
  <r>
    <x v="4"/>
    <x v="5"/>
    <x v="5"/>
    <x v="1"/>
    <n v="993.18"/>
  </r>
  <r>
    <x v="4"/>
    <x v="6"/>
    <x v="6"/>
    <x v="1"/>
    <n v="1099.03"/>
  </r>
  <r>
    <x v="4"/>
    <x v="7"/>
    <x v="7"/>
    <x v="1"/>
    <n v="1425.95"/>
  </r>
  <r>
    <x v="4"/>
    <x v="8"/>
    <x v="8"/>
    <x v="1"/>
    <n v="820.22"/>
  </r>
  <r>
    <x v="4"/>
    <x v="9"/>
    <x v="9"/>
    <x v="1"/>
    <n v="1867.06"/>
  </r>
  <r>
    <x v="4"/>
    <x v="10"/>
    <x v="10"/>
    <x v="1"/>
    <n v="2321.41"/>
  </r>
  <r>
    <x v="4"/>
    <x v="11"/>
    <x v="11"/>
    <x v="1"/>
    <n v="1148.17"/>
  </r>
  <r>
    <x v="4"/>
    <x v="12"/>
    <x v="12"/>
    <x v="1"/>
    <n v="1446.18"/>
  </r>
  <r>
    <x v="4"/>
    <x v="13"/>
    <x v="13"/>
    <x v="1"/>
    <n v="974.19"/>
  </r>
  <r>
    <x v="4"/>
    <x v="14"/>
    <x v="14"/>
    <x v="1"/>
    <n v="1099.5999999999999"/>
  </r>
  <r>
    <x v="4"/>
    <x v="15"/>
    <x v="15"/>
    <x v="1"/>
    <n v="1272.3900000000001"/>
  </r>
  <r>
    <x v="4"/>
    <x v="16"/>
    <x v="16"/>
    <x v="1"/>
    <n v="1045.1199999999999"/>
  </r>
  <r>
    <x v="4"/>
    <x v="17"/>
    <x v="17"/>
    <x v="1"/>
    <n v="1800.76"/>
  </r>
  <r>
    <x v="4"/>
    <x v="18"/>
    <x v="18"/>
    <x v="1"/>
    <n v="1024"/>
  </r>
  <r>
    <x v="4"/>
    <x v="19"/>
    <x v="19"/>
    <x v="1"/>
    <n v="2323.9899999999998"/>
  </r>
  <r>
    <x v="5"/>
    <x v="0"/>
    <x v="0"/>
    <x v="1"/>
    <n v="945.56"/>
  </r>
  <r>
    <x v="5"/>
    <x v="1"/>
    <x v="1"/>
    <x v="1"/>
    <n v="1459.11"/>
  </r>
  <r>
    <x v="5"/>
    <x v="2"/>
    <x v="2"/>
    <x v="1"/>
    <n v="1154.94"/>
  </r>
  <r>
    <x v="5"/>
    <x v="3"/>
    <x v="3"/>
    <x v="1"/>
    <n v="2904.2"/>
  </r>
  <r>
    <x v="5"/>
    <x v="4"/>
    <x v="4"/>
    <x v="1"/>
    <n v="1174.83"/>
  </r>
  <r>
    <x v="5"/>
    <x v="5"/>
    <x v="5"/>
    <x v="1"/>
    <n v="1025"/>
  </r>
  <r>
    <x v="5"/>
    <x v="6"/>
    <x v="6"/>
    <x v="1"/>
    <n v="1140.32"/>
  </r>
  <r>
    <x v="5"/>
    <x v="7"/>
    <x v="7"/>
    <x v="1"/>
    <n v="1489.52"/>
  </r>
  <r>
    <x v="5"/>
    <x v="8"/>
    <x v="8"/>
    <x v="1"/>
    <n v="851.31"/>
  </r>
  <r>
    <x v="5"/>
    <x v="9"/>
    <x v="9"/>
    <x v="1"/>
    <n v="1919.57"/>
  </r>
  <r>
    <x v="5"/>
    <x v="10"/>
    <x v="10"/>
    <x v="1"/>
    <n v="2330.36"/>
  </r>
  <r>
    <x v="5"/>
    <x v="11"/>
    <x v="11"/>
    <x v="1"/>
    <n v="1193.98"/>
  </r>
  <r>
    <x v="5"/>
    <x v="12"/>
    <x v="12"/>
    <x v="1"/>
    <n v="1498.25"/>
  </r>
  <r>
    <x v="5"/>
    <x v="13"/>
    <x v="13"/>
    <x v="1"/>
    <n v="1006.82"/>
  </r>
  <r>
    <x v="5"/>
    <x v="14"/>
    <x v="14"/>
    <x v="1"/>
    <n v="1161.46"/>
  </r>
  <r>
    <x v="5"/>
    <x v="15"/>
    <x v="15"/>
    <x v="1"/>
    <n v="1336.35"/>
  </r>
  <r>
    <x v="5"/>
    <x v="16"/>
    <x v="16"/>
    <x v="1"/>
    <n v="1088.3399999999999"/>
  </r>
  <r>
    <x v="5"/>
    <x v="17"/>
    <x v="17"/>
    <x v="1"/>
    <n v="1856.55"/>
  </r>
  <r>
    <x v="5"/>
    <x v="18"/>
    <x v="18"/>
    <x v="1"/>
    <n v="1057.8699999999999"/>
  </r>
  <r>
    <x v="5"/>
    <x v="19"/>
    <x v="19"/>
    <x v="1"/>
    <n v="2299.36"/>
  </r>
  <r>
    <x v="6"/>
    <x v="0"/>
    <x v="0"/>
    <x v="1"/>
    <n v="949.69"/>
  </r>
  <r>
    <x v="6"/>
    <x v="1"/>
    <x v="1"/>
    <x v="1"/>
    <n v="1500.09"/>
  </r>
  <r>
    <x v="6"/>
    <x v="2"/>
    <x v="2"/>
    <x v="1"/>
    <n v="1198.04"/>
  </r>
  <r>
    <x v="6"/>
    <x v="3"/>
    <x v="3"/>
    <x v="1"/>
    <n v="2956.05"/>
  </r>
  <r>
    <x v="6"/>
    <x v="4"/>
    <x v="4"/>
    <x v="1"/>
    <n v="1204.9000000000001"/>
  </r>
  <r>
    <x v="6"/>
    <x v="5"/>
    <x v="5"/>
    <x v="1"/>
    <n v="1042.3699999999999"/>
  </r>
  <r>
    <x v="6"/>
    <x v="6"/>
    <x v="6"/>
    <x v="1"/>
    <n v="1176.33"/>
  </r>
  <r>
    <x v="6"/>
    <x v="7"/>
    <x v="7"/>
    <x v="1"/>
    <n v="1418.68"/>
  </r>
  <r>
    <x v="6"/>
    <x v="8"/>
    <x v="8"/>
    <x v="1"/>
    <n v="858.93"/>
  </r>
  <r>
    <x v="6"/>
    <x v="9"/>
    <x v="9"/>
    <x v="1"/>
    <n v="1970.06"/>
  </r>
  <r>
    <x v="6"/>
    <x v="10"/>
    <x v="10"/>
    <x v="1"/>
    <n v="2366.37"/>
  </r>
  <r>
    <x v="6"/>
    <x v="11"/>
    <x v="11"/>
    <x v="1"/>
    <n v="1237.47"/>
  </r>
  <r>
    <x v="6"/>
    <x v="12"/>
    <x v="12"/>
    <x v="1"/>
    <n v="1543.35"/>
  </r>
  <r>
    <x v="6"/>
    <x v="13"/>
    <x v="13"/>
    <x v="1"/>
    <n v="1032.8800000000001"/>
  </r>
  <r>
    <x v="6"/>
    <x v="14"/>
    <x v="14"/>
    <x v="1"/>
    <n v="1222.78"/>
  </r>
  <r>
    <x v="6"/>
    <x v="15"/>
    <x v="15"/>
    <x v="1"/>
    <n v="1375.08"/>
  </r>
  <r>
    <x v="6"/>
    <x v="16"/>
    <x v="16"/>
    <x v="1"/>
    <n v="1112.49"/>
  </r>
  <r>
    <x v="6"/>
    <x v="17"/>
    <x v="17"/>
    <x v="1"/>
    <n v="2043.82"/>
  </r>
  <r>
    <x v="6"/>
    <x v="18"/>
    <x v="18"/>
    <x v="1"/>
    <n v="1115.8800000000001"/>
  </r>
  <r>
    <x v="6"/>
    <x v="19"/>
    <x v="19"/>
    <x v="1"/>
    <n v="2045.65"/>
  </r>
  <r>
    <x v="7"/>
    <x v="0"/>
    <x v="0"/>
    <x v="1"/>
    <n v="1011.43"/>
  </r>
  <r>
    <x v="7"/>
    <x v="1"/>
    <x v="1"/>
    <x v="1"/>
    <n v="1596.03"/>
  </r>
  <r>
    <x v="7"/>
    <x v="2"/>
    <x v="2"/>
    <x v="1"/>
    <n v="1224.79"/>
  </r>
  <r>
    <x v="7"/>
    <x v="3"/>
    <x v="3"/>
    <x v="1"/>
    <n v="2965.84"/>
  </r>
  <r>
    <x v="7"/>
    <x v="4"/>
    <x v="4"/>
    <x v="1"/>
    <n v="1227.3"/>
  </r>
  <r>
    <x v="7"/>
    <x v="5"/>
    <x v="5"/>
    <x v="1"/>
    <n v="1103.17"/>
  </r>
  <r>
    <x v="7"/>
    <x v="6"/>
    <x v="6"/>
    <x v="1"/>
    <n v="1224.17"/>
  </r>
  <r>
    <x v="7"/>
    <x v="7"/>
    <x v="7"/>
    <x v="1"/>
    <n v="1463.67"/>
  </r>
  <r>
    <x v="7"/>
    <x v="8"/>
    <x v="8"/>
    <x v="1"/>
    <n v="913.66"/>
  </r>
  <r>
    <x v="7"/>
    <x v="9"/>
    <x v="9"/>
    <x v="1"/>
    <n v="2046.09"/>
  </r>
  <r>
    <x v="7"/>
    <x v="10"/>
    <x v="10"/>
    <x v="1"/>
    <n v="2374.41"/>
  </r>
  <r>
    <x v="7"/>
    <x v="11"/>
    <x v="11"/>
    <x v="1"/>
    <n v="1277.49"/>
  </r>
  <r>
    <x v="7"/>
    <x v="12"/>
    <x v="12"/>
    <x v="1"/>
    <n v="1612.77"/>
  </r>
  <r>
    <x v="7"/>
    <x v="13"/>
    <x v="13"/>
    <x v="1"/>
    <n v="1086.1400000000001"/>
  </r>
  <r>
    <x v="7"/>
    <x v="14"/>
    <x v="14"/>
    <x v="1"/>
    <n v="1269.25"/>
  </r>
  <r>
    <x v="7"/>
    <x v="15"/>
    <x v="15"/>
    <x v="1"/>
    <n v="1415.08"/>
  </r>
  <r>
    <x v="7"/>
    <x v="16"/>
    <x v="16"/>
    <x v="1"/>
    <n v="1148.8"/>
  </r>
  <r>
    <x v="7"/>
    <x v="17"/>
    <x v="17"/>
    <x v="1"/>
    <n v="1981.67"/>
  </r>
  <r>
    <x v="7"/>
    <x v="18"/>
    <x v="18"/>
    <x v="1"/>
    <n v="1140.2"/>
  </r>
  <r>
    <x v="7"/>
    <x v="19"/>
    <x v="19"/>
    <x v="1"/>
    <n v="1997.5"/>
  </r>
  <r>
    <x v="8"/>
    <x v="0"/>
    <x v="0"/>
    <x v="1"/>
    <n v="1058.3699999999999"/>
  </r>
  <r>
    <x v="8"/>
    <x v="1"/>
    <x v="1"/>
    <x v="1"/>
    <n v="1702.24"/>
  </r>
  <r>
    <x v="8"/>
    <x v="2"/>
    <x v="2"/>
    <x v="1"/>
    <n v="1302.5899999999999"/>
  </r>
  <r>
    <x v="8"/>
    <x v="3"/>
    <x v="3"/>
    <x v="1"/>
    <n v="3040.89"/>
  </r>
  <r>
    <x v="8"/>
    <x v="4"/>
    <x v="4"/>
    <x v="1"/>
    <n v="1275.54"/>
  </r>
  <r>
    <x v="8"/>
    <x v="5"/>
    <x v="5"/>
    <x v="1"/>
    <n v="1149.6099999999999"/>
  </r>
  <r>
    <x v="8"/>
    <x v="6"/>
    <x v="6"/>
    <x v="1"/>
    <n v="1280.54"/>
  </r>
  <r>
    <x v="8"/>
    <x v="7"/>
    <x v="7"/>
    <x v="1"/>
    <n v="1651.37"/>
  </r>
  <r>
    <x v="8"/>
    <x v="8"/>
    <x v="8"/>
    <x v="1"/>
    <n v="977.82"/>
  </r>
  <r>
    <x v="8"/>
    <x v="9"/>
    <x v="9"/>
    <x v="1"/>
    <n v="2222.2600000000002"/>
  </r>
  <r>
    <x v="8"/>
    <x v="10"/>
    <x v="10"/>
    <x v="1"/>
    <n v="2429.02"/>
  </r>
  <r>
    <x v="8"/>
    <x v="11"/>
    <x v="11"/>
    <x v="1"/>
    <n v="1343.29"/>
  </r>
  <r>
    <x v="8"/>
    <x v="12"/>
    <x v="12"/>
    <x v="1"/>
    <n v="1708.75"/>
  </r>
  <r>
    <x v="8"/>
    <x v="13"/>
    <x v="13"/>
    <x v="1"/>
    <n v="1156.51"/>
  </r>
  <r>
    <x v="8"/>
    <x v="14"/>
    <x v="14"/>
    <x v="1"/>
    <n v="1293.6300000000001"/>
  </r>
  <r>
    <x v="8"/>
    <x v="15"/>
    <x v="15"/>
    <x v="1"/>
    <n v="1477.62"/>
  </r>
  <r>
    <x v="8"/>
    <x v="16"/>
    <x v="16"/>
    <x v="1"/>
    <n v="1186.79"/>
  </r>
  <r>
    <x v="8"/>
    <x v="17"/>
    <x v="17"/>
    <x v="1"/>
    <n v="2006.93"/>
  </r>
  <r>
    <x v="8"/>
    <x v="18"/>
    <x v="18"/>
    <x v="1"/>
    <n v="1185.8599999999999"/>
  </r>
  <r>
    <x v="8"/>
    <x v="19"/>
    <x v="19"/>
    <x v="1"/>
    <n v="3245.89"/>
  </r>
  <r>
    <x v="9"/>
    <x v="0"/>
    <x v="0"/>
    <x v="1"/>
    <n v="1125.73"/>
  </r>
  <r>
    <x v="9"/>
    <x v="1"/>
    <x v="1"/>
    <x v="1"/>
    <n v="1969.8"/>
  </r>
  <r>
    <x v="9"/>
    <x v="2"/>
    <x v="2"/>
    <x v="1"/>
    <n v="1400.65"/>
  </r>
  <r>
    <x v="9"/>
    <x v="3"/>
    <x v="3"/>
    <x v="1"/>
    <n v="3171.51"/>
  </r>
  <r>
    <x v="9"/>
    <x v="4"/>
    <x v="4"/>
    <x v="1"/>
    <n v="1387.57"/>
  </r>
  <r>
    <x v="9"/>
    <x v="5"/>
    <x v="5"/>
    <x v="1"/>
    <n v="1231.28"/>
  </r>
  <r>
    <x v="9"/>
    <x v="6"/>
    <x v="6"/>
    <x v="1"/>
    <n v="1373.91"/>
  </r>
  <r>
    <x v="9"/>
    <x v="7"/>
    <x v="7"/>
    <x v="1"/>
    <n v="1761.67"/>
  </r>
  <r>
    <x v="9"/>
    <x v="8"/>
    <x v="8"/>
    <x v="1"/>
    <n v="1046.9100000000001"/>
  </r>
  <r>
    <x v="9"/>
    <x v="9"/>
    <x v="9"/>
    <x v="1"/>
    <n v="2360.1999999999998"/>
  </r>
  <r>
    <x v="9"/>
    <x v="10"/>
    <x v="10"/>
    <x v="1"/>
    <n v="2579.31"/>
  </r>
  <r>
    <x v="9"/>
    <x v="11"/>
    <x v="11"/>
    <x v="1"/>
    <n v="1449.6"/>
  </r>
  <r>
    <x v="9"/>
    <x v="12"/>
    <x v="12"/>
    <x v="1"/>
    <n v="1854.12"/>
  </r>
  <r>
    <x v="9"/>
    <x v="13"/>
    <x v="13"/>
    <x v="1"/>
    <n v="1263.92"/>
  </r>
  <r>
    <x v="9"/>
    <x v="14"/>
    <x v="14"/>
    <x v="1"/>
    <n v="1386.73"/>
  </r>
  <r>
    <x v="9"/>
    <x v="15"/>
    <x v="15"/>
    <x v="1"/>
    <n v="1587.99"/>
  </r>
  <r>
    <x v="9"/>
    <x v="16"/>
    <x v="16"/>
    <x v="1"/>
    <n v="1250.5999999999999"/>
  </r>
  <r>
    <x v="9"/>
    <x v="17"/>
    <x v="17"/>
    <x v="1"/>
    <n v="2131.9699999999998"/>
  </r>
  <r>
    <x v="9"/>
    <x v="18"/>
    <x v="18"/>
    <x v="1"/>
    <n v="1259.4000000000001"/>
  </r>
  <r>
    <x v="9"/>
    <x v="19"/>
    <x v="19"/>
    <x v="1"/>
    <n v="3521.63"/>
  </r>
  <r>
    <x v="10"/>
    <x v="0"/>
    <x v="0"/>
    <x v="1"/>
    <n v="1210.1300000000001"/>
  </r>
  <r>
    <x v="10"/>
    <x v="1"/>
    <x v="1"/>
    <x v="1"/>
    <n v="2021.23"/>
  </r>
  <r>
    <x v="10"/>
    <x v="2"/>
    <x v="2"/>
    <x v="1"/>
    <n v="1521.41"/>
  </r>
  <r>
    <x v="10"/>
    <x v="3"/>
    <x v="3"/>
    <x v="1"/>
    <n v="3320.85"/>
  </r>
  <r>
    <x v="10"/>
    <x v="4"/>
    <x v="4"/>
    <x v="1"/>
    <n v="1478.52"/>
  </r>
  <r>
    <x v="10"/>
    <x v="5"/>
    <x v="5"/>
    <x v="1"/>
    <n v="1336.73"/>
  </r>
  <r>
    <x v="10"/>
    <x v="6"/>
    <x v="6"/>
    <x v="1"/>
    <n v="1471.31"/>
  </r>
  <r>
    <x v="10"/>
    <x v="7"/>
    <x v="7"/>
    <x v="1"/>
    <n v="1856.48"/>
  </r>
  <r>
    <x v="10"/>
    <x v="8"/>
    <x v="8"/>
    <x v="1"/>
    <n v="1125.3499999999999"/>
  </r>
  <r>
    <x v="10"/>
    <x v="9"/>
    <x v="9"/>
    <x v="1"/>
    <n v="2565.69"/>
  </r>
  <r>
    <x v="10"/>
    <x v="10"/>
    <x v="10"/>
    <x v="1"/>
    <n v="2718.01"/>
  </r>
  <r>
    <x v="10"/>
    <x v="11"/>
    <x v="11"/>
    <x v="1"/>
    <n v="1535.49"/>
  </r>
  <r>
    <x v="10"/>
    <x v="12"/>
    <x v="12"/>
    <x v="1"/>
    <n v="1980.2"/>
  </r>
  <r>
    <x v="10"/>
    <x v="13"/>
    <x v="13"/>
    <x v="1"/>
    <n v="1367.59"/>
  </r>
  <r>
    <x v="10"/>
    <x v="14"/>
    <x v="14"/>
    <x v="1"/>
    <n v="1479.67"/>
  </r>
  <r>
    <x v="10"/>
    <x v="15"/>
    <x v="15"/>
    <x v="1"/>
    <n v="1682.54"/>
  </r>
  <r>
    <x v="10"/>
    <x v="16"/>
    <x v="16"/>
    <x v="1"/>
    <n v="1396.03"/>
  </r>
  <r>
    <x v="10"/>
    <x v="17"/>
    <x v="17"/>
    <x v="1"/>
    <n v="2222.9899999999998"/>
  </r>
  <r>
    <x v="10"/>
    <x v="18"/>
    <x v="18"/>
    <x v="1"/>
    <n v="1356.2"/>
  </r>
  <r>
    <x v="10"/>
    <x v="19"/>
    <x v="19"/>
    <x v="1"/>
    <n v="3420.7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x v="0"/>
    <n v="909.49"/>
  </r>
  <r>
    <x v="0"/>
    <x v="0"/>
    <x v="1"/>
    <n v="985.02"/>
  </r>
  <r>
    <x v="0"/>
    <x v="0"/>
    <x v="2"/>
    <n v="820.25"/>
  </r>
  <r>
    <x v="1"/>
    <x v="0"/>
    <x v="0"/>
    <n v="913.93"/>
  </r>
  <r>
    <x v="1"/>
    <x v="0"/>
    <x v="1"/>
    <n v="990.05"/>
  </r>
  <r>
    <x v="1"/>
    <x v="0"/>
    <x v="2"/>
    <n v="824.99"/>
  </r>
  <r>
    <x v="2"/>
    <x v="0"/>
    <x v="0"/>
    <n v="924.94"/>
  </r>
  <r>
    <x v="2"/>
    <x v="0"/>
    <x v="1"/>
    <n v="997.38"/>
  </r>
  <r>
    <x v="2"/>
    <x v="0"/>
    <x v="2"/>
    <n v="840.26"/>
  </r>
  <r>
    <x v="3"/>
    <x v="0"/>
    <x v="0"/>
    <n v="943"/>
  </r>
  <r>
    <x v="3"/>
    <x v="0"/>
    <x v="1"/>
    <n v="1012.25"/>
  </r>
  <r>
    <x v="3"/>
    <x v="0"/>
    <x v="2"/>
    <n v="861.17"/>
  </r>
  <r>
    <x v="4"/>
    <x v="0"/>
    <x v="0"/>
    <n v="970.42"/>
  </r>
  <r>
    <x v="4"/>
    <x v="0"/>
    <x v="1"/>
    <n v="1039.08"/>
  </r>
  <r>
    <x v="4"/>
    <x v="0"/>
    <x v="2"/>
    <n v="888.56"/>
  </r>
  <r>
    <x v="5"/>
    <x v="0"/>
    <x v="0"/>
    <n v="1005.09"/>
  </r>
  <r>
    <x v="5"/>
    <x v="0"/>
    <x v="1"/>
    <n v="1073.82"/>
  </r>
  <r>
    <x v="5"/>
    <x v="0"/>
    <x v="2"/>
    <n v="922.63"/>
  </r>
  <r>
    <x v="6"/>
    <x v="0"/>
    <x v="0"/>
    <n v="1041.99"/>
  </r>
  <r>
    <x v="6"/>
    <x v="0"/>
    <x v="1"/>
    <n v="1109.21"/>
  </r>
  <r>
    <x v="6"/>
    <x v="0"/>
    <x v="2"/>
    <n v="960.27"/>
  </r>
  <r>
    <x v="7"/>
    <x v="0"/>
    <x v="0"/>
    <n v="1082.77"/>
  </r>
  <r>
    <x v="7"/>
    <x v="0"/>
    <x v="1"/>
    <n v="1152.24"/>
  </r>
  <r>
    <x v="7"/>
    <x v="0"/>
    <x v="2"/>
    <n v="999.33"/>
  </r>
  <r>
    <x v="8"/>
    <x v="0"/>
    <x v="0"/>
    <n v="1143.45"/>
  </r>
  <r>
    <x v="8"/>
    <x v="0"/>
    <x v="1"/>
    <n v="1217.33"/>
  </r>
  <r>
    <x v="8"/>
    <x v="0"/>
    <x v="2"/>
    <n v="1054.3599999999999"/>
  </r>
  <r>
    <x v="9"/>
    <x v="0"/>
    <x v="0"/>
    <n v="1219.8699999999999"/>
  </r>
  <r>
    <x v="9"/>
    <x v="0"/>
    <x v="1"/>
    <n v="1294.03"/>
  </r>
  <r>
    <x v="9"/>
    <x v="0"/>
    <x v="2"/>
    <n v="1129.6400000000001"/>
  </r>
  <r>
    <x v="10"/>
    <x v="0"/>
    <x v="0"/>
    <n v="1308.96"/>
  </r>
  <r>
    <x v="10"/>
    <x v="0"/>
    <x v="1"/>
    <n v="1383.38"/>
  </r>
  <r>
    <x v="10"/>
    <x v="0"/>
    <x v="2"/>
    <n v="1216.8499999999999"/>
  </r>
  <r>
    <x v="0"/>
    <x v="1"/>
    <x v="0"/>
    <n v="1093.21"/>
  </r>
  <r>
    <x v="0"/>
    <x v="1"/>
    <x v="1"/>
    <n v="1203.32"/>
  </r>
  <r>
    <x v="0"/>
    <x v="1"/>
    <x v="2"/>
    <n v="963.12"/>
  </r>
  <r>
    <x v="1"/>
    <x v="1"/>
    <x v="0"/>
    <n v="1096.6600000000001"/>
  </r>
  <r>
    <x v="1"/>
    <x v="1"/>
    <x v="1"/>
    <n v="1207.76"/>
  </r>
  <r>
    <x v="1"/>
    <x v="1"/>
    <x v="2"/>
    <n v="966.85"/>
  </r>
  <r>
    <x v="2"/>
    <x v="1"/>
    <x v="0"/>
    <n v="1107.8599999999999"/>
  </r>
  <r>
    <x v="2"/>
    <x v="1"/>
    <x v="1"/>
    <n v="1215.1099999999999"/>
  </r>
  <r>
    <x v="2"/>
    <x v="1"/>
    <x v="2"/>
    <n v="982.49"/>
  </r>
  <r>
    <x v="3"/>
    <x v="1"/>
    <x v="0"/>
    <n v="1133.3399999999999"/>
  </r>
  <r>
    <x v="3"/>
    <x v="1"/>
    <x v="1"/>
    <n v="1236.8499999999999"/>
  </r>
  <r>
    <x v="3"/>
    <x v="1"/>
    <x v="2"/>
    <n v="1011.02"/>
  </r>
  <r>
    <x v="4"/>
    <x v="1"/>
    <x v="0"/>
    <n v="1170.25"/>
  </r>
  <r>
    <x v="4"/>
    <x v="1"/>
    <x v="1"/>
    <n v="1273.99"/>
  </r>
  <r>
    <x v="4"/>
    <x v="1"/>
    <x v="2"/>
    <n v="1046.5899999999999"/>
  </r>
  <r>
    <x v="5"/>
    <x v="1"/>
    <x v="0"/>
    <n v="1209.94"/>
  </r>
  <r>
    <x v="5"/>
    <x v="1"/>
    <x v="1"/>
    <n v="1312.43"/>
  </r>
  <r>
    <x v="5"/>
    <x v="1"/>
    <x v="2"/>
    <n v="1086.97"/>
  </r>
  <r>
    <x v="6"/>
    <x v="1"/>
    <x v="0"/>
    <n v="1250.75"/>
  </r>
  <r>
    <x v="6"/>
    <x v="1"/>
    <x v="1"/>
    <n v="1349.35"/>
  </r>
  <r>
    <x v="6"/>
    <x v="1"/>
    <x v="2"/>
    <n v="1130.8699999999999"/>
  </r>
  <r>
    <x v="7"/>
    <x v="1"/>
    <x v="0"/>
    <n v="1294.1099999999999"/>
  </r>
  <r>
    <x v="7"/>
    <x v="1"/>
    <x v="1"/>
    <n v="1395.7"/>
  </r>
  <r>
    <x v="7"/>
    <x v="1"/>
    <x v="2"/>
    <n v="1172.08"/>
  </r>
  <r>
    <x v="8"/>
    <x v="1"/>
    <x v="0"/>
    <n v="1368"/>
  </r>
  <r>
    <x v="8"/>
    <x v="1"/>
    <x v="1"/>
    <n v="1476.2"/>
  </r>
  <r>
    <x v="8"/>
    <x v="1"/>
    <x v="2"/>
    <n v="1237.52"/>
  </r>
  <r>
    <x v="9"/>
    <x v="1"/>
    <x v="0"/>
    <n v="1466.66"/>
  </r>
  <r>
    <x v="9"/>
    <x v="1"/>
    <x v="1"/>
    <n v="1577.33"/>
  </r>
  <r>
    <x v="9"/>
    <x v="1"/>
    <x v="2"/>
    <n v="1332.02"/>
  </r>
  <r>
    <x v="10"/>
    <x v="1"/>
    <x v="0"/>
    <n v="1582.75"/>
  </r>
  <r>
    <x v="10"/>
    <x v="1"/>
    <x v="1"/>
    <n v="1693.55"/>
  </r>
  <r>
    <x v="10"/>
    <x v="1"/>
    <x v="2"/>
    <n v="1445.5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CDA4C72-4297-463F-896B-DD0EB4166712}" name="Tabela Dinâmica3" cacheId="32"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3">
  <location ref="A80:C93" firstHeaderRow="1" firstDataRow="3" firstDataCol="1"/>
  <pivotFields count="4">
    <pivotField axis="axisRow" showAll="0">
      <items count="15">
        <item m="1" x="12"/>
        <item m="1" x="13"/>
        <item m="1" x="11"/>
        <item x="0"/>
        <item x="1"/>
        <item x="2"/>
        <item x="3"/>
        <item x="4"/>
        <item x="5"/>
        <item x="6"/>
        <item x="7"/>
        <item x="8"/>
        <item x="9"/>
        <item x="10"/>
        <item t="default"/>
      </items>
    </pivotField>
    <pivotField axis="axisCol" showAll="0" defaultSubtotal="0">
      <items count="4">
        <item h="1" m="1" x="2"/>
        <item h="1" m="1" x="3"/>
        <item x="0"/>
        <item x="1"/>
      </items>
    </pivotField>
    <pivotField axis="axisCol" showAll="0">
      <items count="4">
        <item x="0"/>
        <item h="1" x="1"/>
        <item h="1" x="2"/>
        <item t="default"/>
      </items>
    </pivotField>
    <pivotField dataField="1" numFmtId="2" showAll="0"/>
  </pivotFields>
  <rowFields count="1">
    <field x="0"/>
  </rowFields>
  <rowItems count="11">
    <i>
      <x v="3"/>
    </i>
    <i>
      <x v="4"/>
    </i>
    <i>
      <x v="5"/>
    </i>
    <i>
      <x v="6"/>
    </i>
    <i>
      <x v="7"/>
    </i>
    <i>
      <x v="8"/>
    </i>
    <i>
      <x v="9"/>
    </i>
    <i>
      <x v="10"/>
    </i>
    <i>
      <x v="11"/>
    </i>
    <i>
      <x v="12"/>
    </i>
    <i>
      <x v="13"/>
    </i>
  </rowItems>
  <colFields count="2">
    <field x="1"/>
    <field x="2"/>
  </colFields>
  <colItems count="2">
    <i>
      <x v="2"/>
      <x/>
    </i>
    <i>
      <x v="3"/>
      <x/>
    </i>
  </colItems>
  <dataFields count="1">
    <dataField name="Soma de Valor" fld="3" baseField="0" baseItem="0"/>
  </dataFields>
  <chartFormats count="12">
    <chartFormat chart="0" format="0" series="1">
      <pivotArea type="data" outline="0" fieldPosition="0">
        <references count="1">
          <reference field="4294967294" count="1" selected="0">
            <x v="0"/>
          </reference>
        </references>
      </pivotArea>
    </chartFormat>
    <chartFormat chart="0" format="11" series="1">
      <pivotArea type="data" outline="0" fieldPosition="0">
        <references count="2">
          <reference field="4294967294" count="1" selected="0">
            <x v="0"/>
          </reference>
          <reference field="1" count="1" selected="0">
            <x v="3"/>
          </reference>
        </references>
      </pivotArea>
    </chartFormat>
    <chartFormat chart="2" format="20" series="1">
      <pivotArea type="data" outline="0" fieldPosition="0">
        <references count="1">
          <reference field="4294967294" count="1" selected="0">
            <x v="0"/>
          </reference>
        </references>
      </pivotArea>
    </chartFormat>
    <chartFormat chart="2" format="21"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22" series="1">
      <pivotArea type="data" outline="0" fieldPosition="0">
        <references count="3">
          <reference field="4294967294" count="1" selected="0">
            <x v="0"/>
          </reference>
          <reference field="1" count="1" selected="0">
            <x v="2"/>
          </reference>
          <reference field="2" count="1" selected="0">
            <x v="2"/>
          </reference>
        </references>
      </pivotArea>
    </chartFormat>
    <chartFormat chart="0" format="12" series="1">
      <pivotArea type="data" outline="0" fieldPosition="0">
        <references count="3">
          <reference field="4294967294" count="1" selected="0">
            <x v="0"/>
          </reference>
          <reference field="1" count="1" selected="0">
            <x v="2"/>
          </reference>
          <reference field="2" count="1" selected="0">
            <x v="1"/>
          </reference>
        </references>
      </pivotArea>
    </chartFormat>
    <chartFormat chart="0" format="13"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23" series="1">
      <pivotArea type="data" outline="0" fieldPosition="0">
        <references count="2">
          <reference field="4294967294" count="1" selected="0">
            <x v="0"/>
          </reference>
          <reference field="1" count="1" selected="0">
            <x v="3"/>
          </reference>
        </references>
      </pivotArea>
    </chartFormat>
    <chartFormat chart="2" format="24" series="1">
      <pivotArea type="data" outline="0" fieldPosition="0">
        <references count="3">
          <reference field="4294967294" count="1" selected="0">
            <x v="0"/>
          </reference>
          <reference field="1" count="1" selected="0">
            <x v="3"/>
          </reference>
          <reference field="2" count="1" selected="0">
            <x v="1"/>
          </reference>
        </references>
      </pivotArea>
    </chartFormat>
    <chartFormat chart="2" format="25" series="1">
      <pivotArea type="data" outline="0" fieldPosition="0">
        <references count="3">
          <reference field="4294967294" count="1" selected="0">
            <x v="0"/>
          </reference>
          <reference field="1" count="1" selected="0">
            <x v="3"/>
          </reference>
          <reference field="2" count="1" selected="0">
            <x v="2"/>
          </reference>
        </references>
      </pivotArea>
    </chartFormat>
    <chartFormat chart="2" format="26" series="1">
      <pivotArea type="data" outline="0" fieldPosition="0">
        <references count="3">
          <reference field="4294967294" count="1" selected="0">
            <x v="0"/>
          </reference>
          <reference field="1" count="1" selected="0">
            <x v="3"/>
          </reference>
          <reference field="2" count="1" selected="0">
            <x v="0"/>
          </reference>
        </references>
      </pivotArea>
    </chartFormat>
    <chartFormat chart="2" format="27" series="1">
      <pivotArea type="data" outline="0" fieldPosition="0">
        <references count="3">
          <reference field="4294967294" count="1" selected="0">
            <x v="0"/>
          </reference>
          <reference field="1" count="1" selected="0">
            <x v="2"/>
          </reference>
          <reference field="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6B772A9-BDCC-452F-8B3C-7F0E843040CC}" name="Tabela Dinâmica2" cacheId="3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I25:L38" firstHeaderRow="1" firstDataRow="2" firstDataCol="1"/>
  <pivotFields count="5">
    <pivotField axis="axisRow" showAll="0">
      <items count="15">
        <item m="1" x="12"/>
        <item m="1" x="13"/>
        <item m="1" x="11"/>
        <item x="0"/>
        <item x="1"/>
        <item x="2"/>
        <item x="3"/>
        <item x="4"/>
        <item x="5"/>
        <item x="6"/>
        <item x="7"/>
        <item x="8"/>
        <item x="9"/>
        <item x="10"/>
        <item t="default"/>
      </items>
    </pivotField>
    <pivotField showAll="0">
      <items count="28">
        <item h="1" x="0"/>
        <item h="1" x="1"/>
        <item x="2"/>
        <item h="1" m="1" x="25"/>
        <item h="1" m="1" x="20"/>
        <item h="1" x="3"/>
        <item h="1" x="4"/>
        <item h="1" x="5"/>
        <item h="1" m="1" x="23"/>
        <item h="1" x="6"/>
        <item h="1" m="1" x="21"/>
        <item h="1" x="7"/>
        <item h="1" x="8"/>
        <item h="1" m="1" x="24"/>
        <item h="1" x="9"/>
        <item h="1" x="10"/>
        <item h="1" x="11"/>
        <item h="1" x="12"/>
        <item h="1" x="13"/>
        <item h="1" m="1" x="26"/>
        <item h="1" x="14"/>
        <item h="1" x="15"/>
        <item h="1" x="16"/>
        <item h="1" m="1" x="22"/>
        <item h="1" x="17"/>
        <item h="1" x="18"/>
        <item h="1" x="19"/>
        <item t="default"/>
      </items>
    </pivotField>
    <pivotField showAll="0"/>
    <pivotField axis="axisCol" showAll="0">
      <items count="5">
        <item h="1" m="1" x="2"/>
        <item h="1" m="1" x="3"/>
        <item x="0"/>
        <item x="1"/>
        <item t="default"/>
      </items>
    </pivotField>
    <pivotField dataField="1" numFmtId="2" showAll="0"/>
  </pivotFields>
  <rowFields count="1">
    <field x="0"/>
  </rowFields>
  <rowItems count="12">
    <i>
      <x v="3"/>
    </i>
    <i>
      <x v="4"/>
    </i>
    <i>
      <x v="5"/>
    </i>
    <i>
      <x v="6"/>
    </i>
    <i>
      <x v="7"/>
    </i>
    <i>
      <x v="8"/>
    </i>
    <i>
      <x v="9"/>
    </i>
    <i>
      <x v="10"/>
    </i>
    <i>
      <x v="11"/>
    </i>
    <i>
      <x v="12"/>
    </i>
    <i>
      <x v="13"/>
    </i>
    <i t="grand">
      <x/>
    </i>
  </rowItems>
  <colFields count="1">
    <field x="3"/>
  </colFields>
  <colItems count="3">
    <i>
      <x v="2"/>
    </i>
    <i>
      <x v="3"/>
    </i>
    <i t="grand">
      <x/>
    </i>
  </colItems>
  <dataFields count="1">
    <dataField name="Soma de Valor" fld="4" baseField="0" baseItem="0" numFmtId="172"/>
  </dataFields>
  <formats count="1">
    <format dxfId="268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602C882-B6BF-4270-9C75-9D76F0D01BD9}" name="Tabela Dinâmica1" cacheId="3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1">
  <location ref="I5:M19" firstHeaderRow="1" firstDataRow="3" firstDataCol="1"/>
  <pivotFields count="5">
    <pivotField axis="axisRow" showAll="0">
      <items count="15">
        <item m="1" x="12"/>
        <item m="1" x="13"/>
        <item m="1" x="11"/>
        <item x="0"/>
        <item x="1"/>
        <item x="2"/>
        <item x="3"/>
        <item x="4"/>
        <item x="5"/>
        <item x="6"/>
        <item x="7"/>
        <item x="8"/>
        <item x="9"/>
        <item x="10"/>
        <item t="default"/>
      </items>
    </pivotField>
    <pivotField showAll="0">
      <items count="28">
        <item h="1" x="0"/>
        <item h="1" x="1"/>
        <item x="2"/>
        <item h="1" m="1" x="25"/>
        <item h="1" m="1" x="20"/>
        <item h="1" x="3"/>
        <item h="1" x="4"/>
        <item h="1" x="5"/>
        <item h="1" m="1" x="23"/>
        <item h="1" x="6"/>
        <item h="1" m="1" x="21"/>
        <item h="1" x="7"/>
        <item h="1" x="8"/>
        <item h="1" m="1" x="24"/>
        <item h="1" x="9"/>
        <item h="1" x="10"/>
        <item h="1" x="11"/>
        <item h="1" x="12"/>
        <item h="1" x="13"/>
        <item h="1" m="1" x="26"/>
        <item h="1" x="14"/>
        <item h="1" x="15"/>
        <item h="1" x="16"/>
        <item h="1" m="1" x="22"/>
        <item h="1" x="17"/>
        <item h="1" x="18"/>
        <item h="1" x="19"/>
        <item t="default"/>
      </items>
    </pivotField>
    <pivotField axis="axisCol" showAll="0">
      <items count="21">
        <item x="0"/>
        <item x="1"/>
        <item x="2"/>
        <item x="3"/>
        <item x="4"/>
        <item x="5"/>
        <item x="6"/>
        <item x="7"/>
        <item x="8"/>
        <item x="9"/>
        <item x="10"/>
        <item x="11"/>
        <item x="12"/>
        <item x="13"/>
        <item x="14"/>
        <item x="15"/>
        <item x="16"/>
        <item x="17"/>
        <item x="18"/>
        <item x="19"/>
        <item t="default"/>
      </items>
    </pivotField>
    <pivotField axis="axisCol" showAll="0">
      <items count="5">
        <item h="1" m="1" x="2"/>
        <item h="1" m="1" x="3"/>
        <item x="0"/>
        <item x="1"/>
        <item t="default"/>
      </items>
    </pivotField>
    <pivotField dataField="1" numFmtId="2" showAll="0"/>
  </pivotFields>
  <rowFields count="1">
    <field x="0"/>
  </rowFields>
  <rowItems count="12">
    <i>
      <x v="3"/>
    </i>
    <i>
      <x v="4"/>
    </i>
    <i>
      <x v="5"/>
    </i>
    <i>
      <x v="6"/>
    </i>
    <i>
      <x v="7"/>
    </i>
    <i>
      <x v="8"/>
    </i>
    <i>
      <x v="9"/>
    </i>
    <i>
      <x v="10"/>
    </i>
    <i>
      <x v="11"/>
    </i>
    <i>
      <x v="12"/>
    </i>
    <i>
      <x v="13"/>
    </i>
    <i t="grand">
      <x/>
    </i>
  </rowItems>
  <colFields count="2">
    <field x="2"/>
    <field x="3"/>
  </colFields>
  <colItems count="4">
    <i>
      <x v="2"/>
      <x v="2"/>
    </i>
    <i r="1">
      <x v="3"/>
    </i>
    <i t="default">
      <x v="2"/>
    </i>
    <i t="grand">
      <x/>
    </i>
  </colItems>
  <dataFields count="1">
    <dataField name="Soma de Valor" fld="4" baseField="0" baseItem="0" numFmtId="172"/>
  </dataFields>
  <formats count="1">
    <format dxfId="2684">
      <pivotArea outline="0" collapsedLevelsAreSubtotals="1" fieldPosition="0"/>
    </format>
  </formats>
  <chartFormats count="111">
    <chartFormat chart="0" format="22" series="1">
      <pivotArea type="data" outline="0" fieldPosition="0">
        <references count="1">
          <reference field="4294967294" count="1" selected="0">
            <x v="0"/>
          </reference>
        </references>
      </pivotArea>
    </chartFormat>
    <chartFormat chart="8" format="88" series="1">
      <pivotArea type="data" outline="0" fieldPosition="0">
        <references count="2">
          <reference field="4294967294" count="1" selected="0">
            <x v="0"/>
          </reference>
          <reference field="3" count="1" selected="0">
            <x v="2"/>
          </reference>
        </references>
      </pivotArea>
    </chartFormat>
    <chartFormat chart="8" format="89" series="1">
      <pivotArea type="data" outline="0" fieldPosition="0">
        <references count="2">
          <reference field="4294967294" count="1" selected="0">
            <x v="0"/>
          </reference>
          <reference field="3" count="1" selected="0">
            <x v="3"/>
          </reference>
        </references>
      </pivotArea>
    </chartFormat>
    <chartFormat chart="0" format="39" series="1">
      <pivotArea type="data" outline="0" fieldPosition="0">
        <references count="3">
          <reference field="4294967294" count="1" selected="0">
            <x v="0"/>
          </reference>
          <reference field="2" count="1" selected="0">
            <x v="0"/>
          </reference>
          <reference field="3" count="1" selected="0">
            <x v="3"/>
          </reference>
        </references>
      </pivotArea>
    </chartFormat>
    <chartFormat chart="8" format="90" series="1">
      <pivotArea type="data" outline="0" fieldPosition="0">
        <references count="3">
          <reference field="4294967294" count="1" selected="0">
            <x v="0"/>
          </reference>
          <reference field="2" count="1" selected="0">
            <x v="0"/>
          </reference>
          <reference field="3" count="1" selected="0">
            <x v="3"/>
          </reference>
        </references>
      </pivotArea>
    </chartFormat>
    <chartFormat chart="8" format="91" series="1">
      <pivotArea type="data" outline="0" fieldPosition="0">
        <references count="3">
          <reference field="4294967294" count="1" selected="0">
            <x v="0"/>
          </reference>
          <reference field="2" count="1" selected="0">
            <x v="0"/>
          </reference>
          <reference field="3" count="1" selected="0">
            <x v="2"/>
          </reference>
        </references>
      </pivotArea>
    </chartFormat>
    <chartFormat chart="8" format="92" series="1">
      <pivotArea type="data" outline="0" fieldPosition="0">
        <references count="3">
          <reference field="4294967294" count="1" selected="0">
            <x v="0"/>
          </reference>
          <reference field="2" count="1" selected="0">
            <x v="1"/>
          </reference>
          <reference field="3" count="1" selected="0">
            <x v="2"/>
          </reference>
        </references>
      </pivotArea>
    </chartFormat>
    <chartFormat chart="8" format="93" series="1">
      <pivotArea type="data" outline="0" fieldPosition="0">
        <references count="3">
          <reference field="4294967294" count="1" selected="0">
            <x v="0"/>
          </reference>
          <reference field="2" count="1" selected="0">
            <x v="1"/>
          </reference>
          <reference field="3" count="1" selected="0">
            <x v="3"/>
          </reference>
        </references>
      </pivotArea>
    </chartFormat>
    <chartFormat chart="8" format="94" series="1">
      <pivotArea type="data" outline="0" fieldPosition="0">
        <references count="3">
          <reference field="4294967294" count="1" selected="0">
            <x v="0"/>
          </reference>
          <reference field="2" count="1" selected="0">
            <x v="2"/>
          </reference>
          <reference field="3" count="1" selected="0">
            <x v="2"/>
          </reference>
        </references>
      </pivotArea>
    </chartFormat>
    <chartFormat chart="8" format="95" series="1">
      <pivotArea type="data" outline="0" fieldPosition="0">
        <references count="3">
          <reference field="4294967294" count="1" selected="0">
            <x v="0"/>
          </reference>
          <reference field="2" count="1" selected="0">
            <x v="2"/>
          </reference>
          <reference field="3" count="1" selected="0">
            <x v="3"/>
          </reference>
        </references>
      </pivotArea>
    </chartFormat>
    <chartFormat chart="8" format="96" series="1">
      <pivotArea type="data" outline="0" fieldPosition="0">
        <references count="3">
          <reference field="4294967294" count="1" selected="0">
            <x v="0"/>
          </reference>
          <reference field="2" count="1" selected="0">
            <x v="3"/>
          </reference>
          <reference field="3" count="1" selected="0">
            <x v="2"/>
          </reference>
        </references>
      </pivotArea>
    </chartFormat>
    <chartFormat chart="8" format="97" series="1">
      <pivotArea type="data" outline="0" fieldPosition="0">
        <references count="3">
          <reference field="4294967294" count="1" selected="0">
            <x v="0"/>
          </reference>
          <reference field="2" count="1" selected="0">
            <x v="3"/>
          </reference>
          <reference field="3" count="1" selected="0">
            <x v="3"/>
          </reference>
        </references>
      </pivotArea>
    </chartFormat>
    <chartFormat chart="8" format="98" series="1">
      <pivotArea type="data" outline="0" fieldPosition="0">
        <references count="3">
          <reference field="4294967294" count="1" selected="0">
            <x v="0"/>
          </reference>
          <reference field="2" count="1" selected="0">
            <x v="4"/>
          </reference>
          <reference field="3" count="1" selected="0">
            <x v="2"/>
          </reference>
        </references>
      </pivotArea>
    </chartFormat>
    <chartFormat chart="8" format="99" series="1">
      <pivotArea type="data" outline="0" fieldPosition="0">
        <references count="3">
          <reference field="4294967294" count="1" selected="0">
            <x v="0"/>
          </reference>
          <reference field="2" count="1" selected="0">
            <x v="4"/>
          </reference>
          <reference field="3" count="1" selected="0">
            <x v="3"/>
          </reference>
        </references>
      </pivotArea>
    </chartFormat>
    <chartFormat chart="8" format="100" series="1">
      <pivotArea type="data" outline="0" fieldPosition="0">
        <references count="3">
          <reference field="4294967294" count="1" selected="0">
            <x v="0"/>
          </reference>
          <reference field="2" count="1" selected="0">
            <x v="5"/>
          </reference>
          <reference field="3" count="1" selected="0">
            <x v="2"/>
          </reference>
        </references>
      </pivotArea>
    </chartFormat>
    <chartFormat chart="8" format="101" series="1">
      <pivotArea type="data" outline="0" fieldPosition="0">
        <references count="3">
          <reference field="4294967294" count="1" selected="0">
            <x v="0"/>
          </reference>
          <reference field="2" count="1" selected="0">
            <x v="5"/>
          </reference>
          <reference field="3" count="1" selected="0">
            <x v="3"/>
          </reference>
        </references>
      </pivotArea>
    </chartFormat>
    <chartFormat chart="8" format="102" series="1">
      <pivotArea type="data" outline="0" fieldPosition="0">
        <references count="3">
          <reference field="4294967294" count="1" selected="0">
            <x v="0"/>
          </reference>
          <reference field="2" count="1" selected="0">
            <x v="6"/>
          </reference>
          <reference field="3" count="1" selected="0">
            <x v="2"/>
          </reference>
        </references>
      </pivotArea>
    </chartFormat>
    <chartFormat chart="8" format="103" series="1">
      <pivotArea type="data" outline="0" fieldPosition="0">
        <references count="3">
          <reference field="4294967294" count="1" selected="0">
            <x v="0"/>
          </reference>
          <reference field="2" count="1" selected="0">
            <x v="6"/>
          </reference>
          <reference field="3" count="1" selected="0">
            <x v="3"/>
          </reference>
        </references>
      </pivotArea>
    </chartFormat>
    <chartFormat chart="8" format="104" series="1">
      <pivotArea type="data" outline="0" fieldPosition="0">
        <references count="3">
          <reference field="4294967294" count="1" selected="0">
            <x v="0"/>
          </reference>
          <reference field="2" count="1" selected="0">
            <x v="7"/>
          </reference>
          <reference field="3" count="1" selected="0">
            <x v="2"/>
          </reference>
        </references>
      </pivotArea>
    </chartFormat>
    <chartFormat chart="8" format="105" series="1">
      <pivotArea type="data" outline="0" fieldPosition="0">
        <references count="3">
          <reference field="4294967294" count="1" selected="0">
            <x v="0"/>
          </reference>
          <reference field="2" count="1" selected="0">
            <x v="7"/>
          </reference>
          <reference field="3" count="1" selected="0">
            <x v="3"/>
          </reference>
        </references>
      </pivotArea>
    </chartFormat>
    <chartFormat chart="8" format="106" series="1">
      <pivotArea type="data" outline="0" fieldPosition="0">
        <references count="3">
          <reference field="4294967294" count="1" selected="0">
            <x v="0"/>
          </reference>
          <reference field="2" count="1" selected="0">
            <x v="8"/>
          </reference>
          <reference field="3" count="1" selected="0">
            <x v="2"/>
          </reference>
        </references>
      </pivotArea>
    </chartFormat>
    <chartFormat chart="8" format="107" series="1">
      <pivotArea type="data" outline="0" fieldPosition="0">
        <references count="3">
          <reference field="4294967294" count="1" selected="0">
            <x v="0"/>
          </reference>
          <reference field="2" count="1" selected="0">
            <x v="8"/>
          </reference>
          <reference field="3" count="1" selected="0">
            <x v="3"/>
          </reference>
        </references>
      </pivotArea>
    </chartFormat>
    <chartFormat chart="8" format="108" series="1">
      <pivotArea type="data" outline="0" fieldPosition="0">
        <references count="3">
          <reference field="4294967294" count="1" selected="0">
            <x v="0"/>
          </reference>
          <reference field="2" count="1" selected="0">
            <x v="9"/>
          </reference>
          <reference field="3" count="1" selected="0">
            <x v="2"/>
          </reference>
        </references>
      </pivotArea>
    </chartFormat>
    <chartFormat chart="8" format="109" series="1">
      <pivotArea type="data" outline="0" fieldPosition="0">
        <references count="3">
          <reference field="4294967294" count="1" selected="0">
            <x v="0"/>
          </reference>
          <reference field="2" count="1" selected="0">
            <x v="9"/>
          </reference>
          <reference field="3" count="1" selected="0">
            <x v="3"/>
          </reference>
        </references>
      </pivotArea>
    </chartFormat>
    <chartFormat chart="8" format="110" series="1">
      <pivotArea type="data" outline="0" fieldPosition="0">
        <references count="3">
          <reference field="4294967294" count="1" selected="0">
            <x v="0"/>
          </reference>
          <reference field="2" count="1" selected="0">
            <x v="10"/>
          </reference>
          <reference field="3" count="1" selected="0">
            <x v="2"/>
          </reference>
        </references>
      </pivotArea>
    </chartFormat>
    <chartFormat chart="8" format="111" series="1">
      <pivotArea type="data" outline="0" fieldPosition="0">
        <references count="3">
          <reference field="4294967294" count="1" selected="0">
            <x v="0"/>
          </reference>
          <reference field="2" count="1" selected="0">
            <x v="10"/>
          </reference>
          <reference field="3" count="1" selected="0">
            <x v="3"/>
          </reference>
        </references>
      </pivotArea>
    </chartFormat>
    <chartFormat chart="8" format="112" series="1">
      <pivotArea type="data" outline="0" fieldPosition="0">
        <references count="3">
          <reference field="4294967294" count="1" selected="0">
            <x v="0"/>
          </reference>
          <reference field="2" count="1" selected="0">
            <x v="11"/>
          </reference>
          <reference field="3" count="1" selected="0">
            <x v="2"/>
          </reference>
        </references>
      </pivotArea>
    </chartFormat>
    <chartFormat chart="8" format="113" series="1">
      <pivotArea type="data" outline="0" fieldPosition="0">
        <references count="3">
          <reference field="4294967294" count="1" selected="0">
            <x v="0"/>
          </reference>
          <reference field="2" count="1" selected="0">
            <x v="11"/>
          </reference>
          <reference field="3" count="1" selected="0">
            <x v="3"/>
          </reference>
        </references>
      </pivotArea>
    </chartFormat>
    <chartFormat chart="8" format="114" series="1">
      <pivotArea type="data" outline="0" fieldPosition="0">
        <references count="3">
          <reference field="4294967294" count="1" selected="0">
            <x v="0"/>
          </reference>
          <reference field="2" count="1" selected="0">
            <x v="12"/>
          </reference>
          <reference field="3" count="1" selected="0">
            <x v="2"/>
          </reference>
        </references>
      </pivotArea>
    </chartFormat>
    <chartFormat chart="8" format="115" series="1">
      <pivotArea type="data" outline="0" fieldPosition="0">
        <references count="3">
          <reference field="4294967294" count="1" selected="0">
            <x v="0"/>
          </reference>
          <reference field="2" count="1" selected="0">
            <x v="12"/>
          </reference>
          <reference field="3" count="1" selected="0">
            <x v="3"/>
          </reference>
        </references>
      </pivotArea>
    </chartFormat>
    <chartFormat chart="8" format="116" series="1">
      <pivotArea type="data" outline="0" fieldPosition="0">
        <references count="3">
          <reference field="4294967294" count="1" selected="0">
            <x v="0"/>
          </reference>
          <reference field="2" count="1" selected="0">
            <x v="13"/>
          </reference>
          <reference field="3" count="1" selected="0">
            <x v="2"/>
          </reference>
        </references>
      </pivotArea>
    </chartFormat>
    <chartFormat chart="8" format="117" series="1">
      <pivotArea type="data" outline="0" fieldPosition="0">
        <references count="3">
          <reference field="4294967294" count="1" selected="0">
            <x v="0"/>
          </reference>
          <reference field="2" count="1" selected="0">
            <x v="13"/>
          </reference>
          <reference field="3" count="1" selected="0">
            <x v="3"/>
          </reference>
        </references>
      </pivotArea>
    </chartFormat>
    <chartFormat chart="8" format="118" series="1">
      <pivotArea type="data" outline="0" fieldPosition="0">
        <references count="3">
          <reference field="4294967294" count="1" selected="0">
            <x v="0"/>
          </reference>
          <reference field="2" count="1" selected="0">
            <x v="14"/>
          </reference>
          <reference field="3" count="1" selected="0">
            <x v="2"/>
          </reference>
        </references>
      </pivotArea>
    </chartFormat>
    <chartFormat chart="8" format="119" series="1">
      <pivotArea type="data" outline="0" fieldPosition="0">
        <references count="3">
          <reference field="4294967294" count="1" selected="0">
            <x v="0"/>
          </reference>
          <reference field="2" count="1" selected="0">
            <x v="14"/>
          </reference>
          <reference field="3" count="1" selected="0">
            <x v="3"/>
          </reference>
        </references>
      </pivotArea>
    </chartFormat>
    <chartFormat chart="8" format="120" series="1">
      <pivotArea type="data" outline="0" fieldPosition="0">
        <references count="3">
          <reference field="4294967294" count="1" selected="0">
            <x v="0"/>
          </reference>
          <reference field="2" count="1" selected="0">
            <x v="15"/>
          </reference>
          <reference field="3" count="1" selected="0">
            <x v="2"/>
          </reference>
        </references>
      </pivotArea>
    </chartFormat>
    <chartFormat chart="8" format="121" series="1">
      <pivotArea type="data" outline="0" fieldPosition="0">
        <references count="3">
          <reference field="4294967294" count="1" selected="0">
            <x v="0"/>
          </reference>
          <reference field="2" count="1" selected="0">
            <x v="15"/>
          </reference>
          <reference field="3" count="1" selected="0">
            <x v="3"/>
          </reference>
        </references>
      </pivotArea>
    </chartFormat>
    <chartFormat chart="8" format="122" series="1">
      <pivotArea type="data" outline="0" fieldPosition="0">
        <references count="3">
          <reference field="4294967294" count="1" selected="0">
            <x v="0"/>
          </reference>
          <reference field="2" count="1" selected="0">
            <x v="16"/>
          </reference>
          <reference field="3" count="1" selected="0">
            <x v="2"/>
          </reference>
        </references>
      </pivotArea>
    </chartFormat>
    <chartFormat chart="8" format="123" series="1">
      <pivotArea type="data" outline="0" fieldPosition="0">
        <references count="3">
          <reference field="4294967294" count="1" selected="0">
            <x v="0"/>
          </reference>
          <reference field="2" count="1" selected="0">
            <x v="16"/>
          </reference>
          <reference field="3" count="1" selected="0">
            <x v="3"/>
          </reference>
        </references>
      </pivotArea>
    </chartFormat>
    <chartFormat chart="8" format="124" series="1">
      <pivotArea type="data" outline="0" fieldPosition="0">
        <references count="3">
          <reference field="4294967294" count="1" selected="0">
            <x v="0"/>
          </reference>
          <reference field="2" count="1" selected="0">
            <x v="17"/>
          </reference>
          <reference field="3" count="1" selected="0">
            <x v="2"/>
          </reference>
        </references>
      </pivotArea>
    </chartFormat>
    <chartFormat chart="8" format="125" series="1">
      <pivotArea type="data" outline="0" fieldPosition="0">
        <references count="3">
          <reference field="4294967294" count="1" selected="0">
            <x v="0"/>
          </reference>
          <reference field="2" count="1" selected="0">
            <x v="17"/>
          </reference>
          <reference field="3" count="1" selected="0">
            <x v="3"/>
          </reference>
        </references>
      </pivotArea>
    </chartFormat>
    <chartFormat chart="8" format="126" series="1">
      <pivotArea type="data" outline="0" fieldPosition="0">
        <references count="3">
          <reference field="4294967294" count="1" selected="0">
            <x v="0"/>
          </reference>
          <reference field="2" count="1" selected="0">
            <x v="18"/>
          </reference>
          <reference field="3" count="1" selected="0">
            <x v="2"/>
          </reference>
        </references>
      </pivotArea>
    </chartFormat>
    <chartFormat chart="8" format="127" series="1">
      <pivotArea type="data" outline="0" fieldPosition="0">
        <references count="3">
          <reference field="4294967294" count="1" selected="0">
            <x v="0"/>
          </reference>
          <reference field="2" count="1" selected="0">
            <x v="18"/>
          </reference>
          <reference field="3" count="1" selected="0">
            <x v="3"/>
          </reference>
        </references>
      </pivotArea>
    </chartFormat>
    <chartFormat chart="8" format="128" series="1">
      <pivotArea type="data" outline="0" fieldPosition="0">
        <references count="3">
          <reference field="4294967294" count="1" selected="0">
            <x v="0"/>
          </reference>
          <reference field="2" count="1" selected="0">
            <x v="19"/>
          </reference>
          <reference field="3" count="1" selected="0">
            <x v="2"/>
          </reference>
        </references>
      </pivotArea>
    </chartFormat>
    <chartFormat chart="8" format="129" series="1">
      <pivotArea type="data" outline="0" fieldPosition="0">
        <references count="3">
          <reference field="4294967294" count="1" selected="0">
            <x v="0"/>
          </reference>
          <reference field="2" count="1" selected="0">
            <x v="19"/>
          </reference>
          <reference field="3" count="1" selected="0">
            <x v="3"/>
          </reference>
        </references>
      </pivotArea>
    </chartFormat>
    <chartFormat chart="0" format="40" series="1">
      <pivotArea type="data" outline="0" fieldPosition="0">
        <references count="3">
          <reference field="4294967294" count="1" selected="0">
            <x v="0"/>
          </reference>
          <reference field="2" count="1" selected="0">
            <x v="1"/>
          </reference>
          <reference field="3" count="1" selected="0">
            <x v="3"/>
          </reference>
        </references>
      </pivotArea>
    </chartFormat>
    <chartFormat chart="0" format="41" series="1">
      <pivotArea type="data" outline="0" fieldPosition="0">
        <references count="3">
          <reference field="4294967294" count="1" selected="0">
            <x v="0"/>
          </reference>
          <reference field="2" count="1" selected="0">
            <x v="2"/>
          </reference>
          <reference field="3" count="1" selected="0">
            <x v="3"/>
          </reference>
        </references>
      </pivotArea>
    </chartFormat>
    <chartFormat chart="0" format="42" series="1">
      <pivotArea type="data" outline="0" fieldPosition="0">
        <references count="3">
          <reference field="4294967294" count="1" selected="0">
            <x v="0"/>
          </reference>
          <reference field="2" count="1" selected="0">
            <x v="3"/>
          </reference>
          <reference field="3" count="1" selected="0">
            <x v="3"/>
          </reference>
        </references>
      </pivotArea>
    </chartFormat>
    <chartFormat chart="0" format="43" series="1">
      <pivotArea type="data" outline="0" fieldPosition="0">
        <references count="3">
          <reference field="4294967294" count="1" selected="0">
            <x v="0"/>
          </reference>
          <reference field="2" count="1" selected="0">
            <x v="4"/>
          </reference>
          <reference field="3" count="1" selected="0">
            <x v="3"/>
          </reference>
        </references>
      </pivotArea>
    </chartFormat>
    <chartFormat chart="0" format="44" series="1">
      <pivotArea type="data" outline="0" fieldPosition="0">
        <references count="3">
          <reference field="4294967294" count="1" selected="0">
            <x v="0"/>
          </reference>
          <reference field="2" count="1" selected="0">
            <x v="3"/>
          </reference>
          <reference field="3" count="1" selected="0">
            <x v="2"/>
          </reference>
        </references>
      </pivotArea>
    </chartFormat>
    <chartFormat chart="0" format="45" series="1">
      <pivotArea type="data" outline="0" fieldPosition="0">
        <references count="3">
          <reference field="4294967294" count="1" selected="0">
            <x v="0"/>
          </reference>
          <reference field="2" count="1" selected="0">
            <x v="4"/>
          </reference>
          <reference field="3" count="1" selected="0">
            <x v="2"/>
          </reference>
        </references>
      </pivotArea>
    </chartFormat>
    <chartFormat chart="0" format="46" series="1">
      <pivotArea type="data" outline="0" fieldPosition="0">
        <references count="3">
          <reference field="4294967294" count="1" selected="0">
            <x v="0"/>
          </reference>
          <reference field="2" count="1" selected="0">
            <x v="5"/>
          </reference>
          <reference field="3" count="1" selected="0">
            <x v="2"/>
          </reference>
        </references>
      </pivotArea>
    </chartFormat>
    <chartFormat chart="0" format="47" series="1">
      <pivotArea type="data" outline="0" fieldPosition="0">
        <references count="3">
          <reference field="4294967294" count="1" selected="0">
            <x v="0"/>
          </reference>
          <reference field="2" count="1" selected="0">
            <x v="6"/>
          </reference>
          <reference field="3" count="1" selected="0">
            <x v="2"/>
          </reference>
        </references>
      </pivotArea>
    </chartFormat>
    <chartFormat chart="0" format="48" series="1">
      <pivotArea type="data" outline="0" fieldPosition="0">
        <references count="3">
          <reference field="4294967294" count="1" selected="0">
            <x v="0"/>
          </reference>
          <reference field="2" count="1" selected="0">
            <x v="7"/>
          </reference>
          <reference field="3" count="1" selected="0">
            <x v="2"/>
          </reference>
        </references>
      </pivotArea>
    </chartFormat>
    <chartFormat chart="0" format="49" series="1">
      <pivotArea type="data" outline="0" fieldPosition="0">
        <references count="3">
          <reference field="4294967294" count="1" selected="0">
            <x v="0"/>
          </reference>
          <reference field="2" count="1" selected="0">
            <x v="8"/>
          </reference>
          <reference field="3" count="1" selected="0">
            <x v="2"/>
          </reference>
        </references>
      </pivotArea>
    </chartFormat>
    <chartFormat chart="0" format="50" series="1">
      <pivotArea type="data" outline="0" fieldPosition="0">
        <references count="3">
          <reference field="4294967294" count="1" selected="0">
            <x v="0"/>
          </reference>
          <reference field="2" count="1" selected="0">
            <x v="9"/>
          </reference>
          <reference field="3" count="1" selected="0">
            <x v="2"/>
          </reference>
        </references>
      </pivotArea>
    </chartFormat>
    <chartFormat chart="0" format="51" series="1">
      <pivotArea type="data" outline="0" fieldPosition="0">
        <references count="3">
          <reference field="4294967294" count="1" selected="0">
            <x v="0"/>
          </reference>
          <reference field="2" count="1" selected="0">
            <x v="10"/>
          </reference>
          <reference field="3" count="1" selected="0">
            <x v="2"/>
          </reference>
        </references>
      </pivotArea>
    </chartFormat>
    <chartFormat chart="0" format="52" series="1">
      <pivotArea type="data" outline="0" fieldPosition="0">
        <references count="3">
          <reference field="4294967294" count="1" selected="0">
            <x v="0"/>
          </reference>
          <reference field="2" count="1" selected="0">
            <x v="11"/>
          </reference>
          <reference field="3" count="1" selected="0">
            <x v="2"/>
          </reference>
        </references>
      </pivotArea>
    </chartFormat>
    <chartFormat chart="0" format="53" series="1">
      <pivotArea type="data" outline="0" fieldPosition="0">
        <references count="3">
          <reference field="4294967294" count="1" selected="0">
            <x v="0"/>
          </reference>
          <reference field="2" count="1" selected="0">
            <x v="12"/>
          </reference>
          <reference field="3" count="1" selected="0">
            <x v="2"/>
          </reference>
        </references>
      </pivotArea>
    </chartFormat>
    <chartFormat chart="0" format="54" series="1">
      <pivotArea type="data" outline="0" fieldPosition="0">
        <references count="3">
          <reference field="4294967294" count="1" selected="0">
            <x v="0"/>
          </reference>
          <reference field="2" count="1" selected="0">
            <x v="13"/>
          </reference>
          <reference field="3" count="1" selected="0">
            <x v="2"/>
          </reference>
        </references>
      </pivotArea>
    </chartFormat>
    <chartFormat chart="0" format="55" series="1">
      <pivotArea type="data" outline="0" fieldPosition="0">
        <references count="3">
          <reference field="4294967294" count="1" selected="0">
            <x v="0"/>
          </reference>
          <reference field="2" count="1" selected="0">
            <x v="14"/>
          </reference>
          <reference field="3" count="1" selected="0">
            <x v="2"/>
          </reference>
        </references>
      </pivotArea>
    </chartFormat>
    <chartFormat chart="0" format="56" series="1">
      <pivotArea type="data" outline="0" fieldPosition="0">
        <references count="3">
          <reference field="4294967294" count="1" selected="0">
            <x v="0"/>
          </reference>
          <reference field="2" count="1" selected="0">
            <x v="15"/>
          </reference>
          <reference field="3" count="1" selected="0">
            <x v="2"/>
          </reference>
        </references>
      </pivotArea>
    </chartFormat>
    <chartFormat chart="0" format="57" series="1">
      <pivotArea type="data" outline="0" fieldPosition="0">
        <references count="3">
          <reference field="4294967294" count="1" selected="0">
            <x v="0"/>
          </reference>
          <reference field="2" count="1" selected="0">
            <x v="16"/>
          </reference>
          <reference field="3" count="1" selected="0">
            <x v="2"/>
          </reference>
        </references>
      </pivotArea>
    </chartFormat>
    <chartFormat chart="0" format="58" series="1">
      <pivotArea type="data" outline="0" fieldPosition="0">
        <references count="3">
          <reference field="4294967294" count="1" selected="0">
            <x v="0"/>
          </reference>
          <reference field="2" count="1" selected="0">
            <x v="17"/>
          </reference>
          <reference field="3" count="1" selected="0">
            <x v="2"/>
          </reference>
        </references>
      </pivotArea>
    </chartFormat>
    <chartFormat chart="0" format="59" series="1">
      <pivotArea type="data" outline="0" fieldPosition="0">
        <references count="3">
          <reference field="4294967294" count="1" selected="0">
            <x v="0"/>
          </reference>
          <reference field="2" count="1" selected="0">
            <x v="18"/>
          </reference>
          <reference field="3" count="1" selected="0">
            <x v="2"/>
          </reference>
        </references>
      </pivotArea>
    </chartFormat>
    <chartFormat chart="0" format="60" series="1">
      <pivotArea type="data" outline="0" fieldPosition="0">
        <references count="3">
          <reference field="4294967294" count="1" selected="0">
            <x v="0"/>
          </reference>
          <reference field="2" count="1" selected="0">
            <x v="19"/>
          </reference>
          <reference field="3" count="1" selected="0">
            <x v="2"/>
          </reference>
        </references>
      </pivotArea>
    </chartFormat>
    <chartFormat chart="0" format="61" series="1">
      <pivotArea type="data" outline="0" fieldPosition="0">
        <references count="3">
          <reference field="4294967294" count="1" selected="0">
            <x v="0"/>
          </reference>
          <reference field="2" count="1" selected="0">
            <x v="1"/>
          </reference>
          <reference field="3" count="1" selected="0">
            <x v="2"/>
          </reference>
        </references>
      </pivotArea>
    </chartFormat>
    <chartFormat chart="0" format="62" series="1">
      <pivotArea type="data" outline="0" fieldPosition="0">
        <references count="3">
          <reference field="4294967294" count="1" selected="0">
            <x v="0"/>
          </reference>
          <reference field="2" count="1" selected="0">
            <x v="2"/>
          </reference>
          <reference field="3" count="1" selected="0">
            <x v="2"/>
          </reference>
        </references>
      </pivotArea>
    </chartFormat>
    <chartFormat chart="0" format="63" series="1">
      <pivotArea type="data" outline="0" fieldPosition="0">
        <references count="3">
          <reference field="4294967294" count="1" selected="0">
            <x v="0"/>
          </reference>
          <reference field="2" count="1" selected="0">
            <x v="8"/>
          </reference>
          <reference field="3" count="1" selected="0">
            <x v="3"/>
          </reference>
        </references>
      </pivotArea>
    </chartFormat>
    <chartFormat chart="0" format="64" series="1">
      <pivotArea type="data" outline="0" fieldPosition="0">
        <references count="3">
          <reference field="4294967294" count="1" selected="0">
            <x v="0"/>
          </reference>
          <reference field="2" count="1" selected="0">
            <x v="5"/>
          </reference>
          <reference field="3" count="1" selected="0">
            <x v="3"/>
          </reference>
        </references>
      </pivotArea>
    </chartFormat>
    <chartFormat chart="10" format="134" series="1">
      <pivotArea type="data" outline="0" fieldPosition="0">
        <references count="3">
          <reference field="4294967294" count="1" selected="0">
            <x v="0"/>
          </reference>
          <reference field="2" count="1" selected="0">
            <x v="0"/>
          </reference>
          <reference field="3" count="1" selected="0">
            <x v="2"/>
          </reference>
        </references>
      </pivotArea>
    </chartFormat>
    <chartFormat chart="10" format="135" series="1">
      <pivotArea type="data" outline="0" fieldPosition="0">
        <references count="3">
          <reference field="4294967294" count="1" selected="0">
            <x v="0"/>
          </reference>
          <reference field="2" count="1" selected="0">
            <x v="0"/>
          </reference>
          <reference field="3" count="1" selected="0">
            <x v="3"/>
          </reference>
        </references>
      </pivotArea>
    </chartFormat>
    <chartFormat chart="10" format="136" series="1">
      <pivotArea type="data" outline="0" fieldPosition="0">
        <references count="3">
          <reference field="4294967294" count="1" selected="0">
            <x v="0"/>
          </reference>
          <reference field="2" count="1" selected="0">
            <x v="1"/>
          </reference>
          <reference field="3" count="1" selected="0">
            <x v="2"/>
          </reference>
        </references>
      </pivotArea>
    </chartFormat>
    <chartFormat chart="10" format="137" series="1">
      <pivotArea type="data" outline="0" fieldPosition="0">
        <references count="3">
          <reference field="4294967294" count="1" selected="0">
            <x v="0"/>
          </reference>
          <reference field="2" count="1" selected="0">
            <x v="1"/>
          </reference>
          <reference field="3" count="1" selected="0">
            <x v="3"/>
          </reference>
        </references>
      </pivotArea>
    </chartFormat>
    <chartFormat chart="10" format="138" series="1">
      <pivotArea type="data" outline="0" fieldPosition="0">
        <references count="3">
          <reference field="4294967294" count="1" selected="0">
            <x v="0"/>
          </reference>
          <reference field="2" count="1" selected="0">
            <x v="2"/>
          </reference>
          <reference field="3" count="1" selected="0">
            <x v="2"/>
          </reference>
        </references>
      </pivotArea>
    </chartFormat>
    <chartFormat chart="10" format="139" series="1">
      <pivotArea type="data" outline="0" fieldPosition="0">
        <references count="3">
          <reference field="4294967294" count="1" selected="0">
            <x v="0"/>
          </reference>
          <reference field="2" count="1" selected="0">
            <x v="2"/>
          </reference>
          <reference field="3" count="1" selected="0">
            <x v="3"/>
          </reference>
        </references>
      </pivotArea>
    </chartFormat>
    <chartFormat chart="10" format="140" series="1">
      <pivotArea type="data" outline="0" fieldPosition="0">
        <references count="3">
          <reference field="4294967294" count="1" selected="0">
            <x v="0"/>
          </reference>
          <reference field="2" count="1" selected="0">
            <x v="3"/>
          </reference>
          <reference field="3" count="1" selected="0">
            <x v="2"/>
          </reference>
        </references>
      </pivotArea>
    </chartFormat>
    <chartFormat chart="10" format="141" series="1">
      <pivotArea type="data" outline="0" fieldPosition="0">
        <references count="3">
          <reference field="4294967294" count="1" selected="0">
            <x v="0"/>
          </reference>
          <reference field="2" count="1" selected="0">
            <x v="3"/>
          </reference>
          <reference field="3" count="1" selected="0">
            <x v="3"/>
          </reference>
        </references>
      </pivotArea>
    </chartFormat>
    <chartFormat chart="10" format="142" series="1">
      <pivotArea type="data" outline="0" fieldPosition="0">
        <references count="3">
          <reference field="4294967294" count="1" selected="0">
            <x v="0"/>
          </reference>
          <reference field="2" count="1" selected="0">
            <x v="4"/>
          </reference>
          <reference field="3" count="1" selected="0">
            <x v="2"/>
          </reference>
        </references>
      </pivotArea>
    </chartFormat>
    <chartFormat chart="10" format="143" series="1">
      <pivotArea type="data" outline="0" fieldPosition="0">
        <references count="3">
          <reference field="4294967294" count="1" selected="0">
            <x v="0"/>
          </reference>
          <reference field="2" count="1" selected="0">
            <x v="4"/>
          </reference>
          <reference field="3" count="1" selected="0">
            <x v="3"/>
          </reference>
        </references>
      </pivotArea>
    </chartFormat>
    <chartFormat chart="10" format="144" series="1">
      <pivotArea type="data" outline="0" fieldPosition="0">
        <references count="3">
          <reference field="4294967294" count="1" selected="0">
            <x v="0"/>
          </reference>
          <reference field="2" count="1" selected="0">
            <x v="5"/>
          </reference>
          <reference field="3" count="1" selected="0">
            <x v="2"/>
          </reference>
        </references>
      </pivotArea>
    </chartFormat>
    <chartFormat chart="10" format="145" series="1">
      <pivotArea type="data" outline="0" fieldPosition="0">
        <references count="3">
          <reference field="4294967294" count="1" selected="0">
            <x v="0"/>
          </reference>
          <reference field="2" count="1" selected="0">
            <x v="5"/>
          </reference>
          <reference field="3" count="1" selected="0">
            <x v="3"/>
          </reference>
        </references>
      </pivotArea>
    </chartFormat>
    <chartFormat chart="10" format="146" series="1">
      <pivotArea type="data" outline="0" fieldPosition="0">
        <references count="3">
          <reference field="4294967294" count="1" selected="0">
            <x v="0"/>
          </reference>
          <reference field="2" count="1" selected="0">
            <x v="7"/>
          </reference>
          <reference field="3" count="1" selected="0">
            <x v="2"/>
          </reference>
        </references>
      </pivotArea>
    </chartFormat>
    <chartFormat chart="10" format="147" series="1">
      <pivotArea type="data" outline="0" fieldPosition="0">
        <references count="3">
          <reference field="4294967294" count="1" selected="0">
            <x v="0"/>
          </reference>
          <reference field="2" count="1" selected="0">
            <x v="7"/>
          </reference>
          <reference field="3" count="1" selected="0">
            <x v="3"/>
          </reference>
        </references>
      </pivotArea>
    </chartFormat>
    <chartFormat chart="10" format="148" series="1">
      <pivotArea type="data" outline="0" fieldPosition="0">
        <references count="3">
          <reference field="4294967294" count="1" selected="0">
            <x v="0"/>
          </reference>
          <reference field="2" count="1" selected="0">
            <x v="8"/>
          </reference>
          <reference field="3" count="1" selected="0">
            <x v="2"/>
          </reference>
        </references>
      </pivotArea>
    </chartFormat>
    <chartFormat chart="10" format="149" series="1">
      <pivotArea type="data" outline="0" fieldPosition="0">
        <references count="3">
          <reference field="4294967294" count="1" selected="0">
            <x v="0"/>
          </reference>
          <reference field="2" count="1" selected="0">
            <x v="8"/>
          </reference>
          <reference field="3" count="1" selected="0">
            <x v="3"/>
          </reference>
        </references>
      </pivotArea>
    </chartFormat>
    <chartFormat chart="10" format="150" series="1">
      <pivotArea type="data" outline="0" fieldPosition="0">
        <references count="3">
          <reference field="4294967294" count="1" selected="0">
            <x v="0"/>
          </reference>
          <reference field="2" count="1" selected="0">
            <x v="9"/>
          </reference>
          <reference field="3" count="1" selected="0">
            <x v="2"/>
          </reference>
        </references>
      </pivotArea>
    </chartFormat>
    <chartFormat chart="10" format="151" series="1">
      <pivotArea type="data" outline="0" fieldPosition="0">
        <references count="3">
          <reference field="4294967294" count="1" selected="0">
            <x v="0"/>
          </reference>
          <reference field="2" count="1" selected="0">
            <x v="9"/>
          </reference>
          <reference field="3" count="1" selected="0">
            <x v="3"/>
          </reference>
        </references>
      </pivotArea>
    </chartFormat>
    <chartFormat chart="10" format="152" series="1">
      <pivotArea type="data" outline="0" fieldPosition="0">
        <references count="3">
          <reference field="4294967294" count="1" selected="0">
            <x v="0"/>
          </reference>
          <reference field="2" count="1" selected="0">
            <x v="10"/>
          </reference>
          <reference field="3" count="1" selected="0">
            <x v="2"/>
          </reference>
        </references>
      </pivotArea>
    </chartFormat>
    <chartFormat chart="10" format="153" series="1">
      <pivotArea type="data" outline="0" fieldPosition="0">
        <references count="3">
          <reference field="4294967294" count="1" selected="0">
            <x v="0"/>
          </reference>
          <reference field="2" count="1" selected="0">
            <x v="10"/>
          </reference>
          <reference field="3" count="1" selected="0">
            <x v="3"/>
          </reference>
        </references>
      </pivotArea>
    </chartFormat>
    <chartFormat chart="10" format="154" series="1">
      <pivotArea type="data" outline="0" fieldPosition="0">
        <references count="3">
          <reference field="4294967294" count="1" selected="0">
            <x v="0"/>
          </reference>
          <reference field="2" count="1" selected="0">
            <x v="11"/>
          </reference>
          <reference field="3" count="1" selected="0">
            <x v="2"/>
          </reference>
        </references>
      </pivotArea>
    </chartFormat>
    <chartFormat chart="10" format="155" series="1">
      <pivotArea type="data" outline="0" fieldPosition="0">
        <references count="3">
          <reference field="4294967294" count="1" selected="0">
            <x v="0"/>
          </reference>
          <reference field="2" count="1" selected="0">
            <x v="11"/>
          </reference>
          <reference field="3" count="1" selected="0">
            <x v="3"/>
          </reference>
        </references>
      </pivotArea>
    </chartFormat>
    <chartFormat chart="10" format="156" series="1">
      <pivotArea type="data" outline="0" fieldPosition="0">
        <references count="3">
          <reference field="4294967294" count="1" selected="0">
            <x v="0"/>
          </reference>
          <reference field="2" count="1" selected="0">
            <x v="12"/>
          </reference>
          <reference field="3" count="1" selected="0">
            <x v="2"/>
          </reference>
        </references>
      </pivotArea>
    </chartFormat>
    <chartFormat chart="10" format="157" series="1">
      <pivotArea type="data" outline="0" fieldPosition="0">
        <references count="3">
          <reference field="4294967294" count="1" selected="0">
            <x v="0"/>
          </reference>
          <reference field="2" count="1" selected="0">
            <x v="12"/>
          </reference>
          <reference field="3" count="1" selected="0">
            <x v="3"/>
          </reference>
        </references>
      </pivotArea>
    </chartFormat>
    <chartFormat chart="10" format="158" series="1">
      <pivotArea type="data" outline="0" fieldPosition="0">
        <references count="3">
          <reference field="4294967294" count="1" selected="0">
            <x v="0"/>
          </reference>
          <reference field="2" count="1" selected="0">
            <x v="13"/>
          </reference>
          <reference field="3" count="1" selected="0">
            <x v="2"/>
          </reference>
        </references>
      </pivotArea>
    </chartFormat>
    <chartFormat chart="10" format="159" series="1">
      <pivotArea type="data" outline="0" fieldPosition="0">
        <references count="3">
          <reference field="4294967294" count="1" selected="0">
            <x v="0"/>
          </reference>
          <reference field="2" count="1" selected="0">
            <x v="13"/>
          </reference>
          <reference field="3" count="1" selected="0">
            <x v="3"/>
          </reference>
        </references>
      </pivotArea>
    </chartFormat>
    <chartFormat chart="10" format="160" series="1">
      <pivotArea type="data" outline="0" fieldPosition="0">
        <references count="3">
          <reference field="4294967294" count="1" selected="0">
            <x v="0"/>
          </reference>
          <reference field="2" count="1" selected="0">
            <x v="15"/>
          </reference>
          <reference field="3" count="1" selected="0">
            <x v="2"/>
          </reference>
        </references>
      </pivotArea>
    </chartFormat>
    <chartFormat chart="10" format="161" series="1">
      <pivotArea type="data" outline="0" fieldPosition="0">
        <references count="3">
          <reference field="4294967294" count="1" selected="0">
            <x v="0"/>
          </reference>
          <reference field="2" count="1" selected="0">
            <x v="15"/>
          </reference>
          <reference field="3" count="1" selected="0">
            <x v="3"/>
          </reference>
        </references>
      </pivotArea>
    </chartFormat>
    <chartFormat chart="10" format="162" series="1">
      <pivotArea type="data" outline="0" fieldPosition="0">
        <references count="3">
          <reference field="4294967294" count="1" selected="0">
            <x v="0"/>
          </reference>
          <reference field="2" count="1" selected="0">
            <x v="6"/>
          </reference>
          <reference field="3" count="1" selected="0">
            <x v="2"/>
          </reference>
        </references>
      </pivotArea>
    </chartFormat>
    <chartFormat chart="10" format="163" series="1">
      <pivotArea type="data" outline="0" fieldPosition="0">
        <references count="3">
          <reference field="4294967294" count="1" selected="0">
            <x v="0"/>
          </reference>
          <reference field="2" count="1" selected="0">
            <x v="6"/>
          </reference>
          <reference field="3" count="1" selected="0">
            <x v="3"/>
          </reference>
        </references>
      </pivotArea>
    </chartFormat>
    <chartFormat chart="10" format="164" series="1">
      <pivotArea type="data" outline="0" fieldPosition="0">
        <references count="3">
          <reference field="4294967294" count="1" selected="0">
            <x v="0"/>
          </reference>
          <reference field="2" count="1" selected="0">
            <x v="14"/>
          </reference>
          <reference field="3" count="1" selected="0">
            <x v="2"/>
          </reference>
        </references>
      </pivotArea>
    </chartFormat>
    <chartFormat chart="10" format="165" series="1">
      <pivotArea type="data" outline="0" fieldPosition="0">
        <references count="3">
          <reference field="4294967294" count="1" selected="0">
            <x v="0"/>
          </reference>
          <reference field="2" count="1" selected="0">
            <x v="14"/>
          </reference>
          <reference field="3" count="1" selected="0">
            <x v="3"/>
          </reference>
        </references>
      </pivotArea>
    </chartFormat>
    <chartFormat chart="10" format="166" series="1">
      <pivotArea type="data" outline="0" fieldPosition="0">
        <references count="3">
          <reference field="4294967294" count="1" selected="0">
            <x v="0"/>
          </reference>
          <reference field="2" count="1" selected="0">
            <x v="16"/>
          </reference>
          <reference field="3" count="1" selected="0">
            <x v="2"/>
          </reference>
        </references>
      </pivotArea>
    </chartFormat>
    <chartFormat chart="10" format="167" series="1">
      <pivotArea type="data" outline="0" fieldPosition="0">
        <references count="3">
          <reference field="4294967294" count="1" selected="0">
            <x v="0"/>
          </reference>
          <reference field="2" count="1" selected="0">
            <x v="16"/>
          </reference>
          <reference field="3" count="1" selected="0">
            <x v="3"/>
          </reference>
        </references>
      </pivotArea>
    </chartFormat>
    <chartFormat chart="10" format="168" series="1">
      <pivotArea type="data" outline="0" fieldPosition="0">
        <references count="3">
          <reference field="4294967294" count="1" selected="0">
            <x v="0"/>
          </reference>
          <reference field="2" count="1" selected="0">
            <x v="17"/>
          </reference>
          <reference field="3" count="1" selected="0">
            <x v="2"/>
          </reference>
        </references>
      </pivotArea>
    </chartFormat>
    <chartFormat chart="10" format="169" series="1">
      <pivotArea type="data" outline="0" fieldPosition="0">
        <references count="3">
          <reference field="4294967294" count="1" selected="0">
            <x v="0"/>
          </reference>
          <reference field="2" count="1" selected="0">
            <x v="17"/>
          </reference>
          <reference field="3" count="1" selected="0">
            <x v="3"/>
          </reference>
        </references>
      </pivotArea>
    </chartFormat>
    <chartFormat chart="10" format="170" series="1">
      <pivotArea type="data" outline="0" fieldPosition="0">
        <references count="3">
          <reference field="4294967294" count="1" selected="0">
            <x v="0"/>
          </reference>
          <reference field="2" count="1" selected="0">
            <x v="18"/>
          </reference>
          <reference field="3" count="1" selected="0">
            <x v="2"/>
          </reference>
        </references>
      </pivotArea>
    </chartFormat>
    <chartFormat chart="10" format="171" series="1">
      <pivotArea type="data" outline="0" fieldPosition="0">
        <references count="3">
          <reference field="4294967294" count="1" selected="0">
            <x v="0"/>
          </reference>
          <reference field="2" count="1" selected="0">
            <x v="18"/>
          </reference>
          <reference field="3" count="1" selected="0">
            <x v="3"/>
          </reference>
        </references>
      </pivotArea>
    </chartFormat>
    <chartFormat chart="10" format="172" series="1">
      <pivotArea type="data" outline="0" fieldPosition="0">
        <references count="3">
          <reference field="4294967294" count="1" selected="0">
            <x v="0"/>
          </reference>
          <reference field="2" count="1" selected="0">
            <x v="19"/>
          </reference>
          <reference field="3" count="1" selected="0">
            <x v="2"/>
          </reference>
        </references>
      </pivotArea>
    </chartFormat>
    <chartFormat chart="10" format="173" series="1">
      <pivotArea type="data" outline="0" fieldPosition="0">
        <references count="3">
          <reference field="4294967294" count="1" selected="0">
            <x v="0"/>
          </reference>
          <reference field="2" count="1" selected="0">
            <x v="19"/>
          </reference>
          <reference field="3" count="1" selected="0">
            <x v="3"/>
          </reference>
        </references>
      </pivotArea>
    </chartFormat>
    <chartFormat chart="10" format="174" series="1">
      <pivotArea type="data" outline="0" fieldPosition="0">
        <references count="1">
          <reference field="4294967294" count="1" selected="0">
            <x v="0"/>
          </reference>
        </references>
      </pivotArea>
    </chartFormat>
    <chartFormat chart="8" format="13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3164702-5D32-4DB9-9B3F-CA3C56B225B0}" name="Tabela Dinâmica3" cacheId="31"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location ref="I43:J44" firstHeaderRow="1" firstDataRow="2" firstDataCol="1" rowPageCount="1" colPageCount="1"/>
  <pivotFields count="5">
    <pivotField axis="axisRow" showAll="0">
      <items count="15">
        <item m="1" x="12"/>
        <item m="1" x="13"/>
        <item m="1" x="11"/>
        <item x="0"/>
        <item x="1"/>
        <item x="2"/>
        <item x="3"/>
        <item x="4"/>
        <item x="5"/>
        <item x="6"/>
        <item x="7"/>
        <item x="8"/>
        <item x="9"/>
        <item x="10"/>
        <item t="default"/>
      </items>
    </pivotField>
    <pivotField axis="axisPage" multipleItemSelectionAllowed="1" showAll="0">
      <items count="28">
        <item h="1" x="0"/>
        <item h="1" x="1"/>
        <item h="1" m="1" x="20"/>
        <item h="1" x="3"/>
        <item h="1" x="4"/>
        <item h="1" x="5"/>
        <item h="1" m="1" x="21"/>
        <item h="1" x="7"/>
        <item h="1" m="1" x="24"/>
        <item h="1" x="9"/>
        <item h="1" x="10"/>
        <item h="1" x="11"/>
        <item h="1" x="12"/>
        <item h="1" m="1" x="26"/>
        <item h="1" x="14"/>
        <item h="1" x="15"/>
        <item h="1" m="1" x="22"/>
        <item h="1" x="17"/>
        <item h="1" x="18"/>
        <item h="1" x="19"/>
        <item h="1" m="1" x="25"/>
        <item h="1" m="1" x="23"/>
        <item h="1" x="8"/>
        <item h="1" x="16"/>
        <item x="2"/>
        <item h="1" x="6"/>
        <item h="1" x="13"/>
        <item t="default"/>
      </items>
    </pivotField>
    <pivotField showAll="0"/>
    <pivotField axis="axisCol" showAll="0">
      <items count="5">
        <item m="1" x="2"/>
        <item h="1" m="1" x="3"/>
        <item h="1" x="0"/>
        <item h="1" x="1"/>
        <item t="default"/>
      </items>
    </pivotField>
    <pivotField dataField="1" numFmtId="2" showAll="0"/>
  </pivotFields>
  <rowFields count="1">
    <field x="0"/>
  </rowFields>
  <colFields count="1">
    <field x="3"/>
  </colFields>
  <pageFields count="1">
    <pageField fld="1" hier="-1"/>
  </pageFields>
  <dataFields count="1">
    <dataField name="Soma de Valor"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77EC59C-56DD-455A-B45F-43776BC81909}" name="Tabela Dinâmica4" cacheId="3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I104:L117" firstHeaderRow="1" firstDataRow="2" firstDataCol="1" rowPageCount="1" colPageCount="1"/>
  <pivotFields count="5">
    <pivotField axis="axisRow" showAll="0">
      <items count="15">
        <item m="1" x="12"/>
        <item m="1" x="13"/>
        <item m="1" x="11"/>
        <item x="0"/>
        <item x="1"/>
        <item x="2"/>
        <item x="3"/>
        <item x="4"/>
        <item x="5"/>
        <item x="6"/>
        <item x="7"/>
        <item x="8"/>
        <item x="9"/>
        <item x="10"/>
        <item t="default"/>
      </items>
    </pivotField>
    <pivotField axis="axisPage" multipleItemSelectionAllowed="1" showAll="0">
      <items count="28">
        <item x="0"/>
        <item x="1"/>
        <item h="1" m="1" x="20"/>
        <item h="1" x="3"/>
        <item h="1" x="4"/>
        <item h="1" x="5"/>
        <item h="1" m="1" x="21"/>
        <item h="1" x="7"/>
        <item h="1" m="1" x="24"/>
        <item h="1" x="9"/>
        <item h="1" x="10"/>
        <item h="1" x="11"/>
        <item h="1" x="12"/>
        <item h="1" m="1" x="26"/>
        <item h="1" x="14"/>
        <item h="1" x="15"/>
        <item h="1" m="1" x="22"/>
        <item h="1" x="17"/>
        <item h="1" x="18"/>
        <item h="1" x="19"/>
        <item h="1" m="1" x="25"/>
        <item h="1" m="1" x="23"/>
        <item h="1" x="8"/>
        <item h="1" x="16"/>
        <item h="1" x="2"/>
        <item h="1" x="6"/>
        <item h="1" x="13"/>
        <item t="default"/>
      </items>
    </pivotField>
    <pivotField axis="axisCol" showAll="0">
      <items count="21">
        <item x="0"/>
        <item x="1"/>
        <item x="2"/>
        <item x="3"/>
        <item x="4"/>
        <item x="5"/>
        <item x="6"/>
        <item x="7"/>
        <item x="8"/>
        <item x="9"/>
        <item x="10"/>
        <item x="11"/>
        <item x="12"/>
        <item x="13"/>
        <item x="14"/>
        <item x="15"/>
        <item x="16"/>
        <item x="17"/>
        <item x="18"/>
        <item x="19"/>
        <item t="default"/>
      </items>
    </pivotField>
    <pivotField showAll="0"/>
    <pivotField dataField="1" numFmtId="172" showAll="0"/>
  </pivotFields>
  <rowFields count="1">
    <field x="0"/>
  </rowFields>
  <rowItems count="12">
    <i>
      <x v="3"/>
    </i>
    <i>
      <x v="4"/>
    </i>
    <i>
      <x v="5"/>
    </i>
    <i>
      <x v="6"/>
    </i>
    <i>
      <x v="7"/>
    </i>
    <i>
      <x v="8"/>
    </i>
    <i>
      <x v="9"/>
    </i>
    <i>
      <x v="10"/>
    </i>
    <i>
      <x v="11"/>
    </i>
    <i>
      <x v="12"/>
    </i>
    <i>
      <x v="13"/>
    </i>
    <i t="grand">
      <x/>
    </i>
  </rowItems>
  <colFields count="1">
    <field x="2"/>
  </colFields>
  <colItems count="3">
    <i>
      <x/>
    </i>
    <i>
      <x v="1"/>
    </i>
    <i t="grand">
      <x/>
    </i>
  </colItems>
  <pageFields count="1">
    <pageField fld="1" hier="-1"/>
  </pageFields>
  <dataFields count="1">
    <dataField name="Soma de Valor"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Tipo_Remuneração" xr10:uid="{B54A5E8C-3993-4B8C-96EE-57C7A7A6A0E9}" sourceName="Tipo Remuneração">
  <pivotTables>
    <pivotTable tabId="76" name="Tabela Dinâmica1"/>
    <pivotTable tabId="76" name="Tabela Dinâmica2"/>
  </pivotTables>
  <data>
    <tabular pivotCacheId="1890679138">
      <items count="4">
        <i x="0" s="1"/>
        <i x="1" s="1"/>
        <i x="2" nd="1"/>
        <i x="3"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Selecionar_CAE" xr10:uid="{5DB5979A-D90E-461B-9788-A322AA913F37}" sourceName="Selecionar CAE">
  <pivotTables>
    <pivotTable tabId="76" name="Tabela Dinâmica1"/>
    <pivotTable tabId="76" name="Tabela Dinâmica2"/>
    <pivotTable tabId="76" name="Tabela Dinâmica3"/>
  </pivotTables>
  <data>
    <tabular pivotCacheId="1890679138">
      <items count="27">
        <i x="0"/>
        <i x="1"/>
        <i x="2" s="1"/>
        <i x="3"/>
        <i x="4"/>
        <i x="5"/>
        <i x="6"/>
        <i x="7"/>
        <i x="8"/>
        <i x="9"/>
        <i x="10"/>
        <i x="11"/>
        <i x="12"/>
        <i x="13"/>
        <i x="14"/>
        <i x="15"/>
        <i x="16"/>
        <i x="17"/>
        <i x="18"/>
        <i x="19"/>
        <i x="25" nd="1"/>
        <i x="20" nd="1"/>
        <i x="23" nd="1"/>
        <i x="21" nd="1"/>
        <i x="24" nd="1"/>
        <i x="26" nd="1"/>
        <i x="22"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Tipo_de_remuneração" xr10:uid="{9F214FDF-443B-4912-8BDA-E016D4546DFA}" sourceName="Tipo de remuneração">
  <pivotTables>
    <pivotTable tabId="88" name="Tabela Dinâmica3"/>
  </pivotTables>
  <data>
    <tabular pivotCacheId="79155654">
      <items count="4">
        <i x="0" s="1"/>
        <i x="1" s="1"/>
        <i x="2" nd="1"/>
        <i x="3"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Sexo" xr10:uid="{3EAA3409-B6DC-432D-9630-32DCEC914845}" sourceName="Sexo">
  <pivotTables>
    <pivotTable tabId="88" name="Tabela Dinâmica3"/>
  </pivotTables>
  <data>
    <tabular pivotCacheId="79155654" sortOrder="descending">
      <items count="3">
        <i x="0" s="1"/>
        <i x="2"/>
        <i x="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Remuneração 4" xr10:uid="{C5DF73B9-5883-4D91-8F3F-FF60DBD69D77}" cache="SegmentaçãoDeDados_Tipo_Remuneração" caption="Tipo de remuneração" style="Ano 2" rowHeight="220133"/>
  <slicer name="Selecionar CAE 2" xr10:uid="{7280B40D-9375-482C-921C-AD53388E38CC}" cache="SegmentaçãoDeDados_Selecionar_CAE" caption="Secção de Atividade Económica" columnCount="2" style="Ano 2" rowHeight="220133"/>
  <slicer name="Tipo de remuneração 1" xr10:uid="{0B86D85E-E4CE-416B-8355-3757DA4AA503}" cache="SegmentaçãoDeDados_Tipo_de_remuneração" caption="Tipo de remuneração" style="Ano 2" rowHeight="225425"/>
  <slicer name="Sexo 2" xr10:uid="{33BFF653-D4F3-4C4B-BE6F-13F2A0FDB8B5}" cache="SegmentaçãoDeDados_Sexo" caption="Sexo" style="Ano 2" rowHeight="22542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de remuneração" xr10:uid="{4894B942-C4E9-4E1F-9780-AA6815F90037}" cache="SegmentaçãoDeDados_Tipo_de_remuneração" caption="Tipo de remuneração" style="Ano 2" rowHeight="225425"/>
  <slicer name="Sexo" xr10:uid="{3DCD9EEA-E947-4D5C-856B-23FAA40A5163}" cache="SegmentaçãoDeDados_Sexo" caption="Sexo" style="Ano 2" rowHeight="22542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Remuneração" xr10:uid="{8AA8D2C9-921C-4DD5-AFDB-35562F2B4512}" cache="SegmentaçãoDeDados_Tipo_Remuneração" caption="Tipo de remuneração" style="Ano 2" rowHeight="220133"/>
  <slicer name="Selecionar CAE" xr10:uid="{AE1C31D8-7317-4FD7-8731-5C252A08DEF1}" cache="SegmentaçãoDeDados_Selecionar_CAE" caption="Selecionar Secção de Atividade Económica" style="Ano 2" rowHeight="220133"/>
</slicers>
</file>

<file path=xl/theme/theme1.xml><?xml version="1.0" encoding="utf-8"?>
<a:theme xmlns:a="http://schemas.openxmlformats.org/drawingml/2006/main" name="Tema do Office">
  <a:themeElements>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21.xml"/><Relationship Id="rId2" Type="http://schemas.openxmlformats.org/officeDocument/2006/relationships/drawing" Target="../drawings/drawing29.xml"/><Relationship Id="rId1" Type="http://schemas.openxmlformats.org/officeDocument/2006/relationships/printerSettings" Target="../printerSettings/printerSettings10.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3.xml"/><Relationship Id="rId1" Type="http://schemas.openxmlformats.org/officeDocument/2006/relationships/printerSettings" Target="../printerSettings/printerSettings11.bin"/><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4.xml"/><Relationship Id="rId1" Type="http://schemas.openxmlformats.org/officeDocument/2006/relationships/printerSettings" Target="../printerSettings/printerSettings12.bin"/><Relationship Id="rId4" Type="http://schemas.openxmlformats.org/officeDocument/2006/relationships/ctrlProp" Target="../ctrlProps/ctrlProp2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7.xml"/><Relationship Id="rId1" Type="http://schemas.openxmlformats.org/officeDocument/2006/relationships/printerSettings" Target="../printerSettings/printerSettings13.bin"/><Relationship Id="rId4" Type="http://schemas.openxmlformats.org/officeDocument/2006/relationships/ctrlProp" Target="../ctrlProps/ctrlProp24.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9.xml"/><Relationship Id="rId3" Type="http://schemas.openxmlformats.org/officeDocument/2006/relationships/vmlDrawing" Target="../drawings/vmlDrawing12.vml"/><Relationship Id="rId7" Type="http://schemas.openxmlformats.org/officeDocument/2006/relationships/ctrlProp" Target="../ctrlProps/ctrlProp28.xml"/><Relationship Id="rId12" Type="http://schemas.openxmlformats.org/officeDocument/2006/relationships/ctrlProp" Target="../ctrlProps/ctrlProp33.xml"/><Relationship Id="rId2" Type="http://schemas.openxmlformats.org/officeDocument/2006/relationships/drawing" Target="../drawings/drawing40.xml"/><Relationship Id="rId1" Type="http://schemas.openxmlformats.org/officeDocument/2006/relationships/printerSettings" Target="../printerSettings/printerSettings14.bin"/><Relationship Id="rId6" Type="http://schemas.openxmlformats.org/officeDocument/2006/relationships/ctrlProp" Target="../ctrlProps/ctrlProp27.xml"/><Relationship Id="rId11" Type="http://schemas.openxmlformats.org/officeDocument/2006/relationships/ctrlProp" Target="../ctrlProps/ctrlProp32.xml"/><Relationship Id="rId5" Type="http://schemas.openxmlformats.org/officeDocument/2006/relationships/ctrlProp" Target="../ctrlProps/ctrlProp26.xml"/><Relationship Id="rId10" Type="http://schemas.openxmlformats.org/officeDocument/2006/relationships/ctrlProp" Target="../ctrlProps/ctrlProp31.xml"/><Relationship Id="rId4" Type="http://schemas.openxmlformats.org/officeDocument/2006/relationships/ctrlProp" Target="../ctrlProps/ctrlProp25.xml"/><Relationship Id="rId9" Type="http://schemas.openxmlformats.org/officeDocument/2006/relationships/ctrlProp" Target="../ctrlProps/ctrlProp3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44.xml"/><Relationship Id="rId1" Type="http://schemas.openxmlformats.org/officeDocument/2006/relationships/printerSettings" Target="../printerSettings/printerSettings15.bin"/><Relationship Id="rId4" Type="http://schemas.openxmlformats.org/officeDocument/2006/relationships/ctrlProp" Target="../ctrlProps/ctrlProp34.xml"/></Relationships>
</file>

<file path=xl/worksheets/_rels/sheet16.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7.xml"/><Relationship Id="rId1" Type="http://schemas.openxmlformats.org/officeDocument/2006/relationships/pivotTable" Target="../pivotTables/pivotTable1.xml"/></Relationships>
</file>

<file path=xl/worksheets/_rels/sheet17.xml.rels><?xml version="1.0" encoding="UTF-8" standalone="yes"?>
<Relationships xmlns="http://schemas.openxmlformats.org/package/2006/relationships"><Relationship Id="rId3" Type="http://schemas.openxmlformats.org/officeDocument/2006/relationships/pivotTable" Target="../pivotTables/pivotTable4.xml"/><Relationship Id="rId7" Type="http://schemas.microsoft.com/office/2007/relationships/slicer" Target="../slicers/slicer3.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drawing" Target="../drawings/drawing48.xml"/><Relationship Id="rId5" Type="http://schemas.openxmlformats.org/officeDocument/2006/relationships/printerSettings" Target="../printerSettings/printerSettings16.bin"/><Relationship Id="rId4" Type="http://schemas.openxmlformats.org/officeDocument/2006/relationships/pivotTable" Target="../pivotTables/pivotTable5.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18.bin"/><Relationship Id="rId1" Type="http://schemas.openxmlformats.org/officeDocument/2006/relationships/hyperlink" Target="../../../../../1_boletim_2026/4_Abril/be_p13.xlsx" TargetMode="External"/><Relationship Id="rId4"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3" Type="http://schemas.openxmlformats.org/officeDocument/2006/relationships/hyperlink" Target="https://www.ine.pt/ine_novidades/semin/cae/CAE_REV_3.pdf" TargetMode="External"/><Relationship Id="rId2" Type="http://schemas.openxmlformats.org/officeDocument/2006/relationships/hyperlink" Target="https://files.diariodarepublica.pt/1s/1978/06/12600/09920995.pdf" TargetMode="External"/><Relationship Id="rId1" Type="http://schemas.openxmlformats.org/officeDocument/2006/relationships/hyperlink" Target="https://www.ine.pt/xportal/xmain?xpid=INE&amp;xpgid=ine_publicacoes&amp;PUBLICACOESpub_boui=107961853&amp;PUBLICACOESmodo=2&amp;xlang=pt"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5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5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7.vml"/><Relationship Id="rId7" Type="http://schemas.openxmlformats.org/officeDocument/2006/relationships/ctrlProp" Target="../ctrlProps/ctrlProp38.xml"/><Relationship Id="rId2" Type="http://schemas.openxmlformats.org/officeDocument/2006/relationships/drawing" Target="../drawings/drawing52.xml"/><Relationship Id="rId1" Type="http://schemas.openxmlformats.org/officeDocument/2006/relationships/printerSettings" Target="../printerSettings/printerSettings21.bin"/><Relationship Id="rId6" Type="http://schemas.openxmlformats.org/officeDocument/2006/relationships/ctrlProp" Target="../ctrlProps/ctrlProp37.xml"/><Relationship Id="rId5" Type="http://schemas.openxmlformats.org/officeDocument/2006/relationships/ctrlProp" Target="../ctrlProps/ctrlProp3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7" Type="http://schemas.openxmlformats.org/officeDocument/2006/relationships/ctrlProp" Target="../ctrlProps/ctrlProp45.xml"/><Relationship Id="rId2" Type="http://schemas.openxmlformats.org/officeDocument/2006/relationships/drawing" Target="../drawings/drawing56.xml"/><Relationship Id="rId1" Type="http://schemas.openxmlformats.org/officeDocument/2006/relationships/printerSettings" Target="../printerSettings/printerSettings22.bin"/><Relationship Id="rId6" Type="http://schemas.openxmlformats.org/officeDocument/2006/relationships/ctrlProp" Target="../ctrlProps/ctrlProp44.xml"/><Relationship Id="rId5" Type="http://schemas.openxmlformats.org/officeDocument/2006/relationships/ctrlProp" Target="../ctrlProps/ctrlProp43.xml"/><Relationship Id="rId4" Type="http://schemas.openxmlformats.org/officeDocument/2006/relationships/ctrlProp" Target="../ctrlProps/ctrlProp42.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19.vml"/><Relationship Id="rId7" Type="http://schemas.openxmlformats.org/officeDocument/2006/relationships/ctrlProp" Target="../ctrlProps/ctrlProp49.xml"/><Relationship Id="rId2" Type="http://schemas.openxmlformats.org/officeDocument/2006/relationships/drawing" Target="../drawings/drawing60.xml"/><Relationship Id="rId1" Type="http://schemas.openxmlformats.org/officeDocument/2006/relationships/printerSettings" Target="../printerSettings/printerSettings23.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 Id="rId9" Type="http://schemas.openxmlformats.org/officeDocument/2006/relationships/ctrlProp" Target="../ctrlProps/ctrlProp5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64.xml"/><Relationship Id="rId1" Type="http://schemas.openxmlformats.org/officeDocument/2006/relationships/printerSettings" Target="../printerSettings/printerSettings24.bin"/><Relationship Id="rId4" Type="http://schemas.openxmlformats.org/officeDocument/2006/relationships/ctrlProp" Target="../ctrlProps/ctrlProp52.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57.xml"/><Relationship Id="rId3" Type="http://schemas.openxmlformats.org/officeDocument/2006/relationships/vmlDrawing" Target="../drawings/vmlDrawing21.vml"/><Relationship Id="rId7" Type="http://schemas.openxmlformats.org/officeDocument/2006/relationships/ctrlProp" Target="../ctrlProps/ctrlProp56.xml"/><Relationship Id="rId2" Type="http://schemas.openxmlformats.org/officeDocument/2006/relationships/drawing" Target="../drawings/drawing65.xml"/><Relationship Id="rId1" Type="http://schemas.openxmlformats.org/officeDocument/2006/relationships/printerSettings" Target="../printerSettings/printerSettings25.bin"/><Relationship Id="rId6" Type="http://schemas.openxmlformats.org/officeDocument/2006/relationships/ctrlProp" Target="../ctrlProps/ctrlProp55.xml"/><Relationship Id="rId5" Type="http://schemas.openxmlformats.org/officeDocument/2006/relationships/ctrlProp" Target="../ctrlProps/ctrlProp54.xml"/><Relationship Id="rId4" Type="http://schemas.openxmlformats.org/officeDocument/2006/relationships/ctrlProp" Target="../ctrlProps/ctrlProp53.xml"/><Relationship Id="rId9" Type="http://schemas.openxmlformats.org/officeDocument/2006/relationships/ctrlProp" Target="../ctrlProps/ctrlProp58.x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26.bin"/><Relationship Id="rId1" Type="http://schemas.openxmlformats.org/officeDocument/2006/relationships/hyperlink" Target="../../../../../1_boletim_2026/4_Abril/be_p13.xlsx" TargetMode="External"/><Relationship Id="rId4" Type="http://schemas.openxmlformats.org/officeDocument/2006/relationships/vmlDrawing" Target="../drawings/vmlDrawing22.v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71.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72.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63.xml"/><Relationship Id="rId3" Type="http://schemas.openxmlformats.org/officeDocument/2006/relationships/vmlDrawing" Target="../drawings/vmlDrawing25.vml"/><Relationship Id="rId7" Type="http://schemas.openxmlformats.org/officeDocument/2006/relationships/ctrlProp" Target="../ctrlProps/ctrlProp62.xml"/><Relationship Id="rId2" Type="http://schemas.openxmlformats.org/officeDocument/2006/relationships/drawing" Target="../drawings/drawing75.xml"/><Relationship Id="rId1" Type="http://schemas.openxmlformats.org/officeDocument/2006/relationships/printerSettings" Target="../printerSettings/printerSettings31.bin"/><Relationship Id="rId6" Type="http://schemas.openxmlformats.org/officeDocument/2006/relationships/ctrlProp" Target="../ctrlProps/ctrlProp61.xml"/><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7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7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78.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79.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80.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81.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82.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4.bin"/><Relationship Id="rId5" Type="http://schemas.microsoft.com/office/2007/relationships/slicer" Target="../slicers/slicer1.xml"/><Relationship Id="rId4" Type="http://schemas.openxmlformats.org/officeDocument/2006/relationships/ctrlProp" Target="../ctrlProps/ctrlProp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83.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84.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85.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87.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88.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89.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90.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91.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92.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7.xml"/><Relationship Id="rId2" Type="http://schemas.openxmlformats.org/officeDocument/2006/relationships/drawing" Target="../drawings/drawing11.xml"/><Relationship Id="rId1" Type="http://schemas.openxmlformats.org/officeDocument/2006/relationships/printerSettings" Target="../printerSettings/printerSettings5.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93.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94.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95.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96.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97.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98.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99.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100.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101.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102.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1.xml"/><Relationship Id="rId2" Type="http://schemas.openxmlformats.org/officeDocument/2006/relationships/drawing" Target="../drawings/drawing15.xml"/><Relationship Id="rId1" Type="http://schemas.openxmlformats.org/officeDocument/2006/relationships/printerSettings" Target="../printerSettings/printerSettings6.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103.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104.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106.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107.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108.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109.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110.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111.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112.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15.xml"/><Relationship Id="rId2" Type="http://schemas.openxmlformats.org/officeDocument/2006/relationships/drawing" Target="../drawings/drawing19.xml"/><Relationship Id="rId1" Type="http://schemas.openxmlformats.org/officeDocument/2006/relationships/printerSettings" Target="../printerSettings/printerSettings7.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113.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114.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115.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116.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117.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118.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119.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120.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121.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122.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3.xml"/><Relationship Id="rId1" Type="http://schemas.openxmlformats.org/officeDocument/2006/relationships/printerSettings" Target="../printerSettings/printerSettings8.bin"/><Relationship Id="rId4" Type="http://schemas.openxmlformats.org/officeDocument/2006/relationships/ctrlProp" Target="../ctrlProps/ctrlProp16.x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123.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124.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125.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126.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127.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128.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129.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130.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131.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132.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6.xml"/><Relationship Id="rId1" Type="http://schemas.openxmlformats.org/officeDocument/2006/relationships/printerSettings" Target="../printerSettings/printerSettings9.bin"/><Relationship Id="rId4" Type="http://schemas.openxmlformats.org/officeDocument/2006/relationships/ctrlProp" Target="../ctrlProps/ctrlProp17.xml"/></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133.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135.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136.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137.xml"/><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B0CAA-94B3-4016-89D0-EC1DB2B27536}">
  <sheetPr>
    <tabColor rgb="FFFFFF00"/>
  </sheetPr>
  <dimension ref="A1:L57"/>
  <sheetViews>
    <sheetView showGridLines="0" showRowColHeaders="0" tabSelected="1" zoomScaleNormal="100" workbookViewId="0">
      <selection activeCell="L26" sqref="L26"/>
    </sheetView>
  </sheetViews>
  <sheetFormatPr defaultColWidth="0" defaultRowHeight="15" zeroHeight="1"/>
  <cols>
    <col min="1" max="11" width="17" style="893" customWidth="1"/>
    <col min="12" max="12" width="18.85546875" style="893" customWidth="1"/>
    <col min="13" max="16384" width="8.7109375" style="893" hidden="1"/>
  </cols>
  <sheetData>
    <row r="1" spans="1:12" ht="12" customHeight="1">
      <c r="A1" s="910"/>
      <c r="B1" s="910"/>
      <c r="C1" s="910"/>
      <c r="D1" s="910"/>
      <c r="E1" s="910"/>
      <c r="F1" s="910"/>
      <c r="G1" s="910"/>
      <c r="H1" s="910"/>
      <c r="I1" s="910"/>
      <c r="J1" s="910"/>
      <c r="K1" s="910"/>
      <c r="L1" s="910"/>
    </row>
    <row r="2" spans="1:12" ht="12" customHeight="1">
      <c r="A2" s="910"/>
      <c r="B2" s="910"/>
      <c r="C2" s="910"/>
      <c r="D2" s="910"/>
      <c r="E2" s="910"/>
      <c r="F2" s="910"/>
      <c r="G2" s="910"/>
      <c r="H2" s="910"/>
      <c r="I2" s="910"/>
      <c r="J2" s="910"/>
      <c r="K2" s="910"/>
      <c r="L2" s="910"/>
    </row>
    <row r="3" spans="1:12" ht="12" customHeight="1">
      <c r="A3" s="910"/>
      <c r="B3" s="910"/>
      <c r="C3" s="910"/>
      <c r="D3" s="910"/>
      <c r="E3" s="910"/>
      <c r="F3" s="910"/>
      <c r="G3" s="910"/>
      <c r="H3" s="910"/>
      <c r="I3" s="910"/>
      <c r="J3" s="910"/>
      <c r="K3" s="910"/>
      <c r="L3" s="910"/>
    </row>
    <row r="4" spans="1:12" ht="12" customHeight="1">
      <c r="A4" s="910"/>
      <c r="B4" s="910"/>
      <c r="C4" s="910"/>
      <c r="D4" s="910"/>
      <c r="E4" s="910"/>
      <c r="F4" s="910"/>
      <c r="G4" s="910"/>
      <c r="H4" s="910"/>
      <c r="I4" s="910"/>
      <c r="J4" s="910"/>
      <c r="K4" s="910"/>
      <c r="L4" s="910"/>
    </row>
    <row r="5" spans="1:12" ht="12" customHeight="1">
      <c r="A5" s="910"/>
      <c r="B5" s="910"/>
      <c r="C5" s="910"/>
      <c r="D5" s="910"/>
      <c r="E5" s="910"/>
      <c r="F5" s="910"/>
      <c r="G5" s="910"/>
      <c r="H5" s="910"/>
      <c r="I5" s="910"/>
      <c r="J5" s="910"/>
      <c r="K5" s="910"/>
      <c r="L5" s="910"/>
    </row>
    <row r="6" spans="1:12" ht="12" customHeight="1">
      <c r="A6" s="910"/>
      <c r="B6" s="910"/>
      <c r="C6" s="910"/>
      <c r="D6" s="910"/>
      <c r="E6" s="910"/>
      <c r="F6" s="910"/>
      <c r="G6" s="910"/>
      <c r="H6" s="910"/>
      <c r="I6" s="910"/>
      <c r="J6" s="910"/>
      <c r="K6" s="910"/>
      <c r="L6" s="910"/>
    </row>
    <row r="7" spans="1:12" ht="12" customHeight="1">
      <c r="A7" s="910"/>
      <c r="B7" s="910"/>
      <c r="C7" s="910"/>
      <c r="D7" s="910"/>
      <c r="E7" s="910"/>
      <c r="F7" s="910"/>
      <c r="G7" s="910"/>
      <c r="H7" s="910"/>
      <c r="I7" s="910"/>
      <c r="J7" s="910"/>
      <c r="K7" s="910"/>
      <c r="L7" s="910"/>
    </row>
    <row r="8" spans="1:12" ht="12" customHeight="1">
      <c r="A8" s="910"/>
      <c r="B8" s="910"/>
      <c r="C8" s="910"/>
      <c r="D8" s="910"/>
      <c r="E8" s="910"/>
      <c r="F8" s="910"/>
      <c r="G8" s="910"/>
      <c r="H8" s="910"/>
      <c r="I8" s="910"/>
      <c r="J8" s="910"/>
      <c r="K8" s="910"/>
      <c r="L8" s="910"/>
    </row>
    <row r="9" spans="1:12" ht="12" customHeight="1">
      <c r="A9" s="910"/>
      <c r="B9" s="910"/>
      <c r="C9" s="910"/>
      <c r="D9" s="910"/>
      <c r="E9" s="910"/>
      <c r="F9" s="910"/>
      <c r="G9" s="910"/>
      <c r="H9" s="910"/>
      <c r="I9" s="910"/>
      <c r="J9" s="910"/>
      <c r="K9" s="910"/>
      <c r="L9" s="910"/>
    </row>
    <row r="10" spans="1:12" ht="12" customHeight="1">
      <c r="A10" s="910"/>
      <c r="B10" s="910"/>
      <c r="C10" s="910"/>
      <c r="D10" s="910"/>
      <c r="E10" s="910"/>
      <c r="F10" s="910"/>
      <c r="G10" s="910"/>
      <c r="H10" s="910"/>
      <c r="I10" s="910"/>
      <c r="J10" s="910"/>
      <c r="K10" s="910"/>
      <c r="L10" s="910"/>
    </row>
    <row r="11" spans="1:12" ht="12" customHeight="1">
      <c r="A11" s="910"/>
      <c r="B11" s="910"/>
      <c r="C11" s="910"/>
      <c r="D11" s="910"/>
      <c r="E11" s="910"/>
      <c r="F11" s="910"/>
      <c r="G11" s="910"/>
      <c r="H11" s="910"/>
      <c r="I11" s="910"/>
      <c r="J11" s="910"/>
      <c r="K11" s="910"/>
      <c r="L11" s="910"/>
    </row>
    <row r="12" spans="1:12" ht="12" customHeight="1">
      <c r="A12" s="910"/>
      <c r="B12" s="910"/>
      <c r="C12" s="910"/>
      <c r="D12" s="910"/>
      <c r="E12" s="910"/>
      <c r="F12" s="910"/>
      <c r="G12" s="910"/>
      <c r="H12" s="910"/>
      <c r="I12" s="910"/>
      <c r="J12" s="910"/>
      <c r="K12" s="910"/>
      <c r="L12" s="910"/>
    </row>
    <row r="13" spans="1:12" ht="12" customHeight="1">
      <c r="A13" s="910"/>
      <c r="B13" s="910"/>
      <c r="C13" s="910"/>
      <c r="D13" s="910"/>
      <c r="E13" s="910"/>
      <c r="F13" s="910"/>
      <c r="G13" s="910"/>
      <c r="H13" s="910"/>
      <c r="I13" s="910"/>
      <c r="J13" s="910"/>
      <c r="K13" s="910"/>
      <c r="L13" s="910"/>
    </row>
    <row r="14" spans="1:12" ht="12" customHeight="1">
      <c r="A14" s="910"/>
      <c r="B14" s="910"/>
      <c r="C14" s="910"/>
      <c r="D14" s="910"/>
      <c r="E14" s="910"/>
      <c r="F14" s="910"/>
      <c r="G14" s="910"/>
      <c r="H14" s="910"/>
      <c r="I14" s="910"/>
      <c r="J14" s="910"/>
      <c r="K14" s="910"/>
      <c r="L14" s="910"/>
    </row>
    <row r="15" spans="1:12" ht="12" customHeight="1">
      <c r="A15" s="910"/>
      <c r="B15" s="910"/>
      <c r="C15" s="910"/>
      <c r="D15" s="910"/>
      <c r="E15" s="910"/>
      <c r="F15" s="910"/>
      <c r="G15" s="910"/>
      <c r="H15" s="910"/>
      <c r="I15" s="910"/>
      <c r="J15" s="910"/>
      <c r="K15" s="910"/>
      <c r="L15" s="910"/>
    </row>
    <row r="16" spans="1:12" ht="12" customHeight="1">
      <c r="A16" s="910"/>
      <c r="B16" s="910"/>
      <c r="C16" s="910"/>
      <c r="D16" s="910"/>
      <c r="E16" s="910"/>
      <c r="F16" s="910"/>
      <c r="G16" s="910"/>
      <c r="H16" s="910"/>
      <c r="I16" s="910"/>
      <c r="J16" s="910"/>
      <c r="K16" s="910"/>
      <c r="L16" s="910"/>
    </row>
    <row r="17" spans="1:12" ht="12" customHeight="1">
      <c r="A17" s="910"/>
      <c r="B17" s="910"/>
      <c r="C17" s="910"/>
      <c r="D17" s="910"/>
      <c r="E17" s="910"/>
      <c r="F17" s="910"/>
      <c r="G17" s="910"/>
      <c r="H17" s="910"/>
      <c r="I17" s="910"/>
      <c r="J17" s="910"/>
      <c r="K17" s="910"/>
      <c r="L17" s="910"/>
    </row>
    <row r="18" spans="1:12" ht="12" customHeight="1">
      <c r="A18" s="910"/>
      <c r="B18" s="910"/>
      <c r="C18" s="910"/>
      <c r="D18" s="910"/>
      <c r="E18" s="910"/>
      <c r="F18" s="910"/>
      <c r="G18" s="910"/>
      <c r="H18" s="910"/>
      <c r="I18" s="910"/>
      <c r="J18" s="910"/>
      <c r="K18" s="910"/>
      <c r="L18" s="910"/>
    </row>
    <row r="19" spans="1:12" ht="12" customHeight="1">
      <c r="A19" s="910"/>
      <c r="B19" s="910"/>
      <c r="C19" s="910"/>
      <c r="D19" s="910"/>
      <c r="E19" s="910"/>
      <c r="F19" s="910"/>
      <c r="G19" s="910"/>
      <c r="H19" s="910"/>
      <c r="I19" s="910"/>
      <c r="J19" s="910"/>
      <c r="K19" s="910"/>
      <c r="L19" s="910"/>
    </row>
    <row r="20" spans="1:12" ht="12" customHeight="1">
      <c r="A20" s="910"/>
      <c r="B20" s="910"/>
      <c r="C20" s="910"/>
      <c r="D20" s="910"/>
      <c r="E20" s="910"/>
      <c r="F20" s="910"/>
      <c r="G20" s="910"/>
      <c r="H20" s="910"/>
      <c r="I20" s="910"/>
      <c r="J20" s="910"/>
      <c r="K20" s="910"/>
      <c r="L20" s="910"/>
    </row>
    <row r="21" spans="1:12" ht="12" customHeight="1">
      <c r="A21" s="910"/>
      <c r="B21" s="910"/>
      <c r="C21" s="910"/>
      <c r="D21" s="910"/>
      <c r="E21" s="910"/>
      <c r="F21" s="910"/>
      <c r="G21" s="910"/>
      <c r="H21" s="910"/>
      <c r="I21" s="910"/>
      <c r="J21" s="910"/>
      <c r="K21" s="910"/>
      <c r="L21" s="910"/>
    </row>
    <row r="22" spans="1:12" ht="12" customHeight="1">
      <c r="A22" s="910"/>
      <c r="B22" s="910"/>
      <c r="C22" s="910"/>
      <c r="D22" s="910"/>
      <c r="E22" s="910"/>
      <c r="F22" s="910"/>
      <c r="G22" s="910"/>
      <c r="H22" s="910"/>
      <c r="I22" s="910"/>
      <c r="J22" s="910"/>
      <c r="K22" s="910"/>
      <c r="L22" s="910"/>
    </row>
    <row r="23" spans="1:12" ht="12" customHeight="1">
      <c r="A23" s="910"/>
      <c r="B23" s="910"/>
      <c r="C23" s="910"/>
      <c r="D23" s="910"/>
      <c r="E23" s="910"/>
      <c r="F23" s="910"/>
      <c r="G23" s="910"/>
      <c r="H23" s="910"/>
      <c r="I23" s="910"/>
      <c r="J23" s="910"/>
      <c r="K23" s="910"/>
      <c r="L23" s="910"/>
    </row>
    <row r="24" spans="1:12" ht="12" customHeight="1">
      <c r="A24" s="910"/>
      <c r="B24" s="910"/>
      <c r="C24" s="910"/>
      <c r="D24" s="910"/>
      <c r="E24" s="910"/>
      <c r="F24" s="910"/>
      <c r="G24" s="910"/>
      <c r="H24" s="910"/>
      <c r="I24" s="910"/>
      <c r="J24" s="910"/>
      <c r="K24" s="910"/>
      <c r="L24" s="910"/>
    </row>
    <row r="25" spans="1:12" ht="12" customHeight="1">
      <c r="A25" s="910"/>
      <c r="B25" s="910"/>
      <c r="C25" s="910"/>
      <c r="D25" s="910"/>
      <c r="E25" s="910"/>
      <c r="F25" s="910"/>
      <c r="G25" s="910"/>
      <c r="H25" s="910"/>
      <c r="I25" s="910"/>
      <c r="J25" s="910"/>
      <c r="K25" s="910"/>
      <c r="L25" s="910"/>
    </row>
    <row r="26" spans="1:12" ht="12" customHeight="1">
      <c r="A26" s="910"/>
      <c r="B26" s="910"/>
      <c r="C26" s="910"/>
      <c r="D26" s="910"/>
      <c r="E26" s="910"/>
      <c r="F26" s="910"/>
      <c r="G26" s="910"/>
      <c r="H26" s="910"/>
      <c r="I26" s="910"/>
      <c r="J26" s="910"/>
      <c r="K26" s="910"/>
      <c r="L26" s="910"/>
    </row>
    <row r="27" spans="1:12" ht="12" customHeight="1">
      <c r="A27" s="910"/>
      <c r="B27" s="910"/>
      <c r="C27" s="910"/>
      <c r="D27" s="910"/>
      <c r="E27" s="910"/>
      <c r="F27" s="910"/>
      <c r="G27" s="910"/>
      <c r="H27" s="910"/>
      <c r="I27" s="910"/>
      <c r="J27" s="910"/>
      <c r="K27" s="910"/>
      <c r="L27" s="910"/>
    </row>
    <row r="28" spans="1:12" ht="12" customHeight="1">
      <c r="A28" s="910"/>
      <c r="B28" s="910"/>
      <c r="C28" s="910"/>
      <c r="D28" s="910"/>
      <c r="E28" s="910"/>
      <c r="F28" s="910"/>
      <c r="G28" s="910"/>
      <c r="H28" s="910"/>
      <c r="I28" s="910"/>
      <c r="J28" s="910"/>
      <c r="K28" s="910"/>
      <c r="L28" s="910"/>
    </row>
    <row r="29" spans="1:12" ht="12" customHeight="1">
      <c r="A29" s="910"/>
      <c r="B29" s="910"/>
      <c r="C29" s="910"/>
      <c r="D29" s="910"/>
      <c r="E29" s="910"/>
      <c r="F29" s="910"/>
      <c r="G29" s="910"/>
      <c r="H29" s="910"/>
      <c r="I29" s="910"/>
      <c r="J29" s="910"/>
      <c r="K29" s="910"/>
      <c r="L29" s="910"/>
    </row>
    <row r="30" spans="1:12" ht="12" customHeight="1">
      <c r="A30" s="910"/>
      <c r="B30" s="910"/>
      <c r="C30" s="910"/>
      <c r="D30" s="910"/>
      <c r="E30" s="910"/>
      <c r="F30" s="910"/>
      <c r="G30" s="910"/>
      <c r="H30" s="910"/>
      <c r="I30" s="910"/>
      <c r="J30" s="910"/>
      <c r="K30" s="910"/>
      <c r="L30" s="910"/>
    </row>
    <row r="31" spans="1:12" ht="12" customHeight="1">
      <c r="A31" s="910"/>
      <c r="B31" s="910"/>
      <c r="C31" s="910"/>
      <c r="D31" s="910"/>
      <c r="E31" s="910"/>
      <c r="F31" s="910"/>
      <c r="G31" s="910"/>
      <c r="H31" s="910"/>
      <c r="I31" s="910"/>
      <c r="J31" s="910"/>
      <c r="K31" s="910"/>
      <c r="L31" s="910"/>
    </row>
    <row r="32" spans="1:12" ht="12" customHeight="1">
      <c r="A32" s="910"/>
      <c r="B32" s="910"/>
      <c r="C32" s="910"/>
      <c r="D32" s="910"/>
      <c r="E32" s="910"/>
      <c r="F32" s="910"/>
      <c r="G32" s="910"/>
      <c r="H32" s="910"/>
      <c r="I32" s="910"/>
      <c r="J32" s="910"/>
      <c r="K32" s="910"/>
      <c r="L32" s="910"/>
    </row>
    <row r="33" spans="1:12" ht="12" customHeight="1">
      <c r="A33" s="910"/>
      <c r="B33" s="910"/>
      <c r="C33" s="910"/>
      <c r="D33" s="910"/>
      <c r="E33" s="910"/>
      <c r="F33" s="910"/>
      <c r="G33" s="910"/>
      <c r="H33" s="910"/>
      <c r="I33" s="910"/>
      <c r="J33" s="910"/>
      <c r="K33" s="910"/>
      <c r="L33" s="910"/>
    </row>
    <row r="34" spans="1:12" ht="12" customHeight="1">
      <c r="A34" s="910"/>
      <c r="B34" s="910"/>
      <c r="C34" s="910"/>
      <c r="D34" s="910"/>
      <c r="E34" s="910"/>
      <c r="F34" s="910"/>
      <c r="G34" s="910"/>
      <c r="H34" s="910"/>
      <c r="I34" s="910"/>
      <c r="J34" s="910"/>
      <c r="K34" s="910"/>
      <c r="L34" s="910"/>
    </row>
    <row r="35" spans="1:12" ht="12" customHeight="1">
      <c r="A35" s="910"/>
      <c r="B35" s="910"/>
      <c r="C35" s="910"/>
      <c r="D35" s="910"/>
      <c r="E35" s="910"/>
      <c r="F35" s="910"/>
      <c r="G35" s="910"/>
      <c r="H35" s="910"/>
      <c r="I35" s="910"/>
      <c r="J35" s="910"/>
      <c r="K35" s="910"/>
      <c r="L35" s="910"/>
    </row>
    <row r="36" spans="1:12" ht="12" customHeight="1">
      <c r="A36" s="910"/>
      <c r="B36" s="910"/>
      <c r="C36" s="910"/>
      <c r="D36" s="910"/>
      <c r="E36" s="910"/>
      <c r="F36" s="910"/>
      <c r="G36" s="910"/>
      <c r="H36" s="910"/>
      <c r="I36" s="910"/>
      <c r="J36" s="910"/>
      <c r="K36" s="910"/>
      <c r="L36" s="910"/>
    </row>
    <row r="37" spans="1:12" ht="12" customHeight="1">
      <c r="A37" s="910"/>
      <c r="B37" s="910"/>
      <c r="C37" s="910"/>
      <c r="D37" s="910"/>
      <c r="E37" s="910"/>
      <c r="F37" s="910"/>
      <c r="G37" s="910"/>
      <c r="H37" s="910"/>
      <c r="I37" s="910"/>
      <c r="J37" s="910"/>
      <c r="K37" s="910"/>
      <c r="L37" s="910"/>
    </row>
    <row r="38" spans="1:12" ht="12" customHeight="1">
      <c r="A38" s="910"/>
      <c r="B38" s="910"/>
      <c r="C38" s="910"/>
      <c r="D38" s="910"/>
      <c r="E38" s="910"/>
      <c r="F38" s="910"/>
      <c r="G38" s="910"/>
      <c r="H38" s="910"/>
      <c r="I38" s="910"/>
      <c r="J38" s="910"/>
      <c r="K38" s="910"/>
      <c r="L38" s="910"/>
    </row>
    <row r="39" spans="1:12" ht="12" customHeight="1">
      <c r="A39" s="910"/>
      <c r="B39" s="910"/>
      <c r="C39" s="910"/>
      <c r="D39" s="910"/>
      <c r="E39" s="910"/>
      <c r="F39" s="910"/>
      <c r="G39" s="910"/>
      <c r="H39" s="910"/>
      <c r="I39" s="910"/>
      <c r="J39" s="910"/>
      <c r="K39" s="910"/>
      <c r="L39" s="910"/>
    </row>
    <row r="40" spans="1:12" ht="12" customHeight="1">
      <c r="A40" s="910"/>
      <c r="B40" s="910"/>
      <c r="C40" s="910"/>
      <c r="D40" s="910"/>
      <c r="E40" s="910"/>
      <c r="F40" s="910"/>
      <c r="G40" s="910"/>
      <c r="H40" s="910"/>
      <c r="I40" s="910"/>
      <c r="J40" s="910"/>
      <c r="K40" s="910"/>
      <c r="L40" s="910"/>
    </row>
    <row r="41" spans="1:12" ht="12" customHeight="1">
      <c r="A41" s="910"/>
      <c r="B41" s="910"/>
      <c r="C41" s="910"/>
      <c r="D41" s="910"/>
      <c r="E41" s="910"/>
      <c r="F41" s="910"/>
      <c r="G41" s="910"/>
      <c r="H41" s="910"/>
      <c r="I41" s="910"/>
      <c r="J41" s="910"/>
      <c r="K41" s="910"/>
      <c r="L41" s="910"/>
    </row>
    <row r="42" spans="1:12" ht="12" customHeight="1">
      <c r="A42" s="910"/>
      <c r="B42" s="910"/>
      <c r="C42" s="910"/>
      <c r="D42" s="910"/>
      <c r="E42" s="910"/>
      <c r="F42" s="910"/>
      <c r="G42" s="910"/>
      <c r="H42" s="910"/>
      <c r="I42" s="910"/>
      <c r="J42" s="910"/>
      <c r="K42" s="910"/>
      <c r="L42" s="910"/>
    </row>
    <row r="43" spans="1:12" ht="12" customHeight="1">
      <c r="A43" s="910"/>
      <c r="B43" s="910"/>
      <c r="C43" s="910"/>
      <c r="D43" s="910"/>
      <c r="E43" s="910"/>
      <c r="F43" s="910"/>
      <c r="G43" s="910"/>
      <c r="H43" s="910"/>
      <c r="I43" s="910"/>
      <c r="J43" s="910"/>
      <c r="K43" s="910"/>
      <c r="L43" s="910"/>
    </row>
    <row r="44" spans="1:12" ht="12" customHeight="1">
      <c r="A44" s="910"/>
      <c r="B44" s="910"/>
      <c r="C44" s="910"/>
      <c r="D44" s="910"/>
      <c r="E44" s="910"/>
      <c r="F44" s="910"/>
      <c r="G44" s="910"/>
      <c r="H44" s="910"/>
      <c r="I44" s="910"/>
      <c r="J44" s="910"/>
      <c r="K44" s="910"/>
      <c r="L44" s="910"/>
    </row>
    <row r="45" spans="1:12" ht="12" customHeight="1">
      <c r="A45" s="910"/>
      <c r="B45" s="910"/>
      <c r="C45" s="910"/>
      <c r="D45" s="910"/>
      <c r="E45" s="910"/>
      <c r="F45" s="910"/>
      <c r="G45" s="910"/>
      <c r="H45" s="910"/>
      <c r="I45" s="910"/>
      <c r="J45" s="910"/>
      <c r="K45" s="910"/>
      <c r="L45" s="910"/>
    </row>
    <row r="46" spans="1:12" ht="12" customHeight="1">
      <c r="A46" s="910"/>
      <c r="B46" s="910"/>
      <c r="C46" s="910"/>
      <c r="D46" s="910"/>
      <c r="E46" s="910"/>
      <c r="F46" s="910"/>
      <c r="G46" s="910"/>
      <c r="H46" s="910"/>
      <c r="I46" s="910"/>
      <c r="J46" s="910"/>
      <c r="K46" s="910"/>
      <c r="L46" s="910"/>
    </row>
    <row r="47" spans="1:12" ht="12" customHeight="1">
      <c r="A47" s="910"/>
      <c r="B47" s="910"/>
      <c r="C47" s="910"/>
      <c r="D47" s="910"/>
      <c r="E47" s="910"/>
      <c r="F47" s="910"/>
      <c r="G47" s="910"/>
      <c r="H47" s="910"/>
      <c r="I47" s="910"/>
      <c r="J47" s="910"/>
      <c r="K47" s="910"/>
      <c r="L47" s="910"/>
    </row>
    <row r="48" spans="1:12" ht="12" customHeight="1">
      <c r="A48" s="910"/>
      <c r="B48" s="910"/>
      <c r="C48" s="910"/>
      <c r="D48" s="910"/>
      <c r="E48" s="910"/>
      <c r="F48" s="910"/>
      <c r="G48" s="910"/>
      <c r="H48" s="910"/>
      <c r="I48" s="910"/>
      <c r="J48" s="910"/>
      <c r="K48" s="910"/>
      <c r="L48" s="910"/>
    </row>
    <row r="49" spans="1:12" ht="12" customHeight="1">
      <c r="A49" s="910"/>
      <c r="B49" s="910"/>
      <c r="C49" s="910"/>
      <c r="D49" s="910"/>
      <c r="E49" s="910"/>
      <c r="F49" s="910"/>
      <c r="G49" s="910"/>
      <c r="H49" s="910"/>
      <c r="I49" s="910"/>
      <c r="J49" s="910"/>
      <c r="K49" s="910"/>
      <c r="L49" s="910"/>
    </row>
    <row r="50" spans="1:12" ht="12" customHeight="1">
      <c r="A50" s="910"/>
      <c r="B50" s="910"/>
      <c r="C50" s="910"/>
      <c r="D50" s="910"/>
      <c r="E50" s="910"/>
      <c r="F50" s="910"/>
      <c r="G50" s="910"/>
      <c r="H50" s="910"/>
      <c r="I50" s="910"/>
      <c r="J50" s="910"/>
      <c r="K50" s="910"/>
      <c r="L50" s="910"/>
    </row>
    <row r="51" spans="1:12" ht="12" customHeight="1">
      <c r="A51" s="910"/>
      <c r="B51" s="910"/>
      <c r="C51" s="910"/>
      <c r="D51" s="910"/>
      <c r="E51" s="910"/>
      <c r="F51" s="910"/>
      <c r="G51" s="910"/>
      <c r="H51" s="910"/>
      <c r="I51" s="910"/>
      <c r="J51" s="910"/>
      <c r="K51" s="910"/>
      <c r="L51" s="910"/>
    </row>
    <row r="52" spans="1:12" ht="12" customHeight="1">
      <c r="A52" s="910"/>
      <c r="B52" s="910"/>
      <c r="C52" s="910"/>
      <c r="D52" s="910"/>
      <c r="E52" s="910"/>
      <c r="F52" s="910"/>
      <c r="G52" s="910"/>
      <c r="H52" s="910"/>
      <c r="I52" s="910"/>
      <c r="J52" s="910"/>
      <c r="K52" s="910"/>
      <c r="L52" s="910"/>
    </row>
    <row r="53" spans="1:12" ht="12" customHeight="1">
      <c r="A53" s="910"/>
      <c r="B53" s="910"/>
      <c r="C53" s="910"/>
      <c r="D53" s="910"/>
      <c r="E53" s="910"/>
      <c r="F53" s="910"/>
      <c r="G53" s="910"/>
      <c r="H53" s="910"/>
      <c r="I53" s="910"/>
      <c r="J53" s="910"/>
      <c r="K53" s="910"/>
      <c r="L53" s="910"/>
    </row>
    <row r="54" spans="1:12" ht="12" customHeight="1">
      <c r="A54" s="910"/>
      <c r="B54" s="910"/>
      <c r="C54" s="910"/>
      <c r="D54" s="910"/>
      <c r="E54" s="910"/>
      <c r="F54" s="910"/>
      <c r="G54" s="910"/>
      <c r="H54" s="910"/>
      <c r="I54" s="910"/>
      <c r="J54" s="910"/>
      <c r="K54" s="910"/>
      <c r="L54" s="910"/>
    </row>
    <row r="55" spans="1:12" ht="12" customHeight="1">
      <c r="A55" s="910"/>
      <c r="B55" s="910"/>
      <c r="C55" s="910"/>
      <c r="D55" s="910"/>
      <c r="E55" s="910"/>
      <c r="F55" s="910"/>
      <c r="G55" s="910"/>
      <c r="H55" s="910"/>
      <c r="I55" s="910"/>
      <c r="J55" s="910"/>
      <c r="K55" s="910"/>
      <c r="L55" s="910"/>
    </row>
    <row r="56" spans="1:12" ht="12" customHeight="1">
      <c r="A56" s="910"/>
      <c r="B56" s="910"/>
      <c r="C56" s="910"/>
      <c r="D56" s="910"/>
      <c r="E56" s="910"/>
      <c r="F56" s="910"/>
      <c r="G56" s="910"/>
      <c r="H56" s="910"/>
      <c r="I56" s="910"/>
      <c r="J56" s="910"/>
      <c r="K56" s="910"/>
      <c r="L56" s="910"/>
    </row>
    <row r="57" spans="1:12" ht="150" customHeight="1">
      <c r="A57" s="910"/>
      <c r="B57" s="910"/>
      <c r="C57" s="910"/>
      <c r="D57" s="910"/>
      <c r="E57" s="910"/>
      <c r="F57" s="910"/>
      <c r="G57" s="910"/>
      <c r="H57" s="910"/>
      <c r="I57" s="910"/>
      <c r="J57" s="910"/>
      <c r="K57" s="910"/>
      <c r="L57" s="910"/>
    </row>
  </sheetData>
  <sheetProtection algorithmName="SHA-512" hashValue="Y7wcMVVQ1ZsWRvrWaoVM5nALU+6iWVuOHQEZ8zhzICvpApk4uvRU71rrqaa0n+CVlpdnudKj0/Qwj3WfUGGYvw==" saltValue="TG6QrkBOkmFZ6LaLp5Xoyg==" spinCount="100000" sheet="1" objects="1" scenarios="1" selectLockedCells="1" selectUnlockedCells="1"/>
  <printOptions horizontalCentered="1" verticalCentered="1"/>
  <pageMargins left="0" right="0" top="0" bottom="0" header="0" footer="0"/>
  <pageSetup paperSize="9" scale="75" fitToWidth="0" fitToHeight="0"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5EF2A-C943-41AF-90F3-97606B969C80}">
  <sheetPr>
    <tabColor rgb="FFFFFF00"/>
  </sheetPr>
  <dimension ref="A1:AB96"/>
  <sheetViews>
    <sheetView showGridLines="0" showRowColHeaders="0" zoomScaleNormal="100" zoomScaleSheetLayoutView="100" workbookViewId="0"/>
  </sheetViews>
  <sheetFormatPr defaultColWidth="0" defaultRowHeight="15" zeroHeight="1"/>
  <cols>
    <col min="1" max="11" width="8.42578125" style="894" customWidth="1"/>
    <col min="12" max="12" width="7" style="894" customWidth="1"/>
    <col min="13" max="23" width="8.7109375" style="894" customWidth="1"/>
    <col min="24" max="27" width="8.7109375" style="894" hidden="1" customWidth="1"/>
    <col min="28" max="28" width="11.28515625" style="894" hidden="1" customWidth="1"/>
    <col min="29" max="16384" width="8.7109375" style="894" hidden="1"/>
  </cols>
  <sheetData>
    <row r="1" spans="1:28">
      <c r="A1" s="912"/>
      <c r="B1" s="912"/>
      <c r="C1" s="912"/>
      <c r="D1" s="912"/>
      <c r="E1" s="912"/>
      <c r="F1" s="912"/>
      <c r="G1" s="912"/>
      <c r="H1" s="912"/>
      <c r="I1" s="912"/>
      <c r="J1" s="912"/>
      <c r="K1" s="912"/>
      <c r="L1" s="912"/>
      <c r="M1" s="912"/>
      <c r="N1" s="912"/>
      <c r="O1" s="912"/>
      <c r="P1" s="912"/>
      <c r="Q1" s="912"/>
      <c r="R1" s="912"/>
      <c r="S1" s="912"/>
      <c r="T1" s="912"/>
      <c r="U1" s="912"/>
      <c r="V1" s="912"/>
      <c r="W1" s="912"/>
    </row>
    <row r="2" spans="1:28">
      <c r="A2" s="912"/>
      <c r="B2" s="912"/>
      <c r="C2" s="912"/>
      <c r="D2" s="912"/>
      <c r="E2" s="912"/>
      <c r="F2" s="912"/>
      <c r="G2" s="912"/>
      <c r="H2" s="912"/>
      <c r="I2" s="912"/>
      <c r="J2" s="912"/>
      <c r="K2" s="912"/>
      <c r="L2" s="912"/>
      <c r="M2" s="912"/>
      <c r="N2" s="912"/>
      <c r="O2" s="912"/>
      <c r="P2" s="912"/>
      <c r="Q2" s="912"/>
      <c r="R2" s="912"/>
      <c r="S2" s="912"/>
      <c r="T2" s="912"/>
      <c r="U2" s="912"/>
      <c r="V2" s="912"/>
      <c r="W2" s="912"/>
    </row>
    <row r="3" spans="1:28">
      <c r="A3" s="912"/>
      <c r="B3" s="912"/>
      <c r="C3" s="912"/>
      <c r="D3" s="912"/>
      <c r="E3" s="912"/>
      <c r="F3" s="912"/>
      <c r="G3" s="912"/>
      <c r="H3" s="912"/>
      <c r="I3" s="912"/>
      <c r="J3" s="912"/>
      <c r="K3" s="912"/>
      <c r="L3" s="912"/>
      <c r="M3" s="912"/>
      <c r="N3" s="912"/>
      <c r="O3" s="912"/>
      <c r="P3" s="912"/>
      <c r="Q3" s="912"/>
      <c r="R3" s="912"/>
      <c r="S3" s="912"/>
      <c r="T3" s="912"/>
      <c r="U3" s="912"/>
      <c r="V3" s="912"/>
      <c r="W3" s="912"/>
    </row>
    <row r="4" spans="1:28">
      <c r="A4" s="912"/>
      <c r="B4" s="912"/>
      <c r="C4" s="912"/>
      <c r="D4" s="912"/>
      <c r="E4" s="912"/>
      <c r="F4" s="912"/>
      <c r="G4" s="912"/>
      <c r="H4" s="912"/>
      <c r="I4" s="912"/>
      <c r="J4" s="912"/>
      <c r="K4" s="912"/>
      <c r="L4" s="912"/>
      <c r="M4" s="912"/>
      <c r="N4" s="912"/>
      <c r="O4" s="912"/>
      <c r="P4" s="912"/>
      <c r="Q4" s="912"/>
      <c r="R4" s="912"/>
      <c r="S4" s="912"/>
      <c r="T4" s="912"/>
      <c r="U4" s="912"/>
      <c r="V4" s="912"/>
      <c r="W4" s="912"/>
    </row>
    <row r="5" spans="1:28">
      <c r="A5" s="912"/>
      <c r="B5" s="912"/>
      <c r="C5" s="912"/>
      <c r="D5" s="912"/>
      <c r="E5" s="912"/>
      <c r="F5" s="912"/>
      <c r="G5" s="912"/>
      <c r="H5" s="912"/>
      <c r="I5" s="912"/>
      <c r="J5" s="912"/>
      <c r="K5" s="912"/>
      <c r="L5" s="912"/>
      <c r="M5" s="912"/>
      <c r="N5" s="912"/>
      <c r="O5" s="912"/>
      <c r="P5" s="912"/>
      <c r="Q5" s="912"/>
      <c r="R5" s="912"/>
      <c r="S5" s="912"/>
      <c r="T5" s="912"/>
      <c r="U5" s="912"/>
      <c r="V5" s="912"/>
      <c r="W5" s="912"/>
    </row>
    <row r="6" spans="1:28">
      <c r="A6" s="912"/>
      <c r="B6" s="912"/>
      <c r="C6" s="912"/>
      <c r="D6" s="912"/>
      <c r="E6" s="912"/>
      <c r="F6" s="912"/>
      <c r="G6" s="913"/>
      <c r="H6" s="912"/>
      <c r="I6" s="912"/>
      <c r="J6" s="912"/>
      <c r="K6" s="912"/>
      <c r="L6" s="937"/>
      <c r="M6" s="937"/>
      <c r="N6" s="937"/>
      <c r="O6" s="937"/>
      <c r="P6" s="937"/>
      <c r="Q6" s="937"/>
      <c r="R6" s="912"/>
      <c r="S6" s="912"/>
      <c r="T6" s="912"/>
      <c r="U6" s="912"/>
      <c r="V6" s="912"/>
      <c r="W6" s="912"/>
    </row>
    <row r="7" spans="1:28">
      <c r="A7" s="938"/>
      <c r="B7" s="938"/>
      <c r="C7" s="938"/>
      <c r="D7" s="938"/>
      <c r="E7" s="938"/>
      <c r="F7" s="938"/>
      <c r="G7" s="912"/>
      <c r="H7" s="912"/>
      <c r="I7" s="912"/>
      <c r="J7" s="912"/>
      <c r="K7" s="912"/>
      <c r="L7" s="912"/>
      <c r="M7" s="912"/>
      <c r="N7" s="912"/>
      <c r="O7" s="912"/>
      <c r="P7" s="912"/>
      <c r="Q7" s="912"/>
      <c r="R7" s="912"/>
      <c r="S7" s="912"/>
      <c r="T7" s="912"/>
      <c r="U7" s="912"/>
      <c r="V7" s="912"/>
      <c r="W7" s="912"/>
      <c r="Y7" s="902"/>
    </row>
    <row r="8" spans="1:28" ht="15" customHeight="1">
      <c r="A8" s="912"/>
      <c r="B8" s="912"/>
      <c r="C8" s="912"/>
      <c r="D8" s="912"/>
      <c r="E8" s="912"/>
      <c r="F8" s="916"/>
      <c r="G8" s="916"/>
      <c r="H8" s="912"/>
      <c r="I8" s="912"/>
      <c r="J8" s="912"/>
      <c r="K8" s="912"/>
      <c r="L8" s="912"/>
      <c r="M8" s="912"/>
      <c r="N8" s="912"/>
      <c r="O8" s="912"/>
      <c r="P8" s="912"/>
      <c r="Q8" s="912"/>
      <c r="R8" s="912"/>
      <c r="S8" s="912"/>
      <c r="T8" s="912"/>
      <c r="U8" s="912"/>
      <c r="V8" s="912"/>
      <c r="W8" s="912"/>
    </row>
    <row r="9" spans="1:28" ht="15" customHeight="1">
      <c r="A9" s="912"/>
      <c r="B9" s="912"/>
      <c r="C9" s="912"/>
      <c r="D9" s="912"/>
      <c r="E9" s="912"/>
      <c r="F9" s="916"/>
      <c r="G9" s="916"/>
      <c r="H9" s="912"/>
      <c r="I9" s="912"/>
      <c r="J9" s="912"/>
      <c r="K9" s="912"/>
      <c r="L9" s="912"/>
      <c r="M9" s="912"/>
      <c r="N9" s="912"/>
      <c r="O9" s="912"/>
      <c r="P9" s="912"/>
      <c r="Q9" s="912"/>
      <c r="R9" s="912"/>
      <c r="S9" s="912"/>
      <c r="T9" s="912"/>
      <c r="U9" s="912"/>
      <c r="V9" s="912"/>
      <c r="W9" s="912"/>
    </row>
    <row r="10" spans="1:28">
      <c r="A10" s="912"/>
      <c r="B10" s="912"/>
      <c r="C10" s="912"/>
      <c r="D10" s="912"/>
      <c r="E10" s="912"/>
      <c r="F10" s="916"/>
      <c r="G10" s="916"/>
      <c r="H10" s="912"/>
      <c r="I10" s="912"/>
      <c r="J10" s="912"/>
      <c r="K10" s="912"/>
      <c r="L10" s="912"/>
      <c r="M10" s="912"/>
      <c r="N10" s="912"/>
      <c r="O10" s="912"/>
      <c r="P10" s="912"/>
      <c r="Q10" s="912"/>
      <c r="R10" s="912"/>
      <c r="S10" s="912"/>
      <c r="T10" s="912"/>
      <c r="U10" s="912"/>
      <c r="V10" s="912"/>
      <c r="W10" s="912"/>
      <c r="AB10" s="903"/>
    </row>
    <row r="11" spans="1:28" ht="15" customHeight="1">
      <c r="A11" s="912"/>
      <c r="B11" s="912"/>
      <c r="C11" s="912"/>
      <c r="D11" s="912"/>
      <c r="E11" s="912"/>
      <c r="F11" s="916"/>
      <c r="G11" s="916"/>
      <c r="H11" s="912"/>
      <c r="I11" s="912"/>
      <c r="J11" s="912"/>
      <c r="K11" s="912"/>
      <c r="L11" s="912"/>
      <c r="M11" s="912"/>
      <c r="N11" s="912"/>
      <c r="O11" s="912"/>
      <c r="P11" s="912"/>
      <c r="Q11" s="912"/>
      <c r="R11" s="912"/>
      <c r="S11" s="912"/>
      <c r="T11" s="912"/>
      <c r="U11" s="912"/>
      <c r="V11" s="912"/>
      <c r="W11" s="912"/>
    </row>
    <row r="12" spans="1:28" ht="15" customHeight="1">
      <c r="A12" s="912"/>
      <c r="B12" s="912"/>
      <c r="C12" s="912"/>
      <c r="D12" s="912"/>
      <c r="E12" s="912"/>
      <c r="F12" s="916"/>
      <c r="G12" s="916"/>
      <c r="H12" s="912"/>
      <c r="I12" s="912"/>
      <c r="J12" s="912"/>
      <c r="K12" s="912"/>
      <c r="L12" s="912"/>
      <c r="M12" s="912"/>
      <c r="N12" s="912"/>
      <c r="O12" s="912"/>
      <c r="P12" s="912"/>
      <c r="Q12" s="912"/>
      <c r="R12" s="912"/>
      <c r="S12" s="912"/>
      <c r="T12" s="912"/>
      <c r="U12" s="912"/>
      <c r="V12" s="912"/>
      <c r="W12" s="912"/>
    </row>
    <row r="13" spans="1:28">
      <c r="A13" s="912"/>
      <c r="B13" s="912"/>
      <c r="C13" s="912"/>
      <c r="D13" s="912"/>
      <c r="E13" s="912"/>
      <c r="F13" s="916"/>
      <c r="G13" s="916"/>
      <c r="H13" s="912"/>
      <c r="I13" s="912"/>
      <c r="J13" s="912"/>
      <c r="K13" s="912"/>
      <c r="L13" s="912"/>
      <c r="M13" s="912"/>
      <c r="N13" s="912"/>
      <c r="O13" s="912"/>
      <c r="P13" s="912"/>
      <c r="Q13" s="912"/>
      <c r="R13" s="912"/>
      <c r="S13" s="912"/>
      <c r="T13" s="912"/>
      <c r="U13" s="912"/>
      <c r="V13" s="912"/>
      <c r="W13" s="912"/>
    </row>
    <row r="14" spans="1:28">
      <c r="A14" s="912"/>
      <c r="B14" s="912"/>
      <c r="C14" s="912"/>
      <c r="D14" s="912"/>
      <c r="E14" s="912"/>
      <c r="F14" s="912"/>
      <c r="G14" s="912"/>
      <c r="H14" s="912"/>
      <c r="I14" s="912"/>
      <c r="J14" s="912"/>
      <c r="K14" s="912"/>
      <c r="L14" s="912"/>
      <c r="M14" s="912"/>
      <c r="N14" s="912"/>
      <c r="O14" s="912"/>
      <c r="P14" s="912"/>
      <c r="Q14" s="912"/>
      <c r="R14" s="912"/>
      <c r="S14" s="912"/>
      <c r="T14" s="912"/>
      <c r="U14" s="912"/>
      <c r="V14" s="912"/>
      <c r="W14" s="912"/>
    </row>
    <row r="15" spans="1:28">
      <c r="A15" s="912"/>
      <c r="B15" s="912"/>
      <c r="C15" s="912"/>
      <c r="D15" s="912"/>
      <c r="E15" s="912"/>
      <c r="F15" s="912"/>
      <c r="G15" s="912"/>
      <c r="H15" s="912"/>
      <c r="I15" s="912"/>
      <c r="J15" s="912"/>
      <c r="K15" s="912"/>
      <c r="L15" s="912"/>
      <c r="M15" s="912"/>
      <c r="N15" s="912"/>
      <c r="O15" s="912"/>
      <c r="P15" s="912"/>
      <c r="Q15" s="912"/>
      <c r="R15" s="912"/>
      <c r="S15" s="912"/>
      <c r="T15" s="912"/>
      <c r="U15" s="912"/>
      <c r="V15" s="912"/>
      <c r="W15" s="912"/>
    </row>
    <row r="16" spans="1:28">
      <c r="A16" s="912"/>
      <c r="B16" s="912"/>
      <c r="C16" s="912"/>
      <c r="D16" s="912"/>
      <c r="E16" s="912"/>
      <c r="F16" s="912"/>
      <c r="G16" s="912"/>
      <c r="H16" s="912"/>
      <c r="I16" s="912"/>
      <c r="J16" s="912"/>
      <c r="K16" s="912"/>
      <c r="L16" s="912"/>
      <c r="M16" s="912"/>
      <c r="N16" s="912"/>
      <c r="O16" s="912"/>
      <c r="P16" s="912"/>
      <c r="Q16" s="912"/>
      <c r="R16" s="912"/>
      <c r="S16" s="912"/>
      <c r="T16" s="912"/>
      <c r="U16" s="912"/>
      <c r="V16" s="912"/>
      <c r="W16" s="912"/>
    </row>
    <row r="17" spans="1:28">
      <c r="A17" s="912"/>
      <c r="B17" s="912"/>
      <c r="C17" s="912"/>
      <c r="D17" s="912"/>
      <c r="E17" s="912"/>
      <c r="F17" s="912"/>
      <c r="G17" s="912"/>
      <c r="H17" s="912"/>
      <c r="I17" s="912"/>
      <c r="J17" s="912"/>
      <c r="K17" s="912"/>
      <c r="L17" s="912"/>
      <c r="M17" s="912"/>
      <c r="N17" s="912"/>
      <c r="O17" s="912"/>
      <c r="P17" s="912"/>
      <c r="Q17" s="912"/>
      <c r="R17" s="912"/>
      <c r="S17" s="912"/>
      <c r="T17" s="912"/>
      <c r="U17" s="912"/>
      <c r="V17" s="912"/>
      <c r="W17" s="912"/>
    </row>
    <row r="18" spans="1:28">
      <c r="A18" s="912"/>
      <c r="B18" s="912"/>
      <c r="C18" s="912"/>
      <c r="D18" s="912"/>
      <c r="E18" s="912"/>
      <c r="F18" s="912"/>
      <c r="G18" s="912"/>
      <c r="H18" s="912"/>
      <c r="I18" s="912"/>
      <c r="J18" s="912"/>
      <c r="K18" s="912"/>
      <c r="L18" s="912"/>
      <c r="M18" s="912"/>
      <c r="N18" s="912"/>
      <c r="O18" s="912"/>
      <c r="P18" s="912"/>
      <c r="Q18" s="912"/>
      <c r="R18" s="912"/>
      <c r="S18" s="912"/>
      <c r="T18" s="912"/>
      <c r="U18" s="912"/>
      <c r="V18" s="912"/>
      <c r="W18" s="912"/>
    </row>
    <row r="19" spans="1:28">
      <c r="A19" s="912"/>
      <c r="B19" s="912"/>
      <c r="C19" s="912"/>
      <c r="D19" s="912"/>
      <c r="E19" s="912"/>
      <c r="F19" s="912"/>
      <c r="G19" s="912"/>
      <c r="H19" s="912"/>
      <c r="I19" s="912"/>
      <c r="J19" s="912"/>
      <c r="K19" s="912"/>
      <c r="L19" s="912"/>
      <c r="M19" s="912"/>
      <c r="N19" s="912"/>
      <c r="O19" s="912"/>
      <c r="P19" s="912"/>
      <c r="Q19" s="912"/>
      <c r="R19" s="912"/>
      <c r="S19" s="912"/>
      <c r="T19" s="912"/>
      <c r="U19" s="912"/>
      <c r="V19" s="912"/>
      <c r="W19" s="912"/>
      <c r="AB19" s="904"/>
    </row>
    <row r="20" spans="1:28">
      <c r="A20" s="912"/>
      <c r="B20" s="912"/>
      <c r="C20" s="912"/>
      <c r="D20" s="912"/>
      <c r="E20" s="912"/>
      <c r="F20" s="912"/>
      <c r="G20" s="912"/>
      <c r="H20" s="912"/>
      <c r="I20" s="912"/>
      <c r="J20" s="912"/>
      <c r="K20" s="912"/>
      <c r="L20" s="912"/>
      <c r="M20" s="912"/>
      <c r="N20" s="912"/>
      <c r="O20" s="912"/>
      <c r="P20" s="912"/>
      <c r="Q20" s="912"/>
      <c r="R20" s="912"/>
      <c r="S20" s="912"/>
      <c r="T20" s="912"/>
      <c r="U20" s="912"/>
      <c r="V20" s="912"/>
      <c r="W20" s="912"/>
      <c r="AB20" s="904"/>
    </row>
    <row r="21" spans="1:28">
      <c r="A21" s="912"/>
      <c r="B21" s="912"/>
      <c r="C21" s="912"/>
      <c r="D21" s="912"/>
      <c r="E21" s="912"/>
      <c r="F21" s="912"/>
      <c r="G21" s="912"/>
      <c r="H21" s="912"/>
      <c r="I21" s="912"/>
      <c r="J21" s="912"/>
      <c r="K21" s="912"/>
      <c r="L21" s="912"/>
      <c r="M21" s="912"/>
      <c r="N21" s="912"/>
      <c r="O21" s="912"/>
      <c r="P21" s="912"/>
      <c r="Q21" s="912"/>
      <c r="R21" s="912"/>
      <c r="S21" s="912"/>
      <c r="T21" s="912"/>
      <c r="U21" s="912"/>
      <c r="V21" s="912"/>
      <c r="W21" s="912"/>
      <c r="AB21" s="905"/>
    </row>
    <row r="22" spans="1:28">
      <c r="A22" s="912"/>
      <c r="B22" s="912"/>
      <c r="C22" s="912"/>
      <c r="D22" s="912"/>
      <c r="E22" s="912"/>
      <c r="F22" s="912"/>
      <c r="G22" s="912"/>
      <c r="H22" s="912"/>
      <c r="I22" s="912"/>
      <c r="J22" s="912"/>
      <c r="K22" s="912"/>
      <c r="L22" s="912"/>
      <c r="M22" s="912"/>
      <c r="N22" s="912"/>
      <c r="O22" s="912"/>
      <c r="P22" s="912"/>
      <c r="Q22" s="912"/>
      <c r="R22" s="912"/>
      <c r="S22" s="912"/>
      <c r="T22" s="912"/>
      <c r="U22" s="912"/>
      <c r="V22" s="912"/>
      <c r="W22" s="912"/>
    </row>
    <row r="23" spans="1:28">
      <c r="A23" s="912"/>
      <c r="B23" s="912"/>
      <c r="C23" s="912"/>
      <c r="D23" s="912"/>
      <c r="E23" s="912"/>
      <c r="F23" s="912"/>
      <c r="G23" s="912"/>
      <c r="H23" s="912"/>
      <c r="I23" s="912"/>
      <c r="J23" s="912"/>
      <c r="K23" s="912"/>
      <c r="L23" s="912"/>
      <c r="M23" s="912"/>
      <c r="N23" s="912"/>
      <c r="O23" s="912"/>
      <c r="P23" s="912"/>
      <c r="Q23" s="912"/>
      <c r="R23" s="912"/>
      <c r="S23" s="912"/>
      <c r="T23" s="912"/>
      <c r="U23" s="912"/>
      <c r="V23" s="912"/>
      <c r="W23" s="912"/>
    </row>
    <row r="24" spans="1:28">
      <c r="A24" s="912"/>
      <c r="B24" s="912"/>
      <c r="C24" s="912"/>
      <c r="D24" s="912"/>
      <c r="E24" s="912"/>
      <c r="F24" s="912"/>
      <c r="G24" s="912"/>
      <c r="H24" s="912"/>
      <c r="I24" s="912"/>
      <c r="J24" s="912"/>
      <c r="K24" s="912"/>
      <c r="L24" s="912"/>
      <c r="M24" s="912"/>
      <c r="N24" s="912"/>
      <c r="O24" s="912"/>
      <c r="P24" s="912"/>
      <c r="Q24" s="912"/>
      <c r="R24" s="912"/>
      <c r="S24" s="912"/>
      <c r="T24" s="912"/>
      <c r="U24" s="912"/>
      <c r="V24" s="912"/>
      <c r="W24" s="912"/>
    </row>
    <row r="25" spans="1:28">
      <c r="A25" s="912"/>
      <c r="B25" s="912"/>
      <c r="C25" s="912"/>
      <c r="D25" s="912"/>
      <c r="E25" s="912"/>
      <c r="F25" s="912"/>
      <c r="G25" s="912"/>
      <c r="H25" s="912"/>
      <c r="I25" s="912"/>
      <c r="J25" s="912"/>
      <c r="K25" s="912"/>
      <c r="L25" s="912"/>
      <c r="M25" s="912"/>
      <c r="N25" s="912"/>
      <c r="O25" s="912"/>
      <c r="P25" s="912"/>
      <c r="Q25" s="912"/>
      <c r="R25" s="912"/>
      <c r="S25" s="912"/>
      <c r="T25" s="912"/>
      <c r="U25" s="912"/>
      <c r="V25" s="912"/>
      <c r="W25" s="912"/>
    </row>
    <row r="26" spans="1:28">
      <c r="A26" s="912"/>
      <c r="B26" s="912"/>
      <c r="C26" s="912"/>
      <c r="D26" s="912"/>
      <c r="E26" s="912"/>
      <c r="F26" s="912"/>
      <c r="G26" s="912"/>
      <c r="H26" s="912"/>
      <c r="I26" s="912"/>
      <c r="J26" s="912"/>
      <c r="K26" s="912"/>
      <c r="L26" s="912"/>
      <c r="M26" s="912"/>
      <c r="N26" s="912"/>
      <c r="O26" s="912"/>
      <c r="P26" s="912"/>
      <c r="Q26" s="912"/>
      <c r="R26" s="912"/>
      <c r="S26" s="912"/>
      <c r="T26" s="912"/>
      <c r="U26" s="912"/>
      <c r="V26" s="912"/>
      <c r="W26" s="912"/>
    </row>
    <row r="27" spans="1:28">
      <c r="A27" s="912"/>
      <c r="B27" s="912"/>
      <c r="C27" s="912"/>
      <c r="D27" s="912"/>
      <c r="E27" s="912"/>
      <c r="F27" s="912"/>
      <c r="G27" s="912"/>
      <c r="H27" s="912"/>
      <c r="I27" s="912"/>
      <c r="J27" s="912"/>
      <c r="K27" s="912"/>
      <c r="L27" s="912"/>
      <c r="M27" s="912"/>
      <c r="N27" s="912"/>
      <c r="O27" s="912"/>
      <c r="P27" s="912"/>
      <c r="Q27" s="912"/>
      <c r="R27" s="912"/>
      <c r="S27" s="912"/>
      <c r="T27" s="912"/>
      <c r="U27" s="912"/>
      <c r="V27" s="912"/>
      <c r="W27" s="912"/>
    </row>
    <row r="28" spans="1:28">
      <c r="A28" s="912"/>
      <c r="B28" s="912"/>
      <c r="C28" s="912"/>
      <c r="D28" s="912"/>
      <c r="E28" s="912"/>
      <c r="F28" s="912"/>
      <c r="G28" s="912"/>
      <c r="H28" s="912"/>
      <c r="I28" s="912"/>
      <c r="J28" s="912"/>
      <c r="K28" s="912"/>
      <c r="L28" s="912"/>
      <c r="M28" s="912"/>
      <c r="N28" s="912"/>
      <c r="O28" s="912"/>
      <c r="P28" s="917"/>
      <c r="Q28" s="917"/>
      <c r="R28" s="917"/>
      <c r="S28" s="917"/>
      <c r="T28" s="917"/>
      <c r="U28" s="917"/>
      <c r="V28" s="917"/>
      <c r="W28" s="917"/>
      <c r="X28" s="895"/>
      <c r="Y28" s="895"/>
    </row>
    <row r="29" spans="1:28">
      <c r="A29" s="912"/>
      <c r="B29" s="912"/>
      <c r="C29" s="912"/>
      <c r="D29" s="912"/>
      <c r="E29" s="912"/>
      <c r="F29" s="912"/>
      <c r="G29" s="912"/>
      <c r="H29" s="912"/>
      <c r="I29" s="912"/>
      <c r="J29" s="912"/>
      <c r="K29" s="912"/>
      <c r="L29" s="912"/>
      <c r="M29" s="912"/>
      <c r="N29" s="912"/>
      <c r="O29" s="912"/>
      <c r="P29" s="918"/>
      <c r="Q29" s="918"/>
      <c r="R29" s="918"/>
      <c r="S29" s="918"/>
      <c r="T29" s="918"/>
      <c r="U29" s="918"/>
      <c r="V29" s="912"/>
      <c r="W29" s="919"/>
      <c r="X29" s="896"/>
      <c r="Y29" s="906"/>
    </row>
    <row r="30" spans="1:28">
      <c r="A30" s="912"/>
      <c r="B30" s="912"/>
      <c r="C30" s="912"/>
      <c r="D30" s="912"/>
      <c r="E30" s="912"/>
      <c r="F30" s="912"/>
      <c r="G30" s="912"/>
      <c r="H30" s="912"/>
      <c r="I30" s="912"/>
      <c r="J30" s="912"/>
      <c r="K30" s="912"/>
      <c r="L30" s="912"/>
      <c r="M30" s="912"/>
      <c r="N30" s="912"/>
      <c r="O30" s="912"/>
      <c r="P30" s="912"/>
      <c r="Q30" s="912"/>
      <c r="R30" s="912"/>
      <c r="S30" s="912"/>
      <c r="T30" s="912"/>
      <c r="U30" s="912"/>
      <c r="V30" s="912"/>
      <c r="W30" s="912"/>
    </row>
    <row r="31" spans="1:28">
      <c r="A31" s="912"/>
      <c r="B31" s="912"/>
      <c r="C31" s="912"/>
      <c r="D31" s="912"/>
      <c r="E31" s="912"/>
      <c r="F31" s="912"/>
      <c r="G31" s="912"/>
      <c r="H31" s="912"/>
      <c r="I31" s="912"/>
      <c r="J31" s="912"/>
      <c r="K31" s="912"/>
      <c r="L31" s="912"/>
      <c r="M31" s="912"/>
      <c r="N31" s="912"/>
      <c r="O31" s="912"/>
      <c r="P31" s="920"/>
      <c r="Q31" s="912"/>
      <c r="R31" s="912"/>
      <c r="S31" s="912"/>
      <c r="T31" s="912"/>
      <c r="U31" s="912"/>
      <c r="V31" s="912"/>
      <c r="W31" s="912"/>
    </row>
    <row r="32" spans="1:28">
      <c r="A32" s="912"/>
      <c r="B32" s="912"/>
      <c r="C32" s="912"/>
      <c r="D32" s="912"/>
      <c r="E32" s="912"/>
      <c r="F32" s="912"/>
      <c r="G32" s="912"/>
      <c r="H32" s="912"/>
      <c r="I32" s="912"/>
      <c r="J32" s="912"/>
      <c r="K32" s="912"/>
      <c r="L32" s="912"/>
      <c r="M32" s="912"/>
      <c r="N32" s="912"/>
      <c r="O32" s="912"/>
      <c r="P32" s="919"/>
      <c r="Q32" s="912"/>
      <c r="R32" s="912"/>
      <c r="S32" s="912"/>
      <c r="T32" s="912"/>
      <c r="U32" s="912"/>
      <c r="V32" s="912"/>
      <c r="W32" s="912"/>
    </row>
    <row r="33" spans="1:25">
      <c r="A33" s="912"/>
      <c r="B33" s="912"/>
      <c r="C33" s="912"/>
      <c r="D33" s="912"/>
      <c r="E33" s="912"/>
      <c r="F33" s="912"/>
      <c r="G33" s="912"/>
      <c r="H33" s="912"/>
      <c r="I33" s="912"/>
      <c r="J33" s="912"/>
      <c r="K33" s="912"/>
      <c r="L33" s="912"/>
      <c r="M33" s="912"/>
      <c r="N33" s="912"/>
      <c r="O33" s="912"/>
      <c r="P33" s="919"/>
      <c r="Q33" s="912"/>
      <c r="R33" s="912"/>
      <c r="S33" s="912"/>
      <c r="T33" s="912"/>
      <c r="U33" s="912"/>
      <c r="V33" s="912"/>
      <c r="W33" s="912"/>
      <c r="Y33" s="900"/>
    </row>
    <row r="34" spans="1:25">
      <c r="A34" s="912"/>
      <c r="B34" s="912"/>
      <c r="C34" s="912"/>
      <c r="D34" s="912"/>
      <c r="E34" s="912"/>
      <c r="F34" s="912"/>
      <c r="G34" s="912"/>
      <c r="H34" s="912"/>
      <c r="I34" s="912"/>
      <c r="J34" s="912"/>
      <c r="K34" s="912"/>
      <c r="L34" s="912"/>
      <c r="M34" s="912"/>
      <c r="N34" s="912"/>
      <c r="O34" s="912"/>
      <c r="P34" s="919"/>
      <c r="Q34" s="912"/>
      <c r="R34" s="912"/>
      <c r="S34" s="912"/>
      <c r="T34" s="912"/>
      <c r="U34" s="912"/>
      <c r="V34" s="912"/>
      <c r="W34" s="912"/>
    </row>
    <row r="35" spans="1:25">
      <c r="A35" s="928"/>
      <c r="B35" s="912"/>
      <c r="C35" s="912"/>
      <c r="D35" s="912"/>
      <c r="E35" s="912"/>
      <c r="F35" s="912"/>
      <c r="G35" s="912"/>
      <c r="H35" s="921"/>
      <c r="I35" s="912"/>
      <c r="J35" s="920"/>
      <c r="K35" s="912"/>
      <c r="L35" s="912"/>
      <c r="M35" s="919"/>
      <c r="N35" s="919"/>
      <c r="O35" s="919"/>
      <c r="P35" s="919"/>
      <c r="Q35" s="912"/>
      <c r="R35" s="912"/>
      <c r="S35" s="912"/>
      <c r="T35" s="912"/>
      <c r="U35" s="912"/>
      <c r="V35" s="912"/>
      <c r="W35" s="912"/>
    </row>
    <row r="36" spans="1:25">
      <c r="A36" s="928"/>
      <c r="B36" s="912"/>
      <c r="C36" s="912"/>
      <c r="D36" s="912"/>
      <c r="E36" s="912"/>
      <c r="F36" s="912"/>
      <c r="G36" s="912"/>
      <c r="H36" s="921"/>
      <c r="I36" s="912"/>
      <c r="J36" s="920"/>
      <c r="K36" s="912"/>
      <c r="L36" s="912"/>
      <c r="M36" s="919"/>
      <c r="N36" s="919"/>
      <c r="O36" s="919"/>
      <c r="P36" s="919"/>
      <c r="Q36" s="912"/>
      <c r="R36" s="912"/>
      <c r="S36" s="912"/>
      <c r="T36" s="912"/>
      <c r="U36" s="912"/>
      <c r="V36" s="912"/>
      <c r="W36" s="912"/>
    </row>
    <row r="37" spans="1:25">
      <c r="A37" s="928"/>
      <c r="B37" s="912"/>
      <c r="C37" s="912"/>
      <c r="D37" s="912"/>
      <c r="E37" s="912"/>
      <c r="F37" s="912"/>
      <c r="G37" s="912"/>
      <c r="H37" s="912"/>
      <c r="I37" s="912"/>
      <c r="J37" s="920"/>
      <c r="K37" s="912"/>
      <c r="L37" s="912"/>
      <c r="M37" s="922"/>
      <c r="N37" s="921"/>
      <c r="O37" s="919"/>
      <c r="P37" s="919"/>
      <c r="Q37" s="929"/>
      <c r="R37" s="912"/>
      <c r="S37" s="912"/>
      <c r="T37" s="912"/>
      <c r="U37" s="912"/>
      <c r="V37" s="912"/>
      <c r="W37" s="912"/>
    </row>
    <row r="38" spans="1:25">
      <c r="A38" s="928"/>
      <c r="B38" s="912"/>
      <c r="C38" s="912"/>
      <c r="D38" s="912"/>
      <c r="E38" s="912"/>
      <c r="F38" s="912"/>
      <c r="G38" s="912"/>
      <c r="H38" s="921"/>
      <c r="I38" s="912"/>
      <c r="J38" s="920"/>
      <c r="K38" s="912"/>
      <c r="L38" s="912"/>
      <c r="M38" s="919"/>
      <c r="N38" s="919"/>
      <c r="O38" s="919"/>
      <c r="P38" s="919"/>
      <c r="Q38" s="912"/>
      <c r="R38" s="912"/>
      <c r="S38" s="912"/>
      <c r="T38" s="912"/>
      <c r="U38" s="912"/>
      <c r="V38" s="912"/>
      <c r="W38" s="912"/>
    </row>
    <row r="39" spans="1:25">
      <c r="A39" s="928"/>
      <c r="B39" s="912"/>
      <c r="C39" s="912"/>
      <c r="D39" s="912"/>
      <c r="E39" s="912"/>
      <c r="F39" s="912"/>
      <c r="G39" s="912"/>
      <c r="H39" s="920"/>
      <c r="I39" s="920"/>
      <c r="J39" s="920"/>
      <c r="K39" s="912"/>
      <c r="L39" s="919"/>
      <c r="M39" s="919"/>
      <c r="N39" s="919"/>
      <c r="O39" s="919"/>
      <c r="P39" s="919"/>
      <c r="Q39" s="912"/>
      <c r="R39" s="912"/>
      <c r="S39" s="912"/>
      <c r="T39" s="912"/>
      <c r="U39" s="912"/>
      <c r="V39" s="912"/>
      <c r="W39" s="912"/>
    </row>
    <row r="40" spans="1:25">
      <c r="A40" s="912"/>
      <c r="B40" s="912"/>
      <c r="C40" s="912"/>
      <c r="D40" s="912"/>
      <c r="E40" s="912"/>
      <c r="F40" s="912"/>
      <c r="G40" s="919"/>
      <c r="H40" s="919"/>
      <c r="I40" s="919"/>
      <c r="J40" s="919"/>
      <c r="K40" s="919"/>
      <c r="L40" s="919"/>
      <c r="M40" s="919"/>
      <c r="N40" s="919"/>
      <c r="O40" s="919"/>
      <c r="P40" s="919"/>
      <c r="Q40" s="912"/>
      <c r="R40" s="912"/>
      <c r="S40" s="912"/>
      <c r="T40" s="912"/>
      <c r="U40" s="912"/>
      <c r="V40" s="912"/>
      <c r="W40" s="912"/>
    </row>
    <row r="41" spans="1:25">
      <c r="A41" s="912"/>
      <c r="B41" s="912"/>
      <c r="C41" s="912"/>
      <c r="D41" s="912"/>
      <c r="E41" s="912"/>
      <c r="F41" s="912"/>
      <c r="G41" s="919"/>
      <c r="H41" s="919"/>
      <c r="I41" s="919"/>
      <c r="J41" s="919"/>
      <c r="K41" s="919"/>
      <c r="L41" s="919"/>
      <c r="M41" s="919"/>
      <c r="N41" s="919"/>
      <c r="O41" s="919"/>
      <c r="P41" s="919"/>
      <c r="Q41" s="912"/>
      <c r="R41" s="912"/>
      <c r="S41" s="912"/>
      <c r="T41" s="912"/>
      <c r="U41" s="912"/>
      <c r="V41" s="912"/>
      <c r="W41" s="912"/>
    </row>
    <row r="42" spans="1:25">
      <c r="A42" s="912"/>
      <c r="B42" s="912"/>
      <c r="C42" s="912"/>
      <c r="D42" s="912"/>
      <c r="E42" s="912"/>
      <c r="F42" s="912"/>
      <c r="G42" s="919"/>
      <c r="H42" s="919"/>
      <c r="I42" s="919"/>
      <c r="J42" s="919"/>
      <c r="K42" s="919"/>
      <c r="L42" s="919"/>
      <c r="M42" s="919"/>
      <c r="N42" s="919"/>
      <c r="O42" s="919"/>
      <c r="P42" s="919"/>
      <c r="Q42" s="912"/>
      <c r="R42" s="912"/>
      <c r="S42" s="912"/>
      <c r="T42" s="912"/>
      <c r="U42" s="912"/>
      <c r="V42" s="912"/>
      <c r="W42" s="912"/>
    </row>
    <row r="43" spans="1:25">
      <c r="A43" s="912"/>
      <c r="B43" s="912"/>
      <c r="C43" s="912"/>
      <c r="D43" s="912"/>
      <c r="E43" s="912"/>
      <c r="F43" s="912"/>
      <c r="G43" s="919"/>
      <c r="H43" s="919"/>
      <c r="I43" s="919"/>
      <c r="J43" s="919"/>
      <c r="K43" s="919"/>
      <c r="L43" s="919"/>
      <c r="M43" s="919"/>
      <c r="N43" s="919"/>
      <c r="O43" s="919"/>
      <c r="P43" s="919"/>
      <c r="Q43" s="912"/>
      <c r="R43" s="912"/>
      <c r="S43" s="912"/>
      <c r="T43" s="912"/>
      <c r="U43" s="912"/>
      <c r="V43" s="912"/>
      <c r="W43" s="912"/>
    </row>
    <row r="44" spans="1:25">
      <c r="A44" s="912"/>
      <c r="B44" s="912"/>
      <c r="C44" s="912"/>
      <c r="D44" s="912"/>
      <c r="E44" s="912"/>
      <c r="F44" s="912"/>
      <c r="G44" s="919"/>
      <c r="H44" s="919"/>
      <c r="I44" s="919"/>
      <c r="J44" s="919"/>
      <c r="K44" s="919"/>
      <c r="L44" s="919"/>
      <c r="M44" s="919"/>
      <c r="N44" s="919"/>
      <c r="O44" s="919"/>
      <c r="P44" s="919"/>
      <c r="Q44" s="912"/>
      <c r="R44" s="912"/>
      <c r="S44" s="912"/>
      <c r="T44" s="912"/>
      <c r="U44" s="912"/>
      <c r="V44" s="912"/>
      <c r="W44" s="912"/>
    </row>
    <row r="45" spans="1:25">
      <c r="A45" s="912"/>
      <c r="B45" s="912"/>
      <c r="C45" s="912"/>
      <c r="D45" s="912"/>
      <c r="E45" s="912"/>
      <c r="F45" s="912"/>
      <c r="G45" s="919"/>
      <c r="H45" s="919"/>
      <c r="I45" s="919"/>
      <c r="J45" s="919"/>
      <c r="K45" s="919"/>
      <c r="L45" s="919"/>
      <c r="M45" s="923"/>
      <c r="N45" s="919"/>
      <c r="O45" s="919"/>
      <c r="P45" s="924"/>
      <c r="Q45" s="924"/>
      <c r="R45" s="912"/>
      <c r="S45" s="912"/>
      <c r="T45" s="912"/>
      <c r="U45" s="912"/>
      <c r="V45" s="912"/>
      <c r="W45" s="912"/>
    </row>
    <row r="46" spans="1:25">
      <c r="A46" s="912"/>
      <c r="B46" s="912"/>
      <c r="C46" s="912"/>
      <c r="D46" s="912"/>
      <c r="E46" s="912"/>
      <c r="F46" s="912"/>
      <c r="G46" s="919"/>
      <c r="H46" s="919"/>
      <c r="I46" s="919"/>
      <c r="J46" s="919"/>
      <c r="K46" s="919"/>
      <c r="L46" s="919"/>
      <c r="M46" s="919"/>
      <c r="N46" s="919"/>
      <c r="O46" s="919"/>
      <c r="P46" s="919"/>
      <c r="Q46" s="912"/>
      <c r="R46" s="912"/>
      <c r="S46" s="912"/>
      <c r="T46" s="912"/>
      <c r="U46" s="912"/>
      <c r="V46" s="912"/>
      <c r="W46" s="912"/>
    </row>
    <row r="47" spans="1:25">
      <c r="A47" s="912"/>
      <c r="B47" s="912"/>
      <c r="C47" s="912"/>
      <c r="D47" s="912"/>
      <c r="E47" s="912"/>
      <c r="F47" s="912"/>
      <c r="G47" s="919"/>
      <c r="H47" s="919"/>
      <c r="I47" s="919"/>
      <c r="J47" s="919"/>
      <c r="K47" s="919"/>
      <c r="L47" s="919"/>
      <c r="M47" s="919"/>
      <c r="N47" s="919"/>
      <c r="O47" s="919"/>
      <c r="P47" s="919"/>
      <c r="Q47" s="912"/>
      <c r="R47" s="912"/>
      <c r="S47" s="912"/>
      <c r="T47" s="912"/>
      <c r="U47" s="912"/>
      <c r="V47" s="912"/>
      <c r="W47" s="912"/>
    </row>
    <row r="48" spans="1:25">
      <c r="A48" s="912"/>
      <c r="B48" s="912"/>
      <c r="C48" s="912"/>
      <c r="D48" s="912"/>
      <c r="E48" s="912"/>
      <c r="F48" s="912"/>
      <c r="G48" s="919"/>
      <c r="H48" s="919"/>
      <c r="I48" s="919"/>
      <c r="J48" s="919"/>
      <c r="K48" s="919"/>
      <c r="L48" s="919"/>
      <c r="M48" s="919"/>
      <c r="N48" s="919"/>
      <c r="O48" s="919"/>
      <c r="P48" s="919"/>
      <c r="Q48" s="912"/>
      <c r="R48" s="912"/>
      <c r="S48" s="912"/>
      <c r="T48" s="912"/>
      <c r="U48" s="912"/>
      <c r="V48" s="912"/>
      <c r="W48" s="912"/>
    </row>
    <row r="49" spans="1:28">
      <c r="A49" s="912"/>
      <c r="B49" s="912"/>
      <c r="C49" s="912"/>
      <c r="D49" s="912"/>
      <c r="E49" s="912"/>
      <c r="F49" s="912"/>
      <c r="G49" s="919"/>
      <c r="H49" s="919"/>
      <c r="I49" s="919"/>
      <c r="J49" s="919"/>
      <c r="K49" s="919"/>
      <c r="L49" s="925"/>
      <c r="M49" s="925"/>
      <c r="N49" s="925"/>
      <c r="O49" s="925"/>
      <c r="P49" s="919"/>
      <c r="Q49" s="919"/>
      <c r="R49" s="919"/>
      <c r="S49" s="919"/>
      <c r="T49" s="919"/>
      <c r="U49" s="919"/>
      <c r="V49" s="919"/>
      <c r="W49" s="919"/>
      <c r="X49" s="896"/>
      <c r="Y49" s="896"/>
    </row>
    <row r="50" spans="1:28">
      <c r="A50" s="912"/>
      <c r="B50" s="912"/>
      <c r="C50" s="912"/>
      <c r="D50" s="912"/>
      <c r="E50" s="912"/>
      <c r="F50" s="912"/>
      <c r="G50" s="919"/>
      <c r="H50" s="919"/>
      <c r="I50" s="919"/>
      <c r="J50" s="919"/>
      <c r="K50" s="919"/>
      <c r="L50" s="919"/>
      <c r="M50" s="919"/>
      <c r="N50" s="919"/>
      <c r="O50" s="919"/>
      <c r="P50" s="919"/>
      <c r="Q50" s="919"/>
      <c r="R50" s="919"/>
      <c r="S50" s="919"/>
      <c r="T50" s="919"/>
      <c r="U50" s="919"/>
      <c r="V50" s="919"/>
      <c r="W50" s="919"/>
      <c r="X50" s="896"/>
      <c r="Y50" s="896"/>
    </row>
    <row r="51" spans="1:28">
      <c r="A51" s="912"/>
      <c r="B51" s="912"/>
      <c r="C51" s="912"/>
      <c r="D51" s="912"/>
      <c r="E51" s="912"/>
      <c r="F51" s="912"/>
      <c r="G51" s="919"/>
      <c r="H51" s="919"/>
      <c r="I51" s="919"/>
      <c r="J51" s="919"/>
      <c r="K51" s="919"/>
      <c r="L51" s="919"/>
      <c r="M51" s="919"/>
      <c r="N51" s="919"/>
      <c r="O51" s="919"/>
      <c r="P51" s="912"/>
      <c r="Q51" s="912"/>
      <c r="R51" s="912"/>
      <c r="S51" s="912"/>
      <c r="T51" s="912"/>
      <c r="U51" s="912"/>
      <c r="V51" s="912"/>
      <c r="W51" s="912"/>
    </row>
    <row r="52" spans="1:28">
      <c r="A52" s="912"/>
      <c r="B52" s="912"/>
      <c r="C52" s="912"/>
      <c r="D52" s="912"/>
      <c r="E52" s="912"/>
      <c r="F52" s="912"/>
      <c r="G52" s="912"/>
      <c r="H52" s="912"/>
      <c r="I52" s="912"/>
      <c r="J52" s="912"/>
      <c r="K52" s="912"/>
      <c r="L52" s="912"/>
      <c r="M52" s="912"/>
      <c r="N52" s="912"/>
      <c r="O52" s="912"/>
      <c r="P52" s="912"/>
      <c r="Q52" s="912"/>
      <c r="R52" s="912"/>
      <c r="S52" s="912"/>
      <c r="T52" s="912"/>
      <c r="U52" s="912"/>
      <c r="V52" s="912"/>
      <c r="W52" s="912"/>
    </row>
    <row r="53" spans="1:28">
      <c r="A53" s="912"/>
      <c r="B53" s="912"/>
      <c r="C53" s="912"/>
      <c r="D53" s="912"/>
      <c r="E53" s="912"/>
      <c r="F53" s="912"/>
      <c r="G53" s="912"/>
      <c r="H53" s="912"/>
      <c r="I53" s="912"/>
      <c r="J53" s="912"/>
      <c r="K53" s="912"/>
      <c r="L53" s="912"/>
      <c r="M53" s="912"/>
      <c r="N53" s="912"/>
      <c r="O53" s="912"/>
      <c r="P53" s="912"/>
      <c r="Q53" s="912"/>
      <c r="R53" s="912"/>
      <c r="S53" s="912"/>
      <c r="T53" s="912"/>
      <c r="U53" s="912"/>
      <c r="V53" s="912"/>
      <c r="W53" s="912"/>
    </row>
    <row r="54" spans="1:28">
      <c r="A54" s="912"/>
      <c r="B54" s="912"/>
      <c r="C54" s="912"/>
      <c r="D54" s="912"/>
      <c r="E54" s="912"/>
      <c r="F54" s="912"/>
      <c r="G54" s="912"/>
      <c r="H54" s="912"/>
      <c r="I54" s="912"/>
      <c r="J54" s="912"/>
      <c r="K54" s="912"/>
      <c r="L54" s="912"/>
      <c r="M54" s="912"/>
      <c r="N54" s="912"/>
      <c r="O54" s="912"/>
      <c r="P54" s="912"/>
      <c r="Q54" s="912"/>
      <c r="R54" s="912"/>
      <c r="S54" s="912"/>
      <c r="T54" s="912"/>
      <c r="U54" s="912"/>
      <c r="V54" s="912"/>
      <c r="W54" s="912"/>
    </row>
    <row r="55" spans="1:28" hidden="1">
      <c r="B55" s="898"/>
      <c r="J55" s="899"/>
      <c r="R55" s="899"/>
    </row>
    <row r="56" spans="1:28" hidden="1">
      <c r="R56" s="899"/>
      <c r="AB56" s="901"/>
    </row>
    <row r="57" spans="1:28" hidden="1">
      <c r="C57" s="901"/>
      <c r="O57" s="901"/>
      <c r="AB57" s="901"/>
    </row>
    <row r="58" spans="1:28" hidden="1">
      <c r="AB58" s="901"/>
    </row>
    <row r="59" spans="1:28" hidden="1"/>
    <row r="60" spans="1:28" hidden="1">
      <c r="AB60" s="897"/>
    </row>
    <row r="61" spans="1:28" hidden="1">
      <c r="AB61" s="897"/>
    </row>
    <row r="62" spans="1:28" hidden="1"/>
    <row r="63" spans="1:28" hidden="1"/>
    <row r="64" spans="1:28" hidden="1"/>
    <row r="65" hidden="1"/>
    <row r="66" hidden="1"/>
    <row r="67" hidden="1"/>
    <row r="68" hidden="1"/>
    <row r="69" hidden="1"/>
    <row r="70" hidden="1"/>
    <row r="71" hidden="1"/>
    <row r="72" hidden="1"/>
    <row r="73" hidden="1"/>
    <row r="74" hidden="1"/>
    <row r="75" hidden="1"/>
    <row r="76" hidden="1"/>
    <row r="77" hidden="1"/>
    <row r="78" hidden="1"/>
    <row r="79" hidden="1"/>
    <row r="80" hidden="1"/>
    <row r="81" spans="2:2" hidden="1"/>
    <row r="82" spans="2:2" hidden="1"/>
    <row r="83" spans="2:2" hidden="1"/>
    <row r="84" spans="2:2" hidden="1"/>
    <row r="85" spans="2:2" hidden="1"/>
    <row r="86" spans="2:2" hidden="1"/>
    <row r="87" spans="2:2" hidden="1"/>
    <row r="88" spans="2:2" hidden="1"/>
    <row r="89" spans="2:2" hidden="1"/>
    <row r="90" spans="2:2" hidden="1"/>
    <row r="91" spans="2:2" hidden="1"/>
    <row r="92" spans="2:2" hidden="1">
      <c r="B92" s="897"/>
    </row>
    <row r="93" spans="2:2" hidden="1">
      <c r="B93" s="897"/>
    </row>
    <row r="94" spans="2:2" hidden="1">
      <c r="B94" s="897"/>
    </row>
    <row r="95" spans="2:2" hidden="1">
      <c r="B95" s="897"/>
    </row>
    <row r="96" spans="2:2" hidden="1">
      <c r="B96" s="897"/>
    </row>
  </sheetData>
  <sheetProtection algorithmName="SHA-512" hashValue="F3hv8EaVuF1PPjzzMTfUf3OmALSxUffn+r3T7ompW5S8PZ9Pthl/Pq1P8WSEe5o+OiHjAA9x88lKX+zY1dG7QA==" saltValue="7OrTDNCcElkGhZpojKUjTA==" spinCount="100000" sheet="1" objects="1" scenarios="1"/>
  <mergeCells count="2">
    <mergeCell ref="L6:Q6"/>
    <mergeCell ref="A7:F7"/>
  </mergeCells>
  <printOptions horizontalCentered="1" verticalCentered="1"/>
  <pageMargins left="0" right="0" top="0" bottom="0" header="0" footer="0"/>
  <pageSetup paperSize="9" scale="75" fitToWidth="0" fitToHeight="0"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692226" r:id="rId4" name="Drop Down 2">
              <controlPr defaultSize="0" autoLine="0" autoPict="0">
                <anchor moveWithCells="1">
                  <from>
                    <xdr:col>10</xdr:col>
                    <xdr:colOff>371475</xdr:colOff>
                    <xdr:row>5</xdr:row>
                    <xdr:rowOff>85725</xdr:rowOff>
                  </from>
                  <to>
                    <xdr:col>15</xdr:col>
                    <xdr:colOff>209550</xdr:colOff>
                    <xdr:row>6</xdr:row>
                    <xdr:rowOff>76200</xdr:rowOff>
                  </to>
                </anchor>
              </controlPr>
            </control>
          </mc:Choice>
        </mc:AlternateContent>
        <mc:AlternateContent xmlns:mc="http://schemas.openxmlformats.org/markup-compatibility/2006">
          <mc:Choice Requires="x14">
            <control shapeId="692227" r:id="rId5" name="Drop Down 3">
              <controlPr defaultSize="0" autoLine="0" autoPict="0">
                <anchor moveWithCells="1">
                  <from>
                    <xdr:col>20</xdr:col>
                    <xdr:colOff>190500</xdr:colOff>
                    <xdr:row>5</xdr:row>
                    <xdr:rowOff>104775</xdr:rowOff>
                  </from>
                  <to>
                    <xdr:col>21</xdr:col>
                    <xdr:colOff>295275</xdr:colOff>
                    <xdr:row>6</xdr:row>
                    <xdr:rowOff>95250</xdr:rowOff>
                  </to>
                </anchor>
              </controlPr>
            </control>
          </mc:Choice>
        </mc:AlternateContent>
        <mc:AlternateContent xmlns:mc="http://schemas.openxmlformats.org/markup-compatibility/2006">
          <mc:Choice Requires="x14">
            <control shapeId="692228" r:id="rId6" name="Drop Down 4">
              <controlPr defaultSize="0" autoLine="0" autoPict="0">
                <anchor moveWithCells="1">
                  <from>
                    <xdr:col>9</xdr:col>
                    <xdr:colOff>0</xdr:colOff>
                    <xdr:row>33</xdr:row>
                    <xdr:rowOff>38100</xdr:rowOff>
                  </from>
                  <to>
                    <xdr:col>10</xdr:col>
                    <xdr:colOff>123825</xdr:colOff>
                    <xdr:row>34</xdr:row>
                    <xdr:rowOff>28575</xdr:rowOff>
                  </to>
                </anchor>
              </controlPr>
            </control>
          </mc:Choice>
        </mc:AlternateContent>
        <mc:AlternateContent xmlns:mc="http://schemas.openxmlformats.org/markup-compatibility/2006">
          <mc:Choice Requires="x14">
            <control shapeId="692229" r:id="rId7" name="Drop Down 5">
              <controlPr defaultSize="0" autoLine="0" autoPict="0">
                <anchor moveWithCells="1">
                  <from>
                    <xdr:col>17</xdr:col>
                    <xdr:colOff>428625</xdr:colOff>
                    <xdr:row>33</xdr:row>
                    <xdr:rowOff>38100</xdr:rowOff>
                  </from>
                  <to>
                    <xdr:col>18</xdr:col>
                    <xdr:colOff>533400</xdr:colOff>
                    <xdr:row>34</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4EEEF-B6C6-4A03-B6D1-DABDFC8F1C03}">
  <sheetPr>
    <tabColor rgb="FFFFFF00"/>
  </sheetPr>
  <dimension ref="A1:AB96"/>
  <sheetViews>
    <sheetView showGridLines="0" showRowColHeaders="0" zoomScaleNormal="100" zoomScaleSheetLayoutView="120" workbookViewId="0"/>
  </sheetViews>
  <sheetFormatPr defaultColWidth="0" defaultRowHeight="15" zeroHeight="1"/>
  <cols>
    <col min="1" max="11" width="8.42578125" style="894" customWidth="1"/>
    <col min="12" max="12" width="7" style="894" customWidth="1"/>
    <col min="13" max="23" width="8.7109375" style="894" customWidth="1"/>
    <col min="24" max="28" width="0" style="894" hidden="1" customWidth="1"/>
    <col min="29" max="16384" width="8.7109375" style="894" hidden="1"/>
  </cols>
  <sheetData>
    <row r="1" spans="1:23">
      <c r="A1" s="912"/>
      <c r="B1" s="912"/>
      <c r="C1" s="912"/>
      <c r="D1" s="912"/>
      <c r="E1" s="912"/>
      <c r="F1" s="912"/>
      <c r="G1" s="912"/>
      <c r="H1" s="912"/>
      <c r="I1" s="912"/>
      <c r="J1" s="912"/>
      <c r="K1" s="912"/>
      <c r="L1" s="912"/>
      <c r="M1" s="912"/>
      <c r="N1" s="912"/>
      <c r="O1" s="912"/>
      <c r="P1" s="912"/>
      <c r="Q1" s="912"/>
      <c r="R1" s="912"/>
      <c r="S1" s="912"/>
      <c r="T1" s="912"/>
      <c r="U1" s="912"/>
      <c r="V1" s="912"/>
      <c r="W1" s="912"/>
    </row>
    <row r="2" spans="1:23">
      <c r="A2" s="912"/>
      <c r="B2" s="912"/>
      <c r="C2" s="912"/>
      <c r="D2" s="912"/>
      <c r="E2" s="912"/>
      <c r="F2" s="912"/>
      <c r="G2" s="912"/>
      <c r="H2" s="912"/>
      <c r="I2" s="912"/>
      <c r="J2" s="912"/>
      <c r="K2" s="912"/>
      <c r="L2" s="912"/>
      <c r="M2" s="912"/>
      <c r="N2" s="912"/>
      <c r="O2" s="912"/>
      <c r="P2" s="912"/>
      <c r="Q2" s="912"/>
      <c r="R2" s="912"/>
      <c r="S2" s="912"/>
      <c r="T2" s="912"/>
      <c r="U2" s="912"/>
      <c r="V2" s="912"/>
      <c r="W2" s="912"/>
    </row>
    <row r="3" spans="1:23">
      <c r="A3" s="912"/>
      <c r="B3" s="912"/>
      <c r="C3" s="912"/>
      <c r="D3" s="912"/>
      <c r="E3" s="912"/>
      <c r="F3" s="912"/>
      <c r="G3" s="912"/>
      <c r="H3" s="912"/>
      <c r="I3" s="912"/>
      <c r="J3" s="912"/>
      <c r="K3" s="912"/>
      <c r="L3" s="912"/>
      <c r="M3" s="912"/>
      <c r="N3" s="912"/>
      <c r="O3" s="912"/>
      <c r="P3" s="912"/>
      <c r="Q3" s="912"/>
      <c r="R3" s="912"/>
      <c r="S3" s="912"/>
      <c r="T3" s="912"/>
      <c r="U3" s="912"/>
      <c r="V3" s="912"/>
      <c r="W3" s="912"/>
    </row>
    <row r="4" spans="1:23">
      <c r="A4" s="912"/>
      <c r="B4" s="912"/>
      <c r="C4" s="912"/>
      <c r="D4" s="912"/>
      <c r="E4" s="912"/>
      <c r="F4" s="912"/>
      <c r="G4" s="912"/>
      <c r="H4" s="912"/>
      <c r="I4" s="912"/>
      <c r="J4" s="912"/>
      <c r="K4" s="912"/>
      <c r="L4" s="912"/>
      <c r="M4" s="912"/>
      <c r="N4" s="912"/>
      <c r="O4" s="912"/>
      <c r="P4" s="912"/>
      <c r="Q4" s="912"/>
      <c r="R4" s="912"/>
      <c r="S4" s="912"/>
      <c r="T4" s="912"/>
      <c r="U4" s="912"/>
      <c r="V4" s="912"/>
      <c r="W4" s="912"/>
    </row>
    <row r="5" spans="1:23">
      <c r="A5" s="912"/>
      <c r="B5" s="912"/>
      <c r="C5" s="912"/>
      <c r="D5" s="912"/>
      <c r="E5" s="912"/>
      <c r="F5" s="912"/>
      <c r="G5" s="912"/>
      <c r="H5" s="912"/>
      <c r="I5" s="912"/>
      <c r="J5" s="912"/>
      <c r="K5" s="912"/>
      <c r="L5" s="912"/>
      <c r="M5" s="912"/>
      <c r="N5" s="912"/>
      <c r="O5" s="912"/>
      <c r="P5" s="912"/>
      <c r="Q5" s="912"/>
      <c r="R5" s="912"/>
      <c r="S5" s="912"/>
      <c r="T5" s="912"/>
      <c r="U5" s="912"/>
      <c r="V5" s="912"/>
      <c r="W5" s="912"/>
    </row>
    <row r="6" spans="1:23">
      <c r="A6" s="912"/>
      <c r="B6" s="912"/>
      <c r="C6" s="912"/>
      <c r="D6" s="912"/>
      <c r="E6" s="912"/>
      <c r="F6" s="912"/>
      <c r="G6" s="913"/>
      <c r="H6" s="912"/>
      <c r="I6" s="912"/>
      <c r="J6" s="912"/>
      <c r="K6" s="912"/>
      <c r="L6" s="937"/>
      <c r="M6" s="937"/>
      <c r="N6" s="937"/>
      <c r="O6" s="937"/>
      <c r="P6" s="937"/>
      <c r="Q6" s="937"/>
      <c r="R6" s="912"/>
      <c r="S6" s="912"/>
      <c r="T6" s="912"/>
      <c r="U6" s="912"/>
      <c r="V6" s="912"/>
      <c r="W6" s="912"/>
    </row>
    <row r="7" spans="1:23">
      <c r="A7" s="938"/>
      <c r="B7" s="938"/>
      <c r="C7" s="938"/>
      <c r="D7" s="938"/>
      <c r="E7" s="938"/>
      <c r="F7" s="938"/>
      <c r="G7" s="912"/>
      <c r="H7" s="912"/>
      <c r="I7" s="912"/>
      <c r="J7" s="912"/>
      <c r="K7" s="912"/>
      <c r="L7" s="912"/>
      <c r="M7" s="912"/>
      <c r="N7" s="912"/>
      <c r="O7" s="912"/>
      <c r="P7" s="912"/>
      <c r="Q7" s="912"/>
      <c r="R7" s="912"/>
      <c r="S7" s="912"/>
      <c r="T7" s="912"/>
      <c r="U7" s="912"/>
      <c r="V7" s="912"/>
      <c r="W7" s="912"/>
    </row>
    <row r="8" spans="1:23" ht="15" customHeight="1">
      <c r="A8" s="912"/>
      <c r="B8" s="912"/>
      <c r="C8" s="912"/>
      <c r="D8" s="912"/>
      <c r="E8" s="912"/>
      <c r="F8" s="916"/>
      <c r="G8" s="916"/>
      <c r="H8" s="912"/>
      <c r="I8" s="912"/>
      <c r="J8" s="912"/>
      <c r="K8" s="912"/>
      <c r="L8" s="912"/>
      <c r="M8" s="912"/>
      <c r="N8" s="912"/>
      <c r="O8" s="912"/>
      <c r="P8" s="912"/>
      <c r="Q8" s="912"/>
      <c r="R8" s="912"/>
      <c r="S8" s="912"/>
      <c r="T8" s="912"/>
      <c r="U8" s="912"/>
      <c r="V8" s="912"/>
      <c r="W8" s="912"/>
    </row>
    <row r="9" spans="1:23" ht="15" customHeight="1">
      <c r="A9" s="912"/>
      <c r="B9" s="912"/>
      <c r="C9" s="912"/>
      <c r="D9" s="912"/>
      <c r="E9" s="912"/>
      <c r="F9" s="916"/>
      <c r="G9" s="916"/>
      <c r="H9" s="912"/>
      <c r="I9" s="912"/>
      <c r="J9" s="912"/>
      <c r="K9" s="912"/>
      <c r="L9" s="912"/>
      <c r="M9" s="912"/>
      <c r="N9" s="912"/>
      <c r="O9" s="912"/>
      <c r="P9" s="912"/>
      <c r="Q9" s="912"/>
      <c r="R9" s="912"/>
      <c r="S9" s="912"/>
      <c r="T9" s="912"/>
      <c r="U9" s="912"/>
      <c r="V9" s="912"/>
      <c r="W9" s="912"/>
    </row>
    <row r="10" spans="1:23">
      <c r="A10" s="912"/>
      <c r="B10" s="912"/>
      <c r="C10" s="912"/>
      <c r="D10" s="912"/>
      <c r="E10" s="912"/>
      <c r="F10" s="916"/>
      <c r="G10" s="916"/>
      <c r="H10" s="912"/>
      <c r="I10" s="912"/>
      <c r="J10" s="912"/>
      <c r="K10" s="912"/>
      <c r="L10" s="912"/>
      <c r="M10" s="912"/>
      <c r="N10" s="912"/>
      <c r="O10" s="912"/>
      <c r="P10" s="912"/>
      <c r="Q10" s="912"/>
      <c r="R10" s="912"/>
      <c r="S10" s="912"/>
      <c r="T10" s="912"/>
      <c r="U10" s="912"/>
      <c r="V10" s="912"/>
      <c r="W10" s="912"/>
    </row>
    <row r="11" spans="1:23" ht="15" customHeight="1">
      <c r="A11" s="912"/>
      <c r="B11" s="912"/>
      <c r="C11" s="912"/>
      <c r="D11" s="912"/>
      <c r="E11" s="912"/>
      <c r="F11" s="916"/>
      <c r="G11" s="916"/>
      <c r="H11" s="912"/>
      <c r="I11" s="912"/>
      <c r="J11" s="912"/>
      <c r="K11" s="912"/>
      <c r="L11" s="912"/>
      <c r="M11" s="912"/>
      <c r="N11" s="912"/>
      <c r="O11" s="912"/>
      <c r="P11" s="912"/>
      <c r="Q11" s="912"/>
      <c r="R11" s="912"/>
      <c r="S11" s="912"/>
      <c r="T11" s="912"/>
      <c r="U11" s="912"/>
      <c r="V11" s="912"/>
      <c r="W11" s="912"/>
    </row>
    <row r="12" spans="1:23" ht="15" customHeight="1">
      <c r="A12" s="912"/>
      <c r="B12" s="912"/>
      <c r="C12" s="912"/>
      <c r="D12" s="912"/>
      <c r="E12" s="912"/>
      <c r="F12" s="916"/>
      <c r="G12" s="916"/>
      <c r="H12" s="912"/>
      <c r="I12" s="912"/>
      <c r="J12" s="912"/>
      <c r="K12" s="912"/>
      <c r="L12" s="912"/>
      <c r="M12" s="912"/>
      <c r="N12" s="912"/>
      <c r="O12" s="912"/>
      <c r="P12" s="912"/>
      <c r="Q12" s="912"/>
      <c r="R12" s="912"/>
      <c r="S12" s="912"/>
      <c r="T12" s="912"/>
      <c r="U12" s="912"/>
      <c r="V12" s="912"/>
      <c r="W12" s="912"/>
    </row>
    <row r="13" spans="1:23">
      <c r="A13" s="912"/>
      <c r="B13" s="912"/>
      <c r="C13" s="912"/>
      <c r="D13" s="912"/>
      <c r="E13" s="912"/>
      <c r="F13" s="916"/>
      <c r="G13" s="916"/>
      <c r="H13" s="912"/>
      <c r="I13" s="912"/>
      <c r="J13" s="912"/>
      <c r="K13" s="912"/>
      <c r="L13" s="912"/>
      <c r="M13" s="912"/>
      <c r="N13" s="912"/>
      <c r="O13" s="912"/>
      <c r="P13" s="912"/>
      <c r="Q13" s="912"/>
      <c r="R13" s="912"/>
      <c r="S13" s="912"/>
      <c r="T13" s="912"/>
      <c r="U13" s="912"/>
      <c r="V13" s="912"/>
      <c r="W13" s="912"/>
    </row>
    <row r="14" spans="1:23">
      <c r="A14" s="912"/>
      <c r="B14" s="912"/>
      <c r="C14" s="912"/>
      <c r="D14" s="912"/>
      <c r="E14" s="912"/>
      <c r="F14" s="912"/>
      <c r="G14" s="912"/>
      <c r="H14" s="912"/>
      <c r="I14" s="912"/>
      <c r="J14" s="912"/>
      <c r="K14" s="912"/>
      <c r="L14" s="912"/>
      <c r="M14" s="912"/>
      <c r="N14" s="912"/>
      <c r="O14" s="912"/>
      <c r="P14" s="912"/>
      <c r="Q14" s="912"/>
      <c r="R14" s="912"/>
      <c r="S14" s="912"/>
      <c r="T14" s="912"/>
      <c r="U14" s="912"/>
      <c r="V14" s="912"/>
      <c r="W14" s="912"/>
    </row>
    <row r="15" spans="1:23">
      <c r="A15" s="912"/>
      <c r="B15" s="912"/>
      <c r="C15" s="912"/>
      <c r="D15" s="912"/>
      <c r="E15" s="912"/>
      <c r="F15" s="912"/>
      <c r="G15" s="912"/>
      <c r="H15" s="912"/>
      <c r="I15" s="912"/>
      <c r="J15" s="912"/>
      <c r="K15" s="912"/>
      <c r="L15" s="912"/>
      <c r="M15" s="912"/>
      <c r="N15" s="912"/>
      <c r="O15" s="912"/>
      <c r="P15" s="912"/>
      <c r="Q15" s="912"/>
      <c r="R15" s="912"/>
      <c r="S15" s="912"/>
      <c r="T15" s="912"/>
      <c r="U15" s="912"/>
      <c r="V15" s="912"/>
      <c r="W15" s="912"/>
    </row>
    <row r="16" spans="1:23">
      <c r="A16" s="912"/>
      <c r="B16" s="912"/>
      <c r="C16" s="912"/>
      <c r="D16" s="912"/>
      <c r="E16" s="912"/>
      <c r="F16" s="912"/>
      <c r="G16" s="912"/>
      <c r="H16" s="912"/>
      <c r="I16" s="912"/>
      <c r="J16" s="912"/>
      <c r="K16" s="912"/>
      <c r="L16" s="912"/>
      <c r="M16" s="912"/>
      <c r="N16" s="912"/>
      <c r="O16" s="912"/>
      <c r="P16" s="912"/>
      <c r="Q16" s="912"/>
      <c r="R16" s="912"/>
      <c r="S16" s="912"/>
      <c r="T16" s="912"/>
      <c r="U16" s="912"/>
      <c r="V16" s="912"/>
      <c r="W16" s="912"/>
    </row>
    <row r="17" spans="1:25">
      <c r="A17" s="912"/>
      <c r="B17" s="912"/>
      <c r="C17" s="912"/>
      <c r="D17" s="912"/>
      <c r="E17" s="912"/>
      <c r="F17" s="912"/>
      <c r="G17" s="912"/>
      <c r="H17" s="912"/>
      <c r="I17" s="912"/>
      <c r="J17" s="912"/>
      <c r="K17" s="912"/>
      <c r="L17" s="912"/>
      <c r="M17" s="912"/>
      <c r="N17" s="912"/>
      <c r="O17" s="912"/>
      <c r="P17" s="912"/>
      <c r="Q17" s="912"/>
      <c r="R17" s="912"/>
      <c r="S17" s="912"/>
      <c r="T17" s="912"/>
      <c r="U17" s="912"/>
      <c r="V17" s="912"/>
      <c r="W17" s="912"/>
    </row>
    <row r="18" spans="1:25">
      <c r="A18" s="912"/>
      <c r="B18" s="912"/>
      <c r="C18" s="912"/>
      <c r="D18" s="912"/>
      <c r="E18" s="912"/>
      <c r="F18" s="912"/>
      <c r="G18" s="912"/>
      <c r="H18" s="912"/>
      <c r="I18" s="912"/>
      <c r="J18" s="912"/>
      <c r="K18" s="912"/>
      <c r="L18" s="912"/>
      <c r="M18" s="912"/>
      <c r="N18" s="912"/>
      <c r="O18" s="912"/>
      <c r="P18" s="912"/>
      <c r="Q18" s="912"/>
      <c r="R18" s="912"/>
      <c r="S18" s="912"/>
      <c r="T18" s="912"/>
      <c r="U18" s="912"/>
      <c r="V18" s="912"/>
      <c r="W18" s="912"/>
    </row>
    <row r="19" spans="1:25">
      <c r="A19" s="912"/>
      <c r="B19" s="912"/>
      <c r="C19" s="912"/>
      <c r="D19" s="912"/>
      <c r="E19" s="912"/>
      <c r="F19" s="912"/>
      <c r="G19" s="912"/>
      <c r="H19" s="912"/>
      <c r="I19" s="912"/>
      <c r="J19" s="912"/>
      <c r="K19" s="912"/>
      <c r="L19" s="912"/>
      <c r="M19" s="912"/>
      <c r="N19" s="912"/>
      <c r="O19" s="912"/>
      <c r="P19" s="912"/>
      <c r="Q19" s="912"/>
      <c r="R19" s="912"/>
      <c r="S19" s="912"/>
      <c r="T19" s="912"/>
      <c r="U19" s="912"/>
      <c r="V19" s="912"/>
      <c r="W19" s="912"/>
    </row>
    <row r="20" spans="1:25">
      <c r="A20" s="912"/>
      <c r="B20" s="912"/>
      <c r="C20" s="912"/>
      <c r="D20" s="912"/>
      <c r="E20" s="912"/>
      <c r="F20" s="912"/>
      <c r="G20" s="912"/>
      <c r="H20" s="912"/>
      <c r="I20" s="912"/>
      <c r="J20" s="912"/>
      <c r="K20" s="912"/>
      <c r="L20" s="912"/>
      <c r="M20" s="912"/>
      <c r="N20" s="912"/>
      <c r="O20" s="912"/>
      <c r="P20" s="912"/>
      <c r="Q20" s="912"/>
      <c r="R20" s="912"/>
      <c r="S20" s="912"/>
      <c r="T20" s="912"/>
      <c r="U20" s="912"/>
      <c r="V20" s="912"/>
      <c r="W20" s="912"/>
    </row>
    <row r="21" spans="1:25">
      <c r="A21" s="912"/>
      <c r="B21" s="912"/>
      <c r="C21" s="912"/>
      <c r="D21" s="912"/>
      <c r="E21" s="912"/>
      <c r="F21" s="912"/>
      <c r="G21" s="912"/>
      <c r="H21" s="912"/>
      <c r="I21" s="912"/>
      <c r="J21" s="912"/>
      <c r="K21" s="912"/>
      <c r="L21" s="912"/>
      <c r="M21" s="912"/>
      <c r="N21" s="912"/>
      <c r="O21" s="912"/>
      <c r="P21" s="912"/>
      <c r="Q21" s="912"/>
      <c r="R21" s="912"/>
      <c r="S21" s="912"/>
      <c r="T21" s="912"/>
      <c r="U21" s="912"/>
      <c r="V21" s="912"/>
      <c r="W21" s="912"/>
    </row>
    <row r="22" spans="1:25">
      <c r="A22" s="912"/>
      <c r="B22" s="912"/>
      <c r="C22" s="912"/>
      <c r="D22" s="912"/>
      <c r="E22" s="912"/>
      <c r="F22" s="912"/>
      <c r="G22" s="912"/>
      <c r="H22" s="912"/>
      <c r="I22" s="912"/>
      <c r="J22" s="912"/>
      <c r="K22" s="912"/>
      <c r="L22" s="912"/>
      <c r="M22" s="912"/>
      <c r="N22" s="912"/>
      <c r="O22" s="912"/>
      <c r="P22" s="912"/>
      <c r="Q22" s="912"/>
      <c r="R22" s="912"/>
      <c r="S22" s="912"/>
      <c r="T22" s="912"/>
      <c r="U22" s="912"/>
      <c r="V22" s="912"/>
      <c r="W22" s="912"/>
    </row>
    <row r="23" spans="1:25">
      <c r="A23" s="912"/>
      <c r="B23" s="912"/>
      <c r="C23" s="912"/>
      <c r="D23" s="912"/>
      <c r="E23" s="912"/>
      <c r="F23" s="912"/>
      <c r="G23" s="912"/>
      <c r="H23" s="912"/>
      <c r="I23" s="912"/>
      <c r="J23" s="912"/>
      <c r="K23" s="912"/>
      <c r="L23" s="912"/>
      <c r="M23" s="912"/>
      <c r="N23" s="912"/>
      <c r="O23" s="912"/>
      <c r="P23" s="912"/>
      <c r="Q23" s="912"/>
      <c r="R23" s="912"/>
      <c r="S23" s="912"/>
      <c r="T23" s="912"/>
      <c r="U23" s="912"/>
      <c r="V23" s="912"/>
      <c r="W23" s="912"/>
    </row>
    <row r="24" spans="1:25">
      <c r="A24" s="912"/>
      <c r="B24" s="912"/>
      <c r="C24" s="912"/>
      <c r="D24" s="912"/>
      <c r="E24" s="912"/>
      <c r="F24" s="912"/>
      <c r="G24" s="912"/>
      <c r="H24" s="912"/>
      <c r="I24" s="912"/>
      <c r="J24" s="912"/>
      <c r="K24" s="912"/>
      <c r="L24" s="912"/>
      <c r="M24" s="912"/>
      <c r="N24" s="912"/>
      <c r="O24" s="912"/>
      <c r="P24" s="912"/>
      <c r="Q24" s="912"/>
      <c r="R24" s="912"/>
      <c r="S24" s="912"/>
      <c r="T24" s="912"/>
      <c r="U24" s="912"/>
      <c r="V24" s="912"/>
      <c r="W24" s="912"/>
    </row>
    <row r="25" spans="1:25">
      <c r="A25" s="912"/>
      <c r="B25" s="912"/>
      <c r="C25" s="912"/>
      <c r="D25" s="912"/>
      <c r="E25" s="912"/>
      <c r="F25" s="912"/>
      <c r="G25" s="912"/>
      <c r="H25" s="912"/>
      <c r="I25" s="912"/>
      <c r="J25" s="912"/>
      <c r="K25" s="912"/>
      <c r="L25" s="912"/>
      <c r="M25" s="912"/>
      <c r="N25" s="912"/>
      <c r="O25" s="912"/>
      <c r="P25" s="912"/>
      <c r="Q25" s="912"/>
      <c r="R25" s="912"/>
      <c r="S25" s="912"/>
      <c r="T25" s="912"/>
      <c r="U25" s="912"/>
      <c r="V25" s="912"/>
      <c r="W25" s="912"/>
    </row>
    <row r="26" spans="1:25">
      <c r="A26" s="912"/>
      <c r="B26" s="912"/>
      <c r="C26" s="912"/>
      <c r="D26" s="912"/>
      <c r="E26" s="912"/>
      <c r="F26" s="912"/>
      <c r="G26" s="912"/>
      <c r="H26" s="912"/>
      <c r="I26" s="912"/>
      <c r="J26" s="912"/>
      <c r="K26" s="912"/>
      <c r="L26" s="912"/>
      <c r="M26" s="912"/>
      <c r="N26" s="912"/>
      <c r="O26" s="912"/>
      <c r="P26" s="912"/>
      <c r="Q26" s="912"/>
      <c r="R26" s="912"/>
      <c r="S26" s="912"/>
      <c r="T26" s="912"/>
      <c r="U26" s="912"/>
      <c r="V26" s="912"/>
      <c r="W26" s="912"/>
    </row>
    <row r="27" spans="1:25">
      <c r="A27" s="912"/>
      <c r="B27" s="912"/>
      <c r="C27" s="912"/>
      <c r="D27" s="912"/>
      <c r="E27" s="912"/>
      <c r="F27" s="912"/>
      <c r="G27" s="912"/>
      <c r="H27" s="912"/>
      <c r="I27" s="912"/>
      <c r="J27" s="912"/>
      <c r="K27" s="912"/>
      <c r="L27" s="912"/>
      <c r="M27" s="912"/>
      <c r="N27" s="912"/>
      <c r="O27" s="912"/>
      <c r="P27" s="912"/>
      <c r="Q27" s="912"/>
      <c r="R27" s="912"/>
      <c r="S27" s="912"/>
      <c r="T27" s="912"/>
      <c r="U27" s="912"/>
      <c r="V27" s="912"/>
      <c r="W27" s="912"/>
    </row>
    <row r="28" spans="1:25">
      <c r="A28" s="912"/>
      <c r="B28" s="912"/>
      <c r="C28" s="912"/>
      <c r="D28" s="912"/>
      <c r="E28" s="912"/>
      <c r="F28" s="912"/>
      <c r="G28" s="912"/>
      <c r="H28" s="912"/>
      <c r="I28" s="912"/>
      <c r="J28" s="912"/>
      <c r="K28" s="912"/>
      <c r="L28" s="912"/>
      <c r="M28" s="912"/>
      <c r="N28" s="912"/>
      <c r="O28" s="912"/>
      <c r="P28" s="917"/>
      <c r="Q28" s="917"/>
      <c r="R28" s="917"/>
      <c r="S28" s="917"/>
      <c r="T28" s="917"/>
      <c r="U28" s="917"/>
      <c r="V28" s="917"/>
      <c r="W28" s="917"/>
      <c r="X28" s="895"/>
      <c r="Y28" s="895"/>
    </row>
    <row r="29" spans="1:25">
      <c r="A29" s="912"/>
      <c r="B29" s="912"/>
      <c r="C29" s="912"/>
      <c r="D29" s="912"/>
      <c r="E29" s="912"/>
      <c r="F29" s="912"/>
      <c r="G29" s="912"/>
      <c r="H29" s="912"/>
      <c r="I29" s="912"/>
      <c r="J29" s="912"/>
      <c r="K29" s="912"/>
      <c r="L29" s="912"/>
      <c r="M29" s="912"/>
      <c r="N29" s="912"/>
      <c r="O29" s="912"/>
      <c r="P29" s="918"/>
      <c r="Q29" s="918"/>
      <c r="R29" s="918"/>
      <c r="S29" s="918"/>
      <c r="T29" s="918"/>
      <c r="U29" s="918"/>
      <c r="V29" s="912"/>
      <c r="W29" s="919"/>
      <c r="X29" s="896"/>
      <c r="Y29" s="896"/>
    </row>
    <row r="30" spans="1:25">
      <c r="A30" s="912"/>
      <c r="B30" s="912"/>
      <c r="C30" s="912"/>
      <c r="D30" s="912"/>
      <c r="E30" s="912"/>
      <c r="F30" s="912"/>
      <c r="G30" s="912"/>
      <c r="H30" s="912"/>
      <c r="I30" s="912"/>
      <c r="J30" s="912"/>
      <c r="K30" s="912"/>
      <c r="L30" s="912"/>
      <c r="M30" s="912"/>
      <c r="N30" s="912"/>
      <c r="O30" s="912"/>
      <c r="P30" s="912"/>
      <c r="Q30" s="912"/>
      <c r="R30" s="912"/>
      <c r="S30" s="912"/>
      <c r="T30" s="912"/>
      <c r="U30" s="912"/>
      <c r="V30" s="912"/>
      <c r="W30" s="912"/>
    </row>
    <row r="31" spans="1:25">
      <c r="A31" s="912"/>
      <c r="B31" s="912"/>
      <c r="C31" s="912"/>
      <c r="D31" s="912"/>
      <c r="E31" s="912"/>
      <c r="F31" s="912"/>
      <c r="G31" s="912"/>
      <c r="H31" s="912"/>
      <c r="I31" s="912"/>
      <c r="J31" s="912"/>
      <c r="K31" s="912"/>
      <c r="L31" s="912"/>
      <c r="M31" s="912"/>
      <c r="N31" s="912"/>
      <c r="O31" s="912"/>
      <c r="P31" s="920"/>
      <c r="Q31" s="912"/>
      <c r="R31" s="912"/>
      <c r="S31" s="912"/>
      <c r="T31" s="912"/>
      <c r="U31" s="912"/>
      <c r="V31" s="912"/>
      <c r="W31" s="912"/>
    </row>
    <row r="32" spans="1:25">
      <c r="A32" s="912"/>
      <c r="B32" s="912"/>
      <c r="C32" s="912"/>
      <c r="D32" s="912"/>
      <c r="E32" s="912"/>
      <c r="F32" s="912"/>
      <c r="G32" s="912"/>
      <c r="H32" s="912"/>
      <c r="I32" s="912"/>
      <c r="J32" s="912"/>
      <c r="K32" s="912"/>
      <c r="L32" s="912"/>
      <c r="M32" s="912"/>
      <c r="N32" s="912"/>
      <c r="O32" s="912"/>
      <c r="P32" s="919"/>
      <c r="Q32" s="912"/>
      <c r="R32" s="912"/>
      <c r="S32" s="912"/>
      <c r="T32" s="912"/>
      <c r="U32" s="912"/>
      <c r="V32" s="912"/>
      <c r="W32" s="912"/>
    </row>
    <row r="33" spans="1:23">
      <c r="A33" s="912"/>
      <c r="B33" s="912"/>
      <c r="C33" s="912"/>
      <c r="D33" s="912"/>
      <c r="E33" s="912"/>
      <c r="F33" s="912"/>
      <c r="G33" s="912"/>
      <c r="H33" s="912"/>
      <c r="I33" s="912"/>
      <c r="J33" s="912"/>
      <c r="K33" s="912"/>
      <c r="L33" s="912"/>
      <c r="M33" s="912"/>
      <c r="N33" s="912"/>
      <c r="O33" s="912"/>
      <c r="P33" s="919"/>
      <c r="Q33" s="912"/>
      <c r="R33" s="912"/>
      <c r="S33" s="912"/>
      <c r="T33" s="912"/>
      <c r="U33" s="912"/>
      <c r="V33" s="912"/>
      <c r="W33" s="912"/>
    </row>
    <row r="34" spans="1:23">
      <c r="A34" s="912"/>
      <c r="B34" s="912"/>
      <c r="C34" s="912"/>
      <c r="D34" s="912"/>
      <c r="E34" s="912"/>
      <c r="F34" s="912"/>
      <c r="G34" s="912"/>
      <c r="H34" s="912"/>
      <c r="I34" s="912"/>
      <c r="J34" s="912"/>
      <c r="K34" s="912"/>
      <c r="L34" s="912"/>
      <c r="M34" s="912"/>
      <c r="N34" s="912"/>
      <c r="O34" s="912"/>
      <c r="P34" s="919"/>
      <c r="Q34" s="912"/>
      <c r="R34" s="912"/>
      <c r="S34" s="912"/>
      <c r="T34" s="912"/>
      <c r="U34" s="912"/>
      <c r="V34" s="912"/>
      <c r="W34" s="912"/>
    </row>
    <row r="35" spans="1:23">
      <c r="A35" s="928"/>
      <c r="B35" s="912"/>
      <c r="C35" s="912"/>
      <c r="D35" s="912"/>
      <c r="E35" s="912"/>
      <c r="F35" s="912"/>
      <c r="G35" s="912"/>
      <c r="H35" s="921"/>
      <c r="I35" s="912"/>
      <c r="J35" s="920"/>
      <c r="K35" s="912"/>
      <c r="L35" s="912"/>
      <c r="M35" s="919"/>
      <c r="N35" s="919"/>
      <c r="O35" s="919"/>
      <c r="P35" s="919"/>
      <c r="Q35" s="912"/>
      <c r="R35" s="912"/>
      <c r="S35" s="912"/>
      <c r="T35" s="912"/>
      <c r="U35" s="912"/>
      <c r="V35" s="912"/>
      <c r="W35" s="912"/>
    </row>
    <row r="36" spans="1:23">
      <c r="A36" s="928"/>
      <c r="B36" s="912"/>
      <c r="C36" s="912"/>
      <c r="D36" s="912"/>
      <c r="E36" s="912"/>
      <c r="F36" s="912"/>
      <c r="G36" s="912"/>
      <c r="H36" s="921"/>
      <c r="I36" s="912"/>
      <c r="J36" s="920"/>
      <c r="K36" s="912"/>
      <c r="L36" s="912"/>
      <c r="M36" s="919"/>
      <c r="N36" s="919"/>
      <c r="O36" s="919"/>
      <c r="P36" s="919"/>
      <c r="Q36" s="912"/>
      <c r="R36" s="912"/>
      <c r="S36" s="912"/>
      <c r="T36" s="912"/>
      <c r="U36" s="912"/>
      <c r="V36" s="912"/>
      <c r="W36" s="912"/>
    </row>
    <row r="37" spans="1:23">
      <c r="A37" s="928"/>
      <c r="B37" s="912"/>
      <c r="C37" s="912"/>
      <c r="D37" s="912"/>
      <c r="E37" s="912"/>
      <c r="F37" s="912"/>
      <c r="G37" s="912"/>
      <c r="H37" s="912"/>
      <c r="I37" s="912"/>
      <c r="J37" s="920"/>
      <c r="K37" s="912"/>
      <c r="L37" s="912"/>
      <c r="M37" s="922"/>
      <c r="N37" s="921"/>
      <c r="O37" s="919"/>
      <c r="P37" s="919"/>
      <c r="Q37" s="929"/>
      <c r="R37" s="912"/>
      <c r="S37" s="912"/>
      <c r="T37" s="912"/>
      <c r="U37" s="912"/>
      <c r="V37" s="912"/>
      <c r="W37" s="912"/>
    </row>
    <row r="38" spans="1:23">
      <c r="A38" s="928"/>
      <c r="B38" s="912"/>
      <c r="C38" s="912"/>
      <c r="D38" s="912"/>
      <c r="E38" s="912"/>
      <c r="F38" s="912"/>
      <c r="G38" s="912"/>
      <c r="H38" s="921"/>
      <c r="I38" s="912"/>
      <c r="J38" s="920"/>
      <c r="K38" s="912"/>
      <c r="L38" s="912"/>
      <c r="M38" s="919"/>
      <c r="N38" s="919"/>
      <c r="O38" s="919"/>
      <c r="P38" s="919"/>
      <c r="Q38" s="912"/>
      <c r="R38" s="912"/>
      <c r="S38" s="912"/>
      <c r="T38" s="912"/>
      <c r="U38" s="912"/>
      <c r="V38" s="912"/>
      <c r="W38" s="912"/>
    </row>
    <row r="39" spans="1:23">
      <c r="A39" s="928"/>
      <c r="B39" s="912"/>
      <c r="C39" s="912"/>
      <c r="D39" s="912"/>
      <c r="E39" s="912"/>
      <c r="F39" s="912"/>
      <c r="G39" s="912"/>
      <c r="H39" s="920"/>
      <c r="I39" s="920"/>
      <c r="J39" s="920"/>
      <c r="K39" s="912"/>
      <c r="L39" s="919"/>
      <c r="M39" s="919"/>
      <c r="N39" s="919"/>
      <c r="O39" s="919"/>
      <c r="P39" s="919"/>
      <c r="Q39" s="912"/>
      <c r="R39" s="912"/>
      <c r="S39" s="912"/>
      <c r="T39" s="912"/>
      <c r="U39" s="912"/>
      <c r="V39" s="912"/>
      <c r="W39" s="912"/>
    </row>
    <row r="40" spans="1:23">
      <c r="A40" s="912"/>
      <c r="B40" s="912"/>
      <c r="C40" s="912"/>
      <c r="D40" s="912"/>
      <c r="E40" s="912"/>
      <c r="F40" s="912"/>
      <c r="G40" s="919"/>
      <c r="H40" s="919"/>
      <c r="I40" s="919"/>
      <c r="J40" s="919"/>
      <c r="K40" s="919"/>
      <c r="L40" s="919"/>
      <c r="M40" s="919"/>
      <c r="N40" s="919"/>
      <c r="O40" s="919"/>
      <c r="P40" s="919"/>
      <c r="Q40" s="912"/>
      <c r="R40" s="912"/>
      <c r="S40" s="912"/>
      <c r="T40" s="912"/>
      <c r="U40" s="912"/>
      <c r="V40" s="912"/>
      <c r="W40" s="912"/>
    </row>
    <row r="41" spans="1:23">
      <c r="A41" s="912"/>
      <c r="B41" s="912"/>
      <c r="C41" s="912"/>
      <c r="D41" s="912"/>
      <c r="E41" s="912"/>
      <c r="F41" s="912"/>
      <c r="G41" s="919"/>
      <c r="H41" s="919"/>
      <c r="I41" s="919"/>
      <c r="J41" s="919"/>
      <c r="K41" s="919"/>
      <c r="L41" s="919"/>
      <c r="M41" s="919"/>
      <c r="N41" s="919"/>
      <c r="O41" s="919"/>
      <c r="P41" s="919"/>
      <c r="Q41" s="912"/>
      <c r="R41" s="912"/>
      <c r="S41" s="912"/>
      <c r="T41" s="912"/>
      <c r="U41" s="912"/>
      <c r="V41" s="912"/>
      <c r="W41" s="912"/>
    </row>
    <row r="42" spans="1:23">
      <c r="A42" s="912"/>
      <c r="B42" s="912"/>
      <c r="C42" s="912"/>
      <c r="D42" s="912"/>
      <c r="E42" s="912"/>
      <c r="F42" s="912"/>
      <c r="G42" s="919"/>
      <c r="H42" s="919"/>
      <c r="I42" s="919"/>
      <c r="J42" s="919"/>
      <c r="K42" s="919"/>
      <c r="L42" s="919"/>
      <c r="M42" s="919"/>
      <c r="N42" s="919"/>
      <c r="O42" s="919"/>
      <c r="P42" s="919"/>
      <c r="Q42" s="912"/>
      <c r="R42" s="912"/>
      <c r="S42" s="912"/>
      <c r="T42" s="912"/>
      <c r="U42" s="912"/>
      <c r="V42" s="912"/>
      <c r="W42" s="912"/>
    </row>
    <row r="43" spans="1:23">
      <c r="A43" s="912"/>
      <c r="B43" s="912"/>
      <c r="C43" s="912"/>
      <c r="D43" s="912"/>
      <c r="E43" s="912"/>
      <c r="F43" s="912"/>
      <c r="G43" s="919"/>
      <c r="H43" s="919"/>
      <c r="I43" s="919"/>
      <c r="J43" s="919"/>
      <c r="K43" s="919"/>
      <c r="L43" s="919"/>
      <c r="M43" s="919"/>
      <c r="N43" s="919"/>
      <c r="O43" s="919"/>
      <c r="P43" s="919"/>
      <c r="Q43" s="912"/>
      <c r="R43" s="912"/>
      <c r="S43" s="912"/>
      <c r="T43" s="912"/>
      <c r="U43" s="912"/>
      <c r="V43" s="912"/>
      <c r="W43" s="912"/>
    </row>
    <row r="44" spans="1:23">
      <c r="A44" s="912"/>
      <c r="B44" s="912"/>
      <c r="C44" s="912"/>
      <c r="D44" s="912"/>
      <c r="E44" s="912"/>
      <c r="F44" s="912"/>
      <c r="G44" s="919"/>
      <c r="H44" s="919"/>
      <c r="I44" s="919"/>
      <c r="J44" s="919"/>
      <c r="K44" s="919"/>
      <c r="L44" s="919"/>
      <c r="M44" s="919"/>
      <c r="N44" s="919"/>
      <c r="O44" s="919"/>
      <c r="P44" s="919"/>
      <c r="Q44" s="912"/>
      <c r="R44" s="912"/>
      <c r="S44" s="912"/>
      <c r="T44" s="912"/>
      <c r="U44" s="912"/>
      <c r="V44" s="912"/>
      <c r="W44" s="912"/>
    </row>
    <row r="45" spans="1:23">
      <c r="A45" s="912"/>
      <c r="B45" s="912"/>
      <c r="C45" s="912"/>
      <c r="D45" s="912"/>
      <c r="E45" s="912"/>
      <c r="F45" s="912"/>
      <c r="G45" s="919"/>
      <c r="H45" s="919"/>
      <c r="I45" s="919"/>
      <c r="J45" s="919"/>
      <c r="K45" s="919"/>
      <c r="L45" s="919"/>
      <c r="M45" s="923"/>
      <c r="N45" s="919"/>
      <c r="O45" s="919"/>
      <c r="P45" s="924"/>
      <c r="Q45" s="924"/>
      <c r="R45" s="912"/>
      <c r="S45" s="912"/>
      <c r="T45" s="912"/>
      <c r="U45" s="912"/>
      <c r="V45" s="912"/>
      <c r="W45" s="912"/>
    </row>
    <row r="46" spans="1:23">
      <c r="A46" s="912"/>
      <c r="B46" s="912"/>
      <c r="C46" s="912"/>
      <c r="D46" s="912"/>
      <c r="E46" s="912"/>
      <c r="F46" s="912"/>
      <c r="G46" s="919"/>
      <c r="H46" s="919"/>
      <c r="I46" s="919"/>
      <c r="J46" s="919"/>
      <c r="K46" s="919"/>
      <c r="L46" s="919"/>
      <c r="M46" s="919"/>
      <c r="N46" s="919"/>
      <c r="O46" s="919"/>
      <c r="P46" s="919"/>
      <c r="Q46" s="912"/>
      <c r="R46" s="912"/>
      <c r="S46" s="912"/>
      <c r="T46" s="912"/>
      <c r="U46" s="912"/>
      <c r="V46" s="912"/>
      <c r="W46" s="912"/>
    </row>
    <row r="47" spans="1:23">
      <c r="A47" s="912"/>
      <c r="B47" s="912"/>
      <c r="C47" s="912"/>
      <c r="D47" s="912"/>
      <c r="E47" s="912"/>
      <c r="F47" s="912"/>
      <c r="G47" s="919"/>
      <c r="H47" s="919"/>
      <c r="I47" s="919"/>
      <c r="J47" s="919"/>
      <c r="K47" s="919"/>
      <c r="L47" s="919"/>
      <c r="M47" s="919"/>
      <c r="N47" s="919"/>
      <c r="O47" s="919"/>
      <c r="P47" s="919"/>
      <c r="Q47" s="912"/>
      <c r="R47" s="912"/>
      <c r="S47" s="912"/>
      <c r="T47" s="912"/>
      <c r="U47" s="912"/>
      <c r="V47" s="912"/>
      <c r="W47" s="912"/>
    </row>
    <row r="48" spans="1:23">
      <c r="A48" s="912"/>
      <c r="B48" s="912"/>
      <c r="C48" s="912"/>
      <c r="D48" s="912"/>
      <c r="E48" s="912"/>
      <c r="F48" s="912"/>
      <c r="G48" s="919"/>
      <c r="H48" s="919"/>
      <c r="I48" s="919"/>
      <c r="J48" s="919"/>
      <c r="K48" s="919"/>
      <c r="L48" s="919"/>
      <c r="M48" s="919"/>
      <c r="N48" s="919"/>
      <c r="O48" s="919"/>
      <c r="P48" s="919"/>
      <c r="Q48" s="912"/>
      <c r="R48" s="912"/>
      <c r="S48" s="912"/>
      <c r="T48" s="912"/>
      <c r="U48" s="912"/>
      <c r="V48" s="912"/>
      <c r="W48" s="912"/>
    </row>
    <row r="49" spans="1:28">
      <c r="A49" s="912"/>
      <c r="B49" s="912"/>
      <c r="C49" s="912"/>
      <c r="D49" s="912"/>
      <c r="E49" s="912"/>
      <c r="F49" s="912"/>
      <c r="G49" s="919"/>
      <c r="H49" s="919"/>
      <c r="I49" s="919"/>
      <c r="J49" s="919"/>
      <c r="K49" s="919"/>
      <c r="L49" s="925"/>
      <c r="M49" s="925"/>
      <c r="N49" s="925"/>
      <c r="O49" s="925"/>
      <c r="P49" s="919"/>
      <c r="Q49" s="919"/>
      <c r="R49" s="919"/>
      <c r="S49" s="919"/>
      <c r="T49" s="919"/>
      <c r="U49" s="919"/>
      <c r="V49" s="919"/>
      <c r="W49" s="919"/>
      <c r="X49" s="896"/>
      <c r="Y49" s="896"/>
    </row>
    <row r="50" spans="1:28">
      <c r="A50" s="912"/>
      <c r="B50" s="912"/>
      <c r="C50" s="912"/>
      <c r="D50" s="912"/>
      <c r="E50" s="912"/>
      <c r="F50" s="912"/>
      <c r="G50" s="919"/>
      <c r="H50" s="919"/>
      <c r="I50" s="919"/>
      <c r="J50" s="919"/>
      <c r="K50" s="919"/>
      <c r="L50" s="919"/>
      <c r="M50" s="919"/>
      <c r="N50" s="919"/>
      <c r="O50" s="919"/>
      <c r="P50" s="919"/>
      <c r="Q50" s="919"/>
      <c r="R50" s="919"/>
      <c r="S50" s="919"/>
      <c r="T50" s="919"/>
      <c r="U50" s="919"/>
      <c r="V50" s="919"/>
      <c r="W50" s="919"/>
      <c r="X50" s="896"/>
      <c r="Y50" s="896"/>
    </row>
    <row r="51" spans="1:28">
      <c r="A51" s="912"/>
      <c r="B51" s="912"/>
      <c r="C51" s="912"/>
      <c r="D51" s="912"/>
      <c r="E51" s="912"/>
      <c r="F51" s="912"/>
      <c r="G51" s="919"/>
      <c r="H51" s="919"/>
      <c r="I51" s="919"/>
      <c r="J51" s="919"/>
      <c r="K51" s="919"/>
      <c r="L51" s="919"/>
      <c r="M51" s="919"/>
      <c r="N51" s="919"/>
      <c r="O51" s="919"/>
      <c r="P51" s="912"/>
      <c r="Q51" s="912"/>
      <c r="R51" s="912"/>
      <c r="S51" s="912"/>
      <c r="T51" s="912"/>
      <c r="U51" s="912"/>
      <c r="V51" s="912"/>
      <c r="W51" s="912"/>
    </row>
    <row r="52" spans="1:28">
      <c r="A52" s="912"/>
      <c r="B52" s="912"/>
      <c r="C52" s="912"/>
      <c r="D52" s="912"/>
      <c r="E52" s="912"/>
      <c r="F52" s="912"/>
      <c r="G52" s="912"/>
      <c r="H52" s="912"/>
      <c r="I52" s="912"/>
      <c r="J52" s="912"/>
      <c r="K52" s="912"/>
      <c r="L52" s="912"/>
      <c r="M52" s="912"/>
      <c r="N52" s="912"/>
      <c r="O52" s="912"/>
      <c r="P52" s="912"/>
      <c r="Q52" s="912"/>
      <c r="R52" s="912"/>
      <c r="S52" s="912"/>
      <c r="T52" s="912"/>
      <c r="U52" s="912"/>
      <c r="V52" s="912"/>
      <c r="W52" s="912"/>
    </row>
    <row r="53" spans="1:28">
      <c r="A53" s="912"/>
      <c r="B53" s="912"/>
      <c r="C53" s="912"/>
      <c r="D53" s="912"/>
      <c r="E53" s="912"/>
      <c r="F53" s="912"/>
      <c r="G53" s="912"/>
      <c r="H53" s="912"/>
      <c r="I53" s="912"/>
      <c r="J53" s="912"/>
      <c r="K53" s="912"/>
      <c r="L53" s="912"/>
      <c r="M53" s="912"/>
      <c r="N53" s="912"/>
      <c r="O53" s="912"/>
      <c r="P53" s="912"/>
      <c r="Q53" s="912"/>
      <c r="R53" s="912"/>
      <c r="S53" s="912"/>
      <c r="T53" s="912"/>
      <c r="U53" s="912"/>
      <c r="V53" s="912"/>
      <c r="W53" s="912"/>
    </row>
    <row r="54" spans="1:28">
      <c r="A54" s="912"/>
      <c r="B54" s="912"/>
      <c r="C54" s="912"/>
      <c r="D54" s="912"/>
      <c r="E54" s="912"/>
      <c r="F54" s="912"/>
      <c r="G54" s="912"/>
      <c r="H54" s="912"/>
      <c r="I54" s="912"/>
      <c r="J54" s="912"/>
      <c r="K54" s="912"/>
      <c r="L54" s="912"/>
      <c r="M54" s="912"/>
      <c r="N54" s="912"/>
      <c r="O54" s="912"/>
      <c r="P54" s="912"/>
      <c r="Q54" s="912"/>
      <c r="R54" s="912"/>
      <c r="S54" s="912"/>
      <c r="T54" s="912"/>
      <c r="U54" s="912"/>
      <c r="V54" s="912"/>
      <c r="W54" s="912"/>
    </row>
    <row r="55" spans="1:28" hidden="1">
      <c r="B55" s="898"/>
      <c r="J55" s="899"/>
      <c r="R55" s="899"/>
    </row>
    <row r="56" spans="1:28" hidden="1">
      <c r="E56" s="900"/>
      <c r="R56" s="899"/>
      <c r="AB56" s="901"/>
    </row>
    <row r="57" spans="1:28" hidden="1">
      <c r="C57" s="901"/>
      <c r="O57" s="901"/>
      <c r="AB57" s="901"/>
    </row>
    <row r="58" spans="1:28" hidden="1">
      <c r="AB58" s="901"/>
    </row>
    <row r="59" spans="1:28" hidden="1"/>
    <row r="60" spans="1:28" hidden="1">
      <c r="AB60" s="897"/>
    </row>
    <row r="61" spans="1:28" hidden="1">
      <c r="AB61" s="897"/>
    </row>
    <row r="62" spans="1:28" hidden="1"/>
    <row r="63" spans="1:28" hidden="1"/>
    <row r="64" spans="1:28" hidden="1"/>
    <row r="65" hidden="1"/>
    <row r="66" hidden="1"/>
    <row r="67" hidden="1"/>
    <row r="68" hidden="1"/>
    <row r="69" hidden="1"/>
    <row r="70" hidden="1"/>
    <row r="71" hidden="1"/>
    <row r="72" hidden="1"/>
    <row r="73" hidden="1"/>
    <row r="74" hidden="1"/>
    <row r="75" hidden="1"/>
    <row r="76" hidden="1"/>
    <row r="77" hidden="1"/>
    <row r="78" hidden="1"/>
    <row r="79" hidden="1"/>
    <row r="80" hidden="1"/>
    <row r="81" spans="2:2" hidden="1"/>
    <row r="82" spans="2:2" hidden="1"/>
    <row r="83" spans="2:2" hidden="1"/>
    <row r="84" spans="2:2" hidden="1"/>
    <row r="85" spans="2:2" hidden="1"/>
    <row r="86" spans="2:2" hidden="1"/>
    <row r="87" spans="2:2" hidden="1"/>
    <row r="88" spans="2:2" hidden="1"/>
    <row r="89" spans="2:2" hidden="1"/>
    <row r="90" spans="2:2" hidden="1"/>
    <row r="91" spans="2:2" hidden="1"/>
    <row r="92" spans="2:2" hidden="1">
      <c r="B92" s="897"/>
    </row>
    <row r="93" spans="2:2" hidden="1">
      <c r="B93" s="897"/>
    </row>
    <row r="94" spans="2:2" hidden="1">
      <c r="B94" s="897"/>
    </row>
    <row r="95" spans="2:2" hidden="1">
      <c r="B95" s="897"/>
    </row>
    <row r="96" spans="2:2" hidden="1">
      <c r="B96" s="897"/>
    </row>
  </sheetData>
  <sheetProtection algorithmName="SHA-512" hashValue="jw5V6RnO/NwjvDD0zL3u55gAhrvZLfw+HzDqkumZmhoUaAxPGnXb4IBrMK9GlgYCmsPeQQKJl9QgIWpKXTBXpg==" saltValue="ig0P7Jy2XnqzUCoO6iltdw==" spinCount="100000" sheet="1" objects="1" scenarios="1"/>
  <mergeCells count="2">
    <mergeCell ref="L6:Q6"/>
    <mergeCell ref="A7:F7"/>
  </mergeCells>
  <printOptions horizontalCentered="1" verticalCentered="1"/>
  <pageMargins left="0" right="0" top="0" bottom="0" header="0" footer="0"/>
  <pageSetup paperSize="9" scale="75" fitToWidth="0" fitToHeight="0"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421889" r:id="rId4" name="Drop Down 1">
              <controlPr defaultSize="0" autoLine="0" autoPict="0">
                <anchor moveWithCells="1">
                  <from>
                    <xdr:col>13</xdr:col>
                    <xdr:colOff>142875</xdr:colOff>
                    <xdr:row>20</xdr:row>
                    <xdr:rowOff>47625</xdr:rowOff>
                  </from>
                  <to>
                    <xdr:col>14</xdr:col>
                    <xdr:colOff>276225</xdr:colOff>
                    <xdr:row>21</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5C1DC-CA5A-4E67-9A3E-EF121A10E45D}">
  <sheetPr codeName="Folha7">
    <tabColor indexed="24"/>
  </sheetPr>
  <dimension ref="A1:BH117"/>
  <sheetViews>
    <sheetView topLeftCell="Q67" zoomScale="120" zoomScaleNormal="120" workbookViewId="0">
      <selection activeCell="Y70" sqref="Y70"/>
    </sheetView>
  </sheetViews>
  <sheetFormatPr defaultRowHeight="12.75"/>
  <cols>
    <col min="1" max="1" width="16" bestFit="1" customWidth="1"/>
    <col min="2" max="2" width="25" bestFit="1" customWidth="1"/>
    <col min="17" max="17" width="11.85546875" customWidth="1"/>
    <col min="18" max="18" width="27.140625" customWidth="1"/>
    <col min="20" max="20" width="11.5703125" customWidth="1"/>
    <col min="53" max="53" width="7" bestFit="1" customWidth="1"/>
    <col min="54" max="54" width="16" bestFit="1" customWidth="1"/>
    <col min="59" max="60" width="18.28515625" bestFit="1" customWidth="1"/>
  </cols>
  <sheetData>
    <row r="1" spans="1:60">
      <c r="A1" s="383"/>
    </row>
    <row r="2" spans="1:60">
      <c r="A2" s="422" t="s">
        <v>219</v>
      </c>
      <c r="B2">
        <v>1</v>
      </c>
      <c r="AF2" s="522" t="s">
        <v>445</v>
      </c>
    </row>
    <row r="3" spans="1:60" ht="13.5" thickBot="1">
      <c r="A3" s="422" t="s">
        <v>204</v>
      </c>
      <c r="B3">
        <v>2</v>
      </c>
      <c r="Q3">
        <v>1</v>
      </c>
      <c r="AS3" s="115"/>
      <c r="AT3" s="4">
        <f>+'q1'!$C$4</f>
        <v>2014</v>
      </c>
      <c r="AU3" s="4">
        <f>+'q1'!$D$4</f>
        <v>2015</v>
      </c>
      <c r="AV3" s="4">
        <f>+'q1'!$E$4</f>
        <v>2016</v>
      </c>
      <c r="AW3" s="4">
        <f>+'q1'!$F$4</f>
        <v>2017</v>
      </c>
      <c r="AX3" s="4">
        <f>+'q1'!$G$4</f>
        <v>2018</v>
      </c>
      <c r="AY3" s="4">
        <f>+'q1'!$H$4</f>
        <v>2019</v>
      </c>
      <c r="AZ3" s="506">
        <f>+'q1'!$I$4</f>
        <v>2020</v>
      </c>
      <c r="BA3" s="4">
        <f>+'q1'!$J$4</f>
        <v>2021</v>
      </c>
      <c r="BB3" s="4">
        <f>+'q1'!$K$4</f>
        <v>2022</v>
      </c>
      <c r="BC3" s="4">
        <f>+'q1'!$L$4</f>
        <v>2023</v>
      </c>
      <c r="BD3" s="4">
        <f>+'q1'!$M$4</f>
        <v>2024</v>
      </c>
      <c r="BE3" s="403"/>
      <c r="BG3" t="str">
        <f>+"variação "&amp;$BD$3&amp;"/"&amp;$BC$3</f>
        <v>variação 2024/2023</v>
      </c>
      <c r="BH3" t="str">
        <f>+"variação "&amp;$BD$3&amp;"/"&amp;$AT$3</f>
        <v>variação 2024/2014</v>
      </c>
    </row>
    <row r="4" spans="1:60" ht="13.5" thickTop="1">
      <c r="R4" s="383"/>
      <c r="AS4" s="395" t="s">
        <v>219</v>
      </c>
      <c r="AT4" s="396">
        <f>+'q1'!$C$5</f>
        <v>270181</v>
      </c>
      <c r="AU4" s="396">
        <f>+'q1'!$D$5</f>
        <v>273060</v>
      </c>
      <c r="AV4" s="396">
        <f>+'q1'!$E$5</f>
        <v>276332</v>
      </c>
      <c r="AW4" s="396">
        <f>+'q1'!$F$5</f>
        <v>279191</v>
      </c>
      <c r="AX4" s="396">
        <f>+'q1'!$G$5</f>
        <v>282236</v>
      </c>
      <c r="AY4" s="396">
        <f>+'q1'!$H$5</f>
        <v>275751</v>
      </c>
      <c r="AZ4" s="396">
        <f>+'q1'!$I$5</f>
        <v>277641</v>
      </c>
      <c r="BA4" s="396">
        <f>+'q1'!$J$5</f>
        <v>271806</v>
      </c>
      <c r="BB4" s="396">
        <f>+'q1'!$K$5</f>
        <v>284860</v>
      </c>
      <c r="BC4" s="396">
        <f>+'q1'!$L$5</f>
        <v>291252</v>
      </c>
      <c r="BD4" s="525">
        <f>+'q1'!$M$5</f>
        <v>288763</v>
      </c>
      <c r="BE4" s="323"/>
      <c r="BF4" s="527">
        <f>+BD4-BC4</f>
        <v>-2489</v>
      </c>
      <c r="BG4" s="505">
        <f>+(BD4/BC4-1)</f>
        <v>-8.5458640627360527E-3</v>
      </c>
      <c r="BH4" s="505">
        <f>+(BD4/AT4-1)</f>
        <v>6.877611675136297E-2</v>
      </c>
    </row>
    <row r="5" spans="1:60">
      <c r="AS5" s="395" t="s">
        <v>204</v>
      </c>
      <c r="AT5" s="394">
        <f>+'q5'!$C$5</f>
        <v>318886</v>
      </c>
      <c r="AU5" s="394">
        <f>+'q5'!$D$5</f>
        <v>321500</v>
      </c>
      <c r="AV5" s="394">
        <f>+'q5'!$E$5</f>
        <v>324933</v>
      </c>
      <c r="AW5" s="394">
        <f>+'q5'!$F$5</f>
        <v>327295</v>
      </c>
      <c r="AX5" s="394">
        <f>+'q5'!$G$5</f>
        <v>330668</v>
      </c>
      <c r="AY5" s="394">
        <f>+'q5'!$H$5</f>
        <v>322978</v>
      </c>
      <c r="AZ5" s="394">
        <f>+'q5'!$I$5</f>
        <v>324959</v>
      </c>
      <c r="BA5" s="394">
        <f>+'q5'!$J$5</f>
        <v>318254</v>
      </c>
      <c r="BB5" s="394">
        <f>+'q5'!$K$5</f>
        <v>332683</v>
      </c>
      <c r="BC5" s="394">
        <f>+'q5'!$L$5</f>
        <v>340364</v>
      </c>
      <c r="BD5" s="526">
        <f>+'q5'!$M$5</f>
        <v>338026</v>
      </c>
      <c r="BE5" s="394"/>
      <c r="BF5" s="527">
        <f>+BD5-BC5</f>
        <v>-2338</v>
      </c>
      <c r="BG5" s="505">
        <f>+(BD5/BC5-1)</f>
        <v>-6.8691165928241871E-3</v>
      </c>
      <c r="BH5" s="505">
        <f>+(BD5/AT5-1)</f>
        <v>6.0021449671669558E-2</v>
      </c>
    </row>
    <row r="6" spans="1:60">
      <c r="B6" s="383"/>
      <c r="D6">
        <f>+'q1'!$C$4</f>
        <v>2014</v>
      </c>
      <c r="E6">
        <f>+'q1'!$D$4</f>
        <v>2015</v>
      </c>
      <c r="F6">
        <f>+'q1'!$E$4</f>
        <v>2016</v>
      </c>
      <c r="G6">
        <f>+'q1'!$F$4</f>
        <v>2017</v>
      </c>
      <c r="H6">
        <f>+'q1'!$G$4</f>
        <v>2018</v>
      </c>
      <c r="I6">
        <f>+'q1'!$H$4</f>
        <v>2019</v>
      </c>
      <c r="J6">
        <f>+'q1'!$I$4</f>
        <v>2020</v>
      </c>
      <c r="K6">
        <f>+'q1'!$J$4</f>
        <v>2021</v>
      </c>
      <c r="L6">
        <f>+'q1'!$K$4</f>
        <v>2022</v>
      </c>
      <c r="M6">
        <f>+'q1'!$L$4</f>
        <v>2023</v>
      </c>
      <c r="N6">
        <f>+'q1'!$M$4</f>
        <v>2024</v>
      </c>
      <c r="S6">
        <f>+D6</f>
        <v>2014</v>
      </c>
      <c r="T6">
        <f t="shared" ref="T6" si="0">+E6</f>
        <v>2015</v>
      </c>
      <c r="U6">
        <f t="shared" ref="U6:AC6" si="1">+F6</f>
        <v>2016</v>
      </c>
      <c r="V6">
        <f t="shared" si="1"/>
        <v>2017</v>
      </c>
      <c r="W6">
        <f t="shared" si="1"/>
        <v>2018</v>
      </c>
      <c r="X6">
        <f t="shared" si="1"/>
        <v>2019</v>
      </c>
      <c r="Y6">
        <f t="shared" si="1"/>
        <v>2020</v>
      </c>
      <c r="Z6">
        <f t="shared" si="1"/>
        <v>2021</v>
      </c>
      <c r="AA6">
        <f t="shared" si="1"/>
        <v>2022</v>
      </c>
      <c r="AB6">
        <f t="shared" si="1"/>
        <v>2023</v>
      </c>
      <c r="AC6">
        <f t="shared" si="1"/>
        <v>2024</v>
      </c>
    </row>
    <row r="7" spans="1:60">
      <c r="A7" s="383" t="s">
        <v>219</v>
      </c>
      <c r="B7" t="str">
        <f>+'q1'!$A$6</f>
        <v>A</v>
      </c>
      <c r="C7" t="str">
        <f>+'q1'!$B$6</f>
        <v>Agr., pr. animal, caça, flor. pesca</v>
      </c>
      <c r="D7">
        <f>+'q1'!$C$6</f>
        <v>13063</v>
      </c>
      <c r="E7">
        <f>+'q1'!$D$6</f>
        <v>13445</v>
      </c>
      <c r="F7">
        <f>+'q1'!$E$6</f>
        <v>13755</v>
      </c>
      <c r="G7">
        <f>+'q1'!$F$6</f>
        <v>13847</v>
      </c>
      <c r="H7">
        <f>+'q1'!$G$6</f>
        <v>13971</v>
      </c>
      <c r="I7">
        <f>+'q1'!$H$6</f>
        <v>13547</v>
      </c>
      <c r="J7">
        <f>+'q1'!$I$6</f>
        <v>13691</v>
      </c>
      <c r="K7">
        <f>+'q1'!$J$6</f>
        <v>13199</v>
      </c>
      <c r="L7">
        <f>+'q1'!$K$6</f>
        <v>13618</v>
      </c>
      <c r="M7">
        <f>+'q1'!$L$6</f>
        <v>13805</v>
      </c>
      <c r="N7">
        <f>+'q1'!$M$6</f>
        <v>13716</v>
      </c>
      <c r="Q7" t="str">
        <f>INDEX($A$2:$A$3,$Q$3)</f>
        <v>Empresas</v>
      </c>
      <c r="R7" t="str">
        <f>+B7</f>
        <v>A</v>
      </c>
      <c r="S7">
        <f>IF($Q$3=1, VLOOKUP($R$7:$R$26,$B$6:$N$26,COLUMN(D7)-1,0),VLOOKUP($R$7:$R$26,$B$31:$N$50,COLUMN(D7)-1,0))</f>
        <v>13063</v>
      </c>
      <c r="T7">
        <f t="shared" ref="T7:T22" si="2">IF($Q$3=1, VLOOKUP($R$7:$R$26,$B$6:$N$26,COLUMN(E7)-1,0),VLOOKUP($R$7:$R$26,$B$31:$N$50,COLUMN(E7)-1,0))</f>
        <v>13445</v>
      </c>
      <c r="U7">
        <f t="shared" ref="U7:U26" si="3">IF($Q$3=1, VLOOKUP($R$7:$R$26,$B$6:$N$26,COLUMN(F7)-1,0),VLOOKUP($R$7:$R$26,$B$31:$N$50,COLUMN(F7)-1,0))</f>
        <v>13755</v>
      </c>
      <c r="V7">
        <f t="shared" ref="V7:V26" si="4">IF($Q$3=1, VLOOKUP($R$7:$R$26,$B$6:$N$26,COLUMN(G7)-1,0),VLOOKUP($R$7:$R$26,$B$31:$N$50,COLUMN(G7)-1,0))</f>
        <v>13847</v>
      </c>
      <c r="W7">
        <f t="shared" ref="W7:W26" si="5">IF($Q$3=1, VLOOKUP($R$7:$R$26,$B$6:$N$26,COLUMN(H7)-1,0),VLOOKUP($R$7:$R$26,$B$31:$N$50,COLUMN(H7)-1,0))</f>
        <v>13971</v>
      </c>
      <c r="X7">
        <f t="shared" ref="X7:X26" si="6">IF($Q$3=1, VLOOKUP($R$7:$R$26,$B$6:$N$26,COLUMN(I7)-1,0),VLOOKUP($R$7:$R$26,$B$31:$N$50,COLUMN(I7)-1,0))</f>
        <v>13547</v>
      </c>
      <c r="Y7">
        <f t="shared" ref="Y7:Y26" si="7">IF($Q$3=1, VLOOKUP($R$7:$R$26,$B$6:$N$26,COLUMN(J7)-1,0),VLOOKUP($R$7:$R$26,$B$31:$N$50,COLUMN(J7)-1,0))</f>
        <v>13691</v>
      </c>
      <c r="Z7">
        <f t="shared" ref="Z7:Z26" si="8">IF($Q$3=1, VLOOKUP($R$7:$R$26,$B$6:$N$26,COLUMN(K7)-1,0),VLOOKUP($R$7:$R$26,$B$31:$N$50,COLUMN(K7)-1,0))</f>
        <v>13199</v>
      </c>
      <c r="AA7">
        <f t="shared" ref="AA7:AA26" si="9">IF($Q$3=1, VLOOKUP($R$7:$R$26,$B$6:$N$26,COLUMN(L7)-1,0),VLOOKUP($R$7:$R$26,$B$31:$N$50,COLUMN(L7)-1,0))</f>
        <v>13618</v>
      </c>
      <c r="AB7">
        <f t="shared" ref="AB7:AB26" si="10">IF($Q$3=1, VLOOKUP($R$7:$R$26,$B$6:$N$26,COLUMN(M7)-1,0),VLOOKUP($R$7:$R$26,$B$31:$N$50,COLUMN(M7)-1,0))</f>
        <v>13805</v>
      </c>
      <c r="AC7">
        <f t="shared" ref="AC7:AC26" si="11">IF($Q$3=1, VLOOKUP($R$7:$R$26,$B$6:$N$26,COLUMN(N7)-1,0),VLOOKUP($R$7:$R$26,$B$31:$N$50,COLUMN(N7)-1,0))</f>
        <v>13716</v>
      </c>
    </row>
    <row r="8" spans="1:60">
      <c r="A8" s="383"/>
      <c r="B8" t="str">
        <f>+'q1'!$A$7</f>
        <v>B</v>
      </c>
      <c r="C8" t="str">
        <f>+'q1'!$B$7</f>
        <v>Indústrias extrativas</v>
      </c>
      <c r="D8">
        <f>+'q1'!$C$7</f>
        <v>564</v>
      </c>
      <c r="E8">
        <f>+'q1'!$D$7</f>
        <v>558</v>
      </c>
      <c r="F8">
        <f>+'q1'!$E$7</f>
        <v>536</v>
      </c>
      <c r="G8">
        <f>+'q1'!$F$7</f>
        <v>542</v>
      </c>
      <c r="H8">
        <f>+'q1'!$G$7</f>
        <v>526</v>
      </c>
      <c r="I8">
        <f>+'q1'!$H$7</f>
        <v>510</v>
      </c>
      <c r="J8">
        <f>+'q1'!$I$7</f>
        <v>504</v>
      </c>
      <c r="K8">
        <f>+'q1'!$J$7</f>
        <v>486</v>
      </c>
      <c r="L8">
        <f>+'q1'!$K$7</f>
        <v>494</v>
      </c>
      <c r="M8">
        <f>+'q1'!$L$7</f>
        <v>499</v>
      </c>
      <c r="N8">
        <f>+'q1'!$M$7</f>
        <v>467</v>
      </c>
      <c r="R8" t="str">
        <f t="shared" ref="R8:R26" si="12">+B8</f>
        <v>B</v>
      </c>
      <c r="S8">
        <f>IF($Q$3=1, VLOOKUP($R$7:$R$26,$B$6:$N$26,COLUMN(D8)-1,0),VLOOKUP($R$7:$R$26,$B$31:$N$50,COLUMN(D8)-1,0))</f>
        <v>564</v>
      </c>
      <c r="T8">
        <f t="shared" si="2"/>
        <v>558</v>
      </c>
      <c r="U8">
        <f t="shared" si="3"/>
        <v>536</v>
      </c>
      <c r="V8">
        <f t="shared" si="4"/>
        <v>542</v>
      </c>
      <c r="W8">
        <f t="shared" si="5"/>
        <v>526</v>
      </c>
      <c r="X8">
        <f t="shared" si="6"/>
        <v>510</v>
      </c>
      <c r="Y8">
        <f t="shared" si="7"/>
        <v>504</v>
      </c>
      <c r="Z8">
        <f t="shared" si="8"/>
        <v>486</v>
      </c>
      <c r="AA8">
        <f t="shared" si="9"/>
        <v>494</v>
      </c>
      <c r="AB8">
        <f t="shared" si="10"/>
        <v>499</v>
      </c>
      <c r="AC8">
        <f t="shared" si="11"/>
        <v>467</v>
      </c>
    </row>
    <row r="9" spans="1:60">
      <c r="A9" s="383"/>
      <c r="B9" t="str">
        <f>+'q1'!$A$8</f>
        <v>C</v>
      </c>
      <c r="C9" t="str">
        <f>+'q1'!$B$8</f>
        <v>Indústrias transformadoras</v>
      </c>
      <c r="D9">
        <f>+'q1'!$C$8</f>
        <v>32895</v>
      </c>
      <c r="E9">
        <f>+'q1'!$D$8</f>
        <v>32998</v>
      </c>
      <c r="F9">
        <f>+'q1'!$E$8</f>
        <v>33278</v>
      </c>
      <c r="G9">
        <f>+'q1'!$F$8</f>
        <v>33315</v>
      </c>
      <c r="H9">
        <f>+'q1'!$G$8</f>
        <v>33177</v>
      </c>
      <c r="I9">
        <f>+'q1'!$H$8</f>
        <v>31905</v>
      </c>
      <c r="J9">
        <f>+'q1'!$I$8</f>
        <v>31715</v>
      </c>
      <c r="K9">
        <f>+'q1'!$J$8</f>
        <v>30818</v>
      </c>
      <c r="L9">
        <f>+'q1'!$K$8</f>
        <v>31733</v>
      </c>
      <c r="M9">
        <f>+'q1'!$L$8</f>
        <v>31551</v>
      </c>
      <c r="N9">
        <f>+'q1'!$M$8</f>
        <v>30548</v>
      </c>
      <c r="R9" t="str">
        <f t="shared" si="12"/>
        <v>C</v>
      </c>
      <c r="S9">
        <f t="shared" ref="S9:S26" si="13">IF($Q$3=1, VLOOKUP($R$7:$R$26,$B$6:$N$26,COLUMN(D9)-1,0),VLOOKUP($R$7:$R$26,$B$31:$N$50,COLUMN(D9)-1,0))</f>
        <v>32895</v>
      </c>
      <c r="T9">
        <f t="shared" si="2"/>
        <v>32998</v>
      </c>
      <c r="U9">
        <f t="shared" si="3"/>
        <v>33278</v>
      </c>
      <c r="V9">
        <f t="shared" si="4"/>
        <v>33315</v>
      </c>
      <c r="W9">
        <f t="shared" si="5"/>
        <v>33177</v>
      </c>
      <c r="X9">
        <f t="shared" si="6"/>
        <v>31905</v>
      </c>
      <c r="Y9">
        <f t="shared" si="7"/>
        <v>31715</v>
      </c>
      <c r="Z9">
        <f t="shared" si="8"/>
        <v>30818</v>
      </c>
      <c r="AA9">
        <f t="shared" si="9"/>
        <v>31733</v>
      </c>
      <c r="AB9">
        <f t="shared" si="10"/>
        <v>31551</v>
      </c>
      <c r="AC9">
        <f t="shared" si="11"/>
        <v>30548</v>
      </c>
      <c r="BF9" s="411"/>
    </row>
    <row r="10" spans="1:60">
      <c r="A10" s="383"/>
      <c r="B10" t="str">
        <f>+'q1'!$A$33</f>
        <v>D</v>
      </c>
      <c r="C10" t="str">
        <f>+'q1'!$B$33</f>
        <v>Eletr., gás, ág. quente/fria e ar frio</v>
      </c>
      <c r="D10">
        <f>+'q1'!$C$33</f>
        <v>193</v>
      </c>
      <c r="E10">
        <f>+'q1'!$D$33</f>
        <v>211</v>
      </c>
      <c r="F10">
        <f>+'q1'!$E$33</f>
        <v>204</v>
      </c>
      <c r="G10">
        <f>+'q1'!$F$33</f>
        <v>194</v>
      </c>
      <c r="H10">
        <f>+'q1'!$G$33</f>
        <v>183</v>
      </c>
      <c r="I10">
        <f>+'q1'!$H$33</f>
        <v>185</v>
      </c>
      <c r="J10">
        <f>+'q1'!$I$33</f>
        <v>198</v>
      </c>
      <c r="K10">
        <f>+'q1'!$J$33</f>
        <v>192</v>
      </c>
      <c r="L10">
        <f>+'q1'!$K$33</f>
        <v>209</v>
      </c>
      <c r="M10">
        <f>+'q1'!$L$33</f>
        <v>236</v>
      </c>
      <c r="N10">
        <f>+'q1'!$M$33</f>
        <v>244</v>
      </c>
      <c r="R10" t="str">
        <f t="shared" si="12"/>
        <v>D</v>
      </c>
      <c r="S10">
        <f t="shared" si="13"/>
        <v>193</v>
      </c>
      <c r="T10">
        <f t="shared" si="2"/>
        <v>211</v>
      </c>
      <c r="U10">
        <f t="shared" si="3"/>
        <v>204</v>
      </c>
      <c r="V10">
        <f t="shared" si="4"/>
        <v>194</v>
      </c>
      <c r="W10">
        <f t="shared" si="5"/>
        <v>183</v>
      </c>
      <c r="X10">
        <f t="shared" si="6"/>
        <v>185</v>
      </c>
      <c r="Y10">
        <f t="shared" si="7"/>
        <v>198</v>
      </c>
      <c r="Z10">
        <f t="shared" si="8"/>
        <v>192</v>
      </c>
      <c r="AA10">
        <f t="shared" si="9"/>
        <v>209</v>
      </c>
      <c r="AB10">
        <f t="shared" si="10"/>
        <v>236</v>
      </c>
      <c r="AC10">
        <f t="shared" si="11"/>
        <v>244</v>
      </c>
    </row>
    <row r="11" spans="1:60">
      <c r="A11" s="383"/>
      <c r="B11" t="str">
        <f>+'q1'!$A$34</f>
        <v>E</v>
      </c>
      <c r="C11" t="str">
        <f>+'q1'!$B$34</f>
        <v>Capt., trat. e d. água; san., resíd.</v>
      </c>
      <c r="D11">
        <f>+'q1'!$C$34</f>
        <v>637</v>
      </c>
      <c r="E11">
        <f>+'q1'!$D$34</f>
        <v>623</v>
      </c>
      <c r="F11">
        <f>+'q1'!$E$34</f>
        <v>605</v>
      </c>
      <c r="G11">
        <f>+'q1'!$F$34</f>
        <v>607</v>
      </c>
      <c r="H11">
        <f>+'q1'!$G$34</f>
        <v>602</v>
      </c>
      <c r="I11">
        <f>+'q1'!$H$34</f>
        <v>617</v>
      </c>
      <c r="J11">
        <f>+'q1'!$I$34</f>
        <v>625</v>
      </c>
      <c r="K11">
        <f>+'q1'!$J$34</f>
        <v>620</v>
      </c>
      <c r="L11">
        <f>+'q1'!$K$34</f>
        <v>636</v>
      </c>
      <c r="M11">
        <f>+'q1'!$L$34</f>
        <v>648</v>
      </c>
      <c r="N11">
        <f>+'q1'!$M$34</f>
        <v>630</v>
      </c>
      <c r="R11" t="str">
        <f t="shared" si="12"/>
        <v>E</v>
      </c>
      <c r="S11">
        <f t="shared" si="13"/>
        <v>637</v>
      </c>
      <c r="T11">
        <f t="shared" si="2"/>
        <v>623</v>
      </c>
      <c r="U11">
        <f t="shared" si="3"/>
        <v>605</v>
      </c>
      <c r="V11">
        <f t="shared" si="4"/>
        <v>607</v>
      </c>
      <c r="W11">
        <f t="shared" si="5"/>
        <v>602</v>
      </c>
      <c r="X11">
        <f t="shared" si="6"/>
        <v>617</v>
      </c>
      <c r="Y11">
        <f t="shared" si="7"/>
        <v>625</v>
      </c>
      <c r="Z11">
        <f t="shared" si="8"/>
        <v>620</v>
      </c>
      <c r="AA11">
        <f t="shared" si="9"/>
        <v>636</v>
      </c>
      <c r="AB11">
        <f t="shared" si="10"/>
        <v>648</v>
      </c>
      <c r="AC11">
        <f t="shared" si="11"/>
        <v>630</v>
      </c>
    </row>
    <row r="12" spans="1:60">
      <c r="A12" s="383"/>
      <c r="B12" t="str">
        <f>+'q1'!$A$35</f>
        <v>F</v>
      </c>
      <c r="C12" t="str">
        <f>+'q1'!$B$35</f>
        <v>Construção</v>
      </c>
      <c r="D12">
        <f>+'q1'!$C$35</f>
        <v>27621</v>
      </c>
      <c r="E12">
        <f>+'q1'!$D$35</f>
        <v>27400</v>
      </c>
      <c r="F12">
        <f>+'q1'!$E$35</f>
        <v>27945</v>
      </c>
      <c r="G12">
        <f>+'q1'!$F$35</f>
        <v>28669</v>
      </c>
      <c r="H12">
        <f>+'q1'!$G$35</f>
        <v>29662</v>
      </c>
      <c r="I12">
        <f>+'q1'!$H$35</f>
        <v>30134</v>
      </c>
      <c r="J12">
        <f>+'q1'!$I$35</f>
        <v>31394</v>
      </c>
      <c r="K12">
        <f>+'q1'!$J$35</f>
        <v>31375</v>
      </c>
      <c r="L12">
        <f>+'q1'!$K$35</f>
        <v>33643</v>
      </c>
      <c r="M12">
        <f>+'q1'!$L$35</f>
        <v>35137</v>
      </c>
      <c r="N12">
        <f>+'q1'!$M$35</f>
        <v>35614</v>
      </c>
      <c r="R12" t="str">
        <f t="shared" si="12"/>
        <v>F</v>
      </c>
      <c r="S12">
        <f t="shared" si="13"/>
        <v>27621</v>
      </c>
      <c r="T12">
        <f t="shared" si="2"/>
        <v>27400</v>
      </c>
      <c r="U12">
        <f t="shared" si="3"/>
        <v>27945</v>
      </c>
      <c r="V12">
        <f t="shared" si="4"/>
        <v>28669</v>
      </c>
      <c r="W12">
        <f t="shared" si="5"/>
        <v>29662</v>
      </c>
      <c r="X12">
        <f t="shared" si="6"/>
        <v>30134</v>
      </c>
      <c r="Y12">
        <f t="shared" si="7"/>
        <v>31394</v>
      </c>
      <c r="Z12">
        <f t="shared" si="8"/>
        <v>31375</v>
      </c>
      <c r="AA12">
        <f t="shared" si="9"/>
        <v>33643</v>
      </c>
      <c r="AB12">
        <f t="shared" si="10"/>
        <v>35137</v>
      </c>
      <c r="AC12">
        <f t="shared" si="11"/>
        <v>35614</v>
      </c>
      <c r="BC12" s="399"/>
      <c r="BD12" s="400"/>
      <c r="BE12" s="400"/>
    </row>
    <row r="13" spans="1:60">
      <c r="A13" s="383"/>
      <c r="B13" t="str">
        <f>+'q1'!$A$36</f>
        <v>G</v>
      </c>
      <c r="C13" t="str">
        <f>+'q1'!$B$36</f>
        <v>Com. grosso e ret.; r.v.aut./moto.</v>
      </c>
      <c r="D13">
        <f>+'q1'!$C$36</f>
        <v>74208</v>
      </c>
      <c r="E13">
        <f>+'q1'!$D$36</f>
        <v>74441</v>
      </c>
      <c r="F13">
        <f>+'q1'!$E$36</f>
        <v>74332</v>
      </c>
      <c r="G13">
        <f>+'q1'!$F$36</f>
        <v>73637</v>
      </c>
      <c r="H13">
        <f>+'q1'!$G$36</f>
        <v>73191</v>
      </c>
      <c r="I13">
        <f>+'q1'!$H$36</f>
        <v>69985</v>
      </c>
      <c r="J13">
        <f>+'q1'!$I$36</f>
        <v>69568</v>
      </c>
      <c r="K13">
        <f>+'q1'!$J$36</f>
        <v>67802</v>
      </c>
      <c r="L13">
        <f>+'q1'!$K$36</f>
        <v>69554</v>
      </c>
      <c r="M13">
        <f>+'q1'!$L$36</f>
        <v>69619</v>
      </c>
      <c r="N13">
        <f>+'q1'!$M$36</f>
        <v>67579</v>
      </c>
      <c r="R13" t="str">
        <f t="shared" si="12"/>
        <v>G</v>
      </c>
      <c r="S13">
        <f t="shared" si="13"/>
        <v>74208</v>
      </c>
      <c r="T13">
        <f t="shared" si="2"/>
        <v>74441</v>
      </c>
      <c r="U13">
        <f t="shared" si="3"/>
        <v>74332</v>
      </c>
      <c r="V13">
        <f t="shared" si="4"/>
        <v>73637</v>
      </c>
      <c r="W13">
        <f t="shared" si="5"/>
        <v>73191</v>
      </c>
      <c r="X13">
        <f t="shared" si="6"/>
        <v>69985</v>
      </c>
      <c r="Y13">
        <f t="shared" si="7"/>
        <v>69568</v>
      </c>
      <c r="Z13">
        <f t="shared" si="8"/>
        <v>67802</v>
      </c>
      <c r="AA13">
        <f t="shared" si="9"/>
        <v>69554</v>
      </c>
      <c r="AB13">
        <f t="shared" si="10"/>
        <v>69619</v>
      </c>
      <c r="AC13">
        <f t="shared" si="11"/>
        <v>67579</v>
      </c>
    </row>
    <row r="14" spans="1:60">
      <c r="A14" s="383"/>
      <c r="B14" t="str">
        <f>+'q1'!$A$37</f>
        <v>H</v>
      </c>
      <c r="C14" t="str">
        <f>+'q1'!$B$37</f>
        <v>Transportes e armazenagem</v>
      </c>
      <c r="D14">
        <f>+'q1'!$C$37</f>
        <v>10632</v>
      </c>
      <c r="E14">
        <f>+'q1'!$D$37</f>
        <v>10537</v>
      </c>
      <c r="F14">
        <f>+'q1'!$E$37</f>
        <v>10462</v>
      </c>
      <c r="G14">
        <f>+'q1'!$F$37</f>
        <v>10490</v>
      </c>
      <c r="H14">
        <f>+'q1'!$G$37</f>
        <v>10497</v>
      </c>
      <c r="I14">
        <f>+'q1'!$H$37</f>
        <v>10339</v>
      </c>
      <c r="J14">
        <f>+'q1'!$I$37</f>
        <v>10288</v>
      </c>
      <c r="K14">
        <f>+'q1'!$J$37</f>
        <v>9821</v>
      </c>
      <c r="L14">
        <f>+'q1'!$K$37</f>
        <v>10445</v>
      </c>
      <c r="M14">
        <f>+'q1'!$L$37</f>
        <v>11013</v>
      </c>
      <c r="N14">
        <f>+'q1'!$M$37</f>
        <v>10965</v>
      </c>
      <c r="R14" t="str">
        <f t="shared" si="12"/>
        <v>H</v>
      </c>
      <c r="S14">
        <f t="shared" si="13"/>
        <v>10632</v>
      </c>
      <c r="T14">
        <f t="shared" si="2"/>
        <v>10537</v>
      </c>
      <c r="U14">
        <f t="shared" si="3"/>
        <v>10462</v>
      </c>
      <c r="V14">
        <f t="shared" si="4"/>
        <v>10490</v>
      </c>
      <c r="W14">
        <f t="shared" si="5"/>
        <v>10497</v>
      </c>
      <c r="X14">
        <f t="shared" si="6"/>
        <v>10339</v>
      </c>
      <c r="Y14">
        <f t="shared" si="7"/>
        <v>10288</v>
      </c>
      <c r="Z14">
        <f t="shared" si="8"/>
        <v>9821</v>
      </c>
      <c r="AA14">
        <f t="shared" si="9"/>
        <v>10445</v>
      </c>
      <c r="AB14">
        <f t="shared" si="10"/>
        <v>11013</v>
      </c>
      <c r="AC14">
        <f t="shared" si="11"/>
        <v>10965</v>
      </c>
      <c r="AR14" s="429"/>
      <c r="BB14" s="398"/>
    </row>
    <row r="15" spans="1:60">
      <c r="A15" s="383"/>
      <c r="B15" t="str">
        <f>+'q1'!$A$38</f>
        <v>I</v>
      </c>
      <c r="C15" t="str">
        <f>+'q1'!$B$38</f>
        <v>Alojamento, restauração e sim.</v>
      </c>
      <c r="D15">
        <f>+'q1'!$C$38</f>
        <v>31162</v>
      </c>
      <c r="E15">
        <f>+'q1'!$D$38</f>
        <v>32218</v>
      </c>
      <c r="F15">
        <f>+'q1'!$E$38</f>
        <v>33270</v>
      </c>
      <c r="G15">
        <f>+'q1'!$F$38</f>
        <v>34159</v>
      </c>
      <c r="H15">
        <f>+'q1'!$G$38</f>
        <v>34949</v>
      </c>
      <c r="I15">
        <f>+'q1'!$H$38</f>
        <v>33798</v>
      </c>
      <c r="J15">
        <f>+'q1'!$I$38</f>
        <v>33300</v>
      </c>
      <c r="K15">
        <f>+'q1'!$J$38</f>
        <v>32645</v>
      </c>
      <c r="L15">
        <f>+'q1'!$K$38</f>
        <v>34416</v>
      </c>
      <c r="M15">
        <f>+'q1'!$L$38</f>
        <v>35628</v>
      </c>
      <c r="N15">
        <f>+'q1'!$M$38</f>
        <v>35543</v>
      </c>
      <c r="R15" t="str">
        <f t="shared" si="12"/>
        <v>I</v>
      </c>
      <c r="S15">
        <f t="shared" si="13"/>
        <v>31162</v>
      </c>
      <c r="T15">
        <f t="shared" si="2"/>
        <v>32218</v>
      </c>
      <c r="U15">
        <f t="shared" si="3"/>
        <v>33270</v>
      </c>
      <c r="V15">
        <f t="shared" si="4"/>
        <v>34159</v>
      </c>
      <c r="W15">
        <f t="shared" si="5"/>
        <v>34949</v>
      </c>
      <c r="X15">
        <f t="shared" si="6"/>
        <v>33798</v>
      </c>
      <c r="Y15">
        <f t="shared" si="7"/>
        <v>33300</v>
      </c>
      <c r="Z15">
        <f t="shared" si="8"/>
        <v>32645</v>
      </c>
      <c r="AA15">
        <f t="shared" si="9"/>
        <v>34416</v>
      </c>
      <c r="AB15">
        <f t="shared" si="10"/>
        <v>35628</v>
      </c>
      <c r="AC15">
        <f t="shared" si="11"/>
        <v>35543</v>
      </c>
      <c r="BB15" s="398"/>
    </row>
    <row r="16" spans="1:60">
      <c r="A16" s="383"/>
      <c r="B16" t="str">
        <f>+'q1'!$A$39</f>
        <v>J</v>
      </c>
      <c r="C16" t="str">
        <f>+'q1'!$B$39</f>
        <v xml:space="preserve">Ativ. Inform. e de comunicação </v>
      </c>
      <c r="D16">
        <f>+'q1'!$C$39</f>
        <v>4637</v>
      </c>
      <c r="E16">
        <f>+'q1'!$D$39</f>
        <v>4749</v>
      </c>
      <c r="F16">
        <f>+'q1'!$E$39</f>
        <v>4883</v>
      </c>
      <c r="G16">
        <f>+'q1'!$F$39</f>
        <v>5130</v>
      </c>
      <c r="H16">
        <f>+'q1'!$G$39</f>
        <v>5304</v>
      </c>
      <c r="I16">
        <f>+'q1'!$H$39</f>
        <v>5356</v>
      </c>
      <c r="J16">
        <f>+'q1'!$I$39</f>
        <v>5633</v>
      </c>
      <c r="K16">
        <f>+'q1'!$J$39</f>
        <v>5723</v>
      </c>
      <c r="L16">
        <f>+'q1'!$K$39</f>
        <v>6314</v>
      </c>
      <c r="M16">
        <f>+'q1'!$L$39</f>
        <v>6698</v>
      </c>
      <c r="N16">
        <f>+'q1'!$M$39</f>
        <v>6857</v>
      </c>
      <c r="R16" t="str">
        <f t="shared" si="12"/>
        <v>J</v>
      </c>
      <c r="S16">
        <f t="shared" si="13"/>
        <v>4637</v>
      </c>
      <c r="T16">
        <f t="shared" si="2"/>
        <v>4749</v>
      </c>
      <c r="U16">
        <f t="shared" si="3"/>
        <v>4883</v>
      </c>
      <c r="V16">
        <f t="shared" si="4"/>
        <v>5130</v>
      </c>
      <c r="W16">
        <f t="shared" si="5"/>
        <v>5304</v>
      </c>
      <c r="X16">
        <f t="shared" si="6"/>
        <v>5356</v>
      </c>
      <c r="Y16">
        <f t="shared" si="7"/>
        <v>5633</v>
      </c>
      <c r="Z16">
        <f t="shared" si="8"/>
        <v>5723</v>
      </c>
      <c r="AA16">
        <f t="shared" si="9"/>
        <v>6314</v>
      </c>
      <c r="AB16">
        <f t="shared" si="10"/>
        <v>6698</v>
      </c>
      <c r="AC16">
        <f t="shared" si="11"/>
        <v>6857</v>
      </c>
    </row>
    <row r="17" spans="1:54">
      <c r="A17" s="383"/>
      <c r="B17" t="str">
        <f>+'q1'!$A$40</f>
        <v>K</v>
      </c>
      <c r="C17" t="str">
        <f>+'q1'!$B$40</f>
        <v>Ativ. financeiras e de seguros</v>
      </c>
      <c r="D17">
        <f>+'q1'!$C$40</f>
        <v>3675</v>
      </c>
      <c r="E17">
        <f>+'q1'!$D$40</f>
        <v>3674</v>
      </c>
      <c r="F17">
        <f>+'q1'!$E$40</f>
        <v>3659</v>
      </c>
      <c r="G17">
        <f>+'q1'!$F$40</f>
        <v>3692</v>
      </c>
      <c r="H17">
        <f>+'q1'!$G$40</f>
        <v>3685</v>
      </c>
      <c r="I17">
        <f>+'q1'!$H$40</f>
        <v>3647</v>
      </c>
      <c r="J17">
        <f>+'q1'!$I$40</f>
        <v>3710</v>
      </c>
      <c r="K17">
        <f>+'q1'!$J$40</f>
        <v>3599</v>
      </c>
      <c r="L17">
        <f>+'q1'!$K$40</f>
        <v>3755</v>
      </c>
      <c r="M17">
        <f>+'q1'!$L$40</f>
        <v>3781</v>
      </c>
      <c r="N17">
        <f>+'q1'!$M$40</f>
        <v>3799</v>
      </c>
      <c r="R17" t="str">
        <f t="shared" si="12"/>
        <v>K</v>
      </c>
      <c r="S17">
        <f t="shared" si="13"/>
        <v>3675</v>
      </c>
      <c r="T17">
        <f t="shared" si="2"/>
        <v>3674</v>
      </c>
      <c r="U17">
        <f t="shared" si="3"/>
        <v>3659</v>
      </c>
      <c r="V17">
        <f t="shared" si="4"/>
        <v>3692</v>
      </c>
      <c r="W17">
        <f t="shared" si="5"/>
        <v>3685</v>
      </c>
      <c r="X17">
        <f t="shared" si="6"/>
        <v>3647</v>
      </c>
      <c r="Y17">
        <f t="shared" si="7"/>
        <v>3710</v>
      </c>
      <c r="Z17">
        <f t="shared" si="8"/>
        <v>3599</v>
      </c>
      <c r="AA17">
        <f t="shared" si="9"/>
        <v>3755</v>
      </c>
      <c r="AB17">
        <f t="shared" si="10"/>
        <v>3781</v>
      </c>
      <c r="AC17">
        <f t="shared" si="11"/>
        <v>3799</v>
      </c>
      <c r="BB17" s="398"/>
    </row>
    <row r="18" spans="1:54">
      <c r="A18" s="383"/>
      <c r="B18" t="str">
        <f>+'q1'!$A$41</f>
        <v>L</v>
      </c>
      <c r="C18" t="str">
        <f>+'q1'!$B$41</f>
        <v>Atividades imobiliárias</v>
      </c>
      <c r="D18">
        <f>+'q1'!$C$41</f>
        <v>6325</v>
      </c>
      <c r="E18">
        <f>+'q1'!$D$41</f>
        <v>6641</v>
      </c>
      <c r="F18">
        <f>+'q1'!$E$41</f>
        <v>7069</v>
      </c>
      <c r="G18">
        <f>+'q1'!$F$41</f>
        <v>7649</v>
      </c>
      <c r="H18">
        <f>+'q1'!$G$41</f>
        <v>8416</v>
      </c>
      <c r="I18">
        <f>+'q1'!$H$41</f>
        <v>8804</v>
      </c>
      <c r="J18">
        <f>+'q1'!$I$41</f>
        <v>9411</v>
      </c>
      <c r="K18">
        <f>+'q1'!$J$41</f>
        <v>9635</v>
      </c>
      <c r="L18">
        <f>+'q1'!$K$41</f>
        <v>10313</v>
      </c>
      <c r="M18">
        <f>+'q1'!$L$41</f>
        <v>11022</v>
      </c>
      <c r="N18">
        <f>+'q1'!$M$41</f>
        <v>11090</v>
      </c>
      <c r="R18" t="str">
        <f t="shared" si="12"/>
        <v>L</v>
      </c>
      <c r="S18">
        <f t="shared" si="13"/>
        <v>6325</v>
      </c>
      <c r="T18">
        <f t="shared" si="2"/>
        <v>6641</v>
      </c>
      <c r="U18">
        <f t="shared" si="3"/>
        <v>7069</v>
      </c>
      <c r="V18">
        <f t="shared" si="4"/>
        <v>7649</v>
      </c>
      <c r="W18">
        <f t="shared" si="5"/>
        <v>8416</v>
      </c>
      <c r="X18">
        <f t="shared" si="6"/>
        <v>8804</v>
      </c>
      <c r="Y18">
        <f t="shared" si="7"/>
        <v>9411</v>
      </c>
      <c r="Z18">
        <f t="shared" si="8"/>
        <v>9635</v>
      </c>
      <c r="AA18">
        <f t="shared" si="9"/>
        <v>10313</v>
      </c>
      <c r="AB18">
        <f t="shared" si="10"/>
        <v>11022</v>
      </c>
      <c r="AC18">
        <f t="shared" si="11"/>
        <v>11090</v>
      </c>
    </row>
    <row r="19" spans="1:54">
      <c r="A19" s="383"/>
      <c r="B19" t="str">
        <f>+'q1'!$A$42</f>
        <v>M</v>
      </c>
      <c r="C19" t="str">
        <f>+'q1'!$B$42</f>
        <v>Ativ. consultoria, cient.,téc. e sim.</v>
      </c>
      <c r="D19">
        <f>+'q1'!$C$42</f>
        <v>21426</v>
      </c>
      <c r="E19">
        <f>+'q1'!$D$42</f>
        <v>21717</v>
      </c>
      <c r="F19">
        <f>+'q1'!$E$42</f>
        <v>22039</v>
      </c>
      <c r="G19">
        <f>+'q1'!$F$42</f>
        <v>22524</v>
      </c>
      <c r="H19">
        <f>+'q1'!$G$42</f>
        <v>23187</v>
      </c>
      <c r="I19">
        <f>+'q1'!$H$42</f>
        <v>22977</v>
      </c>
      <c r="J19">
        <f>+'q1'!$I$42</f>
        <v>23504</v>
      </c>
      <c r="K19">
        <f>+'q1'!$J$42</f>
        <v>23335</v>
      </c>
      <c r="L19">
        <f>+'q1'!$K$42</f>
        <v>24442</v>
      </c>
      <c r="M19">
        <f>+'q1'!$L$42</f>
        <v>25202</v>
      </c>
      <c r="N19">
        <f>+'q1'!$M$42</f>
        <v>25302</v>
      </c>
      <c r="R19" t="str">
        <f t="shared" si="12"/>
        <v>M</v>
      </c>
      <c r="S19">
        <f t="shared" si="13"/>
        <v>21426</v>
      </c>
      <c r="T19">
        <f t="shared" si="2"/>
        <v>21717</v>
      </c>
      <c r="U19">
        <f t="shared" si="3"/>
        <v>22039</v>
      </c>
      <c r="V19">
        <f t="shared" si="4"/>
        <v>22524</v>
      </c>
      <c r="W19">
        <f t="shared" si="5"/>
        <v>23187</v>
      </c>
      <c r="X19">
        <f t="shared" si="6"/>
        <v>22977</v>
      </c>
      <c r="Y19">
        <f t="shared" si="7"/>
        <v>23504</v>
      </c>
      <c r="Z19">
        <f t="shared" si="8"/>
        <v>23335</v>
      </c>
      <c r="AA19">
        <f t="shared" si="9"/>
        <v>24442</v>
      </c>
      <c r="AB19">
        <f t="shared" si="10"/>
        <v>25202</v>
      </c>
      <c r="AC19">
        <f t="shared" si="11"/>
        <v>25302</v>
      </c>
    </row>
    <row r="20" spans="1:54">
      <c r="A20" s="383"/>
      <c r="B20" t="str">
        <f>+'q1'!$A$43</f>
        <v>N</v>
      </c>
      <c r="C20" t="str">
        <f>+'q1'!$B$43</f>
        <v>Ativ. Adm. e serviços de apoio</v>
      </c>
      <c r="D20">
        <f>+'q1'!$C$43</f>
        <v>7438</v>
      </c>
      <c r="E20">
        <f>+'q1'!$D$43</f>
        <v>7568</v>
      </c>
      <c r="F20">
        <f>+'q1'!$E$43</f>
        <v>7855</v>
      </c>
      <c r="G20">
        <f>+'q1'!$F$43</f>
        <v>7959</v>
      </c>
      <c r="H20">
        <f>+'q1'!$G$43</f>
        <v>7811</v>
      </c>
      <c r="I20">
        <f>+'q1'!$H$43</f>
        <v>7970</v>
      </c>
      <c r="J20">
        <f>+'q1'!$I$43</f>
        <v>8005</v>
      </c>
      <c r="K20">
        <f>+'q1'!$J$43</f>
        <v>7640</v>
      </c>
      <c r="L20">
        <f>+'q1'!$K$43</f>
        <v>8560</v>
      </c>
      <c r="M20">
        <f>+'q1'!$L$43</f>
        <v>8903</v>
      </c>
      <c r="N20">
        <f>+'q1'!$M$43</f>
        <v>9033</v>
      </c>
      <c r="R20" t="str">
        <f t="shared" si="12"/>
        <v>N</v>
      </c>
      <c r="S20">
        <f t="shared" si="13"/>
        <v>7438</v>
      </c>
      <c r="T20">
        <f t="shared" si="2"/>
        <v>7568</v>
      </c>
      <c r="U20">
        <f t="shared" si="3"/>
        <v>7855</v>
      </c>
      <c r="V20">
        <f t="shared" si="4"/>
        <v>7959</v>
      </c>
      <c r="W20">
        <f t="shared" si="5"/>
        <v>7811</v>
      </c>
      <c r="X20">
        <f t="shared" si="6"/>
        <v>7970</v>
      </c>
      <c r="Y20">
        <f t="shared" si="7"/>
        <v>8005</v>
      </c>
      <c r="Z20">
        <f t="shared" si="8"/>
        <v>7640</v>
      </c>
      <c r="AA20">
        <f t="shared" si="9"/>
        <v>8560</v>
      </c>
      <c r="AB20">
        <f t="shared" si="10"/>
        <v>8903</v>
      </c>
      <c r="AC20">
        <f t="shared" si="11"/>
        <v>9033</v>
      </c>
    </row>
    <row r="21" spans="1:54">
      <c r="A21" s="383"/>
      <c r="B21" t="str">
        <f>+'q1'!$A$44</f>
        <v>O</v>
      </c>
      <c r="C21" t="str">
        <f>+'q1'!$B$44</f>
        <v xml:space="preserve">Adm. Púb. e defesa; seg. social </v>
      </c>
      <c r="D21">
        <f>+'q1'!$C$44</f>
        <v>599</v>
      </c>
      <c r="E21">
        <f>+'q1'!$D$44</f>
        <v>596</v>
      </c>
      <c r="F21">
        <f>+'q1'!$E$44</f>
        <v>560</v>
      </c>
      <c r="G21">
        <f>+'q1'!$F$44</f>
        <v>559</v>
      </c>
      <c r="H21">
        <f>+'q1'!$G$44</f>
        <v>564</v>
      </c>
      <c r="I21">
        <f>+'q1'!$H$44</f>
        <v>546</v>
      </c>
      <c r="J21">
        <f>+'q1'!$I$44</f>
        <v>558</v>
      </c>
      <c r="K21">
        <f>+'q1'!$J$44</f>
        <v>517</v>
      </c>
      <c r="L21">
        <f>+'q1'!$K$44</f>
        <v>520</v>
      </c>
      <c r="M21">
        <f>+'q1'!$L$44</f>
        <v>534</v>
      </c>
      <c r="N21">
        <f>+'q1'!$M$44</f>
        <v>553</v>
      </c>
      <c r="R21" t="str">
        <f t="shared" si="12"/>
        <v>O</v>
      </c>
      <c r="S21">
        <f t="shared" si="13"/>
        <v>599</v>
      </c>
      <c r="T21">
        <f t="shared" si="2"/>
        <v>596</v>
      </c>
      <c r="U21">
        <f t="shared" si="3"/>
        <v>560</v>
      </c>
      <c r="V21">
        <f t="shared" si="4"/>
        <v>559</v>
      </c>
      <c r="W21">
        <f t="shared" si="5"/>
        <v>564</v>
      </c>
      <c r="X21">
        <f t="shared" si="6"/>
        <v>546</v>
      </c>
      <c r="Y21">
        <f t="shared" si="7"/>
        <v>558</v>
      </c>
      <c r="Z21">
        <f t="shared" si="8"/>
        <v>517</v>
      </c>
      <c r="AA21">
        <f t="shared" si="9"/>
        <v>520</v>
      </c>
      <c r="AB21">
        <f t="shared" si="10"/>
        <v>534</v>
      </c>
      <c r="AC21">
        <f t="shared" si="11"/>
        <v>553</v>
      </c>
    </row>
    <row r="22" spans="1:54">
      <c r="A22" s="383"/>
      <c r="B22" t="str">
        <f>+'q1'!$A$45</f>
        <v>P</v>
      </c>
      <c r="C22" t="str">
        <f>+'q1'!$B$45</f>
        <v>Educação</v>
      </c>
      <c r="D22">
        <f>+'q1'!$C$45</f>
        <v>3802</v>
      </c>
      <c r="E22">
        <f>+'q1'!$D$45</f>
        <v>3857</v>
      </c>
      <c r="F22">
        <f>+'q1'!$E$45</f>
        <v>3829</v>
      </c>
      <c r="G22">
        <f>+'q1'!$F$45</f>
        <v>3817</v>
      </c>
      <c r="H22">
        <f>+'q1'!$G$45</f>
        <v>3764</v>
      </c>
      <c r="I22">
        <f>+'q1'!$H$45</f>
        <v>3671</v>
      </c>
      <c r="J22">
        <f>+'q1'!$I$45</f>
        <v>3680</v>
      </c>
      <c r="K22">
        <f>+'q1'!$J$45</f>
        <v>3577</v>
      </c>
      <c r="L22">
        <f>+'q1'!$K$45</f>
        <v>3747</v>
      </c>
      <c r="M22">
        <f>+'q1'!$L$45</f>
        <v>3850</v>
      </c>
      <c r="N22">
        <f>+'q1'!$M$45</f>
        <v>3912</v>
      </c>
      <c r="R22" t="str">
        <f t="shared" si="12"/>
        <v>P</v>
      </c>
      <c r="S22">
        <f t="shared" si="13"/>
        <v>3802</v>
      </c>
      <c r="T22">
        <f t="shared" si="2"/>
        <v>3857</v>
      </c>
      <c r="U22">
        <f t="shared" si="3"/>
        <v>3829</v>
      </c>
      <c r="V22">
        <f t="shared" si="4"/>
        <v>3817</v>
      </c>
      <c r="W22">
        <f t="shared" si="5"/>
        <v>3764</v>
      </c>
      <c r="X22">
        <f t="shared" si="6"/>
        <v>3671</v>
      </c>
      <c r="Y22">
        <f t="shared" si="7"/>
        <v>3680</v>
      </c>
      <c r="Z22">
        <f t="shared" si="8"/>
        <v>3577</v>
      </c>
      <c r="AA22">
        <f t="shared" si="9"/>
        <v>3747</v>
      </c>
      <c r="AB22">
        <f t="shared" si="10"/>
        <v>3850</v>
      </c>
      <c r="AC22">
        <f t="shared" si="11"/>
        <v>3912</v>
      </c>
    </row>
    <row r="23" spans="1:54">
      <c r="A23" s="383"/>
      <c r="B23" t="str">
        <f>+'q1'!$A$46</f>
        <v>Q</v>
      </c>
      <c r="C23" t="str">
        <f>+'q1'!$B$46</f>
        <v>Ativ. saúde humana e apoio social</v>
      </c>
      <c r="D23">
        <f>+'q1'!$C$46</f>
        <v>14787</v>
      </c>
      <c r="E23">
        <f>+'q1'!$D$46</f>
        <v>15110</v>
      </c>
      <c r="F23">
        <f>+'q1'!$E$46</f>
        <v>15253</v>
      </c>
      <c r="G23">
        <f>+'q1'!$F$46</f>
        <v>15453</v>
      </c>
      <c r="H23">
        <f>+'q1'!$G$46</f>
        <v>15499</v>
      </c>
      <c r="I23">
        <f>+'q1'!$H$46</f>
        <v>15300</v>
      </c>
      <c r="J23">
        <f>+'q1'!$I$46</f>
        <v>15658</v>
      </c>
      <c r="K23">
        <f>+'q1'!$J$46</f>
        <v>15268</v>
      </c>
      <c r="L23">
        <f>+'q1'!$K$46</f>
        <v>16093</v>
      </c>
      <c r="M23">
        <f>+'q1'!$L$46</f>
        <v>16702</v>
      </c>
      <c r="N23">
        <f>+'q1'!$M$46</f>
        <v>16778</v>
      </c>
      <c r="R23" t="str">
        <f t="shared" si="12"/>
        <v>Q</v>
      </c>
      <c r="S23">
        <f t="shared" si="13"/>
        <v>14787</v>
      </c>
      <c r="T23">
        <f t="shared" ref="T23:T26" si="14">IF($Q$3=1, VLOOKUP($R$7:$R$26,$B$6:$N$26,COLUMN(E23)-1,0),VLOOKUP($R$7:$R$26,$B$31:$N$50,COLUMN(E23)-1,0))</f>
        <v>15110</v>
      </c>
      <c r="U23">
        <f t="shared" si="3"/>
        <v>15253</v>
      </c>
      <c r="V23">
        <f t="shared" si="4"/>
        <v>15453</v>
      </c>
      <c r="W23">
        <f t="shared" si="5"/>
        <v>15499</v>
      </c>
      <c r="X23">
        <f t="shared" si="6"/>
        <v>15300</v>
      </c>
      <c r="Y23">
        <f t="shared" si="7"/>
        <v>15658</v>
      </c>
      <c r="Z23">
        <f t="shared" si="8"/>
        <v>15268</v>
      </c>
      <c r="AA23">
        <f t="shared" si="9"/>
        <v>16093</v>
      </c>
      <c r="AB23">
        <f t="shared" si="10"/>
        <v>16702</v>
      </c>
      <c r="AC23">
        <f t="shared" si="11"/>
        <v>16778</v>
      </c>
    </row>
    <row r="24" spans="1:54">
      <c r="A24" s="383"/>
      <c r="B24" t="str">
        <f>+'q1'!$A$47</f>
        <v>R</v>
      </c>
      <c r="C24" t="str">
        <f>+'q1'!$B$47</f>
        <v>Ativ. artíst., espet., desp. e recr.</v>
      </c>
      <c r="D24">
        <f>+'q1'!$C$47</f>
        <v>3087</v>
      </c>
      <c r="E24">
        <f>+'q1'!$D$47</f>
        <v>3213</v>
      </c>
      <c r="F24">
        <f>+'q1'!$E$47</f>
        <v>3351</v>
      </c>
      <c r="G24">
        <f>+'q1'!$F$47</f>
        <v>3605</v>
      </c>
      <c r="H24">
        <f>+'q1'!$G$47</f>
        <v>3886</v>
      </c>
      <c r="I24">
        <f>+'q1'!$H$47</f>
        <v>3917</v>
      </c>
      <c r="J24">
        <f>+'q1'!$I$47</f>
        <v>3922</v>
      </c>
      <c r="K24">
        <f>+'q1'!$J$47</f>
        <v>3932</v>
      </c>
      <c r="L24">
        <f>+'q1'!$K$47</f>
        <v>4293</v>
      </c>
      <c r="M24">
        <f>+'q1'!$L$47</f>
        <v>4544</v>
      </c>
      <c r="N24">
        <f>+'q1'!$M$47</f>
        <v>4657</v>
      </c>
      <c r="R24" t="str">
        <f t="shared" si="12"/>
        <v>R</v>
      </c>
      <c r="S24">
        <f t="shared" si="13"/>
        <v>3087</v>
      </c>
      <c r="T24">
        <f t="shared" si="14"/>
        <v>3213</v>
      </c>
      <c r="U24">
        <f t="shared" si="3"/>
        <v>3351</v>
      </c>
      <c r="V24">
        <f t="shared" si="4"/>
        <v>3605</v>
      </c>
      <c r="W24">
        <f t="shared" si="5"/>
        <v>3886</v>
      </c>
      <c r="X24">
        <f t="shared" si="6"/>
        <v>3917</v>
      </c>
      <c r="Y24">
        <f t="shared" si="7"/>
        <v>3922</v>
      </c>
      <c r="Z24">
        <f t="shared" si="8"/>
        <v>3932</v>
      </c>
      <c r="AA24">
        <f t="shared" si="9"/>
        <v>4293</v>
      </c>
      <c r="AB24">
        <f t="shared" si="10"/>
        <v>4544</v>
      </c>
      <c r="AC24">
        <f t="shared" si="11"/>
        <v>4657</v>
      </c>
    </row>
    <row r="25" spans="1:54">
      <c r="A25" s="383"/>
      <c r="B25" t="str">
        <f>+'q1'!$A$48</f>
        <v>S</v>
      </c>
      <c r="C25" t="str">
        <f>+'q1'!$B$48</f>
        <v>Outras atividades de serviços</v>
      </c>
      <c r="D25">
        <f>+'q1'!$C$48</f>
        <v>13415</v>
      </c>
      <c r="E25">
        <f>+'q1'!$D$48</f>
        <v>13491</v>
      </c>
      <c r="F25">
        <f>+'q1'!$E$48</f>
        <v>13431</v>
      </c>
      <c r="G25">
        <f>+'q1'!$F$48</f>
        <v>13330</v>
      </c>
      <c r="H25">
        <f>+'q1'!$G$48</f>
        <v>13348</v>
      </c>
      <c r="I25">
        <f>+'q1'!$H$48</f>
        <v>12528</v>
      </c>
      <c r="J25">
        <f>+'q1'!$I$48</f>
        <v>12260</v>
      </c>
      <c r="K25">
        <f>+'q1'!$J$48</f>
        <v>11606</v>
      </c>
      <c r="L25">
        <f>+'q1'!$K$48</f>
        <v>12060</v>
      </c>
      <c r="M25">
        <f>+'q1'!$L$48</f>
        <v>11864</v>
      </c>
      <c r="N25">
        <f>+'q1'!$M$48</f>
        <v>11458</v>
      </c>
      <c r="R25" t="str">
        <f t="shared" si="12"/>
        <v>S</v>
      </c>
      <c r="S25">
        <f t="shared" si="13"/>
        <v>13415</v>
      </c>
      <c r="T25">
        <f t="shared" si="14"/>
        <v>13491</v>
      </c>
      <c r="U25">
        <f t="shared" si="3"/>
        <v>13431</v>
      </c>
      <c r="V25">
        <f t="shared" si="4"/>
        <v>13330</v>
      </c>
      <c r="W25">
        <f t="shared" si="5"/>
        <v>13348</v>
      </c>
      <c r="X25">
        <f t="shared" si="6"/>
        <v>12528</v>
      </c>
      <c r="Y25">
        <f t="shared" si="7"/>
        <v>12260</v>
      </c>
      <c r="Z25">
        <f t="shared" si="8"/>
        <v>11606</v>
      </c>
      <c r="AA25">
        <f t="shared" si="9"/>
        <v>12060</v>
      </c>
      <c r="AB25">
        <f t="shared" si="10"/>
        <v>11864</v>
      </c>
      <c r="AC25">
        <f t="shared" si="11"/>
        <v>11458</v>
      </c>
    </row>
    <row r="26" spans="1:54">
      <c r="A26" s="383"/>
      <c r="B26" t="str">
        <f>+'q1'!$A$49</f>
        <v>U</v>
      </c>
      <c r="C26" t="str">
        <f>+'q1'!$B$49</f>
        <v>Ativ. org. int. e o. inst. extra-territ.</v>
      </c>
      <c r="D26">
        <f>+'q1'!$C$49</f>
        <v>15</v>
      </c>
      <c r="E26">
        <f>+'q1'!$D$49</f>
        <v>13</v>
      </c>
      <c r="F26">
        <f>+'q1'!$E$49</f>
        <v>16</v>
      </c>
      <c r="G26">
        <f>+'q1'!$F$49</f>
        <v>13</v>
      </c>
      <c r="H26">
        <f>+'q1'!$G$49</f>
        <v>14</v>
      </c>
      <c r="I26">
        <f>+'q1'!$H$49</f>
        <v>15</v>
      </c>
      <c r="J26">
        <f>+'q1'!$I$49</f>
        <v>17</v>
      </c>
      <c r="K26">
        <f>+'q1'!$J$49</f>
        <v>16</v>
      </c>
      <c r="L26">
        <f>+'q1'!$K$49</f>
        <v>15</v>
      </c>
      <c r="M26">
        <f>+'q1'!$L$49</f>
        <v>16</v>
      </c>
      <c r="N26">
        <f>+'q1'!$M$49</f>
        <v>18</v>
      </c>
      <c r="R26" t="str">
        <f t="shared" si="12"/>
        <v>U</v>
      </c>
      <c r="S26">
        <f t="shared" si="13"/>
        <v>15</v>
      </c>
      <c r="T26">
        <f t="shared" si="14"/>
        <v>13</v>
      </c>
      <c r="U26">
        <f t="shared" si="3"/>
        <v>16</v>
      </c>
      <c r="V26">
        <f t="shared" si="4"/>
        <v>13</v>
      </c>
      <c r="W26">
        <f t="shared" si="5"/>
        <v>14</v>
      </c>
      <c r="X26">
        <f t="shared" si="6"/>
        <v>15</v>
      </c>
      <c r="Y26">
        <f t="shared" si="7"/>
        <v>17</v>
      </c>
      <c r="Z26">
        <f t="shared" si="8"/>
        <v>16</v>
      </c>
      <c r="AA26">
        <f t="shared" si="9"/>
        <v>15</v>
      </c>
      <c r="AB26">
        <f t="shared" si="10"/>
        <v>16</v>
      </c>
      <c r="AC26">
        <f t="shared" si="11"/>
        <v>18</v>
      </c>
    </row>
    <row r="27" spans="1:54">
      <c r="A27" s="383"/>
      <c r="B27" s="383" t="s">
        <v>222</v>
      </c>
      <c r="C27" s="383"/>
      <c r="D27">
        <f>+'q2'!$B$6+'q2'!$B$7</f>
        <v>229780</v>
      </c>
      <c r="E27">
        <f>+'q2'!$C$6+'q2'!$C$7</f>
        <v>231213</v>
      </c>
      <c r="F27">
        <f>+'q2'!$D$6+'q2'!$D$7</f>
        <v>233164</v>
      </c>
      <c r="G27">
        <f>+'q2'!$E$6+'q2'!$E$7</f>
        <v>233903</v>
      </c>
      <c r="H27">
        <f>+'q2'!$F$6+'q2'!$F$7</f>
        <v>235072</v>
      </c>
      <c r="I27">
        <f>+'q2'!$G$6+'q2'!$G$7</f>
        <v>227861</v>
      </c>
      <c r="J27">
        <f>+'q2'!$H$6+'q2'!$H$7</f>
        <v>230234</v>
      </c>
      <c r="K27">
        <f>+'q2'!$I$6+'q2'!$I$7</f>
        <v>224289</v>
      </c>
      <c r="L27">
        <f>+'q2'!$J$6+'q2'!$J$7</f>
        <v>233788</v>
      </c>
      <c r="M27">
        <f>+'q2'!$K$6+'q2'!$K$7</f>
        <v>237708</v>
      </c>
      <c r="N27">
        <f>+'q2'!$L$6+'q2'!$L$7</f>
        <v>234618</v>
      </c>
    </row>
    <row r="28" spans="1:54">
      <c r="A28" s="383"/>
      <c r="B28" s="383" t="s">
        <v>225</v>
      </c>
      <c r="C28" s="383"/>
      <c r="D28">
        <f>+'q2'!$B$8+'q2'!$B$9</f>
        <v>33792</v>
      </c>
      <c r="E28">
        <f>+'q2'!$C$8+'q2'!$C$9</f>
        <v>34986</v>
      </c>
      <c r="F28">
        <f>+'q2'!$D$8+'q2'!$D$9</f>
        <v>35995</v>
      </c>
      <c r="G28">
        <f>+'q2'!$E$8+'q2'!$E$9</f>
        <v>37757</v>
      </c>
      <c r="H28">
        <f>+'q2'!$F$8+'q2'!$F$9</f>
        <v>39285</v>
      </c>
      <c r="I28">
        <f>+'q2'!$G$8+'q2'!$G$9</f>
        <v>39814</v>
      </c>
      <c r="J28">
        <f>+'q2'!$H$8+'q2'!$H$9</f>
        <v>39436</v>
      </c>
      <c r="K28">
        <f>+'q2'!$I$8+'q2'!$I$9</f>
        <v>39403</v>
      </c>
      <c r="L28">
        <f>+'q2'!$J$8+'q2'!$J$9</f>
        <v>42196</v>
      </c>
      <c r="M28">
        <f>+'q2'!$K$8+'q2'!$K$9</f>
        <v>44179</v>
      </c>
      <c r="N28">
        <f>+'q2'!$L$8+'q2'!$L$9</f>
        <v>44619</v>
      </c>
    </row>
    <row r="29" spans="1:54">
      <c r="A29" s="383"/>
      <c r="B29" s="383" t="s">
        <v>228</v>
      </c>
      <c r="C29" s="383"/>
      <c r="D29">
        <f>+'q2'!$B$10+'q2'!$B$11+'q2'!$B$12+'q2'!$B$13</f>
        <v>5763</v>
      </c>
      <c r="E29">
        <f>+'q2'!$C$10+'q2'!$C$11+'q2'!$C$12+'q2'!$C$13</f>
        <v>5976</v>
      </c>
      <c r="F29">
        <f>+'q2'!$D$10+'q2'!$D$11+'q2'!$D$12+'q2'!$D$13</f>
        <v>6231</v>
      </c>
      <c r="G29">
        <f>+'q2'!$E$10+'q2'!$E$11+'q2'!$E$12+'q2'!$E$13</f>
        <v>6533</v>
      </c>
      <c r="H29">
        <f>+'q2'!$F$10+'q2'!$F$11+'q2'!$F$12+'q2'!$F$13</f>
        <v>6824</v>
      </c>
      <c r="I29">
        <f>+'q2'!$G$10+'q2'!$G$11+'q2'!$G$12+'q2'!$G$13</f>
        <v>6978</v>
      </c>
      <c r="J29">
        <f>+'q2'!$H$10+'q2'!$H$11+'q2'!$H$12+'q2'!$H$13</f>
        <v>6898</v>
      </c>
      <c r="K29">
        <f>+'q2'!$I$10+'q2'!$I$11+'q2'!$I$12+'q2'!$I$13</f>
        <v>7034</v>
      </c>
      <c r="L29">
        <f>+'q2'!$J$10+'q2'!$J$11+'q2'!$J$12+'q2'!$J$13</f>
        <v>7691</v>
      </c>
      <c r="M29">
        <f>+'q2'!$K$10+'q2'!$K$11+'q2'!$K$12+'q2'!$K$13</f>
        <v>8089</v>
      </c>
      <c r="N29">
        <f>+'q2'!$L$10+'q2'!$L$11+'q2'!$L$12+'q2'!$L$13</f>
        <v>8207</v>
      </c>
    </row>
    <row r="30" spans="1:54">
      <c r="A30" s="383"/>
      <c r="B30" s="383" t="s">
        <v>231</v>
      </c>
      <c r="C30" s="383"/>
      <c r="D30">
        <f>+'q2'!$B$14+'q2'!$B$15+'q2'!$B$16</f>
        <v>846</v>
      </c>
      <c r="E30">
        <f>+'q2'!$C$14+'q2'!$C$15+'q2'!$C$16</f>
        <v>885</v>
      </c>
      <c r="F30">
        <f>+'q2'!$D$14+'q2'!$D$15+'q2'!$D$16</f>
        <v>942</v>
      </c>
      <c r="G30">
        <f>+'q2'!$E$14+'q2'!$E$15+'q2'!$E$16</f>
        <v>998</v>
      </c>
      <c r="H30">
        <f>+'q2'!$F$14+'q2'!$F$15+'q2'!$F$16</f>
        <v>1055</v>
      </c>
      <c r="I30">
        <f>+'q2'!$G$14+'q2'!$G$15+'q2'!$G$16</f>
        <v>1098</v>
      </c>
      <c r="J30">
        <f>+'q2'!$H$14+'q2'!$H$15+'q2'!$H$16</f>
        <v>1073</v>
      </c>
      <c r="K30">
        <f>+'q2'!$I$14+'q2'!$I$15+'q2'!$I$16</f>
        <v>1080</v>
      </c>
      <c r="L30">
        <f>+'q2'!$J$14+'q2'!$J$15+'q2'!$J$16</f>
        <v>1185</v>
      </c>
      <c r="M30">
        <f>+'q2'!$K$14+'q2'!$K$15+'q2'!$K$16</f>
        <v>1276</v>
      </c>
      <c r="N30">
        <f>+'q2'!$L$14+'q2'!$L$15+'q2'!$L$16</f>
        <v>1319</v>
      </c>
      <c r="S30">
        <f>+S6</f>
        <v>2014</v>
      </c>
      <c r="T30">
        <f t="shared" ref="T30:AC30" si="15">+T6</f>
        <v>2015</v>
      </c>
      <c r="U30">
        <f t="shared" si="15"/>
        <v>2016</v>
      </c>
      <c r="V30">
        <f t="shared" si="15"/>
        <v>2017</v>
      </c>
      <c r="W30">
        <f t="shared" si="15"/>
        <v>2018</v>
      </c>
      <c r="X30">
        <f t="shared" si="15"/>
        <v>2019</v>
      </c>
      <c r="Y30">
        <f t="shared" si="15"/>
        <v>2020</v>
      </c>
      <c r="Z30">
        <f t="shared" si="15"/>
        <v>2021</v>
      </c>
      <c r="AA30">
        <f t="shared" si="15"/>
        <v>2022</v>
      </c>
      <c r="AB30">
        <f t="shared" si="15"/>
        <v>2023</v>
      </c>
      <c r="AC30">
        <f t="shared" si="15"/>
        <v>2024</v>
      </c>
    </row>
    <row r="31" spans="1:54">
      <c r="A31" s="383" t="s">
        <v>204</v>
      </c>
      <c r="B31" t="str">
        <f>+'q5'!$A$6</f>
        <v>A</v>
      </c>
      <c r="C31" t="str">
        <f>+'q5'!$B$6</f>
        <v>Agr., pr. animal, caça, flor. pesca</v>
      </c>
      <c r="D31">
        <f>+'q5'!$C$6</f>
        <v>13885</v>
      </c>
      <c r="E31">
        <f>+'q5'!$D$6</f>
        <v>14286</v>
      </c>
      <c r="F31">
        <f>+'q5'!$E$6</f>
        <v>14632</v>
      </c>
      <c r="G31">
        <f>+'q5'!$F$6</f>
        <v>14726</v>
      </c>
      <c r="H31">
        <f>+'q5'!$G$6</f>
        <v>14824</v>
      </c>
      <c r="I31">
        <f>+'q5'!$H$6</f>
        <v>14355</v>
      </c>
      <c r="J31">
        <f>+'q5'!$I$6</f>
        <v>14520</v>
      </c>
      <c r="K31">
        <f>+'q5'!$J$6</f>
        <v>14031</v>
      </c>
      <c r="L31">
        <f>+'q5'!$K$6</f>
        <v>14449</v>
      </c>
      <c r="M31">
        <f>+'q5'!$L$6</f>
        <v>14667</v>
      </c>
      <c r="N31">
        <f>+'q5'!$M$6</f>
        <v>14544</v>
      </c>
      <c r="Q31" t="str">
        <f>INDEX($A$2:$A$3,$Q$3)</f>
        <v>Empresas</v>
      </c>
      <c r="R31" s="383" t="str">
        <f>IF($Q$31="Empresas",$B27,$B51)</f>
        <v>Micro (1-9 pessoas)</v>
      </c>
      <c r="S31">
        <f>IF($Q$3=1,VLOOKUP($R$31:$R$34,$B$27:$N$30,COLUMN(D27)-1,0),VLOOKUP($R$31:$R$34,$B$51:$N$54,COLUMN(D27)-1,0))</f>
        <v>229780</v>
      </c>
      <c r="T31">
        <f t="shared" ref="T31:T34" si="16">IF($Q$3=1,VLOOKUP($R$31:$R$34,$B$27:$N$30,COLUMN(E27)-1,0),VLOOKUP($R$31:$R$34,$B$51:$N$54,COLUMN(E27)-1,0))</f>
        <v>231213</v>
      </c>
      <c r="U31">
        <f t="shared" ref="U31:AC34" si="17">IF($Q$3=1,VLOOKUP($R$31:$R$34,$B$27:$N$30,COLUMN(F27)-1,0),VLOOKUP($R$31:$R$34,$B$51:$N$54,COLUMN(F27)-1,0))</f>
        <v>233164</v>
      </c>
      <c r="V31">
        <f t="shared" si="17"/>
        <v>233903</v>
      </c>
      <c r="W31">
        <f t="shared" si="17"/>
        <v>235072</v>
      </c>
      <c r="X31">
        <f t="shared" si="17"/>
        <v>227861</v>
      </c>
      <c r="Y31">
        <f t="shared" si="17"/>
        <v>230234</v>
      </c>
      <c r="Z31">
        <f t="shared" si="17"/>
        <v>224289</v>
      </c>
      <c r="AA31">
        <f t="shared" si="17"/>
        <v>233788</v>
      </c>
      <c r="AB31">
        <f t="shared" si="17"/>
        <v>237708</v>
      </c>
      <c r="AC31">
        <f t="shared" si="17"/>
        <v>234618</v>
      </c>
    </row>
    <row r="32" spans="1:54">
      <c r="A32" s="383"/>
      <c r="B32" t="str">
        <f>+'q5'!$A$7</f>
        <v>B</v>
      </c>
      <c r="C32" t="str">
        <f>+'q5'!$B$7</f>
        <v>Indústrias extrativas</v>
      </c>
      <c r="D32">
        <f>+'q5'!$C$7</f>
        <v>765</v>
      </c>
      <c r="E32">
        <f>+'q5'!$D$7</f>
        <v>762</v>
      </c>
      <c r="F32">
        <f>+'q5'!$E$7</f>
        <v>737</v>
      </c>
      <c r="G32">
        <f>+'q5'!$F$7</f>
        <v>744</v>
      </c>
      <c r="H32">
        <f>+'q5'!$G$7</f>
        <v>728</v>
      </c>
      <c r="I32">
        <f>+'q5'!$H$7</f>
        <v>697</v>
      </c>
      <c r="J32">
        <f>+'q5'!$I$7</f>
        <v>684</v>
      </c>
      <c r="K32">
        <f>+'q5'!$J$7</f>
        <v>657</v>
      </c>
      <c r="L32">
        <f>+'q5'!$K$7</f>
        <v>665</v>
      </c>
      <c r="M32">
        <f>+'q5'!$L$7</f>
        <v>680</v>
      </c>
      <c r="N32">
        <f>+'q5'!$M$7</f>
        <v>647</v>
      </c>
      <c r="R32" s="383" t="str">
        <f t="shared" ref="R32:R34" si="18">IF($Q$31="Empresas",$B28,$B52)</f>
        <v>Pequenas (10 - 49 pessoas)</v>
      </c>
      <c r="S32">
        <f>IF($Q$3=1,VLOOKUP($R$31:$R$34,$B$27:$N$30,COLUMN(D28)-1,0),VLOOKUP($R$31:$R$34,$B$51:$N$54,COLUMN(D28)-1,0))</f>
        <v>33792</v>
      </c>
      <c r="T32">
        <f t="shared" si="16"/>
        <v>34986</v>
      </c>
      <c r="U32">
        <f t="shared" si="17"/>
        <v>35995</v>
      </c>
      <c r="V32">
        <f t="shared" si="17"/>
        <v>37757</v>
      </c>
      <c r="W32">
        <f t="shared" si="17"/>
        <v>39285</v>
      </c>
      <c r="X32">
        <f t="shared" si="17"/>
        <v>39814</v>
      </c>
      <c r="Y32">
        <f t="shared" si="17"/>
        <v>39436</v>
      </c>
      <c r="Z32">
        <f t="shared" si="17"/>
        <v>39403</v>
      </c>
      <c r="AA32">
        <f t="shared" si="17"/>
        <v>42196</v>
      </c>
      <c r="AB32">
        <f t="shared" si="17"/>
        <v>44179</v>
      </c>
      <c r="AC32">
        <f t="shared" si="17"/>
        <v>44619</v>
      </c>
    </row>
    <row r="33" spans="1:41">
      <c r="A33" s="383"/>
      <c r="B33" t="str">
        <f>+'q5'!$A$8</f>
        <v>C</v>
      </c>
      <c r="C33" t="str">
        <f>+'q5'!$B$8</f>
        <v>Indústrias transformadoras</v>
      </c>
      <c r="D33">
        <f>+'q5'!$C$8</f>
        <v>36167</v>
      </c>
      <c r="E33">
        <f>+'q5'!$D$8</f>
        <v>36172</v>
      </c>
      <c r="F33">
        <f>+'q5'!$E$8</f>
        <v>36485</v>
      </c>
      <c r="G33">
        <f>+'q5'!$F$8</f>
        <v>36402</v>
      </c>
      <c r="H33">
        <f>+'q5'!$G$8</f>
        <v>36243</v>
      </c>
      <c r="I33">
        <f>+'q5'!$H$8</f>
        <v>34835</v>
      </c>
      <c r="J33">
        <f>+'q5'!$I$8</f>
        <v>34676</v>
      </c>
      <c r="K33">
        <f>+'q5'!$J$8</f>
        <v>33711</v>
      </c>
      <c r="L33">
        <f>+'q5'!$K$8</f>
        <v>34690</v>
      </c>
      <c r="M33">
        <f>+'q5'!$L$8</f>
        <v>34549</v>
      </c>
      <c r="N33">
        <f>+'q5'!$M$8</f>
        <v>33564</v>
      </c>
      <c r="R33" s="383" t="str">
        <f t="shared" si="18"/>
        <v>Médias (50 - 249 pessoas)</v>
      </c>
      <c r="S33">
        <f>IF($Q$3=1,VLOOKUP($R$31:$R$34,$B$27:$N$30,COLUMN(D29)-1,0),VLOOKUP($R$31:$R$34,$B$51:$N$54,COLUMN(D29)-1,0))</f>
        <v>5763</v>
      </c>
      <c r="T33">
        <f t="shared" si="16"/>
        <v>5976</v>
      </c>
      <c r="U33">
        <f t="shared" si="17"/>
        <v>6231</v>
      </c>
      <c r="V33">
        <f t="shared" si="17"/>
        <v>6533</v>
      </c>
      <c r="W33">
        <f t="shared" si="17"/>
        <v>6824</v>
      </c>
      <c r="X33">
        <f t="shared" si="17"/>
        <v>6978</v>
      </c>
      <c r="Y33">
        <f t="shared" si="17"/>
        <v>6898</v>
      </c>
      <c r="Z33">
        <f t="shared" si="17"/>
        <v>7034</v>
      </c>
      <c r="AA33">
        <f t="shared" si="17"/>
        <v>7691</v>
      </c>
      <c r="AB33">
        <f t="shared" si="17"/>
        <v>8089</v>
      </c>
      <c r="AC33">
        <f t="shared" si="17"/>
        <v>8207</v>
      </c>
    </row>
    <row r="34" spans="1:41">
      <c r="A34" s="383"/>
      <c r="B34" t="str">
        <f>+'q5'!$A$33</f>
        <v>D</v>
      </c>
      <c r="C34" t="str">
        <f>+'q5'!$B$33</f>
        <v>Eletr., gás, ág. quente/fria e ar frio</v>
      </c>
      <c r="D34">
        <f>+'q5'!$C$33</f>
        <v>409</v>
      </c>
      <c r="E34">
        <f>+'q5'!$D$33</f>
        <v>429</v>
      </c>
      <c r="F34">
        <f>+'q5'!$E$33</f>
        <v>412</v>
      </c>
      <c r="G34">
        <f>+'q5'!$F$33</f>
        <v>403</v>
      </c>
      <c r="H34">
        <f>+'q5'!$G$33</f>
        <v>388</v>
      </c>
      <c r="I34">
        <f>+'q5'!$H$33</f>
        <v>385</v>
      </c>
      <c r="J34">
        <f>+'q5'!$I$33</f>
        <v>391</v>
      </c>
      <c r="K34">
        <f>+'q5'!$J$33</f>
        <v>387</v>
      </c>
      <c r="L34">
        <f>+'q5'!$K$33</f>
        <v>394</v>
      </c>
      <c r="M34">
        <f>+'q5'!$L$33</f>
        <v>418</v>
      </c>
      <c r="N34">
        <f>+'q5'!$M$33</f>
        <v>435</v>
      </c>
      <c r="R34" s="383" t="str">
        <f t="shared" si="18"/>
        <v>Grandes (250 ou + pessoas)</v>
      </c>
      <c r="S34">
        <f>IF($Q$3=1,VLOOKUP($R$31:$R$34,$B$27:$N$30,COLUMN(D30)-1,0),VLOOKUP($R$31:$R$34,$B$51:$N$54,COLUMN(D30)-1,0))</f>
        <v>846</v>
      </c>
      <c r="T34">
        <f t="shared" si="16"/>
        <v>885</v>
      </c>
      <c r="U34">
        <f t="shared" si="17"/>
        <v>942</v>
      </c>
      <c r="V34">
        <f t="shared" si="17"/>
        <v>998</v>
      </c>
      <c r="W34">
        <f t="shared" si="17"/>
        <v>1055</v>
      </c>
      <c r="X34">
        <f t="shared" si="17"/>
        <v>1098</v>
      </c>
      <c r="Y34">
        <f t="shared" si="17"/>
        <v>1073</v>
      </c>
      <c r="Z34">
        <f t="shared" si="17"/>
        <v>1080</v>
      </c>
      <c r="AA34">
        <f t="shared" si="17"/>
        <v>1185</v>
      </c>
      <c r="AB34">
        <f t="shared" si="17"/>
        <v>1276</v>
      </c>
      <c r="AC34">
        <f t="shared" si="17"/>
        <v>1319</v>
      </c>
    </row>
    <row r="35" spans="1:41">
      <c r="A35" s="383"/>
      <c r="B35" t="str">
        <f>+'q5'!$A$34</f>
        <v>E</v>
      </c>
      <c r="C35" t="str">
        <f>+'q5'!$B$34</f>
        <v>Capt., trat. e d. água; san., resíd.</v>
      </c>
      <c r="D35">
        <f>+'q5'!$C$34</f>
        <v>1146</v>
      </c>
      <c r="E35">
        <f>+'q5'!$D$34</f>
        <v>1088</v>
      </c>
      <c r="F35">
        <f>+'q5'!$E$34</f>
        <v>1094</v>
      </c>
      <c r="G35">
        <f>+'q5'!$F$34</f>
        <v>1101</v>
      </c>
      <c r="H35">
        <f>+'q5'!$G$34</f>
        <v>1095</v>
      </c>
      <c r="I35">
        <f>+'q5'!$H$34</f>
        <v>1141</v>
      </c>
      <c r="J35">
        <f>+'q5'!$I$34</f>
        <v>1231</v>
      </c>
      <c r="K35">
        <f>+'q5'!$J$34</f>
        <v>1253</v>
      </c>
      <c r="L35">
        <f>+'q5'!$K$34</f>
        <v>1259</v>
      </c>
      <c r="M35">
        <f>+'q5'!$L$34</f>
        <v>1262</v>
      </c>
      <c r="N35">
        <f>+'q5'!$M$34</f>
        <v>1250</v>
      </c>
    </row>
    <row r="36" spans="1:41">
      <c r="A36" s="383"/>
      <c r="B36" t="str">
        <f>+'q5'!$A$35</f>
        <v>F</v>
      </c>
      <c r="C36" t="str">
        <f>+'q5'!$B$35</f>
        <v>Construção</v>
      </c>
      <c r="D36">
        <f>+'q5'!$C$35</f>
        <v>28421</v>
      </c>
      <c r="E36">
        <f>+'q5'!$D$35</f>
        <v>28140</v>
      </c>
      <c r="F36">
        <f>+'q5'!$E$35</f>
        <v>28678</v>
      </c>
      <c r="G36">
        <f>+'q5'!$F$35</f>
        <v>29363</v>
      </c>
      <c r="H36">
        <f>+'q5'!$G$35</f>
        <v>30329</v>
      </c>
      <c r="I36">
        <f>+'q5'!$H$35</f>
        <v>30816</v>
      </c>
      <c r="J36">
        <f>+'q5'!$I$35</f>
        <v>32069</v>
      </c>
      <c r="K36">
        <f>+'q5'!$J$35</f>
        <v>32036</v>
      </c>
      <c r="L36">
        <f>+'q5'!$K$35</f>
        <v>34322</v>
      </c>
      <c r="M36">
        <f>+'q5'!$L$35</f>
        <v>35793</v>
      </c>
      <c r="N36">
        <f>+'q5'!$M$35</f>
        <v>36253</v>
      </c>
    </row>
    <row r="37" spans="1:41">
      <c r="A37" s="383"/>
      <c r="B37" t="str">
        <f>+'q5'!$A$36</f>
        <v>G</v>
      </c>
      <c r="C37" t="str">
        <f>+'q5'!$B$36</f>
        <v>Com. grosso e ret.; r.v.aut./moto.</v>
      </c>
      <c r="D37">
        <f>+'q5'!$C$36</f>
        <v>94440</v>
      </c>
      <c r="E37">
        <f>+'q5'!$D$36</f>
        <v>94937</v>
      </c>
      <c r="F37">
        <f>+'q5'!$E$36</f>
        <v>94933</v>
      </c>
      <c r="G37">
        <f>+'q5'!$F$36</f>
        <v>94292</v>
      </c>
      <c r="H37">
        <f>+'q5'!$G$36</f>
        <v>93805</v>
      </c>
      <c r="I37">
        <f>+'q5'!$H$36</f>
        <v>90517</v>
      </c>
      <c r="J37">
        <f>+'q5'!$I$36</f>
        <v>89750</v>
      </c>
      <c r="K37">
        <f>+'q5'!$J$36</f>
        <v>87838</v>
      </c>
      <c r="L37">
        <f>+'q5'!$K$36</f>
        <v>90136</v>
      </c>
      <c r="M37">
        <f>+'q5'!$L$36</f>
        <v>90639</v>
      </c>
      <c r="N37">
        <f>+'q5'!$M$36</f>
        <v>88516</v>
      </c>
    </row>
    <row r="38" spans="1:41">
      <c r="A38" s="383"/>
      <c r="B38" t="str">
        <f>+'q5'!$A$37</f>
        <v>H</v>
      </c>
      <c r="C38" t="str">
        <f>+'q5'!$B$37</f>
        <v>Transportes e armazenagem</v>
      </c>
      <c r="D38">
        <f>+'q5'!$C$37</f>
        <v>12572</v>
      </c>
      <c r="E38">
        <f>+'q5'!$D$37</f>
        <v>12496</v>
      </c>
      <c r="F38">
        <f>+'q5'!$E$37</f>
        <v>12468</v>
      </c>
      <c r="G38">
        <f>+'q5'!$F$37</f>
        <v>12539</v>
      </c>
      <c r="H38">
        <f>+'q5'!$G$37</f>
        <v>12486</v>
      </c>
      <c r="I38">
        <f>+'q5'!$H$37</f>
        <v>12253</v>
      </c>
      <c r="J38">
        <f>+'q5'!$I$37</f>
        <v>12258</v>
      </c>
      <c r="K38">
        <f>+'q5'!$J$37</f>
        <v>11760</v>
      </c>
      <c r="L38">
        <f>+'q5'!$K$37</f>
        <v>12360</v>
      </c>
      <c r="M38">
        <f>+'q5'!$L$37</f>
        <v>13020</v>
      </c>
      <c r="N38">
        <f>+'q5'!$M$37</f>
        <v>12933</v>
      </c>
    </row>
    <row r="39" spans="1:41">
      <c r="A39" s="383"/>
      <c r="B39" t="str">
        <f>+'q5'!$A$38</f>
        <v>I</v>
      </c>
      <c r="C39" t="str">
        <f>+'q5'!$B$38</f>
        <v>Alojamento, restauração e sim.</v>
      </c>
      <c r="D39">
        <f>+'q5'!$C$38</f>
        <v>34983</v>
      </c>
      <c r="E39">
        <f>+'q5'!$D$38</f>
        <v>36106</v>
      </c>
      <c r="F39">
        <f>+'q5'!$E$38</f>
        <v>37220</v>
      </c>
      <c r="G39">
        <f>+'q5'!$F$38</f>
        <v>38276</v>
      </c>
      <c r="H39">
        <f>+'q5'!$G$38</f>
        <v>39308</v>
      </c>
      <c r="I39">
        <f>+'q5'!$H$38</f>
        <v>38184</v>
      </c>
      <c r="J39">
        <f>+'q5'!$I$38</f>
        <v>37633</v>
      </c>
      <c r="K39">
        <f>+'q5'!$J$38</f>
        <v>36899</v>
      </c>
      <c r="L39">
        <f>+'q5'!$K$38</f>
        <v>39006</v>
      </c>
      <c r="M39">
        <f>+'q5'!$L$38</f>
        <v>40412</v>
      </c>
      <c r="N39">
        <f>+'q5'!$M$38</f>
        <v>40387</v>
      </c>
    </row>
    <row r="40" spans="1:41">
      <c r="A40" s="383"/>
      <c r="B40" t="str">
        <f>+'q5'!$A$39</f>
        <v>J</v>
      </c>
      <c r="C40" t="str">
        <f>+'q5'!$B$39</f>
        <v xml:space="preserve">Ativ. Inform. e de comunicação </v>
      </c>
      <c r="D40">
        <f>+'q5'!$C$39</f>
        <v>5434</v>
      </c>
      <c r="E40">
        <f>+'q5'!$D$39</f>
        <v>5478</v>
      </c>
      <c r="F40">
        <f>+'q5'!$E$39</f>
        <v>5601</v>
      </c>
      <c r="G40">
        <f>+'q5'!$F$39</f>
        <v>5842</v>
      </c>
      <c r="H40">
        <f>+'q5'!$G$39</f>
        <v>6025</v>
      </c>
      <c r="I40">
        <f>+'q5'!$H$39</f>
        <v>6100</v>
      </c>
      <c r="J40">
        <f>+'q5'!$I$39</f>
        <v>6379</v>
      </c>
      <c r="K40">
        <f>+'q5'!$J$39</f>
        <v>6485</v>
      </c>
      <c r="L40">
        <f>+'q5'!$K$39</f>
        <v>7163</v>
      </c>
      <c r="M40">
        <f>+'q5'!$L$39</f>
        <v>7620</v>
      </c>
      <c r="N40">
        <f>+'q5'!$M$39</f>
        <v>7794</v>
      </c>
    </row>
    <row r="41" spans="1:41">
      <c r="A41" s="383"/>
      <c r="B41" t="str">
        <f>+'q5'!$A$40</f>
        <v>K</v>
      </c>
      <c r="C41" t="str">
        <f>+'q5'!$B$40</f>
        <v>Ativ. financeiras e de seguros</v>
      </c>
      <c r="D41">
        <f>+'q5'!$C$40</f>
        <v>9931</v>
      </c>
      <c r="E41">
        <f>+'q5'!$D$40</f>
        <v>9555</v>
      </c>
      <c r="F41">
        <f>+'q5'!$E$40</f>
        <v>9207</v>
      </c>
      <c r="G41">
        <f>+'q5'!$F$40</f>
        <v>8732</v>
      </c>
      <c r="H41">
        <f>+'q5'!$G$40</f>
        <v>8475</v>
      </c>
      <c r="I41">
        <f>+'q5'!$H$40</f>
        <v>7752</v>
      </c>
      <c r="J41">
        <f>+'q5'!$I$40</f>
        <v>8108</v>
      </c>
      <c r="K41">
        <f>+'q5'!$J$40</f>
        <v>7672</v>
      </c>
      <c r="L41">
        <f>+'q5'!$K$40</f>
        <v>7674</v>
      </c>
      <c r="M41">
        <f>+'q5'!$L$40</f>
        <v>7715</v>
      </c>
      <c r="N41">
        <f>+'q5'!$M$40</f>
        <v>7712</v>
      </c>
      <c r="R41" s="384" t="s">
        <v>392</v>
      </c>
    </row>
    <row r="42" spans="1:41">
      <c r="A42" s="383"/>
      <c r="B42" t="str">
        <f>+'q5'!$A$41</f>
        <v>L</v>
      </c>
      <c r="C42" t="str">
        <f>+'q5'!$B$41</f>
        <v>Atividades imobiliárias</v>
      </c>
      <c r="D42">
        <f>+'q5'!$C$41</f>
        <v>6647</v>
      </c>
      <c r="E42">
        <f>+'q5'!$D$41</f>
        <v>6971</v>
      </c>
      <c r="F42">
        <f>+'q5'!$E$41</f>
        <v>7401</v>
      </c>
      <c r="G42">
        <f>+'q5'!$F$41</f>
        <v>8035</v>
      </c>
      <c r="H42">
        <f>+'q5'!$G$41</f>
        <v>8846</v>
      </c>
      <c r="I42">
        <f>+'q5'!$H$41</f>
        <v>9215</v>
      </c>
      <c r="J42">
        <f>+'q5'!$I$41</f>
        <v>9861</v>
      </c>
      <c r="K42">
        <f>+'q5'!$J$41</f>
        <v>10096</v>
      </c>
      <c r="L42">
        <f>+'q5'!$K$41</f>
        <v>10812</v>
      </c>
      <c r="M42">
        <f>+'q5'!$L$41</f>
        <v>11567</v>
      </c>
      <c r="N42">
        <f>+'q5'!$M$41</f>
        <v>11663</v>
      </c>
      <c r="R42" s="384" t="s">
        <v>203</v>
      </c>
      <c r="V42" s="496"/>
    </row>
    <row r="43" spans="1:41">
      <c r="A43" s="383"/>
      <c r="B43" t="str">
        <f>+'q5'!$A$42</f>
        <v>M</v>
      </c>
      <c r="C43" t="str">
        <f>+'q5'!$B$42</f>
        <v>Ativ. consultoria, cient.,téc. e sim.</v>
      </c>
      <c r="D43">
        <f>+'q5'!$C$42</f>
        <v>22569</v>
      </c>
      <c r="E43">
        <f>+'q5'!$D$42</f>
        <v>22865</v>
      </c>
      <c r="F43">
        <f>+'q5'!$E$42</f>
        <v>23189</v>
      </c>
      <c r="G43">
        <f>+'q5'!$F$42</f>
        <v>23749</v>
      </c>
      <c r="H43">
        <f>+'q5'!$G$42</f>
        <v>24467</v>
      </c>
      <c r="I43">
        <f>+'q5'!$H$42</f>
        <v>24250</v>
      </c>
      <c r="J43">
        <f>+'q5'!$I$42</f>
        <v>24826</v>
      </c>
      <c r="K43">
        <f>+'q5'!$J$42</f>
        <v>24675</v>
      </c>
      <c r="L43">
        <f>+'q5'!$K$42</f>
        <v>25874</v>
      </c>
      <c r="M43">
        <f>+'q5'!$L$42</f>
        <v>26684</v>
      </c>
      <c r="N43">
        <f>+'q5'!$M$42</f>
        <v>26878</v>
      </c>
      <c r="R43" s="384" t="s">
        <v>219</v>
      </c>
      <c r="U43" s="384" t="s">
        <v>204</v>
      </c>
      <c r="V43" s="497"/>
      <c r="AG43" s="384"/>
      <c r="AO43" s="496"/>
    </row>
    <row r="44" spans="1:41">
      <c r="A44" s="383"/>
      <c r="B44" t="str">
        <f>+'q5'!$A$43</f>
        <v>N</v>
      </c>
      <c r="C44" t="str">
        <f>+'q5'!$B$43</f>
        <v>Ativ. Adm. e serviços de apoio</v>
      </c>
      <c r="D44">
        <f>+'q5'!$C$43</f>
        <v>8861</v>
      </c>
      <c r="E44">
        <f>+'q5'!$D$43</f>
        <v>8995</v>
      </c>
      <c r="F44">
        <f>+'q5'!$E$43</f>
        <v>9301</v>
      </c>
      <c r="G44">
        <f>+'q5'!$F$43</f>
        <v>9347</v>
      </c>
      <c r="H44">
        <f>+'q5'!$G$43</f>
        <v>9298</v>
      </c>
      <c r="I44">
        <f>+'q5'!$H$43</f>
        <v>9391</v>
      </c>
      <c r="J44">
        <f>+'q5'!$I$43</f>
        <v>9385</v>
      </c>
      <c r="K44">
        <f>+'q5'!$J$43</f>
        <v>8843</v>
      </c>
      <c r="L44">
        <f>+'q5'!$K$43</f>
        <v>9894</v>
      </c>
      <c r="M44">
        <f>+'q5'!$L$43</f>
        <v>10333</v>
      </c>
      <c r="N44">
        <f>+'q5'!$M$43</f>
        <v>10637</v>
      </c>
      <c r="Q44" s="384" t="s">
        <v>435</v>
      </c>
      <c r="R44" s="513">
        <f>+$V$69</f>
        <v>2024</v>
      </c>
      <c r="S44" s="384" t="str">
        <f>R44&amp;" % do total"</f>
        <v>2024 % do total</v>
      </c>
      <c r="T44" s="384"/>
      <c r="U44" s="513">
        <f>+$V$69</f>
        <v>2024</v>
      </c>
      <c r="W44" s="384" t="str">
        <f>U44&amp;" % do total"</f>
        <v>2024 % do total</v>
      </c>
      <c r="X44" s="384"/>
      <c r="AG44" s="383"/>
      <c r="AO44" s="497"/>
    </row>
    <row r="45" spans="1:41">
      <c r="A45" s="383"/>
      <c r="B45" t="str">
        <f>+'q5'!$A$44</f>
        <v>O</v>
      </c>
      <c r="C45" t="str">
        <f>+'q5'!$B$44</f>
        <v xml:space="preserve">Adm. Púb. e defesa; seg. social </v>
      </c>
      <c r="D45">
        <f>+'q5'!$C$44</f>
        <v>686</v>
      </c>
      <c r="E45">
        <f>+'q5'!$D$44</f>
        <v>660</v>
      </c>
      <c r="F45">
        <f>+'q5'!$E$44</f>
        <v>627</v>
      </c>
      <c r="G45">
        <f>+'q5'!$F$44</f>
        <v>630</v>
      </c>
      <c r="H45">
        <f>+'q5'!$G$44</f>
        <v>601</v>
      </c>
      <c r="I45">
        <f>+'q5'!$H$44</f>
        <v>613</v>
      </c>
      <c r="J45">
        <f>+'q5'!$I$44</f>
        <v>624</v>
      </c>
      <c r="K45">
        <f>+'q5'!$J$44</f>
        <v>590</v>
      </c>
      <c r="L45">
        <f>+'q5'!$K$44</f>
        <v>574</v>
      </c>
      <c r="M45">
        <f>+'q5'!$L$44</f>
        <v>592</v>
      </c>
      <c r="N45">
        <f>+'q5'!$M$44</f>
        <v>626</v>
      </c>
      <c r="Q45" t="str">
        <f>+$U$70</f>
        <v>G</v>
      </c>
      <c r="R45" s="453" t="str">
        <f>+VLOOKUP($Q45,Aux!$B$14:$D$33,3)</f>
        <v>Com. por grosso e ret. (…)</v>
      </c>
      <c r="S45" s="484" t="str">
        <f>+TEXT($X$70,"##.###,0%")</f>
        <v>23,4%</v>
      </c>
      <c r="U45" s="453" t="str">
        <f>+$U$79</f>
        <v>G</v>
      </c>
      <c r="V45" s="453" t="str">
        <f>+VLOOKUP($U45,Aux!$B$14:$D$33,3)</f>
        <v>Com. por grosso e ret. (…)</v>
      </c>
      <c r="W45" s="484" t="str">
        <f>+TEXT($X$79,"##.###,0%")</f>
        <v>26,2%</v>
      </c>
      <c r="AG45" s="383"/>
      <c r="AO45" s="497"/>
    </row>
    <row r="46" spans="1:41">
      <c r="A46" s="383"/>
      <c r="B46" t="str">
        <f>+'q5'!$A$45</f>
        <v>P</v>
      </c>
      <c r="C46" t="str">
        <f>+'q5'!$B$45</f>
        <v>Educação</v>
      </c>
      <c r="D46">
        <f>+'q5'!$C$45</f>
        <v>4573</v>
      </c>
      <c r="E46">
        <f>+'q5'!$D$45</f>
        <v>4701</v>
      </c>
      <c r="F46">
        <f>+'q5'!$E$45</f>
        <v>4675</v>
      </c>
      <c r="G46">
        <f>+'q5'!$F$45</f>
        <v>4647</v>
      </c>
      <c r="H46">
        <f>+'q5'!$G$45</f>
        <v>4681</v>
      </c>
      <c r="I46">
        <f>+'q5'!$H$45</f>
        <v>4531</v>
      </c>
      <c r="J46">
        <f>+'q5'!$I$45</f>
        <v>4576</v>
      </c>
      <c r="K46">
        <f>+'q5'!$J$45</f>
        <v>4414</v>
      </c>
      <c r="L46">
        <f>+'q5'!$K$45</f>
        <v>4635</v>
      </c>
      <c r="M46">
        <f>+'q5'!$L$45</f>
        <v>4808</v>
      </c>
      <c r="N46">
        <f>+'q5'!$M$45</f>
        <v>4851</v>
      </c>
      <c r="Q46" t="str">
        <f>+$U$71</f>
        <v>F</v>
      </c>
      <c r="R46" s="453" t="str">
        <f>+VLOOKUP($Q46,Aux!$B$14:$D$33,3)</f>
        <v>Construção</v>
      </c>
      <c r="S46" s="484" t="str">
        <f>+TEXT($X$71,"##.###,0%")</f>
        <v>12,3%</v>
      </c>
      <c r="T46" s="484"/>
      <c r="U46" s="453" t="str">
        <f>+$U$80</f>
        <v>I</v>
      </c>
      <c r="V46" s="453" t="str">
        <f>+VLOOKUP($U46,Aux!$B$14:$D$33,3)</f>
        <v>Aloj., rest. e sim.</v>
      </c>
      <c r="W46" s="484" t="str">
        <f>+TEXT($X$80,"##.###,0%")</f>
        <v>11,9%</v>
      </c>
      <c r="AO46" s="497"/>
    </row>
    <row r="47" spans="1:41">
      <c r="A47" s="383"/>
      <c r="B47" t="str">
        <f>+'q5'!$A$46</f>
        <v>Q</v>
      </c>
      <c r="C47" t="str">
        <f>+'q5'!$B$46</f>
        <v>Ativ. saúde humana e apoio social</v>
      </c>
      <c r="D47">
        <f>+'q5'!$C$46</f>
        <v>18418</v>
      </c>
      <c r="E47">
        <f>+'q5'!$D$46</f>
        <v>18727</v>
      </c>
      <c r="F47">
        <f>+'q5'!$E$46</f>
        <v>19044</v>
      </c>
      <c r="G47">
        <f>+'q5'!$F$46</f>
        <v>19162</v>
      </c>
      <c r="H47">
        <f>+'q5'!$G$46</f>
        <v>19323</v>
      </c>
      <c r="I47">
        <f>+'q5'!$H$46</f>
        <v>19089</v>
      </c>
      <c r="J47">
        <f>+'q5'!$I$46</f>
        <v>19487</v>
      </c>
      <c r="K47">
        <f>+'q5'!$J$46</f>
        <v>19087</v>
      </c>
      <c r="L47">
        <f>+'q5'!$K$46</f>
        <v>20082</v>
      </c>
      <c r="M47">
        <f>+'q5'!$L$46</f>
        <v>20724</v>
      </c>
      <c r="N47">
        <f>+'q5'!$M$46</f>
        <v>20752</v>
      </c>
      <c r="Q47" t="str">
        <f>+$U$72</f>
        <v>I</v>
      </c>
      <c r="R47" s="453" t="str">
        <f>+VLOOKUP($Q47,Aux!$B$14:$D$33,3)</f>
        <v>Aloj., rest. e sim.</v>
      </c>
      <c r="S47" s="484" t="str">
        <f>+TEXT($X$72,"##.###,0%")</f>
        <v>12,3%</v>
      </c>
      <c r="T47" s="484"/>
      <c r="U47" s="453" t="str">
        <f>+$U$81</f>
        <v>F</v>
      </c>
      <c r="V47" s="453" t="str">
        <f>+VLOOKUP($U47,Aux!$B$14:$D$33,3)</f>
        <v>Construção</v>
      </c>
      <c r="W47" s="484" t="str">
        <f>+TEXT($X$81,"##.###,0%")</f>
        <v>10,7%</v>
      </c>
      <c r="X47" s="484"/>
      <c r="AG47" s="383"/>
    </row>
    <row r="48" spans="1:41">
      <c r="A48" s="383"/>
      <c r="B48" t="str">
        <f>+'q5'!$A$47</f>
        <v>R</v>
      </c>
      <c r="C48" t="str">
        <f>+'q5'!$B$47</f>
        <v>Ativ. artíst., espet., desp. e recr.</v>
      </c>
      <c r="D48">
        <f>+'q5'!$C$47</f>
        <v>3448</v>
      </c>
      <c r="E48">
        <f>+'q5'!$D$47</f>
        <v>3581</v>
      </c>
      <c r="F48">
        <f>+'q5'!$E$47</f>
        <v>3745</v>
      </c>
      <c r="G48">
        <f>+'q5'!$F$47</f>
        <v>3985</v>
      </c>
      <c r="H48">
        <f>+'q5'!$G$47</f>
        <v>4371</v>
      </c>
      <c r="I48">
        <f>+'q5'!$H$47</f>
        <v>4404</v>
      </c>
      <c r="J48">
        <f>+'q5'!$I$47</f>
        <v>4397</v>
      </c>
      <c r="K48">
        <f>+'q5'!$J$47</f>
        <v>4424</v>
      </c>
      <c r="L48">
        <f>+'q5'!$K$47</f>
        <v>4761</v>
      </c>
      <c r="M48">
        <f>+'q5'!$L$47</f>
        <v>5060</v>
      </c>
      <c r="N48">
        <f>+'q5'!$M$47</f>
        <v>5243</v>
      </c>
      <c r="AG48" s="383"/>
    </row>
    <row r="49" spans="1:48">
      <c r="A49" s="383"/>
      <c r="B49" t="str">
        <f>+'q5'!$A$48</f>
        <v>S</v>
      </c>
      <c r="C49" t="str">
        <f>+'q5'!$B$48</f>
        <v>Outras atividades de serviços</v>
      </c>
      <c r="D49">
        <f>+'q5'!$C$48</f>
        <v>15515</v>
      </c>
      <c r="E49">
        <f>+'q5'!$D$48</f>
        <v>15537</v>
      </c>
      <c r="F49">
        <f>+'q5'!$E$48</f>
        <v>15467</v>
      </c>
      <c r="G49">
        <f>+'q5'!$F$48</f>
        <v>15306</v>
      </c>
      <c r="H49">
        <f>+'q5'!$G$48</f>
        <v>15360</v>
      </c>
      <c r="I49">
        <f>+'q5'!$H$48</f>
        <v>14434</v>
      </c>
      <c r="J49">
        <f>+'q5'!$I$48</f>
        <v>14086</v>
      </c>
      <c r="K49">
        <f>+'q5'!$J$48</f>
        <v>13379</v>
      </c>
      <c r="L49">
        <f>+'q5'!$K$48</f>
        <v>13917</v>
      </c>
      <c r="M49">
        <f>+'q5'!$L$48</f>
        <v>13804</v>
      </c>
      <c r="N49">
        <f>+'q5'!$M$48</f>
        <v>13322</v>
      </c>
      <c r="Q49" s="384" t="s">
        <v>435</v>
      </c>
      <c r="R49" s="513">
        <f>+$B$69</f>
        <v>2014</v>
      </c>
      <c r="S49" s="384" t="str">
        <f>R49&amp;" % do total"</f>
        <v>2014 % do total</v>
      </c>
      <c r="T49" s="384"/>
      <c r="U49" s="513">
        <f>+$B$69</f>
        <v>2014</v>
      </c>
      <c r="V49" s="496"/>
      <c r="W49" s="384" t="str">
        <f>U49&amp;" % do total"</f>
        <v>2014 % do total</v>
      </c>
      <c r="X49" s="384"/>
    </row>
    <row r="50" spans="1:48">
      <c r="A50" s="383"/>
      <c r="B50" t="str">
        <f>+'q5'!$A$49</f>
        <v>U</v>
      </c>
      <c r="C50" t="str">
        <f>+'q5'!$B$49</f>
        <v>Ativ. org. int. e o. inst. extra-territ.</v>
      </c>
      <c r="D50">
        <f>+'q5'!$C$49</f>
        <v>16</v>
      </c>
      <c r="E50">
        <f>+'q5'!$D$49</f>
        <v>14</v>
      </c>
      <c r="F50">
        <f>+'q5'!$E$49</f>
        <v>17</v>
      </c>
      <c r="G50">
        <f>+'q5'!$F$49</f>
        <v>14</v>
      </c>
      <c r="H50">
        <f>+'q5'!$G$49</f>
        <v>15</v>
      </c>
      <c r="I50">
        <f>+'q5'!$H$49</f>
        <v>16</v>
      </c>
      <c r="J50">
        <f>+'q5'!$I$49</f>
        <v>18</v>
      </c>
      <c r="K50">
        <f>+'q5'!$J$49</f>
        <v>17</v>
      </c>
      <c r="L50">
        <f>+'q5'!$K$49</f>
        <v>16</v>
      </c>
      <c r="M50">
        <f>+'q5'!$L$49</f>
        <v>17</v>
      </c>
      <c r="N50">
        <f>+'q5'!$M$49</f>
        <v>19</v>
      </c>
      <c r="Q50" t="str">
        <f>+$A$70</f>
        <v>G</v>
      </c>
      <c r="R50" s="453" t="str">
        <f>+VLOOKUP($Q50,Aux!$B$14:$D$33,3)</f>
        <v>Com. por grosso e ret. (…)</v>
      </c>
      <c r="S50" s="484" t="str">
        <f>+TEXT($Y$70,"##.###,0%")</f>
        <v>27,5%</v>
      </c>
      <c r="U50" s="453" t="str">
        <f>+$A$79</f>
        <v>G</v>
      </c>
      <c r="V50" s="453" t="str">
        <f>+VLOOKUP($U50,Aux!$B$14:$D$33,3)</f>
        <v>Com. por grosso e ret. (…)</v>
      </c>
      <c r="W50" s="484" t="str">
        <f>+TEXT($Y$79,"##.###,0%")</f>
        <v>29,6%</v>
      </c>
    </row>
    <row r="51" spans="1:48">
      <c r="A51" s="383"/>
      <c r="B51" s="383" t="s">
        <v>222</v>
      </c>
      <c r="C51" s="383"/>
      <c r="D51">
        <f>+'q6'!$B$6+'q6'!$B$7</f>
        <v>271482</v>
      </c>
      <c r="E51">
        <f>+'q6'!$C$6+'q6'!$C$7</f>
        <v>272469</v>
      </c>
      <c r="F51">
        <f>+'q6'!$D$6+'q6'!$D$7</f>
        <v>274120</v>
      </c>
      <c r="G51">
        <f>+'q6'!$E$6+'q6'!$E$7</f>
        <v>274051</v>
      </c>
      <c r="H51">
        <f>+'q6'!$F$6+'q6'!$F$7</f>
        <v>275083</v>
      </c>
      <c r="I51">
        <f>+'q6'!$G$6+'q6'!$G$7</f>
        <v>266188</v>
      </c>
      <c r="J51">
        <f>+'q6'!$H$6+'q6'!$H$7</f>
        <v>269050</v>
      </c>
      <c r="K51">
        <f>+'q6'!$I$6+'q6'!$I$7</f>
        <v>261914</v>
      </c>
      <c r="L51">
        <f>+'q6'!$J$6+'q6'!$J$7</f>
        <v>271931</v>
      </c>
      <c r="M51">
        <f>+'q6'!$K$6+'q6'!$K$7</f>
        <v>276620</v>
      </c>
      <c r="N51">
        <f>+'q6'!$L$6+'q6'!$L$7</f>
        <v>273286</v>
      </c>
      <c r="Q51" t="str">
        <f>+$A$71</f>
        <v>C</v>
      </c>
      <c r="R51" s="453" t="str">
        <f>+VLOOKUP($Q51,Aux!$B$14:$D$33,3)</f>
        <v>Ind. transf.</v>
      </c>
      <c r="S51" s="484" t="str">
        <f>+TEXT($Y$71,"##.###,0%")</f>
        <v>12,2%</v>
      </c>
      <c r="T51" s="484"/>
      <c r="U51" s="453" t="str">
        <f>+$A$80</f>
        <v>C</v>
      </c>
      <c r="V51" s="453" t="str">
        <f>+VLOOKUP($U51,Aux!$B$14:$D$33,3)</f>
        <v>Ind. transf.</v>
      </c>
      <c r="W51" s="484" t="str">
        <f>+TEXT($Y$80,"##.###,0%")</f>
        <v>11,3%</v>
      </c>
      <c r="X51" s="484"/>
    </row>
    <row r="52" spans="1:48">
      <c r="A52" s="383"/>
      <c r="B52" s="383" t="s">
        <v>432</v>
      </c>
      <c r="C52" s="383"/>
      <c r="D52">
        <f>+'q6'!$B$8+'q6'!$B$9</f>
        <v>40384</v>
      </c>
      <c r="E52">
        <f>+'q6'!$C$8+'q6'!$C$9</f>
        <v>41695</v>
      </c>
      <c r="F52">
        <f>+'q6'!$D$8+'q6'!$D$9</f>
        <v>43122</v>
      </c>
      <c r="G52">
        <f>+'q6'!$E$8+'q6'!$E$9</f>
        <v>45178</v>
      </c>
      <c r="H52">
        <f>+'q6'!$F$8+'q6'!$F$9</f>
        <v>47074</v>
      </c>
      <c r="I52">
        <f>+'q6'!$G$8+'q6'!$G$9</f>
        <v>48031</v>
      </c>
      <c r="J52">
        <f>+'q6'!$H$8+'q6'!$H$9</f>
        <v>47267</v>
      </c>
      <c r="K52">
        <f>+'q6'!$I$8+'q6'!$I$9</f>
        <v>47518</v>
      </c>
      <c r="L52">
        <f>+'q6'!$J$8+'q6'!$J$9</f>
        <v>51131</v>
      </c>
      <c r="M52">
        <f>+'q6'!$K$8+'q6'!$K$9</f>
        <v>53587</v>
      </c>
      <c r="N52">
        <f>+'q6'!$L$8+'q6'!$L$9</f>
        <v>54331</v>
      </c>
      <c r="Q52" t="str">
        <f>+$A$72</f>
        <v>I</v>
      </c>
      <c r="R52" s="453" t="str">
        <f>+VLOOKUP($Q52,Aux!$B$14:$D$33,3)</f>
        <v>Aloj., rest. e sim.</v>
      </c>
      <c r="S52" s="484" t="str">
        <f>+TEXT($Y$72,"##.###,0%")</f>
        <v>11,5%</v>
      </c>
      <c r="U52" s="453" t="str">
        <f>+$A$81</f>
        <v>I</v>
      </c>
      <c r="V52" s="453" t="str">
        <f>+VLOOKUP($U52,Aux!$B$14:$D$33,3)</f>
        <v>Aloj., rest. e sim.</v>
      </c>
      <c r="W52" s="484" t="str">
        <f>+TEXT($Y$81,"##.###,0%")</f>
        <v>11,0%</v>
      </c>
    </row>
    <row r="53" spans="1:48">
      <c r="A53" s="383"/>
      <c r="B53" s="383" t="s">
        <v>433</v>
      </c>
      <c r="C53" s="383"/>
      <c r="D53">
        <f>+'q6'!$B$10+'q6'!$B$11+'q6'!$B$12+'q6'!$B$13</f>
        <v>6273</v>
      </c>
      <c r="E53">
        <f>+'q6'!$C$10+'q6'!$C$11+'q6'!$C$12+'q6'!$C$13</f>
        <v>6542</v>
      </c>
      <c r="F53">
        <f>+'q6'!$D$10+'q6'!$D$11+'q6'!$D$12+'q6'!$D$13</f>
        <v>6856</v>
      </c>
      <c r="G53">
        <f>+'q6'!$E$10+'q6'!$E$11+'q6'!$E$12+'q6'!$E$13</f>
        <v>7170</v>
      </c>
      <c r="H53">
        <f>+'q6'!$F$10+'q6'!$F$11+'q6'!$F$12+'q6'!$F$13</f>
        <v>7570</v>
      </c>
      <c r="I53">
        <f>+'q6'!$G$10+'q6'!$G$11+'q6'!$G$12+'q6'!$G$13</f>
        <v>7775</v>
      </c>
      <c r="J53">
        <f>+'q6'!$H$10+'q6'!$H$11+'q6'!$H$12+'q6'!$H$13</f>
        <v>7674</v>
      </c>
      <c r="K53">
        <f>+'q6'!$I$10+'q6'!$I$11+'q6'!$I$12+'q6'!$I$13</f>
        <v>7838</v>
      </c>
      <c r="L53">
        <f>+'q6'!$J$10+'q6'!$J$11+'q6'!$J$12+'q6'!$J$13</f>
        <v>8556</v>
      </c>
      <c r="M53">
        <f>+'q6'!$K$10+'q6'!$K$11+'q6'!$K$12+'q6'!$K$13</f>
        <v>9009</v>
      </c>
      <c r="N53">
        <f>+'q6'!$L$10+'q6'!$L$11+'q6'!$L$12+'q6'!$L$13</f>
        <v>9226</v>
      </c>
    </row>
    <row r="54" spans="1:48">
      <c r="A54" s="383"/>
      <c r="B54" s="383" t="s">
        <v>231</v>
      </c>
      <c r="C54" s="383"/>
      <c r="D54">
        <f>+'q6'!$B$14+'q6'!$B$15+'q6'!$B$16</f>
        <v>747</v>
      </c>
      <c r="E54">
        <f>+'q6'!$C$14+'q6'!$C$15+'q6'!$C$16</f>
        <v>794</v>
      </c>
      <c r="F54">
        <f>+'q6'!$D$14+'q6'!$D$15+'q6'!$D$16</f>
        <v>835</v>
      </c>
      <c r="G54">
        <f>+'q6'!$E$14+'q6'!$E$15+'q6'!$E$16</f>
        <v>896</v>
      </c>
      <c r="H54">
        <f>+'q6'!$F$14+'q6'!$F$15+'q6'!$F$16</f>
        <v>941</v>
      </c>
      <c r="I54">
        <f>+'q6'!$G$14+'q6'!$G$15+'q6'!$G$16</f>
        <v>984</v>
      </c>
      <c r="J54">
        <f>+'q6'!$H$14+'q6'!$H$15+'q6'!$H$16</f>
        <v>968</v>
      </c>
      <c r="K54">
        <f>+'q6'!$I$14+'q6'!$I$15+'q6'!$I$16</f>
        <v>984</v>
      </c>
      <c r="L54">
        <f>+'q6'!$J$14+'q6'!$J$15+'q6'!$J$16</f>
        <v>1065</v>
      </c>
      <c r="M54">
        <f>+'q6'!$K$14+'q6'!$K$15+'q6'!$K$16</f>
        <v>1148</v>
      </c>
      <c r="N54">
        <f>+'q6'!$L$14+'q6'!$L$15+'q6'!$L$16</f>
        <v>1183</v>
      </c>
    </row>
    <row r="55" spans="1:48">
      <c r="R55" s="423" t="s">
        <v>219</v>
      </c>
      <c r="AV55" s="383"/>
    </row>
    <row r="56" spans="1:48">
      <c r="R56" s="507" t="str">
        <f>"3 CAE com mais Empresas:"&amp;CHAR(10)&amp;$R$49&amp;": "&amp;$Q$50&amp;" - "&amp;$R$50&amp;" ("&amp;$S$50&amp;"); "&amp;$Q$51&amp;" - "&amp;$R$51&amp;" ("&amp;$S$51&amp;"); "&amp;$Q$52&amp;" - "&amp;$R$52&amp;" ("&amp;$S$52&amp;")."&amp;CHAR(10)&amp;$R$44&amp;": "&amp;$Q$45&amp;" - "&amp;$R$45&amp;" ("&amp;$S$45&amp;"); "&amp;$Q$46&amp;" - "&amp;$R$46&amp;" ("&amp;$S$46&amp;"); "&amp;$Q$47&amp;" - "&amp;$R$47&amp;" ("&amp;$S$47&amp;")."</f>
        <v>3 CAE com mais Empresas:
2014: G - Com. por grosso e ret. (…) (27,5%); C - Ind. transf. (12,2%); I - Aloj., rest. e sim. (11,5%).
2024: G - Com. por grosso e ret. (…) (23,4%); F - Construção (12,3%); I - Aloj., rest. e sim. (12,3%).</v>
      </c>
    </row>
    <row r="57" spans="1:48">
      <c r="AU57" s="383"/>
    </row>
    <row r="58" spans="1:48">
      <c r="R58" s="383" t="s">
        <v>204</v>
      </c>
      <c r="AU58" s="383"/>
    </row>
    <row r="59" spans="1:48">
      <c r="R59" s="507" t="str">
        <f>"3 CAE com mais Estabelecimentos:"&amp;CHAR(10)&amp;$U$49&amp;": "&amp;$U$50&amp;" - "&amp;$V$50&amp;" ("&amp;$W$50&amp;"); "&amp;$U$51&amp;" - "&amp;$V$51&amp;" ("&amp;$W$51&amp;"); "&amp;$U$52&amp;" - "&amp;$V$52&amp;" ("&amp;$W$52&amp;")."&amp;CHAR(10)&amp;$U$44&amp;": "&amp;$U$45&amp;" - "&amp;$V$45&amp;" ("&amp;$W$45&amp;"); "&amp;$U$46&amp;" - "&amp;$V$46&amp;" ("&amp;$W$46&amp;"); "&amp;$U$47&amp;" - "&amp;$V$47&amp;" ("&amp;$W$47&amp;")."</f>
        <v>3 CAE com mais Estabelecimentos:
2014: G - Com. por grosso e ret. (…) (29,6%); C - Ind. transf. (11,3%); I - Aloj., rest. e sim. (11,0%).
2024: G - Com. por grosso e ret. (…) (26,2%); I - Aloj., rest. e sim. (11,9%); F - Construção (10,7%).</v>
      </c>
      <c r="AO59" s="383"/>
    </row>
    <row r="62" spans="1:48">
      <c r="R62" t="str">
        <f>IF($Q$3=1,$R$56,$R$59)</f>
        <v>3 CAE com mais Empresas:
2014: G - Com. por grosso e ret. (…) (27,5%); C - Ind. transf. (12,2%); I - Aloj., rest. e sim. (11,5%).
2024: G - Com. por grosso e ret. (…) (23,4%); F - Construção (12,3%); I - Aloj., rest. e sim. (12,3%).</v>
      </c>
      <c r="AU62" s="383"/>
    </row>
    <row r="63" spans="1:48">
      <c r="I63" s="522" t="s">
        <v>438</v>
      </c>
      <c r="AU63" s="383"/>
    </row>
    <row r="64" spans="1:48">
      <c r="I64" s="522" t="s">
        <v>439</v>
      </c>
      <c r="R64" s="496"/>
    </row>
    <row r="65" spans="1:38">
      <c r="I65" s="522" t="s">
        <v>440</v>
      </c>
      <c r="R65" s="496"/>
    </row>
    <row r="66" spans="1:38">
      <c r="A66" s="391" t="s">
        <v>236</v>
      </c>
      <c r="B66" s="514" t="s">
        <v>436</v>
      </c>
    </row>
    <row r="67" spans="1:38">
      <c r="B67" s="505">
        <f>+B73/AT4</f>
        <v>0.1022314670535678</v>
      </c>
    </row>
    <row r="68" spans="1:38" ht="13.5" thickBot="1">
      <c r="A68" s="383" t="s">
        <v>219</v>
      </c>
    </row>
    <row r="69" spans="1:38">
      <c r="A69" s="386"/>
      <c r="B69" s="391">
        <f>+D6</f>
        <v>2014</v>
      </c>
      <c r="C69" s="386"/>
      <c r="D69" s="391">
        <f>+E6</f>
        <v>2015</v>
      </c>
      <c r="E69" s="386"/>
      <c r="F69" s="391">
        <f>+F6</f>
        <v>2016</v>
      </c>
      <c r="G69" s="386"/>
      <c r="H69" s="391">
        <f>+G6</f>
        <v>2017</v>
      </c>
      <c r="I69" s="386"/>
      <c r="J69" s="391">
        <f>+H6</f>
        <v>2018</v>
      </c>
      <c r="K69" s="386"/>
      <c r="L69" s="391">
        <f>+I6</f>
        <v>2019</v>
      </c>
      <c r="M69" s="386"/>
      <c r="N69" s="391">
        <f>+J6</f>
        <v>2020</v>
      </c>
      <c r="O69" s="386"/>
      <c r="P69" s="391">
        <f>+K6</f>
        <v>2021</v>
      </c>
      <c r="Q69" s="386"/>
      <c r="R69" s="391">
        <f>+L6</f>
        <v>2022</v>
      </c>
      <c r="S69" s="386"/>
      <c r="T69" s="391">
        <f>+M6</f>
        <v>2023</v>
      </c>
      <c r="U69" s="386"/>
      <c r="V69" s="391">
        <f>+N6</f>
        <v>2024</v>
      </c>
      <c r="W69" s="384"/>
      <c r="X69" s="384" t="str">
        <f>+V69&amp;" - % do total"</f>
        <v>2024 - % do total</v>
      </c>
      <c r="Y69" s="939" t="str">
        <f>+"em "&amp;B69</f>
        <v>em 2014</v>
      </c>
      <c r="Z69" s="940"/>
    </row>
    <row r="70" spans="1:38">
      <c r="A70" s="511" t="str">
        <f>+INDEX($B$7:$B$26,MATCH(B70,$D$7:$D$26,0),1)</f>
        <v>G</v>
      </c>
      <c r="B70" s="512">
        <f>+LARGE($D$7:$D$26,1)</f>
        <v>74208</v>
      </c>
      <c r="C70" s="392" t="str">
        <f>+INDEX($B$7:$B$26,MATCH(D70,$E$7:$E$26,0),1)</f>
        <v>G</v>
      </c>
      <c r="D70" s="393">
        <f>+LARGE($E$7:$E$26,1)</f>
        <v>74441</v>
      </c>
      <c r="E70" s="392" t="str">
        <f>+INDEX($B$7:$B$26,MATCH(F70,$F$7:$F$26,0),1)</f>
        <v>G</v>
      </c>
      <c r="F70" s="393">
        <f>+LARGE($F$7:$F$26,1)</f>
        <v>74332</v>
      </c>
      <c r="G70" s="392" t="str">
        <f>+INDEX($B$7:$B$26,MATCH(H70,$G$7:$G$26,0),1)</f>
        <v>G</v>
      </c>
      <c r="H70" s="393">
        <f>+LARGE($G$7:$G$26,1)</f>
        <v>73637</v>
      </c>
      <c r="I70" s="392" t="str">
        <f>+INDEX($B$7:$B$26,MATCH(J70,$H$7:$H$26,0),1)</f>
        <v>G</v>
      </c>
      <c r="J70" s="393">
        <f>+LARGE($H$7:$H$26,1)</f>
        <v>73191</v>
      </c>
      <c r="K70" s="392" t="str">
        <f>+INDEX($B$7:$B$26,MATCH(L70,$I$7:$I$26,0),1)</f>
        <v>G</v>
      </c>
      <c r="L70" s="393">
        <f>+LARGE($I$7:$I$26,1)</f>
        <v>69985</v>
      </c>
      <c r="M70" s="392" t="str">
        <f>+INDEX($B$7:$B$26,MATCH(N70,$J$7:$J$26,0),1)</f>
        <v>G</v>
      </c>
      <c r="N70" s="393">
        <f>+LARGE($J$7:$J$26,1)</f>
        <v>69568</v>
      </c>
      <c r="O70" s="392" t="str">
        <f>+INDEX($B$7:$B$26,MATCH(P70,$K$7:$K$26,0),1)</f>
        <v>G</v>
      </c>
      <c r="P70" s="393">
        <f>+LARGE($K$7:$K$26,1)</f>
        <v>67802</v>
      </c>
      <c r="Q70" s="392" t="str">
        <f>+INDEX($B$7:$B$26,MATCH(R70,$L$7:$L$26,0),1)</f>
        <v>G</v>
      </c>
      <c r="R70" s="393">
        <f>+LARGE($L$7:$L$26,1)</f>
        <v>69554</v>
      </c>
      <c r="S70" s="392" t="str">
        <f>+INDEX($B$7:$B$26,MATCH(T70,$M$7:$M$26,0),1)</f>
        <v>G</v>
      </c>
      <c r="T70" s="393">
        <f>+LARGE($M$7:$M$26,1)</f>
        <v>69619</v>
      </c>
      <c r="U70" s="511" t="str">
        <f>+INDEX($B$7:$B$26,MATCH(V70,$N$7:$N$26,0),1)</f>
        <v>G</v>
      </c>
      <c r="V70" s="512">
        <f>+LARGE($N$7:$N$26,1)</f>
        <v>67579</v>
      </c>
      <c r="X70" s="505">
        <f>+V70/$BD$4</f>
        <v>0.23402929045618726</v>
      </c>
      <c r="Y70" s="515">
        <f>+B70/$AT$4</f>
        <v>0.27466032030379633</v>
      </c>
      <c r="Z70" s="521" t="str">
        <f>+A70</f>
        <v>G</v>
      </c>
      <c r="AB70" s="412">
        <f>+B70/$BD$4</f>
        <v>0.25698583267246844</v>
      </c>
      <c r="AC70" s="412">
        <f>+D70/$BD$4</f>
        <v>0.25779272275187609</v>
      </c>
      <c r="AD70" s="412">
        <f>+F70/$BD$4</f>
        <v>0.25741525056880554</v>
      </c>
      <c r="AE70" s="412">
        <f>+H70/$BD$4</f>
        <v>0.25500843252078692</v>
      </c>
      <c r="AF70" s="412">
        <f>+J70/$BD$4</f>
        <v>0.25346391331299373</v>
      </c>
      <c r="AG70" s="412">
        <f>+L70/$BD$4</f>
        <v>0.2423613828641481</v>
      </c>
      <c r="AH70" s="412">
        <f>+N70/$BD$4</f>
        <v>0.24091729203533693</v>
      </c>
      <c r="AI70" s="412">
        <f>+P70/$BD$4</f>
        <v>0.23480155006008388</v>
      </c>
      <c r="AJ70" s="412">
        <f>+R70/$BD$4</f>
        <v>0.24086880936962146</v>
      </c>
      <c r="AK70" s="412">
        <f>+T70/$BD$4</f>
        <v>0.24109390746044335</v>
      </c>
      <c r="AL70" s="412">
        <f>+V70/$BD$4</f>
        <v>0.23402929045618726</v>
      </c>
    </row>
    <row r="71" spans="1:38">
      <c r="A71" s="511" t="str">
        <f>+INDEX($B$7:$B$26,MATCH(B71,$D$7:$D$26,0),1)</f>
        <v>C</v>
      </c>
      <c r="B71" s="512">
        <f>+LARGE($D$7:$D$26,2)</f>
        <v>32895</v>
      </c>
      <c r="C71" s="392" t="str">
        <f>+INDEX($B$7:$B$26,MATCH(D71,$E$7:$E$26,0),1)</f>
        <v>C</v>
      </c>
      <c r="D71" s="393">
        <f>+LARGE($E$7:$E$26,2)</f>
        <v>32998</v>
      </c>
      <c r="E71" s="392" t="str">
        <f>+INDEX($B$7:$B$26,MATCH(F71,$F$7:$F$26,0),1)</f>
        <v>C</v>
      </c>
      <c r="F71" s="393">
        <f>+LARGE($F$7:$F$26,2)</f>
        <v>33278</v>
      </c>
      <c r="G71" s="392" t="str">
        <f>+INDEX($B$7:$B$26,MATCH(H71,$G$7:$G$26,0),1)</f>
        <v>I</v>
      </c>
      <c r="H71" s="393">
        <f>+LARGE($G$7:$G$26,2)</f>
        <v>34159</v>
      </c>
      <c r="I71" s="392" t="str">
        <f>+INDEX($B$7:$B$26,MATCH(J71,$H$7:$H$26,0),1)</f>
        <v>I</v>
      </c>
      <c r="J71" s="393">
        <f>+LARGE($H$7:$H$26,2)</f>
        <v>34949</v>
      </c>
      <c r="K71" s="392" t="str">
        <f>+INDEX($B$7:$B$26,MATCH(L71,$I$7:$I$26,0),1)</f>
        <v>I</v>
      </c>
      <c r="L71" s="393">
        <f>+LARGE($I$7:$I$26,2)</f>
        <v>33798</v>
      </c>
      <c r="M71" s="392" t="str">
        <f>+INDEX($B$7:$B$26,MATCH(N71,$J$7:$J$26,0),1)</f>
        <v>I</v>
      </c>
      <c r="N71" s="393">
        <f>+LARGE($J$7:$J$26,2)</f>
        <v>33300</v>
      </c>
      <c r="O71" s="392" t="str">
        <f>+INDEX($B$7:$B$26,MATCH(P71,$K$7:$K$26,0),1)</f>
        <v>I</v>
      </c>
      <c r="P71" s="393">
        <f>+LARGE($K$7:$K$26,2)</f>
        <v>32645</v>
      </c>
      <c r="Q71" s="392" t="str">
        <f>+INDEX($B$7:$B$26,MATCH(R71,$L$7:$L$26,0),1)</f>
        <v>I</v>
      </c>
      <c r="R71" s="393">
        <f>+LARGE($L$7:$L$26,2)</f>
        <v>34416</v>
      </c>
      <c r="S71" s="392" t="str">
        <f>+INDEX($B$7:$B$26,MATCH(T71,$M$7:$M$26,0),1)</f>
        <v>I</v>
      </c>
      <c r="T71" s="393">
        <f>+LARGE($M$7:$M$26,2)</f>
        <v>35628</v>
      </c>
      <c r="U71" s="511" t="str">
        <f>+INDEX($B$7:$B$26,MATCH(V71,$N$7:$N$26,0),1)</f>
        <v>F</v>
      </c>
      <c r="V71" s="512">
        <f>+LARGE($N$7:$N$26,2)</f>
        <v>35614</v>
      </c>
      <c r="X71" s="505">
        <f>+V71/$BD$4</f>
        <v>0.12333297548508639</v>
      </c>
      <c r="Y71" s="515">
        <f>+B71/$AT$4</f>
        <v>0.12175171459132951</v>
      </c>
      <c r="Z71" s="521" t="str">
        <f>+A71</f>
        <v>C</v>
      </c>
    </row>
    <row r="72" spans="1:38">
      <c r="A72" s="511" t="str">
        <f>+INDEX($B$7:$B$26,MATCH(B72,$D$7:$D$26,0),1)</f>
        <v>I</v>
      </c>
      <c r="B72" s="512">
        <f>+LARGE($D$7:$D$26,3)</f>
        <v>31162</v>
      </c>
      <c r="C72" s="392" t="str">
        <f>+INDEX($B$7:$B$26,MATCH(D72,$E$7:$E$26,0),1)</f>
        <v>I</v>
      </c>
      <c r="D72" s="393">
        <f>+LARGE($E$7:$E$26,3)</f>
        <v>32218</v>
      </c>
      <c r="E72" s="392" t="str">
        <f>+INDEX($B$7:$B$26,MATCH(F72,$F$7:$F$26,0),1)</f>
        <v>I</v>
      </c>
      <c r="F72" s="393">
        <f>+LARGE($F$7:$F$26,3)</f>
        <v>33270</v>
      </c>
      <c r="G72" s="392" t="str">
        <f>+INDEX($B$7:$B$26,MATCH(H72,$G$7:$G$26,0),1)</f>
        <v>C</v>
      </c>
      <c r="H72" s="393">
        <f>+LARGE($G$7:$G$26,3)</f>
        <v>33315</v>
      </c>
      <c r="I72" s="392" t="str">
        <f>+INDEX($B$7:$B$26,MATCH(J72,$H$7:$H$26,0),1)</f>
        <v>C</v>
      </c>
      <c r="J72" s="393">
        <f>+LARGE($H$7:$H$26,3)</f>
        <v>33177</v>
      </c>
      <c r="K72" s="392" t="str">
        <f>+INDEX($B$7:$B$26,MATCH(L72,$I$7:$I$26,0),1)</f>
        <v>C</v>
      </c>
      <c r="L72" s="393">
        <f>+LARGE($I$7:$I$26,3)</f>
        <v>31905</v>
      </c>
      <c r="M72" s="392" t="str">
        <f>+INDEX($B$7:$B$26,MATCH(N72,$J$7:$J$26,0),1)</f>
        <v>C</v>
      </c>
      <c r="N72" s="393">
        <f>+LARGE($J$7:$J$26,3)</f>
        <v>31715</v>
      </c>
      <c r="O72" s="392" t="str">
        <f>+INDEX($B$7:$B$26,MATCH(P72,$K$7:$K$26,0),1)</f>
        <v>F</v>
      </c>
      <c r="P72" s="393">
        <f>+LARGE($K$7:$K$26,3)</f>
        <v>31375</v>
      </c>
      <c r="Q72" s="392" t="str">
        <f>+INDEX($B$7:$B$26,MATCH(R72,$L$7:$L$26,0),1)</f>
        <v>F</v>
      </c>
      <c r="R72" s="393">
        <f>+LARGE($L$7:$L$26,3)</f>
        <v>33643</v>
      </c>
      <c r="S72" s="392" t="str">
        <f>+INDEX($B$7:$B$26,MATCH(T72,$M$7:$M$26,0),1)</f>
        <v>F</v>
      </c>
      <c r="T72" s="393">
        <f>+LARGE($M$7:$M$26,3)</f>
        <v>35137</v>
      </c>
      <c r="U72" s="511" t="str">
        <f>+INDEX($B$7:$B$26,MATCH(V72,$N$7:$N$26,0),1)</f>
        <v>I</v>
      </c>
      <c r="V72" s="512">
        <f>+LARGE($N$7:$N$26,3)</f>
        <v>35543</v>
      </c>
      <c r="X72" s="505">
        <f>+V72/$BD$4</f>
        <v>0.12308709910895786</v>
      </c>
      <c r="Y72" s="515">
        <f>+B72/$AT$4</f>
        <v>0.11533749597492052</v>
      </c>
      <c r="Z72" s="516" t="str">
        <f>+A72</f>
        <v>I</v>
      </c>
    </row>
    <row r="73" spans="1:38">
      <c r="A73" s="392" t="str">
        <f>+INDEX($B$7:$B$26,MATCH(B73,$D$7:$D$26,0),1)</f>
        <v>F</v>
      </c>
      <c r="B73" s="393">
        <f>+LARGE($D$7:$D$26,4)</f>
        <v>27621</v>
      </c>
      <c r="C73" s="392" t="str">
        <f>+INDEX($B$7:$B$26,MATCH(D73,$E$7:$E$26,0),1)</f>
        <v>F</v>
      </c>
      <c r="D73" s="393">
        <f>+LARGE($E$7:$E$26,4)</f>
        <v>27400</v>
      </c>
      <c r="E73" s="392" t="str">
        <f>+INDEX($B$7:$B$26,MATCH(F73,$F$7:$F$26,0),1)</f>
        <v>F</v>
      </c>
      <c r="F73" s="393">
        <f>+LARGE($F$7:$F$26,4)</f>
        <v>27945</v>
      </c>
      <c r="G73" s="392" t="str">
        <f>+INDEX($B$7:$B$26,MATCH(H73,$G$7:$G$26,0),1)</f>
        <v>F</v>
      </c>
      <c r="H73" s="393">
        <f>+LARGE($G$7:$G$26,4)</f>
        <v>28669</v>
      </c>
      <c r="I73" s="392" t="str">
        <f>+INDEX($B$7:$B$26,MATCH(J73,$H$7:$H$26,0),1)</f>
        <v>F</v>
      </c>
      <c r="J73" s="393">
        <f>+LARGE($H$7:$H$26,4)</f>
        <v>29662</v>
      </c>
      <c r="K73" s="392" t="str">
        <f>+INDEX($B$7:$B$26,MATCH(L73,$I$7:$I$26,0),1)</f>
        <v>F</v>
      </c>
      <c r="L73" s="393">
        <f>+LARGE($I$7:$I$26,4)</f>
        <v>30134</v>
      </c>
      <c r="M73" s="392" t="str">
        <f>+INDEX($B$7:$B$26,MATCH(N73,$J$7:$J$26,0),1)</f>
        <v>F</v>
      </c>
      <c r="N73" s="393">
        <f>+LARGE($J$7:$J$26,4)</f>
        <v>31394</v>
      </c>
      <c r="O73" s="392" t="str">
        <f>+INDEX($B$7:$B$26,MATCH(P73,$K$7:$K$26,0),1)</f>
        <v>C</v>
      </c>
      <c r="P73" s="393">
        <f>+LARGE($K$7:$K$26,4)</f>
        <v>30818</v>
      </c>
      <c r="Q73" s="392" t="str">
        <f>+INDEX($B$7:$B$26,MATCH(R73,$L$7:$L$26,0),1)</f>
        <v>C</v>
      </c>
      <c r="R73" s="393">
        <f>+LARGE($L$7:$L$26,4)</f>
        <v>31733</v>
      </c>
      <c r="S73" s="392" t="str">
        <f>+INDEX($B$7:$B$26,MATCH(T73,$M$7:$M$26,0),1)</f>
        <v>C</v>
      </c>
      <c r="T73" s="393">
        <f>+LARGE($M$7:$M$26,4)</f>
        <v>31551</v>
      </c>
      <c r="U73" s="392" t="str">
        <f>+INDEX($B$7:$B$26,MATCH(V73,$N$7:$N$26,0),1)</f>
        <v>C</v>
      </c>
      <c r="V73" s="393">
        <f>+LARGE($N$7:$N$26,4)</f>
        <v>30548</v>
      </c>
      <c r="X73" s="634">
        <f>+V73/$BD$4</f>
        <v>0.10578917659118377</v>
      </c>
      <c r="Y73" s="579">
        <f>+B73/$AT$4</f>
        <v>0.1022314670535678</v>
      </c>
      <c r="Z73" s="518" t="str">
        <f>+A73</f>
        <v>F</v>
      </c>
    </row>
    <row r="74" spans="1:38" ht="13.5" thickBot="1">
      <c r="A74" s="392" t="str">
        <f>+INDEX($B$7:$B$26,MATCH(B74,$D$7:$D$26,0),1)</f>
        <v>M</v>
      </c>
      <c r="B74" s="393">
        <f>+LARGE($D$7:$D$26,5)</f>
        <v>21426</v>
      </c>
      <c r="C74" s="392" t="str">
        <f>+INDEX($B$7:$B$26,MATCH(D74,$E$7:$E$26,0),1)</f>
        <v>M</v>
      </c>
      <c r="D74" s="393">
        <f>+LARGE($E$7:$E$26,5)</f>
        <v>21717</v>
      </c>
      <c r="E74" s="392" t="str">
        <f>+INDEX($B$7:$B$26,MATCH(F74,$F$7:$F$26,0),1)</f>
        <v>M</v>
      </c>
      <c r="F74" s="393">
        <f>+LARGE($F$7:$F$26,5)</f>
        <v>22039</v>
      </c>
      <c r="G74" s="392" t="str">
        <f>+INDEX($B$7:$B$26,MATCH(H74,$G$7:$G$26,0),1)</f>
        <v>M</v>
      </c>
      <c r="H74" s="393">
        <f>+LARGE($G$7:$G$26,5)</f>
        <v>22524</v>
      </c>
      <c r="I74" s="392" t="str">
        <f>+INDEX($B$7:$B$26,MATCH(J74,$H$7:$H$26,0),1)</f>
        <v>M</v>
      </c>
      <c r="J74" s="393">
        <f>+LARGE($H$7:$H$26,5)</f>
        <v>23187</v>
      </c>
      <c r="K74" s="392" t="str">
        <f>+INDEX($B$7:$B$26,MATCH(L74,$I$7:$I$26,0),1)</f>
        <v>M</v>
      </c>
      <c r="L74" s="393">
        <f>+LARGE($I$7:$I$26,5)</f>
        <v>22977</v>
      </c>
      <c r="M74" s="392" t="str">
        <f>+INDEX($B$7:$B$26,MATCH(N74,$J$7:$J$26,0),1)</f>
        <v>M</v>
      </c>
      <c r="N74" s="393">
        <f>+LARGE($J$7:$J$26,5)</f>
        <v>23504</v>
      </c>
      <c r="O74" s="392" t="str">
        <f>+INDEX($B$7:$B$26,MATCH(P74,$K$7:$K$26,0),1)</f>
        <v>M</v>
      </c>
      <c r="P74" s="393">
        <f>+LARGE($K$7:$K$26,5)</f>
        <v>23335</v>
      </c>
      <c r="Q74" s="392" t="str">
        <f>+INDEX($B$7:$B$26,MATCH(R74,$L$7:$L$26,0),1)</f>
        <v>M</v>
      </c>
      <c r="R74" s="393">
        <f>+LARGE($L$7:$L$26,5)</f>
        <v>24442</v>
      </c>
      <c r="S74" s="392" t="str">
        <f>+INDEX($B$7:$B$26,MATCH(T74,$M$7:$M$26,0),1)</f>
        <v>M</v>
      </c>
      <c r="T74" s="393">
        <f>+LARGE($M$7:$M$26,5)</f>
        <v>25202</v>
      </c>
      <c r="U74" s="392" t="str">
        <f>+INDEX($B$7:$B$26,MATCH(V74,$N$7:$N$26,0),1)</f>
        <v>M</v>
      </c>
      <c r="V74" s="393">
        <f>+LARGE($N$7:$N$26,5)</f>
        <v>25302</v>
      </c>
      <c r="X74" s="397">
        <f>+V74/$BD$4</f>
        <v>8.7622029138082091E-2</v>
      </c>
      <c r="Y74" s="519">
        <f>+B74/$AT$4</f>
        <v>7.9302393580599678E-2</v>
      </c>
      <c r="Z74" s="520" t="str">
        <f>+A74</f>
        <v>M</v>
      </c>
    </row>
    <row r="75" spans="1:38">
      <c r="B75" s="505">
        <f>B70/$AT$4</f>
        <v>0.27466032030379633</v>
      </c>
    </row>
    <row r="76" spans="1:38">
      <c r="B76" s="505">
        <f>B71/$AT$4</f>
        <v>0.12175171459132951</v>
      </c>
    </row>
    <row r="77" spans="1:38" ht="13.5" thickBot="1">
      <c r="A77" s="383" t="s">
        <v>204</v>
      </c>
      <c r="B77" s="505">
        <f>B72/$AT$4</f>
        <v>0.11533749597492052</v>
      </c>
    </row>
    <row r="78" spans="1:38">
      <c r="A78" s="386"/>
      <c r="B78" s="391">
        <f>+B69</f>
        <v>2014</v>
      </c>
      <c r="C78" s="391"/>
      <c r="D78" s="391">
        <f t="shared" ref="D78:V78" si="19">+D69</f>
        <v>2015</v>
      </c>
      <c r="E78" s="391"/>
      <c r="F78" s="391">
        <f t="shared" si="19"/>
        <v>2016</v>
      </c>
      <c r="G78" s="391"/>
      <c r="H78" s="391">
        <f t="shared" si="19"/>
        <v>2017</v>
      </c>
      <c r="I78" s="391"/>
      <c r="J78" s="391">
        <f t="shared" si="19"/>
        <v>2018</v>
      </c>
      <c r="K78" s="391"/>
      <c r="L78" s="391">
        <f t="shared" si="19"/>
        <v>2019</v>
      </c>
      <c r="M78" s="391"/>
      <c r="N78" s="391">
        <f t="shared" si="19"/>
        <v>2020</v>
      </c>
      <c r="O78" s="391"/>
      <c r="P78" s="391">
        <f t="shared" si="19"/>
        <v>2021</v>
      </c>
      <c r="Q78" s="391"/>
      <c r="R78" s="391">
        <f t="shared" si="19"/>
        <v>2022</v>
      </c>
      <c r="S78" s="391"/>
      <c r="T78" s="391">
        <f t="shared" si="19"/>
        <v>2023</v>
      </c>
      <c r="U78" s="391"/>
      <c r="V78" s="391">
        <f t="shared" si="19"/>
        <v>2024</v>
      </c>
      <c r="X78" s="384" t="str">
        <f>+V78&amp;" - % do total"</f>
        <v>2024 - % do total</v>
      </c>
      <c r="Y78" s="939" t="str">
        <f>+"em "&amp;B78</f>
        <v>em 2014</v>
      </c>
      <c r="Z78" s="940"/>
    </row>
    <row r="79" spans="1:38">
      <c r="A79" s="392" t="str">
        <f>+INDEX($B$31:$B$50,MATCH(B79,$D$31:$D$50,0),1)</f>
        <v>G</v>
      </c>
      <c r="B79" s="393">
        <f>+LARGE($D$31:$D$50,1)</f>
        <v>94440</v>
      </c>
      <c r="C79" s="392" t="str">
        <f>+INDEX($B$31:$B$50,MATCH(D79,$E$31:$E$50,0),1)</f>
        <v>G</v>
      </c>
      <c r="D79" s="393">
        <f>+LARGE($E$31:$E$50,1)</f>
        <v>94937</v>
      </c>
      <c r="E79" s="392" t="str">
        <f>+INDEX($B$31:$B$50,MATCH(F79,$F$31:$F$50,0),1)</f>
        <v>G</v>
      </c>
      <c r="F79" s="393">
        <f>+LARGE($F$31:$F$50,1)</f>
        <v>94933</v>
      </c>
      <c r="G79" s="392" t="str">
        <f>+INDEX($B$31:$B$50,MATCH(H79,$G$31:$G$50,0),1)</f>
        <v>G</v>
      </c>
      <c r="H79" s="393">
        <f>+LARGE($G$31:$G$50,1)</f>
        <v>94292</v>
      </c>
      <c r="I79" s="392" t="str">
        <f>+INDEX($B$31:$B$50,MATCH(J79,$H$31:$H$50,0),1)</f>
        <v>G</v>
      </c>
      <c r="J79" s="393">
        <f>+LARGE($H$31:$H$50,1)</f>
        <v>93805</v>
      </c>
      <c r="K79" s="392" t="str">
        <f>+INDEX($B$31:$B$50,MATCH(L79,$I$31:$I$50,0),1)</f>
        <v>G</v>
      </c>
      <c r="L79" s="393">
        <f>+LARGE($I$31:$I$50,1)</f>
        <v>90517</v>
      </c>
      <c r="M79" s="392" t="str">
        <f>+INDEX($B$31:$B$50,MATCH(N79,$J$31:$J$50,0),1)</f>
        <v>G</v>
      </c>
      <c r="N79" s="393">
        <f>+LARGE($J$31:$J$50,1)</f>
        <v>89750</v>
      </c>
      <c r="O79" s="392" t="str">
        <f>+INDEX($B$31:$B$50,MATCH(P79,$K$31:$K$50,0),1)</f>
        <v>G</v>
      </c>
      <c r="P79" s="393">
        <f>+LARGE($K$31:$K$50,1)</f>
        <v>87838</v>
      </c>
      <c r="Q79" s="392" t="str">
        <f>+INDEX($B$31:$B$50,MATCH(R79,$L$31:$L$50,0),1)</f>
        <v>G</v>
      </c>
      <c r="R79" s="393">
        <f>+LARGE($L$31:$L$50,1)</f>
        <v>90136</v>
      </c>
      <c r="S79" s="392" t="str">
        <f>+INDEX($B$31:$B$50,MATCH(T79,$M$31:$M$50,0),1)</f>
        <v>G</v>
      </c>
      <c r="T79" s="393">
        <f>+LARGE($M$31:$M$50,1)</f>
        <v>90639</v>
      </c>
      <c r="U79" s="511" t="str">
        <f>+INDEX($B$31:$B$50,MATCH(V79,$N$31:$N$50,0),1)</f>
        <v>G</v>
      </c>
      <c r="V79" s="393">
        <f>+LARGE($N$31:$N$50,1)</f>
        <v>88516</v>
      </c>
      <c r="X79" s="505">
        <f>+V79/$BD$5</f>
        <v>0.26186151361137899</v>
      </c>
      <c r="Y79" s="515">
        <f>+B79/$AT$5</f>
        <v>0.29615599305080814</v>
      </c>
      <c r="Z79" s="516" t="str">
        <f>+A79</f>
        <v>G</v>
      </c>
      <c r="AB79" s="412">
        <f>+B79/$BD$5</f>
        <v>0.27938679273192002</v>
      </c>
      <c r="AC79" s="412">
        <f>+D79/$BD$5</f>
        <v>0.28085709383301877</v>
      </c>
      <c r="AD79" s="412">
        <f>+F79/$BD$5</f>
        <v>0.28084526042375441</v>
      </c>
      <c r="AE79" s="412">
        <f>+H79/$BD$5</f>
        <v>0.2789489565891381</v>
      </c>
      <c r="AF79" s="412">
        <f>+J79/$BD$5</f>
        <v>0.27750823901120031</v>
      </c>
      <c r="AG79" s="412">
        <f>+L79/$BD$5</f>
        <v>0.26778117659588313</v>
      </c>
      <c r="AH79" s="412">
        <f>+N79/$BD$5</f>
        <v>0.26551212036943905</v>
      </c>
      <c r="AI79" s="412">
        <f>+P79/$BD$5</f>
        <v>0.25985575074106726</v>
      </c>
      <c r="AJ79" s="412">
        <f>+R79/$BD$5</f>
        <v>0.26665404436345136</v>
      </c>
      <c r="AK79" s="412">
        <f>+T79/$BD$5</f>
        <v>0.26814209557844665</v>
      </c>
      <c r="AL79" s="412">
        <f>+V79/$BD$5</f>
        <v>0.26186151361137899</v>
      </c>
    </row>
    <row r="80" spans="1:38">
      <c r="A80" s="392" t="str">
        <f>+INDEX($B$31:$B$50,MATCH(B80,$D$31:$D$50,0),1)</f>
        <v>C</v>
      </c>
      <c r="B80" s="393">
        <f>+LARGE($D$31:$D$50,2)</f>
        <v>36167</v>
      </c>
      <c r="C80" s="392" t="str">
        <f>+INDEX($B$31:$B$50,MATCH(D80,$E$31:$E$50,0),1)</f>
        <v>C</v>
      </c>
      <c r="D80" s="393">
        <f>+LARGE($E$31:$E$50,2)</f>
        <v>36172</v>
      </c>
      <c r="E80" s="392" t="str">
        <f>+INDEX($B$31:$B$50,MATCH(F80,$F$31:$F$50,0),1)</f>
        <v>I</v>
      </c>
      <c r="F80" s="393">
        <f>+LARGE($F$31:$F$50,2)</f>
        <v>37220</v>
      </c>
      <c r="G80" s="392" t="str">
        <f>+INDEX($B$31:$B$50,MATCH(H80,$G$31:$G$50,0),1)</f>
        <v>I</v>
      </c>
      <c r="H80" s="393">
        <f>+LARGE($G$31:$G$50,2)</f>
        <v>38276</v>
      </c>
      <c r="I80" s="392" t="str">
        <f>+INDEX($B$31:$B$50,MATCH(J80,$H$31:$H$50,0),1)</f>
        <v>I</v>
      </c>
      <c r="J80" s="393">
        <f>+LARGE($H$31:$H$50,2)</f>
        <v>39308</v>
      </c>
      <c r="K80" s="392" t="str">
        <f>+INDEX($B$31:$B$50,MATCH(L80,$I$31:$I$50,0),1)</f>
        <v>I</v>
      </c>
      <c r="L80" s="393">
        <f>+LARGE($I$31:$I$50,2)</f>
        <v>38184</v>
      </c>
      <c r="M80" s="392" t="str">
        <f>+INDEX($B$31:$B$50,MATCH(N80,$J$31:$J$50,0),1)</f>
        <v>I</v>
      </c>
      <c r="N80" s="393">
        <f>+LARGE($J$31:$J$50,2)</f>
        <v>37633</v>
      </c>
      <c r="O80" s="392" t="str">
        <f>+INDEX($B$31:$B$50,MATCH(P80,$K$31:$K$50,0),1)</f>
        <v>I</v>
      </c>
      <c r="P80" s="393">
        <f>+LARGE($K$31:$K$50,2)</f>
        <v>36899</v>
      </c>
      <c r="Q80" s="392" t="str">
        <f>+INDEX($B$31:$B$50,MATCH(R80,$L$31:$L$50,0),1)</f>
        <v>I</v>
      </c>
      <c r="R80" s="393">
        <f>+LARGE($L$31:$L$50,2)</f>
        <v>39006</v>
      </c>
      <c r="S80" s="392" t="str">
        <f>+INDEX($B$31:$B$50,MATCH(T80,$M$31:$M$50,0),1)</f>
        <v>I</v>
      </c>
      <c r="T80" s="393">
        <f>+LARGE($M$31:$M$50,2)</f>
        <v>40412</v>
      </c>
      <c r="U80" s="511" t="str">
        <f>+INDEX($B$31:$B$50,MATCH(V80,$N$31:$N$50,0),1)</f>
        <v>I</v>
      </c>
      <c r="V80" s="393">
        <f>+LARGE($N$31:$N$50,2)</f>
        <v>40387</v>
      </c>
      <c r="X80" s="505">
        <f>+V80/$BD$5</f>
        <v>0.11947897499008953</v>
      </c>
      <c r="Y80" s="515">
        <f t="shared" ref="Y80:Y83" si="20">+B80/$AT$5</f>
        <v>0.11341670691093368</v>
      </c>
      <c r="Z80" s="516" t="str">
        <f t="shared" ref="Z80:Z83" si="21">+A80</f>
        <v>C</v>
      </c>
    </row>
    <row r="81" spans="1:27">
      <c r="A81" s="392" t="str">
        <f>+INDEX($B$31:$B$50,MATCH(B81,$D$31:$D$50,0),1)</f>
        <v>I</v>
      </c>
      <c r="B81" s="393">
        <f>+LARGE($D$31:$D$50,3)</f>
        <v>34983</v>
      </c>
      <c r="C81" s="392" t="str">
        <f>+INDEX($B$31:$B$50,MATCH(D81,$E$31:$E$50,0),1)</f>
        <v>I</v>
      </c>
      <c r="D81" s="393">
        <f>+LARGE($E$31:$E$50,3)</f>
        <v>36106</v>
      </c>
      <c r="E81" s="392" t="str">
        <f>+INDEX($B$31:$B$50,MATCH(F81,$F$31:$F$50,0),1)</f>
        <v>C</v>
      </c>
      <c r="F81" s="393">
        <f>+LARGE($F$31:$F$50,3)</f>
        <v>36485</v>
      </c>
      <c r="G81" s="392" t="str">
        <f>+INDEX($B$31:$B$50,MATCH(H81,$G$31:$G$50,0),1)</f>
        <v>C</v>
      </c>
      <c r="H81" s="393">
        <f>+LARGE($G$31:$G$50,3)</f>
        <v>36402</v>
      </c>
      <c r="I81" s="392" t="str">
        <f>+INDEX($B$31:$B$50,MATCH(J81,$H$31:$H$50,0),1)</f>
        <v>C</v>
      </c>
      <c r="J81" s="393">
        <f>+LARGE($H$31:$H$50,3)</f>
        <v>36243</v>
      </c>
      <c r="K81" s="392" t="str">
        <f>+INDEX($B$31:$B$50,MATCH(L81,$I$31:$I$50,0),1)</f>
        <v>C</v>
      </c>
      <c r="L81" s="393">
        <f>+LARGE($I$31:$I$50,3)</f>
        <v>34835</v>
      </c>
      <c r="M81" s="392" t="str">
        <f>+INDEX($B$31:$B$50,MATCH(N81,$J$31:$J$50,0),1)</f>
        <v>C</v>
      </c>
      <c r="N81" s="393">
        <f>+LARGE($J$31:$J$50,3)</f>
        <v>34676</v>
      </c>
      <c r="O81" s="392" t="str">
        <f>+INDEX($B$31:$B$50,MATCH(P81,$K$31:$K$50,0),1)</f>
        <v>C</v>
      </c>
      <c r="P81" s="393">
        <f>+LARGE($K$31:$K$50,3)</f>
        <v>33711</v>
      </c>
      <c r="Q81" s="392" t="str">
        <f>+INDEX($B$31:$B$50,MATCH(R81,$L$31:$L$50,0),1)</f>
        <v>C</v>
      </c>
      <c r="R81" s="393">
        <f>+LARGE($L$31:$L$50,3)</f>
        <v>34690</v>
      </c>
      <c r="S81" s="392" t="str">
        <f>+INDEX($B$31:$B$50,MATCH(T81,$M$31:$M$50,0),1)</f>
        <v>F</v>
      </c>
      <c r="T81" s="393">
        <f>+LARGE($M$31:$M$50,3)</f>
        <v>35793</v>
      </c>
      <c r="U81" s="511" t="str">
        <f>+INDEX($B$31:$B$50,MATCH(V81,$N$31:$N$50,0),1)</f>
        <v>F</v>
      </c>
      <c r="V81" s="393">
        <f>+LARGE($N$31:$N$50,3)</f>
        <v>36253</v>
      </c>
      <c r="X81" s="505">
        <f>+V81/$BD$5</f>
        <v>0.1072491465153568</v>
      </c>
      <c r="Y81" s="515">
        <f t="shared" si="20"/>
        <v>0.10970378128861098</v>
      </c>
      <c r="Z81" s="516" t="str">
        <f t="shared" si="21"/>
        <v>I</v>
      </c>
    </row>
    <row r="82" spans="1:27">
      <c r="A82" s="392" t="str">
        <f>+INDEX($B$31:$B$50,MATCH(B82,$D$31:$D$50,0),1)</f>
        <v>F</v>
      </c>
      <c r="B82" s="393">
        <f>+LARGE($D$31:$D$50,4)</f>
        <v>28421</v>
      </c>
      <c r="C82" s="392" t="str">
        <f>+INDEX($B$31:$B$50,MATCH(D82,$E$31:$E$50,0),1)</f>
        <v>F</v>
      </c>
      <c r="D82" s="393">
        <f>+LARGE($E$31:$E$50,4)</f>
        <v>28140</v>
      </c>
      <c r="E82" s="392" t="str">
        <f>+INDEX($B$31:$B$50,MATCH(F82,$F$31:$F$50,0),1)</f>
        <v>F</v>
      </c>
      <c r="F82" s="393">
        <f>+LARGE($F$31:$F$50,4)</f>
        <v>28678</v>
      </c>
      <c r="G82" s="392" t="str">
        <f>+INDEX($B$31:$B$50,MATCH(H82,$G$31:$G$50,0),1)</f>
        <v>F</v>
      </c>
      <c r="H82" s="393">
        <f>+LARGE($G$31:$G$50,4)</f>
        <v>29363</v>
      </c>
      <c r="I82" s="392" t="str">
        <f>+INDEX($B$31:$B$50,MATCH(J82,$H$31:$H$50,0),1)</f>
        <v>F</v>
      </c>
      <c r="J82" s="393">
        <f>+LARGE($H$31:$H$50,4)</f>
        <v>30329</v>
      </c>
      <c r="K82" s="392" t="str">
        <f>+INDEX($B$31:$B$50,MATCH(L82,$I$31:$I$50,0),1)</f>
        <v>F</v>
      </c>
      <c r="L82" s="393">
        <f>+LARGE($I$31:$I$50,4)</f>
        <v>30816</v>
      </c>
      <c r="M82" s="392" t="str">
        <f>+INDEX($B$31:$B$50,MATCH(N82,$J$31:$J$50,0),1)</f>
        <v>F</v>
      </c>
      <c r="N82" s="393">
        <f>+LARGE($J$31:$J$50,4)</f>
        <v>32069</v>
      </c>
      <c r="O82" s="392" t="str">
        <f>+INDEX($B$31:$B$50,MATCH(P82,$K$31:$K$50,0),1)</f>
        <v>F</v>
      </c>
      <c r="P82" s="393">
        <f>+LARGE($K$31:$K$50,4)</f>
        <v>32036</v>
      </c>
      <c r="Q82" s="392" t="str">
        <f>+INDEX($B$31:$B$50,MATCH(R82,$L$31:$L$50,0),1)</f>
        <v>F</v>
      </c>
      <c r="R82" s="393">
        <f>+LARGE($L$31:$L$50,4)</f>
        <v>34322</v>
      </c>
      <c r="S82" s="392" t="str">
        <f>+INDEX($B$31:$B$50,MATCH(T82,$M$31:$M$50,0),1)</f>
        <v>C</v>
      </c>
      <c r="T82" s="393">
        <f>+LARGE($M$31:$M$50,4)</f>
        <v>34549</v>
      </c>
      <c r="U82" s="392" t="str">
        <f>+INDEX($B$31:$B$50,MATCH(V82,$N$31:$N$50,0),1)</f>
        <v>C</v>
      </c>
      <c r="V82" s="393">
        <f>+LARGE($N$31:$N$50,4)</f>
        <v>33564</v>
      </c>
      <c r="X82" s="634">
        <f>+V82/$BD$5</f>
        <v>9.9294137137379959E-2</v>
      </c>
      <c r="Y82" s="579">
        <f t="shared" si="20"/>
        <v>8.9125894520298787E-2</v>
      </c>
      <c r="Z82" s="518" t="str">
        <f t="shared" si="21"/>
        <v>F</v>
      </c>
    </row>
    <row r="83" spans="1:27" ht="13.5" thickBot="1">
      <c r="A83" s="392" t="str">
        <f>+INDEX($B$31:$B$50,MATCH(B83,$D$31:$D$50,0),1)</f>
        <v>M</v>
      </c>
      <c r="B83" s="393">
        <f>+LARGE($D$31:$D$50,5)</f>
        <v>22569</v>
      </c>
      <c r="C83" s="392" t="str">
        <f>+INDEX($B$31:$B$50,MATCH(D83,$E$31:$E$50,0),1)</f>
        <v>M</v>
      </c>
      <c r="D83" s="393">
        <f>+LARGE($E$31:$E$50,5)</f>
        <v>22865</v>
      </c>
      <c r="E83" s="392" t="str">
        <f>+INDEX($B$31:$B$50,MATCH(F83,$F$31:$F$50,0),1)</f>
        <v>M</v>
      </c>
      <c r="F83" s="393">
        <f>+LARGE($F$31:$F$50,5)</f>
        <v>23189</v>
      </c>
      <c r="G83" s="392" t="str">
        <f>+INDEX($B$31:$B$50,MATCH(H83,$G$31:$G$50,0),1)</f>
        <v>M</v>
      </c>
      <c r="H83" s="393">
        <f>+LARGE($G$31:$G$50,5)</f>
        <v>23749</v>
      </c>
      <c r="I83" s="392" t="str">
        <f>+INDEX($B$31:$B$50,MATCH(J83,$H$31:$H$50,0),1)</f>
        <v>M</v>
      </c>
      <c r="J83" s="393">
        <f>+LARGE($H$31:$H$50,5)</f>
        <v>24467</v>
      </c>
      <c r="K83" s="392" t="str">
        <f>+INDEX($B$31:$B$50,MATCH(L83,$I$31:$I$50,0),1)</f>
        <v>M</v>
      </c>
      <c r="L83" s="393">
        <f>+LARGE($I$31:$I$50,5)</f>
        <v>24250</v>
      </c>
      <c r="M83" s="392" t="str">
        <f>+INDEX($B$31:$B$50,MATCH(N83,$J$31:$J$50,0),1)</f>
        <v>M</v>
      </c>
      <c r="N83" s="393">
        <f>+LARGE($J$31:$J$50,5)</f>
        <v>24826</v>
      </c>
      <c r="O83" s="392" t="str">
        <f>+INDEX($B$31:$B$50,MATCH(P83,$K$31:$K$50,0),1)</f>
        <v>M</v>
      </c>
      <c r="P83" s="393">
        <f>+LARGE($K$31:$K$50,5)</f>
        <v>24675</v>
      </c>
      <c r="Q83" s="392" t="str">
        <f>+INDEX($B$31:$B$50,MATCH(R83,$L$31:$L$50,0),1)</f>
        <v>M</v>
      </c>
      <c r="R83" s="393">
        <f>+LARGE($L$31:$L$50,5)</f>
        <v>25874</v>
      </c>
      <c r="S83" s="392" t="str">
        <f>+INDEX($B$31:$B$50,MATCH(T83,$M$31:$M$50,0),1)</f>
        <v>M</v>
      </c>
      <c r="T83" s="393">
        <f>+LARGE($M$31:$M$50,5)</f>
        <v>26684</v>
      </c>
      <c r="U83" s="392" t="str">
        <f>+INDEX($B$31:$B$50,MATCH(V83,$N$31:$N$50,0),1)</f>
        <v>M</v>
      </c>
      <c r="V83" s="393">
        <f>+LARGE($N$31:$N$50,5)</f>
        <v>26878</v>
      </c>
      <c r="X83" s="397">
        <f>+V83/$BD$5</f>
        <v>7.9514593551975293E-2</v>
      </c>
      <c r="Y83" s="519">
        <f t="shared" si="20"/>
        <v>7.0774508758615934E-2</v>
      </c>
      <c r="Z83" s="520" t="str">
        <f t="shared" si="21"/>
        <v>M</v>
      </c>
    </row>
    <row r="84" spans="1:27">
      <c r="B84" s="397">
        <f>B79/$AT$5</f>
        <v>0.29615599305080814</v>
      </c>
    </row>
    <row r="85" spans="1:27">
      <c r="B85" s="397">
        <f t="shared" ref="B85" si="22">B80/$AT$5</f>
        <v>0.11341670691093368</v>
      </c>
    </row>
    <row r="86" spans="1:27">
      <c r="B86" s="397">
        <f>B81/$AT$5</f>
        <v>0.10970378128861098</v>
      </c>
    </row>
    <row r="88" spans="1:27">
      <c r="R88" s="384" t="s">
        <v>392</v>
      </c>
    </row>
    <row r="89" spans="1:27">
      <c r="A89" s="383" t="s">
        <v>219</v>
      </c>
      <c r="D89" s="384">
        <f>+D6</f>
        <v>2014</v>
      </c>
      <c r="E89" s="384">
        <f t="shared" ref="E89:N89" si="23">+E6</f>
        <v>2015</v>
      </c>
      <c r="F89" s="384">
        <f t="shared" si="23"/>
        <v>2016</v>
      </c>
      <c r="G89" s="384">
        <f t="shared" si="23"/>
        <v>2017</v>
      </c>
      <c r="H89" s="384">
        <f t="shared" si="23"/>
        <v>2018</v>
      </c>
      <c r="I89" s="384">
        <f t="shared" si="23"/>
        <v>2019</v>
      </c>
      <c r="J89" s="384">
        <f t="shared" si="23"/>
        <v>2020</v>
      </c>
      <c r="K89" s="384">
        <f t="shared" si="23"/>
        <v>2021</v>
      </c>
      <c r="L89" s="384">
        <f t="shared" si="23"/>
        <v>2022</v>
      </c>
      <c r="M89" s="384">
        <f t="shared" si="23"/>
        <v>2023</v>
      </c>
      <c r="N89" s="384">
        <f t="shared" si="23"/>
        <v>2024</v>
      </c>
      <c r="R89" s="384" t="s">
        <v>237</v>
      </c>
    </row>
    <row r="90" spans="1:27">
      <c r="B90" s="383" t="str">
        <f>+B27</f>
        <v>Micro (1-9 pessoas)</v>
      </c>
      <c r="C90" s="383"/>
      <c r="D90">
        <f>+'q2'!$B$6+'q2'!$B$7</f>
        <v>229780</v>
      </c>
      <c r="E90">
        <f>+'q2'!$C$6+'q2'!$C$7</f>
        <v>231213</v>
      </c>
      <c r="F90">
        <f>+'q2'!$D$6+'q2'!$D$7</f>
        <v>233164</v>
      </c>
      <c r="G90">
        <f>+'q2'!$E$6+'q2'!$E$7</f>
        <v>233903</v>
      </c>
      <c r="H90">
        <f>+'q2'!$F$6+'q2'!$F$7</f>
        <v>235072</v>
      </c>
      <c r="I90">
        <f>+'q2'!$G$6+'q2'!$G$7</f>
        <v>227861</v>
      </c>
      <c r="J90">
        <f>+'q2'!$H$6+'q2'!$H$7</f>
        <v>230234</v>
      </c>
      <c r="K90">
        <f>+'q2'!$I$6+'q2'!$I$7</f>
        <v>224289</v>
      </c>
      <c r="L90">
        <f>+'q2'!$J$6+'q2'!$J$7</f>
        <v>233788</v>
      </c>
      <c r="M90">
        <f>+'q2'!$K$6+'q2'!$K$7</f>
        <v>237708</v>
      </c>
      <c r="N90">
        <f>+'q2'!$L$6+'q2'!$L$7</f>
        <v>234618</v>
      </c>
      <c r="R90" s="384" t="s">
        <v>215</v>
      </c>
      <c r="X90" s="384" t="s">
        <v>216</v>
      </c>
    </row>
    <row r="91" spans="1:27">
      <c r="B91" s="383" t="str">
        <f t="shared" ref="B91:B93" si="24">+B28</f>
        <v>Pequenas (10 - 49 pessoas)</v>
      </c>
      <c r="C91" s="383"/>
      <c r="D91">
        <f>+'q2'!$B$8+'q2'!$B$9</f>
        <v>33792</v>
      </c>
      <c r="E91">
        <f>+'q2'!$C$8+'q2'!$C$9</f>
        <v>34986</v>
      </c>
      <c r="F91">
        <f>+'q2'!$D$8+'q2'!$D$9</f>
        <v>35995</v>
      </c>
      <c r="G91">
        <f>+'q2'!$E$8+'q2'!$E$9</f>
        <v>37757</v>
      </c>
      <c r="H91">
        <f>+'q2'!$F$8+'q2'!$F$9</f>
        <v>39285</v>
      </c>
      <c r="I91">
        <f>+'q2'!$G$8+'q2'!$G$9</f>
        <v>39814</v>
      </c>
      <c r="J91">
        <f>+'q2'!$H$8+'q2'!$H$9</f>
        <v>39436</v>
      </c>
      <c r="K91">
        <f>+'q2'!$I$8+'q2'!$I$9</f>
        <v>39403</v>
      </c>
      <c r="L91">
        <f>+'q2'!$J$8+'q2'!$J$9</f>
        <v>42196</v>
      </c>
      <c r="M91">
        <f>+'q2'!$K$8+'q2'!$K$9</f>
        <v>44179</v>
      </c>
      <c r="N91">
        <f>+'q2'!$L$8+'q2'!$L$9</f>
        <v>44619</v>
      </c>
      <c r="R91" t="str">
        <f>+"Entre "&amp;$D$89&amp;" e "&amp;$N$89&amp;":"</f>
        <v>Entre 2014 e 2024:</v>
      </c>
      <c r="X91" t="str">
        <f>+"Entre "&amp;$D$89&amp;" e "&amp;$N$89&amp;":"</f>
        <v>Entre 2014 e 2024:</v>
      </c>
    </row>
    <row r="92" spans="1:27">
      <c r="B92" s="383" t="str">
        <f t="shared" si="24"/>
        <v>Médias (50 - 249 pessoas)</v>
      </c>
      <c r="C92" s="383"/>
      <c r="D92">
        <f>+'q2'!$B$10+'q2'!$B$11+'q2'!$B$12+'q2'!$B$13</f>
        <v>5763</v>
      </c>
      <c r="E92">
        <f>+'q2'!$C$10+'q2'!$C$11+'q2'!$C$12+'q2'!$C$13</f>
        <v>5976</v>
      </c>
      <c r="F92">
        <f>+'q2'!$D$10+'q2'!$D$11+'q2'!$D$12+'q2'!$D$13</f>
        <v>6231</v>
      </c>
      <c r="G92">
        <f>+'q2'!$E$10+'q2'!$E$11+'q2'!$E$12+'q2'!$E$13</f>
        <v>6533</v>
      </c>
      <c r="H92">
        <f>+'q2'!$F$10+'q2'!$F$11+'q2'!$F$12+'q2'!$F$13</f>
        <v>6824</v>
      </c>
      <c r="I92">
        <f>+'q2'!$G$10+'q2'!$G$11+'q2'!$G$12+'q2'!$G$13</f>
        <v>6978</v>
      </c>
      <c r="J92">
        <f>+'q2'!$H$10+'q2'!$H$11+'q2'!$H$12+'q2'!$H$13</f>
        <v>6898</v>
      </c>
      <c r="K92">
        <f>+'q2'!$I$10+'q2'!$I$11+'q2'!$I$12+'q2'!$I$13</f>
        <v>7034</v>
      </c>
      <c r="L92">
        <f>+'q2'!$J$10+'q2'!$J$11+'q2'!$J$12+'q2'!$J$13</f>
        <v>7691</v>
      </c>
      <c r="M92">
        <f>+'q2'!$K$10+'q2'!$K$11+'q2'!$K$12+'q2'!$K$13</f>
        <v>8089</v>
      </c>
      <c r="N92">
        <f>+'q2'!$L$10+'q2'!$L$11+'q2'!$L$12+'q2'!$L$13</f>
        <v>8207</v>
      </c>
      <c r="Q92" t="str">
        <f>+LEFT($B$90,FIND(" ",$B$90,1))</f>
        <v xml:space="preserve">Micro </v>
      </c>
      <c r="R92" t="str">
        <f>+Q92&amp;"e "&amp;Q93&amp;R90&amp;" representam cerca de "</f>
        <v xml:space="preserve">Micro e Pequenas empresas representam cerca de </v>
      </c>
      <c r="W92" t="str">
        <f>+LEFT($B$105,FIND(" ",$B$90,1))</f>
        <v xml:space="preserve">Micro </v>
      </c>
      <c r="X92" t="str">
        <f>+W92&amp;"e "&amp;W93&amp;X90&amp;" representam cerca de "</f>
        <v xml:space="preserve">Micro e Pequenos estabelecimentos representam cerca de </v>
      </c>
    </row>
    <row r="93" spans="1:27">
      <c r="B93" s="383" t="str">
        <f t="shared" si="24"/>
        <v>Grandes (250 ou + pessoas)</v>
      </c>
      <c r="C93" s="383"/>
      <c r="D93">
        <f>+'q2'!$B$14+'q2'!$B$15+'q2'!$B$16</f>
        <v>846</v>
      </c>
      <c r="E93">
        <f>+'q2'!$C$14+'q2'!$C$15+'q2'!$C$16</f>
        <v>885</v>
      </c>
      <c r="F93">
        <f>+'q2'!$D$14+'q2'!$D$15+'q2'!$D$16</f>
        <v>942</v>
      </c>
      <c r="G93">
        <f>+'q2'!$E$14+'q2'!$E$15+'q2'!$E$16</f>
        <v>998</v>
      </c>
      <c r="H93">
        <f>+'q2'!$F$14+'q2'!$F$15+'q2'!$F$16</f>
        <v>1055</v>
      </c>
      <c r="I93">
        <f>+'q2'!$G$14+'q2'!$G$15+'q2'!$G$16</f>
        <v>1098</v>
      </c>
      <c r="J93">
        <f>+'q2'!$H$14+'q2'!$H$15+'q2'!$H$16</f>
        <v>1073</v>
      </c>
      <c r="K93">
        <f>+'q2'!$I$14+'q2'!$I$15+'q2'!$I$16</f>
        <v>1080</v>
      </c>
      <c r="L93">
        <f>+'q2'!$J$14+'q2'!$J$15+'q2'!$J$16</f>
        <v>1185</v>
      </c>
      <c r="M93">
        <f>+'q2'!$K$14+'q2'!$K$15+'q2'!$K$16</f>
        <v>1276</v>
      </c>
      <c r="N93">
        <f>+'q2'!$L$14+'q2'!$L$15+'q2'!$L$16</f>
        <v>1319</v>
      </c>
      <c r="Q93" t="str">
        <f>+LEFT($B$91,FIND(" ",$B$91,1))</f>
        <v xml:space="preserve">Pequenas </v>
      </c>
      <c r="R93" t="str">
        <f>+TEXT($P$100,"##.###%")</f>
        <v>97%</v>
      </c>
      <c r="S93" t="s">
        <v>442</v>
      </c>
      <c r="W93" t="str">
        <f>+LEFT($B$106,FIND(" ",$B$91,1))</f>
        <v xml:space="preserve">Pequenos </v>
      </c>
      <c r="X93" t="str">
        <f>+TEXT(P115,"##.###%")</f>
        <v>97%</v>
      </c>
      <c r="Y93" t="s">
        <v>442</v>
      </c>
    </row>
    <row r="94" spans="1:27">
      <c r="R94" t="str">
        <f>+$Q$92&amp;$R$90&amp;" "&amp;$Q$95&amp;": entre "</f>
        <v xml:space="preserve">Micro empresas (1-9 pessoas): entre </v>
      </c>
      <c r="X94" t="str">
        <f>+$W$92&amp;$X$90&amp;" "&amp;$W$95&amp;": entre "</f>
        <v xml:space="preserve">Micro estabelecimentos (1-9 pessoas): entre </v>
      </c>
    </row>
    <row r="95" spans="1:27">
      <c r="D95" s="397">
        <f>+D90/$AT$4</f>
        <v>0.85046690922011536</v>
      </c>
      <c r="E95" s="397">
        <f>+E90/$AU$4</f>
        <v>0.84674796747967485</v>
      </c>
      <c r="F95" s="397">
        <f>+F90/$AV$4</f>
        <v>0.84378211716341212</v>
      </c>
      <c r="G95" s="397">
        <f>+G90/$AW$4</f>
        <v>0.83778846739328994</v>
      </c>
      <c r="H95" s="397">
        <f>+H90/$AX$4</f>
        <v>0.8328916226136992</v>
      </c>
      <c r="I95" s="397">
        <f>+I90/$AY$4</f>
        <v>0.82632882564342469</v>
      </c>
      <c r="J95" s="397">
        <f>+J90/$AZ$4</f>
        <v>0.82925072305603276</v>
      </c>
      <c r="K95" s="397">
        <f>+K90/$BA$4</f>
        <v>0.82518045959250352</v>
      </c>
      <c r="L95" s="397">
        <f>+L90/$BB$4</f>
        <v>0.8207119286667135</v>
      </c>
      <c r="M95" s="397">
        <f>+M90/$BC$4</f>
        <v>0.81615920234024142</v>
      </c>
      <c r="N95" s="397">
        <f>+N90/$BD$4</f>
        <v>0.81249329034536977</v>
      </c>
      <c r="Q95" t="str">
        <f>+RIGHT($B$90,13)</f>
        <v>(1-9 pessoas)</v>
      </c>
      <c r="R95">
        <f>+SMALL($D$95:$N$95,1)</f>
        <v>0.81249329034536977</v>
      </c>
      <c r="S95" t="str">
        <f>+TEXT(R95,"##.###,0%")</f>
        <v>81,2%</v>
      </c>
      <c r="T95">
        <f>+HLOOKUP(R95,$D$95:$N$104,10,0)</f>
        <v>2024</v>
      </c>
      <c r="U95" s="383" t="s">
        <v>726</v>
      </c>
      <c r="W95" t="str">
        <f>+RIGHT($B$105,13)</f>
        <v>(1-9 pessoas)</v>
      </c>
      <c r="X95">
        <f>+SMALL($D$110:$N$110,1)</f>
        <v>0.80847627105607256</v>
      </c>
      <c r="Y95" t="str">
        <f>+TEXT(X95,"##.###,0%")</f>
        <v>80,8%</v>
      </c>
      <c r="Z95">
        <f>+HLOOKUP(X95,$D$110:$N$117,8,0)</f>
        <v>2024</v>
      </c>
      <c r="AA95" s="383" t="s">
        <v>726</v>
      </c>
    </row>
    <row r="96" spans="1:27">
      <c r="D96" s="397">
        <f>+D91/$AT$4</f>
        <v>0.1250717111862048</v>
      </c>
      <c r="E96" s="397">
        <f>+E91/$AU$4</f>
        <v>0.12812568666227203</v>
      </c>
      <c r="F96" s="397">
        <f>+F91/$AV$4</f>
        <v>0.13025997712896081</v>
      </c>
      <c r="G96" s="397">
        <f>+G91/$AW$4</f>
        <v>0.13523716738720087</v>
      </c>
      <c r="H96" s="397">
        <f>+H91/$AX$4</f>
        <v>0.13919202369648095</v>
      </c>
      <c r="I96" s="397">
        <f>+I91/$AY$4</f>
        <v>0.14438388256071602</v>
      </c>
      <c r="J96" s="397">
        <f>+J91/$AZ$4</f>
        <v>0.14203954026962876</v>
      </c>
      <c r="K96" s="397">
        <f>+K91/$BA$4</f>
        <v>0.14496736643046879</v>
      </c>
      <c r="L96" s="397">
        <f>+L91/$BB$4</f>
        <v>0.1481289054272274</v>
      </c>
      <c r="M96" s="397">
        <f>+M91/$BC$4</f>
        <v>0.15168651202395178</v>
      </c>
      <c r="N96" s="397">
        <f>+N91/$BD$4</f>
        <v>0.15451771868279524</v>
      </c>
      <c r="Q96" t="str">
        <f>+RIGHT($B$91,17)</f>
        <v>(10 - 49 pessoas)</v>
      </c>
      <c r="R96">
        <f>+LARGE($D$95:$N$95,1)</f>
        <v>0.85046690922011536</v>
      </c>
      <c r="S96" t="str">
        <f>+TEXT(R96,"##.###,0%")</f>
        <v>85,0%</v>
      </c>
      <c r="T96">
        <f>+HLOOKUP(R96,$D$95:$N$104,10,0)</f>
        <v>2014</v>
      </c>
      <c r="U96" t="s">
        <v>441</v>
      </c>
      <c r="W96" t="str">
        <f>+RIGHT($B$106,17)</f>
        <v>(10 - 49 pessoas)</v>
      </c>
      <c r="X96">
        <f>+LARGE($D$110:$N$110,1)</f>
        <v>0.85134499476301873</v>
      </c>
      <c r="Y96" t="str">
        <f>+TEXT(X96,"##.###,0%")</f>
        <v>85,1%</v>
      </c>
      <c r="Z96">
        <f>+HLOOKUP(X96,$D$110:$N$117,8,0)</f>
        <v>2014</v>
      </c>
      <c r="AA96" t="s">
        <v>441</v>
      </c>
    </row>
    <row r="97" spans="1:27">
      <c r="D97" s="397">
        <f>+D92/$AT$4</f>
        <v>2.1330145347008118E-2</v>
      </c>
      <c r="E97" s="397">
        <f>+E92/$AU$4</f>
        <v>2.1885299934080421E-2</v>
      </c>
      <c r="F97" s="397">
        <f>+F92/$AV$4</f>
        <v>2.2548962841798994E-2</v>
      </c>
      <c r="G97" s="397">
        <f>+G92/$AW$4</f>
        <v>2.3399751424651942E-2</v>
      </c>
      <c r="H97" s="397">
        <f>+H92/$AX$4</f>
        <v>2.4178347198798168E-2</v>
      </c>
      <c r="I97" s="397">
        <f>+I92/$AY$4</f>
        <v>2.5305438602217217E-2</v>
      </c>
      <c r="J97" s="397">
        <f>+J92/$AZ$4</f>
        <v>2.4845033694591217E-2</v>
      </c>
      <c r="K97" s="397">
        <f>+K92/$BA$4</f>
        <v>2.5878751756767696E-2</v>
      </c>
      <c r="L97" s="397">
        <f>+L92/$BB$4</f>
        <v>2.6999227690795477E-2</v>
      </c>
      <c r="M97" s="397">
        <f>+M92/$BC$4</f>
        <v>2.7773199840687789E-2</v>
      </c>
      <c r="N97" s="397">
        <f>+N92/$BD$4</f>
        <v>2.8421231251926322E-2</v>
      </c>
      <c r="R97" t="str">
        <f>+$Q$93&amp;$R$90&amp;" "&amp;$Q$96&amp;": entre "</f>
        <v xml:space="preserve">Pequenas empresas (10 - 49 pessoas): entre </v>
      </c>
      <c r="X97" t="str">
        <f>+$W$93&amp;$X$90&amp;" "&amp;$W$96&amp;": entre "</f>
        <v xml:space="preserve">Pequenos estabelecimentos (10 - 49 pessoas): entre </v>
      </c>
    </row>
    <row r="98" spans="1:27">
      <c r="D98" s="397">
        <f>+D93/$AT$4</f>
        <v>3.1312342466716758E-3</v>
      </c>
      <c r="E98" s="397">
        <f>+E93/$AU$4</f>
        <v>3.241045923972753E-3</v>
      </c>
      <c r="F98" s="397">
        <f>+F93/$AV$4</f>
        <v>3.4089428658280619E-3</v>
      </c>
      <c r="G98" s="397">
        <f>+G93/$AW$4</f>
        <v>3.5746137948572841E-3</v>
      </c>
      <c r="H98" s="397">
        <f>+H93/$AX$4</f>
        <v>3.738006491021698E-3</v>
      </c>
      <c r="I98" s="397">
        <f>+I93/$AY$4</f>
        <v>3.9818531936420898E-3</v>
      </c>
      <c r="J98" s="397">
        <f>+J93/$AZ$4</f>
        <v>3.8647029797472276E-3</v>
      </c>
      <c r="K98" s="397">
        <f>+K93/$BA$4</f>
        <v>3.9734222202600384E-3</v>
      </c>
      <c r="L98" s="397">
        <f>+L93/$BB$4</f>
        <v>4.1599382152636387E-3</v>
      </c>
      <c r="M98" s="397">
        <f>+M93/$BC$4</f>
        <v>4.3810857951190035E-3</v>
      </c>
      <c r="N98" s="397">
        <f>+N93/$BD$4</f>
        <v>4.5677597199087145E-3</v>
      </c>
      <c r="R98">
        <f>+SMALL($D$96:$N$96,1)</f>
        <v>0.1250717111862048</v>
      </c>
      <c r="S98" t="str">
        <f>+TEXT(R98,"##.###,0%")</f>
        <v>12,5%</v>
      </c>
      <c r="T98">
        <f>+HLOOKUP(R98,$D$96:$N$104,9,0)</f>
        <v>2014</v>
      </c>
      <c r="U98" s="383" t="s">
        <v>726</v>
      </c>
      <c r="X98">
        <f>+SMALL($D$111:$N$111,1)</f>
        <v>0.12664086852354761</v>
      </c>
      <c r="Y98" t="str">
        <f>+TEXT(X98,"##.###,0%")</f>
        <v>12,7%</v>
      </c>
      <c r="Z98">
        <f>+HLOOKUP(X98,$D$111:$N$117,7,0)</f>
        <v>2014</v>
      </c>
      <c r="AA98" s="383" t="s">
        <v>726</v>
      </c>
    </row>
    <row r="99" spans="1:27">
      <c r="R99">
        <f>+LARGE($D$96:$N$96,1)</f>
        <v>0.15451771868279524</v>
      </c>
      <c r="S99" t="str">
        <f>+TEXT(R99,"##.###,0%")</f>
        <v>15,5%</v>
      </c>
      <c r="T99">
        <f>+HLOOKUP(R99,$D$96:$N$104,9,0)</f>
        <v>2024</v>
      </c>
      <c r="X99">
        <f>+LARGE($D$111:$N$111,1)</f>
        <v>0.16073023968570466</v>
      </c>
      <c r="Y99" t="str">
        <f>+TEXT(X99,"##.###,0%")</f>
        <v>16,1%</v>
      </c>
      <c r="Z99">
        <f>+HLOOKUP(X99,$D$111:$N$117,7,0)</f>
        <v>2024</v>
      </c>
    </row>
    <row r="100" spans="1:27">
      <c r="D100" s="397">
        <f>+D95+D96</f>
        <v>0.97553862040632011</v>
      </c>
      <c r="E100" s="397">
        <f t="shared" ref="E100:N100" si="25">+E95+E96</f>
        <v>0.97487365414194693</v>
      </c>
      <c r="F100" s="397">
        <f t="shared" si="25"/>
        <v>0.97404209429237287</v>
      </c>
      <c r="G100" s="397">
        <f t="shared" si="25"/>
        <v>0.97302563478049087</v>
      </c>
      <c r="H100" s="397">
        <f t="shared" si="25"/>
        <v>0.97208364631018018</v>
      </c>
      <c r="I100" s="397">
        <f t="shared" si="25"/>
        <v>0.97071270820414068</v>
      </c>
      <c r="J100" s="397">
        <f t="shared" si="25"/>
        <v>0.97129026332566148</v>
      </c>
      <c r="K100" s="397">
        <f t="shared" si="25"/>
        <v>0.97014782602297234</v>
      </c>
      <c r="L100" s="397">
        <f t="shared" si="25"/>
        <v>0.96884083409394095</v>
      </c>
      <c r="M100" s="397">
        <f t="shared" si="25"/>
        <v>0.9678457143641932</v>
      </c>
      <c r="N100" s="397">
        <f t="shared" si="25"/>
        <v>0.96701100902816495</v>
      </c>
      <c r="O100" s="417">
        <f>+(N100-D100)*100</f>
        <v>-0.85276113781551643</v>
      </c>
      <c r="P100" s="523">
        <f>+AVERAGE(D100:N100)</f>
        <v>0.97140109136094399</v>
      </c>
    </row>
    <row r="103" spans="1:27">
      <c r="R103" t="s">
        <v>219</v>
      </c>
    </row>
    <row r="104" spans="1:27">
      <c r="A104" s="383" t="s">
        <v>204</v>
      </c>
      <c r="D104" s="384">
        <f>+D89</f>
        <v>2014</v>
      </c>
      <c r="E104" s="384">
        <f t="shared" ref="E104:N104" si="26">+E89</f>
        <v>2015</v>
      </c>
      <c r="F104" s="384">
        <f t="shared" si="26"/>
        <v>2016</v>
      </c>
      <c r="G104" s="384">
        <f t="shared" si="26"/>
        <v>2017</v>
      </c>
      <c r="H104" s="384">
        <f t="shared" si="26"/>
        <v>2018</v>
      </c>
      <c r="I104" s="384">
        <f t="shared" si="26"/>
        <v>2019</v>
      </c>
      <c r="J104" s="384">
        <f t="shared" si="26"/>
        <v>2020</v>
      </c>
      <c r="K104" s="384">
        <f t="shared" si="26"/>
        <v>2021</v>
      </c>
      <c r="L104" s="384">
        <f t="shared" si="26"/>
        <v>2022</v>
      </c>
      <c r="M104" s="384">
        <f t="shared" si="26"/>
        <v>2023</v>
      </c>
      <c r="N104" s="384">
        <f t="shared" si="26"/>
        <v>2024</v>
      </c>
      <c r="R104" t="str">
        <f>+$R$91&amp;CHAR(10)&amp;$R$92&amp;$R$93&amp;$S$93&amp;CHAR(10)&amp;$R$94&amp;$S$95&amp;" ("&amp;$T$95&amp;") "&amp;$U$95&amp;$S$96&amp;" ("&amp;$T$96&amp;") "&amp;$U$96&amp;CHAR(10)&amp;$R$97&amp;$S$97&amp;$S$98&amp;" ("&amp;$T$98&amp;") "&amp;$U$98&amp;$S$99&amp;" ("&amp;$T$99&amp;")."</f>
        <v>Entre 2014 e 2024:
Micro e Pequenas empresas representam cerca de 97% das estruturas;
Micro empresas (1-9 pessoas): entre 81,2% (2024) e 85,0% (2014) ;
Pequenas empresas (10 - 49 pessoas): entre 12,5% (2014) e 15,5% (2024).</v>
      </c>
    </row>
    <row r="105" spans="1:27">
      <c r="B105" s="383" t="str">
        <f>+B51</f>
        <v>Micro (1-9 pessoas)</v>
      </c>
      <c r="C105" s="383"/>
      <c r="D105">
        <f>+'q6'!$B$6+'q6'!$B$7</f>
        <v>271482</v>
      </c>
      <c r="E105">
        <f>+'q6'!$C$6+'q6'!$C$7</f>
        <v>272469</v>
      </c>
      <c r="F105">
        <f>+'q6'!$D$6+'q6'!$D$7</f>
        <v>274120</v>
      </c>
      <c r="G105">
        <f>+'q6'!$E$6+'q6'!$E$7</f>
        <v>274051</v>
      </c>
      <c r="H105">
        <f>+'q6'!$F$6+'q6'!$F$7</f>
        <v>275083</v>
      </c>
      <c r="I105">
        <f>+'q6'!$G$6+'q6'!$G$7</f>
        <v>266188</v>
      </c>
      <c r="J105">
        <f>+'q6'!$H$6+'q6'!$H$7</f>
        <v>269050</v>
      </c>
      <c r="K105">
        <f>+'q6'!$I$6+'q6'!$I$7</f>
        <v>261914</v>
      </c>
      <c r="L105">
        <f>+'q6'!$J$6+'q6'!$J$7</f>
        <v>271931</v>
      </c>
      <c r="M105">
        <f>+'q6'!$K$6+'q6'!$K$7</f>
        <v>276620</v>
      </c>
      <c r="N105">
        <f>+'q6'!$L$6+'q6'!$L$7</f>
        <v>273286</v>
      </c>
    </row>
    <row r="106" spans="1:27">
      <c r="B106" s="383" t="str">
        <f t="shared" ref="B106:B108" si="27">+B52</f>
        <v>Pequenos (10 - 49 pessoas)</v>
      </c>
      <c r="C106" s="383"/>
      <c r="D106">
        <f>+'q6'!$B$8+'q6'!$B$9</f>
        <v>40384</v>
      </c>
      <c r="E106">
        <f>+'q6'!$C$8+'q6'!$C$9</f>
        <v>41695</v>
      </c>
      <c r="F106">
        <f>+'q6'!$D$8+'q6'!$D$9</f>
        <v>43122</v>
      </c>
      <c r="G106">
        <f>+'q6'!$E$8+'q6'!$E$9</f>
        <v>45178</v>
      </c>
      <c r="H106">
        <f>+'q6'!$F$8+'q6'!$F$9</f>
        <v>47074</v>
      </c>
      <c r="I106">
        <f>+'q6'!$G$8+'q6'!$G$9</f>
        <v>48031</v>
      </c>
      <c r="J106">
        <f>+'q6'!$H$8+'q6'!$H$9</f>
        <v>47267</v>
      </c>
      <c r="K106">
        <f>+'q6'!$I$8+'q6'!$I$9</f>
        <v>47518</v>
      </c>
      <c r="L106">
        <f>+'q6'!$J$8+'q6'!$J$9</f>
        <v>51131</v>
      </c>
      <c r="M106">
        <f>+'q6'!$K$8+'q6'!$K$9</f>
        <v>53587</v>
      </c>
      <c r="N106">
        <f>+'q6'!$L$8+'q6'!$L$9</f>
        <v>54331</v>
      </c>
      <c r="R106" t="s">
        <v>204</v>
      </c>
    </row>
    <row r="107" spans="1:27">
      <c r="B107" s="383" t="str">
        <f t="shared" si="27"/>
        <v>Médios (50 - 249 pessoas)</v>
      </c>
      <c r="C107" s="383"/>
      <c r="D107">
        <f>+'q6'!$B$10+'q6'!$B$11+'q6'!$B$12+'q6'!$B$13</f>
        <v>6273</v>
      </c>
      <c r="E107">
        <f>+'q6'!$C$10+'q6'!$C$11+'q6'!$C$12+'q6'!$C$13</f>
        <v>6542</v>
      </c>
      <c r="F107">
        <f>+'q6'!$D$10+'q6'!$D$11+'q6'!$D$12+'q6'!$D$13</f>
        <v>6856</v>
      </c>
      <c r="G107">
        <f>+'q6'!$E$10+'q6'!$E$11+'q6'!$E$12+'q6'!$E$13</f>
        <v>7170</v>
      </c>
      <c r="H107">
        <f>+'q6'!$F$10+'q6'!$F$11+'q6'!$F$12+'q6'!$F$13</f>
        <v>7570</v>
      </c>
      <c r="I107">
        <f>+'q6'!$G$10+'q6'!$G$11+'q6'!$G$12+'q6'!$G$13</f>
        <v>7775</v>
      </c>
      <c r="J107">
        <f>+'q6'!$H$10+'q6'!$H$11+'q6'!$H$12+'q6'!$H$13</f>
        <v>7674</v>
      </c>
      <c r="K107">
        <f>+'q6'!$I$10+'q6'!$I$11+'q6'!$I$12+'q6'!$I$13</f>
        <v>7838</v>
      </c>
      <c r="L107">
        <f>+'q6'!$J$10+'q6'!$J$11+'q6'!$J$12+'q6'!$J$13</f>
        <v>8556</v>
      </c>
      <c r="M107">
        <f>+'q6'!$K$10+'q6'!$K$11+'q6'!$K$12+'q6'!$K$13</f>
        <v>9009</v>
      </c>
      <c r="N107">
        <f>+'q6'!$L$10+'q6'!$L$11+'q6'!$L$12+'q6'!$L$13</f>
        <v>9226</v>
      </c>
      <c r="R107" t="str">
        <f>+$X$91&amp;CHAR(10)&amp;$X$92&amp;$X$93&amp;$Y$93&amp;CHAR(10)&amp;$X$94&amp;$Y$95&amp;" ("&amp;$Z$95&amp;") "&amp;$AA$95&amp;$Y$96&amp;" ("&amp;$Z$96&amp;") "&amp;$AA$96&amp;CHAR(10)&amp;$X$97&amp;$Y$98&amp;" ("&amp;$Z$98&amp;") "&amp;$AA$98&amp;$Y$99&amp;" ("&amp;$Z$99&amp;")."</f>
        <v>Entre 2014 e 2024:
Micro e Pequenos estabelecimentos representam cerca de 97% das estruturas;
Micro estabelecimentos (1-9 pessoas): entre 80,8% (2024) e 85,1% (2014) ;
Pequenos estabelecimentos (10 - 49 pessoas): entre 12,7% (2014) e 16,1% (2024).</v>
      </c>
    </row>
    <row r="108" spans="1:27">
      <c r="B108" s="383" t="str">
        <f t="shared" si="27"/>
        <v>Grandes (250 ou + pessoas)</v>
      </c>
      <c r="C108" s="383"/>
      <c r="D108">
        <f>+'q6'!$B$14+'q6'!$B$15+'q6'!$B$16</f>
        <v>747</v>
      </c>
      <c r="E108">
        <f>+'q6'!$C$14+'q6'!$C$15+'q6'!$C$16</f>
        <v>794</v>
      </c>
      <c r="F108">
        <f>+'q6'!$D$14+'q6'!$D$15+'q6'!$D$16</f>
        <v>835</v>
      </c>
      <c r="G108">
        <f>+'q6'!$E$14+'q6'!$E$15+'q6'!$E$16</f>
        <v>896</v>
      </c>
      <c r="H108">
        <f>+'q6'!$F$14+'q6'!$F$15+'q6'!$F$16</f>
        <v>941</v>
      </c>
      <c r="I108">
        <f>+'q6'!$G$14+'q6'!$G$15+'q6'!$G$16</f>
        <v>984</v>
      </c>
      <c r="J108">
        <f>+'q6'!$H$14+'q6'!$H$15+'q6'!$H$16</f>
        <v>968</v>
      </c>
      <c r="K108">
        <f>+'q6'!$I$14+'q6'!$I$15+'q6'!$I$16</f>
        <v>984</v>
      </c>
      <c r="L108">
        <f>+'q6'!$J$14+'q6'!$J$15+'q6'!$J$16</f>
        <v>1065</v>
      </c>
      <c r="M108">
        <f>+'q6'!$K$14+'q6'!$K$15+'q6'!$K$16</f>
        <v>1148</v>
      </c>
      <c r="N108">
        <f>+'q6'!$L$14+'q6'!$L$15+'q6'!$L$16</f>
        <v>1183</v>
      </c>
    </row>
    <row r="110" spans="1:27">
      <c r="D110" s="397">
        <f>+D105/$AT$5</f>
        <v>0.85134499476301873</v>
      </c>
      <c r="E110" s="397">
        <f>+E105/$AU$5</f>
        <v>0.8474930015552099</v>
      </c>
      <c r="F110" s="397">
        <f>+F105/$AV$5</f>
        <v>0.84362006936814671</v>
      </c>
      <c r="G110" s="397">
        <f>+G105/$AW$5</f>
        <v>0.83732107120487631</v>
      </c>
      <c r="H110" s="397">
        <f>+H105/$AX$5</f>
        <v>0.8319008794319378</v>
      </c>
      <c r="I110" s="397">
        <f>+I105/$AY$5</f>
        <v>0.82416759036219189</v>
      </c>
      <c r="J110" s="397">
        <f>+J105/$AZ$5</f>
        <v>0.82795060299914758</v>
      </c>
      <c r="K110" s="397">
        <f>+K105/$BA$5</f>
        <v>0.82297158873101361</v>
      </c>
      <c r="L110" s="397">
        <f>+L105/$BB$5</f>
        <v>0.8173877234484479</v>
      </c>
      <c r="M110" s="397">
        <f>+M105/$BC$5</f>
        <v>0.81271814880539661</v>
      </c>
      <c r="N110" s="397">
        <f>+N105/$BD$5</f>
        <v>0.80847627105607256</v>
      </c>
      <c r="R110" t="str">
        <f>+IF($Q$3=1,$R$104,$R$107)</f>
        <v>Entre 2014 e 2024:
Micro e Pequenas empresas representam cerca de 97% das estruturas;
Micro empresas (1-9 pessoas): entre 81,2% (2024) e 85,0% (2014) ;
Pequenas empresas (10 - 49 pessoas): entre 12,5% (2014) e 15,5% (2024).</v>
      </c>
    </row>
    <row r="111" spans="1:27">
      <c r="D111" s="397">
        <f>+D106/$AT$5</f>
        <v>0.12664086852354761</v>
      </c>
      <c r="E111" s="397">
        <f>+E106/$AU$5</f>
        <v>0.12968895800933125</v>
      </c>
      <c r="F111" s="397">
        <f>+F106/$AV$5</f>
        <v>0.13271043568981913</v>
      </c>
      <c r="G111" s="397">
        <f>+G106/$AW$5</f>
        <v>0.13803449487465436</v>
      </c>
      <c r="H111" s="397">
        <f>+H106/$AX$5</f>
        <v>0.14236031306325378</v>
      </c>
      <c r="I111" s="397">
        <f>+I106/$AY$5</f>
        <v>0.14871291543077236</v>
      </c>
      <c r="J111" s="397">
        <f>+J106/$AZ$5</f>
        <v>0.14545527281903256</v>
      </c>
      <c r="K111" s="397">
        <f>+K106/$BA$5</f>
        <v>0.14930841403407341</v>
      </c>
      <c r="L111" s="397">
        <f>+L106/$BB$5</f>
        <v>0.15369285475963604</v>
      </c>
      <c r="M111" s="397">
        <f>+M106/$BC$5</f>
        <v>0.15744026982877155</v>
      </c>
      <c r="N111" s="397">
        <f>+N106/$BD$5</f>
        <v>0.16073023968570466</v>
      </c>
    </row>
    <row r="112" spans="1:27">
      <c r="D112" s="397">
        <f>+D107/$AT$5</f>
        <v>1.9671606781106729E-2</v>
      </c>
      <c r="E112" s="397">
        <f>+E107/$AU$5</f>
        <v>2.0348367029548987E-2</v>
      </c>
      <c r="F112" s="397">
        <f>+F107/$AV$5</f>
        <v>2.1099734406785399E-2</v>
      </c>
      <c r="G112" s="397">
        <f>+G107/$AW$5</f>
        <v>2.1906842450999862E-2</v>
      </c>
      <c r="H112" s="397">
        <f>+H107/$AX$5</f>
        <v>2.2893052850593343E-2</v>
      </c>
      <c r="I112" s="397">
        <f>+I107/$AY$5</f>
        <v>2.4072847066982889E-2</v>
      </c>
      <c r="J112" s="397">
        <f>+J107/$AZ$5</f>
        <v>2.3615286851572045E-2</v>
      </c>
      <c r="K112" s="397">
        <f>+K107/$BA$5</f>
        <v>2.4628127219139428E-2</v>
      </c>
      <c r="L112" s="397">
        <f>+L107/$BB$5</f>
        <v>2.5718176161691461E-2</v>
      </c>
      <c r="M112" s="397">
        <f>+M107/$BC$5</f>
        <v>2.6468721721451153E-2</v>
      </c>
      <c r="N112" s="397">
        <f>+N107/$BD$5</f>
        <v>2.7293758468283504E-2</v>
      </c>
    </row>
    <row r="113" spans="4:24">
      <c r="D113" s="397">
        <f>+D108/$AT$5</f>
        <v>2.342529932326913E-3</v>
      </c>
      <c r="E113" s="397">
        <f>+E108/$AU$5</f>
        <v>2.4696734059097979E-3</v>
      </c>
      <c r="F113" s="397">
        <f>+F108/$AV$5</f>
        <v>2.5697605352488053E-3</v>
      </c>
      <c r="G113" s="397">
        <f>+G108/$AW$5</f>
        <v>2.7375914694694387E-3</v>
      </c>
      <c r="H113" s="397">
        <f>+H108/$AX$5</f>
        <v>2.8457546542151038E-3</v>
      </c>
      <c r="I113" s="397">
        <f>+I108/$AY$5</f>
        <v>3.0466471400528829E-3</v>
      </c>
      <c r="J113" s="397">
        <f>+J108/$AZ$5</f>
        <v>2.9788373302478159E-3</v>
      </c>
      <c r="K113" s="397">
        <f>+K108/$BA$5</f>
        <v>3.0918700157735643E-3</v>
      </c>
      <c r="L113" s="397">
        <f>+L108/$BB$5</f>
        <v>3.201245630224568E-3</v>
      </c>
      <c r="M113" s="397">
        <f>+M108/$BC$5</f>
        <v>3.3728596443807217E-3</v>
      </c>
      <c r="N113" s="397">
        <f>+N108/$BD$5</f>
        <v>3.4997307899392355E-3</v>
      </c>
      <c r="X113" s="522" t="s">
        <v>437</v>
      </c>
    </row>
    <row r="114" spans="4:24">
      <c r="X114" s="522" t="s">
        <v>444</v>
      </c>
    </row>
    <row r="115" spans="4:24">
      <c r="D115" s="397">
        <f>+D110+D111</f>
        <v>0.97798586328656634</v>
      </c>
      <c r="E115" s="397">
        <f t="shared" ref="E115:N115" si="28">+E110+E111</f>
        <v>0.97718195956454112</v>
      </c>
      <c r="F115" s="397">
        <f t="shared" si="28"/>
        <v>0.97633050505796581</v>
      </c>
      <c r="G115" s="397">
        <f t="shared" si="28"/>
        <v>0.97535556607953067</v>
      </c>
      <c r="H115" s="397">
        <f t="shared" si="28"/>
        <v>0.97426119249519161</v>
      </c>
      <c r="I115" s="397">
        <f t="shared" si="28"/>
        <v>0.97288050579296426</v>
      </c>
      <c r="J115" s="397">
        <f t="shared" si="28"/>
        <v>0.97340587581818017</v>
      </c>
      <c r="K115" s="397">
        <f t="shared" si="28"/>
        <v>0.97228000276508708</v>
      </c>
      <c r="L115" s="397">
        <f t="shared" si="28"/>
        <v>0.97108057820808391</v>
      </c>
      <c r="M115" s="397">
        <f t="shared" si="28"/>
        <v>0.97015841863416818</v>
      </c>
      <c r="N115" s="397">
        <f t="shared" si="28"/>
        <v>0.96920651074177722</v>
      </c>
      <c r="O115" s="417">
        <f>+(N115-D115)*100</f>
        <v>-0.87793525447891207</v>
      </c>
      <c r="P115" s="523">
        <f>+AVERAGE(D115:N115)</f>
        <v>0.97364790713127791</v>
      </c>
    </row>
    <row r="117" spans="4:24">
      <c r="D117" s="384">
        <f>+D104</f>
        <v>2014</v>
      </c>
      <c r="E117" s="384">
        <f t="shared" ref="E117:N117" si="29">+E104</f>
        <v>2015</v>
      </c>
      <c r="F117" s="384">
        <f t="shared" si="29"/>
        <v>2016</v>
      </c>
      <c r="G117" s="384">
        <f t="shared" si="29"/>
        <v>2017</v>
      </c>
      <c r="H117" s="384">
        <f t="shared" si="29"/>
        <v>2018</v>
      </c>
      <c r="I117" s="384">
        <f t="shared" si="29"/>
        <v>2019</v>
      </c>
      <c r="J117" s="384">
        <f t="shared" si="29"/>
        <v>2020</v>
      </c>
      <c r="K117" s="384">
        <f t="shared" si="29"/>
        <v>2021</v>
      </c>
      <c r="L117" s="384">
        <f t="shared" si="29"/>
        <v>2022</v>
      </c>
      <c r="M117" s="384">
        <f t="shared" si="29"/>
        <v>2023</v>
      </c>
      <c r="N117" s="384">
        <f t="shared" si="29"/>
        <v>2024</v>
      </c>
    </row>
  </sheetData>
  <mergeCells count="2">
    <mergeCell ref="Y69:Z69"/>
    <mergeCell ref="Y78:Z78"/>
  </mergeCells>
  <conditionalFormatting sqref="BC3 BC5">
    <cfRule type="cellIs" dxfId="2818" priority="56" operator="equal">
      <formula>0</formula>
    </cfRule>
  </conditionalFormatting>
  <conditionalFormatting sqref="BD3:BE3 BD5:BE5">
    <cfRule type="cellIs" dxfId="2817" priority="55" operator="equal">
      <formula>0</formula>
    </cfRule>
  </conditionalFormatting>
  <conditionalFormatting sqref="AT3:BE3">
    <cfRule type="cellIs" dxfId="2816" priority="54" operator="equal">
      <formula>0</formula>
    </cfRule>
  </conditionalFormatting>
  <conditionalFormatting sqref="AT4:BE4">
    <cfRule type="cellIs" dxfId="2815" priority="53" operator="equal">
      <formula>0</formula>
    </cfRule>
  </conditionalFormatting>
  <conditionalFormatting sqref="B69:B74">
    <cfRule type="cellIs" dxfId="2814" priority="52" operator="equal">
      <formula>0</formula>
    </cfRule>
  </conditionalFormatting>
  <conditionalFormatting sqref="D69">
    <cfRule type="cellIs" dxfId="2813" priority="51" operator="equal">
      <formula>0</formula>
    </cfRule>
  </conditionalFormatting>
  <conditionalFormatting sqref="F69">
    <cfRule type="cellIs" dxfId="2812" priority="50" operator="equal">
      <formula>0</formula>
    </cfRule>
  </conditionalFormatting>
  <conditionalFormatting sqref="H69">
    <cfRule type="cellIs" dxfId="2811" priority="49" operator="equal">
      <formula>0</formula>
    </cfRule>
  </conditionalFormatting>
  <conditionalFormatting sqref="J69">
    <cfRule type="cellIs" dxfId="2810" priority="48" operator="equal">
      <formula>0</formula>
    </cfRule>
  </conditionalFormatting>
  <conditionalFormatting sqref="L69">
    <cfRule type="cellIs" dxfId="2809" priority="47" operator="equal">
      <formula>0</formula>
    </cfRule>
  </conditionalFormatting>
  <conditionalFormatting sqref="N69">
    <cfRule type="cellIs" dxfId="2808" priority="46" operator="equal">
      <formula>0</formula>
    </cfRule>
  </conditionalFormatting>
  <conditionalFormatting sqref="P69">
    <cfRule type="cellIs" dxfId="2807" priority="45" operator="equal">
      <formula>0</formula>
    </cfRule>
  </conditionalFormatting>
  <conditionalFormatting sqref="R69">
    <cfRule type="cellIs" dxfId="2806" priority="44" operator="equal">
      <formula>0</formula>
    </cfRule>
  </conditionalFormatting>
  <conditionalFormatting sqref="T69">
    <cfRule type="cellIs" dxfId="2805" priority="43" operator="equal">
      <formula>0</formula>
    </cfRule>
  </conditionalFormatting>
  <conditionalFormatting sqref="V69">
    <cfRule type="cellIs" dxfId="2804" priority="42" operator="equal">
      <formula>0</formula>
    </cfRule>
  </conditionalFormatting>
  <conditionalFormatting sqref="D70:D74">
    <cfRule type="cellIs" dxfId="2803" priority="41" operator="equal">
      <formula>0</formula>
    </cfRule>
  </conditionalFormatting>
  <conditionalFormatting sqref="F70:F74">
    <cfRule type="cellIs" dxfId="2802" priority="40" operator="equal">
      <formula>0</formula>
    </cfRule>
  </conditionalFormatting>
  <conditionalFormatting sqref="H70:H74">
    <cfRule type="cellIs" dxfId="2801" priority="39" operator="equal">
      <formula>0</formula>
    </cfRule>
  </conditionalFormatting>
  <conditionalFormatting sqref="J70:J74">
    <cfRule type="cellIs" dxfId="2800" priority="38" operator="equal">
      <formula>0</formula>
    </cfRule>
  </conditionalFormatting>
  <conditionalFormatting sqref="L70:L74">
    <cfRule type="cellIs" dxfId="2799" priority="37" operator="equal">
      <formula>0</formula>
    </cfRule>
  </conditionalFormatting>
  <conditionalFormatting sqref="N70:N74">
    <cfRule type="cellIs" dxfId="2798" priority="36" operator="equal">
      <formula>0</formula>
    </cfRule>
  </conditionalFormatting>
  <conditionalFormatting sqref="P70:P74">
    <cfRule type="cellIs" dxfId="2797" priority="35" operator="equal">
      <formula>0</formula>
    </cfRule>
  </conditionalFormatting>
  <conditionalFormatting sqref="R70:R74">
    <cfRule type="cellIs" dxfId="2796" priority="34" operator="equal">
      <formula>0</formula>
    </cfRule>
  </conditionalFormatting>
  <conditionalFormatting sqref="T70:T74">
    <cfRule type="cellIs" dxfId="2795" priority="33" operator="equal">
      <formula>0</formula>
    </cfRule>
  </conditionalFormatting>
  <conditionalFormatting sqref="V70:V74">
    <cfRule type="cellIs" dxfId="2794" priority="32" operator="equal">
      <formula>0</formula>
    </cfRule>
  </conditionalFormatting>
  <conditionalFormatting sqref="B78:B83 C78:V78">
    <cfRule type="cellIs" dxfId="2793" priority="31" operator="equal">
      <formula>0</formula>
    </cfRule>
  </conditionalFormatting>
  <conditionalFormatting sqref="D79:D83">
    <cfRule type="cellIs" dxfId="2792" priority="10" operator="equal">
      <formula>0</formula>
    </cfRule>
  </conditionalFormatting>
  <conditionalFormatting sqref="F79:F83">
    <cfRule type="cellIs" dxfId="2791" priority="9" operator="equal">
      <formula>0</formula>
    </cfRule>
  </conditionalFormatting>
  <conditionalFormatting sqref="H79:H83">
    <cfRule type="cellIs" dxfId="2790" priority="8" operator="equal">
      <formula>0</formula>
    </cfRule>
  </conditionalFormatting>
  <conditionalFormatting sqref="J79:J83">
    <cfRule type="cellIs" dxfId="2789" priority="7" operator="equal">
      <formula>0</formula>
    </cfRule>
  </conditionalFormatting>
  <conditionalFormatting sqref="L79:L83">
    <cfRule type="cellIs" dxfId="2788" priority="6" operator="equal">
      <formula>0</formula>
    </cfRule>
  </conditionalFormatting>
  <conditionalFormatting sqref="N79:N83">
    <cfRule type="cellIs" dxfId="2787" priority="5" operator="equal">
      <formula>0</formula>
    </cfRule>
  </conditionalFormatting>
  <conditionalFormatting sqref="P79:P83">
    <cfRule type="cellIs" dxfId="2786" priority="4" operator="equal">
      <formula>0</formula>
    </cfRule>
  </conditionalFormatting>
  <conditionalFormatting sqref="R79:R83">
    <cfRule type="cellIs" dxfId="2785" priority="3" operator="equal">
      <formula>0</formula>
    </cfRule>
  </conditionalFormatting>
  <conditionalFormatting sqref="T79:T83">
    <cfRule type="cellIs" dxfId="2784" priority="2" operator="equal">
      <formula>0</formula>
    </cfRule>
  </conditionalFormatting>
  <conditionalFormatting sqref="V79:V83">
    <cfRule type="cellIs" dxfId="2783" priority="1"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8" r:id="rId4" name="Drop Down 2">
              <controlPr defaultSize="0" autoLine="0" autoPict="0">
                <anchor moveWithCells="1">
                  <from>
                    <xdr:col>17</xdr:col>
                    <xdr:colOff>304800</xdr:colOff>
                    <xdr:row>1</xdr:row>
                    <xdr:rowOff>152400</xdr:rowOff>
                  </from>
                  <to>
                    <xdr:col>17</xdr:col>
                    <xdr:colOff>1552575</xdr:colOff>
                    <xdr:row>3</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4A219-E0B7-45FD-A866-7E24041C6035}">
  <sheetPr codeName="Folha8">
    <tabColor indexed="24"/>
  </sheetPr>
  <dimension ref="A1:BX118"/>
  <sheetViews>
    <sheetView topLeftCell="R25" workbookViewId="0">
      <selection activeCell="Y70" sqref="Y70"/>
    </sheetView>
  </sheetViews>
  <sheetFormatPr defaultRowHeight="12.75"/>
  <cols>
    <col min="1" max="1" width="16" bestFit="1" customWidth="1"/>
    <col min="2" max="2" width="25" bestFit="1" customWidth="1"/>
    <col min="18" max="18" width="25" bestFit="1" customWidth="1"/>
    <col min="53" max="53" width="8.140625" customWidth="1"/>
    <col min="54" max="54" width="16" bestFit="1" customWidth="1"/>
    <col min="59" max="60" width="18.28515625" bestFit="1" customWidth="1"/>
  </cols>
  <sheetData>
    <row r="1" spans="1:76">
      <c r="A1" s="383"/>
    </row>
    <row r="2" spans="1:76">
      <c r="A2" s="383" t="s">
        <v>205</v>
      </c>
      <c r="B2">
        <v>1</v>
      </c>
      <c r="AF2" s="522" t="s">
        <v>446</v>
      </c>
    </row>
    <row r="3" spans="1:76" ht="13.5" thickBot="1">
      <c r="A3" s="383" t="s">
        <v>182</v>
      </c>
      <c r="Q3">
        <v>2</v>
      </c>
      <c r="AS3" s="115"/>
      <c r="AT3" s="4">
        <f>+'q1'!$C$4</f>
        <v>2014</v>
      </c>
      <c r="AU3" s="4">
        <f>+'q1'!$D$4</f>
        <v>2015</v>
      </c>
      <c r="AV3" s="4">
        <f>+'q1'!$E$4</f>
        <v>2016</v>
      </c>
      <c r="AW3" s="4">
        <f>+'q1'!$F$4</f>
        <v>2017</v>
      </c>
      <c r="AX3" s="4">
        <f>+'q1'!$G$4</f>
        <v>2018</v>
      </c>
      <c r="AY3" s="4">
        <f>+'q1'!$H$4</f>
        <v>2019</v>
      </c>
      <c r="AZ3" s="4">
        <f>+'q1'!$I$4</f>
        <v>2020</v>
      </c>
      <c r="BA3" s="4">
        <f>+'q1'!$J$4</f>
        <v>2021</v>
      </c>
      <c r="BB3" s="4">
        <f>+'q1'!$K$4</f>
        <v>2022</v>
      </c>
      <c r="BC3" s="4">
        <f>+'q1'!$L$4</f>
        <v>2023</v>
      </c>
      <c r="BD3" s="4">
        <f>+'q1'!$M$4</f>
        <v>2024</v>
      </c>
      <c r="BE3" s="403"/>
      <c r="BF3" s="384" t="str">
        <f>+BD3&amp;"-"&amp;BC3</f>
        <v>2024-2023</v>
      </c>
      <c r="BG3" t="str">
        <f>+"variação "&amp;$BD$3&amp;"/"&amp;$BC$3</f>
        <v>variação 2024/2023</v>
      </c>
      <c r="BH3" t="str">
        <f>+"variação "&amp;$BD$3&amp;"/"&amp;$AT$3</f>
        <v>variação 2024/2014</v>
      </c>
    </row>
    <row r="4" spans="1:76" ht="13.5" thickTop="1">
      <c r="R4" s="383"/>
      <c r="AS4" s="395" t="s">
        <v>205</v>
      </c>
      <c r="AT4" s="445">
        <f>+'q9'!$C$5</f>
        <v>2636881</v>
      </c>
      <c r="AU4" s="445">
        <f>+'q9'!$D$5</f>
        <v>2716011</v>
      </c>
      <c r="AV4" s="445">
        <f>+'q9'!$E$5</f>
        <v>2819978</v>
      </c>
      <c r="AW4" s="445">
        <f>+'q9'!$F$5</f>
        <v>2946903</v>
      </c>
      <c r="AX4" s="445">
        <f>+'q9'!$G$5</f>
        <v>3060489</v>
      </c>
      <c r="AY4" s="445">
        <f>+'q9'!$H$5</f>
        <v>3110949</v>
      </c>
      <c r="AZ4" s="445">
        <f>+'q9'!$I$5</f>
        <v>3085566</v>
      </c>
      <c r="BA4" s="445">
        <f>+'q9'!$J$5</f>
        <v>3102345</v>
      </c>
      <c r="BB4" s="445">
        <f>+'q9'!$K$5</f>
        <v>3337082</v>
      </c>
      <c r="BC4" s="445">
        <f>+'q9'!$L$5</f>
        <v>3489583</v>
      </c>
      <c r="BD4" s="873">
        <f>+'q9'!$M$5</f>
        <v>3544955</v>
      </c>
      <c r="BE4" s="323"/>
      <c r="BF4" s="527">
        <f>+BD4-BC4</f>
        <v>55372</v>
      </c>
      <c r="BG4" s="505">
        <f>+(BD4/BC4-1)</f>
        <v>1.5867798530655453E-2</v>
      </c>
      <c r="BH4" s="505">
        <f>+(BD4/AT4-1)</f>
        <v>0.34437428158494821</v>
      </c>
      <c r="BQ4" s="941"/>
      <c r="BR4" s="941"/>
      <c r="BS4" s="941"/>
      <c r="BT4" s="941"/>
      <c r="BU4" s="941"/>
      <c r="BV4" s="941"/>
      <c r="BW4" s="941"/>
      <c r="BX4" s="941"/>
    </row>
    <row r="5" spans="1:76">
      <c r="AS5" s="395" t="s">
        <v>182</v>
      </c>
      <c r="AT5" s="177">
        <f>+'q13'!$C$5</f>
        <v>2458163</v>
      </c>
      <c r="AU5" s="177">
        <f>+'q13'!$D$5</f>
        <v>2537653</v>
      </c>
      <c r="AV5" s="177">
        <f>+'q13'!$E$5</f>
        <v>2641919</v>
      </c>
      <c r="AW5" s="177">
        <f>+'q13'!$F$5</f>
        <v>2767521</v>
      </c>
      <c r="AX5" s="177">
        <f>+'q13'!$G$5</f>
        <v>2877918</v>
      </c>
      <c r="AY5" s="177">
        <f>+'q13'!$H$5</f>
        <v>2930482</v>
      </c>
      <c r="AZ5" s="177">
        <f>+'q13'!$I$5</f>
        <v>2902825</v>
      </c>
      <c r="BA5" s="177">
        <f>+'q13'!$J$5</f>
        <v>2922343</v>
      </c>
      <c r="BB5" s="177">
        <f>+'q13'!$K$5</f>
        <v>3148147</v>
      </c>
      <c r="BC5" s="177">
        <f>+'q13'!$L$5</f>
        <v>3296134</v>
      </c>
      <c r="BD5" s="874">
        <f>+'q13'!$M$5</f>
        <v>3354136</v>
      </c>
      <c r="BE5" s="394"/>
      <c r="BF5" s="527">
        <f>+BD5-BC5</f>
        <v>58002</v>
      </c>
      <c r="BG5" s="505">
        <f>+(BD5/BC5-1)</f>
        <v>1.7596978763606108E-2</v>
      </c>
      <c r="BH5" s="505">
        <f>+(BD5/AT5-1)</f>
        <v>0.36448884797305947</v>
      </c>
      <c r="BQ5" s="383"/>
      <c r="BR5" s="383"/>
      <c r="BS5" s="383"/>
      <c r="BT5" s="383"/>
      <c r="BU5" s="383"/>
      <c r="BV5" s="383"/>
      <c r="BW5" s="383"/>
      <c r="BX5" s="383"/>
    </row>
    <row r="6" spans="1:76">
      <c r="B6" s="383"/>
      <c r="D6">
        <f>+'q9'!$C$4</f>
        <v>2014</v>
      </c>
      <c r="E6">
        <f>+'q9'!$D$4</f>
        <v>2015</v>
      </c>
      <c r="F6">
        <f>+'q9'!$E$4</f>
        <v>2016</v>
      </c>
      <c r="G6">
        <f>+'q9'!$F$4</f>
        <v>2017</v>
      </c>
      <c r="H6">
        <f>+'q9'!$G$4</f>
        <v>2018</v>
      </c>
      <c r="I6">
        <f>+'q9'!$H$4</f>
        <v>2019</v>
      </c>
      <c r="J6">
        <f>+'q9'!$I$4</f>
        <v>2020</v>
      </c>
      <c r="K6">
        <f>+'q9'!$J$4</f>
        <v>2021</v>
      </c>
      <c r="L6">
        <f>+'q9'!$K$4</f>
        <v>2022</v>
      </c>
      <c r="M6">
        <f>+'q9'!$L$4</f>
        <v>2023</v>
      </c>
      <c r="N6">
        <f>+'q9'!$M$4</f>
        <v>2024</v>
      </c>
      <c r="S6">
        <f>+D6</f>
        <v>2014</v>
      </c>
      <c r="T6">
        <f t="shared" ref="T6:AC6" si="0">+E6</f>
        <v>2015</v>
      </c>
      <c r="U6">
        <f t="shared" si="0"/>
        <v>2016</v>
      </c>
      <c r="V6">
        <f t="shared" si="0"/>
        <v>2017</v>
      </c>
      <c r="W6">
        <f t="shared" si="0"/>
        <v>2018</v>
      </c>
      <c r="X6">
        <f t="shared" si="0"/>
        <v>2019</v>
      </c>
      <c r="Y6">
        <f t="shared" si="0"/>
        <v>2020</v>
      </c>
      <c r="Z6">
        <f t="shared" si="0"/>
        <v>2021</v>
      </c>
      <c r="AA6">
        <f t="shared" si="0"/>
        <v>2022</v>
      </c>
      <c r="AB6">
        <f t="shared" si="0"/>
        <v>2023</v>
      </c>
      <c r="AC6">
        <f t="shared" si="0"/>
        <v>2024</v>
      </c>
    </row>
    <row r="7" spans="1:76">
      <c r="A7" s="383" t="s">
        <v>205</v>
      </c>
      <c r="B7" t="str">
        <f>+'q9'!$A$6</f>
        <v>A</v>
      </c>
      <c r="C7" t="str">
        <f>+'q9'!$B$6</f>
        <v>Agr., pr. animal, caça, flor. pesca</v>
      </c>
      <c r="D7">
        <f>+'q9'!$C$6</f>
        <v>59974</v>
      </c>
      <c r="E7">
        <f>+'q9'!$D$6</f>
        <v>62767</v>
      </c>
      <c r="F7">
        <f>+'q9'!$E$6</f>
        <v>66231</v>
      </c>
      <c r="G7">
        <f>+'q9'!$F$6</f>
        <v>67785</v>
      </c>
      <c r="H7">
        <f>+'q9'!$G$6</f>
        <v>71264</v>
      </c>
      <c r="I7">
        <f>+'q9'!$H$6</f>
        <v>72158</v>
      </c>
      <c r="J7">
        <f>+'q9'!$I$6</f>
        <v>76190</v>
      </c>
      <c r="K7">
        <f>+'q9'!$J$6</f>
        <v>74598</v>
      </c>
      <c r="L7">
        <f>+'q9'!$K$6</f>
        <v>80596</v>
      </c>
      <c r="M7">
        <f>+'q9'!$L$6</f>
        <v>84693</v>
      </c>
      <c r="N7">
        <f>+'q9'!$M$6</f>
        <v>86544</v>
      </c>
      <c r="Q7" t="str">
        <f>INDEX($A$2:$A$3,$Q$3)</f>
        <v>TCO</v>
      </c>
      <c r="R7" t="str">
        <f>+B7</f>
        <v>A</v>
      </c>
      <c r="S7">
        <f t="shared" ref="S7:S26" si="1">IF($Q$3=1, VLOOKUP($R$7:$R$26,$B$6:$N$26,COLUMN(D7)-1,0),VLOOKUP($R$7:$R$26,$B$31:$N$50,COLUMN(D7)-1,0))</f>
        <v>54661</v>
      </c>
      <c r="T7">
        <f t="shared" ref="T7:AC22" si="2">IF($Q$3=1, VLOOKUP($R$7:$R$26,$B$6:$N$26,COLUMN(E7)-1,0),VLOOKUP($R$7:$R$26,$B$31:$N$50,COLUMN(E7)-1,0))</f>
        <v>57045</v>
      </c>
      <c r="U7">
        <f t="shared" si="2"/>
        <v>60375</v>
      </c>
      <c r="V7">
        <f t="shared" si="2"/>
        <v>61737</v>
      </c>
      <c r="W7">
        <f t="shared" si="2"/>
        <v>65121</v>
      </c>
      <c r="X7">
        <f t="shared" si="2"/>
        <v>66106</v>
      </c>
      <c r="Y7">
        <f t="shared" si="2"/>
        <v>69923</v>
      </c>
      <c r="Z7">
        <f t="shared" si="2"/>
        <v>68486</v>
      </c>
      <c r="AA7">
        <f t="shared" si="2"/>
        <v>74274</v>
      </c>
      <c r="AB7">
        <f t="shared" si="2"/>
        <v>78184</v>
      </c>
      <c r="AC7">
        <f t="shared" si="2"/>
        <v>80117</v>
      </c>
    </row>
    <row r="8" spans="1:76">
      <c r="A8" s="383"/>
      <c r="B8" t="str">
        <f>+'q9'!$A$7</f>
        <v>B</v>
      </c>
      <c r="C8" t="str">
        <f>+'q9'!$B$7</f>
        <v>Indústrias extrativas</v>
      </c>
      <c r="D8">
        <f>+'q9'!$C$7</f>
        <v>8514</v>
      </c>
      <c r="E8">
        <f>+'q9'!$D$7</f>
        <v>8479</v>
      </c>
      <c r="F8">
        <f>+'q9'!$E$7</f>
        <v>8384</v>
      </c>
      <c r="G8">
        <f>+'q9'!$F$7</f>
        <v>8723</v>
      </c>
      <c r="H8">
        <f>+'q9'!$G$7</f>
        <v>8644</v>
      </c>
      <c r="I8">
        <f>+'q9'!$H$7</f>
        <v>8455</v>
      </c>
      <c r="J8">
        <f>+'q9'!$I$7</f>
        <v>8318</v>
      </c>
      <c r="K8">
        <f>+'q9'!$J$7</f>
        <v>8437</v>
      </c>
      <c r="L8">
        <f>+'q9'!$K$7</f>
        <v>8822</v>
      </c>
      <c r="M8">
        <f>+'q9'!$L$7</f>
        <v>9420</v>
      </c>
      <c r="N8">
        <f>+'q9'!$M$7</f>
        <v>9426</v>
      </c>
      <c r="R8" t="str">
        <f t="shared" ref="R8:R26" si="3">+B8</f>
        <v>B</v>
      </c>
      <c r="S8">
        <f t="shared" si="1"/>
        <v>8158</v>
      </c>
      <c r="T8">
        <f t="shared" si="2"/>
        <v>8132</v>
      </c>
      <c r="U8">
        <f t="shared" si="2"/>
        <v>8049</v>
      </c>
      <c r="V8">
        <f t="shared" si="2"/>
        <v>8407</v>
      </c>
      <c r="W8">
        <f t="shared" si="2"/>
        <v>8338</v>
      </c>
      <c r="X8">
        <f t="shared" si="2"/>
        <v>8161</v>
      </c>
      <c r="Y8">
        <f t="shared" si="2"/>
        <v>8029</v>
      </c>
      <c r="Z8">
        <f t="shared" si="2"/>
        <v>8140</v>
      </c>
      <c r="AA8">
        <f t="shared" si="2"/>
        <v>8518</v>
      </c>
      <c r="AB8">
        <f t="shared" si="2"/>
        <v>9125</v>
      </c>
      <c r="AC8">
        <f t="shared" si="2"/>
        <v>9139</v>
      </c>
    </row>
    <row r="9" spans="1:76">
      <c r="A9" s="383"/>
      <c r="B9" t="str">
        <f>+'q9'!$A$8</f>
        <v>C</v>
      </c>
      <c r="C9" t="str">
        <f>+'q9'!$B$8</f>
        <v>Indústrias transformadoras</v>
      </c>
      <c r="D9">
        <f>+'q9'!$C$8</f>
        <v>583685</v>
      </c>
      <c r="E9">
        <f>+'q9'!$D$8</f>
        <v>598482</v>
      </c>
      <c r="F9">
        <f>+'q9'!$E$8</f>
        <v>615556</v>
      </c>
      <c r="G9">
        <f>+'q9'!$F$8</f>
        <v>639429</v>
      </c>
      <c r="H9">
        <f>+'q9'!$G$8</f>
        <v>659459</v>
      </c>
      <c r="I9">
        <f>+'q9'!$H$8</f>
        <v>650638</v>
      </c>
      <c r="J9">
        <f>+'q9'!$I$8</f>
        <v>639517</v>
      </c>
      <c r="K9">
        <f>+'q9'!$J$8</f>
        <v>636329</v>
      </c>
      <c r="L9">
        <f>+'q9'!$K$8</f>
        <v>667361</v>
      </c>
      <c r="M9">
        <f>+'q9'!$L$8</f>
        <v>675754</v>
      </c>
      <c r="N9">
        <f>+'q9'!$M$8</f>
        <v>665805</v>
      </c>
      <c r="R9" t="str">
        <f t="shared" si="3"/>
        <v>C</v>
      </c>
      <c r="S9">
        <f t="shared" si="1"/>
        <v>557477</v>
      </c>
      <c r="T9">
        <f t="shared" si="2"/>
        <v>572207</v>
      </c>
      <c r="U9">
        <f t="shared" si="2"/>
        <v>589603</v>
      </c>
      <c r="V9">
        <f t="shared" si="2"/>
        <v>613379</v>
      </c>
      <c r="W9">
        <f t="shared" si="2"/>
        <v>633595</v>
      </c>
      <c r="X9">
        <f t="shared" si="2"/>
        <v>625633</v>
      </c>
      <c r="Y9">
        <f t="shared" si="2"/>
        <v>614674</v>
      </c>
      <c r="Z9">
        <f t="shared" si="2"/>
        <v>612054</v>
      </c>
      <c r="AA9">
        <f t="shared" si="2"/>
        <v>642354</v>
      </c>
      <c r="AB9">
        <f t="shared" si="2"/>
        <v>650876</v>
      </c>
      <c r="AC9">
        <f t="shared" si="2"/>
        <v>641915</v>
      </c>
    </row>
    <row r="10" spans="1:76">
      <c r="A10" s="383"/>
      <c r="B10" t="str">
        <f>+'q9'!$A$33</f>
        <v>D</v>
      </c>
      <c r="C10" t="str">
        <f>+'q9'!$B$33</f>
        <v>Eletr., gás, ág. quente/fria e ar frio</v>
      </c>
      <c r="D10">
        <f>+'q9'!$C$33</f>
        <v>6369</v>
      </c>
      <c r="E10">
        <f>+'q9'!$D$33</f>
        <v>6704</v>
      </c>
      <c r="F10">
        <f>+'q9'!$E$33</f>
        <v>6470</v>
      </c>
      <c r="G10">
        <f>+'q9'!$F$33</f>
        <v>6573</v>
      </c>
      <c r="H10">
        <f>+'q9'!$G$33</f>
        <v>6821</v>
      </c>
      <c r="I10">
        <f>+'q9'!$H$33</f>
        <v>6807</v>
      </c>
      <c r="J10">
        <f>+'q9'!$I$33</f>
        <v>6753</v>
      </c>
      <c r="K10">
        <f>+'q9'!$J$33</f>
        <v>6643</v>
      </c>
      <c r="L10">
        <f>+'q9'!$K$33</f>
        <v>6615</v>
      </c>
      <c r="M10">
        <f>+'q9'!$L$33</f>
        <v>7038</v>
      </c>
      <c r="N10">
        <f>+'q9'!$M$33</f>
        <v>7153</v>
      </c>
      <c r="R10" t="str">
        <f t="shared" si="3"/>
        <v>D</v>
      </c>
      <c r="S10">
        <f t="shared" si="1"/>
        <v>6277</v>
      </c>
      <c r="T10">
        <f t="shared" si="2"/>
        <v>6611</v>
      </c>
      <c r="U10">
        <f t="shared" si="2"/>
        <v>6390</v>
      </c>
      <c r="V10">
        <f t="shared" si="2"/>
        <v>6505</v>
      </c>
      <c r="W10">
        <f t="shared" si="2"/>
        <v>6748</v>
      </c>
      <c r="X10">
        <f t="shared" si="2"/>
        <v>6736</v>
      </c>
      <c r="Y10">
        <f t="shared" si="2"/>
        <v>6671</v>
      </c>
      <c r="Z10">
        <f t="shared" si="2"/>
        <v>6574</v>
      </c>
      <c r="AA10">
        <f t="shared" si="2"/>
        <v>6551</v>
      </c>
      <c r="AB10">
        <f t="shared" si="2"/>
        <v>6954</v>
      </c>
      <c r="AC10">
        <f t="shared" si="2"/>
        <v>7070</v>
      </c>
      <c r="BL10" s="410"/>
      <c r="BM10" s="508"/>
      <c r="BN10" s="508"/>
      <c r="BO10" s="508"/>
      <c r="BP10" s="508"/>
      <c r="BQ10" s="508"/>
      <c r="BR10" s="508"/>
      <c r="BS10" s="508"/>
      <c r="BT10" s="508"/>
      <c r="BU10" s="508"/>
      <c r="BV10" s="508"/>
      <c r="BW10" s="508"/>
    </row>
    <row r="11" spans="1:76">
      <c r="A11" s="383"/>
      <c r="B11" t="str">
        <f>+'q9'!$A$34</f>
        <v>E</v>
      </c>
      <c r="C11" t="str">
        <f>+'q9'!$B$34</f>
        <v>Capt., trat. e d. água; san., resíd.</v>
      </c>
      <c r="D11">
        <f>+'q9'!$C$34</f>
        <v>20728</v>
      </c>
      <c r="E11">
        <f>+'q9'!$D$34</f>
        <v>21233</v>
      </c>
      <c r="F11">
        <f>+'q9'!$E$34</f>
        <v>22585</v>
      </c>
      <c r="G11">
        <f>+'q9'!$F$34</f>
        <v>23439</v>
      </c>
      <c r="H11">
        <f>+'q9'!$G$34</f>
        <v>23927</v>
      </c>
      <c r="I11">
        <f>+'q9'!$H$34</f>
        <v>25301</v>
      </c>
      <c r="J11">
        <f>+'q9'!$I$34</f>
        <v>26123</v>
      </c>
      <c r="K11">
        <f>+'q9'!$J$34</f>
        <v>27869</v>
      </c>
      <c r="L11">
        <f>+'q9'!$K$34</f>
        <v>29036</v>
      </c>
      <c r="M11">
        <f>+'q9'!$L$34</f>
        <v>29674</v>
      </c>
      <c r="N11">
        <f>+'q9'!$M$34</f>
        <v>30695</v>
      </c>
      <c r="R11" t="str">
        <f t="shared" si="3"/>
        <v>E</v>
      </c>
      <c r="S11">
        <f t="shared" si="1"/>
        <v>20348</v>
      </c>
      <c r="T11">
        <f t="shared" si="2"/>
        <v>20860</v>
      </c>
      <c r="U11">
        <f t="shared" si="2"/>
        <v>22233</v>
      </c>
      <c r="V11">
        <f t="shared" si="2"/>
        <v>23079</v>
      </c>
      <c r="W11">
        <f t="shared" si="2"/>
        <v>23567</v>
      </c>
      <c r="X11">
        <f t="shared" si="2"/>
        <v>24904</v>
      </c>
      <c r="Y11">
        <f t="shared" si="2"/>
        <v>25711</v>
      </c>
      <c r="Z11">
        <f t="shared" si="2"/>
        <v>27469</v>
      </c>
      <c r="AA11">
        <f t="shared" si="2"/>
        <v>28585</v>
      </c>
      <c r="AB11">
        <f t="shared" si="2"/>
        <v>29229</v>
      </c>
      <c r="AC11">
        <f t="shared" si="2"/>
        <v>30260</v>
      </c>
      <c r="BL11" s="508"/>
      <c r="BM11" s="508"/>
      <c r="BN11" s="508"/>
      <c r="BO11" s="508"/>
      <c r="BP11" s="508"/>
      <c r="BQ11" s="508"/>
      <c r="BR11" s="508"/>
      <c r="BS11" s="508"/>
      <c r="BT11" s="508"/>
      <c r="BU11" s="508"/>
      <c r="BV11" s="508"/>
      <c r="BW11" s="508"/>
    </row>
    <row r="12" spans="1:76">
      <c r="A12" s="383"/>
      <c r="B12" t="str">
        <f>+'q9'!$A$35</f>
        <v>F</v>
      </c>
      <c r="C12" t="str">
        <f>+'q9'!$B$35</f>
        <v>Construção</v>
      </c>
      <c r="D12">
        <f>+'q9'!$C$35</f>
        <v>197951</v>
      </c>
      <c r="E12">
        <f>+'q9'!$D$35</f>
        <v>198073</v>
      </c>
      <c r="F12">
        <f>+'q9'!$E$35</f>
        <v>203068</v>
      </c>
      <c r="G12">
        <f>+'q9'!$F$35</f>
        <v>215365</v>
      </c>
      <c r="H12">
        <f>+'q9'!$G$35</f>
        <v>227394</v>
      </c>
      <c r="I12">
        <f>+'q9'!$H$35</f>
        <v>241160</v>
      </c>
      <c r="J12">
        <f>+'q9'!$I$35</f>
        <v>254572</v>
      </c>
      <c r="K12">
        <f>+'q9'!$J$35</f>
        <v>256768</v>
      </c>
      <c r="L12">
        <f>+'q9'!$K$35</f>
        <v>277485</v>
      </c>
      <c r="M12">
        <f>+'q9'!$L$35</f>
        <v>300958</v>
      </c>
      <c r="N12">
        <f>+'q9'!$M$35</f>
        <v>313267</v>
      </c>
      <c r="R12" t="str">
        <f t="shared" si="3"/>
        <v>F</v>
      </c>
      <c r="S12">
        <f t="shared" si="1"/>
        <v>178366</v>
      </c>
      <c r="T12">
        <f t="shared" si="2"/>
        <v>178864</v>
      </c>
      <c r="U12">
        <f t="shared" si="2"/>
        <v>183547</v>
      </c>
      <c r="V12">
        <f t="shared" si="2"/>
        <v>195420</v>
      </c>
      <c r="W12">
        <f t="shared" si="2"/>
        <v>206868</v>
      </c>
      <c r="X12">
        <f t="shared" si="2"/>
        <v>219984</v>
      </c>
      <c r="Y12">
        <f t="shared" si="2"/>
        <v>232381</v>
      </c>
      <c r="Z12">
        <f t="shared" si="2"/>
        <v>234450</v>
      </c>
      <c r="AA12">
        <f t="shared" si="2"/>
        <v>253501</v>
      </c>
      <c r="AB12">
        <f t="shared" si="2"/>
        <v>275564</v>
      </c>
      <c r="AC12">
        <f t="shared" si="2"/>
        <v>287512</v>
      </c>
      <c r="BE12" s="400"/>
      <c r="BG12" s="399"/>
      <c r="BH12" s="400"/>
      <c r="BL12" s="508"/>
      <c r="BM12" s="508"/>
      <c r="BN12" s="508"/>
      <c r="BO12" s="508"/>
      <c r="BP12" s="508"/>
      <c r="BQ12" s="508"/>
      <c r="BR12" s="508"/>
      <c r="BS12" s="508"/>
      <c r="BT12" s="508"/>
      <c r="BU12" s="508"/>
      <c r="BV12" s="508"/>
      <c r="BW12" s="508"/>
    </row>
    <row r="13" spans="1:76">
      <c r="A13" s="383"/>
      <c r="B13" t="str">
        <f>+'q9'!$A$36</f>
        <v>G</v>
      </c>
      <c r="C13" t="str">
        <f>+'q9'!$B$36</f>
        <v>Com. grosso e ret.; r.v.aut./moto.</v>
      </c>
      <c r="D13">
        <f>+'q9'!$C$36</f>
        <v>513639</v>
      </c>
      <c r="E13">
        <f>+'q9'!$D$36</f>
        <v>528110</v>
      </c>
      <c r="F13">
        <f>+'q9'!$E$36</f>
        <v>541723</v>
      </c>
      <c r="G13">
        <f>+'q9'!$F$36</f>
        <v>556229</v>
      </c>
      <c r="H13">
        <f>+'q9'!$G$36</f>
        <v>571387</v>
      </c>
      <c r="I13">
        <f>+'q9'!$H$36</f>
        <v>585267</v>
      </c>
      <c r="J13">
        <f>+'q9'!$I$36</f>
        <v>572866</v>
      </c>
      <c r="K13">
        <f>+'q9'!$J$36</f>
        <v>579715</v>
      </c>
      <c r="L13">
        <f>+'q9'!$K$36</f>
        <v>606424</v>
      </c>
      <c r="M13">
        <f>+'q9'!$L$36</f>
        <v>624971</v>
      </c>
      <c r="N13">
        <f>+'q9'!$M$36</f>
        <v>629059</v>
      </c>
      <c r="R13" t="str">
        <f t="shared" si="3"/>
        <v>G</v>
      </c>
      <c r="S13">
        <f t="shared" si="1"/>
        <v>463519</v>
      </c>
      <c r="T13">
        <f t="shared" si="2"/>
        <v>478256</v>
      </c>
      <c r="U13">
        <f t="shared" si="2"/>
        <v>492250</v>
      </c>
      <c r="V13">
        <f t="shared" si="2"/>
        <v>507360</v>
      </c>
      <c r="W13">
        <f t="shared" si="2"/>
        <v>522673</v>
      </c>
      <c r="X13">
        <f t="shared" si="2"/>
        <v>538367</v>
      </c>
      <c r="Y13">
        <f t="shared" si="2"/>
        <v>525816</v>
      </c>
      <c r="Z13">
        <f t="shared" si="2"/>
        <v>533620</v>
      </c>
      <c r="AA13">
        <f t="shared" si="2"/>
        <v>559353</v>
      </c>
      <c r="AB13">
        <f t="shared" si="2"/>
        <v>577407</v>
      </c>
      <c r="AC13">
        <f t="shared" si="2"/>
        <v>583143</v>
      </c>
      <c r="BL13" s="508"/>
      <c r="BM13" s="508"/>
      <c r="BN13" s="508"/>
      <c r="BO13" s="508"/>
      <c r="BP13" s="508"/>
      <c r="BQ13" s="508"/>
      <c r="BR13" s="508"/>
      <c r="BS13" s="508"/>
      <c r="BT13" s="508"/>
      <c r="BU13" s="508"/>
      <c r="BV13" s="508"/>
      <c r="BW13" s="508"/>
    </row>
    <row r="14" spans="1:76">
      <c r="A14" s="383"/>
      <c r="B14" t="str">
        <f>+'q9'!$A$37</f>
        <v>H</v>
      </c>
      <c r="C14" t="str">
        <f>+'q9'!$B$37</f>
        <v>Transportes e armazenagem</v>
      </c>
      <c r="D14">
        <f>+'q9'!$C$37</f>
        <v>130835</v>
      </c>
      <c r="E14">
        <f>+'q9'!$D$37</f>
        <v>134827</v>
      </c>
      <c r="F14">
        <f>+'q9'!$E$37</f>
        <v>140298</v>
      </c>
      <c r="G14">
        <f>+'q9'!$F$37</f>
        <v>147627</v>
      </c>
      <c r="H14">
        <f>+'q9'!$G$37</f>
        <v>153184</v>
      </c>
      <c r="I14">
        <f>+'q9'!$H$37</f>
        <v>154795</v>
      </c>
      <c r="J14">
        <f>+'q9'!$I$37</f>
        <v>153703</v>
      </c>
      <c r="K14">
        <f>+'q9'!$J$37</f>
        <v>150030</v>
      </c>
      <c r="L14">
        <f>+'q9'!$K$37</f>
        <v>157420</v>
      </c>
      <c r="M14">
        <f>+'q9'!$L$37</f>
        <v>167296</v>
      </c>
      <c r="N14">
        <f>+'q9'!$M$37</f>
        <v>171432</v>
      </c>
      <c r="R14" t="str">
        <f t="shared" si="3"/>
        <v>H</v>
      </c>
      <c r="S14">
        <f t="shared" si="1"/>
        <v>122986</v>
      </c>
      <c r="T14">
        <f t="shared" si="2"/>
        <v>127238</v>
      </c>
      <c r="U14">
        <f t="shared" si="2"/>
        <v>132842</v>
      </c>
      <c r="V14">
        <f t="shared" si="2"/>
        <v>140148</v>
      </c>
      <c r="W14">
        <f t="shared" si="2"/>
        <v>145741</v>
      </c>
      <c r="X14">
        <f t="shared" si="2"/>
        <v>147408</v>
      </c>
      <c r="Y14">
        <f t="shared" si="2"/>
        <v>146314</v>
      </c>
      <c r="Z14">
        <f t="shared" si="2"/>
        <v>142969</v>
      </c>
      <c r="AA14">
        <f t="shared" si="2"/>
        <v>149925</v>
      </c>
      <c r="AB14">
        <f t="shared" si="2"/>
        <v>159412</v>
      </c>
      <c r="AC14">
        <f t="shared" si="2"/>
        <v>163507</v>
      </c>
      <c r="BB14" s="398"/>
    </row>
    <row r="15" spans="1:76">
      <c r="A15" s="383"/>
      <c r="B15" t="str">
        <f>+'q9'!$A$38</f>
        <v>I</v>
      </c>
      <c r="C15" t="str">
        <f>+'q9'!$B$38</f>
        <v>Alojamento, restauração e sim.</v>
      </c>
      <c r="D15">
        <f>+'q9'!$C$38</f>
        <v>193103</v>
      </c>
      <c r="E15">
        <f>+'q9'!$D$38</f>
        <v>207980</v>
      </c>
      <c r="F15">
        <f>+'q9'!$E$38</f>
        <v>223137</v>
      </c>
      <c r="G15">
        <f>+'q9'!$F$38</f>
        <v>243205</v>
      </c>
      <c r="H15">
        <f>+'q9'!$G$38</f>
        <v>261730</v>
      </c>
      <c r="I15">
        <f>+'q9'!$H$38</f>
        <v>270796</v>
      </c>
      <c r="J15">
        <f>+'q9'!$I$38</f>
        <v>233699</v>
      </c>
      <c r="K15">
        <f>+'q9'!$J$38</f>
        <v>239745</v>
      </c>
      <c r="L15">
        <f>+'q9'!$K$38</f>
        <v>279781</v>
      </c>
      <c r="M15">
        <f>+'q9'!$L$38</f>
        <v>307448</v>
      </c>
      <c r="N15">
        <f>+'q9'!$M$38</f>
        <v>315899</v>
      </c>
      <c r="R15" t="str">
        <f t="shared" si="3"/>
        <v>I</v>
      </c>
      <c r="S15">
        <f t="shared" si="1"/>
        <v>174663</v>
      </c>
      <c r="T15">
        <f t="shared" si="2"/>
        <v>189219</v>
      </c>
      <c r="U15">
        <f t="shared" si="2"/>
        <v>204110</v>
      </c>
      <c r="V15">
        <f t="shared" si="2"/>
        <v>223805</v>
      </c>
      <c r="W15">
        <f t="shared" si="2"/>
        <v>241853</v>
      </c>
      <c r="X15">
        <f t="shared" si="2"/>
        <v>251350</v>
      </c>
      <c r="Y15">
        <f t="shared" si="2"/>
        <v>214079</v>
      </c>
      <c r="Z15">
        <f t="shared" si="2"/>
        <v>220649</v>
      </c>
      <c r="AA15">
        <f t="shared" si="2"/>
        <v>259660</v>
      </c>
      <c r="AB15">
        <f t="shared" si="2"/>
        <v>286812</v>
      </c>
      <c r="AC15">
        <f t="shared" si="2"/>
        <v>295279</v>
      </c>
      <c r="BB15" s="398"/>
    </row>
    <row r="16" spans="1:76">
      <c r="A16" s="383"/>
      <c r="B16" t="str">
        <f>+'q9'!$A$39</f>
        <v>J</v>
      </c>
      <c r="C16" t="str">
        <f>+'q9'!$B$39</f>
        <v xml:space="preserve">Ativ. Inform. e de comunicação </v>
      </c>
      <c r="D16">
        <f>+'q9'!$C$39</f>
        <v>71993</v>
      </c>
      <c r="E16">
        <f>+'q9'!$D$39</f>
        <v>72956</v>
      </c>
      <c r="F16">
        <f>+'q9'!$E$39</f>
        <v>77039</v>
      </c>
      <c r="G16">
        <f>+'q9'!$F$39</f>
        <v>83632</v>
      </c>
      <c r="H16">
        <f>+'q9'!$G$39</f>
        <v>91709</v>
      </c>
      <c r="I16">
        <f>+'q9'!$H$39</f>
        <v>99727</v>
      </c>
      <c r="J16">
        <f>+'q9'!$I$39</f>
        <v>107652</v>
      </c>
      <c r="K16">
        <f>+'q9'!$J$39</f>
        <v>114093</v>
      </c>
      <c r="L16">
        <f>+'q9'!$K$39</f>
        <v>132730</v>
      </c>
      <c r="M16">
        <f>+'q9'!$L$39</f>
        <v>136036</v>
      </c>
      <c r="N16">
        <f>+'q9'!$M$39</f>
        <v>142110</v>
      </c>
      <c r="R16" t="str">
        <f t="shared" si="3"/>
        <v>J</v>
      </c>
      <c r="S16">
        <f t="shared" si="1"/>
        <v>67783</v>
      </c>
      <c r="T16">
        <f t="shared" si="2"/>
        <v>68812</v>
      </c>
      <c r="U16">
        <f t="shared" si="2"/>
        <v>72936</v>
      </c>
      <c r="V16">
        <f t="shared" si="2"/>
        <v>79205</v>
      </c>
      <c r="W16">
        <f t="shared" si="2"/>
        <v>86973</v>
      </c>
      <c r="X16">
        <f t="shared" si="2"/>
        <v>94794</v>
      </c>
      <c r="Y16">
        <f t="shared" si="2"/>
        <v>102655</v>
      </c>
      <c r="Z16">
        <f t="shared" si="2"/>
        <v>109224</v>
      </c>
      <c r="AA16">
        <f t="shared" si="2"/>
        <v>127560</v>
      </c>
      <c r="AB16">
        <f t="shared" si="2"/>
        <v>130681</v>
      </c>
      <c r="AC16">
        <f t="shared" si="2"/>
        <v>136793</v>
      </c>
    </row>
    <row r="17" spans="1:54">
      <c r="A17" s="383"/>
      <c r="B17" t="str">
        <f>+'q9'!$A$40</f>
        <v>K</v>
      </c>
      <c r="C17" t="str">
        <f>+'q9'!$B$40</f>
        <v>Ativ. financeiras e de seguros</v>
      </c>
      <c r="D17">
        <f>+'q9'!$C$40</f>
        <v>82983</v>
      </c>
      <c r="E17">
        <f>+'q9'!$D$40</f>
        <v>81189</v>
      </c>
      <c r="F17">
        <f>+'q9'!$E$40</f>
        <v>79408</v>
      </c>
      <c r="G17">
        <f>+'q9'!$F$40</f>
        <v>78025</v>
      </c>
      <c r="H17">
        <f>+'q9'!$G$40</f>
        <v>78807</v>
      </c>
      <c r="I17">
        <f>+'q9'!$H$40</f>
        <v>72314</v>
      </c>
      <c r="J17">
        <f>+'q9'!$I$40</f>
        <v>78746</v>
      </c>
      <c r="K17">
        <f>+'q9'!$J$40</f>
        <v>77632</v>
      </c>
      <c r="L17">
        <f>+'q9'!$K$40</f>
        <v>80352</v>
      </c>
      <c r="M17">
        <f>+'q9'!$L$40</f>
        <v>83710</v>
      </c>
      <c r="N17">
        <f>+'q9'!$M$40</f>
        <v>84960</v>
      </c>
      <c r="R17" t="str">
        <f t="shared" si="3"/>
        <v>K</v>
      </c>
      <c r="S17">
        <f t="shared" si="1"/>
        <v>79315</v>
      </c>
      <c r="T17">
        <f t="shared" si="2"/>
        <v>77783</v>
      </c>
      <c r="U17">
        <f t="shared" si="2"/>
        <v>76080</v>
      </c>
      <c r="V17">
        <f t="shared" si="2"/>
        <v>74708</v>
      </c>
      <c r="W17">
        <f t="shared" si="2"/>
        <v>75395</v>
      </c>
      <c r="X17">
        <f t="shared" si="2"/>
        <v>69033</v>
      </c>
      <c r="Y17">
        <f t="shared" si="2"/>
        <v>75376</v>
      </c>
      <c r="Z17">
        <f t="shared" si="2"/>
        <v>74155</v>
      </c>
      <c r="AA17">
        <f t="shared" si="2"/>
        <v>76725</v>
      </c>
      <c r="AB17">
        <f t="shared" si="2"/>
        <v>79929</v>
      </c>
      <c r="AC17">
        <f t="shared" si="2"/>
        <v>81427</v>
      </c>
      <c r="BB17" s="398"/>
    </row>
    <row r="18" spans="1:54">
      <c r="A18" s="383"/>
      <c r="B18" t="str">
        <f>+'q9'!$A$41</f>
        <v>L</v>
      </c>
      <c r="C18" t="str">
        <f>+'q9'!$B$41</f>
        <v>Atividades imobiliárias</v>
      </c>
      <c r="D18">
        <f>+'q9'!$C$41</f>
        <v>19960</v>
      </c>
      <c r="E18">
        <f>+'q9'!$D$41</f>
        <v>21488</v>
      </c>
      <c r="F18">
        <f>+'q9'!$E$41</f>
        <v>22728</v>
      </c>
      <c r="G18">
        <f>+'q9'!$F$41</f>
        <v>25240</v>
      </c>
      <c r="H18">
        <f>+'q9'!$G$41</f>
        <v>28146</v>
      </c>
      <c r="I18">
        <f>+'q9'!$H$41</f>
        <v>29700</v>
      </c>
      <c r="J18">
        <f>+'q9'!$I$41</f>
        <v>30554</v>
      </c>
      <c r="K18">
        <f>+'q9'!$J$41</f>
        <v>32205</v>
      </c>
      <c r="L18">
        <f>+'q9'!$K$41</f>
        <v>35036</v>
      </c>
      <c r="M18">
        <f>+'q9'!$L$41</f>
        <v>37963</v>
      </c>
      <c r="N18">
        <f>+'q9'!$M$41</f>
        <v>39582</v>
      </c>
      <c r="R18" t="str">
        <f t="shared" si="3"/>
        <v>L</v>
      </c>
      <c r="S18">
        <f t="shared" si="1"/>
        <v>16356</v>
      </c>
      <c r="T18">
        <f t="shared" si="2"/>
        <v>17668</v>
      </c>
      <c r="U18">
        <f t="shared" si="2"/>
        <v>18643</v>
      </c>
      <c r="V18">
        <f t="shared" si="2"/>
        <v>20754</v>
      </c>
      <c r="W18">
        <f t="shared" si="2"/>
        <v>23132</v>
      </c>
      <c r="X18">
        <f t="shared" si="2"/>
        <v>24348</v>
      </c>
      <c r="Y18">
        <f t="shared" si="2"/>
        <v>24974</v>
      </c>
      <c r="Z18">
        <f t="shared" si="2"/>
        <v>26345</v>
      </c>
      <c r="AA18">
        <f t="shared" si="2"/>
        <v>28809</v>
      </c>
      <c r="AB18">
        <f t="shared" si="2"/>
        <v>31375</v>
      </c>
      <c r="AC18">
        <f t="shared" si="2"/>
        <v>32991</v>
      </c>
    </row>
    <row r="19" spans="1:54">
      <c r="A19" s="383"/>
      <c r="B19" t="str">
        <f>+'q9'!$A$42</f>
        <v>M</v>
      </c>
      <c r="C19" t="str">
        <f>+'q9'!$B$42</f>
        <v>Ativ. consultoria, cient.,téc. e sim.</v>
      </c>
      <c r="D19">
        <f>+'q9'!$C$42</f>
        <v>120671</v>
      </c>
      <c r="E19">
        <f>+'q9'!$D$42</f>
        <v>125288</v>
      </c>
      <c r="F19">
        <f>+'q9'!$E$42</f>
        <v>127354</v>
      </c>
      <c r="G19">
        <f>+'q9'!$F$42</f>
        <v>128982</v>
      </c>
      <c r="H19">
        <f>+'q9'!$G$42</f>
        <v>139971</v>
      </c>
      <c r="I19">
        <f>+'q9'!$H$42</f>
        <v>148924</v>
      </c>
      <c r="J19">
        <f>+'q9'!$I$42</f>
        <v>150763</v>
      </c>
      <c r="K19">
        <f>+'q9'!$J$42</f>
        <v>156464</v>
      </c>
      <c r="L19">
        <f>+'q9'!$K$42</f>
        <v>177058</v>
      </c>
      <c r="M19">
        <f>+'q9'!$L$42</f>
        <v>191467</v>
      </c>
      <c r="N19">
        <f>+'q9'!$M$42</f>
        <v>202733</v>
      </c>
      <c r="R19" t="str">
        <f t="shared" si="3"/>
        <v>M</v>
      </c>
      <c r="S19">
        <f t="shared" si="1"/>
        <v>105085</v>
      </c>
      <c r="T19">
        <f t="shared" si="2"/>
        <v>109770</v>
      </c>
      <c r="U19">
        <f t="shared" si="2"/>
        <v>111974</v>
      </c>
      <c r="V19">
        <f t="shared" si="2"/>
        <v>113617</v>
      </c>
      <c r="W19">
        <f t="shared" si="2"/>
        <v>123636</v>
      </c>
      <c r="X19">
        <f t="shared" si="2"/>
        <v>132611</v>
      </c>
      <c r="Y19">
        <f t="shared" si="2"/>
        <v>134408</v>
      </c>
      <c r="Z19">
        <f t="shared" si="2"/>
        <v>139839</v>
      </c>
      <c r="AA19">
        <f t="shared" si="2"/>
        <v>159252</v>
      </c>
      <c r="AB19">
        <f t="shared" si="2"/>
        <v>173417</v>
      </c>
      <c r="AC19">
        <f t="shared" si="2"/>
        <v>184737</v>
      </c>
    </row>
    <row r="20" spans="1:54">
      <c r="A20" s="383"/>
      <c r="B20" t="str">
        <f>+'q9'!$A$43</f>
        <v>N</v>
      </c>
      <c r="C20" t="str">
        <f>+'q9'!$B$43</f>
        <v>Ativ. Adm. e serviços de apoio</v>
      </c>
      <c r="D20">
        <f>+'q9'!$C$43</f>
        <v>243964</v>
      </c>
      <c r="E20">
        <f>+'q9'!$D$43</f>
        <v>251590</v>
      </c>
      <c r="F20">
        <f>+'q9'!$E$43</f>
        <v>273459</v>
      </c>
      <c r="G20">
        <f>+'q9'!$F$43</f>
        <v>299479</v>
      </c>
      <c r="H20">
        <f>+'q9'!$G$43</f>
        <v>298771</v>
      </c>
      <c r="I20">
        <f>+'q9'!$H$43</f>
        <v>299376</v>
      </c>
      <c r="J20">
        <f>+'q9'!$I$43</f>
        <v>291316</v>
      </c>
      <c r="K20">
        <f>+'q9'!$J$43</f>
        <v>280916</v>
      </c>
      <c r="L20">
        <f>+'q9'!$K$43</f>
        <v>313802</v>
      </c>
      <c r="M20">
        <f>+'q9'!$L$43</f>
        <v>329658</v>
      </c>
      <c r="N20">
        <f>+'q9'!$M$43</f>
        <v>331240</v>
      </c>
      <c r="R20" t="str">
        <f t="shared" si="3"/>
        <v>N</v>
      </c>
      <c r="S20">
        <f t="shared" si="1"/>
        <v>238916</v>
      </c>
      <c r="T20">
        <f t="shared" si="2"/>
        <v>246451</v>
      </c>
      <c r="U20">
        <f t="shared" si="2"/>
        <v>268226</v>
      </c>
      <c r="V20">
        <f t="shared" si="2"/>
        <v>294174</v>
      </c>
      <c r="W20">
        <f t="shared" si="2"/>
        <v>293550</v>
      </c>
      <c r="X20">
        <f t="shared" si="2"/>
        <v>293948</v>
      </c>
      <c r="Y20">
        <f t="shared" si="2"/>
        <v>285919</v>
      </c>
      <c r="Z20">
        <f t="shared" si="2"/>
        <v>275843</v>
      </c>
      <c r="AA20">
        <f t="shared" si="2"/>
        <v>307876</v>
      </c>
      <c r="AB20">
        <f t="shared" si="2"/>
        <v>323487</v>
      </c>
      <c r="AC20">
        <f t="shared" si="2"/>
        <v>325009</v>
      </c>
    </row>
    <row r="21" spans="1:54">
      <c r="A21" s="383"/>
      <c r="B21" t="str">
        <f>+'q9'!$A$44</f>
        <v>O</v>
      </c>
      <c r="C21" t="str">
        <f>+'q9'!$B$44</f>
        <v xml:space="preserve">Adm. Púb. e defesa; seg. social </v>
      </c>
      <c r="D21">
        <f>+'q9'!$C$44</f>
        <v>10823</v>
      </c>
      <c r="E21">
        <f>+'q9'!$D$44</f>
        <v>10646</v>
      </c>
      <c r="F21">
        <f>+'q9'!$E$44</f>
        <v>10719</v>
      </c>
      <c r="G21">
        <f>+'q9'!$F$44</f>
        <v>11285</v>
      </c>
      <c r="H21">
        <f>+'q9'!$G$44</f>
        <v>11658</v>
      </c>
      <c r="I21">
        <f>+'q9'!$H$44</f>
        <v>11877</v>
      </c>
      <c r="J21">
        <f>+'q9'!$I$44</f>
        <v>12408</v>
      </c>
      <c r="K21">
        <f>+'q9'!$J$44</f>
        <v>12061</v>
      </c>
      <c r="L21">
        <f>+'q9'!$K$44</f>
        <v>13207</v>
      </c>
      <c r="M21">
        <f>+'q9'!$L$44</f>
        <v>14299</v>
      </c>
      <c r="N21">
        <f>+'q9'!$M$44</f>
        <v>14609</v>
      </c>
      <c r="R21" t="str">
        <f t="shared" si="3"/>
        <v>O</v>
      </c>
      <c r="S21">
        <f t="shared" si="1"/>
        <v>10787</v>
      </c>
      <c r="T21">
        <f t="shared" si="2"/>
        <v>10612</v>
      </c>
      <c r="U21">
        <f t="shared" si="2"/>
        <v>10688</v>
      </c>
      <c r="V21">
        <f t="shared" si="2"/>
        <v>11236</v>
      </c>
      <c r="W21">
        <f t="shared" si="2"/>
        <v>11602</v>
      </c>
      <c r="X21">
        <f t="shared" si="2"/>
        <v>11794</v>
      </c>
      <c r="Y21">
        <f t="shared" si="2"/>
        <v>12327</v>
      </c>
      <c r="Z21">
        <f t="shared" si="2"/>
        <v>11997</v>
      </c>
      <c r="AA21">
        <f t="shared" si="2"/>
        <v>13111</v>
      </c>
      <c r="AB21">
        <f t="shared" si="2"/>
        <v>14202</v>
      </c>
      <c r="AC21">
        <f t="shared" si="2"/>
        <v>14524</v>
      </c>
    </row>
    <row r="22" spans="1:54">
      <c r="A22" s="383"/>
      <c r="B22" t="str">
        <f>+'q9'!$A$45</f>
        <v>P</v>
      </c>
      <c r="C22" t="str">
        <f>+'q9'!$B$45</f>
        <v>Educação</v>
      </c>
      <c r="D22">
        <f>+'q9'!$C$45</f>
        <v>53776</v>
      </c>
      <c r="E22">
        <f>+'q9'!$D$45</f>
        <v>56603</v>
      </c>
      <c r="F22">
        <f>+'q9'!$E$45</f>
        <v>56595</v>
      </c>
      <c r="G22">
        <f>+'q9'!$F$45</f>
        <v>56216</v>
      </c>
      <c r="H22">
        <f>+'q9'!$G$45</f>
        <v>60367</v>
      </c>
      <c r="I22">
        <f>+'q9'!$H$45</f>
        <v>60849</v>
      </c>
      <c r="J22">
        <f>+'q9'!$I$45</f>
        <v>62433</v>
      </c>
      <c r="K22">
        <f>+'q9'!$J$45</f>
        <v>61474</v>
      </c>
      <c r="L22">
        <f>+'q9'!$K$45</f>
        <v>64779</v>
      </c>
      <c r="M22">
        <f>+'q9'!$L$45</f>
        <v>69358</v>
      </c>
      <c r="N22">
        <f>+'q9'!$M$45</f>
        <v>72782</v>
      </c>
      <c r="R22" t="str">
        <f t="shared" si="3"/>
        <v>P</v>
      </c>
      <c r="S22">
        <f t="shared" si="1"/>
        <v>50957</v>
      </c>
      <c r="T22">
        <f t="shared" si="2"/>
        <v>53876</v>
      </c>
      <c r="U22">
        <f t="shared" si="2"/>
        <v>53906</v>
      </c>
      <c r="V22">
        <f t="shared" si="2"/>
        <v>53502</v>
      </c>
      <c r="W22">
        <f t="shared" si="2"/>
        <v>57690</v>
      </c>
      <c r="X22">
        <f t="shared" si="2"/>
        <v>58269</v>
      </c>
      <c r="Y22">
        <f t="shared" si="2"/>
        <v>59807</v>
      </c>
      <c r="Z22">
        <f t="shared" si="2"/>
        <v>58921</v>
      </c>
      <c r="AA22">
        <f t="shared" si="2"/>
        <v>62076</v>
      </c>
      <c r="AB22">
        <f t="shared" si="2"/>
        <v>66613</v>
      </c>
      <c r="AC22">
        <f t="shared" si="2"/>
        <v>69990</v>
      </c>
    </row>
    <row r="23" spans="1:54">
      <c r="A23" s="383"/>
      <c r="B23" t="str">
        <f>+'q9'!$A$46</f>
        <v>Q</v>
      </c>
      <c r="C23" t="str">
        <f>+'q9'!$B$46</f>
        <v>Ativ. saúde humana e apoio social</v>
      </c>
      <c r="D23">
        <f>+'q9'!$C$46</f>
        <v>229330</v>
      </c>
      <c r="E23">
        <f>+'q9'!$D$46</f>
        <v>241051</v>
      </c>
      <c r="F23">
        <f>+'q9'!$E$46</f>
        <v>254988</v>
      </c>
      <c r="G23">
        <f>+'q9'!$F$46</f>
        <v>265423</v>
      </c>
      <c r="H23">
        <f>+'q9'!$G$46</f>
        <v>271575</v>
      </c>
      <c r="I23">
        <f>+'q9'!$H$46</f>
        <v>278424</v>
      </c>
      <c r="J23">
        <f>+'q9'!$I$46</f>
        <v>289188</v>
      </c>
      <c r="K23">
        <f>+'q9'!$J$46</f>
        <v>295748</v>
      </c>
      <c r="L23">
        <f>+'q9'!$K$46</f>
        <v>309107</v>
      </c>
      <c r="M23">
        <f>+'q9'!$L$46</f>
        <v>319140</v>
      </c>
      <c r="N23">
        <f>+'q9'!$M$46</f>
        <v>326389</v>
      </c>
      <c r="R23" t="str">
        <f t="shared" si="3"/>
        <v>Q</v>
      </c>
      <c r="S23">
        <f t="shared" si="1"/>
        <v>221126</v>
      </c>
      <c r="T23">
        <f t="shared" ref="T23:AC26" si="4">IF($Q$3=1, VLOOKUP($R$7:$R$26,$B$6:$N$26,COLUMN(E23)-1,0),VLOOKUP($R$7:$R$26,$B$31:$N$50,COLUMN(E23)-1,0))</f>
        <v>232717</v>
      </c>
      <c r="U23">
        <f t="shared" si="4"/>
        <v>246800</v>
      </c>
      <c r="V23">
        <f t="shared" si="4"/>
        <v>257306</v>
      </c>
      <c r="W23">
        <f t="shared" si="4"/>
        <v>263021</v>
      </c>
      <c r="X23">
        <f t="shared" si="4"/>
        <v>269760</v>
      </c>
      <c r="Y23">
        <f t="shared" si="4"/>
        <v>280115</v>
      </c>
      <c r="Z23">
        <f t="shared" si="4"/>
        <v>286750</v>
      </c>
      <c r="AA23">
        <f t="shared" si="4"/>
        <v>299622</v>
      </c>
      <c r="AB23">
        <f t="shared" si="4"/>
        <v>309289</v>
      </c>
      <c r="AC23">
        <f t="shared" si="4"/>
        <v>316504</v>
      </c>
    </row>
    <row r="24" spans="1:54">
      <c r="A24" s="383"/>
      <c r="B24" t="str">
        <f>+'q9'!$A$47</f>
        <v>R</v>
      </c>
      <c r="C24" t="str">
        <f>+'q9'!$B$47</f>
        <v>Ativ. artíst., espet., desp. e recr.</v>
      </c>
      <c r="D24">
        <f>+'q9'!$C$47</f>
        <v>20524</v>
      </c>
      <c r="E24">
        <f>+'q9'!$D$47</f>
        <v>22785</v>
      </c>
      <c r="F24">
        <f>+'q9'!$E$47</f>
        <v>23892</v>
      </c>
      <c r="G24">
        <f>+'q9'!$F$47</f>
        <v>26109</v>
      </c>
      <c r="H24">
        <f>+'q9'!$G$47</f>
        <v>28777</v>
      </c>
      <c r="I24">
        <f>+'q9'!$H$47</f>
        <v>30427</v>
      </c>
      <c r="J24">
        <f>+'q9'!$I$47</f>
        <v>28691</v>
      </c>
      <c r="K24">
        <f>+'q9'!$J$47</f>
        <v>31034</v>
      </c>
      <c r="L24">
        <f>+'q9'!$K$47</f>
        <v>33359</v>
      </c>
      <c r="M24">
        <f>+'q9'!$L$47</f>
        <v>36709</v>
      </c>
      <c r="N24">
        <f>+'q9'!$M$47</f>
        <v>39194</v>
      </c>
      <c r="R24" t="str">
        <f t="shared" si="3"/>
        <v>R</v>
      </c>
      <c r="S24">
        <f t="shared" si="1"/>
        <v>18760</v>
      </c>
      <c r="T24">
        <f t="shared" si="4"/>
        <v>21039</v>
      </c>
      <c r="U24">
        <f t="shared" si="4"/>
        <v>22077</v>
      </c>
      <c r="V24">
        <f t="shared" si="4"/>
        <v>24123</v>
      </c>
      <c r="W24">
        <f t="shared" si="4"/>
        <v>26529</v>
      </c>
      <c r="X24">
        <f t="shared" si="4"/>
        <v>28069</v>
      </c>
      <c r="Y24">
        <f t="shared" si="4"/>
        <v>26263</v>
      </c>
      <c r="Z24">
        <f t="shared" si="4"/>
        <v>28680</v>
      </c>
      <c r="AA24">
        <f t="shared" si="4"/>
        <v>30827</v>
      </c>
      <c r="AB24">
        <f t="shared" si="4"/>
        <v>34107</v>
      </c>
      <c r="AC24">
        <f t="shared" si="4"/>
        <v>36494</v>
      </c>
    </row>
    <row r="25" spans="1:54">
      <c r="A25" s="383"/>
      <c r="B25" t="str">
        <f>+'q9'!$A$48</f>
        <v>S</v>
      </c>
      <c r="C25" t="str">
        <f>+'q9'!$B$48</f>
        <v>Outras atividades de serviços</v>
      </c>
      <c r="D25">
        <f>+'q9'!$C$48</f>
        <v>67966</v>
      </c>
      <c r="E25">
        <f>+'q9'!$D$48</f>
        <v>65669</v>
      </c>
      <c r="F25">
        <f>+'q9'!$E$48</f>
        <v>66238</v>
      </c>
      <c r="G25">
        <f>+'q9'!$F$48</f>
        <v>64042</v>
      </c>
      <c r="H25">
        <f>+'q9'!$G$48</f>
        <v>66801</v>
      </c>
      <c r="I25">
        <f>+'q9'!$H$48</f>
        <v>63852</v>
      </c>
      <c r="J25">
        <f>+'q9'!$I$48</f>
        <v>61955</v>
      </c>
      <c r="K25">
        <f>+'q9'!$J$48</f>
        <v>60477</v>
      </c>
      <c r="L25">
        <f>+'q9'!$K$48</f>
        <v>63987</v>
      </c>
      <c r="M25">
        <f>+'q9'!$L$48</f>
        <v>63846</v>
      </c>
      <c r="N25">
        <f>+'q9'!$M$48</f>
        <v>61922</v>
      </c>
      <c r="R25" t="str">
        <f t="shared" si="3"/>
        <v>S</v>
      </c>
      <c r="S25">
        <f t="shared" si="1"/>
        <v>62532</v>
      </c>
      <c r="T25">
        <f t="shared" si="4"/>
        <v>60404</v>
      </c>
      <c r="U25">
        <f t="shared" si="4"/>
        <v>61086</v>
      </c>
      <c r="V25">
        <f t="shared" si="4"/>
        <v>58964</v>
      </c>
      <c r="W25">
        <f t="shared" si="4"/>
        <v>61792</v>
      </c>
      <c r="X25">
        <f t="shared" si="4"/>
        <v>59107</v>
      </c>
      <c r="Y25">
        <f t="shared" si="4"/>
        <v>57266</v>
      </c>
      <c r="Z25">
        <f t="shared" si="4"/>
        <v>56071</v>
      </c>
      <c r="AA25">
        <f t="shared" si="4"/>
        <v>59443</v>
      </c>
      <c r="AB25">
        <f t="shared" si="4"/>
        <v>59326</v>
      </c>
      <c r="AC25">
        <f t="shared" si="4"/>
        <v>57571</v>
      </c>
    </row>
    <row r="26" spans="1:54">
      <c r="A26" s="383"/>
      <c r="B26" t="str">
        <f>+'q9'!$A$49</f>
        <v>U</v>
      </c>
      <c r="C26" t="str">
        <f>+'q9'!$B$49</f>
        <v>Ativ. org. int. e o. inst. extra-territ.</v>
      </c>
      <c r="D26">
        <f>+'q9'!$C$49</f>
        <v>93</v>
      </c>
      <c r="E26">
        <f>+'q9'!$D$49</f>
        <v>91</v>
      </c>
      <c r="F26">
        <f>+'q9'!$E$49</f>
        <v>106</v>
      </c>
      <c r="G26">
        <f>+'q9'!$F$49</f>
        <v>95</v>
      </c>
      <c r="H26">
        <f>+'q9'!$G$49</f>
        <v>97</v>
      </c>
      <c r="I26">
        <f>+'q9'!$H$49</f>
        <v>102</v>
      </c>
      <c r="J26">
        <f>+'q9'!$I$49</f>
        <v>119</v>
      </c>
      <c r="K26">
        <f>+'q9'!$J$49</f>
        <v>107</v>
      </c>
      <c r="L26">
        <f>+'q9'!$K$49</f>
        <v>125</v>
      </c>
      <c r="M26">
        <f>+'q9'!$L$49</f>
        <v>145</v>
      </c>
      <c r="N26">
        <f>+'q9'!$M$49</f>
        <v>154</v>
      </c>
      <c r="R26" t="str">
        <f t="shared" si="3"/>
        <v>U</v>
      </c>
      <c r="S26">
        <f t="shared" si="1"/>
        <v>91</v>
      </c>
      <c r="T26">
        <f t="shared" si="4"/>
        <v>89</v>
      </c>
      <c r="U26">
        <f t="shared" si="4"/>
        <v>104</v>
      </c>
      <c r="V26">
        <f t="shared" si="4"/>
        <v>92</v>
      </c>
      <c r="W26">
        <f t="shared" si="4"/>
        <v>94</v>
      </c>
      <c r="X26">
        <f t="shared" si="4"/>
        <v>100</v>
      </c>
      <c r="Y26">
        <f t="shared" si="4"/>
        <v>117</v>
      </c>
      <c r="Z26">
        <f t="shared" si="4"/>
        <v>107</v>
      </c>
      <c r="AA26">
        <f t="shared" si="4"/>
        <v>125</v>
      </c>
      <c r="AB26">
        <f t="shared" si="4"/>
        <v>145</v>
      </c>
      <c r="AC26">
        <f t="shared" si="4"/>
        <v>154</v>
      </c>
      <c r="AN26" s="383"/>
    </row>
    <row r="27" spans="1:54">
      <c r="A27" s="383"/>
      <c r="B27" s="383" t="s">
        <v>222</v>
      </c>
      <c r="C27" s="383"/>
      <c r="D27">
        <f>+'q10'!$B$6+'q10'!$B$7</f>
        <v>806496</v>
      </c>
      <c r="E27">
        <f>+'q10'!$C$6+'q10'!$C$7</f>
        <v>816451</v>
      </c>
      <c r="F27">
        <f>+'q10'!$D$6+'q10'!$D$7</f>
        <v>827791</v>
      </c>
      <c r="G27">
        <f>+'q10'!$E$6+'q10'!$E$7</f>
        <v>834587</v>
      </c>
      <c r="H27">
        <f>+'q10'!$F$6+'q10'!$F$7</f>
        <v>846286</v>
      </c>
      <c r="I27">
        <f>+'q10'!$G$6+'q10'!$G$7</f>
        <v>829728</v>
      </c>
      <c r="J27">
        <f>+'q10'!$H$6+'q10'!$H$7</f>
        <v>834524</v>
      </c>
      <c r="K27">
        <f>+'q10'!$I$6+'q10'!$I$7</f>
        <v>817956</v>
      </c>
      <c r="L27">
        <f>+'q10'!$J$6+'q10'!$J$7</f>
        <v>855698</v>
      </c>
      <c r="M27">
        <f>+'q10'!$K$6+'q10'!$K$7</f>
        <v>874919</v>
      </c>
      <c r="N27">
        <f>+'q10'!$L$6+'q10'!$L$7</f>
        <v>867823</v>
      </c>
    </row>
    <row r="28" spans="1:54">
      <c r="A28" s="383"/>
      <c r="B28" s="383" t="s">
        <v>432</v>
      </c>
      <c r="C28" s="383"/>
      <c r="D28">
        <f>+'q10'!$B$8+'q10'!$B$9</f>
        <v>780857</v>
      </c>
      <c r="E28">
        <f>+'q10'!$C$8+'q10'!$C$9</f>
        <v>806420</v>
      </c>
      <c r="F28">
        <f>+'q10'!$D$8+'q10'!$D$9</f>
        <v>835518</v>
      </c>
      <c r="G28">
        <f>+'q10'!$E$8+'q10'!$E$9</f>
        <v>876390</v>
      </c>
      <c r="H28">
        <f>+'q10'!$F$8+'q10'!$F$9</f>
        <v>912324</v>
      </c>
      <c r="I28">
        <f>+'q10'!$G$8+'q10'!$G$9</f>
        <v>931912</v>
      </c>
      <c r="J28">
        <f>+'q10'!$H$8+'q10'!$H$9</f>
        <v>920656</v>
      </c>
      <c r="K28">
        <f>+'q10'!$I$8+'q10'!$I$9</f>
        <v>928375</v>
      </c>
      <c r="L28">
        <f>+'q10'!$J$8+'q10'!$J$9</f>
        <v>999621</v>
      </c>
      <c r="M28">
        <f>+'q10'!$K$8+'q10'!$K$9</f>
        <v>1050851</v>
      </c>
      <c r="N28">
        <f>+'q10'!$L$8+'q10'!$L$9</f>
        <v>1063804</v>
      </c>
    </row>
    <row r="29" spans="1:54">
      <c r="A29" s="383"/>
      <c r="B29" s="383" t="s">
        <v>433</v>
      </c>
      <c r="C29" s="383"/>
      <c r="D29">
        <f>+'q10'!$B$10+'q10'!$B$11+'q10'!$B$12+'q10'!$B$13</f>
        <v>593889</v>
      </c>
      <c r="E29">
        <f>+'q10'!$C$10+'q10'!$C$11+'q10'!$C$12+'q10'!$C$13</f>
        <v>614314</v>
      </c>
      <c r="F29">
        <f>+'q10'!$D$10+'q10'!$D$11+'q10'!$D$12+'q10'!$D$13</f>
        <v>642429</v>
      </c>
      <c r="G29">
        <f>+'q10'!$E$10+'q10'!$E$11+'q10'!$E$12+'q10'!$E$13</f>
        <v>674480</v>
      </c>
      <c r="H29">
        <f>+'q10'!$F$10+'q10'!$F$11+'q10'!$F$12+'q10'!$F$13</f>
        <v>711164</v>
      </c>
      <c r="I29">
        <f>+'q10'!$G$10+'q10'!$G$11+'q10'!$G$12+'q10'!$G$13</f>
        <v>728234</v>
      </c>
      <c r="J29">
        <f>+'q10'!$H$10+'q10'!$H$11+'q10'!$H$12+'q10'!$H$13</f>
        <v>717489</v>
      </c>
      <c r="K29">
        <f>+'q10'!$I$10+'q10'!$I$11+'q10'!$I$12+'q10'!$I$13</f>
        <v>736449</v>
      </c>
      <c r="L29">
        <f>+'q10'!$J$10+'q10'!$J$11+'q10'!$J$12+'q10'!$J$13</f>
        <v>805847</v>
      </c>
      <c r="M29">
        <f>+'q10'!$K$10+'q10'!$K$11+'q10'!$K$12+'q10'!$K$13</f>
        <v>846902</v>
      </c>
      <c r="N29">
        <f>+'q10'!$L$10+'q10'!$L$11+'q10'!$L$12+'q10'!$L$13</f>
        <v>865555</v>
      </c>
    </row>
    <row r="30" spans="1:54">
      <c r="A30" s="383"/>
      <c r="B30" s="383" t="s">
        <v>231</v>
      </c>
      <c r="C30" s="383"/>
      <c r="D30">
        <f>+'q10'!$B$14+'q10'!$B$15+'q10'!$B$16</f>
        <v>455639</v>
      </c>
      <c r="E30">
        <f>+'q10'!$C$14+'q10'!$C$15+'q10'!$C$16</f>
        <v>478826</v>
      </c>
      <c r="F30">
        <f>+'q10'!$D$14+'q10'!$D$15+'q10'!$D$16</f>
        <v>514240</v>
      </c>
      <c r="G30">
        <f>+'q10'!$E$14+'q10'!$E$15+'q10'!$E$16</f>
        <v>561446</v>
      </c>
      <c r="H30">
        <f>+'q10'!$F$14+'q10'!$F$15+'q10'!$F$16</f>
        <v>590715</v>
      </c>
      <c r="I30">
        <f>+'q10'!$G$14+'q10'!$G$15+'q10'!$G$16</f>
        <v>621075</v>
      </c>
      <c r="J30">
        <f>+'q10'!$H$14+'q10'!$H$15+'q10'!$H$16</f>
        <v>612897</v>
      </c>
      <c r="K30">
        <f>+'q10'!$I$14+'q10'!$I$15+'q10'!$I$16</f>
        <v>619565</v>
      </c>
      <c r="L30">
        <f>+'q10'!$J$14+'q10'!$J$15+'q10'!$J$16</f>
        <v>675916</v>
      </c>
      <c r="M30">
        <f>+'q10'!$K$14+'q10'!$K$15+'q10'!$K$16</f>
        <v>716911</v>
      </c>
      <c r="N30">
        <f>+'q10'!$L$14+'q10'!$L$15+'q10'!$L$16</f>
        <v>747773</v>
      </c>
      <c r="S30">
        <f>+S6</f>
        <v>2014</v>
      </c>
      <c r="T30">
        <f t="shared" ref="T30:AC30" si="5">+T6</f>
        <v>2015</v>
      </c>
      <c r="U30">
        <f t="shared" si="5"/>
        <v>2016</v>
      </c>
      <c r="V30">
        <f t="shared" si="5"/>
        <v>2017</v>
      </c>
      <c r="W30">
        <f t="shared" si="5"/>
        <v>2018</v>
      </c>
      <c r="X30">
        <f t="shared" si="5"/>
        <v>2019</v>
      </c>
      <c r="Y30">
        <f t="shared" si="5"/>
        <v>2020</v>
      </c>
      <c r="Z30">
        <f t="shared" si="5"/>
        <v>2021</v>
      </c>
      <c r="AA30">
        <f t="shared" si="5"/>
        <v>2022</v>
      </c>
      <c r="AB30">
        <f t="shared" si="5"/>
        <v>2023</v>
      </c>
      <c r="AC30">
        <f t="shared" si="5"/>
        <v>2024</v>
      </c>
    </row>
    <row r="31" spans="1:54">
      <c r="A31" s="383" t="s">
        <v>182</v>
      </c>
      <c r="B31" t="str">
        <f>+'q13'!$A$6</f>
        <v>A</v>
      </c>
      <c r="C31" t="str">
        <f>+'q13'!$B$6</f>
        <v>Agr., pr. animal, caça, flor. pesca</v>
      </c>
      <c r="D31">
        <f>+'q13'!$C$6</f>
        <v>54661</v>
      </c>
      <c r="E31">
        <f>+'q13'!$D$6</f>
        <v>57045</v>
      </c>
      <c r="F31">
        <f>+'q13'!$E$6</f>
        <v>60375</v>
      </c>
      <c r="G31">
        <f>+'q13'!$F$6</f>
        <v>61737</v>
      </c>
      <c r="H31">
        <f>+'q13'!$G$6</f>
        <v>65121</v>
      </c>
      <c r="I31">
        <f>+'q13'!$H$6</f>
        <v>66106</v>
      </c>
      <c r="J31">
        <f>+'q13'!$I$6</f>
        <v>69923</v>
      </c>
      <c r="K31">
        <f>+'q13'!$J$6</f>
        <v>68486</v>
      </c>
      <c r="L31">
        <f>+'q13'!$K$6</f>
        <v>74274</v>
      </c>
      <c r="M31">
        <f>+'q13'!$L$6</f>
        <v>78184</v>
      </c>
      <c r="N31">
        <f>+'q13'!$M$6</f>
        <v>80117</v>
      </c>
      <c r="Q31" t="str">
        <f>INDEX($A$2:$A$3,$Q$3)</f>
        <v>TCO</v>
      </c>
      <c r="R31" s="383" t="str">
        <f>+B27</f>
        <v>Micro (1-9 pessoas)</v>
      </c>
      <c r="S31">
        <f>IF($Q$3=1,VLOOKUP($R$31:$R$34,$B$27:$N$30,COLUMN(D27)-1,0),VLOOKUP($R$31:$R$34,$B$51:$N$54,COLUMN(D27)-1,0))</f>
        <v>664177</v>
      </c>
      <c r="T31">
        <f t="shared" ref="T31:AC34" si="6">IF($Q$3=1,VLOOKUP($R$31:$R$34,$B$27:$N$30,COLUMN(E27)-1,0),VLOOKUP($R$31:$R$34,$B$51:$N$54,COLUMN(E27)-1,0))</f>
        <v>675159</v>
      </c>
      <c r="U31">
        <f t="shared" si="6"/>
        <v>686327</v>
      </c>
      <c r="V31">
        <f t="shared" si="6"/>
        <v>693453</v>
      </c>
      <c r="W31">
        <f t="shared" si="6"/>
        <v>703921</v>
      </c>
      <c r="X31">
        <f t="shared" si="6"/>
        <v>690476</v>
      </c>
      <c r="Y31">
        <f t="shared" si="6"/>
        <v>691923</v>
      </c>
      <c r="Z31">
        <f t="shared" si="6"/>
        <v>678736</v>
      </c>
      <c r="AA31">
        <f t="shared" si="6"/>
        <v>710989</v>
      </c>
      <c r="AB31">
        <f t="shared" si="6"/>
        <v>727162</v>
      </c>
      <c r="AC31">
        <f t="shared" si="6"/>
        <v>722178</v>
      </c>
    </row>
    <row r="32" spans="1:54">
      <c r="A32" s="383"/>
      <c r="B32" t="str">
        <f>+'q13'!$A$7</f>
        <v>B</v>
      </c>
      <c r="C32" t="str">
        <f>+'q13'!$B$7</f>
        <v>Indústrias extrativas</v>
      </c>
      <c r="D32">
        <f>+'q13'!$C$7</f>
        <v>8158</v>
      </c>
      <c r="E32">
        <f>+'q13'!$D$7</f>
        <v>8132</v>
      </c>
      <c r="F32">
        <f>+'q13'!$E$7</f>
        <v>8049</v>
      </c>
      <c r="G32">
        <f>+'q13'!$F$7</f>
        <v>8407</v>
      </c>
      <c r="H32">
        <f>+'q13'!$G$7</f>
        <v>8338</v>
      </c>
      <c r="I32">
        <f>+'q13'!$H$7</f>
        <v>8161</v>
      </c>
      <c r="J32">
        <f>+'q13'!$I$7</f>
        <v>8029</v>
      </c>
      <c r="K32">
        <f>+'q13'!$J$7</f>
        <v>8140</v>
      </c>
      <c r="L32">
        <f>+'q13'!$K$7</f>
        <v>8518</v>
      </c>
      <c r="M32">
        <f>+'q13'!$L$7</f>
        <v>9125</v>
      </c>
      <c r="N32">
        <f>+'q13'!$M$7</f>
        <v>9139</v>
      </c>
      <c r="R32" s="383" t="str">
        <f t="shared" ref="R32:R34" si="7">+B28</f>
        <v>Pequenos (10 - 49 pessoas)</v>
      </c>
      <c r="S32">
        <f>IF($Q$3=1,VLOOKUP($R$31:$R$34,$B$27:$N$30,COLUMN(D28)-1,0),VLOOKUP($R$31:$R$34,$B$51:$N$54,COLUMN(D28)-1,0))</f>
        <v>751440</v>
      </c>
      <c r="T32">
        <f t="shared" si="6"/>
        <v>776454</v>
      </c>
      <c r="U32">
        <f t="shared" si="6"/>
        <v>805324</v>
      </c>
      <c r="V32">
        <f t="shared" si="6"/>
        <v>844629</v>
      </c>
      <c r="W32">
        <f t="shared" si="6"/>
        <v>879333</v>
      </c>
      <c r="X32">
        <f t="shared" si="6"/>
        <v>898123</v>
      </c>
      <c r="Y32">
        <f t="shared" si="6"/>
        <v>887304</v>
      </c>
      <c r="Z32">
        <f t="shared" si="6"/>
        <v>894687</v>
      </c>
      <c r="AA32">
        <f t="shared" si="6"/>
        <v>963576</v>
      </c>
      <c r="AB32">
        <f t="shared" si="6"/>
        <v>1013588</v>
      </c>
      <c r="AC32">
        <f t="shared" si="6"/>
        <v>1027002</v>
      </c>
    </row>
    <row r="33" spans="1:50">
      <c r="A33" s="383"/>
      <c r="B33" t="str">
        <f>+'q13'!$A$8</f>
        <v>C</v>
      </c>
      <c r="C33" t="str">
        <f>+'q13'!$B$8</f>
        <v>Indústrias transformadoras</v>
      </c>
      <c r="D33">
        <f>+'q13'!$C$8</f>
        <v>557477</v>
      </c>
      <c r="E33">
        <f>+'q13'!$D$8</f>
        <v>572207</v>
      </c>
      <c r="F33">
        <f>+'q13'!$E$8</f>
        <v>589603</v>
      </c>
      <c r="G33">
        <f>+'q13'!$F$8</f>
        <v>613379</v>
      </c>
      <c r="H33">
        <f>+'q13'!$G$8</f>
        <v>633595</v>
      </c>
      <c r="I33">
        <f>+'q13'!$H$8</f>
        <v>625633</v>
      </c>
      <c r="J33">
        <f>+'q13'!$I$8</f>
        <v>614674</v>
      </c>
      <c r="K33">
        <f>+'q13'!$J$8</f>
        <v>612054</v>
      </c>
      <c r="L33">
        <f>+'q13'!$K$8</f>
        <v>642354</v>
      </c>
      <c r="M33">
        <f>+'q13'!$L$8</f>
        <v>650876</v>
      </c>
      <c r="N33">
        <f>+'q13'!$M$8</f>
        <v>641915</v>
      </c>
      <c r="R33" s="383" t="str">
        <f t="shared" si="7"/>
        <v>Médios (50 - 249 pessoas)</v>
      </c>
      <c r="S33">
        <f>IF($Q$3=1,VLOOKUP($R$31:$R$34,$B$27:$N$30,COLUMN(D29)-1,0),VLOOKUP($R$31:$R$34,$B$51:$N$54,COLUMN(D29)-1,0))</f>
        <v>588868</v>
      </c>
      <c r="T33">
        <f t="shared" si="6"/>
        <v>609333</v>
      </c>
      <c r="U33">
        <f t="shared" si="6"/>
        <v>637668</v>
      </c>
      <c r="V33">
        <f t="shared" si="6"/>
        <v>669638</v>
      </c>
      <c r="W33">
        <f t="shared" si="6"/>
        <v>705658</v>
      </c>
      <c r="X33">
        <f t="shared" si="6"/>
        <v>722607</v>
      </c>
      <c r="Y33">
        <f t="shared" si="6"/>
        <v>712172</v>
      </c>
      <c r="Z33">
        <f t="shared" si="6"/>
        <v>730932</v>
      </c>
      <c r="AA33">
        <f t="shared" si="6"/>
        <v>799590</v>
      </c>
      <c r="AB33">
        <f t="shared" si="6"/>
        <v>840662</v>
      </c>
      <c r="AC33">
        <f t="shared" si="6"/>
        <v>859516</v>
      </c>
    </row>
    <row r="34" spans="1:50">
      <c r="A34" s="383"/>
      <c r="B34" t="str">
        <f>+'q13'!$A$33</f>
        <v>D</v>
      </c>
      <c r="C34" t="str">
        <f>+'q13'!$B$33</f>
        <v>Eletr., gás, ág. quente/fria e ar frio</v>
      </c>
      <c r="D34">
        <f>+'q13'!$C$33</f>
        <v>6277</v>
      </c>
      <c r="E34">
        <f>+'q13'!$D$33</f>
        <v>6611</v>
      </c>
      <c r="F34">
        <f>+'q13'!$E$33</f>
        <v>6390</v>
      </c>
      <c r="G34">
        <f>+'q13'!$F$33</f>
        <v>6505</v>
      </c>
      <c r="H34">
        <f>+'q13'!$G$33</f>
        <v>6748</v>
      </c>
      <c r="I34">
        <f>+'q13'!$H$33</f>
        <v>6736</v>
      </c>
      <c r="J34">
        <f>+'q13'!$I$33</f>
        <v>6671</v>
      </c>
      <c r="K34">
        <f>+'q13'!$J$33</f>
        <v>6574</v>
      </c>
      <c r="L34">
        <f>+'q13'!$K$33</f>
        <v>6551</v>
      </c>
      <c r="M34">
        <f>+'q13'!$L$33</f>
        <v>6954</v>
      </c>
      <c r="N34">
        <f>+'q13'!$M$33</f>
        <v>7070</v>
      </c>
      <c r="R34" s="383" t="str">
        <f t="shared" si="7"/>
        <v>Grandes (250 ou + pessoas)</v>
      </c>
      <c r="S34">
        <f>IF($Q$3=1,VLOOKUP($R$31:$R$34,$B$27:$N$30,COLUMN(D30)-1,0),VLOOKUP($R$31:$R$34,$B$51:$N$54,COLUMN(D30)-1,0))</f>
        <v>453678</v>
      </c>
      <c r="T34">
        <f t="shared" si="6"/>
        <v>476707</v>
      </c>
      <c r="U34">
        <f t="shared" si="6"/>
        <v>512600</v>
      </c>
      <c r="V34">
        <f t="shared" si="6"/>
        <v>559801</v>
      </c>
      <c r="W34">
        <f t="shared" si="6"/>
        <v>589006</v>
      </c>
      <c r="X34">
        <f t="shared" si="6"/>
        <v>619276</v>
      </c>
      <c r="Y34">
        <f t="shared" si="6"/>
        <v>611426</v>
      </c>
      <c r="Z34">
        <f t="shared" si="6"/>
        <v>617988</v>
      </c>
      <c r="AA34">
        <f t="shared" si="6"/>
        <v>673992</v>
      </c>
      <c r="AB34">
        <f t="shared" si="6"/>
        <v>714722</v>
      </c>
      <c r="AC34">
        <f t="shared" si="6"/>
        <v>745440</v>
      </c>
    </row>
    <row r="35" spans="1:50">
      <c r="A35" s="383"/>
      <c r="B35" t="str">
        <f>+'q13'!$A$34</f>
        <v>E</v>
      </c>
      <c r="C35" t="str">
        <f>+'q13'!$B$34</f>
        <v>Capt., trat. e d. água; san., resíd.</v>
      </c>
      <c r="D35">
        <f>+'q13'!$C$34</f>
        <v>20348</v>
      </c>
      <c r="E35">
        <f>+'q13'!$D$34</f>
        <v>20860</v>
      </c>
      <c r="F35">
        <f>+'q13'!$E$34</f>
        <v>22233</v>
      </c>
      <c r="G35">
        <f>+'q13'!$F$34</f>
        <v>23079</v>
      </c>
      <c r="H35">
        <f>+'q13'!$G$34</f>
        <v>23567</v>
      </c>
      <c r="I35">
        <f>+'q13'!$H$34</f>
        <v>24904</v>
      </c>
      <c r="J35">
        <f>+'q13'!$I$34</f>
        <v>25711</v>
      </c>
      <c r="K35">
        <f>+'q13'!$J$34</f>
        <v>27469</v>
      </c>
      <c r="L35">
        <f>+'q13'!$K$34</f>
        <v>28585</v>
      </c>
      <c r="M35">
        <f>+'q13'!$L$34</f>
        <v>29229</v>
      </c>
      <c r="N35">
        <f>+'q13'!$M$34</f>
        <v>30260</v>
      </c>
    </row>
    <row r="36" spans="1:50">
      <c r="A36" s="383"/>
      <c r="B36" t="str">
        <f>+'q13'!$A$35</f>
        <v>F</v>
      </c>
      <c r="C36" t="str">
        <f>+'q13'!$B$35</f>
        <v>Construção</v>
      </c>
      <c r="D36">
        <f>+'q13'!$C$35</f>
        <v>178366</v>
      </c>
      <c r="E36">
        <f>+'q13'!$D$35</f>
        <v>178864</v>
      </c>
      <c r="F36">
        <f>+'q13'!$E$35</f>
        <v>183547</v>
      </c>
      <c r="G36">
        <f>+'q13'!$F$35</f>
        <v>195420</v>
      </c>
      <c r="H36">
        <f>+'q13'!$G$35</f>
        <v>206868</v>
      </c>
      <c r="I36">
        <f>+'q13'!$H$35</f>
        <v>219984</v>
      </c>
      <c r="J36">
        <f>+'q13'!$I$35</f>
        <v>232381</v>
      </c>
      <c r="K36">
        <f>+'q13'!$J$35</f>
        <v>234450</v>
      </c>
      <c r="L36">
        <f>+'q13'!$K$35</f>
        <v>253501</v>
      </c>
      <c r="M36">
        <f>+'q13'!$L$35</f>
        <v>275564</v>
      </c>
      <c r="N36">
        <f>+'q13'!$M$35</f>
        <v>287512</v>
      </c>
    </row>
    <row r="37" spans="1:50">
      <c r="A37" s="383"/>
      <c r="B37" t="str">
        <f>+'q13'!$A$36</f>
        <v>G</v>
      </c>
      <c r="C37" t="str">
        <f>+'q13'!$B$36</f>
        <v>Com. grosso e ret.; r.v.aut./moto.</v>
      </c>
      <c r="D37">
        <f>+'q13'!$C$36</f>
        <v>463519</v>
      </c>
      <c r="E37">
        <f>+'q13'!$D$36</f>
        <v>478256</v>
      </c>
      <c r="F37">
        <f>+'q13'!$E$36</f>
        <v>492250</v>
      </c>
      <c r="G37">
        <f>+'q13'!$F$36</f>
        <v>507360</v>
      </c>
      <c r="H37">
        <f>+'q13'!$G$36</f>
        <v>522673</v>
      </c>
      <c r="I37">
        <f>+'q13'!$H$36</f>
        <v>538367</v>
      </c>
      <c r="J37">
        <f>+'q13'!$I$36</f>
        <v>525816</v>
      </c>
      <c r="K37">
        <f>+'q13'!$J$36</f>
        <v>533620</v>
      </c>
      <c r="L37">
        <f>+'q13'!$K$36</f>
        <v>559353</v>
      </c>
      <c r="M37">
        <f>+'q13'!$L$36</f>
        <v>577407</v>
      </c>
      <c r="N37">
        <f>+'q13'!$M$36</f>
        <v>583143</v>
      </c>
    </row>
    <row r="38" spans="1:50">
      <c r="A38" s="383"/>
      <c r="B38" t="str">
        <f>+'q13'!$A$37</f>
        <v>H</v>
      </c>
      <c r="C38" t="str">
        <f>+'q13'!$B$37</f>
        <v>Transportes e armazenagem</v>
      </c>
      <c r="D38">
        <f>+'q13'!$C$37</f>
        <v>122986</v>
      </c>
      <c r="E38">
        <f>+'q13'!$D$37</f>
        <v>127238</v>
      </c>
      <c r="F38">
        <f>+'q13'!$E$37</f>
        <v>132842</v>
      </c>
      <c r="G38">
        <f>+'q13'!$F$37</f>
        <v>140148</v>
      </c>
      <c r="H38">
        <f>+'q13'!$G$37</f>
        <v>145741</v>
      </c>
      <c r="I38">
        <f>+'q13'!$H$37</f>
        <v>147408</v>
      </c>
      <c r="J38">
        <f>+'q13'!$I$37</f>
        <v>146314</v>
      </c>
      <c r="K38">
        <f>+'q13'!$J$37</f>
        <v>142969</v>
      </c>
      <c r="L38">
        <f>+'q13'!$K$37</f>
        <v>149925</v>
      </c>
      <c r="M38">
        <f>+'q13'!$L$37</f>
        <v>159412</v>
      </c>
      <c r="N38">
        <f>+'q13'!$M$37</f>
        <v>163507</v>
      </c>
      <c r="P38" s="383"/>
    </row>
    <row r="39" spans="1:50">
      <c r="A39" s="383"/>
      <c r="B39" t="str">
        <f>+'q13'!$A$38</f>
        <v>I</v>
      </c>
      <c r="C39" t="str">
        <f>+'q13'!$B$38</f>
        <v>Alojamento, restauração e sim.</v>
      </c>
      <c r="D39">
        <f>+'q13'!$C$38</f>
        <v>174663</v>
      </c>
      <c r="E39">
        <f>+'q13'!$D$38</f>
        <v>189219</v>
      </c>
      <c r="F39">
        <f>+'q13'!$E$38</f>
        <v>204110</v>
      </c>
      <c r="G39">
        <f>+'q13'!$F$38</f>
        <v>223805</v>
      </c>
      <c r="H39">
        <f>+'q13'!$G$38</f>
        <v>241853</v>
      </c>
      <c r="I39">
        <f>+'q13'!$H$38</f>
        <v>251350</v>
      </c>
      <c r="J39">
        <f>+'q13'!$I$38</f>
        <v>214079</v>
      </c>
      <c r="K39">
        <f>+'q13'!$J$38</f>
        <v>220649</v>
      </c>
      <c r="L39">
        <f>+'q13'!$K$38</f>
        <v>259660</v>
      </c>
      <c r="M39">
        <f>+'q13'!$L$38</f>
        <v>286812</v>
      </c>
      <c r="N39">
        <f>+'q13'!$M$38</f>
        <v>295279</v>
      </c>
      <c r="Q39" s="941"/>
      <c r="R39" s="383"/>
    </row>
    <row r="40" spans="1:50">
      <c r="A40" s="383"/>
      <c r="B40" t="str">
        <f>+'q13'!$A$39</f>
        <v>J</v>
      </c>
      <c r="C40" t="str">
        <f>+'q13'!$B$39</f>
        <v xml:space="preserve">Ativ. Inform. e de comunicação </v>
      </c>
      <c r="D40">
        <f>+'q13'!$C$39</f>
        <v>67783</v>
      </c>
      <c r="E40">
        <f>+'q13'!$D$39</f>
        <v>68812</v>
      </c>
      <c r="F40">
        <f>+'q13'!$E$39</f>
        <v>72936</v>
      </c>
      <c r="G40">
        <f>+'q13'!$F$39</f>
        <v>79205</v>
      </c>
      <c r="H40">
        <f>+'q13'!$G$39</f>
        <v>86973</v>
      </c>
      <c r="I40">
        <f>+'q13'!$H$39</f>
        <v>94794</v>
      </c>
      <c r="J40">
        <f>+'q13'!$I$39</f>
        <v>102655</v>
      </c>
      <c r="K40">
        <f>+'q13'!$J$39</f>
        <v>109224</v>
      </c>
      <c r="L40">
        <f>+'q13'!$K$39</f>
        <v>127560</v>
      </c>
      <c r="M40">
        <f>+'q13'!$L$39</f>
        <v>130681</v>
      </c>
      <c r="N40">
        <f>+'q13'!$M$39</f>
        <v>136793</v>
      </c>
      <c r="Q40" s="941"/>
      <c r="R40" s="383"/>
    </row>
    <row r="41" spans="1:50">
      <c r="A41" s="383"/>
      <c r="B41" t="str">
        <f>+'q13'!$A$40</f>
        <v>K</v>
      </c>
      <c r="C41" t="str">
        <f>+'q13'!$B$40</f>
        <v>Ativ. financeiras e de seguros</v>
      </c>
      <c r="D41">
        <f>+'q13'!$C$40</f>
        <v>79315</v>
      </c>
      <c r="E41">
        <f>+'q13'!$D$40</f>
        <v>77783</v>
      </c>
      <c r="F41">
        <f>+'q13'!$E$40</f>
        <v>76080</v>
      </c>
      <c r="G41">
        <f>+'q13'!$F$40</f>
        <v>74708</v>
      </c>
      <c r="H41">
        <f>+'q13'!$G$40</f>
        <v>75395</v>
      </c>
      <c r="I41">
        <f>+'q13'!$H$40</f>
        <v>69033</v>
      </c>
      <c r="J41">
        <f>+'q13'!$I$40</f>
        <v>75376</v>
      </c>
      <c r="K41">
        <f>+'q13'!$J$40</f>
        <v>74155</v>
      </c>
      <c r="L41">
        <f>+'q13'!$K$40</f>
        <v>76725</v>
      </c>
      <c r="M41">
        <f>+'q13'!$L$40</f>
        <v>79929</v>
      </c>
      <c r="N41">
        <f>+'q13'!$M$40</f>
        <v>81427</v>
      </c>
      <c r="R41" s="384" t="s">
        <v>392</v>
      </c>
    </row>
    <row r="42" spans="1:50">
      <c r="A42" s="383"/>
      <c r="B42" t="str">
        <f>+'q13'!$A$41</f>
        <v>L</v>
      </c>
      <c r="C42" t="str">
        <f>+'q13'!$B$41</f>
        <v>Atividades imobiliárias</v>
      </c>
      <c r="D42">
        <f>+'q13'!$C$41</f>
        <v>16356</v>
      </c>
      <c r="E42">
        <f>+'q13'!$D$41</f>
        <v>17668</v>
      </c>
      <c r="F42">
        <f>+'q13'!$E$41</f>
        <v>18643</v>
      </c>
      <c r="G42">
        <f>+'q13'!$F$41</f>
        <v>20754</v>
      </c>
      <c r="H42">
        <f>+'q13'!$G$41</f>
        <v>23132</v>
      </c>
      <c r="I42">
        <f>+'q13'!$H$41</f>
        <v>24348</v>
      </c>
      <c r="J42">
        <f>+'q13'!$I$41</f>
        <v>24974</v>
      </c>
      <c r="K42">
        <f>+'q13'!$J$41</f>
        <v>26345</v>
      </c>
      <c r="L42">
        <f>+'q13'!$K$41</f>
        <v>28809</v>
      </c>
      <c r="M42">
        <f>+'q13'!$L$41</f>
        <v>31375</v>
      </c>
      <c r="N42">
        <f>+'q13'!$M$41</f>
        <v>32991</v>
      </c>
      <c r="R42" s="384" t="s">
        <v>203</v>
      </c>
      <c r="V42" s="496"/>
    </row>
    <row r="43" spans="1:50">
      <c r="A43" s="383"/>
      <c r="B43" t="str">
        <f>+'q13'!$A$42</f>
        <v>M</v>
      </c>
      <c r="C43" t="str">
        <f>+'q13'!$B$42</f>
        <v>Ativ. consultoria, cient.,téc. e sim.</v>
      </c>
      <c r="D43">
        <f>+'q13'!$C$42</f>
        <v>105085</v>
      </c>
      <c r="E43">
        <f>+'q13'!$D$42</f>
        <v>109770</v>
      </c>
      <c r="F43">
        <f>+'q13'!$E$42</f>
        <v>111974</v>
      </c>
      <c r="G43">
        <f>+'q13'!$F$42</f>
        <v>113617</v>
      </c>
      <c r="H43">
        <f>+'q13'!$G$42</f>
        <v>123636</v>
      </c>
      <c r="I43">
        <f>+'q13'!$H$42</f>
        <v>132611</v>
      </c>
      <c r="J43">
        <f>+'q13'!$I$42</f>
        <v>134408</v>
      </c>
      <c r="K43">
        <f>+'q13'!$J$42</f>
        <v>139839</v>
      </c>
      <c r="L43">
        <f>+'q13'!$K$42</f>
        <v>159252</v>
      </c>
      <c r="M43">
        <f>+'q13'!$L$42</f>
        <v>173417</v>
      </c>
      <c r="N43">
        <f>+'q13'!$M$42</f>
        <v>184737</v>
      </c>
      <c r="R43" s="384" t="s">
        <v>205</v>
      </c>
      <c r="U43" s="384" t="s">
        <v>182</v>
      </c>
      <c r="V43" s="497"/>
    </row>
    <row r="44" spans="1:50">
      <c r="A44" s="383"/>
      <c r="B44" t="str">
        <f>+'q13'!$A$43</f>
        <v>N</v>
      </c>
      <c r="C44" t="str">
        <f>+'q13'!$B$43</f>
        <v>Ativ. Adm. e serviços de apoio</v>
      </c>
      <c r="D44">
        <f>+'q13'!$C$43</f>
        <v>238916</v>
      </c>
      <c r="E44">
        <f>+'q13'!$D$43</f>
        <v>246451</v>
      </c>
      <c r="F44">
        <f>+'q13'!$E$43</f>
        <v>268226</v>
      </c>
      <c r="G44">
        <f>+'q13'!$F$43</f>
        <v>294174</v>
      </c>
      <c r="H44">
        <f>+'q13'!$G$43</f>
        <v>293550</v>
      </c>
      <c r="I44">
        <f>+'q13'!$H$43</f>
        <v>293948</v>
      </c>
      <c r="J44">
        <f>+'q13'!$I$43</f>
        <v>285919</v>
      </c>
      <c r="K44">
        <f>+'q13'!$J$43</f>
        <v>275843</v>
      </c>
      <c r="L44">
        <f>+'q13'!$K$43</f>
        <v>307876</v>
      </c>
      <c r="M44">
        <f>+'q13'!$L$43</f>
        <v>323487</v>
      </c>
      <c r="N44">
        <f>+'q13'!$M$43</f>
        <v>325009</v>
      </c>
      <c r="Q44" s="384" t="s">
        <v>435</v>
      </c>
      <c r="R44" s="513">
        <f>+$V$69</f>
        <v>2024</v>
      </c>
      <c r="S44" s="384" t="str">
        <f>R44&amp;" % do total"</f>
        <v>2024 % do total</v>
      </c>
      <c r="T44" s="384"/>
      <c r="U44" s="513">
        <f>+$V$69</f>
        <v>2024</v>
      </c>
      <c r="W44" s="384" t="str">
        <f>U44&amp;" % do total"</f>
        <v>2024 % do total</v>
      </c>
      <c r="X44" s="384"/>
    </row>
    <row r="45" spans="1:50">
      <c r="A45" s="383"/>
      <c r="B45" t="str">
        <f>+'q13'!$A$44</f>
        <v>O</v>
      </c>
      <c r="C45" t="str">
        <f>+'q13'!$B$44</f>
        <v xml:space="preserve">Adm. Púb. e defesa; seg. social </v>
      </c>
      <c r="D45">
        <f>+'q13'!$C$44</f>
        <v>10787</v>
      </c>
      <c r="E45">
        <f>+'q13'!$D$44</f>
        <v>10612</v>
      </c>
      <c r="F45">
        <f>+'q13'!$E$44</f>
        <v>10688</v>
      </c>
      <c r="G45">
        <f>+'q13'!$F$44</f>
        <v>11236</v>
      </c>
      <c r="H45">
        <f>+'q13'!$G$44</f>
        <v>11602</v>
      </c>
      <c r="I45">
        <f>+'q13'!$H$44</f>
        <v>11794</v>
      </c>
      <c r="J45">
        <f>+'q13'!$I$44</f>
        <v>12327</v>
      </c>
      <c r="K45">
        <f>+'q13'!$J$44</f>
        <v>11997</v>
      </c>
      <c r="L45">
        <f>+'q13'!$K$44</f>
        <v>13111</v>
      </c>
      <c r="M45">
        <f>+'q13'!$L$44</f>
        <v>14202</v>
      </c>
      <c r="N45">
        <f>+'q13'!$M$44</f>
        <v>14524</v>
      </c>
      <c r="Q45" t="str">
        <f>+$U$70</f>
        <v>C</v>
      </c>
      <c r="R45" s="453" t="str">
        <f>+VLOOKUP($Q45,Aux!$B$14:$D$33,3)</f>
        <v>Ind. transf.</v>
      </c>
      <c r="S45" s="484" t="str">
        <f>+TEXT($X$70,"##.###,0%")</f>
        <v>18,8%</v>
      </c>
      <c r="U45" s="453" t="str">
        <f>+$U$79</f>
        <v>C</v>
      </c>
      <c r="V45" s="453" t="str">
        <f>+VLOOKUP($U45,Aux!$B$14:$D$33,3)</f>
        <v>Ind. transf.</v>
      </c>
      <c r="W45" s="484" t="str">
        <f>+TEXT($X$79,"##.###,0%")</f>
        <v>19,1%</v>
      </c>
    </row>
    <row r="46" spans="1:50">
      <c r="A46" s="383"/>
      <c r="B46" t="str">
        <f>+'q13'!$A$45</f>
        <v>P</v>
      </c>
      <c r="C46" t="str">
        <f>+'q13'!$B$45</f>
        <v>Educação</v>
      </c>
      <c r="D46">
        <f>+'q13'!$C$45</f>
        <v>50957</v>
      </c>
      <c r="E46">
        <f>+'q13'!$D$45</f>
        <v>53876</v>
      </c>
      <c r="F46">
        <f>+'q13'!$E$45</f>
        <v>53906</v>
      </c>
      <c r="G46">
        <f>+'q13'!$F$45</f>
        <v>53502</v>
      </c>
      <c r="H46">
        <f>+'q13'!$G$45</f>
        <v>57690</v>
      </c>
      <c r="I46">
        <f>+'q13'!$H$45</f>
        <v>58269</v>
      </c>
      <c r="J46">
        <f>+'q13'!$I$45</f>
        <v>59807</v>
      </c>
      <c r="K46">
        <f>+'q13'!$J$45</f>
        <v>58921</v>
      </c>
      <c r="L46">
        <f>+'q13'!$K$45</f>
        <v>62076</v>
      </c>
      <c r="M46">
        <f>+'q13'!$L$45</f>
        <v>66613</v>
      </c>
      <c r="N46">
        <f>+'q13'!$M$45</f>
        <v>69990</v>
      </c>
      <c r="Q46" t="str">
        <f>+$U$71</f>
        <v>G</v>
      </c>
      <c r="R46" s="453" t="str">
        <f>+VLOOKUP($Q46,Aux!$B$14:$D$33,3)</f>
        <v>Com. por grosso e ret. (…)</v>
      </c>
      <c r="S46" s="484" t="str">
        <f>+TEXT($X$71,"##.###,0%")</f>
        <v>17,7%</v>
      </c>
      <c r="T46" s="484"/>
      <c r="U46" s="453" t="str">
        <f>+$U$80</f>
        <v>G</v>
      </c>
      <c r="V46" s="453" t="str">
        <f>+VLOOKUP($U46,Aux!$B$14:$D$33,3)</f>
        <v>Com. por grosso e ret. (…)</v>
      </c>
      <c r="W46" s="484" t="str">
        <f>+TEXT($X$80,"##.###,0%")</f>
        <v>17,4%</v>
      </c>
    </row>
    <row r="47" spans="1:50">
      <c r="A47" s="383"/>
      <c r="B47" t="str">
        <f>+'q13'!$A$46</f>
        <v>Q</v>
      </c>
      <c r="C47" t="str">
        <f>+'q13'!$B$46</f>
        <v>Ativ. saúde humana e apoio social</v>
      </c>
      <c r="D47">
        <f>+'q13'!$C$46</f>
        <v>221126</v>
      </c>
      <c r="E47">
        <f>+'q13'!$D$46</f>
        <v>232717</v>
      </c>
      <c r="F47">
        <f>+'q13'!$E$46</f>
        <v>246800</v>
      </c>
      <c r="G47">
        <f>+'q13'!$F$46</f>
        <v>257306</v>
      </c>
      <c r="H47">
        <f>+'q13'!$G$46</f>
        <v>263021</v>
      </c>
      <c r="I47">
        <f>+'q13'!$H$46</f>
        <v>269760</v>
      </c>
      <c r="J47">
        <f>+'q13'!$I$46</f>
        <v>280115</v>
      </c>
      <c r="K47">
        <f>+'q13'!$J$46</f>
        <v>286750</v>
      </c>
      <c r="L47">
        <f>+'q13'!$K$46</f>
        <v>299622</v>
      </c>
      <c r="M47">
        <f>+'q13'!$L$46</f>
        <v>309289</v>
      </c>
      <c r="N47">
        <f>+'q13'!$M$46</f>
        <v>316504</v>
      </c>
      <c r="Q47" t="str">
        <f>+$U$72</f>
        <v>N</v>
      </c>
      <c r="R47" s="453" t="str">
        <f>+VLOOKUP($Q47,Aux!$B$14:$D$33,3)</f>
        <v>Ativ. Admin. e dos serv. apoio</v>
      </c>
      <c r="S47" s="484" t="str">
        <f>+TEXT($X$72,"##.###,0%")</f>
        <v>9,3%</v>
      </c>
      <c r="T47" s="484"/>
      <c r="U47" s="453" t="str">
        <f>+$U$81</f>
        <v>N</v>
      </c>
      <c r="V47" s="453" t="str">
        <f>+VLOOKUP($U47,Aux!$B$14:$D$33,3)</f>
        <v>Ativ. Admin. e dos serv. apoio</v>
      </c>
      <c r="W47" s="484" t="str">
        <f>+TEXT($X$81,"##.###,0%")</f>
        <v>9,7%</v>
      </c>
      <c r="X47" s="484"/>
      <c r="AX47" s="414"/>
    </row>
    <row r="48" spans="1:50">
      <c r="A48" s="383"/>
      <c r="B48" t="str">
        <f>+'q13'!$A$47</f>
        <v>R</v>
      </c>
      <c r="C48" t="str">
        <f>+'q13'!$B$47</f>
        <v>Ativ. artíst., espet., desp. e recr.</v>
      </c>
      <c r="D48">
        <f>+'q13'!$C$47</f>
        <v>18760</v>
      </c>
      <c r="E48">
        <f>+'q13'!$D$47</f>
        <v>21039</v>
      </c>
      <c r="F48">
        <f>+'q13'!$E$47</f>
        <v>22077</v>
      </c>
      <c r="G48">
        <f>+'q13'!$F$47</f>
        <v>24123</v>
      </c>
      <c r="H48">
        <f>+'q13'!$G$47</f>
        <v>26529</v>
      </c>
      <c r="I48">
        <f>+'q13'!$H$47</f>
        <v>28069</v>
      </c>
      <c r="J48">
        <f>+'q13'!$I$47</f>
        <v>26263</v>
      </c>
      <c r="K48">
        <f>+'q13'!$J$47</f>
        <v>28680</v>
      </c>
      <c r="L48">
        <f>+'q13'!$K$47</f>
        <v>30827</v>
      </c>
      <c r="M48">
        <f>+'q13'!$L$47</f>
        <v>34107</v>
      </c>
      <c r="N48">
        <f>+'q13'!$M$47</f>
        <v>36494</v>
      </c>
    </row>
    <row r="49" spans="1:56">
      <c r="A49" s="383"/>
      <c r="B49" t="str">
        <f>+'q13'!$A$48</f>
        <v>S</v>
      </c>
      <c r="C49" t="str">
        <f>+'q13'!$B$48</f>
        <v>Outras atividades de serviços</v>
      </c>
      <c r="D49">
        <f>+'q13'!$C$48</f>
        <v>62532</v>
      </c>
      <c r="E49">
        <f>+'q13'!$D$48</f>
        <v>60404</v>
      </c>
      <c r="F49">
        <f>+'q13'!$E$48</f>
        <v>61086</v>
      </c>
      <c r="G49">
        <f>+'q13'!$F$48</f>
        <v>58964</v>
      </c>
      <c r="H49">
        <f>+'q13'!$G$48</f>
        <v>61792</v>
      </c>
      <c r="I49">
        <f>+'q13'!$H$48</f>
        <v>59107</v>
      </c>
      <c r="J49">
        <f>+'q13'!$I$48</f>
        <v>57266</v>
      </c>
      <c r="K49">
        <f>+'q13'!$J$48</f>
        <v>56071</v>
      </c>
      <c r="L49">
        <f>+'q13'!$K$48</f>
        <v>59443</v>
      </c>
      <c r="M49">
        <f>+'q13'!$L$48</f>
        <v>59326</v>
      </c>
      <c r="N49">
        <f>+'q13'!$M$48</f>
        <v>57571</v>
      </c>
      <c r="Q49" s="384" t="s">
        <v>435</v>
      </c>
      <c r="R49" s="513">
        <f>+$B$69</f>
        <v>2014</v>
      </c>
      <c r="S49" s="384" t="str">
        <f>R49&amp;" % do total"</f>
        <v>2014 % do total</v>
      </c>
      <c r="T49" s="384"/>
      <c r="U49" s="513">
        <f>+$B$69</f>
        <v>2014</v>
      </c>
      <c r="V49" s="496"/>
      <c r="W49" s="384" t="str">
        <f>U49&amp;" % do total"</f>
        <v>2014 % do total</v>
      </c>
      <c r="X49" s="384"/>
    </row>
    <row r="50" spans="1:56">
      <c r="A50" s="383"/>
      <c r="B50" t="str">
        <f>+'q13'!$A$49</f>
        <v>U</v>
      </c>
      <c r="C50" t="str">
        <f>+'q13'!$B$49</f>
        <v>Ativ. org. int. e o. inst. extra-territ.</v>
      </c>
      <c r="D50">
        <f>+'q13'!$C$49</f>
        <v>91</v>
      </c>
      <c r="E50">
        <f>+'q13'!$D$49</f>
        <v>89</v>
      </c>
      <c r="F50">
        <f>+'q13'!$E$49</f>
        <v>104</v>
      </c>
      <c r="G50">
        <f>+'q13'!$F$49</f>
        <v>92</v>
      </c>
      <c r="H50">
        <f>+'q13'!$G$49</f>
        <v>94</v>
      </c>
      <c r="I50">
        <f>+'q13'!$H$49</f>
        <v>100</v>
      </c>
      <c r="J50">
        <f>+'q13'!$I$49</f>
        <v>117</v>
      </c>
      <c r="K50">
        <f>+'q13'!$J$49</f>
        <v>107</v>
      </c>
      <c r="L50">
        <f>+'q13'!$K$49</f>
        <v>125</v>
      </c>
      <c r="M50">
        <f>+'q13'!$L$49</f>
        <v>145</v>
      </c>
      <c r="N50">
        <f>+'q13'!$M$49</f>
        <v>154</v>
      </c>
      <c r="Q50" t="str">
        <f>+$A$70</f>
        <v>C</v>
      </c>
      <c r="R50" s="453" t="str">
        <f>+VLOOKUP($Q50,Aux!$B$14:$D$33,3)</f>
        <v>Ind. transf.</v>
      </c>
      <c r="S50" s="484" t="str">
        <f>+TEXT($Y$70,"##.###,0%")</f>
        <v>22,1%</v>
      </c>
      <c r="U50" s="453" t="str">
        <f>+$A$79</f>
        <v>C</v>
      </c>
      <c r="V50" s="453" t="str">
        <f>+VLOOKUP($U50,Aux!$B$14:$D$33,3)</f>
        <v>Ind. transf.</v>
      </c>
      <c r="W50" s="484" t="str">
        <f>+TEXT($Y$79,"##.###,0%")</f>
        <v>22,7%</v>
      </c>
    </row>
    <row r="51" spans="1:56">
      <c r="A51" s="383"/>
      <c r="B51" s="383" t="s">
        <v>222</v>
      </c>
      <c r="C51" s="383"/>
      <c r="D51">
        <f>+'q14'!$C$8+'q14'!$C$11</f>
        <v>664177</v>
      </c>
      <c r="E51">
        <f>+'q14'!$D$8+'q14'!$D$11</f>
        <v>675159</v>
      </c>
      <c r="F51">
        <f>+'q14'!$E$8+'q14'!$E$11</f>
        <v>686327</v>
      </c>
      <c r="G51">
        <f>+'q14'!$F$8+'q14'!$F$11</f>
        <v>693453</v>
      </c>
      <c r="H51">
        <f>+'q14'!$G$8+'q14'!$G$11</f>
        <v>703921</v>
      </c>
      <c r="I51">
        <f>+'q14'!$H$8+'q14'!$H$11</f>
        <v>690476</v>
      </c>
      <c r="J51">
        <f>+'q14'!$I$8+'q14'!$I$11</f>
        <v>691923</v>
      </c>
      <c r="K51">
        <f>+'q14'!$J$8+'q14'!$J$11</f>
        <v>678736</v>
      </c>
      <c r="L51">
        <f>+'q14'!$K$8+'q14'!$K$11</f>
        <v>710989</v>
      </c>
      <c r="M51">
        <f>+'q14'!$L$8+'q14'!$L$11</f>
        <v>727162</v>
      </c>
      <c r="N51">
        <f>+'q14'!$M$8+'q14'!$M$11</f>
        <v>722178</v>
      </c>
      <c r="Q51" t="str">
        <f>+$A$71</f>
        <v>G</v>
      </c>
      <c r="R51" s="453" t="str">
        <f>+VLOOKUP($Q51,Aux!$B$14:$D$33,3)</f>
        <v>Com. por grosso e ret. (…)</v>
      </c>
      <c r="S51" s="484" t="str">
        <f>+TEXT($Y$71,"##.###,0%")</f>
        <v>19,5%</v>
      </c>
      <c r="T51" s="484"/>
      <c r="U51" s="453" t="str">
        <f>+$A$80</f>
        <v>G</v>
      </c>
      <c r="V51" s="453" t="str">
        <f>+VLOOKUP($U51,Aux!$B$14:$D$33,3)</f>
        <v>Com. por grosso e ret. (…)</v>
      </c>
      <c r="W51" s="484" t="str">
        <f>+TEXT($Y$80,"##.###,0%")</f>
        <v>18,9%</v>
      </c>
    </row>
    <row r="52" spans="1:56">
      <c r="A52" s="383"/>
      <c r="B52" s="383" t="s">
        <v>432</v>
      </c>
      <c r="C52" s="383"/>
      <c r="D52">
        <f>+'q14'!$C$14+'q14'!$C$17</f>
        <v>751440</v>
      </c>
      <c r="E52">
        <f>+'q14'!$D$14+'q14'!$D$17</f>
        <v>776454</v>
      </c>
      <c r="F52">
        <f>+'q14'!$E$14+'q14'!$E$17</f>
        <v>805324</v>
      </c>
      <c r="G52">
        <f>+'q14'!$F$14+'q14'!$F$17</f>
        <v>844629</v>
      </c>
      <c r="H52">
        <f>+'q14'!$G$14+'q14'!$G$17</f>
        <v>879333</v>
      </c>
      <c r="I52">
        <f>+'q14'!$H$14+'q14'!$H$17</f>
        <v>898123</v>
      </c>
      <c r="J52">
        <f>+'q14'!$I$14+'q14'!$I$17</f>
        <v>887304</v>
      </c>
      <c r="K52">
        <f>+'q14'!$J$14+'q14'!$J$17</f>
        <v>894687</v>
      </c>
      <c r="L52">
        <f>+'q14'!$K$14+'q14'!$K$17</f>
        <v>963576</v>
      </c>
      <c r="M52">
        <f>+'q14'!$L$14+'q14'!$L$17</f>
        <v>1013588</v>
      </c>
      <c r="N52">
        <f>+'q14'!$M$14+'q14'!$M$17</f>
        <v>1027002</v>
      </c>
      <c r="Q52" t="str">
        <f>+$A$72</f>
        <v>N</v>
      </c>
      <c r="R52" s="453" t="str">
        <f>+VLOOKUP($Q52,Aux!$B$14:$D$33,3)</f>
        <v>Ativ. Admin. e dos serv. apoio</v>
      </c>
      <c r="S52" s="484" t="str">
        <f>+TEXT($Y$72,"##.###,0%")</f>
        <v>9,3%</v>
      </c>
      <c r="T52" s="484"/>
      <c r="U52" s="453" t="str">
        <f>+$A$81</f>
        <v>N</v>
      </c>
      <c r="V52" s="453" t="str">
        <f>+VLOOKUP($U52,Aux!$B$14:$D$33,3)</f>
        <v>Ativ. Admin. e dos serv. apoio</v>
      </c>
      <c r="W52" s="484" t="str">
        <f>+TEXT($Y$81,"##.###,0%")</f>
        <v>9,7%</v>
      </c>
      <c r="X52" s="484"/>
    </row>
    <row r="53" spans="1:56">
      <c r="A53" s="383"/>
      <c r="B53" s="383" t="s">
        <v>433</v>
      </c>
      <c r="C53" s="383"/>
      <c r="D53">
        <f>+'q14'!$C$20+'q14'!$C$23+'q14'!$C$26+'q14'!$C$29</f>
        <v>588868</v>
      </c>
      <c r="E53">
        <f>+'q14'!$D$20+'q14'!$D$23+'q14'!$D$26+'q14'!$D$29</f>
        <v>609333</v>
      </c>
      <c r="F53">
        <f>+'q14'!$E$20+'q14'!$E$23+'q14'!$E$26+'q14'!$E$29</f>
        <v>637668</v>
      </c>
      <c r="G53">
        <f>+'q14'!$F$20+'q14'!$F$23+'q14'!$F$26+'q14'!$F$29</f>
        <v>669638</v>
      </c>
      <c r="H53">
        <f>+'q14'!$G$20+'q14'!$G$23+'q14'!$G$26+'q14'!$G$29</f>
        <v>705658</v>
      </c>
      <c r="I53">
        <f>+'q14'!$H$20+'q14'!$H$23+'q14'!$H$26+'q14'!$H$29</f>
        <v>722607</v>
      </c>
      <c r="J53">
        <f>+'q14'!$I$20+'q14'!$I$23+'q14'!$I$26+'q14'!$I$29</f>
        <v>712172</v>
      </c>
      <c r="K53">
        <f>+'q14'!$J$20+'q14'!$J$23+'q14'!$J$26+'q14'!$J$29</f>
        <v>730932</v>
      </c>
      <c r="L53">
        <f>+'q14'!$K$20+'q14'!$K$23+'q14'!$K$26+'q14'!$K$29</f>
        <v>799590</v>
      </c>
      <c r="M53">
        <f>+'q14'!$L$20+'q14'!$L$23+'q14'!$L$26+'q14'!$L$29</f>
        <v>840662</v>
      </c>
      <c r="N53">
        <f>+'q14'!$M$20+'q14'!$M$23+'q14'!$M$26+'q14'!$M$29</f>
        <v>859516</v>
      </c>
    </row>
    <row r="54" spans="1:56">
      <c r="A54" s="383"/>
      <c r="B54" s="383" t="s">
        <v>231</v>
      </c>
      <c r="C54" s="383"/>
      <c r="D54">
        <f>+'q14'!$C$32+'q14'!$C$35+'q14'!$C$38</f>
        <v>453678</v>
      </c>
      <c r="E54">
        <f>+'q14'!$D$32+'q14'!$D$35+'q14'!$D$38</f>
        <v>476707</v>
      </c>
      <c r="F54">
        <f>+'q14'!$E$32+'q14'!$E$35+'q14'!$E$38</f>
        <v>512600</v>
      </c>
      <c r="G54">
        <f>+'q14'!$F$32+'q14'!$F$35+'q14'!$F$38</f>
        <v>559801</v>
      </c>
      <c r="H54">
        <f>+'q14'!$G$32+'q14'!$G$35+'q14'!$G$38</f>
        <v>589006</v>
      </c>
      <c r="I54">
        <f>+'q14'!$H$32+'q14'!$H$35+'q14'!$H$38</f>
        <v>619276</v>
      </c>
      <c r="J54">
        <f>+'q14'!$I$32+'q14'!$I$35+'q14'!$I$38</f>
        <v>611426</v>
      </c>
      <c r="K54">
        <f>+'q14'!$J$32+'q14'!$J$35+'q14'!$J$38</f>
        <v>617988</v>
      </c>
      <c r="L54">
        <f>+'q14'!$K$32+'q14'!$K$35+'q14'!$K$38</f>
        <v>673992</v>
      </c>
      <c r="M54">
        <f>+'q14'!$L$32+'q14'!$L$35+'q14'!$L$38</f>
        <v>714722</v>
      </c>
      <c r="N54">
        <f>+'q14'!$M$32+'q14'!$M$35+'q14'!$M$38</f>
        <v>745440</v>
      </c>
    </row>
    <row r="55" spans="1:56">
      <c r="R55" s="423" t="s">
        <v>205</v>
      </c>
    </row>
    <row r="56" spans="1:56">
      <c r="R56" s="507" t="str">
        <f>"3 CAE com mais pessoas:"&amp;CHAR(10)&amp;$R$49&amp;": "&amp;$Q$50&amp;" - "&amp;$R$50&amp;" ("&amp;$S$50&amp;"); "&amp;$Q$51&amp;" - "&amp;$R$51&amp;" ("&amp;$S$51&amp;"); "&amp;$Q$52&amp;" - "&amp;$R$52&amp;" ("&amp;$S$52&amp;")."&amp;CHAR(10)&amp;$R$44&amp;": "&amp;$Q$45&amp;" - "&amp;$R$45&amp;" ("&amp;$S$45&amp;"); "&amp;$Q$46&amp;" - "&amp;$R$46&amp;" ("&amp;$S$46&amp;"); "&amp;$Q$47&amp;" - "&amp;$R$47&amp;" ("&amp;$S$47&amp;")."</f>
        <v>3 CAE com mais pessoas:
2014: C - Ind. transf. (22,1%); G - Com. por grosso e ret. (…) (19,5%); N - Ativ. Admin. e dos serv. apoio (9,3%).
2024: C - Ind. transf. (18,8%); G - Com. por grosso e ret. (…) (17,7%); N - Ativ. Admin. e dos serv. apoio (9,3%).</v>
      </c>
    </row>
    <row r="58" spans="1:56">
      <c r="R58" s="384" t="s">
        <v>182</v>
      </c>
    </row>
    <row r="59" spans="1:56">
      <c r="R59" s="507" t="str">
        <f>"3 CAE com mais TCO:"&amp;CHAR(10)&amp;$U$49&amp;": "&amp;$U$50&amp;" - "&amp;$V$50&amp;" ("&amp;$W$50&amp;"); "&amp;$U$51&amp;" - "&amp;$V$51&amp;" ("&amp;$W$51&amp;"); "&amp;$U$52&amp;" - "&amp;$V$52&amp;" ("&amp;$W$52&amp;")."&amp;CHAR(10)&amp;$U$44&amp;": "&amp;$U$45&amp;" - "&amp;$V$45&amp;" ("&amp;$W$45&amp;"); "&amp;$U$46&amp;" - "&amp;$V$46&amp;" ("&amp;$W$46&amp;"); "&amp;$U$47&amp;" - "&amp;$V$47&amp;" ("&amp;$W$47&amp;")."</f>
        <v>3 CAE com mais TCO:
2014: C - Ind. transf. (22,7%); G - Com. por grosso e ret. (…) (18,9%); N - Ativ. Admin. e dos serv. apoio (9,7%).
2024: C - Ind. transf. (19,1%); G - Com. por grosso e ret. (…) (17,4%); N - Ativ. Admin. e dos serv. apoio (9,7%).</v>
      </c>
    </row>
    <row r="62" spans="1:56">
      <c r="R62" t="str">
        <f>IF($Q$3=1,$R$56,$R$59)</f>
        <v>3 CAE com mais TCO:
2014: C - Ind. transf. (22,7%); G - Com. por grosso e ret. (…) (18,9%); N - Ativ. Admin. e dos serv. apoio (9,7%).
2024: C - Ind. transf. (19,1%); G - Com. por grosso e ret. (…) (17,4%); N - Ativ. Admin. e dos serv. apoio (9,7%).</v>
      </c>
    </row>
    <row r="63" spans="1:56">
      <c r="I63" s="522" t="s">
        <v>438</v>
      </c>
      <c r="AW63" s="384"/>
    </row>
    <row r="64" spans="1:56">
      <c r="I64" s="522" t="s">
        <v>439</v>
      </c>
      <c r="AW64" s="384"/>
      <c r="BA64" s="496"/>
      <c r="BD64" s="384"/>
    </row>
    <row r="65" spans="1:56">
      <c r="I65" s="522" t="s">
        <v>440</v>
      </c>
      <c r="AW65" s="384"/>
      <c r="AZ65" s="384"/>
      <c r="BA65" s="497"/>
      <c r="BD65" s="384"/>
    </row>
    <row r="66" spans="1:56">
      <c r="A66" s="391" t="s">
        <v>236</v>
      </c>
      <c r="AP66" s="383"/>
      <c r="AW66" s="498"/>
      <c r="AZ66" s="498"/>
      <c r="BD66" s="383"/>
    </row>
    <row r="67" spans="1:56">
      <c r="AW67" s="453"/>
      <c r="AZ67" s="453"/>
    </row>
    <row r="68" spans="1:56" ht="13.5" thickBot="1">
      <c r="A68" s="383" t="s">
        <v>205</v>
      </c>
      <c r="AW68" s="453"/>
      <c r="AZ68" s="453"/>
      <c r="BD68" s="384"/>
    </row>
    <row r="69" spans="1:56">
      <c r="A69" s="386"/>
      <c r="B69" s="391">
        <f>+D6</f>
        <v>2014</v>
      </c>
      <c r="C69" s="386"/>
      <c r="D69" s="391">
        <f>+E6</f>
        <v>2015</v>
      </c>
      <c r="E69" s="386"/>
      <c r="F69" s="391">
        <f>+F6</f>
        <v>2016</v>
      </c>
      <c r="G69" s="386"/>
      <c r="H69" s="391">
        <f>+G6</f>
        <v>2017</v>
      </c>
      <c r="I69" s="386"/>
      <c r="J69" s="391">
        <f>+H6</f>
        <v>2018</v>
      </c>
      <c r="K69" s="386"/>
      <c r="L69" s="391">
        <f>+I6</f>
        <v>2019</v>
      </c>
      <c r="M69" s="386"/>
      <c r="N69" s="391">
        <f>+J6</f>
        <v>2020</v>
      </c>
      <c r="O69" s="386"/>
      <c r="P69" s="391">
        <f>+K6</f>
        <v>2021</v>
      </c>
      <c r="Q69" s="386"/>
      <c r="R69" s="391">
        <f>+L6</f>
        <v>2022</v>
      </c>
      <c r="S69" s="386"/>
      <c r="T69" s="391">
        <f>+M6</f>
        <v>2023</v>
      </c>
      <c r="U69" s="386"/>
      <c r="V69" s="391">
        <f>+N6</f>
        <v>2024</v>
      </c>
      <c r="X69" s="384" t="str">
        <f>+V69&amp;" - % do total"</f>
        <v>2024 - % do total</v>
      </c>
      <c r="Y69" s="939" t="str">
        <f>+"em "&amp;B69</f>
        <v>em 2014</v>
      </c>
      <c r="Z69" s="940"/>
      <c r="AW69" s="453"/>
      <c r="AZ69" s="453"/>
      <c r="BD69" s="383"/>
    </row>
    <row r="70" spans="1:56">
      <c r="A70" s="392" t="str">
        <f>+INDEX($B$7:$B$26,MATCH(B70,$D$7:$D$26,0),1)</f>
        <v>C</v>
      </c>
      <c r="B70" s="393">
        <f>+LARGE($D$7:$D$26,1)</f>
        <v>583685</v>
      </c>
      <c r="C70" s="392" t="str">
        <f>+INDEX($B$7:$B$26,MATCH(D70,$E$7:$E$26,0),1)</f>
        <v>C</v>
      </c>
      <c r="D70" s="393">
        <f>+LARGE($E$7:$E$26,1)</f>
        <v>598482</v>
      </c>
      <c r="E70" s="392" t="str">
        <f>+INDEX($B$7:$B$26,MATCH(F70,$F$7:$F$26,0),1)</f>
        <v>C</v>
      </c>
      <c r="F70" s="393">
        <f>+LARGE($F$7:$F$26,1)</f>
        <v>615556</v>
      </c>
      <c r="G70" s="392" t="str">
        <f>+INDEX($B$7:$B$26,MATCH(H70,$G$7:$G$26,0),1)</f>
        <v>C</v>
      </c>
      <c r="H70" s="393">
        <f>+LARGE($G$7:$G$26,1)</f>
        <v>639429</v>
      </c>
      <c r="I70" s="392" t="str">
        <f>+INDEX($B$7:$B$26,MATCH(J70,$H$7:$H$26,0),1)</f>
        <v>C</v>
      </c>
      <c r="J70" s="393">
        <f>+LARGE($H$7:$H$26,1)</f>
        <v>659459</v>
      </c>
      <c r="K70" s="392" t="str">
        <f>+INDEX($B$7:$B$26,MATCH(L70,$I$7:$I$26,0),1)</f>
        <v>C</v>
      </c>
      <c r="L70" s="393">
        <f>+LARGE($I$7:$I$26,1)</f>
        <v>650638</v>
      </c>
      <c r="M70" s="392" t="str">
        <f>+INDEX($B$7:$B$26,MATCH(N70,$J$7:$J$26,0),1)</f>
        <v>C</v>
      </c>
      <c r="N70" s="393">
        <f>+LARGE($J$7:$J$26,1)</f>
        <v>639517</v>
      </c>
      <c r="O70" s="392" t="str">
        <f>+INDEX($B$7:$B$26,MATCH(P70,$K$7:$K$26,0),1)</f>
        <v>C</v>
      </c>
      <c r="P70" s="393">
        <f>+LARGE($K$7:$K$26,1)</f>
        <v>636329</v>
      </c>
      <c r="Q70" s="392" t="str">
        <f>+INDEX($B$7:$B$26,MATCH(R70,$L$7:$L$26,0),1)</f>
        <v>C</v>
      </c>
      <c r="R70" s="393">
        <f>+LARGE($L$7:$L$26,1)</f>
        <v>667361</v>
      </c>
      <c r="S70" s="392" t="str">
        <f>+INDEX($B$7:$B$26,MATCH(T70,$M$7:$M$26,0),1)</f>
        <v>C</v>
      </c>
      <c r="T70" s="393">
        <f>+LARGE($M$7:$M$26,1)</f>
        <v>675754</v>
      </c>
      <c r="U70" s="511" t="str">
        <f>+INDEX($B$7:$B$26,MATCH(V70,$N$7:$N$26,0),1)</f>
        <v>C</v>
      </c>
      <c r="V70" s="393">
        <f>+LARGE($N$7:$N$26,1)</f>
        <v>665805</v>
      </c>
      <c r="X70" s="505">
        <f>+V70/$BD$4</f>
        <v>0.18781761686678675</v>
      </c>
      <c r="Y70" s="515">
        <f>+B70/$AT$4</f>
        <v>0.22135431974366684</v>
      </c>
      <c r="Z70" s="516" t="str">
        <f>+A70</f>
        <v>C</v>
      </c>
      <c r="AA70" s="415"/>
      <c r="AB70" s="415"/>
      <c r="AD70" s="397"/>
      <c r="AE70" s="397"/>
      <c r="AF70" s="397"/>
      <c r="AG70" s="397"/>
      <c r="AH70" s="397"/>
      <c r="AI70" s="397"/>
      <c r="AJ70" s="397"/>
      <c r="AK70" s="397"/>
      <c r="AL70" s="397"/>
      <c r="AM70" s="397"/>
      <c r="AN70" s="397"/>
      <c r="AO70" s="416"/>
    </row>
    <row r="71" spans="1:56">
      <c r="A71" s="392" t="str">
        <f>+INDEX($B$7:$B$26,MATCH(B71,$D$7:$D$26,0),1)</f>
        <v>G</v>
      </c>
      <c r="B71" s="393">
        <f>+LARGE($D$7:$D$26,2)</f>
        <v>513639</v>
      </c>
      <c r="C71" s="392" t="str">
        <f>+INDEX($B$7:$B$26,MATCH(D71,$E$7:$E$26,0),1)</f>
        <v>G</v>
      </c>
      <c r="D71" s="393">
        <f>+LARGE($E$7:$E$26,2)</f>
        <v>528110</v>
      </c>
      <c r="E71" s="392" t="str">
        <f>+INDEX($B$7:$B$26,MATCH(F71,$F$7:$F$26,0),1)</f>
        <v>G</v>
      </c>
      <c r="F71" s="393">
        <f>+LARGE($F$7:$F$26,2)</f>
        <v>541723</v>
      </c>
      <c r="G71" s="392" t="str">
        <f>+INDEX($B$7:$B$26,MATCH(H71,$G$7:$G$26,0),1)</f>
        <v>G</v>
      </c>
      <c r="H71" s="393">
        <f>+LARGE($G$7:$G$26,2)</f>
        <v>556229</v>
      </c>
      <c r="I71" s="392" t="str">
        <f>+INDEX($B$7:$B$26,MATCH(J71,$H$7:$H$26,0),1)</f>
        <v>G</v>
      </c>
      <c r="J71" s="393">
        <f>+LARGE($H$7:$H$26,2)</f>
        <v>571387</v>
      </c>
      <c r="K71" s="392" t="str">
        <f>+INDEX($B$7:$B$26,MATCH(L71,$I$7:$I$26,0),1)</f>
        <v>G</v>
      </c>
      <c r="L71" s="393">
        <f>+LARGE($I$7:$I$26,2)</f>
        <v>585267</v>
      </c>
      <c r="M71" s="392" t="str">
        <f>+INDEX($B$7:$B$26,MATCH(N71,$J$7:$J$26,0),1)</f>
        <v>G</v>
      </c>
      <c r="N71" s="393">
        <f>+LARGE($J$7:$J$26,2)</f>
        <v>572866</v>
      </c>
      <c r="O71" s="392" t="str">
        <f>+INDEX($B$7:$B$26,MATCH(P71,$K$7:$K$26,0),1)</f>
        <v>G</v>
      </c>
      <c r="P71" s="393">
        <f>+LARGE($K$7:$K$26,2)</f>
        <v>579715</v>
      </c>
      <c r="Q71" s="392" t="str">
        <f>+INDEX($B$7:$B$26,MATCH(R71,$L$7:$L$26,0),1)</f>
        <v>G</v>
      </c>
      <c r="R71" s="393">
        <f>+LARGE($L$7:$L$26,2)</f>
        <v>606424</v>
      </c>
      <c r="S71" s="392" t="str">
        <f>+INDEX($B$7:$B$26,MATCH(T71,$M$7:$M$26,0),1)</f>
        <v>G</v>
      </c>
      <c r="T71" s="393">
        <f>+LARGE($M$7:$M$26,2)</f>
        <v>624971</v>
      </c>
      <c r="U71" s="511" t="str">
        <f>+INDEX($B$7:$B$26,MATCH(V71,$N$7:$N$26,0),1)</f>
        <v>G</v>
      </c>
      <c r="V71" s="393">
        <f>+LARGE($N$7:$N$26,2)</f>
        <v>629059</v>
      </c>
      <c r="X71" s="505">
        <f>+V71/$BD$4</f>
        <v>0.17745189995359603</v>
      </c>
      <c r="Y71" s="515">
        <f t="shared" ref="Y71:Y74" si="8">+B71/$AT$4</f>
        <v>0.19479036027791927</v>
      </c>
      <c r="Z71" s="516" t="str">
        <f t="shared" ref="Z71:Z74" si="9">+A71</f>
        <v>G</v>
      </c>
      <c r="AA71" s="415"/>
      <c r="AB71" s="415"/>
      <c r="AD71" s="397"/>
      <c r="AE71" s="397"/>
      <c r="AF71" s="397"/>
      <c r="AG71" s="397"/>
      <c r="AH71" s="397"/>
      <c r="AI71" s="397"/>
      <c r="AJ71" s="397"/>
      <c r="AK71" s="397"/>
      <c r="AL71" s="397"/>
      <c r="AM71" s="397"/>
      <c r="AN71" s="397"/>
      <c r="AW71" s="498"/>
      <c r="AZ71" s="498"/>
      <c r="BA71" s="496"/>
    </row>
    <row r="72" spans="1:56">
      <c r="A72" s="392" t="str">
        <f>+INDEX($B$7:$B$26,MATCH(B72,$D$7:$D$26,0),1)</f>
        <v>N</v>
      </c>
      <c r="B72" s="393">
        <f>+LARGE($D$7:$D$26,3)</f>
        <v>243964</v>
      </c>
      <c r="C72" s="392" t="str">
        <f>+INDEX($B$7:$B$26,MATCH(D72,$E$7:$E$26,0),1)</f>
        <v>N</v>
      </c>
      <c r="D72" s="393">
        <f>+LARGE($E$7:$E$26,3)</f>
        <v>251590</v>
      </c>
      <c r="E72" s="392" t="str">
        <f>+INDEX($B$7:$B$26,MATCH(F72,$F$7:$F$26,0),1)</f>
        <v>N</v>
      </c>
      <c r="F72" s="393">
        <f>+LARGE($F$7:$F$26,3)</f>
        <v>273459</v>
      </c>
      <c r="G72" s="392" t="str">
        <f>+INDEX($B$7:$B$26,MATCH(H72,$G$7:$G$26,0),1)</f>
        <v>N</v>
      </c>
      <c r="H72" s="393">
        <f>+LARGE($G$7:$G$26,3)</f>
        <v>299479</v>
      </c>
      <c r="I72" s="392" t="str">
        <f>+INDEX($B$7:$B$26,MATCH(J72,$H$7:$H$26,0),1)</f>
        <v>N</v>
      </c>
      <c r="J72" s="393">
        <f>+LARGE($H$7:$H$26,3)</f>
        <v>298771</v>
      </c>
      <c r="K72" s="392" t="str">
        <f>+INDEX($B$7:$B$26,MATCH(L72,$I$7:$I$26,0),1)</f>
        <v>N</v>
      </c>
      <c r="L72" s="393">
        <f>+LARGE($I$7:$I$26,3)</f>
        <v>299376</v>
      </c>
      <c r="M72" s="392" t="str">
        <f>+INDEX($B$7:$B$26,MATCH(N72,$J$7:$J$26,0),1)</f>
        <v>N</v>
      </c>
      <c r="N72" s="393">
        <f>+LARGE($J$7:$J$26,3)</f>
        <v>291316</v>
      </c>
      <c r="O72" s="392" t="str">
        <f>+INDEX($B$7:$B$26,MATCH(P72,$K$7:$K$26,0),1)</f>
        <v>Q</v>
      </c>
      <c r="P72" s="393">
        <f>+LARGE($K$7:$K$26,3)</f>
        <v>295748</v>
      </c>
      <c r="Q72" s="392" t="str">
        <f>+INDEX($B$7:$B$26,MATCH(R72,$L$7:$L$26,0),1)</f>
        <v>N</v>
      </c>
      <c r="R72" s="393">
        <f>+LARGE($L$7:$L$26,3)</f>
        <v>313802</v>
      </c>
      <c r="S72" s="392" t="str">
        <f>+INDEX($B$7:$B$26,MATCH(T72,$M$7:$M$26,0),1)</f>
        <v>N</v>
      </c>
      <c r="T72" s="393">
        <f>+LARGE($M$7:$M$26,3)</f>
        <v>329658</v>
      </c>
      <c r="U72" s="511" t="str">
        <f>+INDEX($B$7:$B$26,MATCH(V72,$N$7:$N$26,0),1)</f>
        <v>N</v>
      </c>
      <c r="V72" s="393">
        <f>+LARGE($N$7:$N$26,3)</f>
        <v>331240</v>
      </c>
      <c r="X72" s="505">
        <f>+V72/$BD$4</f>
        <v>9.3439832099420167E-2</v>
      </c>
      <c r="Y72" s="515">
        <f t="shared" si="8"/>
        <v>9.2519912730229387E-2</v>
      </c>
      <c r="Z72" s="516" t="str">
        <f t="shared" si="9"/>
        <v>N</v>
      </c>
      <c r="AA72" s="415"/>
      <c r="AW72" s="453"/>
      <c r="AZ72" s="453"/>
      <c r="BA72" s="497"/>
    </row>
    <row r="73" spans="1:56">
      <c r="A73" s="392" t="str">
        <f>+INDEX($B$7:$B$26,MATCH(B73,$D$7:$D$26,0),1)</f>
        <v>Q</v>
      </c>
      <c r="B73" s="393">
        <f>+LARGE($D$7:$D$26,4)</f>
        <v>229330</v>
      </c>
      <c r="C73" s="392" t="str">
        <f>+INDEX($B$7:$B$26,MATCH(D73,$E$7:$E$26,0),1)</f>
        <v>Q</v>
      </c>
      <c r="D73" s="393">
        <f>+LARGE($E$7:$E$26,4)</f>
        <v>241051</v>
      </c>
      <c r="E73" s="392" t="str">
        <f>+INDEX($B$7:$B$26,MATCH(F73,$F$7:$F$26,0),1)</f>
        <v>Q</v>
      </c>
      <c r="F73" s="393">
        <f>+LARGE($F$7:$F$26,4)</f>
        <v>254988</v>
      </c>
      <c r="G73" s="392" t="str">
        <f>+INDEX($B$7:$B$26,MATCH(H73,$G$7:$G$26,0),1)</f>
        <v>Q</v>
      </c>
      <c r="H73" s="393">
        <f>+LARGE($G$7:$G$26,4)</f>
        <v>265423</v>
      </c>
      <c r="I73" s="392" t="str">
        <f>+INDEX($B$7:$B$26,MATCH(J73,$H$7:$H$26,0),1)</f>
        <v>Q</v>
      </c>
      <c r="J73" s="393">
        <f>+LARGE($H$7:$H$26,4)</f>
        <v>271575</v>
      </c>
      <c r="K73" s="392" t="str">
        <f>+INDEX($B$7:$B$26,MATCH(L73,$I$7:$I$26,0),1)</f>
        <v>Q</v>
      </c>
      <c r="L73" s="393">
        <f>+LARGE($I$7:$I$26,4)</f>
        <v>278424</v>
      </c>
      <c r="M73" s="392" t="str">
        <f>+INDEX($B$7:$B$26,MATCH(N73,$J$7:$J$26,0),1)</f>
        <v>Q</v>
      </c>
      <c r="N73" s="393">
        <f>+LARGE($J$7:$J$26,4)</f>
        <v>289188</v>
      </c>
      <c r="O73" s="392" t="str">
        <f>+INDEX($B$7:$B$26,MATCH(P73,$K$7:$K$26,0),1)</f>
        <v>N</v>
      </c>
      <c r="P73" s="393">
        <f>+LARGE($K$7:$K$26,4)</f>
        <v>280916</v>
      </c>
      <c r="Q73" s="392" t="str">
        <f>+INDEX($B$7:$B$26,MATCH(R73,$L$7:$L$26,0),1)</f>
        <v>Q</v>
      </c>
      <c r="R73" s="393">
        <f>+LARGE($L$7:$L$26,4)</f>
        <v>309107</v>
      </c>
      <c r="S73" s="392" t="str">
        <f>+INDEX($B$7:$B$26,MATCH(T73,$M$7:$M$26,0),1)</f>
        <v>Q</v>
      </c>
      <c r="T73" s="393">
        <f>+LARGE($M$7:$M$26,4)</f>
        <v>319140</v>
      </c>
      <c r="U73" s="392" t="str">
        <f>+INDEX($B$7:$B$26,MATCH(V73,$N$7:$N$26,0),1)</f>
        <v>Q</v>
      </c>
      <c r="V73" s="393">
        <f>+LARGE($N$7:$N$26,4)</f>
        <v>326389</v>
      </c>
      <c r="X73" s="397">
        <f>+V73/$BD$4</f>
        <v>9.2071408522816228E-2</v>
      </c>
      <c r="Y73" s="579">
        <f t="shared" si="8"/>
        <v>8.6970174232360128E-2</v>
      </c>
      <c r="Z73" s="518" t="str">
        <f t="shared" si="9"/>
        <v>Q</v>
      </c>
      <c r="AA73" s="415"/>
      <c r="AD73" s="416"/>
      <c r="AE73" s="416"/>
      <c r="AF73" s="416"/>
      <c r="AG73" s="416"/>
      <c r="AH73" s="416"/>
      <c r="AI73" s="416"/>
      <c r="AJ73" s="416"/>
      <c r="AK73" s="416"/>
      <c r="AL73" s="416"/>
      <c r="AM73" s="416"/>
      <c r="AN73" s="416"/>
      <c r="AW73" s="453"/>
      <c r="AZ73" s="453"/>
    </row>
    <row r="74" spans="1:56" ht="13.5" thickBot="1">
      <c r="A74" s="392" t="str">
        <f>+INDEX($B$7:$B$26,MATCH(B74,$D$7:$D$26,0),1)</f>
        <v>F</v>
      </c>
      <c r="B74" s="393">
        <f>+LARGE($D$7:$D$26,5)</f>
        <v>197951</v>
      </c>
      <c r="C74" s="392" t="str">
        <f>+INDEX($B$7:$B$26,MATCH(D74,$E$7:$E$26,0),1)</f>
        <v>I</v>
      </c>
      <c r="D74" s="393">
        <f>+LARGE($E$7:$E$26,5)</f>
        <v>207980</v>
      </c>
      <c r="E74" s="392" t="str">
        <f>+INDEX($B$7:$B$26,MATCH(F74,$F$7:$F$26,0),1)</f>
        <v>I</v>
      </c>
      <c r="F74" s="393">
        <f>+LARGE($F$7:$F$26,5)</f>
        <v>223137</v>
      </c>
      <c r="G74" s="392" t="str">
        <f>+INDEX($B$7:$B$26,MATCH(H74,$G$7:$G$26,0),1)</f>
        <v>I</v>
      </c>
      <c r="H74" s="393">
        <f>+LARGE($G$7:$G$26,5)</f>
        <v>243205</v>
      </c>
      <c r="I74" s="392" t="str">
        <f>+INDEX($B$7:$B$26,MATCH(J74,$H$7:$H$26,0),1)</f>
        <v>I</v>
      </c>
      <c r="J74" s="393">
        <f>+LARGE($H$7:$H$26,5)</f>
        <v>261730</v>
      </c>
      <c r="K74" s="392" t="str">
        <f>+INDEX($B$7:$B$26,MATCH(L74,$I$7:$I$26,0),1)</f>
        <v>I</v>
      </c>
      <c r="L74" s="393">
        <f>+LARGE($I$7:$I$26,5)</f>
        <v>270796</v>
      </c>
      <c r="M74" s="392" t="str">
        <f>+INDEX($B$7:$B$26,MATCH(N74,$J$7:$J$26,0),1)</f>
        <v>F</v>
      </c>
      <c r="N74" s="393">
        <f>+LARGE($J$7:$J$26,5)</f>
        <v>254572</v>
      </c>
      <c r="O74" s="392" t="str">
        <f>+INDEX($B$7:$B$26,MATCH(P74,$K$7:$K$26,0),1)</f>
        <v>F</v>
      </c>
      <c r="P74" s="393">
        <f>+LARGE($K$7:$K$26,5)</f>
        <v>256768</v>
      </c>
      <c r="Q74" s="392" t="str">
        <f>+INDEX($B$7:$B$26,MATCH(R74,$L$7:$L$26,0),1)</f>
        <v>I</v>
      </c>
      <c r="R74" s="393">
        <f>+LARGE($L$7:$L$26,5)</f>
        <v>279781</v>
      </c>
      <c r="S74" s="392" t="str">
        <f>+INDEX($B$7:$B$26,MATCH(T74,$M$7:$M$26,0),1)</f>
        <v>I</v>
      </c>
      <c r="T74" s="393">
        <f>+LARGE($M$7:$M$26,5)</f>
        <v>307448</v>
      </c>
      <c r="U74" s="392" t="str">
        <f>+INDEX($B$7:$B$26,MATCH(V74,$N$7:$N$26,0),1)</f>
        <v>I</v>
      </c>
      <c r="V74" s="393">
        <f>+LARGE($N$7:$N$26,5)</f>
        <v>315899</v>
      </c>
      <c r="X74" s="397">
        <f>+V74/$BD$4</f>
        <v>8.9112273639580755E-2</v>
      </c>
      <c r="Y74" s="519">
        <f t="shared" si="8"/>
        <v>7.5070130203069463E-2</v>
      </c>
      <c r="Z74" s="520" t="str">
        <f t="shared" si="9"/>
        <v>F</v>
      </c>
      <c r="AA74" s="415"/>
      <c r="AN74" s="416"/>
      <c r="AW74" s="453"/>
      <c r="AZ74" s="453"/>
    </row>
    <row r="75" spans="1:56">
      <c r="B75" s="397">
        <f>+B74/AT4</f>
        <v>7.5070130203069463E-2</v>
      </c>
    </row>
    <row r="76" spans="1:56">
      <c r="B76" s="176">
        <f>+B70+B71+B72</f>
        <v>1341288</v>
      </c>
      <c r="D76" s="176">
        <f>+D70+D71+D72</f>
        <v>1378182</v>
      </c>
      <c r="F76" s="176">
        <f>+F70+F71+F72</f>
        <v>1430738</v>
      </c>
      <c r="H76" s="176">
        <f>+H70+H71+H72</f>
        <v>1495137</v>
      </c>
      <c r="J76" s="176">
        <f>+J70+J71+J72</f>
        <v>1529617</v>
      </c>
      <c r="L76" s="176">
        <f>+L70+L71+L72</f>
        <v>1535281</v>
      </c>
      <c r="N76" s="176">
        <f>+N70+N71+N72</f>
        <v>1503699</v>
      </c>
      <c r="P76" s="176">
        <f>+P70+P71+P72</f>
        <v>1511792</v>
      </c>
      <c r="R76" s="176">
        <f>+R70+R71+R72</f>
        <v>1587587</v>
      </c>
      <c r="T76" s="176">
        <f>+T70+T71+T72</f>
        <v>1630383</v>
      </c>
      <c r="V76" s="176">
        <f>+V70+V71+V72</f>
        <v>1626104</v>
      </c>
    </row>
    <row r="77" spans="1:56" ht="13.5" thickBot="1">
      <c r="A77" s="383" t="s">
        <v>182</v>
      </c>
      <c r="B77" s="407">
        <f>+B76/AT4</f>
        <v>0.50866459275181553</v>
      </c>
      <c r="D77" s="407">
        <f>+D76/AU4</f>
        <v>0.50742872543594264</v>
      </c>
      <c r="F77" s="407">
        <f>+F76/AV$4</f>
        <v>0.50735785882017514</v>
      </c>
      <c r="H77" s="407">
        <f>+H76/AW$4</f>
        <v>0.50735874238140855</v>
      </c>
      <c r="J77" s="407">
        <f>+J76/AX$4</f>
        <v>0.49979496740553553</v>
      </c>
      <c r="L77" s="407">
        <f>+L76/AY$4</f>
        <v>0.4935088939098648</v>
      </c>
      <c r="N77" s="407">
        <f>+N76/AZ$4</f>
        <v>0.487333280182631</v>
      </c>
      <c r="P77" s="407">
        <f>+P76/BA$4</f>
        <v>0.48730621513725908</v>
      </c>
      <c r="R77" s="407">
        <f>+R76/BB$4</f>
        <v>0.4757410815796555</v>
      </c>
      <c r="T77" s="407">
        <f>+T76/BC$4</f>
        <v>0.46721427746524441</v>
      </c>
      <c r="V77" s="407">
        <f>+V76/BD$4</f>
        <v>0.45870934891980292</v>
      </c>
      <c r="AW77" s="453"/>
    </row>
    <row r="78" spans="1:56">
      <c r="A78" s="386"/>
      <c r="B78" s="391">
        <f>+B69</f>
        <v>2014</v>
      </c>
      <c r="C78" s="386"/>
      <c r="D78" s="391">
        <f t="shared" ref="D78:V78" si="10">+D69</f>
        <v>2015</v>
      </c>
      <c r="E78" s="386"/>
      <c r="F78" s="391">
        <f t="shared" si="10"/>
        <v>2016</v>
      </c>
      <c r="G78" s="386"/>
      <c r="H78" s="391">
        <f t="shared" si="10"/>
        <v>2017</v>
      </c>
      <c r="I78" s="386"/>
      <c r="J78" s="391">
        <f t="shared" si="10"/>
        <v>2018</v>
      </c>
      <c r="K78" s="386"/>
      <c r="L78" s="391">
        <f t="shared" si="10"/>
        <v>2019</v>
      </c>
      <c r="M78" s="386"/>
      <c r="N78" s="391">
        <f t="shared" si="10"/>
        <v>2020</v>
      </c>
      <c r="O78" s="386"/>
      <c r="P78" s="391">
        <f t="shared" si="10"/>
        <v>2021</v>
      </c>
      <c r="Q78" s="386"/>
      <c r="R78" s="391">
        <f t="shared" si="10"/>
        <v>2022</v>
      </c>
      <c r="S78" s="386"/>
      <c r="T78" s="391">
        <f t="shared" si="10"/>
        <v>2023</v>
      </c>
      <c r="U78" s="386"/>
      <c r="V78" s="391">
        <f t="shared" si="10"/>
        <v>2024</v>
      </c>
      <c r="X78" s="384" t="str">
        <f>+V78&amp;" - % do total"</f>
        <v>2024 - % do total</v>
      </c>
      <c r="Y78" s="939" t="str">
        <f>+"em "&amp;B78</f>
        <v>em 2014</v>
      </c>
      <c r="Z78" s="940"/>
      <c r="AW78" s="496"/>
    </row>
    <row r="79" spans="1:56">
      <c r="A79" s="392" t="str">
        <f>+INDEX($B$31:$B$50,MATCH(B79,$D$31:$D$50,0),1)</f>
        <v>C</v>
      </c>
      <c r="B79" s="393">
        <f>+LARGE($D$31:$D$50,1)</f>
        <v>557477</v>
      </c>
      <c r="C79" s="392" t="str">
        <f>+INDEX($B$31:$B$50,MATCH(D79,$E$31:$E$50,0),1)</f>
        <v>C</v>
      </c>
      <c r="D79" s="393">
        <f>+LARGE($E$31:$E$50,1)</f>
        <v>572207</v>
      </c>
      <c r="E79" s="392" t="str">
        <f>+INDEX($B$31:$B$50,MATCH(F79,$F$31:$F$50,0),1)</f>
        <v>C</v>
      </c>
      <c r="F79" s="393">
        <f>+LARGE($F$31:$F$50,1)</f>
        <v>589603</v>
      </c>
      <c r="G79" s="392" t="str">
        <f>+INDEX($B$31:$B$50,MATCH(H79,$G$31:$G$50,0),1)</f>
        <v>C</v>
      </c>
      <c r="H79" s="393">
        <f>+LARGE($G$31:$G$50,1)</f>
        <v>613379</v>
      </c>
      <c r="I79" s="392" t="str">
        <f>+INDEX($B$31:$B$50,MATCH(J79,$H$31:$H$50,0),1)</f>
        <v>C</v>
      </c>
      <c r="J79" s="393">
        <f>+LARGE($H$31:$H$50,1)</f>
        <v>633595</v>
      </c>
      <c r="K79" s="392" t="str">
        <f>+INDEX($B$31:$B$50,MATCH(L79,$I$31:$I$50,0),1)</f>
        <v>C</v>
      </c>
      <c r="L79" s="393">
        <f>+LARGE($I$31:$I$50,1)</f>
        <v>625633</v>
      </c>
      <c r="M79" s="392" t="str">
        <f>+INDEX($B$31:$B$50,MATCH(N79,$J$31:$J$50,0),1)</f>
        <v>C</v>
      </c>
      <c r="N79" s="393">
        <f>+LARGE($J$31:$J$50,1)</f>
        <v>614674</v>
      </c>
      <c r="O79" s="392" t="str">
        <f>+INDEX($B$31:$B$50,MATCH(P79,$K$31:$K$50,0),1)</f>
        <v>C</v>
      </c>
      <c r="P79" s="393">
        <f>+LARGE($K$31:$K$50,1)</f>
        <v>612054</v>
      </c>
      <c r="Q79" s="392" t="str">
        <f>+INDEX($B$31:$B$50,MATCH(R79,$L$31:$L$50,0),1)</f>
        <v>C</v>
      </c>
      <c r="R79" s="393">
        <f>+LARGE($L$31:$L$50,1)</f>
        <v>642354</v>
      </c>
      <c r="S79" s="392" t="str">
        <f>+INDEX($B$31:$B$50,MATCH(T79,$M$31:$M$50,0),1)</f>
        <v>C</v>
      </c>
      <c r="T79" s="393">
        <f>+LARGE($M$31:$M$50,1)</f>
        <v>650876</v>
      </c>
      <c r="U79" s="511" t="str">
        <f>+INDEX($B$31:$B$50,MATCH(V79,$N$31:$N$50,0),1)</f>
        <v>C</v>
      </c>
      <c r="V79" s="393">
        <f>+LARGE($N$31:$N$50,1)</f>
        <v>641915</v>
      </c>
      <c r="X79" s="505">
        <f>+V79/$BD$5</f>
        <v>0.19138013485440067</v>
      </c>
      <c r="Y79" s="515">
        <f>+B79/$AT$5</f>
        <v>0.22678601866515768</v>
      </c>
      <c r="Z79" s="516" t="str">
        <f>+A79</f>
        <v>C</v>
      </c>
      <c r="AA79" s="415"/>
      <c r="AB79" s="415"/>
      <c r="AD79" s="397"/>
      <c r="AE79" s="397"/>
      <c r="AF79" s="397"/>
      <c r="AG79" s="397"/>
      <c r="AH79" s="397"/>
      <c r="AI79" s="397"/>
      <c r="AJ79" s="397"/>
      <c r="AK79" s="397"/>
      <c r="AL79" s="397"/>
      <c r="AM79" s="397"/>
      <c r="AN79" s="397"/>
      <c r="AO79" s="416"/>
    </row>
    <row r="80" spans="1:56">
      <c r="A80" s="392" t="str">
        <f>+INDEX($B$31:$B$50,MATCH(B80,$D$31:$D$50,0),1)</f>
        <v>G</v>
      </c>
      <c r="B80" s="393">
        <f>+LARGE($D$31:$D$50,2)</f>
        <v>463519</v>
      </c>
      <c r="C80" s="392" t="str">
        <f>+INDEX($B$31:$B$50,MATCH(D80,$E$31:$E$50,0),1)</f>
        <v>G</v>
      </c>
      <c r="D80" s="393">
        <f>+LARGE($E$31:$E$50,2)</f>
        <v>478256</v>
      </c>
      <c r="E80" s="392" t="str">
        <f>+INDEX($B$31:$B$50,MATCH(F80,$F$31:$F$50,0),1)</f>
        <v>G</v>
      </c>
      <c r="F80" s="393">
        <f>+LARGE($F$31:$F$50,2)</f>
        <v>492250</v>
      </c>
      <c r="G80" s="392" t="str">
        <f>+INDEX($B$31:$B$50,MATCH(H80,$G$31:$G$50,0),1)</f>
        <v>G</v>
      </c>
      <c r="H80" s="393">
        <f>+LARGE($G$31:$G$50,2)</f>
        <v>507360</v>
      </c>
      <c r="I80" s="392" t="str">
        <f>+INDEX($B$31:$B$50,MATCH(J80,$H$31:$H$50,0),1)</f>
        <v>G</v>
      </c>
      <c r="J80" s="393">
        <f>+LARGE($H$31:$H$50,2)</f>
        <v>522673</v>
      </c>
      <c r="K80" s="392" t="str">
        <f>+INDEX($B$31:$B$50,MATCH(L80,$I$31:$I$50,0),1)</f>
        <v>G</v>
      </c>
      <c r="L80" s="393">
        <f>+LARGE($I$31:$I$50,2)</f>
        <v>538367</v>
      </c>
      <c r="M80" s="392" t="str">
        <f>+INDEX($B$31:$B$50,MATCH(N80,$J$31:$J$50,0),1)</f>
        <v>G</v>
      </c>
      <c r="N80" s="393">
        <f>+LARGE($J$31:$J$50,2)</f>
        <v>525816</v>
      </c>
      <c r="O80" s="392" t="str">
        <f>+INDEX($B$31:$B$50,MATCH(P80,$K$31:$K$50,0),1)</f>
        <v>G</v>
      </c>
      <c r="P80" s="393">
        <f>+LARGE($K$31:$K$50,2)</f>
        <v>533620</v>
      </c>
      <c r="Q80" s="392" t="str">
        <f>+INDEX($B$31:$B$50,MATCH(R80,$L$31:$L$50,0),1)</f>
        <v>G</v>
      </c>
      <c r="R80" s="393">
        <f>+LARGE($L$31:$L$50,2)</f>
        <v>559353</v>
      </c>
      <c r="S80" s="392" t="str">
        <f>+INDEX($B$31:$B$50,MATCH(T80,$M$31:$M$50,0),1)</f>
        <v>G</v>
      </c>
      <c r="T80" s="393">
        <f>+LARGE($M$31:$M$50,2)</f>
        <v>577407</v>
      </c>
      <c r="U80" s="511" t="str">
        <f>+INDEX($B$31:$B$50,MATCH(V80,$N$31:$N$50,0),1)</f>
        <v>G</v>
      </c>
      <c r="V80" s="393">
        <f>+LARGE($N$31:$N$50,2)</f>
        <v>583143</v>
      </c>
      <c r="X80" s="505">
        <f>+V80/$BD$5</f>
        <v>0.1738578876944763</v>
      </c>
      <c r="Y80" s="515">
        <f t="shared" ref="Y80:Y83" si="11">+B80/$AT$5</f>
        <v>0.18856316688519029</v>
      </c>
      <c r="Z80" s="516" t="str">
        <f t="shared" ref="Z80:Z83" si="12">+A80</f>
        <v>G</v>
      </c>
      <c r="AA80" s="415"/>
      <c r="AB80" s="415"/>
      <c r="AD80" s="397"/>
      <c r="AE80" s="397"/>
      <c r="AF80" s="397"/>
      <c r="AG80" s="397"/>
      <c r="AH80" s="397"/>
      <c r="AI80" s="397"/>
      <c r="AJ80" s="397"/>
      <c r="AK80" s="397"/>
      <c r="AL80" s="397"/>
      <c r="AM80" s="397"/>
      <c r="AN80" s="397"/>
      <c r="AW80" s="383"/>
    </row>
    <row r="81" spans="1:49">
      <c r="A81" s="392" t="str">
        <f>+INDEX($B$31:$B$50,MATCH(B81,$D$31:$D$50,0),1)</f>
        <v>N</v>
      </c>
      <c r="B81" s="393">
        <f>+LARGE($D$31:$D$50,3)</f>
        <v>238916</v>
      </c>
      <c r="C81" s="392" t="str">
        <f>+INDEX($B$31:$B$50,MATCH(D81,$E$31:$E$50,0),1)</f>
        <v>N</v>
      </c>
      <c r="D81" s="393">
        <f>+LARGE($E$31:$E$50,3)</f>
        <v>246451</v>
      </c>
      <c r="E81" s="392" t="str">
        <f>+INDEX($B$31:$B$50,MATCH(F81,$F$31:$F$50,0),1)</f>
        <v>N</v>
      </c>
      <c r="F81" s="393">
        <f>+LARGE($F$31:$F$50,3)</f>
        <v>268226</v>
      </c>
      <c r="G81" s="392" t="str">
        <f>+INDEX($B$31:$B$50,MATCH(H81,$G$31:$G$50,0),1)</f>
        <v>N</v>
      </c>
      <c r="H81" s="393">
        <f>+LARGE($G$31:$G$50,3)</f>
        <v>294174</v>
      </c>
      <c r="I81" s="392" t="str">
        <f>+INDEX($B$31:$B$50,MATCH(J81,$H$31:$H$50,0),1)</f>
        <v>N</v>
      </c>
      <c r="J81" s="393">
        <f>+LARGE($H$31:$H$50,3)</f>
        <v>293550</v>
      </c>
      <c r="K81" s="392" t="str">
        <f>+INDEX($B$31:$B$50,MATCH(L81,$I$31:$I$50,0),1)</f>
        <v>N</v>
      </c>
      <c r="L81" s="393">
        <f>+LARGE($I$31:$I$50,3)</f>
        <v>293948</v>
      </c>
      <c r="M81" s="392" t="str">
        <f>+INDEX($B$31:$B$50,MATCH(N81,$J$31:$J$50,0),1)</f>
        <v>N</v>
      </c>
      <c r="N81" s="393">
        <f>+LARGE($J$31:$J$50,3)</f>
        <v>285919</v>
      </c>
      <c r="O81" s="392" t="str">
        <f>+INDEX($B$31:$B$50,MATCH(P81,$K$31:$K$50,0),1)</f>
        <v>Q</v>
      </c>
      <c r="P81" s="393">
        <f>+LARGE($K$31:$K$50,3)</f>
        <v>286750</v>
      </c>
      <c r="Q81" s="392" t="str">
        <f>+INDEX($B$31:$B$50,MATCH(R81,$L$31:$L$50,0),1)</f>
        <v>N</v>
      </c>
      <c r="R81" s="393">
        <f>+LARGE($L$31:$L$50,3)</f>
        <v>307876</v>
      </c>
      <c r="S81" s="392" t="str">
        <f>+INDEX($B$31:$B$50,MATCH(T81,$M$31:$M$50,0),1)</f>
        <v>N</v>
      </c>
      <c r="T81" s="393">
        <f>+LARGE($M$31:$M$50,3)</f>
        <v>323487</v>
      </c>
      <c r="U81" s="511" t="str">
        <f>+INDEX($B$31:$B$50,MATCH(V81,$N$31:$N$50,0),1)</f>
        <v>N</v>
      </c>
      <c r="V81" s="393">
        <f>+LARGE($N$31:$N$50,3)</f>
        <v>325009</v>
      </c>
      <c r="X81" s="505">
        <f>+V81/$BD$5</f>
        <v>9.6897979092082129E-2</v>
      </c>
      <c r="Y81" s="515">
        <f t="shared" si="11"/>
        <v>9.7192903806623071E-2</v>
      </c>
      <c r="Z81" s="516" t="str">
        <f t="shared" si="12"/>
        <v>N</v>
      </c>
      <c r="AW81" s="496"/>
    </row>
    <row r="82" spans="1:49">
      <c r="A82" s="392" t="str">
        <f>+INDEX($B$31:$B$50,MATCH(B82,$D$31:$D$50,0),1)</f>
        <v>Q</v>
      </c>
      <c r="B82" s="393">
        <f>+LARGE($D$31:$D$50,4)</f>
        <v>221126</v>
      </c>
      <c r="C82" s="392" t="str">
        <f>+INDEX($B$31:$B$50,MATCH(D82,$E$31:$E$50,0),1)</f>
        <v>Q</v>
      </c>
      <c r="D82" s="393">
        <f>+LARGE($E$31:$E$50,4)</f>
        <v>232717</v>
      </c>
      <c r="E82" s="392" t="str">
        <f>+INDEX($B$31:$B$50,MATCH(F82,$F$31:$F$50,0),1)</f>
        <v>Q</v>
      </c>
      <c r="F82" s="393">
        <f>+LARGE($F$31:$F$50,4)</f>
        <v>246800</v>
      </c>
      <c r="G82" s="392" t="str">
        <f>+INDEX($B$31:$B$50,MATCH(H82,$G$31:$G$50,0),1)</f>
        <v>Q</v>
      </c>
      <c r="H82" s="393">
        <f>+LARGE($G$31:$G$50,4)</f>
        <v>257306</v>
      </c>
      <c r="I82" s="392" t="str">
        <f>+INDEX($B$31:$B$50,MATCH(J82,$H$31:$H$50,0),1)</f>
        <v>Q</v>
      </c>
      <c r="J82" s="393">
        <f>+LARGE($H$31:$H$50,4)</f>
        <v>263021</v>
      </c>
      <c r="K82" s="392" t="str">
        <f>+INDEX($B$31:$B$50,MATCH(L82,$I$31:$I$50,0),1)</f>
        <v>Q</v>
      </c>
      <c r="L82" s="393">
        <f>+LARGE($I$31:$I$50,4)</f>
        <v>269760</v>
      </c>
      <c r="M82" s="392" t="str">
        <f>+INDEX($B$31:$B$50,MATCH(N82,$J$31:$J$50,0),1)</f>
        <v>Q</v>
      </c>
      <c r="N82" s="393">
        <f>+LARGE($J$31:$J$50,4)</f>
        <v>280115</v>
      </c>
      <c r="O82" s="392" t="str">
        <f>+INDEX($B$31:$B$50,MATCH(P82,$K$31:$K$50,0),1)</f>
        <v>N</v>
      </c>
      <c r="P82" s="393">
        <f>+LARGE($K$31:$K$50,4)</f>
        <v>275843</v>
      </c>
      <c r="Q82" s="392" t="str">
        <f>+INDEX($B$31:$B$50,MATCH(R82,$L$31:$L$50,0),1)</f>
        <v>Q</v>
      </c>
      <c r="R82" s="393">
        <f>+LARGE($L$31:$L$50,4)</f>
        <v>299622</v>
      </c>
      <c r="S82" s="392" t="str">
        <f>+INDEX($B$31:$B$50,MATCH(T82,$M$31:$M$50,0),1)</f>
        <v>Q</v>
      </c>
      <c r="T82" s="393">
        <f>+LARGE($M$31:$M$50,4)</f>
        <v>309289</v>
      </c>
      <c r="U82" s="392" t="str">
        <f>+INDEX($B$31:$B$50,MATCH(V82,$N$31:$N$50,0),1)</f>
        <v>Q</v>
      </c>
      <c r="V82" s="393">
        <f>+LARGE($N$31:$N$50,4)</f>
        <v>316504</v>
      </c>
      <c r="X82" s="397">
        <f>+V82/$BD$5</f>
        <v>9.4362303734851535E-2</v>
      </c>
      <c r="Y82" s="517">
        <f t="shared" si="11"/>
        <v>8.9955792191160636E-2</v>
      </c>
      <c r="Z82" s="518" t="str">
        <f t="shared" si="12"/>
        <v>Q</v>
      </c>
      <c r="AD82" s="416"/>
      <c r="AE82" s="416"/>
      <c r="AF82" s="416"/>
      <c r="AG82" s="416"/>
      <c r="AH82" s="416"/>
      <c r="AI82" s="416"/>
      <c r="AJ82" s="416"/>
      <c r="AK82" s="416"/>
      <c r="AL82" s="416"/>
      <c r="AM82" s="416"/>
      <c r="AN82" s="416"/>
    </row>
    <row r="83" spans="1:49" ht="13.5" thickBot="1">
      <c r="A83" s="392" t="str">
        <f>+INDEX($B$31:$B$50,MATCH(B83,$D$31:$D$50,0),1)</f>
        <v>F</v>
      </c>
      <c r="B83" s="393">
        <f>+LARGE($D$31:$D$50,5)</f>
        <v>178366</v>
      </c>
      <c r="C83" s="392" t="str">
        <f>+INDEX($B$31:$B$50,MATCH(D83,$E$31:$E$50,0),1)</f>
        <v>I</v>
      </c>
      <c r="D83" s="393">
        <f>+LARGE($E$31:$E$50,5)</f>
        <v>189219</v>
      </c>
      <c r="E83" s="392" t="str">
        <f>+INDEX($B$31:$B$50,MATCH(F83,$F$31:$F$50,0),1)</f>
        <v>I</v>
      </c>
      <c r="F83" s="393">
        <f>+LARGE($F$31:$F$50,5)</f>
        <v>204110</v>
      </c>
      <c r="G83" s="392" t="str">
        <f>+INDEX($B$31:$B$50,MATCH(H83,$G$31:$G$50,0),1)</f>
        <v>I</v>
      </c>
      <c r="H83" s="393">
        <f>+LARGE($G$31:$G$50,5)</f>
        <v>223805</v>
      </c>
      <c r="I83" s="392" t="str">
        <f>+INDEX($B$31:$B$50,MATCH(J83,$H$31:$H$50,0),1)</f>
        <v>I</v>
      </c>
      <c r="J83" s="393">
        <f>+LARGE($H$31:$H$50,5)</f>
        <v>241853</v>
      </c>
      <c r="K83" s="392" t="str">
        <f>+INDEX($B$31:$B$50,MATCH(L83,$I$31:$I$50,0),1)</f>
        <v>I</v>
      </c>
      <c r="L83" s="393">
        <f>+LARGE($I$31:$I$50,5)</f>
        <v>251350</v>
      </c>
      <c r="M83" s="392" t="str">
        <f>+INDEX($B$31:$B$50,MATCH(N83,$J$31:$J$50,0),1)</f>
        <v>F</v>
      </c>
      <c r="N83" s="393">
        <f>+LARGE($J$31:$J$50,5)</f>
        <v>232381</v>
      </c>
      <c r="O83" s="392" t="str">
        <f>+INDEX($B$31:$B$50,MATCH(P83,$K$31:$K$50,0),1)</f>
        <v>F</v>
      </c>
      <c r="P83" s="393">
        <f>+LARGE($K$31:$K$50,5)</f>
        <v>234450</v>
      </c>
      <c r="Q83" s="392" t="str">
        <f>+INDEX($B$31:$B$50,MATCH(R83,$L$31:$L$50,0),1)</f>
        <v>I</v>
      </c>
      <c r="R83" s="393">
        <f>+LARGE($L$31:$L$50,5)</f>
        <v>259660</v>
      </c>
      <c r="S83" s="392" t="str">
        <f>+INDEX($B$31:$B$50,MATCH(T83,$M$31:$M$50,0),1)</f>
        <v>I</v>
      </c>
      <c r="T83" s="393">
        <f>+LARGE($M$31:$M$50,5)</f>
        <v>286812</v>
      </c>
      <c r="U83" s="392" t="str">
        <f>+INDEX($B$31:$B$50,MATCH(V83,$N$31:$N$50,0),1)</f>
        <v>I</v>
      </c>
      <c r="V83" s="393">
        <f>+LARGE($N$31:$N$50,5)</f>
        <v>295279</v>
      </c>
      <c r="X83" s="397">
        <f>+V83/$BD$5</f>
        <v>8.803429556821786E-2</v>
      </c>
      <c r="Y83" s="519">
        <f t="shared" si="11"/>
        <v>7.2560688611780416E-2</v>
      </c>
      <c r="Z83" s="520" t="str">
        <f t="shared" si="12"/>
        <v>F</v>
      </c>
      <c r="AN83" s="416"/>
    </row>
    <row r="85" spans="1:49">
      <c r="B85" s="176">
        <f>+B79+B80+B81</f>
        <v>1259912</v>
      </c>
      <c r="D85" s="176">
        <f>+D79+D80+D81</f>
        <v>1296914</v>
      </c>
      <c r="F85" s="176">
        <f>+F79+F80+F81</f>
        <v>1350079</v>
      </c>
      <c r="H85" s="176">
        <f>+H79+H80+H81</f>
        <v>1414913</v>
      </c>
      <c r="J85" s="176">
        <f>+J79+J80+J81</f>
        <v>1449818</v>
      </c>
      <c r="L85" s="176">
        <f>+L79+L80+L81</f>
        <v>1457948</v>
      </c>
      <c r="N85" s="176">
        <f>+N79+N80+N81</f>
        <v>1426409</v>
      </c>
      <c r="P85" s="176">
        <f>+P79+P80+P81</f>
        <v>1432424</v>
      </c>
      <c r="R85" s="176">
        <f>+R79+R80+R81</f>
        <v>1509583</v>
      </c>
      <c r="T85" s="176">
        <f>+T79+T80+T81</f>
        <v>1551770</v>
      </c>
      <c r="V85" s="176">
        <f>+V79+V80+V81</f>
        <v>1550067</v>
      </c>
    </row>
    <row r="86" spans="1:49">
      <c r="B86" s="407">
        <f>+B85/AT5</f>
        <v>0.51254208935697099</v>
      </c>
      <c r="D86" s="407">
        <f>+D85/AU5</f>
        <v>0.51106829814793431</v>
      </c>
      <c r="F86" s="407">
        <f>+F85/AV5</f>
        <v>0.51102210173741136</v>
      </c>
      <c r="H86" s="407">
        <f>+H85/AW5</f>
        <v>0.51125646381725742</v>
      </c>
      <c r="J86" s="407">
        <f>+J85/AX5</f>
        <v>0.50377321383027596</v>
      </c>
      <c r="L86" s="407">
        <f>+L85/AY5</f>
        <v>0.49751133090051397</v>
      </c>
      <c r="N86" s="407">
        <f>+N85/AZ5</f>
        <v>0.49138649419100361</v>
      </c>
      <c r="P86" s="407">
        <f>+P85/BA5</f>
        <v>0.49016285904837315</v>
      </c>
      <c r="R86" s="407">
        <f>+R85/BB5</f>
        <v>0.47951477488185906</v>
      </c>
      <c r="T86" s="407">
        <f>+T85/BC5</f>
        <v>0.47078486493570953</v>
      </c>
      <c r="V86" s="407">
        <f>+V85/BD5</f>
        <v>0.46213600164095908</v>
      </c>
    </row>
    <row r="87" spans="1:49">
      <c r="A87" s="383" t="s">
        <v>205</v>
      </c>
      <c r="D87" s="384">
        <f>+D6</f>
        <v>2014</v>
      </c>
      <c r="E87" s="384">
        <f t="shared" ref="E87:N87" si="13">+E6</f>
        <v>2015</v>
      </c>
      <c r="F87" s="384">
        <f t="shared" si="13"/>
        <v>2016</v>
      </c>
      <c r="G87" s="384">
        <f t="shared" si="13"/>
        <v>2017</v>
      </c>
      <c r="H87" s="384">
        <f t="shared" si="13"/>
        <v>2018</v>
      </c>
      <c r="I87" s="384">
        <f t="shared" si="13"/>
        <v>2019</v>
      </c>
      <c r="J87" s="384">
        <f t="shared" si="13"/>
        <v>2020</v>
      </c>
      <c r="K87" s="384">
        <f t="shared" si="13"/>
        <v>2021</v>
      </c>
      <c r="L87" s="384">
        <f t="shared" si="13"/>
        <v>2022</v>
      </c>
      <c r="M87" s="384">
        <f t="shared" si="13"/>
        <v>2023</v>
      </c>
      <c r="N87" s="384">
        <f t="shared" si="13"/>
        <v>2024</v>
      </c>
      <c r="AW87" s="499"/>
    </row>
    <row r="88" spans="1:49">
      <c r="B88" s="383" t="s">
        <v>222</v>
      </c>
      <c r="C88" s="383"/>
      <c r="D88">
        <f>+'q10'!$B$6+'q10'!$B$7</f>
        <v>806496</v>
      </c>
      <c r="E88">
        <f>+'q10'!$C$6+'q10'!$C$7</f>
        <v>816451</v>
      </c>
      <c r="F88">
        <f>+'q10'!$D$6+'q10'!$D$7</f>
        <v>827791</v>
      </c>
      <c r="G88">
        <f>+'q10'!$E$6+'q10'!$E$7</f>
        <v>834587</v>
      </c>
      <c r="H88">
        <f>+'q10'!$F$6+'q10'!$F$7</f>
        <v>846286</v>
      </c>
      <c r="I88">
        <f>+'q10'!$G$6+'q10'!$G$7</f>
        <v>829728</v>
      </c>
      <c r="J88">
        <f>+'q10'!$H$6+'q10'!$H$7</f>
        <v>834524</v>
      </c>
      <c r="K88">
        <f>+'q10'!$I$6+'q10'!$I$7</f>
        <v>817956</v>
      </c>
      <c r="L88">
        <f>+'q10'!$J$6+'q10'!$J$7</f>
        <v>855698</v>
      </c>
      <c r="M88">
        <f>+'q10'!$K$6+'q10'!$K$7</f>
        <v>874919</v>
      </c>
      <c r="N88">
        <f>+'q10'!$L$6+'q10'!$L$7</f>
        <v>867823</v>
      </c>
      <c r="R88" s="384" t="s">
        <v>392</v>
      </c>
    </row>
    <row r="89" spans="1:49">
      <c r="B89" s="383" t="s">
        <v>432</v>
      </c>
      <c r="C89" s="383"/>
      <c r="D89">
        <f>+'q10'!$B$8+'q10'!$B$9</f>
        <v>780857</v>
      </c>
      <c r="E89">
        <f>+'q10'!$C$8+'q10'!$C$9</f>
        <v>806420</v>
      </c>
      <c r="F89">
        <f>+'q10'!$D$8+'q10'!$D$9</f>
        <v>835518</v>
      </c>
      <c r="G89">
        <f>+'q10'!$E$8+'q10'!$E$9</f>
        <v>876390</v>
      </c>
      <c r="H89">
        <f>+'q10'!$F$8+'q10'!$F$9</f>
        <v>912324</v>
      </c>
      <c r="I89">
        <f>+'q10'!$G$8+'q10'!$G$9</f>
        <v>931912</v>
      </c>
      <c r="J89">
        <f>+'q10'!$H$8+'q10'!$H$9</f>
        <v>920656</v>
      </c>
      <c r="K89">
        <f>+'q10'!$I$8+'q10'!$I$9</f>
        <v>928375</v>
      </c>
      <c r="L89">
        <f>+'q10'!$J$8+'q10'!$J$9</f>
        <v>999621</v>
      </c>
      <c r="M89">
        <f>+'q10'!$K$8+'q10'!$K$9</f>
        <v>1050851</v>
      </c>
      <c r="N89">
        <f>+'q10'!$L$8+'q10'!$L$9</f>
        <v>1063804</v>
      </c>
      <c r="R89" s="384" t="s">
        <v>237</v>
      </c>
    </row>
    <row r="90" spans="1:49">
      <c r="B90" s="383" t="s">
        <v>433</v>
      </c>
      <c r="C90" s="383"/>
      <c r="D90">
        <f>+'q10'!$B$10+'q10'!$B$11+'q10'!$B$12+'q10'!$B$13</f>
        <v>593889</v>
      </c>
      <c r="E90">
        <f>+'q10'!$C$10+'q10'!$C$11+'q10'!$C$12+'q10'!$C$13</f>
        <v>614314</v>
      </c>
      <c r="F90">
        <f>+'q10'!$D$10+'q10'!$D$11+'q10'!$D$12+'q10'!$D$13</f>
        <v>642429</v>
      </c>
      <c r="G90">
        <f>+'q10'!$E$10+'q10'!$E$11+'q10'!$E$12+'q10'!$E$13</f>
        <v>674480</v>
      </c>
      <c r="H90">
        <f>+'q10'!$F$10+'q10'!$F$11+'q10'!$F$12+'q10'!$F$13</f>
        <v>711164</v>
      </c>
      <c r="I90">
        <f>+'q10'!$G$10+'q10'!$G$11+'q10'!$G$12+'q10'!$G$13</f>
        <v>728234</v>
      </c>
      <c r="J90">
        <f>+'q10'!$H$10+'q10'!$H$11+'q10'!$H$12+'q10'!$H$13</f>
        <v>717489</v>
      </c>
      <c r="K90">
        <f>+'q10'!$I$10+'q10'!$I$11+'q10'!$I$12+'q10'!$I$13</f>
        <v>736449</v>
      </c>
      <c r="L90">
        <f>+'q10'!$J$10+'q10'!$J$11+'q10'!$J$12+'q10'!$J$13</f>
        <v>805847</v>
      </c>
      <c r="M90">
        <f>+'q10'!$K$10+'q10'!$K$11+'q10'!$K$12+'q10'!$K$13</f>
        <v>846902</v>
      </c>
      <c r="N90">
        <f>+'q10'!$L$10+'q10'!$L$11+'q10'!$L$12+'q10'!$L$13</f>
        <v>865555</v>
      </c>
      <c r="R90" s="384" t="s">
        <v>217</v>
      </c>
      <c r="Y90" s="384" t="s">
        <v>182</v>
      </c>
    </row>
    <row r="91" spans="1:49">
      <c r="B91" s="383" t="s">
        <v>231</v>
      </c>
      <c r="C91" s="383"/>
      <c r="D91">
        <f>+'q10'!$B$14+'q10'!$B$15+'q10'!$B$16</f>
        <v>455639</v>
      </c>
      <c r="E91">
        <f>+'q10'!$C$14+'q10'!$C$15+'q10'!$C$16</f>
        <v>478826</v>
      </c>
      <c r="F91">
        <f>+'q10'!$D$14+'q10'!$D$15+'q10'!$D$16</f>
        <v>514240</v>
      </c>
      <c r="G91">
        <f>+'q10'!$E$14+'q10'!$E$15+'q10'!$E$16</f>
        <v>561446</v>
      </c>
      <c r="H91">
        <f>+'q10'!$F$14+'q10'!$F$15+'q10'!$F$16</f>
        <v>590715</v>
      </c>
      <c r="I91">
        <f>+'q10'!$G$14+'q10'!$G$15+'q10'!$G$16</f>
        <v>621075</v>
      </c>
      <c r="J91">
        <f>+'q10'!$H$14+'q10'!$H$15+'q10'!$H$16</f>
        <v>612897</v>
      </c>
      <c r="K91">
        <f>+'q10'!$I$14+'q10'!$I$15+'q10'!$I$16</f>
        <v>619565</v>
      </c>
      <c r="L91">
        <f>+'q10'!$J$14+'q10'!$J$15+'q10'!$J$16</f>
        <v>675916</v>
      </c>
      <c r="M91">
        <f>+'q10'!$K$14+'q10'!$K$15+'q10'!$K$16</f>
        <v>716911</v>
      </c>
      <c r="N91">
        <f>+'q10'!$L$14+'q10'!$L$15+'q10'!$L$16</f>
        <v>747773</v>
      </c>
      <c r="R91" t="str">
        <f>+"Entre "&amp;$D$6&amp;" e "&amp;$N$6&amp;":"</f>
        <v>Entre 2014 e 2024:</v>
      </c>
      <c r="Y91" t="str">
        <f>+"Entre "&amp;$D$6&amp;" e "&amp;$N$6&amp;":"</f>
        <v>Entre 2014 e 2024:</v>
      </c>
    </row>
    <row r="92" spans="1:49">
      <c r="Q92" t="str">
        <f>+LEFT($B$88,FIND(" ",$B$88,1))</f>
        <v xml:space="preserve">Micro </v>
      </c>
      <c r="R92" t="str">
        <f>+Q92&amp;"e "&amp;Q93&amp;"estabelecimentos têm ao serviço mais de "</f>
        <v xml:space="preserve">Micro e Pequenos estabelecimentos têm ao serviço mais de </v>
      </c>
      <c r="X92" t="str">
        <f>+LEFT($B$101,FIND(" ",$B$101,1))</f>
        <v xml:space="preserve">Micro </v>
      </c>
      <c r="Y92" t="str">
        <f>+X92&amp;"e "&amp;X93&amp;"estabelecimentos têm ao serviço mais de "</f>
        <v xml:space="preserve">Micro e Pequenos estabelecimentos têm ao serviço mais de </v>
      </c>
    </row>
    <row r="93" spans="1:49">
      <c r="D93" s="397">
        <f>+D88/$AT$4</f>
        <v>0.30585225499368385</v>
      </c>
      <c r="E93" s="397">
        <f>+E88/$AU$4</f>
        <v>0.3006066617550518</v>
      </c>
      <c r="F93" s="397">
        <f>+F88/$AV$4</f>
        <v>0.293545197870338</v>
      </c>
      <c r="G93" s="397">
        <f>+G88/$AW$4</f>
        <v>0.28320816803267701</v>
      </c>
      <c r="H93" s="397">
        <f>+H88/$AX$4</f>
        <v>0.27651986332903011</v>
      </c>
      <c r="I93" s="397">
        <f>+I88/$AY$4</f>
        <v>0.26671218332412394</v>
      </c>
      <c r="J93" s="397">
        <f>+J88/$AZ$4</f>
        <v>0.27046058972648779</v>
      </c>
      <c r="K93" s="397">
        <f>+K88/$BA$4</f>
        <v>0.26365733018087928</v>
      </c>
      <c r="L93" s="397">
        <f>+L88/$BB$4</f>
        <v>0.25642102891088681</v>
      </c>
      <c r="M93" s="397">
        <f>+M88/$BC$4</f>
        <v>0.25072308066608534</v>
      </c>
      <c r="N93" s="397">
        <f>+N88/$BD$4</f>
        <v>0.24480508215195962</v>
      </c>
      <c r="Q93" t="str">
        <f>+LEFT($B$89,FIND(" ",$B$89,1))</f>
        <v xml:space="preserve">Pequenos </v>
      </c>
      <c r="R93" t="str">
        <f>+TEXT($O$98,"##.###%")</f>
        <v>54%</v>
      </c>
      <c r="S93" s="383" t="s">
        <v>448</v>
      </c>
      <c r="T93" t="str">
        <f>+TEXT(SMALL($D$98:$N$98,1),"##.###,0%")</f>
        <v>54,5%</v>
      </c>
      <c r="U93" s="383" t="s">
        <v>728</v>
      </c>
      <c r="V93" t="str">
        <f>+TEXT(LARGE($D$98:$N$98,1),"##.###,0%")</f>
        <v>60,2%</v>
      </c>
      <c r="X93" t="str">
        <f>+LEFT($B$102,FIND(" ",$B$102,1))</f>
        <v xml:space="preserve">Pequenos </v>
      </c>
      <c r="Y93" t="str">
        <f>+TEXT(O111,"##.###%")</f>
        <v>52%</v>
      </c>
      <c r="Z93" t="s">
        <v>449</v>
      </c>
      <c r="AB93" t="str">
        <f>+TEXT(SMALL($D$111:$N$111,1),"##.###,0%")</f>
        <v>52,1%</v>
      </c>
      <c r="AC93" s="383" t="s">
        <v>726</v>
      </c>
      <c r="AD93" t="str">
        <f>+TEXT(LARGE($D$111:$N$111,1),"##.###,0%")</f>
        <v>57,6%</v>
      </c>
    </row>
    <row r="94" spans="1:49">
      <c r="D94" s="397">
        <f>+D89/$AT$4</f>
        <v>0.29612902516268275</v>
      </c>
      <c r="E94" s="397">
        <f>+E89/$AU$4</f>
        <v>0.29691337774405185</v>
      </c>
      <c r="F94" s="397">
        <f>+F89/$AV$4</f>
        <v>0.2962852901689304</v>
      </c>
      <c r="G94" s="397">
        <f>+G89/$AW$4</f>
        <v>0.29739356877372619</v>
      </c>
      <c r="H94" s="397">
        <f>+H89/$AX$4</f>
        <v>0.29809746089595485</v>
      </c>
      <c r="I94" s="397">
        <f>+I89/$AY$4</f>
        <v>0.29955875200782783</v>
      </c>
      <c r="J94" s="397">
        <f>+J89/$AZ$4</f>
        <v>0.29837507932094143</v>
      </c>
      <c r="K94" s="397">
        <f>+K89/$BA$4</f>
        <v>0.29924943873102444</v>
      </c>
      <c r="L94" s="397">
        <f>+L89/$BB$4</f>
        <v>0.29954942671471663</v>
      </c>
      <c r="M94" s="397">
        <f>+M89/$BC$4</f>
        <v>0.30113941981033265</v>
      </c>
      <c r="N94" s="397">
        <f>+N89/$BD$4</f>
        <v>0.30008956390137531</v>
      </c>
      <c r="R94" t="str">
        <f>+$Q$92&amp;"estabelecimentos: entre "</f>
        <v xml:space="preserve">Micro estabelecimentos: entre </v>
      </c>
      <c r="Y94" t="str">
        <f>+$X$92&amp;"estabelecimentos: entre "</f>
        <v xml:space="preserve">Micro estabelecimentos: entre </v>
      </c>
    </row>
    <row r="95" spans="1:49">
      <c r="D95" s="397">
        <f>+D90/$AT$4</f>
        <v>0.22522404310243807</v>
      </c>
      <c r="E95" s="397">
        <f>+E90/$AU$4</f>
        <v>0.22618244182368924</v>
      </c>
      <c r="F95" s="397">
        <f>+F90/$AV$4</f>
        <v>0.22781347939593855</v>
      </c>
      <c r="G95" s="397">
        <f>+G90/$AW$4</f>
        <v>0.22887757079211635</v>
      </c>
      <c r="H95" s="397">
        <f>+H90/$AX$4</f>
        <v>0.23236940240595538</v>
      </c>
      <c r="I95" s="397">
        <f>+I90/$AY$4</f>
        <v>0.23408741191192783</v>
      </c>
      <c r="J95" s="397">
        <f>+J90/$AZ$4</f>
        <v>0.23253075772807971</v>
      </c>
      <c r="K95" s="397">
        <f>+K90/$BA$4</f>
        <v>0.2373846235670114</v>
      </c>
      <c r="L95" s="397">
        <f>+L90/$BB$4</f>
        <v>0.24148252874816981</v>
      </c>
      <c r="M95" s="397">
        <f>+M90/$BC$4</f>
        <v>0.24269432766035368</v>
      </c>
      <c r="N95" s="397">
        <f>+N90/$BD$4</f>
        <v>0.24416529970056036</v>
      </c>
      <c r="Q95" t="str">
        <f>+RIGHT($B$88,13)</f>
        <v>(1-9 pessoas)</v>
      </c>
      <c r="R95" t="str">
        <f>+TEXT(SMALL($D$93:$N$93,1),"##.###,0%")</f>
        <v>24,5%</v>
      </c>
      <c r="S95">
        <f>+SMALL($D$93:$N$93,1)</f>
        <v>0.24480508215195962</v>
      </c>
      <c r="T95">
        <f>+HLOOKUP(S95,$D$93:$N$100,8,0)</f>
        <v>2024</v>
      </c>
      <c r="U95" s="383" t="s">
        <v>726</v>
      </c>
      <c r="V95" t="str">
        <f>+RIGHT($B$105,13)</f>
        <v/>
      </c>
      <c r="X95">
        <f>+SMALL($D$106:$N$106,1)</f>
        <v>0.21530969525385971</v>
      </c>
      <c r="Y95" t="str">
        <f>+TEXT(SMALL($D$106:$N$106,1),"##.###,0%")</f>
        <v>21,5%</v>
      </c>
      <c r="Z95">
        <f>+HLOOKUP(X95,$D$106:$N$113,8,0)</f>
        <v>2024</v>
      </c>
      <c r="AA95" t="s">
        <v>443</v>
      </c>
    </row>
    <row r="96" spans="1:49">
      <c r="D96" s="397">
        <f>+D91/$AT$4</f>
        <v>0.17279467674119536</v>
      </c>
      <c r="E96" s="397">
        <f>+E91/$AU$4</f>
        <v>0.17629751867720714</v>
      </c>
      <c r="F96" s="397">
        <f>+F91/$AV$4</f>
        <v>0.18235603256479305</v>
      </c>
      <c r="G96" s="397">
        <f>+G91/$AW$4</f>
        <v>0.19052069240148048</v>
      </c>
      <c r="H96" s="397">
        <f>+H91/$AX$4</f>
        <v>0.19301327336905966</v>
      </c>
      <c r="I96" s="397">
        <f>+I91/$AY$4</f>
        <v>0.19964165275612039</v>
      </c>
      <c r="J96" s="397">
        <f>+J91/$AZ$4</f>
        <v>0.19863357322449107</v>
      </c>
      <c r="K96" s="397">
        <f>+K91/$BA$4</f>
        <v>0.19970860752108485</v>
      </c>
      <c r="L96" s="397">
        <f>+L91/$BB$4</f>
        <v>0.20254701562622673</v>
      </c>
      <c r="M96" s="397">
        <f>+M91/$BC$4</f>
        <v>0.20544317186322836</v>
      </c>
      <c r="N96" s="397">
        <f>+N91/$BD$4</f>
        <v>0.21094005424610468</v>
      </c>
      <c r="Q96" t="str">
        <f>+RIGHT($B$89,17)</f>
        <v>(10 - 49 pessoas)</v>
      </c>
      <c r="R96" t="str">
        <f>+TEXT(LARGE($D$93:$N$93,1),"##.###,0%")</f>
        <v>30,6%</v>
      </c>
      <c r="S96">
        <f>+LARGE($D$93:$N$93,1)</f>
        <v>0.30585225499368385</v>
      </c>
      <c r="T96">
        <f>+HLOOKUP(S96,$D$93:$N$100,8,0)</f>
        <v>2014</v>
      </c>
      <c r="U96" t="s">
        <v>441</v>
      </c>
      <c r="V96" t="str">
        <f>+RIGHT($B$106,17)</f>
        <v/>
      </c>
      <c r="X96">
        <f>+LARGE($D$106:$N$106,1)</f>
        <v>0.27019241604401334</v>
      </c>
      <c r="Y96" t="str">
        <f>+TEXT(LARGE($D$106:$N$106,1),"##.###,0%")</f>
        <v>27,0%</v>
      </c>
      <c r="Z96">
        <f>+HLOOKUP(X96,$D$106:$N$113,8,0)</f>
        <v>2014</v>
      </c>
      <c r="AA96" t="s">
        <v>441</v>
      </c>
    </row>
    <row r="97" spans="1:27">
      <c r="P97" s="416">
        <f>+AVERAGE(D98:N98)</f>
        <v>0.57229925856116071</v>
      </c>
      <c r="R97" t="str">
        <f>+$Q$93&amp;"estabelecimentos: entre "</f>
        <v xml:space="preserve">Pequenos estabelecimentos: entre </v>
      </c>
      <c r="Y97" t="str">
        <f>+$X$93&amp;"estabelecimentos: entre "</f>
        <v xml:space="preserve">Pequenos estabelecimentos: entre </v>
      </c>
    </row>
    <row r="98" spans="1:27">
      <c r="D98" s="397">
        <f>+D93+D94</f>
        <v>0.60198128015636665</v>
      </c>
      <c r="E98" s="397">
        <f t="shared" ref="E98:M98" si="14">+E93+E94</f>
        <v>0.59752003949910359</v>
      </c>
      <c r="F98" s="397">
        <f t="shared" si="14"/>
        <v>0.58983048803926841</v>
      </c>
      <c r="G98" s="397">
        <f t="shared" si="14"/>
        <v>0.58060173680640315</v>
      </c>
      <c r="H98" s="397">
        <f t="shared" si="14"/>
        <v>0.57461732422498502</v>
      </c>
      <c r="I98" s="397">
        <f t="shared" si="14"/>
        <v>0.56627093533195172</v>
      </c>
      <c r="J98" s="397">
        <f t="shared" si="14"/>
        <v>0.56883566904742922</v>
      </c>
      <c r="K98" s="397">
        <f t="shared" si="14"/>
        <v>0.56290676891190372</v>
      </c>
      <c r="L98" s="397">
        <f t="shared" si="14"/>
        <v>0.55597045562560343</v>
      </c>
      <c r="M98" s="397">
        <f t="shared" si="14"/>
        <v>0.55186250047641794</v>
      </c>
      <c r="N98" s="397">
        <f>+N93+N94</f>
        <v>0.54489464605333493</v>
      </c>
      <c r="O98" s="413">
        <f>+TRUNC(P98,2)</f>
        <v>0.54</v>
      </c>
      <c r="P98" s="558">
        <f>+SMALL($D$98:$N$98,1)</f>
        <v>0.54489464605333493</v>
      </c>
      <c r="Q98">
        <f>+HLOOKUP(P98,$D$98:$N$100,3,0)</f>
        <v>2024</v>
      </c>
      <c r="R98" t="str">
        <f>+TEXT(SMALL($D$94:$N$94,1),"##.###,0%")</f>
        <v>29,6%</v>
      </c>
      <c r="S98">
        <f>+SMALL($D$94:$N$94,1)</f>
        <v>0.29612902516268275</v>
      </c>
      <c r="T98">
        <f>+HLOOKUP(S98,$D$94:$N$100,7,0)</f>
        <v>2014</v>
      </c>
      <c r="U98" s="383" t="s">
        <v>726</v>
      </c>
      <c r="X98">
        <f>+SMALL($D$107:$N$107,1)</f>
        <v>0.30482539396552277</v>
      </c>
      <c r="Y98" t="str">
        <f>+TEXT(SMALL($D$107:$N$107,1),"##.###,0%")</f>
        <v>30,5%</v>
      </c>
      <c r="Z98">
        <f>+HLOOKUP(X98,$D$107:$N$113,7,0)</f>
        <v>2016</v>
      </c>
      <c r="AA98" t="s">
        <v>443</v>
      </c>
    </row>
    <row r="99" spans="1:27">
      <c r="P99" s="558">
        <f>+LARGE($D$98:$N$98,1)</f>
        <v>0.60198128015636665</v>
      </c>
      <c r="Q99">
        <f>+HLOOKUP(P99,$D$98:$N$100,3,0)</f>
        <v>2014</v>
      </c>
      <c r="R99" t="str">
        <f>+TEXT(LARGE($D$94:$N$94,1),"##.###,0%")</f>
        <v>30,1%</v>
      </c>
      <c r="S99">
        <f>+LARGE($D$94:$N$94,1)</f>
        <v>0.30113941981033265</v>
      </c>
      <c r="T99">
        <f>+HLOOKUP(S99,$D$94:$N$100,7,0)</f>
        <v>2023</v>
      </c>
      <c r="X99">
        <f>+LARGE($D$107:$N$107,1)</f>
        <v>0.30750812922047466</v>
      </c>
      <c r="Y99" t="str">
        <f>+TEXT(LARGE($D$107:$N$107,1),"##.###,0%")</f>
        <v>30,8%</v>
      </c>
      <c r="Z99">
        <f>+HLOOKUP(X99,$D$107:$N$113,7,0)</f>
        <v>2023</v>
      </c>
    </row>
    <row r="100" spans="1:27">
      <c r="A100" s="383" t="s">
        <v>182</v>
      </c>
      <c r="D100" s="384">
        <f>+D6</f>
        <v>2014</v>
      </c>
      <c r="E100" s="384">
        <f t="shared" ref="E100:N100" si="15">+E6</f>
        <v>2015</v>
      </c>
      <c r="F100" s="384">
        <f t="shared" si="15"/>
        <v>2016</v>
      </c>
      <c r="G100" s="384">
        <f t="shared" si="15"/>
        <v>2017</v>
      </c>
      <c r="H100" s="384">
        <f t="shared" si="15"/>
        <v>2018</v>
      </c>
      <c r="I100" s="384">
        <f t="shared" si="15"/>
        <v>2019</v>
      </c>
      <c r="J100" s="384">
        <f t="shared" si="15"/>
        <v>2020</v>
      </c>
      <c r="K100" s="384">
        <f t="shared" si="15"/>
        <v>2021</v>
      </c>
      <c r="L100" s="384">
        <f t="shared" si="15"/>
        <v>2022</v>
      </c>
      <c r="M100" s="384">
        <f t="shared" si="15"/>
        <v>2023</v>
      </c>
      <c r="N100" s="384">
        <f t="shared" si="15"/>
        <v>2024</v>
      </c>
    </row>
    <row r="101" spans="1:27">
      <c r="B101" s="383" t="s">
        <v>222</v>
      </c>
      <c r="C101" s="383"/>
      <c r="D101">
        <f>+'q14'!$C$8+'q14'!$C$11</f>
        <v>664177</v>
      </c>
      <c r="E101">
        <f>+'q14'!$D$8+'q14'!$D$11</f>
        <v>675159</v>
      </c>
      <c r="F101">
        <f>+'q14'!$E$8+'q14'!$E$11</f>
        <v>686327</v>
      </c>
      <c r="G101">
        <f>+'q14'!$F$8+'q14'!$F$11</f>
        <v>693453</v>
      </c>
      <c r="H101">
        <f>+'q14'!$G$8+'q14'!$G$11</f>
        <v>703921</v>
      </c>
      <c r="I101">
        <f>+'q14'!$H$8+'q14'!$H$11</f>
        <v>690476</v>
      </c>
      <c r="J101">
        <f>+'q14'!$I$8+'q14'!$I$11</f>
        <v>691923</v>
      </c>
      <c r="K101">
        <f>+'q14'!$J$8+'q14'!$J$11</f>
        <v>678736</v>
      </c>
      <c r="L101">
        <f>+'q14'!$K$8+'q14'!$K$11</f>
        <v>710989</v>
      </c>
      <c r="M101">
        <f>+'q14'!$L$8+'q14'!$L$11</f>
        <v>727162</v>
      </c>
      <c r="N101">
        <f>+'q14'!$M$8+'q14'!$M$11</f>
        <v>722178</v>
      </c>
    </row>
    <row r="102" spans="1:27">
      <c r="B102" s="383" t="s">
        <v>432</v>
      </c>
      <c r="C102" s="383"/>
      <c r="D102">
        <f>+'q14'!$C$14+'q14'!$C$17</f>
        <v>751440</v>
      </c>
      <c r="E102">
        <f>+'q14'!$D$14+'q14'!$D$17</f>
        <v>776454</v>
      </c>
      <c r="F102">
        <f>+'q14'!$E$14+'q14'!$E$17</f>
        <v>805324</v>
      </c>
      <c r="G102">
        <f>+'q14'!$F$14+'q14'!$F$17</f>
        <v>844629</v>
      </c>
      <c r="H102">
        <f>+'q14'!$G$14+'q14'!$G$17</f>
        <v>879333</v>
      </c>
      <c r="I102">
        <f>+'q14'!$H$14+'q14'!$H$17</f>
        <v>898123</v>
      </c>
      <c r="J102">
        <f>+'q14'!$I$14+'q14'!$I$17</f>
        <v>887304</v>
      </c>
      <c r="K102">
        <f>+'q14'!$J$14+'q14'!$J$17</f>
        <v>894687</v>
      </c>
      <c r="L102">
        <f>+'q14'!$K$14+'q14'!$K$17</f>
        <v>963576</v>
      </c>
      <c r="M102">
        <f>+'q14'!$L$14+'q14'!$L$17</f>
        <v>1013588</v>
      </c>
      <c r="N102">
        <f>+'q14'!$M$14+'q14'!$M$17</f>
        <v>1027002</v>
      </c>
    </row>
    <row r="103" spans="1:27">
      <c r="B103" s="383" t="s">
        <v>433</v>
      </c>
      <c r="C103" s="383"/>
      <c r="D103">
        <f>+'q14'!$C$20+'q14'!$C$23+'q14'!$C$26+'q14'!$C$29</f>
        <v>588868</v>
      </c>
      <c r="E103">
        <f>+'q14'!$D$20+'q14'!$D$23+'q14'!$D$26+'q14'!$D$29</f>
        <v>609333</v>
      </c>
      <c r="F103">
        <f>+'q14'!$E$20+'q14'!$E$23+'q14'!$E$26+'q14'!$E$29</f>
        <v>637668</v>
      </c>
      <c r="G103">
        <f>+'q14'!$F$20+'q14'!$F$23+'q14'!$F$26+'q14'!$F$29</f>
        <v>669638</v>
      </c>
      <c r="H103">
        <f>+'q14'!$G$20+'q14'!$G$23+'q14'!$G$26+'q14'!$G$29</f>
        <v>705658</v>
      </c>
      <c r="I103">
        <f>+'q14'!$H$20+'q14'!$H$23+'q14'!$H$26+'q14'!$H$29</f>
        <v>722607</v>
      </c>
      <c r="J103">
        <f>+'q14'!$I$20+'q14'!$I$23+'q14'!$I$26+'q14'!$I$29</f>
        <v>712172</v>
      </c>
      <c r="K103">
        <f>+'q14'!$J$20+'q14'!$J$23+'q14'!$J$26+'q14'!$J$29</f>
        <v>730932</v>
      </c>
      <c r="L103">
        <f>+'q14'!$K$20+'q14'!$K$23+'q14'!$K$26+'q14'!$K$29</f>
        <v>799590</v>
      </c>
      <c r="M103">
        <f>+'q14'!$L$20+'q14'!$L$23+'q14'!$L$26+'q14'!$L$29</f>
        <v>840662</v>
      </c>
      <c r="N103">
        <f>+'q14'!$M$20+'q14'!$M$23+'q14'!$M$26+'q14'!$M$29</f>
        <v>859516</v>
      </c>
      <c r="R103" s="383" t="s">
        <v>205</v>
      </c>
    </row>
    <row r="104" spans="1:27">
      <c r="B104" s="383" t="s">
        <v>231</v>
      </c>
      <c r="C104" s="383"/>
      <c r="D104">
        <f>+'q14'!$C$32+'q14'!$C$35+'q14'!$C$38</f>
        <v>453678</v>
      </c>
      <c r="E104">
        <f>+'q14'!$D$32+'q14'!$D$35+'q14'!$D$38</f>
        <v>476707</v>
      </c>
      <c r="F104">
        <f>+'q14'!$E$32+'q14'!$E$35+'q14'!$E$38</f>
        <v>512600</v>
      </c>
      <c r="G104">
        <f>+'q14'!$F$32+'q14'!$F$35+'q14'!$F$38</f>
        <v>559801</v>
      </c>
      <c r="H104">
        <f>+'q14'!$G$32+'q14'!$G$35+'q14'!$G$38</f>
        <v>589006</v>
      </c>
      <c r="I104">
        <f>+'q14'!$H$32+'q14'!$H$35+'q14'!$H$38</f>
        <v>619276</v>
      </c>
      <c r="J104">
        <f>+'q14'!$I$32+'q14'!$I$35+'q14'!$I$38</f>
        <v>611426</v>
      </c>
      <c r="K104">
        <f>+'q14'!$J$32+'q14'!$J$35+'q14'!$J$38</f>
        <v>617988</v>
      </c>
      <c r="L104">
        <f>+'q14'!$K$32+'q14'!$K$35+'q14'!$K$38</f>
        <v>673992</v>
      </c>
      <c r="M104">
        <f>+'q14'!$L$32+'q14'!$L$35+'q14'!$L$38</f>
        <v>714722</v>
      </c>
      <c r="N104">
        <f>+'q14'!$M$32+'q14'!$M$35+'q14'!$M$38</f>
        <v>745440</v>
      </c>
      <c r="R104" t="str">
        <f>+R91&amp;CHAR(10)&amp;R92&amp;R93&amp;S93&amp;T93&amp;" em "&amp;Q98&amp;U93&amp;V93&amp;" em "&amp;Q99&amp;")"&amp;CHAR(10)&amp;R94&amp;R95&amp;" ("&amp;T95&amp;") "&amp;U95&amp;R96&amp;" ("&amp;T96&amp;")."&amp;CHAR(10)&amp;R97&amp;R98&amp;" ("&amp;T98&amp;") "&amp;U98&amp;R99&amp;" ("&amp;T99&amp;")."</f>
        <v>Entre 2014 e 2024:
Micro e Pequenos estabelecimentos têm ao serviço mais de 54% das pessoas (entre 54,5% em 2024, e 60,2% em 2014)
Micro estabelecimentos: entre 24,5% (2024) e 30,6% (2014).
Pequenos estabelecimentos: entre 29,6% (2014) e 30,1% (2023).</v>
      </c>
    </row>
    <row r="106" spans="1:27">
      <c r="D106" s="397">
        <f>+D101/$AT$5</f>
        <v>0.27019241604401334</v>
      </c>
      <c r="E106" s="397">
        <f>+E101/$AU$5</f>
        <v>0.26605647028967316</v>
      </c>
      <c r="F106" s="397">
        <f>+F101/$AV$5</f>
        <v>0.25978351342338657</v>
      </c>
      <c r="G106" s="397">
        <f>+G101/$AW$5</f>
        <v>0.25056828837071154</v>
      </c>
      <c r="H106" s="397">
        <f>+H101/$AX$5</f>
        <v>0.2445938348486649</v>
      </c>
      <c r="I106" s="397">
        <f>+I101/$AY$5</f>
        <v>0.23561857742173473</v>
      </c>
      <c r="J106" s="397">
        <f>+J101/$AZ$5</f>
        <v>0.23836194052345561</v>
      </c>
      <c r="K106" s="397">
        <f>+K101/$BA$5</f>
        <v>0.23225747285654011</v>
      </c>
      <c r="L106" s="397">
        <f>+L101/$BB$5</f>
        <v>0.22584364707238894</v>
      </c>
      <c r="M106" s="397">
        <f>+M101/$BC$5</f>
        <v>0.22061056983726995</v>
      </c>
      <c r="N106" s="397">
        <f>+N101/$BD$5</f>
        <v>0.21530969525385971</v>
      </c>
      <c r="R106" s="383" t="s">
        <v>182</v>
      </c>
    </row>
    <row r="107" spans="1:27">
      <c r="D107" s="397">
        <f>+D102/$AT$5</f>
        <v>0.30569168928179297</v>
      </c>
      <c r="E107" s="397">
        <f>+E102/$AU$5</f>
        <v>0.30597327530596186</v>
      </c>
      <c r="F107" s="397">
        <f>+F102/$AV$5</f>
        <v>0.30482539396552277</v>
      </c>
      <c r="G107" s="397">
        <f>+G102/$AW$5</f>
        <v>0.30519334812635568</v>
      </c>
      <c r="H107" s="397">
        <f>+H102/$AX$5</f>
        <v>0.30554484179187869</v>
      </c>
      <c r="I107" s="397">
        <f>+I102/$AY$5</f>
        <v>0.30647620425581867</v>
      </c>
      <c r="J107" s="397">
        <f>+J102/$AZ$5</f>
        <v>0.30566913265525825</v>
      </c>
      <c r="K107" s="397">
        <f>+K102/$BA$5</f>
        <v>0.3061540004031012</v>
      </c>
      <c r="L107" s="397">
        <f>+L102/$BB$5</f>
        <v>0.30607719398109429</v>
      </c>
      <c r="M107" s="397">
        <f>+M102/$BC$5</f>
        <v>0.30750812922047466</v>
      </c>
      <c r="N107" s="397">
        <f>+N102/$BD$5</f>
        <v>0.30618973112598891</v>
      </c>
      <c r="R107" t="str">
        <f>+$Y$91&amp;CHAR(10)&amp;$Y$92&amp;$Y$93&amp;$Z$93&amp;$AA$93&amp;$AB$93&amp;" em "&amp;Q111&amp;", "&amp;$AC$93&amp;$AD$93&amp;" em "&amp;Q112&amp;");"&amp;CHAR(10)&amp;$Y$94&amp;Y95&amp;" ("&amp;Z95&amp;") "&amp;$AA$95&amp;$Y$96&amp;" ("&amp;Z96&amp;")"&amp;$AA$96&amp;CHAR(10)&amp;$Y$97&amp;$Y$98&amp;" ("&amp;Z98&amp;") "&amp;$AA$98&amp;$Y$99&amp;" ("&amp;Z99&amp;")."</f>
        <v>Entre 2014 e 2024:
Micro e Pequenos estabelecimentos têm ao serviço mais de 52% dos TCO (entre 52,1% em 2024, e 57,6% em 2014);
Micro estabelecimentos: entre 21,5% (2024)  e 27,0% (2014);
Pequenos estabelecimentos: entre 30,5% (2016)  e 30,8% (2023).</v>
      </c>
    </row>
    <row r="108" spans="1:27">
      <c r="D108" s="397">
        <f>+D103/$AT$5</f>
        <v>0.23955612382091832</v>
      </c>
      <c r="E108" s="397">
        <f>+E103/$AU$5</f>
        <v>0.24011675355141149</v>
      </c>
      <c r="F108" s="397">
        <f>+F103/$AV$5</f>
        <v>0.2413654619994027</v>
      </c>
      <c r="G108" s="397">
        <f>+G103/$AW$5</f>
        <v>0.24196311428169831</v>
      </c>
      <c r="H108" s="397">
        <f>+H103/$AX$5</f>
        <v>0.24519739617320577</v>
      </c>
      <c r="I108" s="397">
        <f>+I103/$AY$5</f>
        <v>0.24658298532459849</v>
      </c>
      <c r="J108" s="397">
        <f>+J103/$AZ$5</f>
        <v>0.24533755910190935</v>
      </c>
      <c r="K108" s="397">
        <f>+K103/$BA$5</f>
        <v>0.2501184836961301</v>
      </c>
      <c r="L108" s="397">
        <f>+L103/$BB$5</f>
        <v>0.25398750439544276</v>
      </c>
      <c r="M108" s="397">
        <f>+M103/$BC$5</f>
        <v>0.2550448495115793</v>
      </c>
      <c r="N108" s="397">
        <f>+N103/$BD$5</f>
        <v>0.2562555602992842</v>
      </c>
    </row>
    <row r="109" spans="1:27">
      <c r="D109" s="397">
        <f>+D104/$AT$5</f>
        <v>0.18455977085327541</v>
      </c>
      <c r="E109" s="397">
        <f>+E104/$AU$5</f>
        <v>0.18785350085295349</v>
      </c>
      <c r="F109" s="397">
        <f>+F104/$AV$5</f>
        <v>0.19402563061168795</v>
      </c>
      <c r="G109" s="397">
        <f>+G104/$AW$5</f>
        <v>0.20227524922123447</v>
      </c>
      <c r="H109" s="397">
        <f>+H104/$AX$5</f>
        <v>0.20466392718625062</v>
      </c>
      <c r="I109" s="397">
        <f>+I104/$AY$5</f>
        <v>0.21132223299784814</v>
      </c>
      <c r="J109" s="397">
        <f>+J104/$AZ$5</f>
        <v>0.21063136771937682</v>
      </c>
      <c r="K109" s="397">
        <f>+K104/$BA$5</f>
        <v>0.21147004304422856</v>
      </c>
      <c r="L109" s="397">
        <f>+L104/$BB$5</f>
        <v>0.21409165455107401</v>
      </c>
      <c r="M109" s="397">
        <f>+M104/$BC$5</f>
        <v>0.21683645143067606</v>
      </c>
      <c r="N109" s="397">
        <f>+N104/$BD$5</f>
        <v>0.22224501332086713</v>
      </c>
    </row>
    <row r="110" spans="1:27">
      <c r="P110" s="416">
        <f>+AVERAGE(D111:N111)</f>
        <v>0.54768176055044959</v>
      </c>
      <c r="R110" t="str">
        <f>+IF($Q$3=1,$R$104,$R$107)</f>
        <v>Entre 2014 e 2024:
Micro e Pequenos estabelecimentos têm ao serviço mais de 52% dos TCO (entre 52,1% em 2024, e 57,6% em 2014);
Micro estabelecimentos: entre 21,5% (2024)  e 27,0% (2014);
Pequenos estabelecimentos: entre 30,5% (2016)  e 30,8% (2023).</v>
      </c>
    </row>
    <row r="111" spans="1:27">
      <c r="D111" s="397">
        <f>+D106+D107</f>
        <v>0.57588410532580636</v>
      </c>
      <c r="E111" s="397">
        <f t="shared" ref="E111:N111" si="16">+E106+E107</f>
        <v>0.57202974559563502</v>
      </c>
      <c r="F111" s="397">
        <f t="shared" si="16"/>
        <v>0.56460890738890934</v>
      </c>
      <c r="G111" s="397">
        <f t="shared" si="16"/>
        <v>0.55576163649706722</v>
      </c>
      <c r="H111" s="397">
        <f t="shared" si="16"/>
        <v>0.55013867664054361</v>
      </c>
      <c r="I111" s="397">
        <f t="shared" si="16"/>
        <v>0.54209478167755343</v>
      </c>
      <c r="J111" s="397">
        <f t="shared" si="16"/>
        <v>0.54403107317871391</v>
      </c>
      <c r="K111" s="397">
        <f t="shared" si="16"/>
        <v>0.53841147325964134</v>
      </c>
      <c r="L111" s="397">
        <f t="shared" si="16"/>
        <v>0.53192084105348325</v>
      </c>
      <c r="M111" s="397">
        <f t="shared" si="16"/>
        <v>0.52811869905774467</v>
      </c>
      <c r="N111" s="397">
        <f t="shared" si="16"/>
        <v>0.52149942637984859</v>
      </c>
      <c r="O111" s="413">
        <f>+TRUNC(P111,2)</f>
        <v>0.52</v>
      </c>
      <c r="P111" s="558">
        <f>+SMALL($D$111:$N$111,1)</f>
        <v>0.52149942637984859</v>
      </c>
      <c r="Q111">
        <f>+HLOOKUP(P111,$D$111:$N$113,3,0)</f>
        <v>2024</v>
      </c>
    </row>
    <row r="112" spans="1:27">
      <c r="P112" s="558">
        <f>+LARGE($D$111:$N$111,1)</f>
        <v>0.57588410532580636</v>
      </c>
      <c r="Q112">
        <f>+HLOOKUP(P112,$D$111:$N$113,3,0)</f>
        <v>2014</v>
      </c>
    </row>
    <row r="113" spans="2:24">
      <c r="D113" s="384">
        <f>+D100</f>
        <v>2014</v>
      </c>
      <c r="E113" s="384">
        <f t="shared" ref="E113:N113" si="17">+E100</f>
        <v>2015</v>
      </c>
      <c r="F113" s="384">
        <f t="shared" si="17"/>
        <v>2016</v>
      </c>
      <c r="G113" s="384">
        <f t="shared" si="17"/>
        <v>2017</v>
      </c>
      <c r="H113" s="384">
        <f t="shared" si="17"/>
        <v>2018</v>
      </c>
      <c r="I113" s="384">
        <f t="shared" si="17"/>
        <v>2019</v>
      </c>
      <c r="J113" s="384">
        <f t="shared" si="17"/>
        <v>2020</v>
      </c>
      <c r="K113" s="384">
        <f t="shared" si="17"/>
        <v>2021</v>
      </c>
      <c r="L113" s="384">
        <f t="shared" si="17"/>
        <v>2022</v>
      </c>
      <c r="M113" s="384">
        <f t="shared" si="17"/>
        <v>2023</v>
      </c>
      <c r="N113" s="384">
        <f t="shared" si="17"/>
        <v>2024</v>
      </c>
      <c r="X113" s="522" t="s">
        <v>437</v>
      </c>
    </row>
    <row r="114" spans="2:24">
      <c r="X114" s="522" t="s">
        <v>444</v>
      </c>
    </row>
    <row r="115" spans="2:24">
      <c r="B115" s="418"/>
      <c r="D115" s="524"/>
      <c r="E115" s="524"/>
      <c r="F115" s="524"/>
      <c r="G115" s="524"/>
      <c r="H115" s="524"/>
      <c r="I115" s="524"/>
      <c r="J115" s="524"/>
      <c r="K115" s="524"/>
    </row>
    <row r="116" spans="2:24">
      <c r="D116" s="524"/>
      <c r="E116" s="524"/>
      <c r="F116" s="524"/>
      <c r="G116" s="524"/>
      <c r="H116" s="524"/>
      <c r="I116" s="524"/>
      <c r="J116" s="524"/>
      <c r="K116" s="524"/>
    </row>
    <row r="117" spans="2:24">
      <c r="D117" s="524"/>
      <c r="E117" s="524"/>
      <c r="F117" s="524"/>
      <c r="G117" s="524"/>
      <c r="H117" s="524"/>
      <c r="I117" s="524"/>
      <c r="J117" s="524"/>
      <c r="K117" s="524"/>
    </row>
    <row r="118" spans="2:24">
      <c r="D118" s="524"/>
      <c r="E118" s="524"/>
      <c r="F118" s="524"/>
      <c r="G118" s="524"/>
      <c r="H118" s="524"/>
      <c r="I118" s="524"/>
      <c r="J118" s="524"/>
      <c r="K118" s="524"/>
    </row>
  </sheetData>
  <mergeCells count="7">
    <mergeCell ref="BW4:BX4"/>
    <mergeCell ref="Q39:Q40"/>
    <mergeCell ref="Y69:Z69"/>
    <mergeCell ref="Y78:Z78"/>
    <mergeCell ref="BQ4:BR4"/>
    <mergeCell ref="BS4:BT4"/>
    <mergeCell ref="BU4:BV4"/>
  </mergeCells>
  <conditionalFormatting sqref="BC3 BC5">
    <cfRule type="cellIs" dxfId="2782" priority="56" operator="equal">
      <formula>0</formula>
    </cfRule>
  </conditionalFormatting>
  <conditionalFormatting sqref="BD3:BE3 BD5:BE5">
    <cfRule type="cellIs" dxfId="2781" priority="55" operator="equal">
      <formula>0</formula>
    </cfRule>
  </conditionalFormatting>
  <conditionalFormatting sqref="AT3:BE3">
    <cfRule type="cellIs" dxfId="2780" priority="54" operator="equal">
      <formula>0</formula>
    </cfRule>
  </conditionalFormatting>
  <conditionalFormatting sqref="AT4:BE4">
    <cfRule type="cellIs" dxfId="2779" priority="53" operator="equal">
      <formula>0</formula>
    </cfRule>
  </conditionalFormatting>
  <conditionalFormatting sqref="B69:B74">
    <cfRule type="cellIs" dxfId="2778" priority="52" operator="equal">
      <formula>0</formula>
    </cfRule>
  </conditionalFormatting>
  <conditionalFormatting sqref="D70:D74">
    <cfRule type="cellIs" dxfId="2777" priority="41" operator="equal">
      <formula>0</formula>
    </cfRule>
  </conditionalFormatting>
  <conditionalFormatting sqref="F70:F74">
    <cfRule type="cellIs" dxfId="2776" priority="40" operator="equal">
      <formula>0</formula>
    </cfRule>
  </conditionalFormatting>
  <conditionalFormatting sqref="H70:H74">
    <cfRule type="cellIs" dxfId="2775" priority="39" operator="equal">
      <formula>0</formula>
    </cfRule>
  </conditionalFormatting>
  <conditionalFormatting sqref="J70:J74">
    <cfRule type="cellIs" dxfId="2774" priority="38" operator="equal">
      <formula>0</formula>
    </cfRule>
  </conditionalFormatting>
  <conditionalFormatting sqref="L70:L74">
    <cfRule type="cellIs" dxfId="2773" priority="37" operator="equal">
      <formula>0</formula>
    </cfRule>
  </conditionalFormatting>
  <conditionalFormatting sqref="N70:N74">
    <cfRule type="cellIs" dxfId="2772" priority="36" operator="equal">
      <formula>0</formula>
    </cfRule>
  </conditionalFormatting>
  <conditionalFormatting sqref="P70:P74">
    <cfRule type="cellIs" dxfId="2771" priority="35" operator="equal">
      <formula>0</formula>
    </cfRule>
  </conditionalFormatting>
  <conditionalFormatting sqref="R70:R74">
    <cfRule type="cellIs" dxfId="2770" priority="34" operator="equal">
      <formula>0</formula>
    </cfRule>
  </conditionalFormatting>
  <conditionalFormatting sqref="T70:T74">
    <cfRule type="cellIs" dxfId="2769" priority="33" operator="equal">
      <formula>0</formula>
    </cfRule>
  </conditionalFormatting>
  <conditionalFormatting sqref="V70:V74">
    <cfRule type="cellIs" dxfId="2768" priority="32" operator="equal">
      <formula>0</formula>
    </cfRule>
  </conditionalFormatting>
  <conditionalFormatting sqref="B78:B83">
    <cfRule type="cellIs" dxfId="2767" priority="31" operator="equal">
      <formula>0</formula>
    </cfRule>
  </conditionalFormatting>
  <conditionalFormatting sqref="D78">
    <cfRule type="cellIs" dxfId="2766" priority="30" operator="equal">
      <formula>0</formula>
    </cfRule>
  </conditionalFormatting>
  <conditionalFormatting sqref="F78">
    <cfRule type="cellIs" dxfId="2765" priority="29" operator="equal">
      <formula>0</formula>
    </cfRule>
  </conditionalFormatting>
  <conditionalFormatting sqref="H78">
    <cfRule type="cellIs" dxfId="2764" priority="28" operator="equal">
      <formula>0</formula>
    </cfRule>
  </conditionalFormatting>
  <conditionalFormatting sqref="J78">
    <cfRule type="cellIs" dxfId="2763" priority="27" operator="equal">
      <formula>0</formula>
    </cfRule>
  </conditionalFormatting>
  <conditionalFormatting sqref="L78">
    <cfRule type="cellIs" dxfId="2762" priority="26" operator="equal">
      <formula>0</formula>
    </cfRule>
  </conditionalFormatting>
  <conditionalFormatting sqref="N78">
    <cfRule type="cellIs" dxfId="2761" priority="25" operator="equal">
      <formula>0</formula>
    </cfRule>
  </conditionalFormatting>
  <conditionalFormatting sqref="P78">
    <cfRule type="cellIs" dxfId="2760" priority="24" operator="equal">
      <formula>0</formula>
    </cfRule>
  </conditionalFormatting>
  <conditionalFormatting sqref="R78">
    <cfRule type="cellIs" dxfId="2759" priority="23" operator="equal">
      <formula>0</formula>
    </cfRule>
  </conditionalFormatting>
  <conditionalFormatting sqref="T78">
    <cfRule type="cellIs" dxfId="2758" priority="22" operator="equal">
      <formula>0</formula>
    </cfRule>
  </conditionalFormatting>
  <conditionalFormatting sqref="V78">
    <cfRule type="cellIs" dxfId="2757" priority="21" operator="equal">
      <formula>0</formula>
    </cfRule>
  </conditionalFormatting>
  <conditionalFormatting sqref="D79:D83">
    <cfRule type="cellIs" dxfId="2756" priority="20" operator="equal">
      <formula>0</formula>
    </cfRule>
  </conditionalFormatting>
  <conditionalFormatting sqref="F79:F83">
    <cfRule type="cellIs" dxfId="2755" priority="19" operator="equal">
      <formula>0</formula>
    </cfRule>
  </conditionalFormatting>
  <conditionalFormatting sqref="H79:H83">
    <cfRule type="cellIs" dxfId="2754" priority="18" operator="equal">
      <formula>0</formula>
    </cfRule>
  </conditionalFormatting>
  <conditionalFormatting sqref="J79:J83">
    <cfRule type="cellIs" dxfId="2753" priority="17" operator="equal">
      <formula>0</formula>
    </cfRule>
  </conditionalFormatting>
  <conditionalFormatting sqref="L79:L83">
    <cfRule type="cellIs" dxfId="2752" priority="16" operator="equal">
      <formula>0</formula>
    </cfRule>
  </conditionalFormatting>
  <conditionalFormatting sqref="N79:N83">
    <cfRule type="cellIs" dxfId="2751" priority="15" operator="equal">
      <formula>0</formula>
    </cfRule>
  </conditionalFormatting>
  <conditionalFormatting sqref="P79:P83">
    <cfRule type="cellIs" dxfId="2750" priority="14" operator="equal">
      <formula>0</formula>
    </cfRule>
  </conditionalFormatting>
  <conditionalFormatting sqref="R79:R83">
    <cfRule type="cellIs" dxfId="2749" priority="13" operator="equal">
      <formula>0</formula>
    </cfRule>
  </conditionalFormatting>
  <conditionalFormatting sqref="T79:T83">
    <cfRule type="cellIs" dxfId="2748" priority="12" operator="equal">
      <formula>0</formula>
    </cfRule>
  </conditionalFormatting>
  <conditionalFormatting sqref="V79:V83">
    <cfRule type="cellIs" dxfId="2747" priority="11" operator="equal">
      <formula>0</formula>
    </cfRule>
  </conditionalFormatting>
  <conditionalFormatting sqref="D69">
    <cfRule type="cellIs" dxfId="2746" priority="10" operator="equal">
      <formula>0</formula>
    </cfRule>
  </conditionalFormatting>
  <conditionalFormatting sqref="F69">
    <cfRule type="cellIs" dxfId="2745" priority="9" operator="equal">
      <formula>0</formula>
    </cfRule>
  </conditionalFormatting>
  <conditionalFormatting sqref="H69">
    <cfRule type="cellIs" dxfId="2744" priority="8" operator="equal">
      <formula>0</formula>
    </cfRule>
  </conditionalFormatting>
  <conditionalFormatting sqref="J69">
    <cfRule type="cellIs" dxfId="2743" priority="7" operator="equal">
      <formula>0</formula>
    </cfRule>
  </conditionalFormatting>
  <conditionalFormatting sqref="L69">
    <cfRule type="cellIs" dxfId="2742" priority="6" operator="equal">
      <formula>0</formula>
    </cfRule>
  </conditionalFormatting>
  <conditionalFormatting sqref="N69">
    <cfRule type="cellIs" dxfId="2741" priority="5" operator="equal">
      <formula>0</formula>
    </cfRule>
  </conditionalFormatting>
  <conditionalFormatting sqref="P69">
    <cfRule type="cellIs" dxfId="2740" priority="4" operator="equal">
      <formula>0</formula>
    </cfRule>
  </conditionalFormatting>
  <conditionalFormatting sqref="R69">
    <cfRule type="cellIs" dxfId="2739" priority="3" operator="equal">
      <formula>0</formula>
    </cfRule>
  </conditionalFormatting>
  <conditionalFormatting sqref="T69">
    <cfRule type="cellIs" dxfId="2738" priority="2" operator="equal">
      <formula>0</formula>
    </cfRule>
  </conditionalFormatting>
  <conditionalFormatting sqref="V69">
    <cfRule type="cellIs" dxfId="2737" priority="1"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4209" r:id="rId4" name="Drop Down 1">
              <controlPr defaultSize="0" autoLine="0" autoPict="0">
                <anchor moveWithCells="1">
                  <from>
                    <xdr:col>17</xdr:col>
                    <xdr:colOff>219075</xdr:colOff>
                    <xdr:row>2</xdr:row>
                    <xdr:rowOff>0</xdr:rowOff>
                  </from>
                  <to>
                    <xdr:col>17</xdr:col>
                    <xdr:colOff>1466850</xdr:colOff>
                    <xdr:row>3</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9B0B0-6AC5-4252-8E71-A2964392BF5F}">
  <sheetPr>
    <tabColor indexed="24"/>
  </sheetPr>
  <dimension ref="A1:BX332"/>
  <sheetViews>
    <sheetView topLeftCell="Q102" zoomScale="120" zoomScaleNormal="120" workbookViewId="0">
      <selection activeCell="V107" sqref="V107"/>
    </sheetView>
  </sheetViews>
  <sheetFormatPr defaultRowHeight="12.75"/>
  <cols>
    <col min="1" max="1" width="16" bestFit="1" customWidth="1"/>
    <col min="2" max="2" width="25" bestFit="1" customWidth="1"/>
    <col min="3" max="3" width="22.85546875" customWidth="1"/>
    <col min="18" max="18" width="25" bestFit="1" customWidth="1"/>
    <col min="19" max="19" width="13.140625" customWidth="1"/>
    <col min="20" max="21" width="9.7109375" bestFit="1" customWidth="1"/>
    <col min="22" max="22" width="23.28515625" customWidth="1"/>
    <col min="28" max="28" width="19" customWidth="1"/>
    <col min="33" max="33" width="17.42578125" customWidth="1"/>
    <col min="34" max="34" width="10" bestFit="1" customWidth="1"/>
    <col min="36" max="36" width="10" bestFit="1" customWidth="1"/>
    <col min="53" max="53" width="8.140625" customWidth="1"/>
    <col min="54" max="54" width="16" bestFit="1" customWidth="1"/>
    <col min="59" max="60" width="18.28515625" bestFit="1" customWidth="1"/>
  </cols>
  <sheetData>
    <row r="1" spans="1:76">
      <c r="A1" s="383"/>
    </row>
    <row r="2" spans="1:76">
      <c r="A2" s="383" t="s">
        <v>910</v>
      </c>
      <c r="B2">
        <v>1</v>
      </c>
      <c r="AF2" s="522" t="s">
        <v>446</v>
      </c>
    </row>
    <row r="3" spans="1:76" ht="13.5" thickBot="1">
      <c r="A3" s="383" t="s">
        <v>911</v>
      </c>
      <c r="Q3">
        <v>1</v>
      </c>
      <c r="AS3" s="115"/>
      <c r="AT3" s="4">
        <f>+'q1'!$C$4</f>
        <v>2014</v>
      </c>
      <c r="AU3" s="4">
        <f>+'q1'!$D$4</f>
        <v>2015</v>
      </c>
      <c r="AV3" s="4">
        <f>+'q1'!$E$4</f>
        <v>2016</v>
      </c>
      <c r="AW3" s="4">
        <f>+'q1'!$F$4</f>
        <v>2017</v>
      </c>
      <c r="AX3" s="4">
        <f>+'q1'!$G$4</f>
        <v>2018</v>
      </c>
      <c r="AY3" s="4">
        <f>+'q1'!$H$4</f>
        <v>2019</v>
      </c>
      <c r="AZ3" s="4">
        <f>+'q1'!$I$4</f>
        <v>2020</v>
      </c>
      <c r="BA3" s="4">
        <f>+'q1'!$J$4</f>
        <v>2021</v>
      </c>
      <c r="BB3" s="4">
        <f>+'q1'!$K$4</f>
        <v>2022</v>
      </c>
      <c r="BC3" s="4">
        <f>+'q1'!$L$4</f>
        <v>2023</v>
      </c>
      <c r="BD3" s="4">
        <f>+'q1'!$M$4</f>
        <v>2024</v>
      </c>
      <c r="BE3" s="403"/>
      <c r="BF3" s="384" t="str">
        <f>+BD3&amp;"-"&amp;BC3</f>
        <v>2024-2023</v>
      </c>
      <c r="BG3" t="str">
        <f>+"variação "&amp;$BD$3&amp;"/"&amp;$BC$3</f>
        <v>variação 2024/2023</v>
      </c>
      <c r="BH3" t="str">
        <f>+"variação "&amp;$BD$3&amp;"/"&amp;$AT$3</f>
        <v>variação 2024/2014</v>
      </c>
      <c r="BJ3" t="s">
        <v>912</v>
      </c>
    </row>
    <row r="4" spans="1:76" ht="13.5" thickTop="1">
      <c r="R4" s="383"/>
      <c r="AS4" s="395" t="s">
        <v>910</v>
      </c>
      <c r="AT4" s="445">
        <f>+q9_E!$C$5</f>
        <v>116849</v>
      </c>
      <c r="AU4" s="445">
        <f>+q9_E!$D$5</f>
        <v>122910</v>
      </c>
      <c r="AV4" s="445">
        <f>+q9_E!$E$5</f>
        <v>134443</v>
      </c>
      <c r="AW4" s="445">
        <f>+q9_E!$F$5</f>
        <v>147756</v>
      </c>
      <c r="AX4" s="445">
        <f>+q9_E!$G$5</f>
        <v>177438</v>
      </c>
      <c r="AY4" s="445">
        <f>+q9_E!$H$5</f>
        <v>218982</v>
      </c>
      <c r="AZ4" s="445">
        <f>+q9_E!$I$5</f>
        <v>226327</v>
      </c>
      <c r="BA4" s="445">
        <f>+q9_E!$J$5</f>
        <v>237058</v>
      </c>
      <c r="BB4" s="445">
        <f>+q9_E!$K$5</f>
        <v>331528</v>
      </c>
      <c r="BC4" s="445">
        <f>+q9_E!$L$5</f>
        <v>425463</v>
      </c>
      <c r="BD4" s="873">
        <f>+q9_E!$M$5</f>
        <v>522990</v>
      </c>
      <c r="BE4" s="323"/>
      <c r="BF4" s="527">
        <f>+BD4-BC4</f>
        <v>97527</v>
      </c>
      <c r="BG4" s="505">
        <f>+(BD4/BC4-1)</f>
        <v>0.22922557308156066</v>
      </c>
      <c r="BH4" s="886">
        <f>+(BD4/AT4-1)</f>
        <v>3.4757764294088949</v>
      </c>
      <c r="BJ4" s="176">
        <f>+BD4-AT4</f>
        <v>406141</v>
      </c>
      <c r="BQ4" s="941"/>
      <c r="BR4" s="941"/>
      <c r="BS4" s="941"/>
      <c r="BT4" s="941"/>
      <c r="BU4" s="941"/>
      <c r="BV4" s="941"/>
      <c r="BW4" s="941"/>
      <c r="BX4" s="941"/>
    </row>
    <row r="5" spans="1:76">
      <c r="AS5" s="395" t="s">
        <v>911</v>
      </c>
      <c r="AT5" s="177">
        <f>+q13_E!$C$5</f>
        <v>110391</v>
      </c>
      <c r="AU5" s="177">
        <f>+q13_E!$D$5</f>
        <v>116011</v>
      </c>
      <c r="AV5" s="177">
        <f>+q13_E!$E$5</f>
        <v>127236</v>
      </c>
      <c r="AW5" s="177">
        <f>+q13_E!$F$5</f>
        <v>140295</v>
      </c>
      <c r="AX5" s="177">
        <f>+q13_E!$G$5</f>
        <v>169295</v>
      </c>
      <c r="AY5" s="177">
        <f>+q13_E!$H$5</f>
        <v>210583</v>
      </c>
      <c r="AZ5" s="177">
        <f>+q13_E!$I$5</f>
        <v>217761</v>
      </c>
      <c r="BA5" s="177">
        <f>+q13_E!$J$5</f>
        <v>228523</v>
      </c>
      <c r="BB5" s="177">
        <f>+q13_E!$K$5</f>
        <v>322028</v>
      </c>
      <c r="BC5" s="177">
        <f>+q13_E!$L$5</f>
        <v>414783</v>
      </c>
      <c r="BD5" s="874">
        <f>+q13_E!$M$5</f>
        <v>509783</v>
      </c>
      <c r="BE5" s="394"/>
      <c r="BF5" s="527">
        <f>+BD5-BC5</f>
        <v>95000</v>
      </c>
      <c r="BG5" s="505">
        <f>+(BD5/BC5-1)</f>
        <v>0.2290354233418439</v>
      </c>
      <c r="BH5" s="886">
        <f>+(BD5/AT5-1)</f>
        <v>3.6179761031243487</v>
      </c>
      <c r="BJ5" s="176">
        <f>+BD5-AT5</f>
        <v>399392</v>
      </c>
      <c r="BQ5" s="383"/>
      <c r="BR5" s="383"/>
      <c r="BS5" s="383"/>
      <c r="BT5" s="383"/>
      <c r="BU5" s="383"/>
      <c r="BV5" s="383"/>
      <c r="BW5" s="383"/>
      <c r="BX5" s="383"/>
    </row>
    <row r="6" spans="1:76">
      <c r="A6" s="628" t="s">
        <v>830</v>
      </c>
      <c r="B6" s="383"/>
      <c r="D6" s="384">
        <f>+q9_E!$C$4</f>
        <v>2014</v>
      </c>
      <c r="E6" s="384">
        <f>+q9_E!$D$4</f>
        <v>2015</v>
      </c>
      <c r="F6" s="384">
        <f>+q9_E!$E$4</f>
        <v>2016</v>
      </c>
      <c r="G6" s="384">
        <f>+q9_E!$F$4</f>
        <v>2017</v>
      </c>
      <c r="H6" s="384">
        <f>+q9_E!$G$4</f>
        <v>2018</v>
      </c>
      <c r="I6" s="384">
        <f>+q9_E!$H$4</f>
        <v>2019</v>
      </c>
      <c r="J6" s="384">
        <f>+q9_E!$I$4</f>
        <v>2020</v>
      </c>
      <c r="K6" s="384">
        <f>+q9_E!$J$4</f>
        <v>2021</v>
      </c>
      <c r="L6" s="384">
        <f>+q9_E!$K$4</f>
        <v>2022</v>
      </c>
      <c r="M6" s="384">
        <f>+q9_E!$L$4</f>
        <v>2023</v>
      </c>
      <c r="N6" s="384">
        <f>+q9_E!$M$4</f>
        <v>2024</v>
      </c>
      <c r="S6" s="384">
        <f>+D6</f>
        <v>2014</v>
      </c>
      <c r="T6" s="384">
        <f t="shared" ref="T6:AC6" si="0">+E6</f>
        <v>2015</v>
      </c>
      <c r="U6" s="384">
        <f t="shared" si="0"/>
        <v>2016</v>
      </c>
      <c r="V6" s="384">
        <f t="shared" si="0"/>
        <v>2017</v>
      </c>
      <c r="W6" s="384">
        <f t="shared" si="0"/>
        <v>2018</v>
      </c>
      <c r="X6" s="384">
        <f t="shared" si="0"/>
        <v>2019</v>
      </c>
      <c r="Y6" s="384">
        <f t="shared" si="0"/>
        <v>2020</v>
      </c>
      <c r="Z6" s="384">
        <f t="shared" si="0"/>
        <v>2021</v>
      </c>
      <c r="AA6" s="384">
        <f t="shared" si="0"/>
        <v>2022</v>
      </c>
      <c r="AB6" s="384">
        <f t="shared" si="0"/>
        <v>2023</v>
      </c>
      <c r="AC6" s="384">
        <f t="shared" si="0"/>
        <v>2024</v>
      </c>
    </row>
    <row r="7" spans="1:76">
      <c r="A7" s="383" t="s">
        <v>910</v>
      </c>
      <c r="B7" t="str">
        <f>+q9_E!$A$6</f>
        <v>A</v>
      </c>
      <c r="C7" t="str">
        <f>+q9_E!$B$6</f>
        <v>Agr., pr. animal, caça, flor. pesca</v>
      </c>
      <c r="D7" s="176">
        <f>+q9_E!$C$6</f>
        <v>7205</v>
      </c>
      <c r="E7" s="176">
        <f>+q9_E!$D$6</f>
        <v>7947</v>
      </c>
      <c r="F7" s="176">
        <f>+q9_E!$E$6</f>
        <v>9445</v>
      </c>
      <c r="G7" s="176">
        <f>+q9_E!$F$6</f>
        <v>10109</v>
      </c>
      <c r="H7" s="176">
        <f>+q9_E!$G$6</f>
        <v>12079</v>
      </c>
      <c r="I7" s="176">
        <f>+q9_E!$H$6</f>
        <v>14470</v>
      </c>
      <c r="J7" s="176">
        <f>+q9_E!$I$6</f>
        <v>19004</v>
      </c>
      <c r="K7" s="176">
        <f>+q9_E!$J$6</f>
        <v>18272</v>
      </c>
      <c r="L7" s="176">
        <f>+q9_E!$K$6</f>
        <v>22728</v>
      </c>
      <c r="M7" s="176">
        <f>+q9_E!$L$6</f>
        <v>26238</v>
      </c>
      <c r="N7" s="176">
        <f>+q9_E!$M$6</f>
        <v>31117</v>
      </c>
      <c r="Q7" t="str">
        <f>INDEX($A$2:$A$3,$Q$3)</f>
        <v>Pessoas ao serviço de nacionalidade estrangeira</v>
      </c>
      <c r="R7" t="str">
        <f>+B7</f>
        <v>A</v>
      </c>
      <c r="S7">
        <f>IF($Q$3=1, VLOOKUP($R$7:$R$26,$B$6:$N$26,COLUMN(D7)-1,0),VLOOKUP($R$7:$R$26,$B$31:$N$50,COLUMN(D7)-1,0))</f>
        <v>7205</v>
      </c>
      <c r="T7">
        <f t="shared" ref="S7:AC26" si="1">IF($Q$3=1, VLOOKUP($R$7:$R$26,$B$6:$N$26,COLUMN(E7)-1,0),VLOOKUP($R$7:$R$26,$B$31:$N$50,COLUMN(E7)-1,0))</f>
        <v>7947</v>
      </c>
      <c r="U7">
        <f t="shared" si="1"/>
        <v>9445</v>
      </c>
      <c r="V7">
        <f t="shared" si="1"/>
        <v>10109</v>
      </c>
      <c r="W7">
        <f t="shared" si="1"/>
        <v>12079</v>
      </c>
      <c r="X7">
        <f t="shared" si="1"/>
        <v>14470</v>
      </c>
      <c r="Y7">
        <f t="shared" si="1"/>
        <v>19004</v>
      </c>
      <c r="Z7">
        <f t="shared" si="1"/>
        <v>18272</v>
      </c>
      <c r="AA7">
        <f t="shared" si="1"/>
        <v>22728</v>
      </c>
      <c r="AB7">
        <f t="shared" si="1"/>
        <v>26238</v>
      </c>
      <c r="AC7">
        <f t="shared" si="1"/>
        <v>31117</v>
      </c>
      <c r="AU7" s="407">
        <f>+(AU4/AT4-1)*100</f>
        <v>5.1870362604729214</v>
      </c>
      <c r="AV7" s="407">
        <f>+(AV4/AU4-1)*100</f>
        <v>9.3832885851436121</v>
      </c>
      <c r="AW7" s="407">
        <f t="shared" ref="AW7:BD7" si="2">+(AW4/AV4-1)*100</f>
        <v>9.9023377937118351</v>
      </c>
      <c r="AX7" s="407">
        <f t="shared" si="2"/>
        <v>20.088524323885327</v>
      </c>
      <c r="AY7" s="407">
        <f t="shared" si="2"/>
        <v>23.413248571331955</v>
      </c>
      <c r="AZ7" s="407">
        <f t="shared" si="2"/>
        <v>3.3541569626727386</v>
      </c>
      <c r="BA7" s="407">
        <f t="shared" si="2"/>
        <v>4.741369787961669</v>
      </c>
      <c r="BB7" s="407">
        <f t="shared" si="2"/>
        <v>39.851006926574925</v>
      </c>
      <c r="BC7" s="407">
        <f t="shared" si="2"/>
        <v>28.333956709538867</v>
      </c>
      <c r="BD7" s="407">
        <f t="shared" si="2"/>
        <v>22.922557308156065</v>
      </c>
    </row>
    <row r="8" spans="1:76">
      <c r="A8" s="383"/>
      <c r="B8" t="str">
        <f>+q9_E!$A$7</f>
        <v>B</v>
      </c>
      <c r="C8" t="str">
        <f>+q9_E!$B$7</f>
        <v>Indústrias extrativas</v>
      </c>
      <c r="D8" s="176">
        <f>+q9_E!$C$7</f>
        <v>231</v>
      </c>
      <c r="E8" s="176">
        <f>+q9_E!$D$7</f>
        <v>229</v>
      </c>
      <c r="F8" s="176">
        <f>+q9_E!$E$7</f>
        <v>221</v>
      </c>
      <c r="G8" s="176">
        <f>+q9_E!$F$7</f>
        <v>234</v>
      </c>
      <c r="H8" s="176">
        <f>+q9_E!$G$7</f>
        <v>250</v>
      </c>
      <c r="I8" s="176">
        <f>+q9_E!$H$7</f>
        <v>276</v>
      </c>
      <c r="J8" s="176">
        <f>+q9_E!$I$7</f>
        <v>289</v>
      </c>
      <c r="K8" s="176">
        <f>+q9_E!$J$7</f>
        <v>352</v>
      </c>
      <c r="L8" s="176">
        <f>+q9_E!$K$7</f>
        <v>530</v>
      </c>
      <c r="M8" s="176">
        <f>+q9_E!$L$7</f>
        <v>741</v>
      </c>
      <c r="N8" s="176">
        <f>+q9_E!$M$7</f>
        <v>1039</v>
      </c>
      <c r="R8" t="str">
        <f t="shared" ref="R8:R26" si="3">+B8</f>
        <v>B</v>
      </c>
      <c r="S8">
        <f t="shared" si="1"/>
        <v>231</v>
      </c>
      <c r="T8">
        <f t="shared" si="1"/>
        <v>229</v>
      </c>
      <c r="U8">
        <f t="shared" si="1"/>
        <v>221</v>
      </c>
      <c r="V8">
        <f t="shared" si="1"/>
        <v>234</v>
      </c>
      <c r="W8">
        <f t="shared" si="1"/>
        <v>250</v>
      </c>
      <c r="X8">
        <f t="shared" si="1"/>
        <v>276</v>
      </c>
      <c r="Y8">
        <f t="shared" si="1"/>
        <v>289</v>
      </c>
      <c r="Z8">
        <f t="shared" si="1"/>
        <v>352</v>
      </c>
      <c r="AA8">
        <f t="shared" si="1"/>
        <v>530</v>
      </c>
      <c r="AB8">
        <f t="shared" si="1"/>
        <v>741</v>
      </c>
      <c r="AC8">
        <f t="shared" si="1"/>
        <v>1039</v>
      </c>
      <c r="AU8" s="176">
        <f>+AU4-AT4</f>
        <v>6061</v>
      </c>
      <c r="AV8" s="176">
        <f t="shared" ref="AV8:BD8" si="4">+AV4-AU4</f>
        <v>11533</v>
      </c>
      <c r="AW8" s="176">
        <f t="shared" si="4"/>
        <v>13313</v>
      </c>
      <c r="AX8" s="176">
        <f t="shared" si="4"/>
        <v>29682</v>
      </c>
      <c r="AY8" s="176">
        <f t="shared" si="4"/>
        <v>41544</v>
      </c>
      <c r="AZ8" s="176">
        <f t="shared" si="4"/>
        <v>7345</v>
      </c>
      <c r="BA8" s="176">
        <f t="shared" si="4"/>
        <v>10731</v>
      </c>
      <c r="BB8" s="176">
        <f t="shared" si="4"/>
        <v>94470</v>
      </c>
      <c r="BC8" s="176">
        <f t="shared" si="4"/>
        <v>93935</v>
      </c>
      <c r="BD8" s="176">
        <f t="shared" si="4"/>
        <v>97527</v>
      </c>
    </row>
    <row r="9" spans="1:76">
      <c r="A9" s="383"/>
      <c r="B9" t="str">
        <f>+q9_E!$A$8</f>
        <v>C</v>
      </c>
      <c r="C9" t="str">
        <f>+q9_E!$B$8</f>
        <v>Indústrias transformadoras</v>
      </c>
      <c r="D9" s="176">
        <f>+q9_E!$C$8</f>
        <v>11696</v>
      </c>
      <c r="E9" s="176">
        <f>+q9_E!$D$8</f>
        <v>12230</v>
      </c>
      <c r="F9" s="176">
        <f>+q9_E!$E$8</f>
        <v>12876</v>
      </c>
      <c r="G9" s="176">
        <f>+q9_E!$F$8</f>
        <v>13906</v>
      </c>
      <c r="H9" s="176">
        <f>+q9_E!$G$8</f>
        <v>17154</v>
      </c>
      <c r="I9" s="176">
        <f>+q9_E!$H$8</f>
        <v>20859</v>
      </c>
      <c r="J9" s="176">
        <f>+q9_E!$I$8</f>
        <v>22497</v>
      </c>
      <c r="K9" s="176">
        <f>+q9_E!$J$8</f>
        <v>24420</v>
      </c>
      <c r="L9" s="176">
        <f>+q9_E!$K$8</f>
        <v>36582</v>
      </c>
      <c r="M9" s="176">
        <f>+q9_E!$L$8</f>
        <v>49355</v>
      </c>
      <c r="N9" s="176">
        <f>+q9_E!$M$8</f>
        <v>60489</v>
      </c>
      <c r="R9" t="str">
        <f t="shared" si="3"/>
        <v>C</v>
      </c>
      <c r="S9">
        <f t="shared" si="1"/>
        <v>11696</v>
      </c>
      <c r="T9">
        <f t="shared" si="1"/>
        <v>12230</v>
      </c>
      <c r="U9">
        <f t="shared" si="1"/>
        <v>12876</v>
      </c>
      <c r="V9">
        <f t="shared" si="1"/>
        <v>13906</v>
      </c>
      <c r="W9">
        <f t="shared" si="1"/>
        <v>17154</v>
      </c>
      <c r="X9">
        <f t="shared" si="1"/>
        <v>20859</v>
      </c>
      <c r="Y9">
        <f t="shared" si="1"/>
        <v>22497</v>
      </c>
      <c r="Z9">
        <f t="shared" si="1"/>
        <v>24420</v>
      </c>
      <c r="AA9">
        <f t="shared" si="1"/>
        <v>36582</v>
      </c>
      <c r="AB9">
        <f t="shared" si="1"/>
        <v>49355</v>
      </c>
      <c r="AC9">
        <f t="shared" si="1"/>
        <v>60489</v>
      </c>
      <c r="BD9" s="407">
        <f>+AVERAGE(AU7:BD7)</f>
        <v>16.717748322944992</v>
      </c>
    </row>
    <row r="10" spans="1:76">
      <c r="A10" s="383"/>
      <c r="B10" t="str">
        <f>+q9_E!$A$33</f>
        <v>D</v>
      </c>
      <c r="C10" t="str">
        <f>+q9_E!$B$33</f>
        <v>Eletr., gás, ág. quente/fria e ar frio</v>
      </c>
      <c r="D10" s="176">
        <f>+q9_E!$C$33</f>
        <v>62</v>
      </c>
      <c r="E10" s="176">
        <f>+q9_E!$D$33</f>
        <v>61</v>
      </c>
      <c r="F10" s="176">
        <f>+q9_E!$E$33</f>
        <v>65</v>
      </c>
      <c r="G10" s="176">
        <f>+q9_E!$F$33</f>
        <v>65</v>
      </c>
      <c r="H10" s="176">
        <f>+q9_E!$G$33</f>
        <v>104</v>
      </c>
      <c r="I10" s="176">
        <f>+q9_E!$H$33</f>
        <v>99</v>
      </c>
      <c r="J10" s="176">
        <f>+q9_E!$I$33</f>
        <v>115</v>
      </c>
      <c r="K10" s="176">
        <f>+q9_E!$J$33</f>
        <v>120</v>
      </c>
      <c r="L10" s="176">
        <f>+q9_E!$K$33</f>
        <v>156</v>
      </c>
      <c r="M10" s="176">
        <f>+q9_E!$L$33</f>
        <v>231</v>
      </c>
      <c r="N10" s="176">
        <f>+q9_E!$M$33</f>
        <v>306</v>
      </c>
      <c r="R10" t="str">
        <f t="shared" si="3"/>
        <v>D</v>
      </c>
      <c r="S10">
        <f t="shared" si="1"/>
        <v>62</v>
      </c>
      <c r="T10">
        <f t="shared" si="1"/>
        <v>61</v>
      </c>
      <c r="U10">
        <f t="shared" si="1"/>
        <v>65</v>
      </c>
      <c r="V10">
        <f t="shared" si="1"/>
        <v>65</v>
      </c>
      <c r="W10">
        <f t="shared" si="1"/>
        <v>104</v>
      </c>
      <c r="X10">
        <f t="shared" si="1"/>
        <v>99</v>
      </c>
      <c r="Y10">
        <f t="shared" si="1"/>
        <v>115</v>
      </c>
      <c r="Z10">
        <f t="shared" si="1"/>
        <v>120</v>
      </c>
      <c r="AA10">
        <f t="shared" si="1"/>
        <v>156</v>
      </c>
      <c r="AB10">
        <f t="shared" si="1"/>
        <v>231</v>
      </c>
      <c r="AC10">
        <f t="shared" si="1"/>
        <v>306</v>
      </c>
      <c r="BL10" s="410"/>
      <c r="BM10" s="508"/>
      <c r="BN10" s="508"/>
      <c r="BO10" s="508"/>
      <c r="BP10" s="508"/>
      <c r="BQ10" s="508"/>
      <c r="BR10" s="508"/>
      <c r="BS10" s="508"/>
      <c r="BT10" s="508"/>
      <c r="BU10" s="508"/>
      <c r="BV10" s="508"/>
      <c r="BW10" s="508"/>
    </row>
    <row r="11" spans="1:76">
      <c r="A11" s="383"/>
      <c r="B11" t="str">
        <f>+q9_E!$A$34</f>
        <v>E</v>
      </c>
      <c r="C11" t="str">
        <f>+q9_E!$B$34</f>
        <v>Capt., trat. e d. água; san., resíd.</v>
      </c>
      <c r="D11" s="176">
        <f>+q9_E!$C$34</f>
        <v>958</v>
      </c>
      <c r="E11" s="176">
        <f>+q9_E!$D$34</f>
        <v>955</v>
      </c>
      <c r="F11" s="176">
        <f>+q9_E!$E$34</f>
        <v>964</v>
      </c>
      <c r="G11" s="176">
        <f>+q9_E!$F$34</f>
        <v>982</v>
      </c>
      <c r="H11" s="176">
        <f>+q9_E!$G$34</f>
        <v>1060</v>
      </c>
      <c r="I11" s="176">
        <f>+q9_E!$H$34</f>
        <v>1261</v>
      </c>
      <c r="J11" s="176">
        <f>+q9_E!$I$34</f>
        <v>1592</v>
      </c>
      <c r="K11" s="176">
        <f>+q9_E!$J$34</f>
        <v>1754</v>
      </c>
      <c r="L11" s="176">
        <f>+q9_E!$K$34</f>
        <v>1887</v>
      </c>
      <c r="M11" s="176">
        <f>+q9_E!$L$34</f>
        <v>2290</v>
      </c>
      <c r="N11" s="176">
        <f>+q9_E!$M$34</f>
        <v>3083</v>
      </c>
      <c r="R11" t="str">
        <f t="shared" si="3"/>
        <v>E</v>
      </c>
      <c r="S11">
        <f t="shared" si="1"/>
        <v>958</v>
      </c>
      <c r="T11">
        <f t="shared" si="1"/>
        <v>955</v>
      </c>
      <c r="U11">
        <f t="shared" si="1"/>
        <v>964</v>
      </c>
      <c r="V11">
        <f t="shared" si="1"/>
        <v>982</v>
      </c>
      <c r="W11">
        <f t="shared" si="1"/>
        <v>1060</v>
      </c>
      <c r="X11">
        <f t="shared" si="1"/>
        <v>1261</v>
      </c>
      <c r="Y11">
        <f t="shared" si="1"/>
        <v>1592</v>
      </c>
      <c r="Z11">
        <f t="shared" si="1"/>
        <v>1754</v>
      </c>
      <c r="AA11">
        <f t="shared" si="1"/>
        <v>1887</v>
      </c>
      <c r="AB11">
        <f t="shared" si="1"/>
        <v>2290</v>
      </c>
      <c r="AC11">
        <f t="shared" si="1"/>
        <v>3083</v>
      </c>
      <c r="BL11" s="508"/>
      <c r="BM11" s="508"/>
      <c r="BN11" s="508"/>
      <c r="BO11" s="508"/>
      <c r="BP11" s="508"/>
      <c r="BQ11" s="508"/>
      <c r="BR11" s="508"/>
      <c r="BS11" s="508"/>
      <c r="BT11" s="508"/>
      <c r="BU11" s="508"/>
      <c r="BV11" s="508"/>
      <c r="BW11" s="508"/>
    </row>
    <row r="12" spans="1:76">
      <c r="A12" s="383"/>
      <c r="B12" t="str">
        <f>+q9_E!$A$35</f>
        <v>F</v>
      </c>
      <c r="C12" t="str">
        <f>+q9_E!$B$35</f>
        <v>Construção</v>
      </c>
      <c r="D12" s="176">
        <f>+q9_E!$C$35</f>
        <v>9907</v>
      </c>
      <c r="E12" s="176">
        <f>+q9_E!$D$35</f>
        <v>10112</v>
      </c>
      <c r="F12" s="176">
        <f>+q9_E!$E$35</f>
        <v>10815</v>
      </c>
      <c r="G12" s="176">
        <f>+q9_E!$F$35</f>
        <v>12528</v>
      </c>
      <c r="H12" s="176">
        <f>+q9_E!$G$35</f>
        <v>15987</v>
      </c>
      <c r="I12" s="176">
        <f>+q9_E!$H$35</f>
        <v>21695</v>
      </c>
      <c r="J12" s="176">
        <f>+q9_E!$I$35</f>
        <v>25598</v>
      </c>
      <c r="K12" s="176">
        <f>+q9_E!$J$35</f>
        <v>26636</v>
      </c>
      <c r="L12" s="176">
        <f>+q9_E!$K$35</f>
        <v>37834</v>
      </c>
      <c r="M12" s="176">
        <f>+q9_E!$L$35</f>
        <v>50985</v>
      </c>
      <c r="N12" s="176">
        <f>+q9_E!$M$35</f>
        <v>67631</v>
      </c>
      <c r="R12" t="str">
        <f t="shared" si="3"/>
        <v>F</v>
      </c>
      <c r="S12">
        <f t="shared" si="1"/>
        <v>9907</v>
      </c>
      <c r="T12">
        <f t="shared" si="1"/>
        <v>10112</v>
      </c>
      <c r="U12">
        <f t="shared" si="1"/>
        <v>10815</v>
      </c>
      <c r="V12">
        <f t="shared" si="1"/>
        <v>12528</v>
      </c>
      <c r="W12">
        <f t="shared" si="1"/>
        <v>15987</v>
      </c>
      <c r="X12">
        <f t="shared" si="1"/>
        <v>21695</v>
      </c>
      <c r="Y12">
        <f t="shared" si="1"/>
        <v>25598</v>
      </c>
      <c r="Z12">
        <f t="shared" si="1"/>
        <v>26636</v>
      </c>
      <c r="AA12">
        <f t="shared" si="1"/>
        <v>37834</v>
      </c>
      <c r="AB12">
        <f t="shared" si="1"/>
        <v>50985</v>
      </c>
      <c r="AC12">
        <f t="shared" si="1"/>
        <v>67631</v>
      </c>
      <c r="BE12" s="400"/>
      <c r="BG12" s="399"/>
      <c r="BH12" s="400"/>
      <c r="BL12" s="508"/>
      <c r="BM12" s="508"/>
      <c r="BN12" s="508"/>
      <c r="BO12" s="508"/>
      <c r="BP12" s="508"/>
      <c r="BQ12" s="508"/>
      <c r="BR12" s="508"/>
      <c r="BS12" s="508"/>
      <c r="BT12" s="508"/>
      <c r="BU12" s="508"/>
      <c r="BV12" s="508"/>
      <c r="BW12" s="508"/>
    </row>
    <row r="13" spans="1:76">
      <c r="A13" s="383"/>
      <c r="B13" t="str">
        <f>+q9_E!$A$36</f>
        <v>G</v>
      </c>
      <c r="C13" t="str">
        <f>+q9_E!$B$36</f>
        <v>Com. grosso e ret.; r.v.aut./moto.</v>
      </c>
      <c r="D13" s="176">
        <f>+q9_E!$C$36</f>
        <v>17426</v>
      </c>
      <c r="E13" s="176">
        <f>+q9_E!$D$36</f>
        <v>18321</v>
      </c>
      <c r="F13" s="176">
        <f>+q9_E!$E$36</f>
        <v>18275</v>
      </c>
      <c r="G13" s="176">
        <f>+q9_E!$F$36</f>
        <v>18846</v>
      </c>
      <c r="H13" s="176">
        <f>+q9_E!$G$36</f>
        <v>21580</v>
      </c>
      <c r="I13" s="176">
        <f>+q9_E!$H$36</f>
        <v>25528</v>
      </c>
      <c r="J13" s="176">
        <f>+q9_E!$I$36</f>
        <v>25321</v>
      </c>
      <c r="K13" s="176">
        <f>+q9_E!$J$36</f>
        <v>26532</v>
      </c>
      <c r="L13" s="176">
        <f>+q9_E!$K$36</f>
        <v>34265</v>
      </c>
      <c r="M13" s="176">
        <f>+q9_E!$L$36</f>
        <v>46202</v>
      </c>
      <c r="N13" s="176">
        <f>+q9_E!$M$36</f>
        <v>58057</v>
      </c>
      <c r="R13" t="str">
        <f t="shared" si="3"/>
        <v>G</v>
      </c>
      <c r="S13">
        <f t="shared" si="1"/>
        <v>17426</v>
      </c>
      <c r="T13">
        <f t="shared" si="1"/>
        <v>18321</v>
      </c>
      <c r="U13">
        <f t="shared" si="1"/>
        <v>18275</v>
      </c>
      <c r="V13">
        <f t="shared" si="1"/>
        <v>18846</v>
      </c>
      <c r="W13">
        <f t="shared" si="1"/>
        <v>21580</v>
      </c>
      <c r="X13">
        <f t="shared" si="1"/>
        <v>25528</v>
      </c>
      <c r="Y13">
        <f t="shared" si="1"/>
        <v>25321</v>
      </c>
      <c r="Z13">
        <f t="shared" si="1"/>
        <v>26532</v>
      </c>
      <c r="AA13">
        <f t="shared" si="1"/>
        <v>34265</v>
      </c>
      <c r="AB13">
        <f t="shared" si="1"/>
        <v>46202</v>
      </c>
      <c r="AC13">
        <f t="shared" si="1"/>
        <v>58057</v>
      </c>
      <c r="BL13" s="508"/>
      <c r="BM13" s="508"/>
      <c r="BN13" s="508"/>
      <c r="BO13" s="508"/>
      <c r="BP13" s="508"/>
      <c r="BQ13" s="508"/>
      <c r="BR13" s="508"/>
      <c r="BS13" s="508"/>
      <c r="BT13" s="508"/>
      <c r="BU13" s="508"/>
      <c r="BV13" s="508"/>
      <c r="BW13" s="508"/>
    </row>
    <row r="14" spans="1:76">
      <c r="A14" s="383"/>
      <c r="B14" t="str">
        <f>+q9_E!$A$37</f>
        <v>H</v>
      </c>
      <c r="C14" t="str">
        <f>+q9_E!$B$37</f>
        <v>Transportes e armazenagem</v>
      </c>
      <c r="D14" s="176">
        <f>+q9_E!$C$37</f>
        <v>5440</v>
      </c>
      <c r="E14" s="176">
        <f>+q9_E!$D$37</f>
        <v>5485</v>
      </c>
      <c r="F14" s="176">
        <f>+q9_E!$E$37</f>
        <v>5241</v>
      </c>
      <c r="G14" s="176">
        <f>+q9_E!$F$37</f>
        <v>5422</v>
      </c>
      <c r="H14" s="176">
        <f>+q9_E!$G$37</f>
        <v>6418</v>
      </c>
      <c r="I14" s="176">
        <f>+q9_E!$H$37</f>
        <v>6978</v>
      </c>
      <c r="J14" s="176">
        <f>+q9_E!$I$37</f>
        <v>7193</v>
      </c>
      <c r="K14" s="176">
        <f>+q9_E!$J$37</f>
        <v>7404</v>
      </c>
      <c r="L14" s="176">
        <f>+q9_E!$K$37</f>
        <v>9136</v>
      </c>
      <c r="M14" s="176">
        <f>+q9_E!$L$37</f>
        <v>12863</v>
      </c>
      <c r="N14" s="176">
        <f>+q9_E!$M$37</f>
        <v>18524</v>
      </c>
      <c r="R14" t="str">
        <f t="shared" si="3"/>
        <v>H</v>
      </c>
      <c r="S14">
        <f t="shared" si="1"/>
        <v>5440</v>
      </c>
      <c r="T14">
        <f t="shared" si="1"/>
        <v>5485</v>
      </c>
      <c r="U14">
        <f t="shared" si="1"/>
        <v>5241</v>
      </c>
      <c r="V14">
        <f t="shared" si="1"/>
        <v>5422</v>
      </c>
      <c r="W14">
        <f t="shared" si="1"/>
        <v>6418</v>
      </c>
      <c r="X14">
        <f t="shared" si="1"/>
        <v>6978</v>
      </c>
      <c r="Y14">
        <f t="shared" si="1"/>
        <v>7193</v>
      </c>
      <c r="Z14">
        <f t="shared" si="1"/>
        <v>7404</v>
      </c>
      <c r="AA14">
        <f t="shared" si="1"/>
        <v>9136</v>
      </c>
      <c r="AB14">
        <f t="shared" si="1"/>
        <v>12863</v>
      </c>
      <c r="AC14">
        <f t="shared" si="1"/>
        <v>18524</v>
      </c>
      <c r="BB14" s="398"/>
    </row>
    <row r="15" spans="1:76">
      <c r="A15" s="383"/>
      <c r="B15" t="str">
        <f>+q9_E!$A$38</f>
        <v>I</v>
      </c>
      <c r="C15" t="str">
        <f>+q9_E!$B$38</f>
        <v>Alojamento, restauração e sim.</v>
      </c>
      <c r="D15" s="176">
        <f>+q9_E!$C$38</f>
        <v>22421</v>
      </c>
      <c r="E15" s="176">
        <f>+q9_E!$D$38</f>
        <v>24396</v>
      </c>
      <c r="F15" s="176">
        <f>+q9_E!$E$38</f>
        <v>26994</v>
      </c>
      <c r="G15" s="176">
        <f>+q9_E!$F$38</f>
        <v>30926</v>
      </c>
      <c r="H15" s="176">
        <f>+q9_E!$G$38</f>
        <v>37855</v>
      </c>
      <c r="I15" s="176">
        <f>+q9_E!$H$38</f>
        <v>46407</v>
      </c>
      <c r="J15" s="176">
        <f>+q9_E!$I$38</f>
        <v>36187</v>
      </c>
      <c r="K15" s="176">
        <f>+q9_E!$J$38</f>
        <v>37538</v>
      </c>
      <c r="L15" s="176">
        <f>+q9_E!$K$38</f>
        <v>58475</v>
      </c>
      <c r="M15" s="176">
        <f>+q9_E!$L$38</f>
        <v>77812</v>
      </c>
      <c r="N15" s="176">
        <f>+q9_E!$M$38</f>
        <v>95946</v>
      </c>
      <c r="R15" t="str">
        <f t="shared" si="3"/>
        <v>I</v>
      </c>
      <c r="S15">
        <f t="shared" si="1"/>
        <v>22421</v>
      </c>
      <c r="T15">
        <f t="shared" si="1"/>
        <v>24396</v>
      </c>
      <c r="U15">
        <f t="shared" si="1"/>
        <v>26994</v>
      </c>
      <c r="V15">
        <f t="shared" si="1"/>
        <v>30926</v>
      </c>
      <c r="W15">
        <f t="shared" si="1"/>
        <v>37855</v>
      </c>
      <c r="X15">
        <f t="shared" si="1"/>
        <v>46407</v>
      </c>
      <c r="Y15">
        <f t="shared" si="1"/>
        <v>36187</v>
      </c>
      <c r="Z15">
        <f t="shared" si="1"/>
        <v>37538</v>
      </c>
      <c r="AA15">
        <f t="shared" si="1"/>
        <v>58475</v>
      </c>
      <c r="AB15">
        <f t="shared" si="1"/>
        <v>77812</v>
      </c>
      <c r="AC15">
        <f t="shared" si="1"/>
        <v>95946</v>
      </c>
      <c r="BB15" s="398"/>
    </row>
    <row r="16" spans="1:76">
      <c r="A16" s="383"/>
      <c r="B16" t="str">
        <f>+q9_E!$A$39</f>
        <v>J</v>
      </c>
      <c r="C16" t="str">
        <f>+q9_E!$B$39</f>
        <v xml:space="preserve">Ativ. Inform. e de comunicação </v>
      </c>
      <c r="D16" s="176">
        <f>+q9_E!$C$39</f>
        <v>1730</v>
      </c>
      <c r="E16" s="176">
        <f>+q9_E!$D$39</f>
        <v>1981</v>
      </c>
      <c r="F16" s="176">
        <f>+q9_E!$E$39</f>
        <v>2350</v>
      </c>
      <c r="G16" s="176">
        <f>+q9_E!$F$39</f>
        <v>2901</v>
      </c>
      <c r="H16" s="176">
        <f>+q9_E!$G$39</f>
        <v>3983</v>
      </c>
      <c r="I16" s="176">
        <f>+q9_E!$H$39</f>
        <v>6025</v>
      </c>
      <c r="J16" s="176">
        <f>+q9_E!$I$39</f>
        <v>8114</v>
      </c>
      <c r="K16" s="176">
        <f>+q9_E!$J$39</f>
        <v>9191</v>
      </c>
      <c r="L16" s="176">
        <f>+q9_E!$K$39</f>
        <v>14392</v>
      </c>
      <c r="M16" s="176">
        <f>+q9_E!$L$39</f>
        <v>16133</v>
      </c>
      <c r="N16" s="176">
        <f>+q9_E!$M$39</f>
        <v>18637</v>
      </c>
      <c r="R16" t="str">
        <f t="shared" si="3"/>
        <v>J</v>
      </c>
      <c r="S16">
        <f t="shared" si="1"/>
        <v>1730</v>
      </c>
      <c r="T16">
        <f t="shared" si="1"/>
        <v>1981</v>
      </c>
      <c r="U16">
        <f t="shared" si="1"/>
        <v>2350</v>
      </c>
      <c r="V16">
        <f t="shared" si="1"/>
        <v>2901</v>
      </c>
      <c r="W16">
        <f t="shared" si="1"/>
        <v>3983</v>
      </c>
      <c r="X16">
        <f t="shared" si="1"/>
        <v>6025</v>
      </c>
      <c r="Y16">
        <f t="shared" si="1"/>
        <v>8114</v>
      </c>
      <c r="Z16">
        <f t="shared" si="1"/>
        <v>9191</v>
      </c>
      <c r="AA16">
        <f t="shared" si="1"/>
        <v>14392</v>
      </c>
      <c r="AB16">
        <f t="shared" si="1"/>
        <v>16133</v>
      </c>
      <c r="AC16">
        <f t="shared" si="1"/>
        <v>18637</v>
      </c>
    </row>
    <row r="17" spans="1:54">
      <c r="A17" s="383"/>
      <c r="B17" t="str">
        <f>+q9_E!$A$40</f>
        <v>K</v>
      </c>
      <c r="C17" t="str">
        <f>+q9_E!$B$40</f>
        <v>Ativ. financeiras e de seguros</v>
      </c>
      <c r="D17" s="176">
        <f>+q9_E!$C$40</f>
        <v>979</v>
      </c>
      <c r="E17" s="176">
        <f>+q9_E!$D$40</f>
        <v>1003</v>
      </c>
      <c r="F17" s="176">
        <f>+q9_E!$E$40</f>
        <v>1048</v>
      </c>
      <c r="G17" s="176">
        <f>+q9_E!$F$40</f>
        <v>1178</v>
      </c>
      <c r="H17" s="176">
        <f>+q9_E!$G$40</f>
        <v>1413</v>
      </c>
      <c r="I17" s="176">
        <f>+q9_E!$H$40</f>
        <v>1648</v>
      </c>
      <c r="J17" s="176">
        <f>+q9_E!$I$40</f>
        <v>1808</v>
      </c>
      <c r="K17" s="176">
        <f>+q9_E!$J$40</f>
        <v>2044</v>
      </c>
      <c r="L17" s="176">
        <f>+q9_E!$K$40</f>
        <v>2562</v>
      </c>
      <c r="M17" s="176">
        <f>+q9_E!$L$40</f>
        <v>3219</v>
      </c>
      <c r="N17" s="176">
        <f>+q9_E!$M$40</f>
        <v>3728</v>
      </c>
      <c r="R17" t="str">
        <f t="shared" si="3"/>
        <v>K</v>
      </c>
      <c r="S17">
        <f t="shared" si="1"/>
        <v>979</v>
      </c>
      <c r="T17">
        <f t="shared" si="1"/>
        <v>1003</v>
      </c>
      <c r="U17">
        <f t="shared" si="1"/>
        <v>1048</v>
      </c>
      <c r="V17">
        <f t="shared" si="1"/>
        <v>1178</v>
      </c>
      <c r="W17">
        <f t="shared" si="1"/>
        <v>1413</v>
      </c>
      <c r="X17">
        <f t="shared" si="1"/>
        <v>1648</v>
      </c>
      <c r="Y17">
        <f t="shared" si="1"/>
        <v>1808</v>
      </c>
      <c r="Z17">
        <f t="shared" si="1"/>
        <v>2044</v>
      </c>
      <c r="AA17">
        <f t="shared" si="1"/>
        <v>2562</v>
      </c>
      <c r="AB17">
        <f t="shared" si="1"/>
        <v>3219</v>
      </c>
      <c r="AC17">
        <f t="shared" si="1"/>
        <v>3728</v>
      </c>
      <c r="BB17" s="398"/>
    </row>
    <row r="18" spans="1:54">
      <c r="A18" s="383"/>
      <c r="B18" t="str">
        <f>+q9_E!$A$41</f>
        <v>L</v>
      </c>
      <c r="C18" t="str">
        <f>+q9_E!$B$41</f>
        <v>Atividades imobiliárias</v>
      </c>
      <c r="D18" s="176">
        <f>+q9_E!$C$41</f>
        <v>1522</v>
      </c>
      <c r="E18" s="176">
        <f>+q9_E!$D$41</f>
        <v>1648</v>
      </c>
      <c r="F18" s="176">
        <f>+q9_E!$E$41</f>
        <v>1618</v>
      </c>
      <c r="G18" s="176">
        <f>+q9_E!$F$41</f>
        <v>1894</v>
      </c>
      <c r="H18" s="176">
        <f>+q9_E!$G$41</f>
        <v>2187</v>
      </c>
      <c r="I18" s="176">
        <f>+q9_E!$H$41</f>
        <v>2377</v>
      </c>
      <c r="J18" s="176">
        <f>+q9_E!$I$41</f>
        <v>2320</v>
      </c>
      <c r="K18" s="176">
        <f>+q9_E!$J$41</f>
        <v>2472</v>
      </c>
      <c r="L18" s="176">
        <f>+q9_E!$K$41</f>
        <v>3007</v>
      </c>
      <c r="M18" s="176">
        <f>+q9_E!$L$41</f>
        <v>3763</v>
      </c>
      <c r="N18" s="176">
        <f>+q9_E!$M$41</f>
        <v>4904</v>
      </c>
      <c r="R18" t="str">
        <f t="shared" si="3"/>
        <v>L</v>
      </c>
      <c r="S18">
        <f t="shared" si="1"/>
        <v>1522</v>
      </c>
      <c r="T18">
        <f t="shared" si="1"/>
        <v>1648</v>
      </c>
      <c r="U18">
        <f t="shared" si="1"/>
        <v>1618</v>
      </c>
      <c r="V18">
        <f t="shared" si="1"/>
        <v>1894</v>
      </c>
      <c r="W18">
        <f t="shared" si="1"/>
        <v>2187</v>
      </c>
      <c r="X18">
        <f t="shared" si="1"/>
        <v>2377</v>
      </c>
      <c r="Y18">
        <f t="shared" si="1"/>
        <v>2320</v>
      </c>
      <c r="Z18">
        <f t="shared" si="1"/>
        <v>2472</v>
      </c>
      <c r="AA18">
        <f t="shared" si="1"/>
        <v>3007</v>
      </c>
      <c r="AB18">
        <f t="shared" si="1"/>
        <v>3763</v>
      </c>
      <c r="AC18">
        <f t="shared" si="1"/>
        <v>4904</v>
      </c>
    </row>
    <row r="19" spans="1:54">
      <c r="A19" s="383"/>
      <c r="B19" t="str">
        <f>+q9_E!$A$42</f>
        <v>M</v>
      </c>
      <c r="C19" t="str">
        <f>+q9_E!$B$42</f>
        <v>Ativ. consultoria, cient.,téc. e sim.</v>
      </c>
      <c r="D19" s="176">
        <f>+q9_E!$C$42</f>
        <v>2980</v>
      </c>
      <c r="E19" s="176">
        <f>+q9_E!$D$42</f>
        <v>3156</v>
      </c>
      <c r="F19" s="176">
        <f>+q9_E!$E$42</f>
        <v>3496</v>
      </c>
      <c r="G19" s="176">
        <f>+q9_E!$F$42</f>
        <v>3594</v>
      </c>
      <c r="H19" s="176">
        <f>+q9_E!$G$42</f>
        <v>4961</v>
      </c>
      <c r="I19" s="176">
        <f>+q9_E!$H$42</f>
        <v>6898</v>
      </c>
      <c r="J19" s="176">
        <f>+q9_E!$I$42</f>
        <v>7218</v>
      </c>
      <c r="K19" s="176">
        <f>+q9_E!$J$42</f>
        <v>7523</v>
      </c>
      <c r="L19" s="176">
        <f>+q9_E!$K$42</f>
        <v>10332</v>
      </c>
      <c r="M19" s="176">
        <f>+q9_E!$L$42</f>
        <v>14066</v>
      </c>
      <c r="N19" s="176">
        <f>+q9_E!$M$42</f>
        <v>18678</v>
      </c>
      <c r="R19" t="str">
        <f t="shared" si="3"/>
        <v>M</v>
      </c>
      <c r="S19">
        <f t="shared" si="1"/>
        <v>2980</v>
      </c>
      <c r="T19">
        <f t="shared" si="1"/>
        <v>3156</v>
      </c>
      <c r="U19">
        <f t="shared" si="1"/>
        <v>3496</v>
      </c>
      <c r="V19">
        <f t="shared" si="1"/>
        <v>3594</v>
      </c>
      <c r="W19">
        <f t="shared" si="1"/>
        <v>4961</v>
      </c>
      <c r="X19">
        <f t="shared" si="1"/>
        <v>6898</v>
      </c>
      <c r="Y19">
        <f t="shared" si="1"/>
        <v>7218</v>
      </c>
      <c r="Z19">
        <f t="shared" si="1"/>
        <v>7523</v>
      </c>
      <c r="AA19">
        <f t="shared" si="1"/>
        <v>10332</v>
      </c>
      <c r="AB19">
        <f t="shared" si="1"/>
        <v>14066</v>
      </c>
      <c r="AC19">
        <f t="shared" si="1"/>
        <v>18678</v>
      </c>
    </row>
    <row r="20" spans="1:54">
      <c r="A20" s="383"/>
      <c r="B20" t="str">
        <f>+q9_E!$A$43</f>
        <v>N</v>
      </c>
      <c r="C20" t="str">
        <f>+q9_E!$B$43</f>
        <v>Ativ. Adm. e serviços de apoio</v>
      </c>
      <c r="D20" s="176">
        <f>+q9_E!$C$43</f>
        <v>21681</v>
      </c>
      <c r="E20" s="176">
        <f>+q9_E!$D$43</f>
        <v>22250</v>
      </c>
      <c r="F20" s="176">
        <f>+q9_E!$E$43</f>
        <v>27492</v>
      </c>
      <c r="G20" s="176">
        <f>+q9_E!$F$43</f>
        <v>30903</v>
      </c>
      <c r="H20" s="176">
        <f>+q9_E!$G$43</f>
        <v>36229</v>
      </c>
      <c r="I20" s="176">
        <f>+q9_E!$H$43</f>
        <v>45543</v>
      </c>
      <c r="J20" s="176">
        <f>+q9_E!$I$43</f>
        <v>48376</v>
      </c>
      <c r="K20" s="176">
        <f>+q9_E!$J$43</f>
        <v>51133</v>
      </c>
      <c r="L20" s="176">
        <f>+q9_E!$K$43</f>
        <v>72441</v>
      </c>
      <c r="M20" s="176">
        <f>+q9_E!$L$43</f>
        <v>86959</v>
      </c>
      <c r="N20" s="176">
        <f>+q9_E!$M$43</f>
        <v>97612</v>
      </c>
      <c r="R20" t="str">
        <f t="shared" si="3"/>
        <v>N</v>
      </c>
      <c r="S20">
        <f t="shared" si="1"/>
        <v>21681</v>
      </c>
      <c r="T20">
        <f t="shared" si="1"/>
        <v>22250</v>
      </c>
      <c r="U20">
        <f t="shared" si="1"/>
        <v>27492</v>
      </c>
      <c r="V20">
        <f t="shared" si="1"/>
        <v>30903</v>
      </c>
      <c r="W20">
        <f t="shared" si="1"/>
        <v>36229</v>
      </c>
      <c r="X20">
        <f t="shared" si="1"/>
        <v>45543</v>
      </c>
      <c r="Y20">
        <f t="shared" si="1"/>
        <v>48376</v>
      </c>
      <c r="Z20">
        <f t="shared" si="1"/>
        <v>51133</v>
      </c>
      <c r="AA20">
        <f t="shared" si="1"/>
        <v>72441</v>
      </c>
      <c r="AB20">
        <f t="shared" si="1"/>
        <v>86959</v>
      </c>
      <c r="AC20">
        <f t="shared" si="1"/>
        <v>97612</v>
      </c>
    </row>
    <row r="21" spans="1:54">
      <c r="A21" s="383"/>
      <c r="B21" t="str">
        <f>+q9_E!$A$44</f>
        <v>O</v>
      </c>
      <c r="C21" t="str">
        <f>+q9_E!$B$44</f>
        <v xml:space="preserve">Adm. Púb. e defesa; seg. social </v>
      </c>
      <c r="D21" s="176">
        <f>+q9_E!$C$44</f>
        <v>112</v>
      </c>
      <c r="E21" s="176">
        <f>+q9_E!$D$44</f>
        <v>111</v>
      </c>
      <c r="F21" s="176">
        <f>+q9_E!$E$44</f>
        <v>109</v>
      </c>
      <c r="G21" s="176">
        <f>+q9_E!$F$44</f>
        <v>113</v>
      </c>
      <c r="H21" s="176">
        <f>+q9_E!$G$44</f>
        <v>105</v>
      </c>
      <c r="I21" s="176">
        <f>+q9_E!$H$44</f>
        <v>105</v>
      </c>
      <c r="J21" s="176">
        <f>+q9_E!$I$44</f>
        <v>116</v>
      </c>
      <c r="K21" s="176">
        <f>+q9_E!$J$44</f>
        <v>115</v>
      </c>
      <c r="L21" s="176">
        <f>+q9_E!$K$44</f>
        <v>182</v>
      </c>
      <c r="M21" s="176">
        <f>+q9_E!$L$44</f>
        <v>274</v>
      </c>
      <c r="N21" s="176">
        <f>+q9_E!$M$44</f>
        <v>476</v>
      </c>
      <c r="R21" t="str">
        <f t="shared" si="3"/>
        <v>O</v>
      </c>
      <c r="S21">
        <f t="shared" si="1"/>
        <v>112</v>
      </c>
      <c r="T21">
        <f t="shared" si="1"/>
        <v>111</v>
      </c>
      <c r="U21">
        <f t="shared" si="1"/>
        <v>109</v>
      </c>
      <c r="V21">
        <f t="shared" si="1"/>
        <v>113</v>
      </c>
      <c r="W21">
        <f t="shared" si="1"/>
        <v>105</v>
      </c>
      <c r="X21">
        <f t="shared" si="1"/>
        <v>105</v>
      </c>
      <c r="Y21">
        <f t="shared" si="1"/>
        <v>116</v>
      </c>
      <c r="Z21">
        <f t="shared" si="1"/>
        <v>115</v>
      </c>
      <c r="AA21">
        <f t="shared" si="1"/>
        <v>182</v>
      </c>
      <c r="AB21">
        <f t="shared" si="1"/>
        <v>274</v>
      </c>
      <c r="AC21">
        <f t="shared" si="1"/>
        <v>476</v>
      </c>
    </row>
    <row r="22" spans="1:54">
      <c r="A22" s="383"/>
      <c r="B22" t="str">
        <f>+q9_E!$A$45</f>
        <v>P</v>
      </c>
      <c r="C22" t="str">
        <f>+q9_E!$B$45</f>
        <v>Educação</v>
      </c>
      <c r="D22" s="176">
        <f>+q9_E!$C$45</f>
        <v>1797</v>
      </c>
      <c r="E22" s="176">
        <f>+q9_E!$D$45</f>
        <v>1863</v>
      </c>
      <c r="F22" s="176">
        <f>+q9_E!$E$45</f>
        <v>1877</v>
      </c>
      <c r="G22" s="176">
        <f>+q9_E!$F$45</f>
        <v>1874</v>
      </c>
      <c r="H22" s="176">
        <f>+q9_E!$G$45</f>
        <v>2052</v>
      </c>
      <c r="I22" s="176">
        <f>+q9_E!$H$45</f>
        <v>2338</v>
      </c>
      <c r="J22" s="176">
        <f>+q9_E!$I$45</f>
        <v>2589</v>
      </c>
      <c r="K22" s="176">
        <f>+q9_E!$J$45</f>
        <v>2706</v>
      </c>
      <c r="L22" s="176">
        <f>+q9_E!$K$45</f>
        <v>2960</v>
      </c>
      <c r="M22" s="176">
        <f>+q9_E!$L$45</f>
        <v>3878</v>
      </c>
      <c r="N22" s="176">
        <f>+q9_E!$M$45</f>
        <v>4584</v>
      </c>
      <c r="R22" t="str">
        <f t="shared" si="3"/>
        <v>P</v>
      </c>
      <c r="S22">
        <f t="shared" si="1"/>
        <v>1797</v>
      </c>
      <c r="T22">
        <f t="shared" si="1"/>
        <v>1863</v>
      </c>
      <c r="U22">
        <f t="shared" si="1"/>
        <v>1877</v>
      </c>
      <c r="V22">
        <f t="shared" si="1"/>
        <v>1874</v>
      </c>
      <c r="W22">
        <f t="shared" si="1"/>
        <v>2052</v>
      </c>
      <c r="X22">
        <f t="shared" si="1"/>
        <v>2338</v>
      </c>
      <c r="Y22">
        <f t="shared" si="1"/>
        <v>2589</v>
      </c>
      <c r="Z22">
        <f t="shared" si="1"/>
        <v>2706</v>
      </c>
      <c r="AA22">
        <f t="shared" si="1"/>
        <v>2960</v>
      </c>
      <c r="AB22">
        <f t="shared" si="1"/>
        <v>3878</v>
      </c>
      <c r="AC22">
        <f t="shared" si="1"/>
        <v>4584</v>
      </c>
    </row>
    <row r="23" spans="1:54">
      <c r="A23" s="383"/>
      <c r="B23" t="str">
        <f>+q9_E!$A$46</f>
        <v>Q</v>
      </c>
      <c r="C23" t="str">
        <f>+q9_E!$B$46</f>
        <v>Ativ. saúde humana e apoio social</v>
      </c>
      <c r="D23" s="176">
        <f>+q9_E!$C$46</f>
        <v>6267</v>
      </c>
      <c r="E23" s="176">
        <f>+q9_E!$D$46</f>
        <v>6493</v>
      </c>
      <c r="F23" s="176">
        <f>+q9_E!$E$46</f>
        <v>6806</v>
      </c>
      <c r="G23" s="176">
        <f>+q9_E!$F$46</f>
        <v>7204</v>
      </c>
      <c r="H23" s="176">
        <f>+q9_E!$G$46</f>
        <v>8283</v>
      </c>
      <c r="I23" s="176">
        <f>+q9_E!$H$46</f>
        <v>10226</v>
      </c>
      <c r="J23" s="176">
        <f>+q9_E!$I$46</f>
        <v>12107</v>
      </c>
      <c r="K23" s="176">
        <f>+q9_E!$J$46</f>
        <v>12960</v>
      </c>
      <c r="L23" s="176">
        <f>+q9_E!$K$46</f>
        <v>16549</v>
      </c>
      <c r="M23" s="176">
        <f>+q9_E!$L$46</f>
        <v>21307</v>
      </c>
      <c r="N23" s="176">
        <f>+q9_E!$M$46</f>
        <v>26915</v>
      </c>
      <c r="R23" t="str">
        <f t="shared" si="3"/>
        <v>Q</v>
      </c>
      <c r="S23">
        <f t="shared" si="1"/>
        <v>6267</v>
      </c>
      <c r="T23">
        <f t="shared" si="1"/>
        <v>6493</v>
      </c>
      <c r="U23">
        <f t="shared" si="1"/>
        <v>6806</v>
      </c>
      <c r="V23">
        <f t="shared" si="1"/>
        <v>7204</v>
      </c>
      <c r="W23">
        <f t="shared" si="1"/>
        <v>8283</v>
      </c>
      <c r="X23">
        <f t="shared" si="1"/>
        <v>10226</v>
      </c>
      <c r="Y23">
        <f t="shared" si="1"/>
        <v>12107</v>
      </c>
      <c r="Z23">
        <f t="shared" si="1"/>
        <v>12960</v>
      </c>
      <c r="AA23">
        <f t="shared" si="1"/>
        <v>16549</v>
      </c>
      <c r="AB23">
        <f t="shared" si="1"/>
        <v>21307</v>
      </c>
      <c r="AC23">
        <f t="shared" si="1"/>
        <v>26915</v>
      </c>
    </row>
    <row r="24" spans="1:54">
      <c r="A24" s="383"/>
      <c r="B24" t="str">
        <f>+q9_E!$A$47</f>
        <v>R</v>
      </c>
      <c r="C24" t="str">
        <f>+q9_E!$B$47</f>
        <v>Ativ. artíst., espet., desp. e recr.</v>
      </c>
      <c r="D24" s="176">
        <f>+q9_E!$C$47</f>
        <v>1357</v>
      </c>
      <c r="E24" s="176">
        <f>+q9_E!$D$47</f>
        <v>1580</v>
      </c>
      <c r="F24" s="176">
        <f>+q9_E!$E$47</f>
        <v>1556</v>
      </c>
      <c r="G24" s="176">
        <f>+q9_E!$F$47</f>
        <v>1738</v>
      </c>
      <c r="H24" s="176">
        <f>+q9_E!$G$47</f>
        <v>2069</v>
      </c>
      <c r="I24" s="176">
        <f>+q9_E!$H$47</f>
        <v>2363</v>
      </c>
      <c r="J24" s="176">
        <f>+q9_E!$I$47</f>
        <v>2178</v>
      </c>
      <c r="K24" s="176">
        <f>+q9_E!$J$47</f>
        <v>2347</v>
      </c>
      <c r="L24" s="176">
        <f>+q9_E!$K$47</f>
        <v>3016</v>
      </c>
      <c r="M24" s="176">
        <f>+q9_E!$L$47</f>
        <v>3744</v>
      </c>
      <c r="N24" s="176">
        <f>+q9_E!$M$47</f>
        <v>4642</v>
      </c>
      <c r="R24" t="str">
        <f t="shared" si="3"/>
        <v>R</v>
      </c>
      <c r="S24">
        <f t="shared" si="1"/>
        <v>1357</v>
      </c>
      <c r="T24">
        <f t="shared" si="1"/>
        <v>1580</v>
      </c>
      <c r="U24">
        <f t="shared" si="1"/>
        <v>1556</v>
      </c>
      <c r="V24">
        <f t="shared" si="1"/>
        <v>1738</v>
      </c>
      <c r="W24">
        <f t="shared" si="1"/>
        <v>2069</v>
      </c>
      <c r="X24">
        <f t="shared" si="1"/>
        <v>2363</v>
      </c>
      <c r="Y24">
        <f t="shared" si="1"/>
        <v>2178</v>
      </c>
      <c r="Z24">
        <f t="shared" si="1"/>
        <v>2347</v>
      </c>
      <c r="AA24">
        <f t="shared" si="1"/>
        <v>3016</v>
      </c>
      <c r="AB24">
        <f t="shared" si="1"/>
        <v>3744</v>
      </c>
      <c r="AC24">
        <f t="shared" si="1"/>
        <v>4642</v>
      </c>
    </row>
    <row r="25" spans="1:54">
      <c r="A25" s="383"/>
      <c r="B25" t="str">
        <f>+q9_E!$A$48</f>
        <v>S</v>
      </c>
      <c r="C25" t="str">
        <f>+q9_E!$B$48</f>
        <v>Outras atividades de serviços</v>
      </c>
      <c r="D25" s="176">
        <f>+q9_E!$C$48</f>
        <v>3061</v>
      </c>
      <c r="E25" s="176">
        <f>+q9_E!$D$48</f>
        <v>3074</v>
      </c>
      <c r="F25" s="176">
        <f>+q9_E!$E$48</f>
        <v>3180</v>
      </c>
      <c r="G25" s="176">
        <f>+q9_E!$F$48</f>
        <v>3326</v>
      </c>
      <c r="H25" s="176">
        <f>+q9_E!$G$48</f>
        <v>3658</v>
      </c>
      <c r="I25" s="176">
        <f>+q9_E!$H$48</f>
        <v>3877</v>
      </c>
      <c r="J25" s="176">
        <f>+q9_E!$I$48</f>
        <v>3691</v>
      </c>
      <c r="K25" s="176">
        <f>+q9_E!$J$48</f>
        <v>3507</v>
      </c>
      <c r="L25" s="176">
        <f>+q9_E!$K$48</f>
        <v>4459</v>
      </c>
      <c r="M25" s="176">
        <f>+q9_E!$L$48</f>
        <v>5364</v>
      </c>
      <c r="N25" s="176">
        <f>+q9_E!$M$48</f>
        <v>6581</v>
      </c>
      <c r="R25" t="str">
        <f t="shared" si="3"/>
        <v>S</v>
      </c>
      <c r="S25">
        <f t="shared" si="1"/>
        <v>3061</v>
      </c>
      <c r="T25">
        <f t="shared" si="1"/>
        <v>3074</v>
      </c>
      <c r="U25">
        <f t="shared" si="1"/>
        <v>3180</v>
      </c>
      <c r="V25">
        <f t="shared" si="1"/>
        <v>3326</v>
      </c>
      <c r="W25">
        <f t="shared" si="1"/>
        <v>3658</v>
      </c>
      <c r="X25">
        <f t="shared" si="1"/>
        <v>3877</v>
      </c>
      <c r="Y25">
        <f t="shared" si="1"/>
        <v>3691</v>
      </c>
      <c r="Z25">
        <f t="shared" si="1"/>
        <v>3507</v>
      </c>
      <c r="AA25">
        <f t="shared" si="1"/>
        <v>4459</v>
      </c>
      <c r="AB25">
        <f t="shared" si="1"/>
        <v>5364</v>
      </c>
      <c r="AC25">
        <f t="shared" si="1"/>
        <v>6581</v>
      </c>
    </row>
    <row r="26" spans="1:54">
      <c r="A26" s="383"/>
      <c r="B26" t="str">
        <f>+q9_E!$A$49</f>
        <v>U</v>
      </c>
      <c r="C26" t="str">
        <f>+q9_E!$B$49</f>
        <v>Ativ. org. int. e o. inst. extra-territ.</v>
      </c>
      <c r="D26" s="176">
        <f>+q9_E!$C$49</f>
        <v>17</v>
      </c>
      <c r="E26" s="176">
        <f>+q9_E!$D$49</f>
        <v>15</v>
      </c>
      <c r="F26" s="176">
        <f>+q9_E!$E$49</f>
        <v>15</v>
      </c>
      <c r="G26" s="176">
        <f>+q9_E!$F$49</f>
        <v>13</v>
      </c>
      <c r="H26" s="176">
        <f>+q9_E!$G$49</f>
        <v>11</v>
      </c>
      <c r="I26" s="176">
        <f>+q9_E!$H$49</f>
        <v>9</v>
      </c>
      <c r="J26" s="176">
        <f>+q9_E!$I$49</f>
        <v>14</v>
      </c>
      <c r="K26" s="176">
        <f>+q9_E!$J$49</f>
        <v>32</v>
      </c>
      <c r="L26" s="176">
        <f>+q9_E!$K$49</f>
        <v>35</v>
      </c>
      <c r="M26" s="176">
        <f>+q9_E!$L$49</f>
        <v>39</v>
      </c>
      <c r="N26" s="176">
        <f>+q9_E!$M$49</f>
        <v>41</v>
      </c>
      <c r="R26" t="str">
        <f t="shared" si="3"/>
        <v>U</v>
      </c>
      <c r="S26">
        <f t="shared" si="1"/>
        <v>17</v>
      </c>
      <c r="T26">
        <f t="shared" si="1"/>
        <v>15</v>
      </c>
      <c r="U26">
        <f t="shared" si="1"/>
        <v>15</v>
      </c>
      <c r="V26">
        <f t="shared" si="1"/>
        <v>13</v>
      </c>
      <c r="W26">
        <f t="shared" si="1"/>
        <v>11</v>
      </c>
      <c r="X26">
        <f t="shared" si="1"/>
        <v>9</v>
      </c>
      <c r="Y26">
        <f t="shared" si="1"/>
        <v>14</v>
      </c>
      <c r="Z26">
        <f t="shared" si="1"/>
        <v>32</v>
      </c>
      <c r="AA26">
        <f t="shared" si="1"/>
        <v>35</v>
      </c>
      <c r="AB26">
        <f t="shared" si="1"/>
        <v>39</v>
      </c>
      <c r="AC26">
        <f t="shared" si="1"/>
        <v>41</v>
      </c>
      <c r="AN26" s="383"/>
    </row>
    <row r="27" spans="1:54">
      <c r="A27" s="383"/>
      <c r="B27" s="383"/>
      <c r="C27" s="383"/>
    </row>
    <row r="28" spans="1:54">
      <c r="A28" s="383"/>
      <c r="B28" s="383"/>
      <c r="C28" s="383"/>
    </row>
    <row r="29" spans="1:54">
      <c r="A29" s="383"/>
      <c r="B29" s="383"/>
      <c r="C29" s="383"/>
    </row>
    <row r="30" spans="1:54">
      <c r="A30" s="628" t="s">
        <v>831</v>
      </c>
      <c r="B30" s="383"/>
      <c r="C30" s="383"/>
    </row>
    <row r="31" spans="1:54">
      <c r="A31" s="383" t="s">
        <v>911</v>
      </c>
      <c r="B31" t="str">
        <f>+q13_E!$A$6</f>
        <v>A</v>
      </c>
      <c r="C31" t="str">
        <f>+q13_E!$B$6</f>
        <v>Agr., pr. animal, caça, flor. pesca</v>
      </c>
      <c r="D31" s="176">
        <f>+q13_E!$C$6</f>
        <v>7062</v>
      </c>
      <c r="E31" s="176">
        <f>+q13_E!$D$6</f>
        <v>7786</v>
      </c>
      <c r="F31" s="176">
        <f>+q13_E!$E$6</f>
        <v>9277</v>
      </c>
      <c r="G31" s="176">
        <f>+q13_E!$F$6</f>
        <v>9922</v>
      </c>
      <c r="H31" s="176">
        <f>+q13_E!$G$6</f>
        <v>11861</v>
      </c>
      <c r="I31" s="176">
        <f>+q13_E!$H$6</f>
        <v>14225</v>
      </c>
      <c r="J31" s="176">
        <f>+q13_E!$I$6</f>
        <v>18717</v>
      </c>
      <c r="K31" s="176">
        <f>+q13_E!$J$6</f>
        <v>17965</v>
      </c>
      <c r="L31" s="176">
        <f>+q13_E!$K$6</f>
        <v>22397</v>
      </c>
      <c r="M31" s="176">
        <f>+q13_E!$L$6</f>
        <v>25857</v>
      </c>
      <c r="N31" s="176">
        <f>+q13_E!$M$6</f>
        <v>30673</v>
      </c>
      <c r="R31" s="383"/>
    </row>
    <row r="32" spans="1:54">
      <c r="A32" s="383"/>
      <c r="B32" t="str">
        <f>+q13_E!$A$7</f>
        <v>B</v>
      </c>
      <c r="C32" t="str">
        <f>+q13_E!$B$7</f>
        <v>Indústrias extrativas</v>
      </c>
      <c r="D32" s="176">
        <f>+q13_E!$C$7</f>
        <v>228</v>
      </c>
      <c r="E32" s="176">
        <f>+q13_E!$D$7</f>
        <v>227</v>
      </c>
      <c r="F32" s="176">
        <f>+q13_E!$E$7</f>
        <v>219</v>
      </c>
      <c r="G32" s="176">
        <f>+q13_E!$F$7</f>
        <v>232</v>
      </c>
      <c r="H32" s="176">
        <f>+q13_E!$G$7</f>
        <v>249</v>
      </c>
      <c r="I32" s="176">
        <f>+q13_E!$H$7</f>
        <v>273</v>
      </c>
      <c r="J32" s="176">
        <f>+q13_E!$I$7</f>
        <v>287</v>
      </c>
      <c r="K32" s="176">
        <f>+q13_E!$J$7</f>
        <v>349</v>
      </c>
      <c r="L32" s="176">
        <f>+q13_E!$K$7</f>
        <v>522</v>
      </c>
      <c r="M32" s="176">
        <f>+q13_E!$L$7</f>
        <v>737</v>
      </c>
      <c r="N32" s="176">
        <f>+q13_E!$M$7</f>
        <v>1025</v>
      </c>
      <c r="R32" s="383"/>
    </row>
    <row r="33" spans="1:50">
      <c r="A33" s="383"/>
      <c r="B33" t="str">
        <f>+q13_E!$A$8</f>
        <v>C</v>
      </c>
      <c r="C33" t="str">
        <f>+q13_E!$B$8</f>
        <v>Indústrias transformadoras</v>
      </c>
      <c r="D33" s="176">
        <f>+q13_E!$C$8</f>
        <v>11324</v>
      </c>
      <c r="E33" s="176">
        <f>+q13_E!$D$8</f>
        <v>11833</v>
      </c>
      <c r="F33" s="176">
        <f>+q13_E!$E$8</f>
        <v>12481</v>
      </c>
      <c r="G33" s="176">
        <f>+q13_E!$F$8</f>
        <v>13478</v>
      </c>
      <c r="H33" s="176">
        <f>+q13_E!$G$8</f>
        <v>16688</v>
      </c>
      <c r="I33" s="176">
        <f>+q13_E!$H$8</f>
        <v>20396</v>
      </c>
      <c r="J33" s="176">
        <f>+q13_E!$I$8</f>
        <v>22035</v>
      </c>
      <c r="K33" s="176">
        <f>+q13_E!$J$8</f>
        <v>23964</v>
      </c>
      <c r="L33" s="176">
        <f>+q13_E!$K$8</f>
        <v>36090</v>
      </c>
      <c r="M33" s="176">
        <f>+q13_E!$L$8</f>
        <v>48796</v>
      </c>
      <c r="N33" s="176">
        <f>+q13_E!$M$8</f>
        <v>59815</v>
      </c>
      <c r="R33" s="383"/>
    </row>
    <row r="34" spans="1:50">
      <c r="A34" s="383"/>
      <c r="B34" t="str">
        <f>+q13_E!$A$33</f>
        <v>D</v>
      </c>
      <c r="C34" t="str">
        <f>+q13_E!$B$33</f>
        <v>Eletr., gás, ág. quente/fria e ar frio</v>
      </c>
      <c r="D34" s="176">
        <f>+q13_E!$C$33</f>
        <v>57</v>
      </c>
      <c r="E34" s="176">
        <f>+q13_E!$D$33</f>
        <v>57</v>
      </c>
      <c r="F34" s="176">
        <f>+q13_E!$E$33</f>
        <v>62</v>
      </c>
      <c r="G34" s="176">
        <f>+q13_E!$F$33</f>
        <v>61</v>
      </c>
      <c r="H34" s="176">
        <f>+q13_E!$G$33</f>
        <v>100</v>
      </c>
      <c r="I34" s="176">
        <f>+q13_E!$H$33</f>
        <v>98</v>
      </c>
      <c r="J34" s="176">
        <f>+q13_E!$I$33</f>
        <v>108</v>
      </c>
      <c r="K34" s="176">
        <f>+q13_E!$J$33</f>
        <v>116</v>
      </c>
      <c r="L34" s="176">
        <f>+q13_E!$K$33</f>
        <v>153</v>
      </c>
      <c r="M34" s="176">
        <f>+q13_E!$L$33</f>
        <v>226</v>
      </c>
      <c r="N34" s="176">
        <f>+q13_E!$M$33</f>
        <v>298</v>
      </c>
      <c r="R34" s="383"/>
    </row>
    <row r="35" spans="1:50">
      <c r="A35" s="383"/>
      <c r="B35" t="str">
        <f>+q13_E!$A$34</f>
        <v>E</v>
      </c>
      <c r="C35" t="str">
        <f>+q13_E!$B$34</f>
        <v>Capt., trat. e d. água; san., resíd.</v>
      </c>
      <c r="D35" s="176">
        <f>+q13_E!$C$34</f>
        <v>952</v>
      </c>
      <c r="E35" s="176">
        <f>+q13_E!$D$34</f>
        <v>944</v>
      </c>
      <c r="F35" s="176">
        <f>+q13_E!$E$34</f>
        <v>952</v>
      </c>
      <c r="G35" s="176">
        <f>+q13_E!$F$34</f>
        <v>969</v>
      </c>
      <c r="H35" s="176">
        <f>+q13_E!$G$34</f>
        <v>1047</v>
      </c>
      <c r="I35" s="176">
        <f>+q13_E!$H$34</f>
        <v>1251</v>
      </c>
      <c r="J35" s="176">
        <f>+q13_E!$I$34</f>
        <v>1574</v>
      </c>
      <c r="K35" s="176">
        <f>+q13_E!$J$34</f>
        <v>1741</v>
      </c>
      <c r="L35" s="176">
        <f>+q13_E!$K$34</f>
        <v>1875</v>
      </c>
      <c r="M35" s="176">
        <f>+q13_E!$L$34</f>
        <v>2276</v>
      </c>
      <c r="N35" s="176">
        <f>+q13_E!$M$34</f>
        <v>3069</v>
      </c>
    </row>
    <row r="36" spans="1:50">
      <c r="A36" s="383"/>
      <c r="B36" t="str">
        <f>+q13_E!$A$35</f>
        <v>F</v>
      </c>
      <c r="C36" t="str">
        <f>+q13_E!$B$35</f>
        <v>Construção</v>
      </c>
      <c r="D36" s="176">
        <f>+q13_E!$C$35</f>
        <v>9411</v>
      </c>
      <c r="E36" s="176">
        <f>+q13_E!$D$35</f>
        <v>9612</v>
      </c>
      <c r="F36" s="176">
        <f>+q13_E!$E$35</f>
        <v>10229</v>
      </c>
      <c r="G36" s="176">
        <f>+q13_E!$F$35</f>
        <v>11902</v>
      </c>
      <c r="H36" s="176">
        <f>+q13_E!$G$35</f>
        <v>15254</v>
      </c>
      <c r="I36" s="176">
        <f>+q13_E!$H$35</f>
        <v>20822</v>
      </c>
      <c r="J36" s="176">
        <f>+q13_E!$I$35</f>
        <v>24637</v>
      </c>
      <c r="K36" s="176">
        <f>+q13_E!$J$35</f>
        <v>25659</v>
      </c>
      <c r="L36" s="176">
        <f>+q13_E!$K$35</f>
        <v>36688</v>
      </c>
      <c r="M36" s="176">
        <f>+q13_E!$L$35</f>
        <v>49570</v>
      </c>
      <c r="N36" s="176">
        <f>+q13_E!$M$35</f>
        <v>65624</v>
      </c>
    </row>
    <row r="37" spans="1:50">
      <c r="A37" s="383"/>
      <c r="B37" t="str">
        <f>+q13_E!$A$36</f>
        <v>G</v>
      </c>
      <c r="C37" t="str">
        <f>+q13_E!$B$36</f>
        <v>Com. grosso e ret.; r.v.aut./moto.</v>
      </c>
      <c r="D37" s="176">
        <f>+q13_E!$C$36</f>
        <v>15398</v>
      </c>
      <c r="E37" s="176">
        <f>+q13_E!$D$36</f>
        <v>16135</v>
      </c>
      <c r="F37" s="176">
        <f>+q13_E!$E$36</f>
        <v>16032</v>
      </c>
      <c r="G37" s="176">
        <f>+q13_E!$F$36</f>
        <v>16641</v>
      </c>
      <c r="H37" s="176">
        <f>+q13_E!$G$36</f>
        <v>19315</v>
      </c>
      <c r="I37" s="176">
        <f>+q13_E!$H$36</f>
        <v>23342</v>
      </c>
      <c r="J37" s="176">
        <f>+q13_E!$I$36</f>
        <v>23158</v>
      </c>
      <c r="K37" s="176">
        <f>+q13_E!$J$36</f>
        <v>24369</v>
      </c>
      <c r="L37" s="176">
        <f>+q13_E!$K$36</f>
        <v>31985</v>
      </c>
      <c r="M37" s="176">
        <f>+q13_E!$L$36</f>
        <v>43761</v>
      </c>
      <c r="N37" s="176">
        <f>+q13_E!$M$36</f>
        <v>55336</v>
      </c>
    </row>
    <row r="38" spans="1:50">
      <c r="A38" s="383"/>
      <c r="B38" t="str">
        <f>+q13_E!$A$37</f>
        <v>H</v>
      </c>
      <c r="C38" t="str">
        <f>+q13_E!$B$37</f>
        <v>Transportes e armazenagem</v>
      </c>
      <c r="D38" s="176">
        <f>+q13_E!$C$37</f>
        <v>5190</v>
      </c>
      <c r="E38" s="176">
        <f>+q13_E!$D$37</f>
        <v>5206</v>
      </c>
      <c r="F38" s="176">
        <f>+q13_E!$E$37</f>
        <v>4941</v>
      </c>
      <c r="G38" s="176">
        <f>+q13_E!$F$37</f>
        <v>5119</v>
      </c>
      <c r="H38" s="176">
        <f>+q13_E!$G$37</f>
        <v>6087</v>
      </c>
      <c r="I38" s="176">
        <f>+q13_E!$H$37</f>
        <v>6628</v>
      </c>
      <c r="J38" s="176">
        <f>+q13_E!$I$37</f>
        <v>6808</v>
      </c>
      <c r="K38" s="176">
        <f>+q13_E!$J$37</f>
        <v>7054</v>
      </c>
      <c r="L38" s="176">
        <f>+q13_E!$K$37</f>
        <v>8641</v>
      </c>
      <c r="M38" s="176">
        <f>+q13_E!$L$37</f>
        <v>12229</v>
      </c>
      <c r="N38" s="176">
        <f>+q13_E!$M$37</f>
        <v>17632</v>
      </c>
      <c r="P38" s="383"/>
    </row>
    <row r="39" spans="1:50">
      <c r="A39" s="383"/>
      <c r="B39" t="str">
        <f>+q13_E!$A$38</f>
        <v>I</v>
      </c>
      <c r="C39" t="str">
        <f>+q13_E!$B$38</f>
        <v>Alojamento, restauração e sim.</v>
      </c>
      <c r="D39" s="176">
        <f>+q13_E!$C$38</f>
        <v>21269</v>
      </c>
      <c r="E39" s="176">
        <f>+q13_E!$D$38</f>
        <v>23142</v>
      </c>
      <c r="F39" s="176">
        <f>+q13_E!$E$38</f>
        <v>25658</v>
      </c>
      <c r="G39" s="176">
        <f>+q13_E!$F$38</f>
        <v>29478</v>
      </c>
      <c r="H39" s="176">
        <f>+q13_E!$G$38</f>
        <v>36191</v>
      </c>
      <c r="I39" s="176">
        <f>+q13_E!$H$38</f>
        <v>44744</v>
      </c>
      <c r="J39" s="176">
        <f>+q13_E!$I$38</f>
        <v>34517</v>
      </c>
      <c r="K39" s="176">
        <f>+q13_E!$J$38</f>
        <v>35893</v>
      </c>
      <c r="L39" s="176">
        <f>+q13_E!$K$38</f>
        <v>56634</v>
      </c>
      <c r="M39" s="176">
        <f>+q13_E!$L$38</f>
        <v>75785</v>
      </c>
      <c r="N39" s="176">
        <f>+q13_E!$M$38</f>
        <v>93337</v>
      </c>
      <c r="Q39" s="492"/>
      <c r="R39" s="383"/>
    </row>
    <row r="40" spans="1:50">
      <c r="A40" s="383"/>
      <c r="B40" t="str">
        <f>+q13_E!$A$39</f>
        <v>J</v>
      </c>
      <c r="C40" t="str">
        <f>+q13_E!$B$39</f>
        <v xml:space="preserve">Ativ. Inform. e de comunicação </v>
      </c>
      <c r="D40" s="176">
        <f>+q13_E!$C$39</f>
        <v>1513</v>
      </c>
      <c r="E40" s="176">
        <f>+q13_E!$D$39</f>
        <v>1745</v>
      </c>
      <c r="F40" s="176">
        <f>+q13_E!$E$39</f>
        <v>2105</v>
      </c>
      <c r="G40" s="176">
        <f>+q13_E!$F$39</f>
        <v>2663</v>
      </c>
      <c r="H40" s="176">
        <f>+q13_E!$G$39</f>
        <v>3726</v>
      </c>
      <c r="I40" s="176">
        <f>+q13_E!$H$39</f>
        <v>5752</v>
      </c>
      <c r="J40" s="176">
        <f>+q13_E!$I$39</f>
        <v>7803</v>
      </c>
      <c r="K40" s="176">
        <f>+q13_E!$J$39</f>
        <v>8851</v>
      </c>
      <c r="L40" s="176">
        <f>+q13_E!$K$39</f>
        <v>14004</v>
      </c>
      <c r="M40" s="176">
        <f>+q13_E!$L$39</f>
        <v>15638</v>
      </c>
      <c r="N40" s="176">
        <f>+q13_E!$M$39</f>
        <v>18017</v>
      </c>
      <c r="Q40" s="492"/>
      <c r="R40" s="383"/>
    </row>
    <row r="41" spans="1:50">
      <c r="A41" s="383"/>
      <c r="B41" t="str">
        <f>+q13_E!$A$40</f>
        <v>K</v>
      </c>
      <c r="C41" t="str">
        <f>+q13_E!$B$40</f>
        <v>Ativ. financeiras e de seguros</v>
      </c>
      <c r="D41" s="176">
        <f>+q13_E!$C$40</f>
        <v>921</v>
      </c>
      <c r="E41" s="176">
        <f>+q13_E!$D$40</f>
        <v>949</v>
      </c>
      <c r="F41" s="176">
        <f>+q13_E!$E$40</f>
        <v>995</v>
      </c>
      <c r="G41" s="176">
        <f>+q13_E!$F$40</f>
        <v>1132</v>
      </c>
      <c r="H41" s="176">
        <f>+q13_E!$G$40</f>
        <v>1364</v>
      </c>
      <c r="I41" s="176">
        <f>+q13_E!$H$40</f>
        <v>1600</v>
      </c>
      <c r="J41" s="176">
        <f>+q13_E!$I$40</f>
        <v>1758</v>
      </c>
      <c r="K41" s="176">
        <f>+q13_E!$J$40</f>
        <v>1992</v>
      </c>
      <c r="L41" s="176">
        <f>+q13_E!$K$40</f>
        <v>2496</v>
      </c>
      <c r="M41" s="176">
        <f>+q13_E!$L$40</f>
        <v>3149</v>
      </c>
      <c r="N41" s="176">
        <f>+q13_E!$M$40</f>
        <v>3657</v>
      </c>
      <c r="R41" s="384" t="s">
        <v>392</v>
      </c>
    </row>
    <row r="42" spans="1:50">
      <c r="A42" s="383"/>
      <c r="B42" t="str">
        <f>+q13_E!$A$41</f>
        <v>L</v>
      </c>
      <c r="C42" t="str">
        <f>+q13_E!$B$41</f>
        <v>Atividades imobiliárias</v>
      </c>
      <c r="D42" s="176">
        <f>+q13_E!$C$41</f>
        <v>1248</v>
      </c>
      <c r="E42" s="176">
        <f>+q13_E!$D$41</f>
        <v>1359</v>
      </c>
      <c r="F42" s="176">
        <f>+q13_E!$E$41</f>
        <v>1316</v>
      </c>
      <c r="G42" s="176">
        <f>+q13_E!$F$41</f>
        <v>1547</v>
      </c>
      <c r="H42" s="176">
        <f>+q13_E!$G$41</f>
        <v>1777</v>
      </c>
      <c r="I42" s="176">
        <f>+q13_E!$H$41</f>
        <v>1934</v>
      </c>
      <c r="J42" s="176">
        <f>+q13_E!$I$41</f>
        <v>1886</v>
      </c>
      <c r="K42" s="176">
        <f>+q13_E!$J$41</f>
        <v>2002</v>
      </c>
      <c r="L42" s="176">
        <f>+q13_E!$K$41</f>
        <v>2515</v>
      </c>
      <c r="M42" s="176">
        <f>+q13_E!$L$41</f>
        <v>3252</v>
      </c>
      <c r="N42" s="176">
        <f>+q13_E!$M$41</f>
        <v>4330</v>
      </c>
      <c r="R42" s="384" t="s">
        <v>203</v>
      </c>
      <c r="V42" s="496"/>
    </row>
    <row r="43" spans="1:50">
      <c r="A43" s="383"/>
      <c r="B43" t="str">
        <f>+q13_E!$A$42</f>
        <v>M</v>
      </c>
      <c r="C43" t="str">
        <f>+q13_E!$B$42</f>
        <v>Ativ. consultoria, cient.,téc. e sim.</v>
      </c>
      <c r="D43" s="176">
        <f>+q13_E!$C$42</f>
        <v>2600</v>
      </c>
      <c r="E43" s="176">
        <f>+q13_E!$D$42</f>
        <v>2757</v>
      </c>
      <c r="F43" s="176">
        <f>+q13_E!$E$42</f>
        <v>3113</v>
      </c>
      <c r="G43" s="176">
        <f>+q13_E!$F$42</f>
        <v>3200</v>
      </c>
      <c r="H43" s="176">
        <f>+q13_E!$G$42</f>
        <v>4512</v>
      </c>
      <c r="I43" s="176">
        <f>+q13_E!$H$42</f>
        <v>6422</v>
      </c>
      <c r="J43" s="176">
        <f>+q13_E!$I$42</f>
        <v>6700</v>
      </c>
      <c r="K43" s="176">
        <f>+q13_E!$J$42</f>
        <v>6972</v>
      </c>
      <c r="L43" s="176">
        <f>+q13_E!$K$42</f>
        <v>9749</v>
      </c>
      <c r="M43" s="176">
        <f>+q13_E!$L$42</f>
        <v>13438</v>
      </c>
      <c r="N43" s="176">
        <f>+q13_E!$M$42</f>
        <v>17928</v>
      </c>
      <c r="R43" s="384" t="s">
        <v>205</v>
      </c>
      <c r="U43" s="384" t="s">
        <v>182</v>
      </c>
      <c r="V43" s="497"/>
    </row>
    <row r="44" spans="1:50">
      <c r="A44" s="383"/>
      <c r="B44" t="str">
        <f>+q13_E!$A$43</f>
        <v>N</v>
      </c>
      <c r="C44" t="str">
        <f>+q13_E!$B$43</f>
        <v>Ativ. Adm. e serviços de apoio</v>
      </c>
      <c r="D44" s="176">
        <f>+q13_E!$C$43</f>
        <v>21437</v>
      </c>
      <c r="E44" s="176">
        <f>+q13_E!$D$43</f>
        <v>22003</v>
      </c>
      <c r="F44" s="176">
        <f>+q13_E!$E$43</f>
        <v>27232</v>
      </c>
      <c r="G44" s="176">
        <f>+q13_E!$F$43</f>
        <v>30651</v>
      </c>
      <c r="H44" s="176">
        <f>+q13_E!$G$43</f>
        <v>35966</v>
      </c>
      <c r="I44" s="176">
        <f>+q13_E!$H$43</f>
        <v>45207</v>
      </c>
      <c r="J44" s="176">
        <f>+q13_E!$I$43</f>
        <v>48050</v>
      </c>
      <c r="K44" s="176">
        <f>+q13_E!$J$43</f>
        <v>50843</v>
      </c>
      <c r="L44" s="176">
        <f>+q13_E!$K$43</f>
        <v>72062</v>
      </c>
      <c r="M44" s="176">
        <f>+q13_E!$L$43</f>
        <v>86476</v>
      </c>
      <c r="N44" s="176">
        <f>+q13_E!$M$43</f>
        <v>97030</v>
      </c>
      <c r="Q44" s="384" t="s">
        <v>435</v>
      </c>
      <c r="R44" s="513">
        <f>+$V$69</f>
        <v>2024</v>
      </c>
      <c r="S44" s="384" t="str">
        <f>R44&amp;" % do total"</f>
        <v>2024 % do total</v>
      </c>
      <c r="T44" s="384"/>
      <c r="U44" s="513">
        <f>+$V$69</f>
        <v>2024</v>
      </c>
      <c r="W44" s="384" t="str">
        <f>U44&amp;" % do total"</f>
        <v>2024 % do total</v>
      </c>
      <c r="X44" s="384"/>
    </row>
    <row r="45" spans="1:50">
      <c r="A45" s="383"/>
      <c r="B45" t="str">
        <f>+q13_E!$A$44</f>
        <v>O</v>
      </c>
      <c r="C45" t="str">
        <f>+q13_E!$B$44</f>
        <v xml:space="preserve">Adm. Púb. e defesa; seg. social </v>
      </c>
      <c r="D45" s="176">
        <f>+q13_E!$C$44</f>
        <v>110</v>
      </c>
      <c r="E45" s="176">
        <f>+q13_E!$D$44</f>
        <v>110</v>
      </c>
      <c r="F45" s="176">
        <f>+q13_E!$E$44</f>
        <v>109</v>
      </c>
      <c r="G45" s="176">
        <f>+q13_E!$F$44</f>
        <v>113</v>
      </c>
      <c r="H45" s="176">
        <f>+q13_E!$G$44</f>
        <v>105</v>
      </c>
      <c r="I45" s="176">
        <f>+q13_E!$H$44</f>
        <v>103</v>
      </c>
      <c r="J45" s="176">
        <f>+q13_E!$I$44</f>
        <v>114</v>
      </c>
      <c r="K45" s="176">
        <f>+q13_E!$J$44</f>
        <v>115</v>
      </c>
      <c r="L45" s="176">
        <f>+q13_E!$K$44</f>
        <v>182</v>
      </c>
      <c r="M45" s="176">
        <f>+q13_E!$L$44</f>
        <v>274</v>
      </c>
      <c r="N45" s="176">
        <f>+q13_E!$M$44</f>
        <v>471</v>
      </c>
      <c r="Q45" t="str">
        <f>+$U$70</f>
        <v>N</v>
      </c>
      <c r="R45" s="453" t="str">
        <f>+VLOOKUP($Q45,Aux!$B$14:$D$33,3)</f>
        <v>Ativ. Admin. e dos serv. apoio</v>
      </c>
      <c r="S45" s="484" t="str">
        <f>+TEXT($X$70,"##.###,0%")</f>
        <v>18,7%</v>
      </c>
      <c r="U45" s="453" t="str">
        <f>+$U$79</f>
        <v>N</v>
      </c>
      <c r="V45" s="453" t="str">
        <f>+VLOOKUP($U45,Aux!$B$14:$D$33,3)</f>
        <v>Ativ. Admin. e dos serv. apoio</v>
      </c>
      <c r="W45" s="484" t="str">
        <f>+TEXT($X$79,"##.###,0%")</f>
        <v>19,0%</v>
      </c>
    </row>
    <row r="46" spans="1:50">
      <c r="A46" s="383"/>
      <c r="B46" t="str">
        <f>+q13_E!$A$45</f>
        <v>P</v>
      </c>
      <c r="C46" t="str">
        <f>+q13_E!$B$45</f>
        <v>Educação</v>
      </c>
      <c r="D46" s="176">
        <f>+q13_E!$C$45</f>
        <v>1711</v>
      </c>
      <c r="E46" s="176">
        <f>+q13_E!$D$45</f>
        <v>1772</v>
      </c>
      <c r="F46" s="176">
        <f>+q13_E!$E$45</f>
        <v>1789</v>
      </c>
      <c r="G46" s="176">
        <f>+q13_E!$F$45</f>
        <v>1787</v>
      </c>
      <c r="H46" s="176">
        <f>+q13_E!$G$45</f>
        <v>1962</v>
      </c>
      <c r="I46" s="176">
        <f>+q13_E!$H$45</f>
        <v>2261</v>
      </c>
      <c r="J46" s="176">
        <f>+q13_E!$I$45</f>
        <v>2499</v>
      </c>
      <c r="K46" s="176">
        <f>+q13_E!$J$45</f>
        <v>2619</v>
      </c>
      <c r="L46" s="176">
        <f>+q13_E!$K$45</f>
        <v>2863</v>
      </c>
      <c r="M46" s="176">
        <f>+q13_E!$L$45</f>
        <v>3778</v>
      </c>
      <c r="N46" s="176">
        <f>+q13_E!$M$45</f>
        <v>4452</v>
      </c>
      <c r="Q46" t="str">
        <f>+$U$71</f>
        <v>I</v>
      </c>
      <c r="R46" s="453" t="str">
        <f>+VLOOKUP($Q46,Aux!$B$14:$D$33,3)</f>
        <v>Aloj., rest. e sim.</v>
      </c>
      <c r="S46" s="484" t="str">
        <f>+TEXT($X$71,"##.###,0%")</f>
        <v>18,3%</v>
      </c>
      <c r="T46" s="484"/>
      <c r="U46" s="453" t="str">
        <f>+$U$80</f>
        <v>I</v>
      </c>
      <c r="V46" s="453" t="str">
        <f>+VLOOKUP($U46,Aux!$B$14:$D$33,3)</f>
        <v>Aloj., rest. e sim.</v>
      </c>
      <c r="W46" s="484" t="str">
        <f>+TEXT($X$80,"##.###,0%")</f>
        <v>18,3%</v>
      </c>
    </row>
    <row r="47" spans="1:50">
      <c r="A47" s="383"/>
      <c r="B47" t="str">
        <f>+q13_E!$A$46</f>
        <v>Q</v>
      </c>
      <c r="C47" t="str">
        <f>+q13_E!$B$46</f>
        <v>Ativ. saúde humana e apoio social</v>
      </c>
      <c r="D47" s="176">
        <f>+q13_E!$C$46</f>
        <v>5859</v>
      </c>
      <c r="E47" s="176">
        <f>+q13_E!$D$46</f>
        <v>6048</v>
      </c>
      <c r="F47" s="176">
        <f>+q13_E!$E$46</f>
        <v>6360</v>
      </c>
      <c r="G47" s="176">
        <f>+q13_E!$F$46</f>
        <v>6756</v>
      </c>
      <c r="H47" s="176">
        <f>+q13_E!$G$46</f>
        <v>7801</v>
      </c>
      <c r="I47" s="176">
        <f>+q13_E!$H$46</f>
        <v>9731</v>
      </c>
      <c r="J47" s="176">
        <f>+q13_E!$I$46</f>
        <v>11645</v>
      </c>
      <c r="K47" s="176">
        <f>+q13_E!$J$46</f>
        <v>12519</v>
      </c>
      <c r="L47" s="176">
        <f>+q13_E!$K$46</f>
        <v>16095</v>
      </c>
      <c r="M47" s="176">
        <f>+q13_E!$L$46</f>
        <v>20862</v>
      </c>
      <c r="N47" s="176">
        <f>+q13_E!$M$46</f>
        <v>26390</v>
      </c>
      <c r="Q47" t="str">
        <f>+$U$72</f>
        <v>F</v>
      </c>
      <c r="R47" s="453" t="str">
        <f>+VLOOKUP($Q47,Aux!$B$14:$D$33,3)</f>
        <v>Construção</v>
      </c>
      <c r="S47" s="484" t="str">
        <f>+TEXT($X$72,"##.###,0%")</f>
        <v>12,9%</v>
      </c>
      <c r="T47" s="484"/>
      <c r="U47" s="453" t="str">
        <f>+$U$81</f>
        <v>F</v>
      </c>
      <c r="V47" s="453" t="str">
        <f>+VLOOKUP($U47,Aux!$B$14:$D$33,3)</f>
        <v>Construção</v>
      </c>
      <c r="W47" s="484" t="str">
        <f>+TEXT($X$81,"##.###,0%")</f>
        <v>12,9%</v>
      </c>
      <c r="X47" s="484"/>
      <c r="AX47" s="414"/>
    </row>
    <row r="48" spans="1:50">
      <c r="A48" s="383"/>
      <c r="B48" t="str">
        <f>+q13_E!$A$47</f>
        <v>R</v>
      </c>
      <c r="C48" t="str">
        <f>+q13_E!$B$47</f>
        <v>Ativ. artíst., espet., desp. e recr.</v>
      </c>
      <c r="D48" s="176">
        <f>+q13_E!$C$47</f>
        <v>1257</v>
      </c>
      <c r="E48" s="176">
        <f>+q13_E!$D$47</f>
        <v>1484</v>
      </c>
      <c r="F48" s="176">
        <f>+q13_E!$E$47</f>
        <v>1447</v>
      </c>
      <c r="G48" s="176">
        <f>+q13_E!$F$47</f>
        <v>1604</v>
      </c>
      <c r="H48" s="176">
        <f>+q13_E!$G$47</f>
        <v>1903</v>
      </c>
      <c r="I48" s="176">
        <f>+q13_E!$H$47</f>
        <v>2201</v>
      </c>
      <c r="J48" s="176">
        <f>+q13_E!$I$47</f>
        <v>2032</v>
      </c>
      <c r="K48" s="176">
        <f>+q13_E!$J$47</f>
        <v>2209</v>
      </c>
      <c r="L48" s="176">
        <f>+q13_E!$K$47</f>
        <v>2860</v>
      </c>
      <c r="M48" s="176">
        <f>+q13_E!$L$47</f>
        <v>3592</v>
      </c>
      <c r="N48" s="176">
        <f>+q13_E!$M$47</f>
        <v>4464</v>
      </c>
    </row>
    <row r="49" spans="1:56">
      <c r="A49" s="383"/>
      <c r="B49" t="str">
        <f>+q13_E!$A$48</f>
        <v>S</v>
      </c>
      <c r="C49" t="str">
        <f>+q13_E!$B$48</f>
        <v>Outras atividades de serviços</v>
      </c>
      <c r="D49" s="176">
        <f>+q13_E!$C$48</f>
        <v>2829</v>
      </c>
      <c r="E49" s="176">
        <f>+q13_E!$D$48</f>
        <v>2829</v>
      </c>
      <c r="F49" s="176">
        <f>+q13_E!$E$48</f>
        <v>2906</v>
      </c>
      <c r="G49" s="176">
        <f>+q13_E!$F$48</f>
        <v>3029</v>
      </c>
      <c r="H49" s="176">
        <f>+q13_E!$G$48</f>
        <v>3378</v>
      </c>
      <c r="I49" s="176">
        <f>+q13_E!$H$48</f>
        <v>3585</v>
      </c>
      <c r="J49" s="176">
        <f>+q13_E!$I$48</f>
        <v>3420</v>
      </c>
      <c r="K49" s="176">
        <f>+q13_E!$J$48</f>
        <v>3259</v>
      </c>
      <c r="L49" s="176">
        <f>+q13_E!$K$48</f>
        <v>4182</v>
      </c>
      <c r="M49" s="176">
        <f>+q13_E!$L$48</f>
        <v>5048</v>
      </c>
      <c r="N49" s="176">
        <f>+q13_E!$M$48</f>
        <v>6194</v>
      </c>
      <c r="Q49" s="384" t="s">
        <v>435</v>
      </c>
      <c r="R49" s="513">
        <f>+$B$69</f>
        <v>2014</v>
      </c>
      <c r="S49" s="384" t="str">
        <f>R49&amp;" % do total"</f>
        <v>2014 % do total</v>
      </c>
      <c r="T49" s="384"/>
      <c r="U49" s="513">
        <f>+$B$69</f>
        <v>2014</v>
      </c>
      <c r="V49" s="496"/>
      <c r="W49" s="384" t="str">
        <f>U49&amp;" % do total"</f>
        <v>2014 % do total</v>
      </c>
      <c r="X49" s="384"/>
    </row>
    <row r="50" spans="1:56">
      <c r="A50" s="383"/>
      <c r="B50" t="str">
        <f>+q13_E!$A$49</f>
        <v>U</v>
      </c>
      <c r="C50" t="str">
        <f>+q13_E!$B$49</f>
        <v>Ativ. org. int. e o. inst. extra-territ.</v>
      </c>
      <c r="D50" s="176">
        <f>+q13_E!$C$49</f>
        <v>15</v>
      </c>
      <c r="E50" s="176">
        <f>+q13_E!$D$49</f>
        <v>13</v>
      </c>
      <c r="F50" s="176">
        <f>+q13_E!$E$49</f>
        <v>13</v>
      </c>
      <c r="G50" s="176">
        <f>+q13_E!$F$49</f>
        <v>11</v>
      </c>
      <c r="H50" s="176">
        <f>+q13_E!$G$49</f>
        <v>9</v>
      </c>
      <c r="I50" s="176">
        <f>+q13_E!$H$49</f>
        <v>8</v>
      </c>
      <c r="J50" s="176">
        <f>+q13_E!$I$49</f>
        <v>13</v>
      </c>
      <c r="K50" s="176">
        <f>+q13_E!$J$49</f>
        <v>32</v>
      </c>
      <c r="L50" s="176">
        <f>+q13_E!$K$49</f>
        <v>35</v>
      </c>
      <c r="M50" s="176">
        <f>+q13_E!$L$49</f>
        <v>39</v>
      </c>
      <c r="N50" s="176">
        <f>+q13_E!$M$49</f>
        <v>41</v>
      </c>
      <c r="Q50" t="str">
        <f>+$A$70</f>
        <v>I</v>
      </c>
      <c r="R50" s="453" t="str">
        <f>+VLOOKUP($Q50,Aux!$B$14:$D$33,3)</f>
        <v>Aloj., rest. e sim.</v>
      </c>
      <c r="S50" s="484" t="str">
        <f>+TEXT($Y$70,"##.##0,0%")</f>
        <v>19,2%</v>
      </c>
      <c r="U50" s="453" t="str">
        <f>+$A$79</f>
        <v>N</v>
      </c>
      <c r="V50" s="453" t="str">
        <f>+VLOOKUP($U50,Aux!$B$14:$D$33,3)</f>
        <v>Ativ. Admin. e dos serv. apoio</v>
      </c>
      <c r="W50" s="484" t="str">
        <f>+TEXT($Y$79,"##.##0,0%")</f>
        <v>19,4%</v>
      </c>
    </row>
    <row r="51" spans="1:56">
      <c r="A51" s="383"/>
      <c r="B51" s="383"/>
      <c r="C51" s="383"/>
      <c r="Q51" t="str">
        <f>+$A$71</f>
        <v>N</v>
      </c>
      <c r="R51" s="453" t="str">
        <f>+VLOOKUP($Q51,Aux!$B$14:$D$33,3)</f>
        <v>Ativ. Admin. e dos serv. apoio</v>
      </c>
      <c r="S51" s="484" t="str">
        <f>+TEXT($Y$71,"##.##0,0%")</f>
        <v>18,6%</v>
      </c>
      <c r="T51" s="484"/>
      <c r="U51" s="453" t="str">
        <f>+$A$80</f>
        <v>I</v>
      </c>
      <c r="V51" s="453" t="str">
        <f>+VLOOKUP($U51,Aux!$B$14:$D$33,3)</f>
        <v>Aloj., rest. e sim.</v>
      </c>
      <c r="W51" s="484" t="str">
        <f>+TEXT($Y$80,"##.##0,0%")</f>
        <v>19,3%</v>
      </c>
    </row>
    <row r="52" spans="1:56">
      <c r="A52" s="383"/>
      <c r="B52" s="383"/>
      <c r="C52" s="383"/>
      <c r="Q52" t="str">
        <f>+$A$72</f>
        <v>G</v>
      </c>
      <c r="R52" s="453" t="str">
        <f>+VLOOKUP($Q52,Aux!$B$14:$D$33,3)</f>
        <v>Com. por grosso e ret. (…)</v>
      </c>
      <c r="S52" s="484" t="str">
        <f>+TEXT($Y$72,"##.##0,0%")</f>
        <v>14,9%</v>
      </c>
      <c r="T52" s="484"/>
      <c r="U52" s="453" t="str">
        <f>+$A$81</f>
        <v>G</v>
      </c>
      <c r="V52" s="453" t="str">
        <f>+VLOOKUP($U52,Aux!$B$14:$D$33,3)</f>
        <v>Com. por grosso e ret. (…)</v>
      </c>
      <c r="W52" s="484" t="str">
        <f>+TEXT($Y$81,"##.##0,0%")</f>
        <v>13,9%</v>
      </c>
      <c r="X52" s="484"/>
    </row>
    <row r="53" spans="1:56">
      <c r="A53" s="383"/>
      <c r="B53" s="383"/>
      <c r="C53" s="383"/>
    </row>
    <row r="54" spans="1:56">
      <c r="A54" s="383"/>
      <c r="B54" s="383"/>
      <c r="C54" s="383"/>
    </row>
    <row r="55" spans="1:56">
      <c r="R55" s="423" t="s">
        <v>205</v>
      </c>
    </row>
    <row r="56" spans="1:56">
      <c r="R56" s="507" t="str">
        <f>"3 CAE com mais pessoas:"&amp;CHAR(10)&amp;$R$49&amp;": "&amp;$Q$50&amp;" - "&amp;$R$50&amp;" ("&amp;$S$50&amp;"); "&amp;$Q$51&amp;" - "&amp;$R$51&amp;" ("&amp;$S$51&amp;"); "&amp;$Q$52&amp;" - "&amp;$R$52&amp;" ("&amp;$S$52&amp;")."&amp;CHAR(10)&amp;$R$44&amp;": "&amp;$Q$45&amp;" - "&amp;$R$45&amp;" ("&amp;$S$45&amp;"); "&amp;$Q$46&amp;" - "&amp;$R$46&amp;" ("&amp;$S$46&amp;"); "&amp;$Q$47&amp;" - "&amp;$R$47&amp;" ("&amp;$S$47&amp;")."</f>
        <v>3 CAE com mais pessoas:
2014: I - Aloj., rest. e sim. (19,2%); N - Ativ. Admin. e dos serv. apoio (18,6%); G - Com. por grosso e ret. (…) (14,9%).
2024: N - Ativ. Admin. e dos serv. apoio (18,7%); I - Aloj., rest. e sim. (18,3%); F - Construção (12,9%).</v>
      </c>
    </row>
    <row r="58" spans="1:56">
      <c r="R58" s="384" t="s">
        <v>182</v>
      </c>
    </row>
    <row r="59" spans="1:56">
      <c r="R59" s="507" t="str">
        <f>"3 CAE com mais TCO:"&amp;CHAR(10)&amp;$U$49&amp;": "&amp;$U$50&amp;" - "&amp;$V$50&amp;" ("&amp;$W$50&amp;"); "&amp;$U$51&amp;" - "&amp;$V$51&amp;" ("&amp;$W$51&amp;"); "&amp;$U$52&amp;" - "&amp;$V$52&amp;" ("&amp;$W$52&amp;")."&amp;CHAR(10)&amp;$U$44&amp;": "&amp;$U$45&amp;" - "&amp;$V$45&amp;" ("&amp;$W$45&amp;"); "&amp;$U$46&amp;" - "&amp;$V$46&amp;" ("&amp;$W$46&amp;"); "&amp;$U$47&amp;" - "&amp;$V$47&amp;" ("&amp;$W$47&amp;")."</f>
        <v>3 CAE com mais TCO:
2014: N - Ativ. Admin. e dos serv. apoio (19,4%); I - Aloj., rest. e sim. (19,3%); G - Com. por grosso e ret. (…) (13,9%).
2024: N - Ativ. Admin. e dos serv. apoio (19,0%); I - Aloj., rest. e sim. (18,3%); F - Construção (12,9%).</v>
      </c>
    </row>
    <row r="62" spans="1:56">
      <c r="R62" t="str">
        <f>IF($Q$3=1,$R$56,$R$59)</f>
        <v>3 CAE com mais pessoas:
2014: I - Aloj., rest. e sim. (19,2%); N - Ativ. Admin. e dos serv. apoio (18,6%); G - Com. por grosso e ret. (…) (14,9%).
2024: N - Ativ. Admin. e dos serv. apoio (18,7%); I - Aloj., rest. e sim. (18,3%); F - Construção (12,9%).</v>
      </c>
    </row>
    <row r="63" spans="1:56">
      <c r="I63" s="522" t="s">
        <v>438</v>
      </c>
      <c r="AW63" s="384"/>
    </row>
    <row r="64" spans="1:56">
      <c r="I64" s="522" t="s">
        <v>439</v>
      </c>
      <c r="AW64" s="384"/>
      <c r="BA64" s="496"/>
      <c r="BD64" s="384"/>
    </row>
    <row r="65" spans="1:56">
      <c r="I65" s="522" t="s">
        <v>440</v>
      </c>
      <c r="AW65" s="384"/>
      <c r="AZ65" s="384"/>
      <c r="BA65" s="497"/>
      <c r="BD65" s="384"/>
    </row>
    <row r="66" spans="1:56">
      <c r="A66" s="391" t="s">
        <v>236</v>
      </c>
      <c r="AP66" s="383"/>
      <c r="AW66" s="498"/>
      <c r="AZ66" s="498"/>
      <c r="BD66" s="383"/>
    </row>
    <row r="67" spans="1:56">
      <c r="AW67" s="453"/>
      <c r="AZ67" s="453"/>
    </row>
    <row r="68" spans="1:56" ht="13.5" thickBot="1">
      <c r="A68" s="383" t="s">
        <v>205</v>
      </c>
      <c r="AW68" s="453"/>
      <c r="AZ68" s="453"/>
      <c r="BD68" s="384"/>
    </row>
    <row r="69" spans="1:56">
      <c r="A69" s="386"/>
      <c r="B69" s="391">
        <f>+D6</f>
        <v>2014</v>
      </c>
      <c r="C69" s="386"/>
      <c r="D69" s="391">
        <f>+E6</f>
        <v>2015</v>
      </c>
      <c r="E69" s="386"/>
      <c r="F69" s="391">
        <f>+F6</f>
        <v>2016</v>
      </c>
      <c r="G69" s="386"/>
      <c r="H69" s="391">
        <f>+G6</f>
        <v>2017</v>
      </c>
      <c r="I69" s="386"/>
      <c r="J69" s="391">
        <f>+H6</f>
        <v>2018</v>
      </c>
      <c r="K69" s="386"/>
      <c r="L69" s="391">
        <f>+I6</f>
        <v>2019</v>
      </c>
      <c r="M69" s="386"/>
      <c r="N69" s="391">
        <f>+J6</f>
        <v>2020</v>
      </c>
      <c r="O69" s="386"/>
      <c r="P69" s="391">
        <f>+K6</f>
        <v>2021</v>
      </c>
      <c r="Q69" s="386"/>
      <c r="R69" s="391">
        <f>+L6</f>
        <v>2022</v>
      </c>
      <c r="S69" s="386"/>
      <c r="T69" s="391">
        <f>+M6</f>
        <v>2023</v>
      </c>
      <c r="U69" s="386"/>
      <c r="V69" s="391">
        <f>+N6</f>
        <v>2024</v>
      </c>
      <c r="X69" s="384" t="str">
        <f>+V69&amp;" - % do total"</f>
        <v>2024 - % do total</v>
      </c>
      <c r="Y69" s="939" t="str">
        <f>+"em "&amp;B69</f>
        <v>em 2014</v>
      </c>
      <c r="Z69" s="940"/>
      <c r="AW69" s="453"/>
      <c r="AZ69" s="453"/>
      <c r="BD69" s="383"/>
    </row>
    <row r="70" spans="1:56">
      <c r="A70" s="392" t="str">
        <f>+INDEX($B$7:$B$26,MATCH(B70,$D$7:$D$26,0),1)</f>
        <v>I</v>
      </c>
      <c r="B70" s="393">
        <f>+LARGE($D$7:$D$26,1)</f>
        <v>22421</v>
      </c>
      <c r="C70" s="392" t="str">
        <f>+INDEX($B$7:$B$26,MATCH(D70,$E$7:$E$26,0),1)</f>
        <v>I</v>
      </c>
      <c r="D70" s="393">
        <f>+LARGE($E$7:$E$26,1)</f>
        <v>24396</v>
      </c>
      <c r="E70" s="392" t="str">
        <f>+INDEX($B$7:$B$26,MATCH(F70,$F$7:$F$26,0),1)</f>
        <v>N</v>
      </c>
      <c r="F70" s="393">
        <f>+LARGE($F$7:$F$26,1)</f>
        <v>27492</v>
      </c>
      <c r="G70" s="392" t="str">
        <f>+INDEX($B$7:$B$26,MATCH(H70,$G$7:$G$26,0),1)</f>
        <v>I</v>
      </c>
      <c r="H70" s="393">
        <f>+LARGE($G$7:$G$26,1)</f>
        <v>30926</v>
      </c>
      <c r="I70" s="392" t="str">
        <f>+INDEX($B$7:$B$26,MATCH(J70,$H$7:$H$26,0),1)</f>
        <v>I</v>
      </c>
      <c r="J70" s="393">
        <f>+LARGE($H$7:$H$26,1)</f>
        <v>37855</v>
      </c>
      <c r="K70" s="392" t="str">
        <f>+INDEX($B$7:$B$26,MATCH(L70,$I$7:$I$26,0),1)</f>
        <v>I</v>
      </c>
      <c r="L70" s="393">
        <f>+LARGE($I$7:$I$26,1)</f>
        <v>46407</v>
      </c>
      <c r="M70" s="392" t="str">
        <f>+INDEX($B$7:$B$26,MATCH(N70,$J$7:$J$26,0),1)</f>
        <v>N</v>
      </c>
      <c r="N70" s="393">
        <f>+LARGE($J$7:$J$26,1)</f>
        <v>48376</v>
      </c>
      <c r="O70" s="392" t="str">
        <f>+INDEX($B$7:$B$26,MATCH(P70,$K$7:$K$26,0),1)</f>
        <v>N</v>
      </c>
      <c r="P70" s="393">
        <f>+LARGE($K$7:$K$26,1)</f>
        <v>51133</v>
      </c>
      <c r="Q70" s="392" t="str">
        <f>+INDEX($B$7:$B$26,MATCH(R70,$L$7:$L$26,0),1)</f>
        <v>N</v>
      </c>
      <c r="R70" s="393">
        <f>+LARGE($L$7:$L$26,1)</f>
        <v>72441</v>
      </c>
      <c r="S70" s="392" t="str">
        <f>+INDEX($B$7:$B$26,MATCH(T70,$M$7:$M$26,0),1)</f>
        <v>N</v>
      </c>
      <c r="T70" s="393">
        <f>+LARGE($M$7:$M$26,1)</f>
        <v>86959</v>
      </c>
      <c r="U70" s="511" t="str">
        <f>+INDEX($B$7:$B$26,MATCH(V70,$N$7:$N$26,0),1)</f>
        <v>N</v>
      </c>
      <c r="V70" s="393">
        <f>+LARGE($N$7:$N$26,1)</f>
        <v>97612</v>
      </c>
      <c r="X70" s="505">
        <f>+V70/$BD$4</f>
        <v>0.18664219201131954</v>
      </c>
      <c r="Y70" s="515">
        <f>+B70/$AT$4</f>
        <v>0.19188011878578337</v>
      </c>
      <c r="Z70" s="516" t="str">
        <f>+A70</f>
        <v>I</v>
      </c>
      <c r="AA70" s="415"/>
      <c r="AB70" s="415"/>
      <c r="AD70" s="397"/>
      <c r="AE70" s="397"/>
      <c r="AF70" s="397"/>
      <c r="AG70" s="397"/>
      <c r="AH70" s="397"/>
      <c r="AI70" s="397"/>
      <c r="AJ70" s="397"/>
      <c r="AK70" s="397"/>
      <c r="AL70" s="397"/>
      <c r="AM70" s="397"/>
      <c r="AN70" s="397"/>
      <c r="AO70" s="416"/>
    </row>
    <row r="71" spans="1:56">
      <c r="A71" s="392" t="str">
        <f>+INDEX($B$7:$B$26,MATCH(B71,$D$7:$D$26,0),1)</f>
        <v>N</v>
      </c>
      <c r="B71" s="393">
        <f>+LARGE($D$7:$D$26,2)</f>
        <v>21681</v>
      </c>
      <c r="C71" s="392" t="str">
        <f>+INDEX($B$7:$B$26,MATCH(D71,$E$7:$E$26,0),1)</f>
        <v>N</v>
      </c>
      <c r="D71" s="393">
        <f>+LARGE($E$7:$E$26,2)</f>
        <v>22250</v>
      </c>
      <c r="E71" s="392" t="str">
        <f>+INDEX($B$7:$B$26,MATCH(F71,$F$7:$F$26,0),1)</f>
        <v>I</v>
      </c>
      <c r="F71" s="393">
        <f>+LARGE($F$7:$F$26,2)</f>
        <v>26994</v>
      </c>
      <c r="G71" s="392" t="str">
        <f>+INDEX($B$7:$B$26,MATCH(H71,$G$7:$G$26,0),1)</f>
        <v>N</v>
      </c>
      <c r="H71" s="393">
        <f>+LARGE($G$7:$G$26,2)</f>
        <v>30903</v>
      </c>
      <c r="I71" s="392" t="str">
        <f>+INDEX($B$7:$B$26,MATCH(J71,$H$7:$H$26,0),1)</f>
        <v>N</v>
      </c>
      <c r="J71" s="393">
        <f>+LARGE($H$7:$H$26,2)</f>
        <v>36229</v>
      </c>
      <c r="K71" s="392" t="str">
        <f>+INDEX($B$7:$B$26,MATCH(L71,$I$7:$I$26,0),1)</f>
        <v>N</v>
      </c>
      <c r="L71" s="393">
        <f>+LARGE($I$7:$I$26,2)</f>
        <v>45543</v>
      </c>
      <c r="M71" s="392" t="str">
        <f>+INDEX($B$7:$B$26,MATCH(N71,$J$7:$J$26,0),1)</f>
        <v>I</v>
      </c>
      <c r="N71" s="393">
        <f>+LARGE($J$7:$J$26,2)</f>
        <v>36187</v>
      </c>
      <c r="O71" s="392" t="str">
        <f>+INDEX($B$7:$B$26,MATCH(P71,$K$7:$K$26,0),1)</f>
        <v>I</v>
      </c>
      <c r="P71" s="393">
        <f>+LARGE($K$7:$K$26,2)</f>
        <v>37538</v>
      </c>
      <c r="Q71" s="392" t="str">
        <f>+INDEX($B$7:$B$26,MATCH(R71,$L$7:$L$26,0),1)</f>
        <v>I</v>
      </c>
      <c r="R71" s="393">
        <f>+LARGE($L$7:$L$26,2)</f>
        <v>58475</v>
      </c>
      <c r="S71" s="392" t="str">
        <f>+INDEX($B$7:$B$26,MATCH(T71,$M$7:$M$26,0),1)</f>
        <v>I</v>
      </c>
      <c r="T71" s="393">
        <f>+LARGE($M$7:$M$26,2)</f>
        <v>77812</v>
      </c>
      <c r="U71" s="511" t="str">
        <f>+INDEX($B$7:$B$26,MATCH(V71,$N$7:$N$26,0),1)</f>
        <v>I</v>
      </c>
      <c r="V71" s="393">
        <f>+LARGE($N$7:$N$26,2)</f>
        <v>95946</v>
      </c>
      <c r="X71" s="505">
        <f>+V71/$BD$4</f>
        <v>0.18345666265129351</v>
      </c>
      <c r="Y71" s="515">
        <f t="shared" ref="Y71:Y74" si="5">+B71/$AT$4</f>
        <v>0.18554715915412198</v>
      </c>
      <c r="Z71" s="516" t="str">
        <f t="shared" ref="Z71:Z74" si="6">+A71</f>
        <v>N</v>
      </c>
      <c r="AA71" s="415"/>
      <c r="AB71" s="415"/>
      <c r="AD71" s="397"/>
      <c r="AE71" s="397"/>
      <c r="AF71" s="397"/>
      <c r="AG71" s="397"/>
      <c r="AH71" s="397"/>
      <c r="AI71" s="397"/>
      <c r="AJ71" s="397"/>
      <c r="AK71" s="397"/>
      <c r="AL71" s="397"/>
      <c r="AM71" s="397"/>
      <c r="AN71" s="397"/>
      <c r="AW71" s="498"/>
      <c r="AZ71" s="498"/>
      <c r="BA71" s="496"/>
    </row>
    <row r="72" spans="1:56">
      <c r="A72" s="392" t="str">
        <f>+INDEX($B$7:$B$26,MATCH(B72,$D$7:$D$26,0),1)</f>
        <v>G</v>
      </c>
      <c r="B72" s="393">
        <f>+LARGE($D$7:$D$26,3)</f>
        <v>17426</v>
      </c>
      <c r="C72" s="392" t="str">
        <f>+INDEX($B$7:$B$26,MATCH(D72,$E$7:$E$26,0),1)</f>
        <v>G</v>
      </c>
      <c r="D72" s="393">
        <f>+LARGE($E$7:$E$26,3)</f>
        <v>18321</v>
      </c>
      <c r="E72" s="392" t="str">
        <f>+INDEX($B$7:$B$26,MATCH(F72,$F$7:$F$26,0),1)</f>
        <v>G</v>
      </c>
      <c r="F72" s="393">
        <f>+LARGE($F$7:$F$26,3)</f>
        <v>18275</v>
      </c>
      <c r="G72" s="392" t="str">
        <f>+INDEX($B$7:$B$26,MATCH(H72,$G$7:$G$26,0),1)</f>
        <v>G</v>
      </c>
      <c r="H72" s="393">
        <f>+LARGE($G$7:$G$26,3)</f>
        <v>18846</v>
      </c>
      <c r="I72" s="392" t="str">
        <f>+INDEX($B$7:$B$26,MATCH(J72,$H$7:$H$26,0),1)</f>
        <v>G</v>
      </c>
      <c r="J72" s="393">
        <f>+LARGE($H$7:$H$26,3)</f>
        <v>21580</v>
      </c>
      <c r="K72" s="392" t="str">
        <f>+INDEX($B$7:$B$26,MATCH(L72,$I$7:$I$26,0),1)</f>
        <v>G</v>
      </c>
      <c r="L72" s="393">
        <f>+LARGE($I$7:$I$26,3)</f>
        <v>25528</v>
      </c>
      <c r="M72" s="392" t="str">
        <f>+INDEX($B$7:$B$26,MATCH(N72,$J$7:$J$26,0),1)</f>
        <v>F</v>
      </c>
      <c r="N72" s="393">
        <f>+LARGE($J$7:$J$26,3)</f>
        <v>25598</v>
      </c>
      <c r="O72" s="392" t="str">
        <f>+INDEX($B$7:$B$26,MATCH(P72,$K$7:$K$26,0),1)</f>
        <v>F</v>
      </c>
      <c r="P72" s="393">
        <f>+LARGE($K$7:$K$26,3)</f>
        <v>26636</v>
      </c>
      <c r="Q72" s="392" t="str">
        <f>+INDEX($B$7:$B$26,MATCH(R72,$L$7:$L$26,0),1)</f>
        <v>F</v>
      </c>
      <c r="R72" s="393">
        <f>+LARGE($L$7:$L$26,3)</f>
        <v>37834</v>
      </c>
      <c r="S72" s="392" t="str">
        <f>+INDEX($B$7:$B$26,MATCH(T72,$M$7:$M$26,0),1)</f>
        <v>F</v>
      </c>
      <c r="T72" s="393">
        <f>+LARGE($M$7:$M$26,3)</f>
        <v>50985</v>
      </c>
      <c r="U72" s="511" t="str">
        <f>+INDEX($B$7:$B$26,MATCH(V72,$N$7:$N$26,0),1)</f>
        <v>F</v>
      </c>
      <c r="V72" s="393">
        <f>+LARGE($N$7:$N$26,3)</f>
        <v>67631</v>
      </c>
      <c r="X72" s="505">
        <f>+V72/$BD$4</f>
        <v>0.12931604810799441</v>
      </c>
      <c r="Y72" s="515">
        <f t="shared" si="5"/>
        <v>0.14913264127206907</v>
      </c>
      <c r="Z72" s="516" t="str">
        <f t="shared" si="6"/>
        <v>G</v>
      </c>
      <c r="AA72" s="415"/>
      <c r="AW72" s="453"/>
      <c r="AZ72" s="453"/>
      <c r="BA72" s="497"/>
    </row>
    <row r="73" spans="1:56">
      <c r="A73" s="392" t="str">
        <f>+INDEX($B$7:$B$26,MATCH(B73,$D$7:$D$26,0),1)</f>
        <v>C</v>
      </c>
      <c r="B73" s="393">
        <f>+LARGE($D$7:$D$26,4)</f>
        <v>11696</v>
      </c>
      <c r="C73" s="392" t="str">
        <f>+INDEX($B$7:$B$26,MATCH(D73,$E$7:$E$26,0),1)</f>
        <v>C</v>
      </c>
      <c r="D73" s="393">
        <f>+LARGE($E$7:$E$26,4)</f>
        <v>12230</v>
      </c>
      <c r="E73" s="392" t="str">
        <f>+INDEX($B$7:$B$26,MATCH(F73,$F$7:$F$26,0),1)</f>
        <v>C</v>
      </c>
      <c r="F73" s="393">
        <f>+LARGE($F$7:$F$26,4)</f>
        <v>12876</v>
      </c>
      <c r="G73" s="392" t="str">
        <f>+INDEX($B$7:$B$26,MATCH(H73,$G$7:$G$26,0),1)</f>
        <v>C</v>
      </c>
      <c r="H73" s="393">
        <f>+LARGE($G$7:$G$26,4)</f>
        <v>13906</v>
      </c>
      <c r="I73" s="392" t="str">
        <f>+INDEX($B$7:$B$26,MATCH(J73,$H$7:$H$26,0),1)</f>
        <v>C</v>
      </c>
      <c r="J73" s="393">
        <f>+LARGE($H$7:$H$26,4)</f>
        <v>17154</v>
      </c>
      <c r="K73" s="392" t="str">
        <f>+INDEX($B$7:$B$26,MATCH(L73,$I$7:$I$26,0),1)</f>
        <v>F</v>
      </c>
      <c r="L73" s="393">
        <f>+LARGE($I$7:$I$26,4)</f>
        <v>21695</v>
      </c>
      <c r="M73" s="392" t="str">
        <f>+INDEX($B$7:$B$26,MATCH(N73,$J$7:$J$26,0),1)</f>
        <v>G</v>
      </c>
      <c r="N73" s="393">
        <f>+LARGE($J$7:$J$26,4)</f>
        <v>25321</v>
      </c>
      <c r="O73" s="392" t="str">
        <f>+INDEX($B$7:$B$26,MATCH(P73,$K$7:$K$26,0),1)</f>
        <v>G</v>
      </c>
      <c r="P73" s="393">
        <f>+LARGE($K$7:$K$26,4)</f>
        <v>26532</v>
      </c>
      <c r="Q73" s="392" t="str">
        <f>+INDEX($B$7:$B$26,MATCH(R73,$L$7:$L$26,0),1)</f>
        <v>C</v>
      </c>
      <c r="R73" s="393">
        <f>+LARGE($L$7:$L$26,4)</f>
        <v>36582</v>
      </c>
      <c r="S73" s="392" t="str">
        <f>+INDEX($B$7:$B$26,MATCH(T73,$M$7:$M$26,0),1)</f>
        <v>C</v>
      </c>
      <c r="T73" s="393">
        <f>+LARGE($M$7:$M$26,4)</f>
        <v>49355</v>
      </c>
      <c r="U73" s="392" t="str">
        <f>+INDEX($B$7:$B$26,MATCH(V73,$N$7:$N$26,0),1)</f>
        <v>C</v>
      </c>
      <c r="V73" s="393">
        <f>+LARGE($N$7:$N$26,4)</f>
        <v>60489</v>
      </c>
      <c r="X73" s="397">
        <f>+V73/$BD$4</f>
        <v>0.1156599552572707</v>
      </c>
      <c r="Y73" s="579">
        <f t="shared" si="5"/>
        <v>0.10009499439447492</v>
      </c>
      <c r="Z73" s="518" t="str">
        <f t="shared" si="6"/>
        <v>C</v>
      </c>
      <c r="AA73" s="415"/>
      <c r="AD73" s="416"/>
      <c r="AE73" s="416"/>
      <c r="AF73" s="416"/>
      <c r="AG73" s="416"/>
      <c r="AH73" s="416"/>
      <c r="AI73" s="416"/>
      <c r="AJ73" s="416"/>
      <c r="AK73" s="416"/>
      <c r="AL73" s="416"/>
      <c r="AM73" s="416"/>
      <c r="AN73" s="416"/>
      <c r="AW73" s="453"/>
      <c r="AZ73" s="453"/>
    </row>
    <row r="74" spans="1:56" ht="13.5" thickBot="1">
      <c r="A74" s="392" t="str">
        <f>+INDEX($B$7:$B$26,MATCH(B74,$D$7:$D$26,0),1)</f>
        <v>F</v>
      </c>
      <c r="B74" s="393">
        <f>+LARGE($D$7:$D$26,5)</f>
        <v>9907</v>
      </c>
      <c r="C74" s="392" t="str">
        <f>+INDEX($B$7:$B$26,MATCH(D74,$E$7:$E$26,0),1)</f>
        <v>F</v>
      </c>
      <c r="D74" s="393">
        <f>+LARGE($E$7:$E$26,5)</f>
        <v>10112</v>
      </c>
      <c r="E74" s="392" t="str">
        <f>+INDEX($B$7:$B$26,MATCH(F74,$F$7:$F$26,0),1)</f>
        <v>F</v>
      </c>
      <c r="F74" s="393">
        <f>+LARGE($F$7:$F$26,5)</f>
        <v>10815</v>
      </c>
      <c r="G74" s="392" t="str">
        <f>+INDEX($B$7:$B$26,MATCH(H74,$G$7:$G$26,0),1)</f>
        <v>F</v>
      </c>
      <c r="H74" s="393">
        <f>+LARGE($G$7:$G$26,5)</f>
        <v>12528</v>
      </c>
      <c r="I74" s="392" t="str">
        <f>+INDEX($B$7:$B$26,MATCH(J74,$H$7:$H$26,0),1)</f>
        <v>F</v>
      </c>
      <c r="J74" s="393">
        <f>+LARGE($H$7:$H$26,5)</f>
        <v>15987</v>
      </c>
      <c r="K74" s="392" t="str">
        <f>+INDEX($B$7:$B$26,MATCH(L74,$I$7:$I$26,0),1)</f>
        <v>C</v>
      </c>
      <c r="L74" s="393">
        <f>+LARGE($I$7:$I$26,5)</f>
        <v>20859</v>
      </c>
      <c r="M74" s="392" t="str">
        <f>+INDEX($B$7:$B$26,MATCH(N74,$J$7:$J$26,0),1)</f>
        <v>C</v>
      </c>
      <c r="N74" s="393">
        <f>+LARGE($J$7:$J$26,5)</f>
        <v>22497</v>
      </c>
      <c r="O74" s="392" t="str">
        <f>+INDEX($B$7:$B$26,MATCH(P74,$K$7:$K$26,0),1)</f>
        <v>C</v>
      </c>
      <c r="P74" s="393">
        <f>+LARGE($K$7:$K$26,5)</f>
        <v>24420</v>
      </c>
      <c r="Q74" s="392" t="str">
        <f>+INDEX($B$7:$B$26,MATCH(R74,$L$7:$L$26,0),1)</f>
        <v>G</v>
      </c>
      <c r="R74" s="393">
        <f>+LARGE($L$7:$L$26,5)</f>
        <v>34265</v>
      </c>
      <c r="S74" s="392" t="str">
        <f>+INDEX($B$7:$B$26,MATCH(T74,$M$7:$M$26,0),1)</f>
        <v>G</v>
      </c>
      <c r="T74" s="393">
        <f>+LARGE($M$7:$M$26,5)</f>
        <v>46202</v>
      </c>
      <c r="U74" s="392" t="str">
        <f>+INDEX($B$7:$B$26,MATCH(V74,$N$7:$N$26,0),1)</f>
        <v>G</v>
      </c>
      <c r="V74" s="393">
        <f>+LARGE($N$7:$N$26,5)</f>
        <v>58057</v>
      </c>
      <c r="X74" s="397">
        <f>+V74/$BD$4</f>
        <v>0.11100977074131436</v>
      </c>
      <c r="Y74" s="519">
        <f t="shared" si="5"/>
        <v>8.4784636582255726E-2</v>
      </c>
      <c r="Z74" s="520" t="str">
        <f t="shared" si="6"/>
        <v>F</v>
      </c>
      <c r="AA74" s="415"/>
      <c r="AN74" s="416"/>
      <c r="AW74" s="453"/>
      <c r="AZ74" s="453"/>
    </row>
    <row r="75" spans="1:56">
      <c r="B75" s="397">
        <f>+B74/AT4</f>
        <v>8.4784636582255726E-2</v>
      </c>
    </row>
    <row r="76" spans="1:56">
      <c r="B76" s="176">
        <f>+B70+B71+B72</f>
        <v>61528</v>
      </c>
      <c r="D76" s="176">
        <f>+D70+D71+D72</f>
        <v>64967</v>
      </c>
      <c r="F76" s="176">
        <f>+F70+F71+F72</f>
        <v>72761</v>
      </c>
      <c r="H76" s="176">
        <f>+H70+H71+H72</f>
        <v>80675</v>
      </c>
      <c r="J76" s="176">
        <f>+J70+J71+J72</f>
        <v>95664</v>
      </c>
      <c r="L76" s="176">
        <f>+L70+L71+L72</f>
        <v>117478</v>
      </c>
      <c r="N76" s="176">
        <f>+N70+N71+N72</f>
        <v>110161</v>
      </c>
      <c r="P76" s="176">
        <f>+P70+P71+P72</f>
        <v>115307</v>
      </c>
      <c r="R76" s="176">
        <f>+R70+R71+R72</f>
        <v>168750</v>
      </c>
      <c r="T76" s="176">
        <f>+T70+T71+T72</f>
        <v>215756</v>
      </c>
      <c r="V76" s="176">
        <f>+V70+V71+V72</f>
        <v>261189</v>
      </c>
    </row>
    <row r="77" spans="1:56" ht="13.5" thickBot="1">
      <c r="A77" s="383" t="s">
        <v>182</v>
      </c>
      <c r="B77" s="407">
        <f>+B76/AT4</f>
        <v>0.52655991921197443</v>
      </c>
      <c r="D77" s="407">
        <f>+D76/AU4</f>
        <v>0.52857375315271338</v>
      </c>
      <c r="F77" s="407">
        <f>+F76/AV$4</f>
        <v>0.54120333524244479</v>
      </c>
      <c r="H77" s="407">
        <f>+H76/AW$4</f>
        <v>0.54600151601288616</v>
      </c>
      <c r="J77" s="407">
        <f>+J76/AX$4</f>
        <v>0.53914043215094853</v>
      </c>
      <c r="L77" s="407">
        <f>+L76/AY$4</f>
        <v>0.53647331744161619</v>
      </c>
      <c r="N77" s="407">
        <f>+N76/AZ$4</f>
        <v>0.48673379667472283</v>
      </c>
      <c r="P77" s="407">
        <f>+P76/BA$4</f>
        <v>0.48640838950805287</v>
      </c>
      <c r="R77" s="407">
        <f>+R76/BB$4</f>
        <v>0.50900678072440342</v>
      </c>
      <c r="T77" s="407">
        <f>+T76/BC$4</f>
        <v>0.50710872625821757</v>
      </c>
      <c r="V77" s="407">
        <f>+V76/BD$4</f>
        <v>0.49941490277060746</v>
      </c>
      <c r="AW77" s="453"/>
    </row>
    <row r="78" spans="1:56">
      <c r="A78" s="386"/>
      <c r="B78" s="391">
        <f>+B69</f>
        <v>2014</v>
      </c>
      <c r="C78" s="386"/>
      <c r="D78" s="391">
        <f t="shared" ref="D78:V78" si="7">+D69</f>
        <v>2015</v>
      </c>
      <c r="E78" s="386"/>
      <c r="F78" s="391">
        <f t="shared" si="7"/>
        <v>2016</v>
      </c>
      <c r="G78" s="386"/>
      <c r="H78" s="391">
        <f t="shared" si="7"/>
        <v>2017</v>
      </c>
      <c r="I78" s="386"/>
      <c r="J78" s="391">
        <f t="shared" si="7"/>
        <v>2018</v>
      </c>
      <c r="K78" s="386"/>
      <c r="L78" s="391">
        <f t="shared" si="7"/>
        <v>2019</v>
      </c>
      <c r="M78" s="386"/>
      <c r="N78" s="391">
        <f t="shared" si="7"/>
        <v>2020</v>
      </c>
      <c r="O78" s="386"/>
      <c r="P78" s="391">
        <f t="shared" si="7"/>
        <v>2021</v>
      </c>
      <c r="Q78" s="386"/>
      <c r="R78" s="391">
        <f t="shared" si="7"/>
        <v>2022</v>
      </c>
      <c r="S78" s="386"/>
      <c r="T78" s="391">
        <f t="shared" si="7"/>
        <v>2023</v>
      </c>
      <c r="U78" s="386"/>
      <c r="V78" s="391">
        <f t="shared" si="7"/>
        <v>2024</v>
      </c>
      <c r="X78" s="384" t="str">
        <f>+V78&amp;" - % do total"</f>
        <v>2024 - % do total</v>
      </c>
      <c r="Y78" s="939" t="str">
        <f>+"em "&amp;B78</f>
        <v>em 2014</v>
      </c>
      <c r="Z78" s="940"/>
      <c r="AW78" s="496"/>
    </row>
    <row r="79" spans="1:56">
      <c r="A79" s="392" t="str">
        <f>+INDEX($B$31:$B$50,MATCH(B79,$D$31:$D$50,0),1)</f>
        <v>N</v>
      </c>
      <c r="B79" s="393">
        <f>+LARGE($D$31:$D$50,1)</f>
        <v>21437</v>
      </c>
      <c r="C79" s="392" t="str">
        <f>+INDEX($B$31:$B$50,MATCH(D79,$E$31:$E$50,0),1)</f>
        <v>I</v>
      </c>
      <c r="D79" s="393">
        <f>+LARGE($E$31:$E$50,1)</f>
        <v>23142</v>
      </c>
      <c r="E79" s="392" t="str">
        <f>+INDEX($B$31:$B$50,MATCH(F79,$F$31:$F$50,0),1)</f>
        <v>N</v>
      </c>
      <c r="F79" s="393">
        <f>+LARGE($F$31:$F$50,1)</f>
        <v>27232</v>
      </c>
      <c r="G79" s="392" t="str">
        <f>+INDEX($B$31:$B$50,MATCH(H79,$G$31:$G$50,0),1)</f>
        <v>N</v>
      </c>
      <c r="H79" s="393">
        <f>+LARGE($G$31:$G$50,1)</f>
        <v>30651</v>
      </c>
      <c r="I79" s="392" t="str">
        <f>+INDEX($B$31:$B$50,MATCH(J79,$H$31:$H$50,0),1)</f>
        <v>I</v>
      </c>
      <c r="J79" s="393">
        <f>+LARGE($H$31:$H$50,1)</f>
        <v>36191</v>
      </c>
      <c r="K79" s="392" t="str">
        <f>+INDEX($B$31:$B$50,MATCH(L79,$I$31:$I$50,0),1)</f>
        <v>N</v>
      </c>
      <c r="L79" s="393">
        <f>+LARGE($I$31:$I$50,1)</f>
        <v>45207</v>
      </c>
      <c r="M79" s="392" t="str">
        <f>+INDEX($B$31:$B$50,MATCH(N79,$J$31:$J$50,0),1)</f>
        <v>N</v>
      </c>
      <c r="N79" s="393">
        <f>+LARGE($J$31:$J$50,1)</f>
        <v>48050</v>
      </c>
      <c r="O79" s="392" t="str">
        <f>+INDEX($B$31:$B$50,MATCH(P79,$K$31:$K$50,0),1)</f>
        <v>N</v>
      </c>
      <c r="P79" s="393">
        <f>+LARGE($K$31:$K$50,1)</f>
        <v>50843</v>
      </c>
      <c r="Q79" s="392" t="str">
        <f>+INDEX($B$31:$B$50,MATCH(R79,$L$31:$L$50,0),1)</f>
        <v>N</v>
      </c>
      <c r="R79" s="393">
        <f>+LARGE($L$31:$L$50,1)</f>
        <v>72062</v>
      </c>
      <c r="S79" s="392" t="str">
        <f>+INDEX($B$31:$B$50,MATCH(T79,$M$31:$M$50,0),1)</f>
        <v>N</v>
      </c>
      <c r="T79" s="393">
        <f>+LARGE($M$31:$M$50,1)</f>
        <v>86476</v>
      </c>
      <c r="U79" s="511" t="str">
        <f>+INDEX($B$31:$B$50,MATCH(V79,$N$31:$N$50,0),1)</f>
        <v>N</v>
      </c>
      <c r="V79" s="393">
        <f>+LARGE($N$31:$N$50,1)</f>
        <v>97030</v>
      </c>
      <c r="X79" s="505">
        <f>+V79/$BD$5</f>
        <v>0.19033588801509663</v>
      </c>
      <c r="Y79" s="515">
        <f>+B79/$AT$5</f>
        <v>0.19419155547100761</v>
      </c>
      <c r="Z79" s="516" t="str">
        <f>+A79</f>
        <v>N</v>
      </c>
      <c r="AA79" s="415"/>
      <c r="AB79" s="415"/>
      <c r="AD79" s="397"/>
      <c r="AE79" s="397"/>
      <c r="AF79" s="397"/>
      <c r="AG79" s="397"/>
      <c r="AH79" s="397"/>
      <c r="AI79" s="397"/>
      <c r="AJ79" s="397"/>
      <c r="AK79" s="397"/>
      <c r="AL79" s="397"/>
      <c r="AM79" s="397"/>
      <c r="AN79" s="397"/>
      <c r="AO79" s="416"/>
    </row>
    <row r="80" spans="1:56">
      <c r="A80" s="392" t="str">
        <f>+INDEX($B$31:$B$50,MATCH(B80,$D$31:$D$50,0),1)</f>
        <v>I</v>
      </c>
      <c r="B80" s="393">
        <f>+LARGE($D$31:$D$50,2)</f>
        <v>21269</v>
      </c>
      <c r="C80" s="392" t="str">
        <f>+INDEX($B$31:$B$50,MATCH(D80,$E$31:$E$50,0),1)</f>
        <v>N</v>
      </c>
      <c r="D80" s="393">
        <f>+LARGE($E$31:$E$50,2)</f>
        <v>22003</v>
      </c>
      <c r="E80" s="392" t="str">
        <f>+INDEX($B$31:$B$50,MATCH(F80,$F$31:$F$50,0),1)</f>
        <v>I</v>
      </c>
      <c r="F80" s="393">
        <f>+LARGE($F$31:$F$50,2)</f>
        <v>25658</v>
      </c>
      <c r="G80" s="392" t="str">
        <f>+INDEX($B$31:$B$50,MATCH(H80,$G$31:$G$50,0),1)</f>
        <v>I</v>
      </c>
      <c r="H80" s="393">
        <f>+LARGE($G$31:$G$50,2)</f>
        <v>29478</v>
      </c>
      <c r="I80" s="392" t="str">
        <f>+INDEX($B$31:$B$50,MATCH(J80,$H$31:$H$50,0),1)</f>
        <v>N</v>
      </c>
      <c r="J80" s="393">
        <f>+LARGE($H$31:$H$50,2)</f>
        <v>35966</v>
      </c>
      <c r="K80" s="392" t="str">
        <f>+INDEX($B$31:$B$50,MATCH(L80,$I$31:$I$50,0),1)</f>
        <v>I</v>
      </c>
      <c r="L80" s="393">
        <f>+LARGE($I$31:$I$50,2)</f>
        <v>44744</v>
      </c>
      <c r="M80" s="392" t="str">
        <f>+INDEX($B$31:$B$50,MATCH(N80,$J$31:$J$50,0),1)</f>
        <v>I</v>
      </c>
      <c r="N80" s="393">
        <f>+LARGE($J$31:$J$50,2)</f>
        <v>34517</v>
      </c>
      <c r="O80" s="392" t="str">
        <f>+INDEX($B$31:$B$50,MATCH(P80,$K$31:$K$50,0),1)</f>
        <v>I</v>
      </c>
      <c r="P80" s="393">
        <f>+LARGE($K$31:$K$50,2)</f>
        <v>35893</v>
      </c>
      <c r="Q80" s="392" t="str">
        <f>+INDEX($B$31:$B$50,MATCH(R80,$L$31:$L$50,0),1)</f>
        <v>I</v>
      </c>
      <c r="R80" s="393">
        <f>+LARGE($L$31:$L$50,2)</f>
        <v>56634</v>
      </c>
      <c r="S80" s="392" t="str">
        <f>+INDEX($B$31:$B$50,MATCH(T80,$M$31:$M$50,0),1)</f>
        <v>I</v>
      </c>
      <c r="T80" s="393">
        <f>+LARGE($M$31:$M$50,2)</f>
        <v>75785</v>
      </c>
      <c r="U80" s="511" t="str">
        <f>+INDEX($B$31:$B$50,MATCH(V80,$N$31:$N$50,0),1)</f>
        <v>I</v>
      </c>
      <c r="V80" s="393">
        <f>+LARGE($N$31:$N$50,2)</f>
        <v>93337</v>
      </c>
      <c r="X80" s="505">
        <f>+V80/$BD$5</f>
        <v>0.18309162918339764</v>
      </c>
      <c r="Y80" s="515">
        <f t="shared" ref="Y80:Y83" si="8">+B80/$AT$5</f>
        <v>0.1926696922756384</v>
      </c>
      <c r="Z80" s="516" t="str">
        <f t="shared" ref="Z80:Z83" si="9">+A80</f>
        <v>I</v>
      </c>
      <c r="AA80" s="415"/>
      <c r="AB80" s="415"/>
      <c r="AD80" s="397"/>
      <c r="AE80" s="397"/>
      <c r="AF80" s="397"/>
      <c r="AG80" s="397"/>
      <c r="AH80" s="397"/>
      <c r="AI80" s="397"/>
      <c r="AJ80" s="397"/>
      <c r="AK80" s="397"/>
      <c r="AL80" s="397"/>
      <c r="AM80" s="397"/>
      <c r="AN80" s="397"/>
      <c r="AW80" s="383"/>
    </row>
    <row r="81" spans="1:49">
      <c r="A81" s="392" t="str">
        <f>+INDEX($B$31:$B$50,MATCH(B81,$D$31:$D$50,0),1)</f>
        <v>G</v>
      </c>
      <c r="B81" s="393">
        <f>+LARGE($D$31:$D$50,3)</f>
        <v>15398</v>
      </c>
      <c r="C81" s="392" t="str">
        <f>+INDEX($B$31:$B$50,MATCH(D81,$E$31:$E$50,0),1)</f>
        <v>G</v>
      </c>
      <c r="D81" s="393">
        <f>+LARGE($E$31:$E$50,3)</f>
        <v>16135</v>
      </c>
      <c r="E81" s="392" t="str">
        <f>+INDEX($B$31:$B$50,MATCH(F81,$F$31:$F$50,0),1)</f>
        <v>G</v>
      </c>
      <c r="F81" s="393">
        <f>+LARGE($F$31:$F$50,3)</f>
        <v>16032</v>
      </c>
      <c r="G81" s="392" t="str">
        <f>+INDEX($B$31:$B$50,MATCH(H81,$G$31:$G$50,0),1)</f>
        <v>G</v>
      </c>
      <c r="H81" s="393">
        <f>+LARGE($G$31:$G$50,3)</f>
        <v>16641</v>
      </c>
      <c r="I81" s="392" t="str">
        <f>+INDEX($B$31:$B$50,MATCH(J81,$H$31:$H$50,0),1)</f>
        <v>G</v>
      </c>
      <c r="J81" s="393">
        <f>+LARGE($H$31:$H$50,3)</f>
        <v>19315</v>
      </c>
      <c r="K81" s="392" t="str">
        <f>+INDEX($B$31:$B$50,MATCH(L81,$I$31:$I$50,0),1)</f>
        <v>G</v>
      </c>
      <c r="L81" s="393">
        <f>+LARGE($I$31:$I$50,3)</f>
        <v>23342</v>
      </c>
      <c r="M81" s="392" t="str">
        <f>+INDEX($B$31:$B$50,MATCH(N81,$J$31:$J$50,0),1)</f>
        <v>F</v>
      </c>
      <c r="N81" s="393">
        <f>+LARGE($J$31:$J$50,3)</f>
        <v>24637</v>
      </c>
      <c r="O81" s="392" t="str">
        <f>+INDEX($B$31:$B$50,MATCH(P81,$K$31:$K$50,0),1)</f>
        <v>F</v>
      </c>
      <c r="P81" s="393">
        <f>+LARGE($K$31:$K$50,3)</f>
        <v>25659</v>
      </c>
      <c r="Q81" s="392" t="str">
        <f>+INDEX($B$31:$B$50,MATCH(R81,$L$31:$L$50,0),1)</f>
        <v>F</v>
      </c>
      <c r="R81" s="393">
        <f>+LARGE($L$31:$L$50,3)</f>
        <v>36688</v>
      </c>
      <c r="S81" s="392" t="str">
        <f>+INDEX($B$31:$B$50,MATCH(T81,$M$31:$M$50,0),1)</f>
        <v>F</v>
      </c>
      <c r="T81" s="393">
        <f>+LARGE($M$31:$M$50,3)</f>
        <v>49570</v>
      </c>
      <c r="U81" s="511" t="str">
        <f>+INDEX($B$31:$B$50,MATCH(V81,$N$31:$N$50,0),1)</f>
        <v>F</v>
      </c>
      <c r="V81" s="393">
        <f>+LARGE($N$31:$N$50,3)</f>
        <v>65624</v>
      </c>
      <c r="X81" s="505">
        <f>+V81/$BD$5</f>
        <v>0.12872928285172319</v>
      </c>
      <c r="Y81" s="515">
        <f t="shared" si="8"/>
        <v>0.13948600882318304</v>
      </c>
      <c r="Z81" s="516" t="str">
        <f t="shared" si="9"/>
        <v>G</v>
      </c>
      <c r="AW81" s="496"/>
    </row>
    <row r="82" spans="1:49">
      <c r="A82" s="392" t="str">
        <f>+INDEX($B$31:$B$50,MATCH(B82,$D$31:$D$50,0),1)</f>
        <v>C</v>
      </c>
      <c r="B82" s="393">
        <f>+LARGE($D$31:$D$50,4)</f>
        <v>11324</v>
      </c>
      <c r="C82" s="392" t="str">
        <f>+INDEX($B$31:$B$50,MATCH(D82,$E$31:$E$50,0),1)</f>
        <v>C</v>
      </c>
      <c r="D82" s="393">
        <f>+LARGE($E$31:$E$50,4)</f>
        <v>11833</v>
      </c>
      <c r="E82" s="392" t="str">
        <f>+INDEX($B$31:$B$50,MATCH(F82,$F$31:$F$50,0),1)</f>
        <v>C</v>
      </c>
      <c r="F82" s="393">
        <f>+LARGE($F$31:$F$50,4)</f>
        <v>12481</v>
      </c>
      <c r="G82" s="392" t="str">
        <f>+INDEX($B$31:$B$50,MATCH(H82,$G$31:$G$50,0),1)</f>
        <v>C</v>
      </c>
      <c r="H82" s="393">
        <f>+LARGE($G$31:$G$50,4)</f>
        <v>13478</v>
      </c>
      <c r="I82" s="392" t="str">
        <f>+INDEX($B$31:$B$50,MATCH(J82,$H$31:$H$50,0),1)</f>
        <v>C</v>
      </c>
      <c r="J82" s="393">
        <f>+LARGE($H$31:$H$50,4)</f>
        <v>16688</v>
      </c>
      <c r="K82" s="392" t="str">
        <f>+INDEX($B$31:$B$50,MATCH(L82,$I$31:$I$50,0),1)</f>
        <v>F</v>
      </c>
      <c r="L82" s="393">
        <f>+LARGE($I$31:$I$50,4)</f>
        <v>20822</v>
      </c>
      <c r="M82" s="392" t="str">
        <f>+INDEX($B$31:$B$50,MATCH(N82,$J$31:$J$50,0),1)</f>
        <v>G</v>
      </c>
      <c r="N82" s="393">
        <f>+LARGE($J$31:$J$50,4)</f>
        <v>23158</v>
      </c>
      <c r="O82" s="392" t="str">
        <f>+INDEX($B$31:$B$50,MATCH(P82,$K$31:$K$50,0),1)</f>
        <v>G</v>
      </c>
      <c r="P82" s="393">
        <f>+LARGE($K$31:$K$50,4)</f>
        <v>24369</v>
      </c>
      <c r="Q82" s="392" t="str">
        <f>+INDEX($B$31:$B$50,MATCH(R82,$L$31:$L$50,0),1)</f>
        <v>C</v>
      </c>
      <c r="R82" s="393">
        <f>+LARGE($L$31:$L$50,4)</f>
        <v>36090</v>
      </c>
      <c r="S82" s="392" t="str">
        <f>+INDEX($B$31:$B$50,MATCH(T82,$M$31:$M$50,0),1)</f>
        <v>C</v>
      </c>
      <c r="T82" s="393">
        <f>+LARGE($M$31:$M$50,4)</f>
        <v>48796</v>
      </c>
      <c r="U82" s="392" t="str">
        <f>+INDEX($B$31:$B$50,MATCH(V82,$N$31:$N$50,0),1)</f>
        <v>C</v>
      </c>
      <c r="V82" s="393">
        <f>+LARGE($N$31:$N$50,4)</f>
        <v>59815</v>
      </c>
      <c r="X82" s="397">
        <f>+V82/$BD$5</f>
        <v>0.11733423829354843</v>
      </c>
      <c r="Y82" s="517">
        <f t="shared" si="8"/>
        <v>0.10258082633548024</v>
      </c>
      <c r="Z82" s="518" t="str">
        <f t="shared" si="9"/>
        <v>C</v>
      </c>
      <c r="AD82" s="416"/>
      <c r="AE82" s="416"/>
      <c r="AF82" s="416"/>
      <c r="AG82" s="416"/>
      <c r="AH82" s="416"/>
      <c r="AI82" s="416"/>
      <c r="AJ82" s="416"/>
      <c r="AK82" s="416"/>
      <c r="AL82" s="416"/>
      <c r="AM82" s="416"/>
      <c r="AN82" s="416"/>
    </row>
    <row r="83" spans="1:49" ht="13.5" thickBot="1">
      <c r="A83" s="392" t="str">
        <f>+INDEX($B$31:$B$50,MATCH(B83,$D$31:$D$50,0),1)</f>
        <v>F</v>
      </c>
      <c r="B83" s="393">
        <f>+LARGE($D$31:$D$50,5)</f>
        <v>9411</v>
      </c>
      <c r="C83" s="392" t="str">
        <f>+INDEX($B$31:$B$50,MATCH(D83,$E$31:$E$50,0),1)</f>
        <v>F</v>
      </c>
      <c r="D83" s="393">
        <f>+LARGE($E$31:$E$50,5)</f>
        <v>9612</v>
      </c>
      <c r="E83" s="392" t="str">
        <f>+INDEX($B$31:$B$50,MATCH(F83,$F$31:$F$50,0),1)</f>
        <v>F</v>
      </c>
      <c r="F83" s="393">
        <f>+LARGE($F$31:$F$50,5)</f>
        <v>10229</v>
      </c>
      <c r="G83" s="392" t="str">
        <f>+INDEX($B$31:$B$50,MATCH(H83,$G$31:$G$50,0),1)</f>
        <v>F</v>
      </c>
      <c r="H83" s="393">
        <f>+LARGE($G$31:$G$50,5)</f>
        <v>11902</v>
      </c>
      <c r="I83" s="392" t="str">
        <f>+INDEX($B$31:$B$50,MATCH(J83,$H$31:$H$50,0),1)</f>
        <v>F</v>
      </c>
      <c r="J83" s="393">
        <f>+LARGE($H$31:$H$50,5)</f>
        <v>15254</v>
      </c>
      <c r="K83" s="392" t="str">
        <f>+INDEX($B$31:$B$50,MATCH(L83,$I$31:$I$50,0),1)</f>
        <v>C</v>
      </c>
      <c r="L83" s="393">
        <f>+LARGE($I$31:$I$50,5)</f>
        <v>20396</v>
      </c>
      <c r="M83" s="392" t="str">
        <f>+INDEX($B$31:$B$50,MATCH(N83,$J$31:$J$50,0),1)</f>
        <v>C</v>
      </c>
      <c r="N83" s="393">
        <f>+LARGE($J$31:$J$50,5)</f>
        <v>22035</v>
      </c>
      <c r="O83" s="392" t="str">
        <f>+INDEX($B$31:$B$50,MATCH(P83,$K$31:$K$50,0),1)</f>
        <v>C</v>
      </c>
      <c r="P83" s="393">
        <f>+LARGE($K$31:$K$50,5)</f>
        <v>23964</v>
      </c>
      <c r="Q83" s="392" t="str">
        <f>+INDEX($B$31:$B$50,MATCH(R83,$L$31:$L$50,0),1)</f>
        <v>G</v>
      </c>
      <c r="R83" s="393">
        <f>+LARGE($L$31:$L$50,5)</f>
        <v>31985</v>
      </c>
      <c r="S83" s="392" t="str">
        <f>+INDEX($B$31:$B$50,MATCH(T83,$M$31:$M$50,0),1)</f>
        <v>G</v>
      </c>
      <c r="T83" s="393">
        <f>+LARGE($M$31:$M$50,5)</f>
        <v>43761</v>
      </c>
      <c r="U83" s="392" t="str">
        <f>+INDEX($B$31:$B$50,MATCH(V83,$N$31:$N$50,0),1)</f>
        <v>G</v>
      </c>
      <c r="V83" s="393">
        <f>+LARGE($N$31:$N$50,5)</f>
        <v>55336</v>
      </c>
      <c r="X83" s="397">
        <f>+V83/$BD$5</f>
        <v>0.10854814695664626</v>
      </c>
      <c r="Y83" s="519">
        <f t="shared" si="8"/>
        <v>8.5251515069163245E-2</v>
      </c>
      <c r="Z83" s="520" t="str">
        <f t="shared" si="9"/>
        <v>F</v>
      </c>
      <c r="AN83" s="416"/>
    </row>
    <row r="85" spans="1:49">
      <c r="B85" s="176">
        <f>+B79+B80+B81</f>
        <v>58104</v>
      </c>
      <c r="D85" s="176">
        <f>+D79+D80+D81</f>
        <v>61280</v>
      </c>
      <c r="F85" s="176">
        <f>+F79+F80+F81</f>
        <v>68922</v>
      </c>
      <c r="H85" s="176">
        <f>+H79+H80+H81</f>
        <v>76770</v>
      </c>
      <c r="J85" s="176">
        <f>+J79+J80+J81</f>
        <v>91472</v>
      </c>
      <c r="L85" s="176">
        <f>+L79+L80+L81</f>
        <v>113293</v>
      </c>
      <c r="N85" s="176">
        <f>+N79+N80+N81</f>
        <v>107204</v>
      </c>
      <c r="P85" s="176">
        <f>+P79+P80+P81</f>
        <v>112395</v>
      </c>
      <c r="R85" s="176">
        <f>+R79+R80+R81</f>
        <v>165384</v>
      </c>
      <c r="T85" s="176">
        <f>+T79+T80+T81</f>
        <v>211831</v>
      </c>
      <c r="V85" s="176">
        <f>+V79+V80+V81</f>
        <v>255991</v>
      </c>
    </row>
    <row r="86" spans="1:49">
      <c r="B86" s="407">
        <f>+B85/AT5</f>
        <v>0.52634725656982906</v>
      </c>
      <c r="D86" s="407">
        <f>+D85/AU5</f>
        <v>0.52822577169406348</v>
      </c>
      <c r="F86" s="407">
        <f>+F85/AV5</f>
        <v>0.54168631519381305</v>
      </c>
      <c r="H86" s="407">
        <f>+H85/AW5</f>
        <v>0.54720410563455579</v>
      </c>
      <c r="J86" s="407">
        <f>+J85/AX5</f>
        <v>0.54031129094184704</v>
      </c>
      <c r="L86" s="407">
        <f>+L85/AY5</f>
        <v>0.53799689433620002</v>
      </c>
      <c r="N86" s="407">
        <f>+N85/AZ5</f>
        <v>0.49230119259187827</v>
      </c>
      <c r="P86" s="407">
        <f>+P85/BA5</f>
        <v>0.49183233197533727</v>
      </c>
      <c r="R86" s="407">
        <f>+R85/BB5</f>
        <v>0.51357024854981559</v>
      </c>
      <c r="T86" s="407">
        <f>+T85/BC5</f>
        <v>0.51070318696764327</v>
      </c>
      <c r="V86" s="407">
        <f>+V85/BD5</f>
        <v>0.50215680005021746</v>
      </c>
    </row>
    <row r="87" spans="1:49">
      <c r="A87" s="383"/>
      <c r="D87" s="384"/>
      <c r="E87" s="384"/>
      <c r="F87" s="384"/>
      <c r="G87" s="384"/>
      <c r="H87" s="384"/>
      <c r="I87" s="384"/>
      <c r="J87" s="384"/>
      <c r="K87" s="384"/>
      <c r="L87" s="384"/>
      <c r="M87" s="384"/>
      <c r="N87" s="384"/>
      <c r="AW87" s="499"/>
    </row>
    <row r="88" spans="1:49">
      <c r="B88" s="383"/>
      <c r="C88" s="383"/>
      <c r="R88" s="384"/>
    </row>
    <row r="89" spans="1:49">
      <c r="B89" s="383"/>
      <c r="C89" s="383"/>
      <c r="R89" s="384"/>
    </row>
    <row r="90" spans="1:49">
      <c r="B90" s="383"/>
      <c r="C90" s="383"/>
      <c r="R90" s="384"/>
      <c r="Y90" s="384"/>
    </row>
    <row r="91" spans="1:49">
      <c r="B91" s="383"/>
      <c r="C91" s="383"/>
      <c r="W91">
        <v>11</v>
      </c>
    </row>
    <row r="93" spans="1:49">
      <c r="D93" s="397"/>
      <c r="E93" s="397"/>
      <c r="F93" s="397"/>
      <c r="G93" s="397"/>
      <c r="H93" s="397"/>
      <c r="I93" s="397"/>
      <c r="J93" s="397"/>
      <c r="K93" s="397"/>
      <c r="L93" s="397"/>
      <c r="M93" s="397"/>
      <c r="N93" s="397"/>
      <c r="S93" s="383"/>
      <c r="U93" s="383"/>
      <c r="AC93" s="383"/>
    </row>
    <row r="94" spans="1:49">
      <c r="A94" s="547" t="s">
        <v>914</v>
      </c>
      <c r="B94" s="421"/>
      <c r="C94" s="421"/>
      <c r="D94" s="423"/>
      <c r="E94" s="421"/>
      <c r="F94" s="421"/>
      <c r="G94" s="421"/>
      <c r="H94" s="421"/>
      <c r="I94" s="421"/>
      <c r="J94" s="421"/>
      <c r="K94" s="421"/>
      <c r="L94" s="421"/>
      <c r="M94" s="421"/>
      <c r="N94" s="397"/>
      <c r="W94" s="421" t="s">
        <v>759</v>
      </c>
      <c r="X94" s="421" t="s">
        <v>525</v>
      </c>
      <c r="Y94" s="421"/>
      <c r="Z94" s="421"/>
      <c r="AA94" s="421"/>
      <c r="AB94" s="421"/>
      <c r="AC94" s="421"/>
      <c r="AD94" s="421"/>
      <c r="AE94" s="421"/>
      <c r="AF94" s="421"/>
    </row>
    <row r="95" spans="1:49">
      <c r="A95" s="547" t="s">
        <v>182</v>
      </c>
      <c r="B95" s="421"/>
      <c r="C95" s="422">
        <f>+q16_E!$B$4</f>
        <v>2014</v>
      </c>
      <c r="D95" s="422">
        <f>+q16_E!$C$4</f>
        <v>2015</v>
      </c>
      <c r="E95" s="422">
        <f>+q16_E!$D$4</f>
        <v>2016</v>
      </c>
      <c r="F95" s="422">
        <f>+q16_E!$E$4</f>
        <v>2017</v>
      </c>
      <c r="G95" s="422">
        <f>+q16_E!$F$4</f>
        <v>2018</v>
      </c>
      <c r="H95" s="422">
        <f>+q16_E!$G$4</f>
        <v>2019</v>
      </c>
      <c r="I95" s="422">
        <f>+q16_E!$H$4</f>
        <v>2020</v>
      </c>
      <c r="J95" s="422">
        <f>+q16_E!$I$4</f>
        <v>2021</v>
      </c>
      <c r="K95" s="422">
        <f>+q16_E!$J$4</f>
        <v>2022</v>
      </c>
      <c r="L95" s="422">
        <f>+q16_E!$K$4</f>
        <v>2023</v>
      </c>
      <c r="M95" s="422">
        <f>+q16_E!$L$4</f>
        <v>2024</v>
      </c>
      <c r="N95" s="397"/>
      <c r="P95" s="422">
        <f>+q16_E!$B$4</f>
        <v>2014</v>
      </c>
      <c r="Q95">
        <v>1</v>
      </c>
      <c r="U95" s="383"/>
      <c r="W95" s="421"/>
      <c r="X95" s="422">
        <f>INDEX($P$95:$P$105,$W$91)</f>
        <v>2024</v>
      </c>
      <c r="Y95" s="421"/>
      <c r="Z95" s="421"/>
      <c r="AA95" s="421"/>
      <c r="AB95" s="421"/>
      <c r="AC95" s="421"/>
      <c r="AD95" s="421"/>
      <c r="AE95" s="421"/>
      <c r="AF95" s="421"/>
      <c r="AG95" s="383" t="s">
        <v>759</v>
      </c>
      <c r="AI95" s="502" t="s">
        <v>182</v>
      </c>
    </row>
    <row r="96" spans="1:49">
      <c r="A96" s="422" t="s">
        <v>524</v>
      </c>
      <c r="B96" s="422" t="str">
        <f>+q16_E!$A$6</f>
        <v>Norte</v>
      </c>
      <c r="C96" s="433">
        <f>+q16_E!$B$6</f>
        <v>12902.000000000002</v>
      </c>
      <c r="D96" s="433">
        <f>+q16_E!$C$6</f>
        <v>14033.000000000007</v>
      </c>
      <c r="E96" s="433">
        <f>+q16_E!$D$6</f>
        <v>14238.000000000002</v>
      </c>
      <c r="F96" s="433">
        <f>+q16_E!$E$6</f>
        <v>17437.999999999996</v>
      </c>
      <c r="G96" s="433">
        <f>+q16_E!$F$6</f>
        <v>22188.000000000004</v>
      </c>
      <c r="H96" s="433">
        <f>+q16_E!$G$6</f>
        <v>30453.000000000011</v>
      </c>
      <c r="I96" s="433">
        <f>+q16_E!$H$6</f>
        <v>33775.999999999993</v>
      </c>
      <c r="J96" s="433">
        <f>+q16_E!$I$6</f>
        <v>36947.000000000022</v>
      </c>
      <c r="K96" s="433">
        <f>+q16_E!$J$6</f>
        <v>61471.999999999993</v>
      </c>
      <c r="L96" s="433">
        <f>+q16_E!$K$6</f>
        <v>84585.999999999985</v>
      </c>
      <c r="M96" s="433">
        <f>+q16_E!$L$6</f>
        <v>108225.99999999999</v>
      </c>
      <c r="N96" s="397"/>
      <c r="P96" s="422">
        <f>+q16_E!$C$4</f>
        <v>2015</v>
      </c>
      <c r="Q96">
        <v>2</v>
      </c>
      <c r="W96" s="421"/>
      <c r="X96" s="421"/>
      <c r="Y96" s="502" t="s">
        <v>182</v>
      </c>
      <c r="Z96" s="398" t="s">
        <v>320</v>
      </c>
      <c r="AA96" s="398" t="s">
        <v>322</v>
      </c>
      <c r="AB96" s="421"/>
      <c r="AC96" s="398"/>
      <c r="AF96" s="421"/>
      <c r="AH96" s="421">
        <f t="shared" ref="AH96:AR104" si="10">+C95</f>
        <v>2014</v>
      </c>
      <c r="AI96" s="421">
        <f t="shared" ref="AI96" si="11">+D95</f>
        <v>2015</v>
      </c>
      <c r="AJ96" s="421">
        <f t="shared" ref="AJ96" si="12">+E95</f>
        <v>2016</v>
      </c>
      <c r="AK96" s="421">
        <f t="shared" ref="AK96" si="13">+F95</f>
        <v>2017</v>
      </c>
      <c r="AL96" s="421">
        <f t="shared" ref="AL96" si="14">+G95</f>
        <v>2018</v>
      </c>
      <c r="AM96" s="421">
        <f t="shared" ref="AM96" si="15">+H95</f>
        <v>2019</v>
      </c>
      <c r="AN96" s="421">
        <f t="shared" ref="AN96" si="16">+I95</f>
        <v>2020</v>
      </c>
      <c r="AO96" s="421">
        <f t="shared" ref="AO96" si="17">+J95</f>
        <v>2021</v>
      </c>
      <c r="AP96" s="421">
        <f t="shared" ref="AP96" si="18">+K95</f>
        <v>2022</v>
      </c>
      <c r="AQ96" s="421">
        <f t="shared" ref="AQ96" si="19">+L95</f>
        <v>2023</v>
      </c>
      <c r="AR96" s="421">
        <f t="shared" ref="AR96" si="20">+M95</f>
        <v>2024</v>
      </c>
      <c r="AS96" s="384"/>
    </row>
    <row r="97" spans="1:49">
      <c r="A97" s="422"/>
      <c r="B97" s="422" t="str">
        <f>+q16_E!$A$15</f>
        <v>Centro</v>
      </c>
      <c r="C97" s="433">
        <f>+q16_E!$B$15</f>
        <v>9629.0000000000036</v>
      </c>
      <c r="D97" s="433">
        <f>+q16_E!$C$15</f>
        <v>9895</v>
      </c>
      <c r="E97" s="433">
        <f>+q16_E!$D$15</f>
        <v>10177.999999999998</v>
      </c>
      <c r="F97" s="433">
        <f>+q16_E!$E$15</f>
        <v>10932.999999999995</v>
      </c>
      <c r="G97" s="433">
        <f>+q16_E!$F$15</f>
        <v>13342.000000000004</v>
      </c>
      <c r="H97" s="433">
        <f>+q16_E!$G$15</f>
        <v>17468.000000000004</v>
      </c>
      <c r="I97" s="433">
        <f>+q16_E!$H$15</f>
        <v>19464.999999999996</v>
      </c>
      <c r="J97" s="433">
        <f>+q16_E!$I$15</f>
        <v>21496.000000000004</v>
      </c>
      <c r="K97" s="433">
        <f>+q16_E!$J$15</f>
        <v>33698.000000000007</v>
      </c>
      <c r="L97" s="433">
        <f>+q16_E!$K$15</f>
        <v>46558.999999999993</v>
      </c>
      <c r="M97" s="433">
        <f>+q16_E!$L$15</f>
        <v>57574.999999999993</v>
      </c>
      <c r="P97" s="422">
        <f>+q16_E!$D$4</f>
        <v>2016</v>
      </c>
      <c r="Q97">
        <v>3</v>
      </c>
      <c r="V97" t="s">
        <v>497</v>
      </c>
      <c r="W97" s="943" t="s">
        <v>496</v>
      </c>
      <c r="X97" s="423" t="s">
        <v>497</v>
      </c>
      <c r="Y97" s="433">
        <f>INDEX($B$105:$M$130,MATCH($X$97:$X$121,$B$105:$B$130,0),MATCH($X$95,$B$105:$M$105,0))</f>
        <v>8918</v>
      </c>
      <c r="Z97" s="446">
        <f>+Y97/$Y$121*100</f>
        <v>1.7493717915269829</v>
      </c>
      <c r="AA97" s="436">
        <f>RANK(Y97,$Y$97:$Y$120,0)</f>
        <v>12</v>
      </c>
      <c r="AB97" s="421" t="str">
        <f t="shared" ref="AB97:AB120" si="21">+X97</f>
        <v>Alto Minho</v>
      </c>
      <c r="AC97" s="436"/>
      <c r="AF97" s="421"/>
      <c r="AG97" s="421" t="str">
        <f>+B96</f>
        <v>Norte</v>
      </c>
      <c r="AH97" s="421">
        <f t="shared" si="10"/>
        <v>12902.000000000002</v>
      </c>
      <c r="AI97" s="421">
        <f t="shared" si="10"/>
        <v>14033.000000000007</v>
      </c>
      <c r="AJ97" s="421">
        <f t="shared" si="10"/>
        <v>14238.000000000002</v>
      </c>
      <c r="AK97" s="421">
        <f t="shared" si="10"/>
        <v>17437.999999999996</v>
      </c>
      <c r="AL97" s="421">
        <f t="shared" si="10"/>
        <v>22188.000000000004</v>
      </c>
      <c r="AM97" s="421">
        <f t="shared" si="10"/>
        <v>30453.000000000011</v>
      </c>
      <c r="AN97" s="421">
        <f t="shared" si="10"/>
        <v>33775.999999999993</v>
      </c>
      <c r="AO97" s="421">
        <f t="shared" si="10"/>
        <v>36947.000000000022</v>
      </c>
      <c r="AP97" s="421">
        <f t="shared" si="10"/>
        <v>61471.999999999993</v>
      </c>
      <c r="AQ97" s="421">
        <f t="shared" si="10"/>
        <v>84585.999999999985</v>
      </c>
      <c r="AR97" s="421">
        <f t="shared" si="10"/>
        <v>108225.99999999999</v>
      </c>
      <c r="AS97" s="421"/>
      <c r="AT97" s="421"/>
      <c r="AU97" s="421"/>
      <c r="AV97" s="421"/>
      <c r="AW97" s="421"/>
    </row>
    <row r="98" spans="1:49">
      <c r="A98" s="422"/>
      <c r="B98" s="422" t="str">
        <f>+q16_E!$A$22</f>
        <v>Oeste e Vale do Tejo</v>
      </c>
      <c r="C98" s="433">
        <f>+q16_E!$B$22</f>
        <v>8347</v>
      </c>
      <c r="D98" s="433">
        <f>+q16_E!$C$22</f>
        <v>8413.0000000000018</v>
      </c>
      <c r="E98" s="433">
        <f>+q16_E!$D$22</f>
        <v>9215.0000000000018</v>
      </c>
      <c r="F98" s="433">
        <f>+q16_E!$E$22</f>
        <v>10242.999999999998</v>
      </c>
      <c r="G98" s="433">
        <f>+q16_E!$F$22</f>
        <v>13807.999999999998</v>
      </c>
      <c r="H98" s="433">
        <f>+q16_E!$G$22</f>
        <v>17449.000000000004</v>
      </c>
      <c r="I98" s="433">
        <f>+q16_E!$H$22</f>
        <v>19770</v>
      </c>
      <c r="J98" s="433">
        <f>+q16_E!$I$22</f>
        <v>20092.999999999996</v>
      </c>
      <c r="K98" s="433">
        <f>+q16_E!$J$22</f>
        <v>26288</v>
      </c>
      <c r="L98" s="433">
        <f>+q16_E!$K$22</f>
        <v>33797.000000000007</v>
      </c>
      <c r="M98" s="433">
        <f>+q16_E!$L$22</f>
        <v>40944.000000000007</v>
      </c>
      <c r="N98" s="397"/>
      <c r="O98" s="413"/>
      <c r="P98" s="422">
        <f>+q16_E!$E$4</f>
        <v>2017</v>
      </c>
      <c r="Q98">
        <v>4</v>
      </c>
      <c r="U98" s="383"/>
      <c r="V98" t="s">
        <v>498</v>
      </c>
      <c r="W98" s="943"/>
      <c r="X98" s="423" t="s">
        <v>498</v>
      </c>
      <c r="Y98" s="433">
        <f t="shared" ref="Y98:Y121" si="22">INDEX($B$105:$M$130,MATCH($X$97:$X$121,$B$105:$B$130,0),MATCH($X$95,$B$105:$M$105,0))</f>
        <v>16614.999999999996</v>
      </c>
      <c r="Z98" s="446">
        <f t="shared" ref="Z98:Z120" si="23">+Y98/$Y$121*100</f>
        <v>3.2592299076273616</v>
      </c>
      <c r="AA98" s="436">
        <f t="shared" ref="AA98:AA120" si="24">RANK(Y98,$Y$97:$Y$120,0)</f>
        <v>6</v>
      </c>
      <c r="AB98" s="421" t="str">
        <f t="shared" si="21"/>
        <v>Cávado</v>
      </c>
      <c r="AC98" s="436"/>
      <c r="AF98" s="421"/>
      <c r="AG98" s="421" t="str">
        <f t="shared" ref="AG98:AG104" si="25">+B97</f>
        <v>Centro</v>
      </c>
      <c r="AH98" s="421">
        <f t="shared" si="10"/>
        <v>9629.0000000000036</v>
      </c>
      <c r="AI98" s="421">
        <f t="shared" si="10"/>
        <v>9895</v>
      </c>
      <c r="AJ98" s="421">
        <f t="shared" si="10"/>
        <v>10177.999999999998</v>
      </c>
      <c r="AK98" s="421">
        <f t="shared" si="10"/>
        <v>10932.999999999995</v>
      </c>
      <c r="AL98" s="421">
        <f t="shared" si="10"/>
        <v>13342.000000000004</v>
      </c>
      <c r="AM98" s="421">
        <f t="shared" si="10"/>
        <v>17468.000000000004</v>
      </c>
      <c r="AN98" s="421">
        <f t="shared" si="10"/>
        <v>19464.999999999996</v>
      </c>
      <c r="AO98" s="421">
        <f t="shared" si="10"/>
        <v>21496.000000000004</v>
      </c>
      <c r="AP98" s="421">
        <f t="shared" si="10"/>
        <v>33698.000000000007</v>
      </c>
      <c r="AQ98" s="421">
        <f t="shared" si="10"/>
        <v>46558.999999999993</v>
      </c>
      <c r="AR98" s="421">
        <f t="shared" si="10"/>
        <v>57574.999999999993</v>
      </c>
      <c r="AS98" s="421"/>
      <c r="AT98" s="421"/>
      <c r="AU98" s="421"/>
      <c r="AV98" s="421"/>
      <c r="AW98" s="421"/>
    </row>
    <row r="99" spans="1:49">
      <c r="A99" s="422"/>
      <c r="B99" s="422" t="str">
        <f>+q16_E!$A$26</f>
        <v>Grande Lisboa</v>
      </c>
      <c r="C99" s="433">
        <f>+q16_E!$B$26</f>
        <v>52168</v>
      </c>
      <c r="D99" s="433">
        <f>+q16_E!$C$26</f>
        <v>54154</v>
      </c>
      <c r="E99" s="433">
        <f>+q16_E!$D$26</f>
        <v>60813.999999999993</v>
      </c>
      <c r="F99" s="433">
        <f>+q16_E!$E$26</f>
        <v>64314</v>
      </c>
      <c r="G99" s="433">
        <f>+q16_E!$F$26</f>
        <v>75815</v>
      </c>
      <c r="H99" s="433">
        <f>+q16_E!$G$26</f>
        <v>89769</v>
      </c>
      <c r="I99" s="433">
        <f>+q16_E!$H$26</f>
        <v>90529</v>
      </c>
      <c r="J99" s="433">
        <f>+q16_E!$I$26</f>
        <v>93507</v>
      </c>
      <c r="K99" s="433">
        <f>+q16_E!$J$26</f>
        <v>125679</v>
      </c>
      <c r="L99" s="433">
        <f>+q16_E!$K$26</f>
        <v>158199.00000000006</v>
      </c>
      <c r="M99" s="433">
        <f>+q16_E!$L$26</f>
        <v>192040</v>
      </c>
      <c r="P99" s="422">
        <f>+q16_E!$F$4</f>
        <v>2018</v>
      </c>
      <c r="Q99">
        <v>5</v>
      </c>
      <c r="V99" t="s">
        <v>499</v>
      </c>
      <c r="W99" s="943"/>
      <c r="X99" s="423" t="s">
        <v>499</v>
      </c>
      <c r="Y99" s="433">
        <f t="shared" si="22"/>
        <v>8530</v>
      </c>
      <c r="Z99" s="446">
        <f t="shared" si="23"/>
        <v>1.6732609757485042</v>
      </c>
      <c r="AA99" s="436">
        <f t="shared" si="24"/>
        <v>14</v>
      </c>
      <c r="AB99" s="421" t="str">
        <f t="shared" si="21"/>
        <v>Ave</v>
      </c>
      <c r="AC99" s="436"/>
      <c r="AF99" s="421"/>
      <c r="AG99" s="421" t="str">
        <f t="shared" si="25"/>
        <v>Oeste e Vale do Tejo</v>
      </c>
      <c r="AH99" s="421">
        <f t="shared" si="10"/>
        <v>8347</v>
      </c>
      <c r="AI99" s="421">
        <f t="shared" si="10"/>
        <v>8413.0000000000018</v>
      </c>
      <c r="AJ99" s="421">
        <f t="shared" si="10"/>
        <v>9215.0000000000018</v>
      </c>
      <c r="AK99" s="421">
        <f t="shared" si="10"/>
        <v>10242.999999999998</v>
      </c>
      <c r="AL99" s="421">
        <f t="shared" si="10"/>
        <v>13807.999999999998</v>
      </c>
      <c r="AM99" s="421">
        <f t="shared" si="10"/>
        <v>17449.000000000004</v>
      </c>
      <c r="AN99" s="421">
        <f t="shared" si="10"/>
        <v>19770</v>
      </c>
      <c r="AO99" s="421">
        <f t="shared" si="10"/>
        <v>20092.999999999996</v>
      </c>
      <c r="AP99" s="421">
        <f t="shared" si="10"/>
        <v>26288</v>
      </c>
      <c r="AQ99" s="421">
        <f t="shared" si="10"/>
        <v>33797.000000000007</v>
      </c>
      <c r="AR99" s="421">
        <f t="shared" si="10"/>
        <v>40944.000000000007</v>
      </c>
      <c r="AS99" s="421"/>
      <c r="AT99" s="421"/>
      <c r="AU99" s="421"/>
      <c r="AV99" s="421"/>
      <c r="AW99" s="421"/>
    </row>
    <row r="100" spans="1:49" ht="51">
      <c r="A100" s="422"/>
      <c r="B100" s="422" t="str">
        <f>+q16_E!$A$27</f>
        <v>Península de Setúbal</v>
      </c>
      <c r="C100" s="433">
        <f>+q16_E!$B$27</f>
        <v>7765</v>
      </c>
      <c r="D100" s="433">
        <f>+q16_E!$C$27</f>
        <v>8310</v>
      </c>
      <c r="E100" s="433">
        <f>+q16_E!$D$27</f>
        <v>8883.0000000000018</v>
      </c>
      <c r="F100" s="433">
        <f>+q16_E!$E$27</f>
        <v>9424</v>
      </c>
      <c r="G100" s="433">
        <f>+q16_E!$F$27</f>
        <v>11198</v>
      </c>
      <c r="H100" s="433">
        <f>+q16_E!$G$27</f>
        <v>13970.999999999996</v>
      </c>
      <c r="I100" s="433">
        <f>+q16_E!$H$27</f>
        <v>14333</v>
      </c>
      <c r="J100" s="433">
        <f>+q16_E!$I$27</f>
        <v>16184</v>
      </c>
      <c r="K100" s="433">
        <f>+q16_E!$J$27</f>
        <v>20850</v>
      </c>
      <c r="L100" s="433">
        <f>+q16_E!$K$27</f>
        <v>25751.999999999996</v>
      </c>
      <c r="M100" s="433">
        <f>+q16_E!$L$27</f>
        <v>33366</v>
      </c>
      <c r="N100" s="384"/>
      <c r="P100" s="422">
        <f>+q16_E!$G$4</f>
        <v>2019</v>
      </c>
      <c r="Q100">
        <v>6</v>
      </c>
      <c r="V100" s="930" t="s">
        <v>961</v>
      </c>
      <c r="W100" s="943"/>
      <c r="X100" s="423" t="s">
        <v>500</v>
      </c>
      <c r="Y100" s="433">
        <f t="shared" si="22"/>
        <v>59436</v>
      </c>
      <c r="Z100" s="446">
        <f t="shared" si="23"/>
        <v>11.659078470643388</v>
      </c>
      <c r="AA100" s="436">
        <f t="shared" si="24"/>
        <v>2</v>
      </c>
      <c r="AB100" s="421" t="str">
        <f t="shared" si="21"/>
        <v>Área Metropolitana do Porto</v>
      </c>
      <c r="AC100" s="436"/>
      <c r="AF100" s="421"/>
      <c r="AG100" s="421" t="str">
        <f t="shared" si="25"/>
        <v>Grande Lisboa</v>
      </c>
      <c r="AH100" s="421">
        <f t="shared" si="10"/>
        <v>52168</v>
      </c>
      <c r="AI100" s="421">
        <f t="shared" si="10"/>
        <v>54154</v>
      </c>
      <c r="AJ100" s="421">
        <f t="shared" si="10"/>
        <v>60813.999999999993</v>
      </c>
      <c r="AK100" s="421">
        <f t="shared" si="10"/>
        <v>64314</v>
      </c>
      <c r="AL100" s="421">
        <f t="shared" si="10"/>
        <v>75815</v>
      </c>
      <c r="AM100" s="421">
        <f t="shared" si="10"/>
        <v>89769</v>
      </c>
      <c r="AN100" s="421">
        <f t="shared" si="10"/>
        <v>90529</v>
      </c>
      <c r="AO100" s="421">
        <f t="shared" si="10"/>
        <v>93507</v>
      </c>
      <c r="AP100" s="421">
        <f t="shared" si="10"/>
        <v>125679</v>
      </c>
      <c r="AQ100" s="421">
        <f t="shared" si="10"/>
        <v>158199.00000000006</v>
      </c>
      <c r="AR100" s="421">
        <f t="shared" si="10"/>
        <v>192040</v>
      </c>
      <c r="AS100" s="421"/>
      <c r="AT100" s="421"/>
      <c r="AU100" s="421"/>
      <c r="AV100" s="421"/>
      <c r="AW100" s="421"/>
    </row>
    <row r="101" spans="1:49">
      <c r="A101" s="422"/>
      <c r="B101" s="422" t="str">
        <f>+q16_E!$A$28</f>
        <v>Alentejo</v>
      </c>
      <c r="C101" s="433">
        <f>+q16_E!$B$28</f>
        <v>4790</v>
      </c>
      <c r="D101" s="433">
        <f>+q16_E!$C$28</f>
        <v>5641</v>
      </c>
      <c r="E101" s="433">
        <f>+q16_E!$D$28</f>
        <v>6792.9999999999991</v>
      </c>
      <c r="F101" s="433">
        <f>+q16_E!$E$28</f>
        <v>8148.0000000000018</v>
      </c>
      <c r="G101" s="433">
        <f>+q16_E!$F$28</f>
        <v>8822.0000000000018</v>
      </c>
      <c r="H101" s="433">
        <f>+q16_E!$G$28</f>
        <v>12202.999999999998</v>
      </c>
      <c r="I101" s="433">
        <f>+q16_E!$H$28</f>
        <v>15676.000000000004</v>
      </c>
      <c r="J101" s="433">
        <f>+q16_E!$I$28</f>
        <v>15222.999999999998</v>
      </c>
      <c r="K101" s="433">
        <f>+q16_E!$J$28</f>
        <v>19339.000000000004</v>
      </c>
      <c r="L101" s="433">
        <f>+q16_E!$K$28</f>
        <v>22718.999999999989</v>
      </c>
      <c r="M101" s="433">
        <f>+q16_E!$L$28</f>
        <v>25468.000000000011</v>
      </c>
      <c r="P101" s="422">
        <f>+q16_E!$H$4</f>
        <v>2020</v>
      </c>
      <c r="Q101">
        <v>7</v>
      </c>
      <c r="V101" t="s">
        <v>501</v>
      </c>
      <c r="W101" s="943"/>
      <c r="X101" s="423" t="s">
        <v>501</v>
      </c>
      <c r="Y101" s="433">
        <f t="shared" si="22"/>
        <v>1000.9999999999999</v>
      </c>
      <c r="Z101" s="446">
        <f t="shared" si="23"/>
        <v>0.19635805823262051</v>
      </c>
      <c r="AA101" s="436">
        <f t="shared" si="24"/>
        <v>24</v>
      </c>
      <c r="AB101" s="421" t="str">
        <f t="shared" si="21"/>
        <v>Alto Tâmega e Barroso</v>
      </c>
      <c r="AC101" s="436"/>
      <c r="AF101" s="421"/>
      <c r="AG101" s="421" t="str">
        <f t="shared" si="25"/>
        <v>Península de Setúbal</v>
      </c>
      <c r="AH101" s="421">
        <f t="shared" si="10"/>
        <v>7765</v>
      </c>
      <c r="AI101" s="421">
        <f t="shared" si="10"/>
        <v>8310</v>
      </c>
      <c r="AJ101" s="421">
        <f t="shared" si="10"/>
        <v>8883.0000000000018</v>
      </c>
      <c r="AK101" s="421">
        <f t="shared" si="10"/>
        <v>9424</v>
      </c>
      <c r="AL101" s="421">
        <f t="shared" si="10"/>
        <v>11198</v>
      </c>
      <c r="AM101" s="421">
        <f t="shared" si="10"/>
        <v>13970.999999999996</v>
      </c>
      <c r="AN101" s="421">
        <f t="shared" si="10"/>
        <v>14333</v>
      </c>
      <c r="AO101" s="421">
        <f t="shared" si="10"/>
        <v>16184</v>
      </c>
      <c r="AP101" s="421">
        <f t="shared" si="10"/>
        <v>20850</v>
      </c>
      <c r="AQ101" s="421">
        <f t="shared" si="10"/>
        <v>25751.999999999996</v>
      </c>
      <c r="AR101" s="421">
        <f t="shared" si="10"/>
        <v>33366</v>
      </c>
      <c r="AS101" s="421"/>
      <c r="AT101" s="421"/>
      <c r="AU101" s="421"/>
      <c r="AV101" s="421"/>
      <c r="AW101" s="421"/>
    </row>
    <row r="102" spans="1:49">
      <c r="A102" s="422"/>
      <c r="B102" s="422" t="str">
        <f>+q16_E!$A$33</f>
        <v>Algarve</v>
      </c>
      <c r="C102" s="433">
        <f>+q16_E!$B$33</f>
        <v>14790.000000000004</v>
      </c>
      <c r="D102" s="433">
        <f>+q16_E!$C$33</f>
        <v>15565.000000000005</v>
      </c>
      <c r="E102" s="433">
        <f>+q16_E!$D$33</f>
        <v>17115</v>
      </c>
      <c r="F102" s="433">
        <f>+q16_E!$E$33</f>
        <v>19795</v>
      </c>
      <c r="G102" s="433">
        <f>+q16_E!$F$33</f>
        <v>24122</v>
      </c>
      <c r="H102" s="433">
        <f>+q16_E!$G$33</f>
        <v>29269.999999999993</v>
      </c>
      <c r="I102" s="433">
        <f>+q16_E!$H$33</f>
        <v>24212</v>
      </c>
      <c r="J102" s="433">
        <f>+q16_E!$I$33</f>
        <v>25073.000000000004</v>
      </c>
      <c r="K102" s="433">
        <f>+q16_E!$J$33</f>
        <v>34702</v>
      </c>
      <c r="L102" s="433">
        <f>+q16_E!$K$33</f>
        <v>43171.000000000007</v>
      </c>
      <c r="M102" s="433">
        <f>+q16_E!$L$33</f>
        <v>52164.000000000007</v>
      </c>
      <c r="P102" s="422">
        <f>+q16_E!$I$4</f>
        <v>2021</v>
      </c>
      <c r="Q102">
        <v>8</v>
      </c>
      <c r="V102" t="s">
        <v>502</v>
      </c>
      <c r="W102" s="943"/>
      <c r="X102" s="423" t="s">
        <v>502</v>
      </c>
      <c r="Y102" s="433">
        <f t="shared" si="22"/>
        <v>8817</v>
      </c>
      <c r="Z102" s="446">
        <f t="shared" si="23"/>
        <v>1.729559439997018</v>
      </c>
      <c r="AA102" s="436">
        <f t="shared" si="24"/>
        <v>13</v>
      </c>
      <c r="AB102" s="421" t="str">
        <f t="shared" si="21"/>
        <v>Tâmega e Sousa</v>
      </c>
      <c r="AC102" s="436"/>
      <c r="AF102" s="421"/>
      <c r="AG102" s="421" t="str">
        <f t="shared" si="25"/>
        <v>Alentejo</v>
      </c>
      <c r="AH102" s="421">
        <f t="shared" si="10"/>
        <v>4790</v>
      </c>
      <c r="AI102" s="421">
        <f t="shared" si="10"/>
        <v>5641</v>
      </c>
      <c r="AJ102" s="421">
        <f t="shared" si="10"/>
        <v>6792.9999999999991</v>
      </c>
      <c r="AK102" s="421">
        <f t="shared" si="10"/>
        <v>8148.0000000000018</v>
      </c>
      <c r="AL102" s="421">
        <f t="shared" si="10"/>
        <v>8822.0000000000018</v>
      </c>
      <c r="AM102" s="421">
        <f t="shared" si="10"/>
        <v>12202.999999999998</v>
      </c>
      <c r="AN102" s="421">
        <f t="shared" si="10"/>
        <v>15676.000000000004</v>
      </c>
      <c r="AO102" s="421">
        <f t="shared" si="10"/>
        <v>15222.999999999998</v>
      </c>
      <c r="AP102" s="421">
        <f t="shared" si="10"/>
        <v>19339.000000000004</v>
      </c>
      <c r="AQ102" s="421">
        <f t="shared" si="10"/>
        <v>22718.999999999989</v>
      </c>
      <c r="AR102" s="421">
        <f t="shared" si="10"/>
        <v>25468.000000000011</v>
      </c>
      <c r="AS102" s="421"/>
      <c r="AT102" s="421"/>
      <c r="AU102" s="421"/>
      <c r="AV102" s="421"/>
      <c r="AW102" s="421"/>
    </row>
    <row r="103" spans="1:49">
      <c r="A103" s="421"/>
      <c r="B103" s="422" t="s">
        <v>13</v>
      </c>
      <c r="C103" s="433">
        <f>+q16_E!$B$5</f>
        <v>110390.99999999996</v>
      </c>
      <c r="D103" s="433">
        <f>+q16_E!$C$5</f>
        <v>116010.9999999999</v>
      </c>
      <c r="E103" s="433">
        <f>+q16_E!$D$5</f>
        <v>127236.00000000019</v>
      </c>
      <c r="F103" s="433">
        <f>+q16_E!$E$5</f>
        <v>140295.00000000003</v>
      </c>
      <c r="G103" s="433">
        <f>+q16_E!$F$5</f>
        <v>169294.99999999988</v>
      </c>
      <c r="H103" s="433">
        <f>+q16_E!$G$5</f>
        <v>210582.99999999997</v>
      </c>
      <c r="I103" s="433">
        <f>+q16_E!$H$5</f>
        <v>217760.99999999983</v>
      </c>
      <c r="J103" s="433">
        <f>+q16_E!$I$5</f>
        <v>228523.00000000006</v>
      </c>
      <c r="K103" s="433">
        <f>+q16_E!$J$5</f>
        <v>322028.00000000017</v>
      </c>
      <c r="L103" s="433">
        <f>+q16_E!$K$5</f>
        <v>414782.99999999994</v>
      </c>
      <c r="M103" s="433">
        <f>+q16_E!$L$5</f>
        <v>509783.00000000012</v>
      </c>
      <c r="P103" s="422">
        <f>+q16_E!$J$4</f>
        <v>2022</v>
      </c>
      <c r="Q103">
        <v>9</v>
      </c>
      <c r="R103" s="383"/>
      <c r="V103" t="s">
        <v>503</v>
      </c>
      <c r="W103" s="943"/>
      <c r="X103" s="423" t="s">
        <v>503</v>
      </c>
      <c r="Y103" s="433">
        <f t="shared" si="22"/>
        <v>3321.0000000000005</v>
      </c>
      <c r="Z103" s="446">
        <f t="shared" si="23"/>
        <v>0.65145365773280006</v>
      </c>
      <c r="AA103" s="436">
        <f t="shared" si="24"/>
        <v>20</v>
      </c>
      <c r="AB103" s="421" t="str">
        <f t="shared" si="21"/>
        <v>Douro</v>
      </c>
      <c r="AC103" s="436"/>
      <c r="AF103" s="421"/>
      <c r="AG103" s="421" t="str">
        <f t="shared" si="25"/>
        <v>Algarve</v>
      </c>
      <c r="AH103" s="421">
        <f t="shared" si="10"/>
        <v>14790.000000000004</v>
      </c>
      <c r="AI103" s="421">
        <f t="shared" si="10"/>
        <v>15565.000000000005</v>
      </c>
      <c r="AJ103" s="421">
        <f t="shared" si="10"/>
        <v>17115</v>
      </c>
      <c r="AK103" s="421">
        <f t="shared" si="10"/>
        <v>19795</v>
      </c>
      <c r="AL103" s="421">
        <f t="shared" si="10"/>
        <v>24122</v>
      </c>
      <c r="AM103" s="421">
        <f t="shared" si="10"/>
        <v>29269.999999999993</v>
      </c>
      <c r="AN103" s="421">
        <f t="shared" si="10"/>
        <v>24212</v>
      </c>
      <c r="AO103" s="421">
        <f t="shared" si="10"/>
        <v>25073.000000000004</v>
      </c>
      <c r="AP103" s="421">
        <f t="shared" si="10"/>
        <v>34702</v>
      </c>
      <c r="AQ103" s="421">
        <f t="shared" si="10"/>
        <v>43171.000000000007</v>
      </c>
      <c r="AR103" s="421">
        <f t="shared" si="10"/>
        <v>52164.000000000007</v>
      </c>
      <c r="AS103" s="421"/>
      <c r="AT103" s="421"/>
      <c r="AU103" s="421"/>
      <c r="AV103" s="421"/>
      <c r="AW103" s="421"/>
    </row>
    <row r="104" spans="1:49">
      <c r="A104" s="421"/>
      <c r="B104" s="422"/>
      <c r="C104" s="433"/>
      <c r="D104" s="433"/>
      <c r="E104" s="433"/>
      <c r="F104" s="433"/>
      <c r="G104" s="433"/>
      <c r="H104" s="433"/>
      <c r="I104" s="433"/>
      <c r="J104" s="433"/>
      <c r="K104" s="433"/>
      <c r="L104" s="433"/>
      <c r="M104" s="433"/>
      <c r="P104" s="422">
        <f>+q16_E!$K$4</f>
        <v>2023</v>
      </c>
      <c r="Q104">
        <v>10</v>
      </c>
      <c r="V104" t="s">
        <v>504</v>
      </c>
      <c r="W104" s="943"/>
      <c r="X104" s="423" t="s">
        <v>504</v>
      </c>
      <c r="Y104" s="433">
        <f t="shared" si="22"/>
        <v>1588</v>
      </c>
      <c r="Z104" s="446">
        <f t="shared" si="23"/>
        <v>0.31150509138201932</v>
      </c>
      <c r="AA104" s="436">
        <f t="shared" si="24"/>
        <v>23</v>
      </c>
      <c r="AB104" s="421" t="str">
        <f t="shared" si="21"/>
        <v>Terras de Trás-os-Montes</v>
      </c>
      <c r="AC104" s="436"/>
      <c r="AF104" s="421"/>
      <c r="AG104" s="421" t="str">
        <f t="shared" si="25"/>
        <v>Continente</v>
      </c>
      <c r="AH104" s="421">
        <f t="shared" si="10"/>
        <v>110390.99999999996</v>
      </c>
      <c r="AI104" s="421">
        <f t="shared" si="10"/>
        <v>116010.9999999999</v>
      </c>
      <c r="AJ104" s="421">
        <f t="shared" si="10"/>
        <v>127236.00000000019</v>
      </c>
      <c r="AK104" s="421">
        <f t="shared" si="10"/>
        <v>140295.00000000003</v>
      </c>
      <c r="AL104" s="421">
        <f t="shared" si="10"/>
        <v>169294.99999999988</v>
      </c>
      <c r="AM104" s="421">
        <f t="shared" si="10"/>
        <v>210582.99999999997</v>
      </c>
      <c r="AN104" s="421">
        <f t="shared" si="10"/>
        <v>217760.99999999983</v>
      </c>
      <c r="AO104" s="421">
        <f t="shared" si="10"/>
        <v>228523.00000000006</v>
      </c>
      <c r="AP104" s="421">
        <f t="shared" si="10"/>
        <v>322028.00000000017</v>
      </c>
      <c r="AQ104" s="421">
        <f t="shared" si="10"/>
        <v>414782.99999999994</v>
      </c>
      <c r="AR104" s="421">
        <f t="shared" si="10"/>
        <v>509783.00000000012</v>
      </c>
      <c r="AS104" s="433"/>
    </row>
    <row r="105" spans="1:49" ht="25.5">
      <c r="A105" s="421"/>
      <c r="B105" s="421"/>
      <c r="C105" s="422">
        <f>+C95</f>
        <v>2014</v>
      </c>
      <c r="D105" s="422">
        <f t="shared" ref="D105:M105" si="26">+D95</f>
        <v>2015</v>
      </c>
      <c r="E105" s="422">
        <f t="shared" si="26"/>
        <v>2016</v>
      </c>
      <c r="F105" s="422">
        <f t="shared" si="26"/>
        <v>2017</v>
      </c>
      <c r="G105" s="422">
        <f t="shared" si="26"/>
        <v>2018</v>
      </c>
      <c r="H105" s="422">
        <f t="shared" si="26"/>
        <v>2019</v>
      </c>
      <c r="I105" s="422">
        <f t="shared" si="26"/>
        <v>2020</v>
      </c>
      <c r="J105" s="422">
        <f t="shared" si="26"/>
        <v>2021</v>
      </c>
      <c r="K105" s="422">
        <f t="shared" si="26"/>
        <v>2022</v>
      </c>
      <c r="L105" s="422">
        <f t="shared" si="26"/>
        <v>2023</v>
      </c>
      <c r="M105" s="422">
        <f t="shared" si="26"/>
        <v>2024</v>
      </c>
      <c r="P105" s="422">
        <f>+q16_E!$L$4</f>
        <v>2024</v>
      </c>
      <c r="Q105">
        <v>11</v>
      </c>
      <c r="V105" s="930" t="s">
        <v>962</v>
      </c>
      <c r="W105" s="943" t="s">
        <v>505</v>
      </c>
      <c r="X105" s="423" t="s">
        <v>506</v>
      </c>
      <c r="Y105" s="433">
        <f t="shared" si="22"/>
        <v>16595</v>
      </c>
      <c r="Z105" s="446">
        <f t="shared" si="23"/>
        <v>3.2553066697006368</v>
      </c>
      <c r="AA105" s="436">
        <f t="shared" si="24"/>
        <v>7</v>
      </c>
      <c r="AB105" s="421" t="str">
        <f t="shared" si="21"/>
        <v>Região de Aveiro</v>
      </c>
      <c r="AC105" s="436"/>
      <c r="AF105" s="421"/>
      <c r="AG105" s="585"/>
      <c r="AH105" s="423"/>
      <c r="AI105" s="433"/>
      <c r="AJ105" s="433"/>
      <c r="AK105" s="433"/>
      <c r="AL105" s="433"/>
      <c r="AM105" s="433"/>
      <c r="AN105" s="433"/>
      <c r="AO105" s="433"/>
      <c r="AP105" s="433"/>
      <c r="AQ105" s="433"/>
      <c r="AR105" s="433"/>
      <c r="AS105" s="433"/>
    </row>
    <row r="106" spans="1:49" ht="25.5">
      <c r="A106" s="422" t="s">
        <v>525</v>
      </c>
      <c r="B106" s="422" t="str">
        <f>+q16_E!$A$7</f>
        <v>Alto Minho</v>
      </c>
      <c r="C106" s="433">
        <f>+q16_E!$B$7</f>
        <v>1088</v>
      </c>
      <c r="D106" s="433">
        <f>+q16_E!$C$7</f>
        <v>1608.9999999999998</v>
      </c>
      <c r="E106" s="433">
        <f>+q16_E!$D$7</f>
        <v>1354</v>
      </c>
      <c r="F106" s="433">
        <f>+q16_E!$E$7</f>
        <v>1615</v>
      </c>
      <c r="G106" s="433">
        <f>+q16_E!$F$7</f>
        <v>2561</v>
      </c>
      <c r="H106" s="433">
        <f>+q16_E!$G$7</f>
        <v>3496</v>
      </c>
      <c r="I106" s="433">
        <f>+q16_E!$H$7</f>
        <v>3547</v>
      </c>
      <c r="J106" s="433">
        <f>+q16_E!$I$7</f>
        <v>3582</v>
      </c>
      <c r="K106" s="433">
        <f>+q16_E!$J$7</f>
        <v>5474</v>
      </c>
      <c r="L106" s="433">
        <f>+q16_E!$K$7</f>
        <v>7583</v>
      </c>
      <c r="M106" s="433">
        <f>+q16_E!$L$7</f>
        <v>8918</v>
      </c>
      <c r="N106" s="397"/>
      <c r="R106" s="383"/>
      <c r="V106" s="930" t="s">
        <v>964</v>
      </c>
      <c r="W106" s="943"/>
      <c r="X106" s="423" t="s">
        <v>507</v>
      </c>
      <c r="Y106" s="433">
        <f t="shared" si="22"/>
        <v>12388</v>
      </c>
      <c r="Z106" s="446">
        <f t="shared" si="23"/>
        <v>2.4300535718138891</v>
      </c>
      <c r="AA106" s="436">
        <f t="shared" si="24"/>
        <v>11</v>
      </c>
      <c r="AB106" s="421" t="str">
        <f t="shared" si="21"/>
        <v>Região de Coimbra</v>
      </c>
      <c r="AC106" s="436"/>
      <c r="AF106" s="421"/>
      <c r="AG106" s="585"/>
      <c r="AH106" s="423">
        <f>+AH97/AH104</f>
        <v>0.11687546992055518</v>
      </c>
      <c r="AI106" s="433"/>
      <c r="AJ106" s="433"/>
      <c r="AK106" s="433"/>
      <c r="AL106" s="433"/>
      <c r="AM106" s="433"/>
      <c r="AN106" s="433"/>
      <c r="AO106" s="433"/>
      <c r="AP106" s="433"/>
      <c r="AQ106" s="433"/>
      <c r="AR106" s="433"/>
      <c r="AS106" s="433"/>
    </row>
    <row r="107" spans="1:49" ht="25.5">
      <c r="A107" s="422"/>
      <c r="B107" s="422" t="str">
        <f>+q16_E!$A$8</f>
        <v>Cávado</v>
      </c>
      <c r="C107" s="433">
        <f>+q16_E!$B$8</f>
        <v>1381</v>
      </c>
      <c r="D107" s="433">
        <f>+q16_E!$C$8</f>
        <v>1422.0000000000002</v>
      </c>
      <c r="E107" s="433">
        <f>+q16_E!$D$8</f>
        <v>1647</v>
      </c>
      <c r="F107" s="433">
        <f>+q16_E!$E$8</f>
        <v>1866.9999999999998</v>
      </c>
      <c r="G107" s="433">
        <f>+q16_E!$F$8</f>
        <v>2866</v>
      </c>
      <c r="H107" s="433">
        <f>+q16_E!$G$8</f>
        <v>4608</v>
      </c>
      <c r="I107" s="433">
        <f>+q16_E!$H$8</f>
        <v>5097</v>
      </c>
      <c r="J107" s="433">
        <f>+q16_E!$I$8</f>
        <v>5669</v>
      </c>
      <c r="K107" s="433">
        <f>+q16_E!$J$8</f>
        <v>9567</v>
      </c>
      <c r="L107" s="433">
        <f>+q16_E!$K$8</f>
        <v>13702.999999999998</v>
      </c>
      <c r="M107" s="433">
        <f>+q16_E!$L$8</f>
        <v>16614.999999999996</v>
      </c>
      <c r="N107" s="397"/>
      <c r="V107" s="930" t="s">
        <v>963</v>
      </c>
      <c r="W107" s="943"/>
      <c r="X107" s="423" t="s">
        <v>508</v>
      </c>
      <c r="Y107" s="433">
        <f t="shared" si="22"/>
        <v>15258</v>
      </c>
      <c r="Z107" s="446">
        <f t="shared" si="23"/>
        <v>2.9930382142990246</v>
      </c>
      <c r="AA107" s="436">
        <f t="shared" si="24"/>
        <v>9</v>
      </c>
      <c r="AB107" s="421" t="str">
        <f t="shared" si="21"/>
        <v>Região de Leiria</v>
      </c>
      <c r="AC107" s="436"/>
      <c r="AF107" s="421"/>
      <c r="AG107" s="585"/>
      <c r="AH107" s="423"/>
      <c r="AI107" s="433"/>
      <c r="AJ107" s="433"/>
      <c r="AK107" s="433"/>
      <c r="AL107" s="433"/>
      <c r="AM107" s="433"/>
      <c r="AN107" s="433"/>
      <c r="AO107" s="433"/>
      <c r="AP107" s="433"/>
      <c r="AQ107" s="433"/>
      <c r="AR107" s="433"/>
      <c r="AS107" s="433"/>
    </row>
    <row r="108" spans="1:49">
      <c r="A108" s="422"/>
      <c r="B108" s="422" t="str">
        <f>+q16_E!$A$9</f>
        <v>Ave</v>
      </c>
      <c r="C108" s="433">
        <f>+q16_E!$B$9</f>
        <v>943.00000000000011</v>
      </c>
      <c r="D108" s="433">
        <f>+q16_E!$C$9</f>
        <v>1095</v>
      </c>
      <c r="E108" s="433">
        <f>+q16_E!$D$9</f>
        <v>1094</v>
      </c>
      <c r="F108" s="433">
        <f>+q16_E!$E$9</f>
        <v>1174</v>
      </c>
      <c r="G108" s="433">
        <f>+q16_E!$F$9</f>
        <v>1883</v>
      </c>
      <c r="H108" s="433">
        <f>+q16_E!$G$9</f>
        <v>2227</v>
      </c>
      <c r="I108" s="433">
        <f>+q16_E!$H$9</f>
        <v>2560</v>
      </c>
      <c r="J108" s="433">
        <f>+q16_E!$I$9</f>
        <v>2869.9999999999995</v>
      </c>
      <c r="K108" s="433">
        <f>+q16_E!$J$9</f>
        <v>5019</v>
      </c>
      <c r="L108" s="433">
        <f>+q16_E!$K$9</f>
        <v>6545.0000000000009</v>
      </c>
      <c r="M108" s="433">
        <f>+q16_E!$L$9</f>
        <v>8530</v>
      </c>
      <c r="N108" s="876"/>
      <c r="O108" s="410"/>
      <c r="P108" s="410"/>
      <c r="Q108" s="410"/>
      <c r="R108" s="410"/>
      <c r="S108" s="410"/>
      <c r="T108" s="410"/>
      <c r="U108" s="410"/>
      <c r="V108" t="s">
        <v>509</v>
      </c>
      <c r="W108" s="943"/>
      <c r="X108" s="423" t="s">
        <v>509</v>
      </c>
      <c r="Y108" s="433">
        <f t="shared" si="22"/>
        <v>6921</v>
      </c>
      <c r="Z108" s="446">
        <f t="shared" si="23"/>
        <v>1.357636484543423</v>
      </c>
      <c r="AA108" s="436">
        <f t="shared" si="24"/>
        <v>15</v>
      </c>
      <c r="AB108" s="421" t="str">
        <f t="shared" si="21"/>
        <v>Viseu Dão Lafões</v>
      </c>
      <c r="AC108" s="436"/>
      <c r="AF108" s="421"/>
      <c r="AG108" s="585"/>
      <c r="AH108" s="423"/>
      <c r="AI108" s="433"/>
      <c r="AJ108" s="433"/>
      <c r="AK108" s="433"/>
      <c r="AL108" s="433"/>
      <c r="AM108" s="433"/>
      <c r="AN108" s="433"/>
      <c r="AO108" s="433"/>
      <c r="AP108" s="433"/>
      <c r="AQ108" s="433"/>
      <c r="AR108" s="433"/>
      <c r="AS108" s="433"/>
    </row>
    <row r="109" spans="1:49">
      <c r="A109" s="422"/>
      <c r="B109" s="422" t="str">
        <f>+q16_E!$A$10</f>
        <v>Área Metropolitana do Porto</v>
      </c>
      <c r="C109" s="433">
        <f>+q16_E!$B$10</f>
        <v>7776</v>
      </c>
      <c r="D109" s="433">
        <f>+q16_E!$C$10</f>
        <v>8118.0000000000009</v>
      </c>
      <c r="E109" s="433">
        <f>+q16_E!$D$10</f>
        <v>8429</v>
      </c>
      <c r="F109" s="433">
        <f>+q16_E!$E$10</f>
        <v>10923.000000000002</v>
      </c>
      <c r="G109" s="433">
        <f>+q16_E!$F$10</f>
        <v>12670</v>
      </c>
      <c r="H109" s="433">
        <f>+q16_E!$G$10</f>
        <v>17064</v>
      </c>
      <c r="I109" s="433">
        <f>+q16_E!$H$10</f>
        <v>18965</v>
      </c>
      <c r="J109" s="433">
        <f>+q16_E!$I$10</f>
        <v>20521</v>
      </c>
      <c r="K109" s="433">
        <f>+q16_E!$J$10</f>
        <v>34651.999999999993</v>
      </c>
      <c r="L109" s="433">
        <f>+q16_E!$K$10</f>
        <v>46134</v>
      </c>
      <c r="M109" s="433">
        <f>+q16_E!$L$10</f>
        <v>59436</v>
      </c>
      <c r="N109" s="876"/>
      <c r="O109" s="410"/>
      <c r="P109" s="410"/>
      <c r="Q109" s="410"/>
      <c r="R109" s="410"/>
      <c r="S109" s="410"/>
      <c r="T109" s="410"/>
      <c r="U109" s="410"/>
      <c r="V109" t="s">
        <v>510</v>
      </c>
      <c r="W109" s="943"/>
      <c r="X109" s="423" t="s">
        <v>510</v>
      </c>
      <c r="Y109" s="433">
        <f t="shared" si="22"/>
        <v>2616</v>
      </c>
      <c r="Z109" s="446">
        <f t="shared" si="23"/>
        <v>0.51315952081571958</v>
      </c>
      <c r="AA109" s="436">
        <f t="shared" si="24"/>
        <v>21</v>
      </c>
      <c r="AB109" s="421" t="str">
        <f t="shared" si="21"/>
        <v>Beira Baixa</v>
      </c>
      <c r="AC109" s="436"/>
      <c r="AF109" s="421"/>
      <c r="AG109" s="585" t="s">
        <v>916</v>
      </c>
      <c r="AH109" s="423"/>
      <c r="AI109" s="433"/>
      <c r="AJ109" s="433"/>
      <c r="AK109" s="433"/>
      <c r="AL109" s="433"/>
      <c r="AM109" s="433"/>
      <c r="AN109" s="433"/>
      <c r="AO109" s="433"/>
      <c r="AP109" s="433"/>
      <c r="AQ109" s="433"/>
      <c r="AR109" s="433"/>
      <c r="AS109" s="433"/>
    </row>
    <row r="110" spans="1:49">
      <c r="A110" s="422"/>
      <c r="B110" s="422" t="str">
        <f>+q16_E!$A$11</f>
        <v>Alto Tâmega e Barroso</v>
      </c>
      <c r="C110" s="433">
        <f>+q16_E!$B$11</f>
        <v>205.00000000000003</v>
      </c>
      <c r="D110" s="433">
        <f>+q16_E!$C$11</f>
        <v>180</v>
      </c>
      <c r="E110" s="433">
        <f>+q16_E!$D$11</f>
        <v>191</v>
      </c>
      <c r="F110" s="433">
        <f>+q16_E!$E$11</f>
        <v>227</v>
      </c>
      <c r="G110" s="433">
        <f>+q16_E!$F$11</f>
        <v>308</v>
      </c>
      <c r="H110" s="433">
        <f>+q16_E!$G$11</f>
        <v>333</v>
      </c>
      <c r="I110" s="433">
        <f>+q16_E!$H$11</f>
        <v>409</v>
      </c>
      <c r="J110" s="433">
        <f>+q16_E!$I$11</f>
        <v>364</v>
      </c>
      <c r="K110" s="433">
        <f>+q16_E!$J$11</f>
        <v>513</v>
      </c>
      <c r="L110" s="433">
        <f>+q16_E!$K$11</f>
        <v>689</v>
      </c>
      <c r="M110" s="433">
        <f>+q16_E!$L$11</f>
        <v>1000.9999999999999</v>
      </c>
      <c r="N110" s="410"/>
      <c r="O110" s="410"/>
      <c r="P110" s="877"/>
      <c r="Q110" s="410"/>
      <c r="R110" s="410"/>
      <c r="S110" s="410"/>
      <c r="T110" s="410"/>
      <c r="U110" s="410"/>
      <c r="V110" t="s">
        <v>511</v>
      </c>
      <c r="W110" s="943"/>
      <c r="X110" s="423" t="s">
        <v>511</v>
      </c>
      <c r="Y110" s="433">
        <f t="shared" si="22"/>
        <v>3797</v>
      </c>
      <c r="Z110" s="446">
        <f t="shared" si="23"/>
        <v>0.74482672038887121</v>
      </c>
      <c r="AA110" s="436">
        <f t="shared" si="24"/>
        <v>19</v>
      </c>
      <c r="AB110" s="421" t="str">
        <f t="shared" si="21"/>
        <v>Beiras e Serra da Estrela</v>
      </c>
      <c r="AC110" s="436"/>
      <c r="AF110" s="421"/>
      <c r="AG110" s="447" t="str">
        <f>+B138</f>
        <v>Norte</v>
      </c>
      <c r="AH110" s="447">
        <f t="shared" ref="AH110:AR115" si="27">+C138</f>
        <v>12902.000000000002</v>
      </c>
      <c r="AI110" s="447">
        <f t="shared" si="27"/>
        <v>14033.000000000007</v>
      </c>
      <c r="AJ110" s="447">
        <f t="shared" si="27"/>
        <v>14238.000000000002</v>
      </c>
      <c r="AK110" s="447">
        <f t="shared" si="27"/>
        <v>17437.999999999996</v>
      </c>
      <c r="AL110" s="447">
        <f t="shared" si="27"/>
        <v>22188.000000000004</v>
      </c>
      <c r="AM110" s="447">
        <f t="shared" si="27"/>
        <v>30453.000000000011</v>
      </c>
      <c r="AN110" s="447">
        <f t="shared" si="27"/>
        <v>33775.999999999993</v>
      </c>
      <c r="AO110" s="447">
        <f t="shared" si="27"/>
        <v>36947.000000000022</v>
      </c>
      <c r="AP110" s="447">
        <f t="shared" si="27"/>
        <v>61471.999999999993</v>
      </c>
      <c r="AQ110" s="447">
        <f t="shared" si="27"/>
        <v>84585.999999999985</v>
      </c>
      <c r="AR110" s="447">
        <f t="shared" si="27"/>
        <v>108225.99999999999</v>
      </c>
      <c r="AS110" s="433"/>
    </row>
    <row r="111" spans="1:49" ht="12.75" customHeight="1">
      <c r="A111" s="422"/>
      <c r="B111" s="422" t="str">
        <f>+q16_E!$A$12</f>
        <v>Tâmega e Sousa</v>
      </c>
      <c r="C111" s="433">
        <f>+q16_E!$B$12</f>
        <v>533</v>
      </c>
      <c r="D111" s="433">
        <f>+q16_E!$C$12</f>
        <v>570</v>
      </c>
      <c r="E111" s="433">
        <f>+q16_E!$D$12</f>
        <v>565.99999999999989</v>
      </c>
      <c r="F111" s="433">
        <f>+q16_E!$E$12</f>
        <v>668.99999999999989</v>
      </c>
      <c r="G111" s="433">
        <f>+q16_E!$F$12</f>
        <v>887</v>
      </c>
      <c r="H111" s="433">
        <f>+q16_E!$G$12</f>
        <v>1470</v>
      </c>
      <c r="I111" s="433">
        <f>+q16_E!$H$12</f>
        <v>1959</v>
      </c>
      <c r="J111" s="433">
        <f>+q16_E!$I$12</f>
        <v>2510</v>
      </c>
      <c r="K111" s="433">
        <f>+q16_E!$J$12</f>
        <v>4305</v>
      </c>
      <c r="L111" s="433">
        <f>+q16_E!$K$12</f>
        <v>6611</v>
      </c>
      <c r="M111" s="433">
        <f>+q16_E!$L$12</f>
        <v>8817</v>
      </c>
      <c r="N111" s="876"/>
      <c r="O111" s="878"/>
      <c r="P111" s="877"/>
      <c r="Q111" s="410"/>
      <c r="R111" s="410"/>
      <c r="S111" s="410"/>
      <c r="T111" s="410"/>
      <c r="U111" s="410"/>
      <c r="V111" t="s">
        <v>513</v>
      </c>
      <c r="W111" s="943" t="s">
        <v>539</v>
      </c>
      <c r="X111" s="423" t="s">
        <v>513</v>
      </c>
      <c r="Y111" s="433">
        <f t="shared" si="22"/>
        <v>18310</v>
      </c>
      <c r="Z111" s="446">
        <f t="shared" si="23"/>
        <v>3.591724321917364</v>
      </c>
      <c r="AA111" s="436">
        <f t="shared" si="24"/>
        <v>5</v>
      </c>
      <c r="AB111" s="421" t="str">
        <f t="shared" si="21"/>
        <v>Oeste</v>
      </c>
      <c r="AC111" s="436"/>
      <c r="AF111" s="421"/>
      <c r="AG111" s="447" t="str">
        <f t="shared" ref="AG111:AG115" si="28">+B139</f>
        <v>Centro</v>
      </c>
      <c r="AH111" s="447">
        <f t="shared" si="27"/>
        <v>14897.000000000004</v>
      </c>
      <c r="AI111" s="447">
        <f t="shared" si="27"/>
        <v>15310.000000000002</v>
      </c>
      <c r="AJ111" s="447">
        <f t="shared" si="27"/>
        <v>15820.999999999995</v>
      </c>
      <c r="AK111" s="447">
        <f t="shared" si="27"/>
        <v>17223.999999999993</v>
      </c>
      <c r="AL111" s="447">
        <f t="shared" si="27"/>
        <v>21954.000000000004</v>
      </c>
      <c r="AM111" s="447">
        <f t="shared" si="27"/>
        <v>28333.999999999996</v>
      </c>
      <c r="AN111" s="447">
        <f t="shared" si="27"/>
        <v>30860.999999999996</v>
      </c>
      <c r="AO111" s="447">
        <f t="shared" si="27"/>
        <v>32802.000000000007</v>
      </c>
      <c r="AP111" s="447">
        <f t="shared" si="27"/>
        <v>49164.000000000022</v>
      </c>
      <c r="AQ111" s="447">
        <f t="shared" si="27"/>
        <v>67685.000000000015</v>
      </c>
      <c r="AR111" s="447">
        <f t="shared" si="27"/>
        <v>82788.000000000015</v>
      </c>
      <c r="AS111" s="433"/>
    </row>
    <row r="112" spans="1:49" ht="25.5">
      <c r="A112" s="422"/>
      <c r="B112" s="422" t="str">
        <f>+q16_E!$A$13</f>
        <v>Douro</v>
      </c>
      <c r="C112" s="433">
        <f>+q16_E!$B$13</f>
        <v>531</v>
      </c>
      <c r="D112" s="433">
        <f>+q16_E!$C$13</f>
        <v>563</v>
      </c>
      <c r="E112" s="433">
        <f>+q16_E!$D$13</f>
        <v>506</v>
      </c>
      <c r="F112" s="433">
        <f>+q16_E!$E$13</f>
        <v>488.99999999999994</v>
      </c>
      <c r="G112" s="433">
        <f>+q16_E!$F$13</f>
        <v>566</v>
      </c>
      <c r="H112" s="433">
        <f>+q16_E!$G$13</f>
        <v>690</v>
      </c>
      <c r="I112" s="433">
        <f>+q16_E!$H$13</f>
        <v>673.99999999999989</v>
      </c>
      <c r="J112" s="433">
        <f>+q16_E!$I$13</f>
        <v>865</v>
      </c>
      <c r="K112" s="433">
        <f>+q16_E!$J$13</f>
        <v>1199</v>
      </c>
      <c r="L112" s="433">
        <f>+q16_E!$K$13</f>
        <v>2246.9999999999995</v>
      </c>
      <c r="M112" s="433">
        <f>+q16_E!$L$13</f>
        <v>3321.0000000000005</v>
      </c>
      <c r="N112" s="410"/>
      <c r="O112" s="410"/>
      <c r="P112" s="877"/>
      <c r="Q112" s="410"/>
      <c r="R112" s="410"/>
      <c r="S112" s="410"/>
      <c r="T112" s="410"/>
      <c r="U112" s="410"/>
      <c r="V112" t="s">
        <v>514</v>
      </c>
      <c r="W112" s="943"/>
      <c r="X112" s="423" t="s">
        <v>514</v>
      </c>
      <c r="Y112" s="433">
        <f t="shared" si="22"/>
        <v>6903</v>
      </c>
      <c r="Z112" s="446">
        <f t="shared" si="23"/>
        <v>1.3541055704093701</v>
      </c>
      <c r="AA112" s="436">
        <f t="shared" si="24"/>
        <v>16</v>
      </c>
      <c r="AB112" s="421" t="str">
        <f t="shared" si="21"/>
        <v>Médio Tejo</v>
      </c>
      <c r="AC112" s="436"/>
      <c r="AF112" s="421"/>
      <c r="AG112" s="447" t="str">
        <f t="shared" si="28"/>
        <v>Área Metropolitana de Lisboa</v>
      </c>
      <c r="AH112" s="447">
        <f t="shared" si="27"/>
        <v>59933.000000000015</v>
      </c>
      <c r="AI112" s="447">
        <f t="shared" si="27"/>
        <v>62464</v>
      </c>
      <c r="AJ112" s="447">
        <f t="shared" si="27"/>
        <v>69696.999999999985</v>
      </c>
      <c r="AK112" s="447">
        <f t="shared" si="27"/>
        <v>73738</v>
      </c>
      <c r="AL112" s="447">
        <f t="shared" si="27"/>
        <v>87013</v>
      </c>
      <c r="AM112" s="447">
        <f t="shared" si="27"/>
        <v>103740</v>
      </c>
      <c r="AN112" s="447">
        <f t="shared" si="27"/>
        <v>104861.99999999999</v>
      </c>
      <c r="AO112" s="447">
        <f t="shared" si="27"/>
        <v>109691</v>
      </c>
      <c r="AP112" s="447">
        <f t="shared" si="27"/>
        <v>146528.99999999997</v>
      </c>
      <c r="AQ112" s="447">
        <f t="shared" si="27"/>
        <v>183951.00000000003</v>
      </c>
      <c r="AR112" s="447">
        <f t="shared" si="27"/>
        <v>225406.00000000003</v>
      </c>
      <c r="AS112" s="433"/>
    </row>
    <row r="113" spans="1:45">
      <c r="A113" s="422"/>
      <c r="B113" s="422" t="str">
        <f>+q16_E!$A$14</f>
        <v>Terras de Trás-os-Montes</v>
      </c>
      <c r="C113" s="433">
        <f>+q16_E!$B$14</f>
        <v>444.99999999999994</v>
      </c>
      <c r="D113" s="433">
        <f>+q16_E!$C$14</f>
        <v>476.00000000000006</v>
      </c>
      <c r="E113" s="433">
        <f>+q16_E!$D$14</f>
        <v>451</v>
      </c>
      <c r="F113" s="433">
        <f>+q16_E!$E$14</f>
        <v>474</v>
      </c>
      <c r="G113" s="433">
        <f>+q16_E!$F$14</f>
        <v>447.00000000000006</v>
      </c>
      <c r="H113" s="433">
        <f>+q16_E!$G$14</f>
        <v>565</v>
      </c>
      <c r="I113" s="433">
        <f>+q16_E!$H$14</f>
        <v>565</v>
      </c>
      <c r="J113" s="433">
        <f>+q16_E!$I$14</f>
        <v>566</v>
      </c>
      <c r="K113" s="433">
        <f>+q16_E!$J$14</f>
        <v>743</v>
      </c>
      <c r="L113" s="433">
        <f>+q16_E!$K$14</f>
        <v>1073.9999999999998</v>
      </c>
      <c r="M113" s="433">
        <f>+q16_E!$L$14</f>
        <v>1588</v>
      </c>
      <c r="N113" s="879"/>
      <c r="O113" s="410"/>
      <c r="P113" s="410"/>
      <c r="Q113" s="410"/>
      <c r="R113" s="410"/>
      <c r="S113" s="410"/>
      <c r="T113" s="410"/>
      <c r="U113" s="410"/>
      <c r="V113" t="s">
        <v>515</v>
      </c>
      <c r="W113" s="943"/>
      <c r="X113" s="423" t="s">
        <v>515</v>
      </c>
      <c r="Y113" s="433">
        <f t="shared" si="22"/>
        <v>15731</v>
      </c>
      <c r="Z113" s="446">
        <f t="shared" si="23"/>
        <v>3.0858227912660867</v>
      </c>
      <c r="AA113" s="436">
        <f t="shared" si="24"/>
        <v>8</v>
      </c>
      <c r="AB113" s="421" t="str">
        <f t="shared" si="21"/>
        <v>Lezíria do Tejo</v>
      </c>
      <c r="AC113" s="436"/>
      <c r="AF113" s="421"/>
      <c r="AG113" s="447" t="str">
        <f t="shared" si="28"/>
        <v>Alentejo</v>
      </c>
      <c r="AH113" s="447">
        <f t="shared" si="27"/>
        <v>7868.9999999999991</v>
      </c>
      <c r="AI113" s="447">
        <f t="shared" si="27"/>
        <v>8639.0000000000055</v>
      </c>
      <c r="AJ113" s="447">
        <f t="shared" si="27"/>
        <v>10365.000000000004</v>
      </c>
      <c r="AK113" s="447">
        <f t="shared" si="27"/>
        <v>12099.999999999998</v>
      </c>
      <c r="AL113" s="447">
        <f t="shared" si="27"/>
        <v>14018.000000000004</v>
      </c>
      <c r="AM113" s="447">
        <f t="shared" si="27"/>
        <v>18785.999999999996</v>
      </c>
      <c r="AN113" s="447">
        <f t="shared" si="27"/>
        <v>24049.999999999993</v>
      </c>
      <c r="AO113" s="447">
        <f t="shared" si="27"/>
        <v>24010</v>
      </c>
      <c r="AP113" s="447">
        <f t="shared" si="27"/>
        <v>30160.999999999985</v>
      </c>
      <c r="AQ113" s="447">
        <f t="shared" si="27"/>
        <v>35390</v>
      </c>
      <c r="AR113" s="447">
        <f t="shared" si="27"/>
        <v>41198.999999999993</v>
      </c>
      <c r="AS113" s="433"/>
    </row>
    <row r="114" spans="1:45" ht="25.5">
      <c r="A114" s="422"/>
      <c r="B114" s="422" t="str">
        <f>+q16_E!$A$16</f>
        <v>Região de Aveiro</v>
      </c>
      <c r="C114" s="433">
        <f>+q16_E!$B$16</f>
        <v>2309</v>
      </c>
      <c r="D114" s="433">
        <f>+q16_E!$C$16</f>
        <v>2311.9999999999995</v>
      </c>
      <c r="E114" s="433">
        <f>+q16_E!$D$16</f>
        <v>2429</v>
      </c>
      <c r="F114" s="433">
        <f>+q16_E!$E$16</f>
        <v>2616</v>
      </c>
      <c r="G114" s="433">
        <f>+q16_E!$F$16</f>
        <v>3538.9999999999995</v>
      </c>
      <c r="H114" s="433">
        <f>+q16_E!$G$16</f>
        <v>4939.0000000000009</v>
      </c>
      <c r="I114" s="433">
        <f>+q16_E!$H$16</f>
        <v>5784.0000000000009</v>
      </c>
      <c r="J114" s="433">
        <f>+q16_E!$I$16</f>
        <v>6065.9999999999991</v>
      </c>
      <c r="K114" s="433">
        <f>+q16_E!$J$16</f>
        <v>10322</v>
      </c>
      <c r="L114" s="433">
        <f>+q16_E!$K$16</f>
        <v>13965</v>
      </c>
      <c r="M114" s="433">
        <f>+q16_E!$L$16</f>
        <v>16595</v>
      </c>
      <c r="N114" s="410"/>
      <c r="O114" s="410"/>
      <c r="P114" s="410"/>
      <c r="Q114" s="410"/>
      <c r="R114" s="410"/>
      <c r="S114" s="410"/>
      <c r="T114" s="410"/>
      <c r="U114" s="410"/>
      <c r="V114" t="s">
        <v>516</v>
      </c>
      <c r="W114" s="875" t="str">
        <f>+X114</f>
        <v>Grande Lisboa</v>
      </c>
      <c r="X114" s="423" t="s">
        <v>516</v>
      </c>
      <c r="Y114" s="433">
        <f t="shared" si="22"/>
        <v>192040</v>
      </c>
      <c r="Z114" s="446">
        <f t="shared" si="23"/>
        <v>37.670930572420019</v>
      </c>
      <c r="AA114" s="436">
        <f t="shared" si="24"/>
        <v>1</v>
      </c>
      <c r="AB114" s="421" t="str">
        <f t="shared" si="21"/>
        <v>Grande Lisboa</v>
      </c>
      <c r="AC114" s="436"/>
      <c r="AF114" s="421"/>
      <c r="AG114" s="447" t="str">
        <f t="shared" si="28"/>
        <v>Algarve</v>
      </c>
      <c r="AH114" s="447">
        <f t="shared" si="27"/>
        <v>14790.000000000004</v>
      </c>
      <c r="AI114" s="447">
        <f t="shared" si="27"/>
        <v>15565.000000000005</v>
      </c>
      <c r="AJ114" s="447">
        <f t="shared" si="27"/>
        <v>17115</v>
      </c>
      <c r="AK114" s="447">
        <f t="shared" si="27"/>
        <v>19795</v>
      </c>
      <c r="AL114" s="447">
        <f t="shared" si="27"/>
        <v>24122</v>
      </c>
      <c r="AM114" s="447">
        <f t="shared" si="27"/>
        <v>29269.999999999993</v>
      </c>
      <c r="AN114" s="447">
        <f t="shared" si="27"/>
        <v>24212</v>
      </c>
      <c r="AO114" s="447">
        <f t="shared" si="27"/>
        <v>25073.000000000004</v>
      </c>
      <c r="AP114" s="447">
        <f t="shared" si="27"/>
        <v>34702</v>
      </c>
      <c r="AQ114" s="447">
        <f t="shared" si="27"/>
        <v>43171.000000000007</v>
      </c>
      <c r="AR114" s="447">
        <f t="shared" si="27"/>
        <v>52164.000000000007</v>
      </c>
      <c r="AS114" s="433"/>
    </row>
    <row r="115" spans="1:45" ht="38.25">
      <c r="A115" s="422"/>
      <c r="B115" s="422" t="str">
        <f>+q16_E!$A$17</f>
        <v>Região de Coimbra</v>
      </c>
      <c r="C115" s="433">
        <f>+q16_E!$B$17</f>
        <v>2017</v>
      </c>
      <c r="D115" s="433">
        <f>+q16_E!$C$17</f>
        <v>2181.0000000000005</v>
      </c>
      <c r="E115" s="433">
        <f>+q16_E!$D$17</f>
        <v>2257.9999999999995</v>
      </c>
      <c r="F115" s="433">
        <f>+q16_E!$E$17</f>
        <v>2477.9999999999995</v>
      </c>
      <c r="G115" s="433">
        <f>+q16_E!$F$17</f>
        <v>2776</v>
      </c>
      <c r="H115" s="433">
        <f>+q16_E!$G$17</f>
        <v>3640.0000000000009</v>
      </c>
      <c r="I115" s="433">
        <f>+q16_E!$H$17</f>
        <v>3973.9999999999995</v>
      </c>
      <c r="J115" s="433">
        <f>+q16_E!$I$17</f>
        <v>4436</v>
      </c>
      <c r="K115" s="433">
        <f>+q16_E!$J$17</f>
        <v>7026</v>
      </c>
      <c r="L115" s="433">
        <f>+q16_E!$K$17</f>
        <v>9698.0000000000018</v>
      </c>
      <c r="M115" s="433">
        <f>+q16_E!$L$17</f>
        <v>12388</v>
      </c>
      <c r="V115" t="s">
        <v>517</v>
      </c>
      <c r="W115" s="875" t="str">
        <f>+X115</f>
        <v>Península de Setúbal</v>
      </c>
      <c r="X115" s="423" t="s">
        <v>517</v>
      </c>
      <c r="Y115" s="433">
        <f t="shared" si="22"/>
        <v>33366</v>
      </c>
      <c r="Z115" s="446">
        <f t="shared" si="23"/>
        <v>6.5451378331564589</v>
      </c>
      <c r="AA115" s="436">
        <f t="shared" si="24"/>
        <v>4</v>
      </c>
      <c r="AB115" s="421" t="str">
        <f t="shared" si="21"/>
        <v>Península de Setúbal</v>
      </c>
      <c r="AC115" s="436"/>
      <c r="AF115" s="421"/>
      <c r="AG115" s="447" t="str">
        <f t="shared" si="28"/>
        <v>Continente</v>
      </c>
      <c r="AH115" s="447">
        <f t="shared" si="27"/>
        <v>110390.99999999996</v>
      </c>
      <c r="AI115" s="447">
        <f t="shared" si="27"/>
        <v>116010.9999999999</v>
      </c>
      <c r="AJ115" s="447">
        <f t="shared" si="27"/>
        <v>127236.00000000019</v>
      </c>
      <c r="AK115" s="447">
        <f t="shared" si="27"/>
        <v>140295.00000000003</v>
      </c>
      <c r="AL115" s="447">
        <f t="shared" si="27"/>
        <v>169294.99999999988</v>
      </c>
      <c r="AM115" s="447">
        <f t="shared" si="27"/>
        <v>210582.99999999997</v>
      </c>
      <c r="AN115" s="447">
        <f t="shared" si="27"/>
        <v>217760.99999999983</v>
      </c>
      <c r="AO115" s="447">
        <f t="shared" si="27"/>
        <v>228523.00000000006</v>
      </c>
      <c r="AP115" s="447">
        <f t="shared" si="27"/>
        <v>322028.00000000017</v>
      </c>
      <c r="AQ115" s="447">
        <f t="shared" si="27"/>
        <v>414782.99999999994</v>
      </c>
      <c r="AR115" s="447">
        <f t="shared" si="27"/>
        <v>509783.00000000012</v>
      </c>
      <c r="AS115" s="433"/>
    </row>
    <row r="116" spans="1:45">
      <c r="A116" s="422"/>
      <c r="B116" s="422" t="str">
        <f>+q16_E!$A$18</f>
        <v>Região de Leiria</v>
      </c>
      <c r="C116" s="433">
        <f>+q16_E!$B$18</f>
        <v>3297.9999999999995</v>
      </c>
      <c r="D116" s="433">
        <f>+q16_E!$C$18</f>
        <v>3394</v>
      </c>
      <c r="E116" s="433">
        <f>+q16_E!$D$18</f>
        <v>3494</v>
      </c>
      <c r="F116" s="433">
        <f>+q16_E!$E$18</f>
        <v>3760</v>
      </c>
      <c r="G116" s="433">
        <f>+q16_E!$F$18</f>
        <v>4520</v>
      </c>
      <c r="H116" s="433">
        <f>+q16_E!$G$18</f>
        <v>5528</v>
      </c>
      <c r="I116" s="433">
        <f>+q16_E!$H$18</f>
        <v>6041.9999999999991</v>
      </c>
      <c r="J116" s="433">
        <f>+q16_E!$I$18</f>
        <v>7051.9999999999991</v>
      </c>
      <c r="K116" s="433">
        <f>+q16_E!$J$18</f>
        <v>9828</v>
      </c>
      <c r="L116" s="433">
        <f>+q16_E!$K$18</f>
        <v>12503.000000000002</v>
      </c>
      <c r="M116" s="433">
        <f>+q16_E!$L$18</f>
        <v>15258</v>
      </c>
      <c r="V116" t="s">
        <v>519</v>
      </c>
      <c r="W116" s="943" t="s">
        <v>518</v>
      </c>
      <c r="X116" s="423" t="s">
        <v>519</v>
      </c>
      <c r="Y116" s="433">
        <f t="shared" si="22"/>
        <v>13062</v>
      </c>
      <c r="Z116" s="446">
        <f t="shared" si="23"/>
        <v>2.5622666899445443</v>
      </c>
      <c r="AA116" s="436">
        <f t="shared" si="24"/>
        <v>10</v>
      </c>
      <c r="AB116" s="421" t="str">
        <f t="shared" si="21"/>
        <v>Alentejo Litoral</v>
      </c>
      <c r="AC116" s="436"/>
      <c r="AF116" s="421"/>
      <c r="AG116" s="585"/>
      <c r="AH116" s="423"/>
      <c r="AI116" s="433"/>
      <c r="AJ116" s="433"/>
      <c r="AK116" s="433"/>
      <c r="AL116" s="433"/>
      <c r="AM116" s="433"/>
      <c r="AN116" s="433"/>
      <c r="AO116" s="433"/>
      <c r="AP116" s="433"/>
      <c r="AQ116" s="433"/>
      <c r="AR116" s="433"/>
      <c r="AS116" s="433"/>
    </row>
    <row r="117" spans="1:45">
      <c r="A117" s="422"/>
      <c r="B117" s="422" t="str">
        <f>+q16_E!$A$19</f>
        <v>Viseu Dão Lafões</v>
      </c>
      <c r="C117" s="433">
        <f>+q16_E!$B$19</f>
        <v>975</v>
      </c>
      <c r="D117" s="433">
        <f>+q16_E!$C$19</f>
        <v>979</v>
      </c>
      <c r="E117" s="433">
        <f>+q16_E!$D$19</f>
        <v>1013</v>
      </c>
      <c r="F117" s="433">
        <f>+q16_E!$E$19</f>
        <v>1046</v>
      </c>
      <c r="G117" s="433">
        <f>+q16_E!$F$19</f>
        <v>1186</v>
      </c>
      <c r="H117" s="433">
        <f>+q16_E!$G$19</f>
        <v>1737</v>
      </c>
      <c r="I117" s="433">
        <f>+q16_E!$H$19</f>
        <v>1965.9999999999998</v>
      </c>
      <c r="J117" s="433">
        <f>+q16_E!$I$19</f>
        <v>2000</v>
      </c>
      <c r="K117" s="433">
        <f>+q16_E!$J$19</f>
        <v>3319</v>
      </c>
      <c r="L117" s="433">
        <f>+q16_E!$K$19</f>
        <v>4970</v>
      </c>
      <c r="M117" s="433">
        <f>+q16_E!$L$19</f>
        <v>6921</v>
      </c>
      <c r="V117" t="s">
        <v>520</v>
      </c>
      <c r="W117" s="943"/>
      <c r="X117" s="423" t="s">
        <v>520</v>
      </c>
      <c r="Y117" s="433">
        <f t="shared" si="22"/>
        <v>5654.0000000000009</v>
      </c>
      <c r="Z117" s="446">
        <f t="shared" si="23"/>
        <v>1.1090993618853513</v>
      </c>
      <c r="AA117" s="436">
        <f t="shared" si="24"/>
        <v>17</v>
      </c>
      <c r="AB117" s="421" t="str">
        <f t="shared" si="21"/>
        <v>Baixo Alentejo</v>
      </c>
      <c r="AC117" s="436"/>
      <c r="AF117" s="421"/>
      <c r="AG117" s="585"/>
      <c r="AH117" s="423"/>
      <c r="AI117" s="433"/>
      <c r="AJ117" s="433"/>
      <c r="AK117" s="433"/>
      <c r="AL117" s="433"/>
      <c r="AM117" s="433"/>
      <c r="AN117" s="433"/>
      <c r="AO117" s="433"/>
      <c r="AP117" s="433"/>
      <c r="AQ117" s="433"/>
      <c r="AR117" s="433"/>
      <c r="AS117" s="433"/>
    </row>
    <row r="118" spans="1:45">
      <c r="A118" s="422"/>
      <c r="B118" s="422" t="str">
        <f>+q16_E!$A$20</f>
        <v>Beira Baixa</v>
      </c>
      <c r="C118" s="433">
        <f>+q16_E!$B$20</f>
        <v>448</v>
      </c>
      <c r="D118" s="433">
        <f>+q16_E!$C$20</f>
        <v>422.00000000000011</v>
      </c>
      <c r="E118" s="433">
        <f>+q16_E!$D$20</f>
        <v>394</v>
      </c>
      <c r="F118" s="433">
        <f>+q16_E!$E$20</f>
        <v>477.99999999999989</v>
      </c>
      <c r="G118" s="433">
        <f>+q16_E!$F$20</f>
        <v>607</v>
      </c>
      <c r="H118" s="433">
        <f>+q16_E!$G$20</f>
        <v>745</v>
      </c>
      <c r="I118" s="433">
        <f>+q16_E!$H$20</f>
        <v>774</v>
      </c>
      <c r="J118" s="433">
        <f>+q16_E!$I$20</f>
        <v>833</v>
      </c>
      <c r="K118" s="433">
        <f>+q16_E!$J$20</f>
        <v>1434</v>
      </c>
      <c r="L118" s="433">
        <f>+q16_E!$K$20</f>
        <v>2151</v>
      </c>
      <c r="M118" s="433">
        <f>+q16_E!$L$20</f>
        <v>2616</v>
      </c>
      <c r="V118" t="s">
        <v>521</v>
      </c>
      <c r="W118" s="943"/>
      <c r="X118" s="423" t="s">
        <v>521</v>
      </c>
      <c r="Y118" s="433">
        <f t="shared" si="22"/>
        <v>1982</v>
      </c>
      <c r="Z118" s="446">
        <f t="shared" si="23"/>
        <v>0.38879287853851535</v>
      </c>
      <c r="AA118" s="436">
        <f t="shared" si="24"/>
        <v>22</v>
      </c>
      <c r="AB118" s="421" t="str">
        <f t="shared" si="21"/>
        <v>Alto Alentejo</v>
      </c>
      <c r="AC118" s="436"/>
      <c r="AF118" s="421"/>
      <c r="AG118" s="585"/>
      <c r="AH118" s="423"/>
      <c r="AI118" s="433"/>
      <c r="AJ118" s="433"/>
      <c r="AK118" s="433"/>
      <c r="AL118" s="433"/>
      <c r="AM118" s="433"/>
      <c r="AN118" s="433"/>
      <c r="AO118" s="433"/>
      <c r="AP118" s="433"/>
      <c r="AQ118" s="433"/>
      <c r="AR118" s="433"/>
      <c r="AS118" s="433"/>
    </row>
    <row r="119" spans="1:45">
      <c r="A119" s="422"/>
      <c r="B119" s="422" t="str">
        <f>+q16_E!$A$21</f>
        <v>Beiras e Serra da Estrela</v>
      </c>
      <c r="C119" s="433">
        <f>+q16_E!$B$21</f>
        <v>582</v>
      </c>
      <c r="D119" s="433">
        <f>+q16_E!$C$21</f>
        <v>607.00000000000011</v>
      </c>
      <c r="E119" s="433">
        <f>+q16_E!$D$21</f>
        <v>589.99999999999989</v>
      </c>
      <c r="F119" s="433">
        <f>+q16_E!$E$21</f>
        <v>555</v>
      </c>
      <c r="G119" s="433">
        <f>+q16_E!$F$21</f>
        <v>714.00000000000011</v>
      </c>
      <c r="H119" s="433">
        <f>+q16_E!$G$21</f>
        <v>878.99999999999989</v>
      </c>
      <c r="I119" s="433">
        <f>+q16_E!$H$21</f>
        <v>924.99999999999989</v>
      </c>
      <c r="J119" s="433">
        <f>+q16_E!$I$21</f>
        <v>1109</v>
      </c>
      <c r="K119" s="433">
        <f>+q16_E!$J$21</f>
        <v>1768.9999999999998</v>
      </c>
      <c r="L119" s="433">
        <f>+q16_E!$K$21</f>
        <v>3272</v>
      </c>
      <c r="M119" s="433">
        <f>+q16_E!$L$21</f>
        <v>3797</v>
      </c>
      <c r="V119" t="s">
        <v>522</v>
      </c>
      <c r="W119" s="943"/>
      <c r="X119" s="423" t="s">
        <v>522</v>
      </c>
      <c r="Y119" s="433">
        <f t="shared" si="22"/>
        <v>4770</v>
      </c>
      <c r="Z119" s="446">
        <f t="shared" si="23"/>
        <v>0.93569224552407571</v>
      </c>
      <c r="AA119" s="436">
        <f t="shared" si="24"/>
        <v>18</v>
      </c>
      <c r="AB119" s="421" t="str">
        <f t="shared" si="21"/>
        <v>Alentejo Central</v>
      </c>
      <c r="AC119" s="436"/>
      <c r="AF119" s="421"/>
      <c r="AG119" s="585"/>
      <c r="AH119" s="423"/>
      <c r="AI119" s="433"/>
      <c r="AJ119" s="433"/>
      <c r="AK119" s="433"/>
      <c r="AL119" s="433"/>
      <c r="AM119" s="433"/>
      <c r="AN119" s="433"/>
      <c r="AO119" s="433"/>
      <c r="AP119" s="433"/>
      <c r="AQ119" s="433"/>
      <c r="AR119" s="433"/>
      <c r="AS119" s="433"/>
    </row>
    <row r="120" spans="1:45">
      <c r="A120" s="422"/>
      <c r="B120" s="422" t="str">
        <f>+q16_E!$A$23</f>
        <v>Oeste</v>
      </c>
      <c r="C120" s="433">
        <f>+q16_E!$B$23</f>
        <v>3991</v>
      </c>
      <c r="D120" s="433">
        <f>+q16_E!$C$23</f>
        <v>4094</v>
      </c>
      <c r="E120" s="433">
        <f>+q16_E!$D$23</f>
        <v>4361</v>
      </c>
      <c r="F120" s="433">
        <f>+q16_E!$E$23</f>
        <v>4889.9999999999991</v>
      </c>
      <c r="G120" s="433">
        <f>+q16_E!$F$23</f>
        <v>6858</v>
      </c>
      <c r="H120" s="433">
        <f>+q16_E!$G$23</f>
        <v>8502.0000000000018</v>
      </c>
      <c r="I120" s="433">
        <f>+q16_E!$H$23</f>
        <v>9006</v>
      </c>
      <c r="J120" s="433">
        <f>+q16_E!$I$23</f>
        <v>8757</v>
      </c>
      <c r="K120" s="433">
        <f>+q16_E!$J$23</f>
        <v>11466</v>
      </c>
      <c r="L120" s="433">
        <f>+q16_E!$K$23</f>
        <v>15640</v>
      </c>
      <c r="M120" s="433">
        <f>+q16_E!$L$23</f>
        <v>18310</v>
      </c>
      <c r="V120" t="s">
        <v>523</v>
      </c>
      <c r="W120" s="585" t="str">
        <f>+X120</f>
        <v>Algarve</v>
      </c>
      <c r="X120" s="423" t="s">
        <v>523</v>
      </c>
      <c r="Y120" s="433">
        <f t="shared" si="22"/>
        <v>52164.000000000007</v>
      </c>
      <c r="Z120" s="446">
        <f t="shared" si="23"/>
        <v>10.232589160485931</v>
      </c>
      <c r="AA120" s="436">
        <f t="shared" si="24"/>
        <v>3</v>
      </c>
      <c r="AB120" s="421" t="str">
        <f t="shared" si="21"/>
        <v>Algarve</v>
      </c>
      <c r="AC120" s="436"/>
      <c r="AF120" s="421"/>
      <c r="AG120" s="585"/>
      <c r="AH120" s="423"/>
      <c r="AI120" s="433"/>
      <c r="AJ120" s="433"/>
      <c r="AK120" s="433"/>
      <c r="AL120" s="433"/>
      <c r="AM120" s="433"/>
      <c r="AN120" s="433"/>
      <c r="AO120" s="433"/>
      <c r="AP120" s="433"/>
      <c r="AQ120" s="433"/>
      <c r="AR120" s="433"/>
      <c r="AS120" s="433"/>
    </row>
    <row r="121" spans="1:45">
      <c r="A121" s="422"/>
      <c r="B121" s="422" t="str">
        <f>+q16_E!$A$24</f>
        <v>Médio Tejo</v>
      </c>
      <c r="C121" s="433">
        <f>+q16_E!$B$24</f>
        <v>1277</v>
      </c>
      <c r="D121" s="433">
        <f>+q16_E!$C$24</f>
        <v>1321</v>
      </c>
      <c r="E121" s="433">
        <f>+q16_E!$D$24</f>
        <v>1282.0000000000002</v>
      </c>
      <c r="F121" s="433">
        <f>+q16_E!$E$24</f>
        <v>1401</v>
      </c>
      <c r="G121" s="433">
        <f>+q16_E!$F$24</f>
        <v>1753.9999999999998</v>
      </c>
      <c r="H121" s="433">
        <f>+q16_E!$G$24</f>
        <v>2364.0000000000005</v>
      </c>
      <c r="I121" s="433">
        <f>+q16_E!$H$24</f>
        <v>2390.0000000000005</v>
      </c>
      <c r="J121" s="433">
        <f>+q16_E!$I$24</f>
        <v>2549</v>
      </c>
      <c r="K121" s="433">
        <f>+q16_E!$J$24</f>
        <v>4000</v>
      </c>
      <c r="L121" s="433">
        <f>+q16_E!$K$24</f>
        <v>5486</v>
      </c>
      <c r="M121" s="433">
        <f>+q16_E!$L$24</f>
        <v>6903</v>
      </c>
      <c r="W121" s="421"/>
      <c r="X121" s="423" t="s">
        <v>13</v>
      </c>
      <c r="Y121" s="433">
        <f t="shared" si="22"/>
        <v>509783.00000000012</v>
      </c>
      <c r="Z121" s="446">
        <f>+Y121/$Y$121*100</f>
        <v>100</v>
      </c>
      <c r="AC121" s="436"/>
      <c r="AD121" s="421"/>
      <c r="AE121" s="421"/>
      <c r="AF121" s="421"/>
    </row>
    <row r="122" spans="1:45">
      <c r="A122" s="422"/>
      <c r="B122" s="422" t="str">
        <f>+q16_E!$A$25</f>
        <v>Lezíria do Tejo</v>
      </c>
      <c r="C122" s="433">
        <f>+q16_E!$B$25</f>
        <v>3079.0000000000005</v>
      </c>
      <c r="D122" s="433">
        <f>+q16_E!$C$25</f>
        <v>2998</v>
      </c>
      <c r="E122" s="433">
        <f>+q16_E!$D$25</f>
        <v>3572</v>
      </c>
      <c r="F122" s="433">
        <f>+q16_E!$E$25</f>
        <v>3951.9999999999991</v>
      </c>
      <c r="G122" s="433">
        <f>+q16_E!$F$25</f>
        <v>5196.0000000000009</v>
      </c>
      <c r="H122" s="433">
        <f>+q16_E!$G$25</f>
        <v>6583</v>
      </c>
      <c r="I122" s="433">
        <f>+q16_E!$H$25</f>
        <v>8374</v>
      </c>
      <c r="J122" s="433">
        <f>+q16_E!$I$25</f>
        <v>8787</v>
      </c>
      <c r="K122" s="433">
        <f>+q16_E!$J$25</f>
        <v>10822</v>
      </c>
      <c r="L122" s="433">
        <f>+q16_E!$K$25</f>
        <v>12671</v>
      </c>
      <c r="M122" s="433">
        <f>+q16_E!$L$25</f>
        <v>15731</v>
      </c>
    </row>
    <row r="123" spans="1:45">
      <c r="A123" s="422"/>
      <c r="B123" s="422" t="str">
        <f>+q16_E!$A$26</f>
        <v>Grande Lisboa</v>
      </c>
      <c r="C123" s="433">
        <f>+q16_E!$B$26</f>
        <v>52168</v>
      </c>
      <c r="D123" s="433">
        <f>+q16_E!$C$26</f>
        <v>54154</v>
      </c>
      <c r="E123" s="433">
        <f>+q16_E!$D$26</f>
        <v>60813.999999999993</v>
      </c>
      <c r="F123" s="433">
        <f>+q16_E!$E$26</f>
        <v>64314</v>
      </c>
      <c r="G123" s="433">
        <f>+q16_E!$F$26</f>
        <v>75815</v>
      </c>
      <c r="H123" s="433">
        <f>+q16_E!$G$26</f>
        <v>89769</v>
      </c>
      <c r="I123" s="433">
        <f>+q16_E!$H$26</f>
        <v>90529</v>
      </c>
      <c r="J123" s="433">
        <f>+q16_E!$I$26</f>
        <v>93507</v>
      </c>
      <c r="K123" s="433">
        <f>+q16_E!$J$26</f>
        <v>125679</v>
      </c>
      <c r="L123" s="433">
        <f>+q16_E!$K$26</f>
        <v>158199.00000000006</v>
      </c>
      <c r="M123" s="433">
        <f>+q16_E!$L$26</f>
        <v>192040</v>
      </c>
    </row>
    <row r="124" spans="1:45">
      <c r="A124" s="422"/>
      <c r="B124" s="422" t="str">
        <f>+q16_E!$A$27</f>
        <v>Península de Setúbal</v>
      </c>
      <c r="C124" s="433">
        <f>+q16_E!$B$27</f>
        <v>7765</v>
      </c>
      <c r="D124" s="433">
        <f>+q16_E!$C$27</f>
        <v>8310</v>
      </c>
      <c r="E124" s="433">
        <f>+q16_E!$D$27</f>
        <v>8883.0000000000018</v>
      </c>
      <c r="F124" s="433">
        <f>+q16_E!$E$27</f>
        <v>9424</v>
      </c>
      <c r="G124" s="433">
        <f>+q16_E!$F$27</f>
        <v>11198</v>
      </c>
      <c r="H124" s="433">
        <f>+q16_E!$G$27</f>
        <v>13970.999999999996</v>
      </c>
      <c r="I124" s="433">
        <f>+q16_E!$H$27</f>
        <v>14333</v>
      </c>
      <c r="J124" s="433">
        <f>+q16_E!$I$27</f>
        <v>16184</v>
      </c>
      <c r="K124" s="433">
        <f>+q16_E!$J$27</f>
        <v>20850</v>
      </c>
      <c r="L124" s="433">
        <f>+q16_E!$K$27</f>
        <v>25751.999999999996</v>
      </c>
      <c r="M124" s="433">
        <f>+q16_E!$L$27</f>
        <v>33366</v>
      </c>
      <c r="W124">
        <f>+INDEX($P$95:$P$105,$W$91)</f>
        <v>2024</v>
      </c>
      <c r="X124" s="423" t="s">
        <v>759</v>
      </c>
      <c r="AK124" s="318" t="str">
        <f>+W124&amp;":"</f>
        <v>2024:</v>
      </c>
    </row>
    <row r="125" spans="1:45">
      <c r="A125" s="422"/>
      <c r="B125" s="422" t="str">
        <f>+q16_E!$A$29</f>
        <v>Alentejo Litoral</v>
      </c>
      <c r="C125" s="433">
        <f>+q16_E!$B$29</f>
        <v>2196</v>
      </c>
      <c r="D125" s="433">
        <f>+q16_E!$C$29</f>
        <v>2940</v>
      </c>
      <c r="E125" s="433">
        <f>+q16_E!$D$29</f>
        <v>3624</v>
      </c>
      <c r="F125" s="433">
        <f>+q16_E!$E$29</f>
        <v>4439.9999999999991</v>
      </c>
      <c r="G125" s="433">
        <f>+q16_E!$F$29</f>
        <v>5219</v>
      </c>
      <c r="H125" s="433">
        <f>+q16_E!$G$29</f>
        <v>6854</v>
      </c>
      <c r="I125" s="433">
        <f>+q16_E!$H$29</f>
        <v>10026</v>
      </c>
      <c r="J125" s="433">
        <f>+q16_E!$I$29</f>
        <v>9885</v>
      </c>
      <c r="K125" s="433">
        <f>+q16_E!$J$29</f>
        <v>11408</v>
      </c>
      <c r="L125" s="433">
        <f>+q16_E!$K$29</f>
        <v>12212</v>
      </c>
      <c r="M125" s="433">
        <f>+q16_E!$L$29</f>
        <v>13062</v>
      </c>
      <c r="X125" s="421" t="s">
        <v>524</v>
      </c>
      <c r="Y125" s="421"/>
      <c r="AA125" s="421"/>
      <c r="AB125" s="944" t="s">
        <v>182</v>
      </c>
      <c r="AC125" s="944"/>
      <c r="AD125" s="944"/>
      <c r="AE125" s="944" t="s">
        <v>182</v>
      </c>
      <c r="AF125" s="944"/>
      <c r="AG125" s="944"/>
      <c r="AH125" s="584"/>
      <c r="AI125" s="584">
        <f>+COLUMN(AI125)</f>
        <v>35</v>
      </c>
      <c r="AJ125" s="584"/>
      <c r="AK125" s="383" t="s">
        <v>950</v>
      </c>
    </row>
    <row r="126" spans="1:45">
      <c r="A126" s="422"/>
      <c r="B126" s="422" t="str">
        <f>+q16_E!$A$30</f>
        <v>Baixo Alentejo</v>
      </c>
      <c r="C126" s="433">
        <f>+q16_E!$B$30</f>
        <v>961</v>
      </c>
      <c r="D126" s="433">
        <f>+q16_E!$C$30</f>
        <v>984.00000000000023</v>
      </c>
      <c r="E126" s="433">
        <f>+q16_E!$D$30</f>
        <v>1091.0000000000002</v>
      </c>
      <c r="F126" s="433">
        <f>+q16_E!$E$30</f>
        <v>1196</v>
      </c>
      <c r="G126" s="433">
        <f>+q16_E!$F$30</f>
        <v>1242</v>
      </c>
      <c r="H126" s="433">
        <f>+q16_E!$G$30</f>
        <v>2118</v>
      </c>
      <c r="I126" s="433">
        <f>+q16_E!$H$30</f>
        <v>2298</v>
      </c>
      <c r="J126" s="433">
        <f>+q16_E!$I$30</f>
        <v>2378</v>
      </c>
      <c r="K126" s="433">
        <f>+q16_E!$J$30</f>
        <v>3794.9999999999991</v>
      </c>
      <c r="L126" s="433">
        <f>+q16_E!$K$30</f>
        <v>4535</v>
      </c>
      <c r="M126" s="433">
        <f>+q16_E!$L$30</f>
        <v>5654.0000000000009</v>
      </c>
      <c r="V126" s="383" t="s">
        <v>938</v>
      </c>
      <c r="X126" s="421"/>
      <c r="Y126" s="502" t="s">
        <v>182</v>
      </c>
      <c r="Z126" s="398" t="s">
        <v>320</v>
      </c>
      <c r="AA126" s="398" t="s">
        <v>322</v>
      </c>
      <c r="AB126" s="421" t="s">
        <v>543</v>
      </c>
      <c r="AC126" s="421" t="s">
        <v>544</v>
      </c>
      <c r="AD126" s="421" t="s">
        <v>285</v>
      </c>
      <c r="AE126" s="421" t="s">
        <v>545</v>
      </c>
      <c r="AF126" s="421" t="s">
        <v>546</v>
      </c>
      <c r="AG126" s="421" t="s">
        <v>285</v>
      </c>
      <c r="AH126" s="421" t="s">
        <v>320</v>
      </c>
      <c r="AI126" s="421" t="s">
        <v>949</v>
      </c>
      <c r="AK126" s="421" t="s">
        <v>945</v>
      </c>
      <c r="AL126" s="421">
        <f>+LARGE($Z$127:$Z$133,1)</f>
        <v>37.670930572420019</v>
      </c>
      <c r="AM126" s="421" t="str">
        <f>+TEXT(AL126,"##.##0,0")&amp;"%"</f>
        <v>37,7%</v>
      </c>
      <c r="AN126" t="str">
        <f>+VLOOKUP(AL126,$AH$127:$AI$133,2,0)</f>
        <v>Grande Lisboa</v>
      </c>
    </row>
    <row r="127" spans="1:45">
      <c r="A127" s="422"/>
      <c r="B127" s="422" t="str">
        <f>+q16_E!$A$31</f>
        <v>Alto Alentejo</v>
      </c>
      <c r="C127" s="433">
        <f>+q16_E!$B$31</f>
        <v>621.99999999999989</v>
      </c>
      <c r="D127" s="433">
        <f>+q16_E!$C$31</f>
        <v>657.99999999999989</v>
      </c>
      <c r="E127" s="433">
        <f>+q16_E!$D$31</f>
        <v>923</v>
      </c>
      <c r="F127" s="433">
        <f>+q16_E!$E$31</f>
        <v>1149</v>
      </c>
      <c r="G127" s="433">
        <f>+q16_E!$F$31</f>
        <v>784</v>
      </c>
      <c r="H127" s="433">
        <f>+q16_E!$G$31</f>
        <v>1303</v>
      </c>
      <c r="I127" s="433">
        <f>+q16_E!$H$31</f>
        <v>1359</v>
      </c>
      <c r="J127" s="433">
        <f>+q16_E!$I$31</f>
        <v>839</v>
      </c>
      <c r="K127" s="433">
        <f>+q16_E!$J$31</f>
        <v>1091</v>
      </c>
      <c r="L127" s="433">
        <f>+q16_E!$K$31</f>
        <v>1952.9999999999998</v>
      </c>
      <c r="M127" s="433">
        <f>+q16_E!$L$31</f>
        <v>1982</v>
      </c>
      <c r="V127" s="383" t="s">
        <v>939</v>
      </c>
      <c r="X127" s="423" t="s">
        <v>496</v>
      </c>
      <c r="Y127" s="433">
        <f>INDEX($B$95:$M$102,MATCH($X$127:$X$133,$B$95:$B$102,0),MATCH($X$95,$B$95:$M$95,0))</f>
        <v>108225.99999999999</v>
      </c>
      <c r="Z127" s="446">
        <f>+Y127/$Y$121*100</f>
        <v>21.229817392890695</v>
      </c>
      <c r="AA127" s="436">
        <f>RANK(Y127,$Y$127:$Y$133,0)</f>
        <v>2</v>
      </c>
      <c r="AB127" s="433">
        <f>MAX($Y$97:$Y$104)</f>
        <v>59436</v>
      </c>
      <c r="AC127" s="421" t="str">
        <f>VLOOKUP(AB127,$Y$97:$AB$120,4,0)</f>
        <v>Área Metropolitana do Porto</v>
      </c>
      <c r="AD127" s="421">
        <f>AB127/$Y127*100</f>
        <v>54.918411472289478</v>
      </c>
      <c r="AE127" s="433">
        <f>MIN($Y$97:$Y$104)</f>
        <v>1000.9999999999999</v>
      </c>
      <c r="AF127" s="421" t="str">
        <f>VLOOKUP(AE127,$Y$97:$AB$120,4,0)</f>
        <v>Alto Tâmega e Barroso</v>
      </c>
      <c r="AG127" s="421">
        <f>AE127/$Y127*100</f>
        <v>0.92491637868903964</v>
      </c>
      <c r="AH127" s="415">
        <f>+Z127</f>
        <v>21.229817392890695</v>
      </c>
      <c r="AI127" s="423" t="str">
        <f t="shared" ref="AI127:AI133" si="29">+X127</f>
        <v>Norte</v>
      </c>
      <c r="AK127" s="421" t="s">
        <v>946</v>
      </c>
      <c r="AL127" s="421">
        <f>+LARGE($Z$127:$Z$133,2)</f>
        <v>21.229817392890695</v>
      </c>
      <c r="AM127" s="421" t="str">
        <f>+TEXT(AL127,"##.##0,0")&amp;"%"</f>
        <v>21,2%</v>
      </c>
      <c r="AN127" t="str">
        <f>+VLOOKUP(AL127,$AH$127:$AI$133,2,0)</f>
        <v>Norte</v>
      </c>
    </row>
    <row r="128" spans="1:45">
      <c r="A128" s="422"/>
      <c r="B128" s="422" t="str">
        <f>+q16_E!$A$32</f>
        <v>Alentejo Central</v>
      </c>
      <c r="C128" s="433">
        <f>+q16_E!$B$32</f>
        <v>1011.0000000000001</v>
      </c>
      <c r="D128" s="433">
        <f>+q16_E!$C$32</f>
        <v>1059</v>
      </c>
      <c r="E128" s="433">
        <f>+q16_E!$D$32</f>
        <v>1154.9999999999998</v>
      </c>
      <c r="F128" s="433">
        <f>+q16_E!$E$32</f>
        <v>1363.0000000000002</v>
      </c>
      <c r="G128" s="433">
        <f>+q16_E!$F$32</f>
        <v>1577.0000000000002</v>
      </c>
      <c r="H128" s="433">
        <f>+q16_E!$G$32</f>
        <v>1928</v>
      </c>
      <c r="I128" s="433">
        <f>+q16_E!$H$32</f>
        <v>1992.9999999999995</v>
      </c>
      <c r="J128" s="433">
        <f>+q16_E!$I$32</f>
        <v>2121.0000000000005</v>
      </c>
      <c r="K128" s="433">
        <f>+q16_E!$J$32</f>
        <v>3045</v>
      </c>
      <c r="L128" s="433">
        <f>+q16_E!$K$32</f>
        <v>4019</v>
      </c>
      <c r="M128" s="433">
        <f>+q16_E!$L$32</f>
        <v>4770</v>
      </c>
      <c r="V128" s="383" t="s">
        <v>940</v>
      </c>
      <c r="X128" s="423" t="s">
        <v>505</v>
      </c>
      <c r="Y128" s="433">
        <f t="shared" ref="Y128:Y133" si="30">INDEX($B$95:$M$102,MATCH($X$127:$X$133,$B$95:$B$102,0),MATCH($X$95,$B$95:$M$95,0))</f>
        <v>57574.999999999993</v>
      </c>
      <c r="Z128" s="446">
        <f t="shared" ref="Z128:Z133" si="31">+Y128/$Y$121*100</f>
        <v>11.294021181561563</v>
      </c>
      <c r="AA128" s="436">
        <f t="shared" ref="AA128:AA133" si="32">RANK(Y128,$Y$127:$Y$133,0)</f>
        <v>3</v>
      </c>
      <c r="AB128" s="433">
        <f>MAX($Y$105:$Y$110)</f>
        <v>16595</v>
      </c>
      <c r="AC128" s="421" t="str">
        <f t="shared" ref="AC128:AC133" si="33">VLOOKUP(AB128,$Y$97:$AB$120,4,0)</f>
        <v>Região de Aveiro</v>
      </c>
      <c r="AD128" s="421">
        <f>AB128/$Y128*100</f>
        <v>28.823273990447245</v>
      </c>
      <c r="AE128" s="433">
        <f>MIN($Y$105:$Y$110)</f>
        <v>2616</v>
      </c>
      <c r="AF128" s="421" t="str">
        <f t="shared" ref="AF128:AF133" si="34">VLOOKUP(AE128,$Y$97:$AB$120,4,0)</f>
        <v>Beira Baixa</v>
      </c>
      <c r="AG128" s="421">
        <f>AE128/$Y128*100</f>
        <v>4.5436387320885805</v>
      </c>
      <c r="AH128" s="415">
        <f t="shared" ref="AH128:AH133" si="35">+Z128</f>
        <v>11.294021181561563</v>
      </c>
      <c r="AI128" s="423" t="str">
        <f t="shared" si="29"/>
        <v>Centro</v>
      </c>
      <c r="AK128" s="433"/>
      <c r="AL128" s="426">
        <f>+AL126+AL127</f>
        <v>58.900747965310714</v>
      </c>
    </row>
    <row r="129" spans="1:45">
      <c r="A129" s="422"/>
      <c r="B129" s="422" t="str">
        <f>+q16_E!$A$33</f>
        <v>Algarve</v>
      </c>
      <c r="C129" s="433">
        <f>+q16_E!$B$33</f>
        <v>14790.000000000004</v>
      </c>
      <c r="D129" s="433">
        <f>+q16_E!$C$33</f>
        <v>15565.000000000005</v>
      </c>
      <c r="E129" s="433">
        <f>+q16_E!$D$33</f>
        <v>17115</v>
      </c>
      <c r="F129" s="433">
        <f>+q16_E!$E$33</f>
        <v>19795</v>
      </c>
      <c r="G129" s="433">
        <f>+q16_E!$F$33</f>
        <v>24122</v>
      </c>
      <c r="H129" s="433">
        <f>+q16_E!$G$33</f>
        <v>29269.999999999993</v>
      </c>
      <c r="I129" s="433">
        <f>+q16_E!$H$33</f>
        <v>24212</v>
      </c>
      <c r="J129" s="433">
        <f>+q16_E!$I$33</f>
        <v>25073.000000000004</v>
      </c>
      <c r="K129" s="433">
        <f>+q16_E!$J$33</f>
        <v>34702</v>
      </c>
      <c r="L129" s="433">
        <f>+q16_E!$K$33</f>
        <v>43171.000000000007</v>
      </c>
      <c r="M129" s="433">
        <f>+q16_E!$L$33</f>
        <v>52164.000000000007</v>
      </c>
      <c r="V129" s="383" t="s">
        <v>941</v>
      </c>
      <c r="X129" s="423" t="s">
        <v>512</v>
      </c>
      <c r="Y129" s="433">
        <f t="shared" si="30"/>
        <v>40944.000000000007</v>
      </c>
      <c r="Z129" s="446">
        <f t="shared" si="31"/>
        <v>8.0316526835928226</v>
      </c>
      <c r="AA129" s="436">
        <f t="shared" si="32"/>
        <v>5</v>
      </c>
      <c r="AB129" s="433">
        <f>MAX($Y$111:$Y$113)</f>
        <v>18310</v>
      </c>
      <c r="AC129" s="421" t="str">
        <f t="shared" si="33"/>
        <v>Oeste</v>
      </c>
      <c r="AD129" s="421">
        <f t="shared" ref="AD129:AD133" si="36">AB129/$Y129*100</f>
        <v>44.719617037905422</v>
      </c>
      <c r="AE129" s="433">
        <f>MIN($Y$111:$Y$113)</f>
        <v>6903</v>
      </c>
      <c r="AF129" s="421" t="str">
        <f t="shared" si="34"/>
        <v>Médio Tejo</v>
      </c>
      <c r="AG129" s="421">
        <f t="shared" ref="AG129:AG133" si="37">AE129/$Y129*100</f>
        <v>16.859613130128952</v>
      </c>
      <c r="AH129" s="415">
        <f t="shared" si="35"/>
        <v>8.0316526835928226</v>
      </c>
      <c r="AI129" s="423" t="str">
        <f t="shared" si="29"/>
        <v>Oeste e Vale do Tejo</v>
      </c>
    </row>
    <row r="130" spans="1:45">
      <c r="A130" s="421"/>
      <c r="B130" s="422" t="s">
        <v>13</v>
      </c>
      <c r="C130" s="433">
        <f>+q16_E!$B$5</f>
        <v>110390.99999999996</v>
      </c>
      <c r="D130" s="433">
        <f>+q16_E!$C$5</f>
        <v>116010.9999999999</v>
      </c>
      <c r="E130" s="433">
        <f>+q16_E!$D$5</f>
        <v>127236.00000000019</v>
      </c>
      <c r="F130" s="433">
        <f>+q16_E!$E$5</f>
        <v>140295.00000000003</v>
      </c>
      <c r="G130" s="433">
        <f>+q16_E!$F$5</f>
        <v>169294.99999999988</v>
      </c>
      <c r="H130" s="433">
        <f>+q16_E!$G$5</f>
        <v>210582.99999999997</v>
      </c>
      <c r="I130" s="433">
        <f>+q16_E!$H$5</f>
        <v>217760.99999999983</v>
      </c>
      <c r="J130" s="433">
        <f>+q16_E!$I$5</f>
        <v>228523.00000000006</v>
      </c>
      <c r="K130" s="433">
        <f>+q16_E!$J$5</f>
        <v>322028.00000000017</v>
      </c>
      <c r="L130" s="433">
        <f>+q16_E!$K$5</f>
        <v>414782.99999999994</v>
      </c>
      <c r="M130" s="433">
        <f>+q16_E!$L$5</f>
        <v>509783.00000000012</v>
      </c>
      <c r="V130" s="383" t="s">
        <v>942</v>
      </c>
      <c r="X130" s="423" t="s">
        <v>516</v>
      </c>
      <c r="Y130" s="433">
        <f t="shared" si="30"/>
        <v>192040</v>
      </c>
      <c r="Z130" s="446">
        <f t="shared" si="31"/>
        <v>37.670930572420019</v>
      </c>
      <c r="AA130" s="436">
        <f t="shared" si="32"/>
        <v>1</v>
      </c>
      <c r="AB130" s="433">
        <f>MAX($Y$114)</f>
        <v>192040</v>
      </c>
      <c r="AC130" s="421" t="str">
        <f t="shared" si="33"/>
        <v>Grande Lisboa</v>
      </c>
      <c r="AD130" s="421">
        <f t="shared" si="36"/>
        <v>100</v>
      </c>
      <c r="AE130" s="433">
        <f>MIN($Y$114)</f>
        <v>192040</v>
      </c>
      <c r="AF130" s="421" t="str">
        <f t="shared" si="34"/>
        <v>Grande Lisboa</v>
      </c>
      <c r="AG130" s="421">
        <f t="shared" si="37"/>
        <v>100</v>
      </c>
      <c r="AH130" s="415">
        <f t="shared" si="35"/>
        <v>37.670930572420019</v>
      </c>
      <c r="AI130" s="423" t="str">
        <f t="shared" si="29"/>
        <v>Grande Lisboa</v>
      </c>
      <c r="AK130" s="383" t="s">
        <v>951</v>
      </c>
    </row>
    <row r="131" spans="1:45">
      <c r="V131" s="383" t="s">
        <v>943</v>
      </c>
      <c r="X131" s="423" t="s">
        <v>517</v>
      </c>
      <c r="Y131" s="433">
        <f t="shared" si="30"/>
        <v>33366</v>
      </c>
      <c r="Z131" s="446">
        <f t="shared" si="31"/>
        <v>6.5451378331564589</v>
      </c>
      <c r="AA131" s="436">
        <f t="shared" si="32"/>
        <v>6</v>
      </c>
      <c r="AB131" s="433">
        <f>MAX($Y$115)</f>
        <v>33366</v>
      </c>
      <c r="AC131" s="421" t="str">
        <f t="shared" si="33"/>
        <v>Península de Setúbal</v>
      </c>
      <c r="AD131" s="421">
        <f t="shared" si="36"/>
        <v>100</v>
      </c>
      <c r="AE131" s="433">
        <f>MIN($Y$115)</f>
        <v>33366</v>
      </c>
      <c r="AF131" s="421" t="str">
        <f t="shared" si="34"/>
        <v>Península de Setúbal</v>
      </c>
      <c r="AG131" s="421">
        <f t="shared" si="37"/>
        <v>100</v>
      </c>
      <c r="AH131" s="415">
        <f t="shared" si="35"/>
        <v>6.5451378331564589</v>
      </c>
      <c r="AI131" s="423" t="str">
        <f t="shared" si="29"/>
        <v>Península de Setúbal</v>
      </c>
      <c r="AJ131" s="421"/>
      <c r="AK131" s="421" t="s">
        <v>947</v>
      </c>
      <c r="AL131" s="421">
        <f>+SMALL($Z$127:$Z$133,1)</f>
        <v>4.9958511758924882</v>
      </c>
      <c r="AM131" s="421" t="str">
        <f>+TEXT(AL131,"##.##0,0")&amp;"%"</f>
        <v>5,0%</v>
      </c>
      <c r="AN131" t="str">
        <f>+VLOOKUP(AL131,$AH$127:$AI$133,2,0)</f>
        <v>Alentejo</v>
      </c>
    </row>
    <row r="132" spans="1:45">
      <c r="V132" s="383" t="s">
        <v>944</v>
      </c>
      <c r="X132" s="423" t="s">
        <v>518</v>
      </c>
      <c r="Y132" s="433">
        <f t="shared" si="30"/>
        <v>25468.000000000011</v>
      </c>
      <c r="Z132" s="446">
        <f t="shared" si="31"/>
        <v>4.9958511758924882</v>
      </c>
      <c r="AA132" s="436">
        <f t="shared" si="32"/>
        <v>7</v>
      </c>
      <c r="AB132" s="433">
        <f>MAX($Y$116:$Y$119)</f>
        <v>13062</v>
      </c>
      <c r="AC132" s="421" t="str">
        <f t="shared" si="33"/>
        <v>Alentejo Litoral</v>
      </c>
      <c r="AD132" s="421">
        <f t="shared" si="36"/>
        <v>51.287890686351481</v>
      </c>
      <c r="AE132" s="433">
        <f>MIN($Y$116:$Y$119)</f>
        <v>1982</v>
      </c>
      <c r="AF132" s="421" t="str">
        <f t="shared" si="34"/>
        <v>Alto Alentejo</v>
      </c>
      <c r="AG132" s="421">
        <f t="shared" si="37"/>
        <v>7.7823150620386334</v>
      </c>
      <c r="AH132" s="415">
        <f t="shared" si="35"/>
        <v>4.9958511758924882</v>
      </c>
      <c r="AI132" s="423" t="str">
        <f t="shared" si="29"/>
        <v>Alentejo</v>
      </c>
      <c r="AJ132" s="421"/>
      <c r="AK132" s="421" t="s">
        <v>948</v>
      </c>
      <c r="AL132" s="421">
        <f>+SMALL($Z$127:$Z$133,2)</f>
        <v>6.5451378331564589</v>
      </c>
      <c r="AM132" s="421" t="str">
        <f>+TEXT(AL132,"##.##0,0")&amp;"%"</f>
        <v>6,5%</v>
      </c>
      <c r="AN132" t="str">
        <f>+VLOOKUP(AL132,$AH$127:$AI$133,2,0)</f>
        <v>Península de Setúbal</v>
      </c>
    </row>
    <row r="133" spans="1:45">
      <c r="X133" s="423" t="s">
        <v>523</v>
      </c>
      <c r="Y133" s="433">
        <f t="shared" si="30"/>
        <v>52164.000000000007</v>
      </c>
      <c r="Z133" s="446">
        <f t="shared" si="31"/>
        <v>10.232589160485931</v>
      </c>
      <c r="AA133" s="436">
        <f t="shared" si="32"/>
        <v>4</v>
      </c>
      <c r="AB133" s="433">
        <f>MAX($Y$120)</f>
        <v>52164.000000000007</v>
      </c>
      <c r="AC133" s="421" t="str">
        <f t="shared" si="33"/>
        <v>Algarve</v>
      </c>
      <c r="AD133" s="421">
        <f t="shared" si="36"/>
        <v>100</v>
      </c>
      <c r="AE133" s="433">
        <f>MIN($Y$120)</f>
        <v>52164.000000000007</v>
      </c>
      <c r="AF133" s="421" t="str">
        <f t="shared" si="34"/>
        <v>Algarve</v>
      </c>
      <c r="AG133" s="421">
        <f t="shared" si="37"/>
        <v>100</v>
      </c>
      <c r="AH133" s="415">
        <f t="shared" si="35"/>
        <v>10.232589160485931</v>
      </c>
      <c r="AI133" s="423" t="str">
        <f t="shared" si="29"/>
        <v>Algarve</v>
      </c>
      <c r="AJ133" s="421"/>
      <c r="AL133" s="415">
        <f>+AL131+AL132</f>
        <v>11.540989009048946</v>
      </c>
    </row>
    <row r="135" spans="1:45" ht="63.75" customHeight="1">
      <c r="AH135" s="887" t="s">
        <v>921</v>
      </c>
      <c r="AI135" s="887"/>
      <c r="AJ135" s="887"/>
      <c r="AK135" s="402" t="str">
        <f>+AK124&amp;CHAR(10)&amp;AK125&amp;" - "&amp;AN126&amp;" ("&amp;AM126&amp;") e "&amp;AN127&amp;" ("&amp;AM127&amp;")."&amp;CHAR(10)&amp;AK130&amp;" - "&amp;AN131&amp;" ("&amp;AM131&amp;") e "&amp;AN132&amp;" ("&amp;AM132&amp;")."</f>
        <v>2024:
NUTS II com mais de metade dos TCO estrangeiros - Grande Lisboa (37,7%) e Norte (21,2%).
NUTS II com menos TCO estrangeiros - Alentejo (5,0%) e Península de Setúbal (6,5%).</v>
      </c>
      <c r="AL135" s="887"/>
      <c r="AM135" s="887"/>
    </row>
    <row r="136" spans="1:45">
      <c r="A136" s="547" t="s">
        <v>915</v>
      </c>
      <c r="B136" s="421"/>
      <c r="C136" s="421"/>
      <c r="D136" s="423"/>
      <c r="E136" s="421"/>
      <c r="F136" s="421"/>
      <c r="G136" s="421"/>
      <c r="H136" s="421"/>
      <c r="I136" s="421"/>
      <c r="J136" s="421"/>
      <c r="K136" s="421"/>
      <c r="L136" s="421"/>
      <c r="M136" s="421"/>
      <c r="AH136" s="887"/>
      <c r="AI136" s="887"/>
      <c r="AJ136" s="887"/>
      <c r="AK136" s="887"/>
      <c r="AL136" s="887"/>
      <c r="AM136" s="887"/>
    </row>
    <row r="137" spans="1:45">
      <c r="A137" s="547" t="s">
        <v>182</v>
      </c>
      <c r="B137" s="421"/>
      <c r="C137" s="422">
        <f>+'q16'!$B$4</f>
        <v>2014</v>
      </c>
      <c r="D137" s="422">
        <f>+'q16'!$C$4</f>
        <v>2015</v>
      </c>
      <c r="E137" s="422">
        <f>+'q16'!$D$4</f>
        <v>2016</v>
      </c>
      <c r="F137" s="422">
        <f>+'q16'!$E$4</f>
        <v>2017</v>
      </c>
      <c r="G137" s="422">
        <f>+'q16'!$F$4</f>
        <v>2018</v>
      </c>
      <c r="H137" s="422">
        <f>+'q16'!$G$4</f>
        <v>2019</v>
      </c>
      <c r="I137" s="422">
        <f>+'q16'!$H$4</f>
        <v>2020</v>
      </c>
      <c r="J137" s="422">
        <f>+'q16'!$I$4</f>
        <v>2021</v>
      </c>
      <c r="K137" s="422">
        <f>+'q16'!$J$4</f>
        <v>2022</v>
      </c>
      <c r="L137" s="422">
        <f>+'q16'!$K$4</f>
        <v>2023</v>
      </c>
      <c r="M137" s="422">
        <f>+'q16'!$L$4</f>
        <v>2024</v>
      </c>
      <c r="AF137" s="383"/>
      <c r="AH137" s="887"/>
      <c r="AI137" s="887"/>
      <c r="AJ137" s="887"/>
      <c r="AK137" s="887"/>
      <c r="AL137" s="887"/>
      <c r="AM137" s="887"/>
    </row>
    <row r="138" spans="1:45">
      <c r="A138" s="422" t="s">
        <v>524</v>
      </c>
      <c r="B138" s="422" t="str">
        <f>+q16_E_b!$A$6</f>
        <v>Norte</v>
      </c>
      <c r="C138" s="433">
        <f>+q16_E_b!$B$6</f>
        <v>12902.000000000002</v>
      </c>
      <c r="D138" s="433">
        <f>+q16_E_b!$C$6</f>
        <v>14033.000000000007</v>
      </c>
      <c r="E138" s="433">
        <f>+q16_E_b!$D$6</f>
        <v>14238.000000000002</v>
      </c>
      <c r="F138" s="433">
        <f>+q16_E_b!$E$6</f>
        <v>17437.999999999996</v>
      </c>
      <c r="G138" s="433">
        <f>+q16_E_b!$F$6</f>
        <v>22188.000000000004</v>
      </c>
      <c r="H138" s="433">
        <f>+q16_E_b!$G$6</f>
        <v>30453.000000000011</v>
      </c>
      <c r="I138" s="433">
        <f>+q16_E_b!$H$6</f>
        <v>33775.999999999993</v>
      </c>
      <c r="J138" s="433">
        <f>+q16_E_b!$I$6</f>
        <v>36947.000000000022</v>
      </c>
      <c r="K138" s="433">
        <f>+q16_E_b!$J$6</f>
        <v>61471.999999999993</v>
      </c>
      <c r="L138" s="433">
        <f>+q16_E_b!$K$6</f>
        <v>84585.999999999985</v>
      </c>
      <c r="M138" s="433">
        <f>+q16_E_b!$L$6</f>
        <v>108225.99999999999</v>
      </c>
      <c r="AF138" s="383"/>
      <c r="AG138" s="421"/>
      <c r="AH138" s="887"/>
      <c r="AI138" s="887"/>
      <c r="AJ138" s="887"/>
      <c r="AK138" s="887"/>
      <c r="AL138" s="887"/>
      <c r="AM138" s="887"/>
      <c r="AN138" s="880"/>
      <c r="AO138" s="880"/>
      <c r="AP138" s="880"/>
      <c r="AQ138" s="880"/>
      <c r="AR138" s="880"/>
      <c r="AS138" s="880"/>
    </row>
    <row r="139" spans="1:45">
      <c r="A139" s="422"/>
      <c r="B139" s="422" t="str">
        <f>+q16_E_b!$A$15</f>
        <v>Centro</v>
      </c>
      <c r="C139" s="433">
        <f>+q16_E_b!$B$15</f>
        <v>14897.000000000004</v>
      </c>
      <c r="D139" s="433">
        <f>+q16_E_b!$C$15</f>
        <v>15310.000000000002</v>
      </c>
      <c r="E139" s="433">
        <f>+q16_E_b!$D$15</f>
        <v>15820.999999999995</v>
      </c>
      <c r="F139" s="433">
        <f>+q16_E_b!$E$15</f>
        <v>17223.999999999993</v>
      </c>
      <c r="G139" s="433">
        <f>+q16_E_b!$F$15</f>
        <v>21954.000000000004</v>
      </c>
      <c r="H139" s="433">
        <f>+q16_E_b!$G$15</f>
        <v>28333.999999999996</v>
      </c>
      <c r="I139" s="433">
        <f>+q16_E_b!$H$15</f>
        <v>30860.999999999996</v>
      </c>
      <c r="J139" s="433">
        <f>+q16_E_b!$I$15</f>
        <v>32802.000000000007</v>
      </c>
      <c r="K139" s="433">
        <f>+q16_E_b!$J$15</f>
        <v>49164.000000000022</v>
      </c>
      <c r="L139" s="433">
        <f>+q16_E_b!$K$15</f>
        <v>67685.000000000015</v>
      </c>
      <c r="M139" s="433">
        <f>+q16_E_b!$L$15</f>
        <v>82788.000000000015</v>
      </c>
      <c r="AG139" s="435"/>
      <c r="AH139" s="887"/>
      <c r="AI139" s="887"/>
      <c r="AJ139" s="887"/>
      <c r="AK139" s="887"/>
      <c r="AL139" s="887"/>
      <c r="AM139" s="887"/>
      <c r="AN139" s="882"/>
      <c r="AO139" s="882"/>
      <c r="AP139" s="882"/>
      <c r="AQ139" s="882"/>
      <c r="AR139" s="882"/>
      <c r="AS139" s="880"/>
    </row>
    <row r="140" spans="1:45">
      <c r="A140" s="422"/>
      <c r="B140" s="422" t="str">
        <f>+q16_E_b!$A$24</f>
        <v>Área Metropolitana de Lisboa</v>
      </c>
      <c r="C140" s="433">
        <f>+q16_E_b!$B$24</f>
        <v>59933.000000000015</v>
      </c>
      <c r="D140" s="433">
        <f>+q16_E_b!$C$24</f>
        <v>62464</v>
      </c>
      <c r="E140" s="433">
        <f>+q16_E_b!$D$24</f>
        <v>69696.999999999985</v>
      </c>
      <c r="F140" s="433">
        <f>+q16_E_b!$E$24</f>
        <v>73738</v>
      </c>
      <c r="G140" s="433">
        <f>+q16_E_b!$F$24</f>
        <v>87013</v>
      </c>
      <c r="H140" s="433">
        <f>+q16_E_b!$G$24</f>
        <v>103740</v>
      </c>
      <c r="I140" s="433">
        <f>+q16_E_b!$H$24</f>
        <v>104861.99999999999</v>
      </c>
      <c r="J140" s="433">
        <f>+q16_E_b!$I$24</f>
        <v>109691</v>
      </c>
      <c r="K140" s="433">
        <f>+q16_E_b!$J$24</f>
        <v>146528.99999999997</v>
      </c>
      <c r="L140" s="433">
        <f>+q16_E_b!$K$24</f>
        <v>183951.00000000003</v>
      </c>
      <c r="M140" s="433">
        <f>+q16_E_b!$L$24</f>
        <v>225406.00000000003</v>
      </c>
      <c r="AG140" s="435"/>
      <c r="AH140" s="887"/>
      <c r="AI140" s="887"/>
      <c r="AJ140" s="887"/>
      <c r="AK140" s="887"/>
      <c r="AL140" s="887"/>
      <c r="AM140" s="887"/>
      <c r="AN140" s="882"/>
      <c r="AO140" s="882"/>
      <c r="AP140" s="882"/>
      <c r="AQ140" s="882"/>
      <c r="AR140" s="882"/>
      <c r="AS140" s="880"/>
    </row>
    <row r="141" spans="1:45">
      <c r="A141" s="422"/>
      <c r="B141" s="422" t="str">
        <f>+q16_E_b!$A$25</f>
        <v>Alentejo</v>
      </c>
      <c r="C141" s="433">
        <f>+q16_E_b!$B$25</f>
        <v>7868.9999999999991</v>
      </c>
      <c r="D141" s="433">
        <f>+q16_E_b!$C$25</f>
        <v>8639.0000000000055</v>
      </c>
      <c r="E141" s="433">
        <f>+q16_E_b!$D$25</f>
        <v>10365.000000000004</v>
      </c>
      <c r="F141" s="433">
        <f>+q16_E_b!$E$25</f>
        <v>12099.999999999998</v>
      </c>
      <c r="G141" s="433">
        <f>+q16_E_b!$F$25</f>
        <v>14018.000000000004</v>
      </c>
      <c r="H141" s="433">
        <f>+q16_E_b!$G$25</f>
        <v>18785.999999999996</v>
      </c>
      <c r="I141" s="433">
        <f>+q16_E_b!$H$25</f>
        <v>24049.999999999993</v>
      </c>
      <c r="J141" s="433">
        <f>+q16_E_b!$I$25</f>
        <v>24010</v>
      </c>
      <c r="K141" s="433">
        <f>+q16_E_b!$J$25</f>
        <v>30160.999999999985</v>
      </c>
      <c r="L141" s="433">
        <f>+q16_E_b!$K$25</f>
        <v>35390</v>
      </c>
      <c r="M141" s="433">
        <f>+q16_E_b!$L$25</f>
        <v>41198.999999999993</v>
      </c>
      <c r="AG141" s="435"/>
      <c r="AH141" s="887"/>
      <c r="AI141" s="887"/>
      <c r="AJ141" s="887"/>
      <c r="AK141" s="887"/>
      <c r="AL141" s="887"/>
      <c r="AM141" s="887"/>
      <c r="AN141" s="882"/>
      <c r="AO141" s="882"/>
      <c r="AP141" s="882"/>
      <c r="AQ141" s="882"/>
      <c r="AR141" s="882"/>
      <c r="AS141" s="880"/>
    </row>
    <row r="142" spans="1:45">
      <c r="A142" s="422"/>
      <c r="B142" s="422" t="str">
        <f>+q16_E_b!$A$31</f>
        <v>Algarve</v>
      </c>
      <c r="C142" s="433">
        <f>+q16_E_b!$B$31</f>
        <v>14790.000000000004</v>
      </c>
      <c r="D142" s="433">
        <f>+q16_E_b!$C$31</f>
        <v>15565.000000000005</v>
      </c>
      <c r="E142" s="433">
        <f>+q16_E_b!$D$31</f>
        <v>17115</v>
      </c>
      <c r="F142" s="433">
        <f>+q16_E_b!$E$31</f>
        <v>19795</v>
      </c>
      <c r="G142" s="433">
        <f>+q16_E_b!$F$31</f>
        <v>24122</v>
      </c>
      <c r="H142" s="433">
        <f>+q16_E_b!$G$31</f>
        <v>29269.999999999993</v>
      </c>
      <c r="I142" s="433">
        <f>+q16_E_b!$H$31</f>
        <v>24212</v>
      </c>
      <c r="J142" s="433">
        <f>+q16_E_b!$I$31</f>
        <v>25073.000000000004</v>
      </c>
      <c r="K142" s="433">
        <f>+q16_E_b!$J$31</f>
        <v>34702</v>
      </c>
      <c r="L142" s="433">
        <f>+q16_E_b!$K$31</f>
        <v>43171.000000000007</v>
      </c>
      <c r="M142" s="433">
        <f>+q16_E_b!$L$31</f>
        <v>52164.000000000007</v>
      </c>
      <c r="AG142" s="435"/>
      <c r="AH142" s="435"/>
      <c r="AI142" s="435"/>
      <c r="AJ142" s="435"/>
      <c r="AK142" s="435"/>
      <c r="AL142" s="881"/>
      <c r="AM142" s="881"/>
      <c r="AN142" s="881"/>
      <c r="AO142" s="881"/>
      <c r="AP142" s="881"/>
      <c r="AQ142" s="435"/>
      <c r="AR142" s="435"/>
      <c r="AS142" s="421"/>
    </row>
    <row r="143" spans="1:45">
      <c r="A143" s="422"/>
      <c r="B143" s="422" t="s">
        <v>13</v>
      </c>
      <c r="C143" s="433">
        <f>+q16_E_b!$B$5</f>
        <v>110390.99999999996</v>
      </c>
      <c r="D143" s="433">
        <f>+q16_E_b!$C$5</f>
        <v>116010.9999999999</v>
      </c>
      <c r="E143" s="433">
        <f>+q16_E_b!$D$5</f>
        <v>127236.00000000019</v>
      </c>
      <c r="F143" s="433">
        <f>+q16_E_b!$E$5</f>
        <v>140295.00000000003</v>
      </c>
      <c r="G143" s="433">
        <f>+q16_E_b!$F$5</f>
        <v>169294.99999999988</v>
      </c>
      <c r="H143" s="433">
        <f>+q16_E_b!$G$5</f>
        <v>210582.99999999997</v>
      </c>
      <c r="I143" s="433">
        <f>+q16_E_b!$H$5</f>
        <v>217760.99999999983</v>
      </c>
      <c r="J143" s="433">
        <f>+q16_E_b!$I$5</f>
        <v>228523.00000000006</v>
      </c>
      <c r="K143" s="433">
        <f>+q16_E_b!$J$5</f>
        <v>322028.00000000017</v>
      </c>
      <c r="L143" s="433">
        <f>+q16_E_b!$K$5</f>
        <v>414782.99999999994</v>
      </c>
      <c r="M143" s="433">
        <f>+q16_E_b!$L$5</f>
        <v>509783.00000000012</v>
      </c>
      <c r="AG143" s="435"/>
      <c r="AH143" s="435"/>
      <c r="AI143" s="435"/>
      <c r="AJ143" s="435"/>
      <c r="AK143" s="435"/>
      <c r="AL143" s="881"/>
      <c r="AM143" s="881"/>
      <c r="AN143" s="881"/>
      <c r="AO143" s="881"/>
      <c r="AP143" s="881"/>
      <c r="AQ143" s="435"/>
      <c r="AR143" s="435"/>
      <c r="AS143" s="421"/>
    </row>
    <row r="144" spans="1:45">
      <c r="A144" s="422"/>
      <c r="B144" s="422"/>
      <c r="C144" s="433"/>
      <c r="D144" s="433"/>
      <c r="E144" s="433"/>
      <c r="F144" s="433"/>
      <c r="G144" s="433"/>
      <c r="H144" s="433"/>
      <c r="I144" s="433"/>
      <c r="J144" s="433"/>
      <c r="K144" s="433"/>
      <c r="L144" s="433"/>
      <c r="M144" s="433"/>
      <c r="AG144" s="435"/>
      <c r="AH144" s="435"/>
      <c r="AI144" s="435"/>
      <c r="AJ144" s="883"/>
      <c r="AK144" s="883"/>
      <c r="AL144" s="881"/>
      <c r="AM144" s="881"/>
      <c r="AN144" s="881"/>
      <c r="AO144" s="881"/>
      <c r="AP144" s="881"/>
      <c r="AQ144" s="435"/>
      <c r="AR144" s="435"/>
      <c r="AS144" s="421"/>
    </row>
    <row r="145" spans="1:45">
      <c r="A145" s="421"/>
      <c r="B145" s="422"/>
      <c r="C145" s="433"/>
      <c r="D145" s="433"/>
      <c r="E145" s="433"/>
      <c r="F145" s="433"/>
      <c r="G145" s="433"/>
      <c r="H145" s="433"/>
      <c r="I145" s="433"/>
      <c r="J145" s="433"/>
      <c r="K145" s="433"/>
      <c r="L145" s="433"/>
      <c r="M145" s="433"/>
      <c r="AG145" s="435"/>
      <c r="AH145" s="435"/>
      <c r="AI145" s="435"/>
      <c r="AJ145" s="883"/>
      <c r="AK145" s="883"/>
      <c r="AL145" s="884"/>
      <c r="AM145" s="435"/>
      <c r="AN145" s="435"/>
      <c r="AO145" s="435"/>
      <c r="AP145" s="435"/>
      <c r="AQ145" s="435"/>
      <c r="AR145" s="435"/>
      <c r="AS145" s="421"/>
    </row>
    <row r="146" spans="1:45">
      <c r="A146" s="421"/>
      <c r="B146" s="422"/>
      <c r="C146" s="433"/>
      <c r="D146" s="433"/>
      <c r="E146" s="433"/>
      <c r="F146" s="433"/>
      <c r="G146" s="433"/>
      <c r="H146" s="433"/>
      <c r="I146" s="433"/>
      <c r="J146" s="433"/>
      <c r="K146" s="433"/>
      <c r="L146" s="433"/>
      <c r="M146" s="433"/>
      <c r="AG146" s="435"/>
      <c r="AH146" s="435"/>
      <c r="AI146" s="435"/>
      <c r="AJ146" s="883"/>
      <c r="AK146" s="883"/>
      <c r="AL146" s="883"/>
      <c r="AM146" s="883"/>
      <c r="AN146" s="883"/>
      <c r="AO146" s="883"/>
      <c r="AP146" s="883"/>
      <c r="AQ146" s="883"/>
      <c r="AR146" s="883"/>
      <c r="AS146" s="421"/>
    </row>
    <row r="147" spans="1:45">
      <c r="A147" s="421"/>
      <c r="B147" s="421"/>
      <c r="C147" s="422">
        <f>+C137</f>
        <v>2014</v>
      </c>
      <c r="D147" s="422">
        <f t="shared" ref="D147:M147" si="38">+D137</f>
        <v>2015</v>
      </c>
      <c r="E147" s="422">
        <f t="shared" si="38"/>
        <v>2016</v>
      </c>
      <c r="F147" s="422">
        <f t="shared" si="38"/>
        <v>2017</v>
      </c>
      <c r="G147" s="422">
        <f t="shared" si="38"/>
        <v>2018</v>
      </c>
      <c r="H147" s="422">
        <f t="shared" si="38"/>
        <v>2019</v>
      </c>
      <c r="I147" s="422">
        <f t="shared" si="38"/>
        <v>2020</v>
      </c>
      <c r="J147" s="422">
        <f t="shared" si="38"/>
        <v>2021</v>
      </c>
      <c r="K147" s="422">
        <f t="shared" si="38"/>
        <v>2022</v>
      </c>
      <c r="L147" s="422">
        <f t="shared" si="38"/>
        <v>2023</v>
      </c>
      <c r="M147" s="422">
        <f t="shared" si="38"/>
        <v>2024</v>
      </c>
      <c r="AG147" s="435"/>
      <c r="AH147" s="435"/>
      <c r="AI147" s="435"/>
      <c r="AJ147" s="883"/>
      <c r="AK147" s="883"/>
      <c r="AL147" s="883"/>
      <c r="AM147" s="883"/>
      <c r="AN147" s="883"/>
      <c r="AO147" s="883"/>
      <c r="AP147" s="883"/>
      <c r="AQ147" s="883"/>
      <c r="AR147" s="883"/>
      <c r="AS147" s="421"/>
    </row>
    <row r="148" spans="1:45">
      <c r="A148" s="422" t="s">
        <v>525</v>
      </c>
      <c r="B148" s="422" t="str">
        <f>+q16_E_b!$A$7</f>
        <v>Alto Minho</v>
      </c>
      <c r="C148" s="433">
        <f>+q16_E_b!$B$7</f>
        <v>1088</v>
      </c>
      <c r="D148" s="433">
        <f>+q16_E_b!$C$7</f>
        <v>1608.9999999999998</v>
      </c>
      <c r="E148" s="433">
        <f>+q16_E_b!$D$7</f>
        <v>1354</v>
      </c>
      <c r="F148" s="433">
        <f>+q16_E_b!$E$7</f>
        <v>1615</v>
      </c>
      <c r="G148" s="433">
        <f>+q16_E_b!$F$7</f>
        <v>2561</v>
      </c>
      <c r="H148" s="433">
        <f>+q16_E_b!$G$7</f>
        <v>3496</v>
      </c>
      <c r="I148" s="433">
        <f>+q16_E_b!$H$7</f>
        <v>3547</v>
      </c>
      <c r="J148" s="433">
        <f>+q16_E_b!$I$7</f>
        <v>3582</v>
      </c>
      <c r="K148" s="433">
        <f>+q16_E_b!$J$7</f>
        <v>5474</v>
      </c>
      <c r="L148" s="433">
        <f>+q16_E_b!$K$7</f>
        <v>7583</v>
      </c>
      <c r="M148" s="433">
        <f>+q16_E_b!$L$7</f>
        <v>8918</v>
      </c>
      <c r="AG148" s="435"/>
      <c r="AH148" s="435"/>
      <c r="AI148" s="435"/>
      <c r="AJ148" s="883"/>
      <c r="AK148" s="883"/>
      <c r="AL148" s="883"/>
      <c r="AM148" s="883"/>
      <c r="AN148" s="883"/>
      <c r="AO148" s="883"/>
      <c r="AP148" s="883"/>
      <c r="AQ148" s="883"/>
      <c r="AR148" s="883"/>
      <c r="AS148" s="421"/>
    </row>
    <row r="149" spans="1:45">
      <c r="A149" s="422"/>
      <c r="B149" s="422" t="str">
        <f>+q16_E_b!$A$8</f>
        <v>Cávado</v>
      </c>
      <c r="C149" s="433">
        <f>+q16_E_b!$B$8</f>
        <v>1381</v>
      </c>
      <c r="D149" s="433">
        <f>+q16_E_b!$C$8</f>
        <v>1422.0000000000002</v>
      </c>
      <c r="E149" s="433">
        <f>+q16_E_b!$D$8</f>
        <v>1647</v>
      </c>
      <c r="F149" s="433">
        <f>+q16_E_b!$E$8</f>
        <v>1866.9999999999998</v>
      </c>
      <c r="G149" s="433">
        <f>+q16_E_b!$F$8</f>
        <v>2866</v>
      </c>
      <c r="H149" s="433">
        <f>+q16_E_b!$G$8</f>
        <v>4608</v>
      </c>
      <c r="I149" s="433">
        <f>+q16_E_b!$H$8</f>
        <v>5097</v>
      </c>
      <c r="J149" s="433">
        <f>+q16_E_b!$I$8</f>
        <v>5669</v>
      </c>
      <c r="K149" s="433">
        <f>+q16_E_b!$J$8</f>
        <v>9567</v>
      </c>
      <c r="L149" s="433">
        <f>+q16_E_b!$K$8</f>
        <v>13702.999999999998</v>
      </c>
      <c r="M149" s="433">
        <f>+q16_E_b!$L$8</f>
        <v>16614.999999999996</v>
      </c>
      <c r="AG149" s="435"/>
      <c r="AH149" s="435"/>
      <c r="AI149" s="435"/>
      <c r="AJ149" s="883"/>
      <c r="AK149" s="883"/>
      <c r="AL149" s="883"/>
      <c r="AM149" s="883"/>
      <c r="AN149" s="883"/>
      <c r="AO149" s="883"/>
      <c r="AP149" s="883"/>
      <c r="AQ149" s="883"/>
      <c r="AR149" s="883"/>
      <c r="AS149" s="421"/>
    </row>
    <row r="150" spans="1:45">
      <c r="A150" s="422"/>
      <c r="B150" s="422" t="str">
        <f>+q16_E_b!$A$9</f>
        <v>Ave</v>
      </c>
      <c r="C150" s="433">
        <f>+q16_E_b!$B$9</f>
        <v>943.00000000000011</v>
      </c>
      <c r="D150" s="433">
        <f>+q16_E_b!$C$9</f>
        <v>1095</v>
      </c>
      <c r="E150" s="433">
        <f>+q16_E_b!$D$9</f>
        <v>1094</v>
      </c>
      <c r="F150" s="433">
        <f>+q16_E_b!$E$9</f>
        <v>1174</v>
      </c>
      <c r="G150" s="433">
        <f>+q16_E_b!$F$9</f>
        <v>1883</v>
      </c>
      <c r="H150" s="433">
        <f>+q16_E_b!$G$9</f>
        <v>2227</v>
      </c>
      <c r="I150" s="433">
        <f>+q16_E_b!$H$9</f>
        <v>2560</v>
      </c>
      <c r="J150" s="433">
        <f>+q16_E_b!$I$9</f>
        <v>2869.9999999999995</v>
      </c>
      <c r="K150" s="433">
        <f>+q16_E_b!$J$9</f>
        <v>5019</v>
      </c>
      <c r="L150" s="433">
        <f>+q16_E_b!$K$9</f>
        <v>6545.0000000000009</v>
      </c>
      <c r="M150" s="433">
        <f>+q16_E_b!$L$9</f>
        <v>8530</v>
      </c>
      <c r="AG150" s="435"/>
      <c r="AH150" s="435"/>
      <c r="AI150" s="435"/>
      <c r="AJ150" s="883"/>
      <c r="AK150" s="883"/>
      <c r="AL150" s="435"/>
      <c r="AM150" s="435"/>
      <c r="AN150" s="435"/>
      <c r="AO150" s="435"/>
      <c r="AP150" s="435"/>
      <c r="AQ150" s="435"/>
      <c r="AR150" s="435"/>
      <c r="AS150" s="421"/>
    </row>
    <row r="151" spans="1:45">
      <c r="A151" s="422"/>
      <c r="B151" s="422" t="str">
        <f>+q16_E_b!$A$10</f>
        <v>Área Metropolitana do Porto</v>
      </c>
      <c r="C151" s="433">
        <f>+q16_E_b!$B$10</f>
        <v>7776</v>
      </c>
      <c r="D151" s="433">
        <f>+q16_E_b!$C$10</f>
        <v>8118.0000000000009</v>
      </c>
      <c r="E151" s="433">
        <f>+q16_E_b!$D$10</f>
        <v>8429</v>
      </c>
      <c r="F151" s="433">
        <f>+q16_E_b!$E$10</f>
        <v>10923.000000000002</v>
      </c>
      <c r="G151" s="433">
        <f>+q16_E_b!$F$10</f>
        <v>12670</v>
      </c>
      <c r="H151" s="433">
        <f>+q16_E_b!$G$10</f>
        <v>17064</v>
      </c>
      <c r="I151" s="433">
        <f>+q16_E_b!$H$10</f>
        <v>18965</v>
      </c>
      <c r="J151" s="433">
        <f>+q16_E_b!$I$10</f>
        <v>20521</v>
      </c>
      <c r="K151" s="433">
        <f>+q16_E_b!$J$10</f>
        <v>34651.999999999993</v>
      </c>
      <c r="L151" s="433">
        <f>+q16_E_b!$K$10</f>
        <v>46134</v>
      </c>
      <c r="M151" s="433">
        <f>+q16_E_b!$L$10</f>
        <v>59436</v>
      </c>
      <c r="AG151" s="435"/>
      <c r="AH151" s="435"/>
      <c r="AI151" s="435"/>
      <c r="AJ151" s="435"/>
      <c r="AK151" s="435"/>
      <c r="AL151" s="435"/>
      <c r="AM151" s="435"/>
      <c r="AN151" s="435"/>
      <c r="AO151" s="435"/>
      <c r="AP151" s="435"/>
      <c r="AQ151" s="435"/>
      <c r="AR151" s="435"/>
      <c r="AS151" s="421"/>
    </row>
    <row r="152" spans="1:45">
      <c r="A152" s="422"/>
      <c r="B152" s="422" t="str">
        <f>+q16_E_b!$A$11</f>
        <v>Alto Tâmega</v>
      </c>
      <c r="C152" s="433">
        <f>+q16_E_b!$B$11</f>
        <v>205.00000000000003</v>
      </c>
      <c r="D152" s="433">
        <f>+q16_E_b!$C$11</f>
        <v>180</v>
      </c>
      <c r="E152" s="433">
        <f>+q16_E_b!$D$11</f>
        <v>191</v>
      </c>
      <c r="F152" s="433">
        <f>+q16_E_b!$E$11</f>
        <v>227</v>
      </c>
      <c r="G152" s="433">
        <f>+q16_E_b!$F$11</f>
        <v>308</v>
      </c>
      <c r="H152" s="433">
        <f>+q16_E_b!$G$11</f>
        <v>333</v>
      </c>
      <c r="I152" s="433">
        <f>+q16_E_b!$H$11</f>
        <v>409</v>
      </c>
      <c r="J152" s="433">
        <f>+q16_E_b!$I$11</f>
        <v>364</v>
      </c>
      <c r="K152" s="433">
        <f>+q16_E_b!$J$11</f>
        <v>513</v>
      </c>
      <c r="L152" s="433">
        <f>+q16_E_b!$K$11</f>
        <v>689</v>
      </c>
      <c r="M152" s="433">
        <f>+q16_E_b!$L$11</f>
        <v>1000.9999999999999</v>
      </c>
      <c r="AG152" s="435"/>
      <c r="AH152" s="435"/>
      <c r="AI152" s="435"/>
      <c r="AJ152" s="435"/>
      <c r="AK152" s="435"/>
      <c r="AL152" s="435"/>
      <c r="AM152" s="435"/>
      <c r="AN152" s="435"/>
      <c r="AO152" s="435"/>
      <c r="AP152" s="435"/>
      <c r="AQ152" s="435"/>
      <c r="AR152" s="435"/>
      <c r="AS152" s="421"/>
    </row>
    <row r="153" spans="1:45">
      <c r="A153" s="422"/>
      <c r="B153" s="422" t="str">
        <f>+q16_E_b!$A$12</f>
        <v>Tâmega e Sousa</v>
      </c>
      <c r="C153" s="433">
        <f>+q16_E_b!$B$12</f>
        <v>533</v>
      </c>
      <c r="D153" s="433">
        <f>+q16_E_b!$C$12</f>
        <v>570</v>
      </c>
      <c r="E153" s="433">
        <f>+q16_E_b!$D$12</f>
        <v>565.99999999999989</v>
      </c>
      <c r="F153" s="433">
        <f>+q16_E_b!$E$12</f>
        <v>668.99999999999989</v>
      </c>
      <c r="G153" s="433">
        <f>+q16_E_b!$F$12</f>
        <v>887</v>
      </c>
      <c r="H153" s="433">
        <f>+q16_E_b!$G$12</f>
        <v>1470</v>
      </c>
      <c r="I153" s="433">
        <f>+q16_E_b!$H$12</f>
        <v>1959</v>
      </c>
      <c r="J153" s="433">
        <f>+q16_E_b!$I$12</f>
        <v>2510</v>
      </c>
      <c r="K153" s="433">
        <f>+q16_E_b!$J$12</f>
        <v>4305</v>
      </c>
      <c r="L153" s="433">
        <f>+q16_E_b!$K$12</f>
        <v>6611</v>
      </c>
      <c r="M153" s="433">
        <f>+q16_E_b!$L$12</f>
        <v>8817</v>
      </c>
      <c r="AG153" s="435"/>
      <c r="AH153" s="435"/>
      <c r="AI153" s="435"/>
      <c r="AJ153" s="435"/>
      <c r="AK153" s="435"/>
      <c r="AL153" s="881"/>
      <c r="AM153" s="881"/>
      <c r="AN153" s="881"/>
      <c r="AO153" s="881"/>
      <c r="AP153" s="881"/>
      <c r="AQ153" s="435"/>
      <c r="AR153" s="435"/>
      <c r="AS153" s="421"/>
    </row>
    <row r="154" spans="1:45">
      <c r="A154" s="422"/>
      <c r="B154" s="422" t="str">
        <f>+q16_E_b!$A$13</f>
        <v>Douro</v>
      </c>
      <c r="C154" s="433">
        <f>+q16_E_b!$B$13</f>
        <v>531</v>
      </c>
      <c r="D154" s="433">
        <f>+q16_E_b!$C$13</f>
        <v>563</v>
      </c>
      <c r="E154" s="433">
        <f>+q16_E_b!$D$13</f>
        <v>506</v>
      </c>
      <c r="F154" s="433">
        <f>+q16_E_b!$E$13</f>
        <v>488.99999999999994</v>
      </c>
      <c r="G154" s="433">
        <f>+q16_E_b!$F$13</f>
        <v>566</v>
      </c>
      <c r="H154" s="433">
        <f>+q16_E_b!$G$13</f>
        <v>690</v>
      </c>
      <c r="I154" s="433">
        <f>+q16_E_b!$H$13</f>
        <v>673.99999999999989</v>
      </c>
      <c r="J154" s="433">
        <f>+q16_E_b!$I$13</f>
        <v>865</v>
      </c>
      <c r="K154" s="433">
        <f>+q16_E_b!$J$13</f>
        <v>1199</v>
      </c>
      <c r="L154" s="433">
        <f>+q16_E_b!$K$13</f>
        <v>2246.9999999999995</v>
      </c>
      <c r="M154" s="433">
        <f>+q16_E_b!$L$13</f>
        <v>3321.0000000000005</v>
      </c>
      <c r="AG154" s="435"/>
      <c r="AH154" s="435"/>
      <c r="AI154" s="435"/>
      <c r="AJ154" s="435"/>
      <c r="AK154" s="435"/>
      <c r="AL154" s="881"/>
      <c r="AM154" s="881"/>
      <c r="AN154" s="881"/>
      <c r="AO154" s="881"/>
      <c r="AP154" s="881"/>
      <c r="AQ154" s="435"/>
      <c r="AR154" s="435"/>
      <c r="AS154" s="421"/>
    </row>
    <row r="155" spans="1:45">
      <c r="A155" s="422"/>
      <c r="B155" s="422" t="str">
        <f>+q16_E_b!$A$14</f>
        <v>Terras de Trás-os-Montes</v>
      </c>
      <c r="C155" s="433">
        <f>+q16_E_b!$B$14</f>
        <v>444.99999999999994</v>
      </c>
      <c r="D155" s="433">
        <f>+q16_E_b!$C$14</f>
        <v>476.00000000000006</v>
      </c>
      <c r="E155" s="433">
        <f>+q16_E_b!$D$14</f>
        <v>451</v>
      </c>
      <c r="F155" s="433">
        <f>+q16_E_b!$E$14</f>
        <v>474</v>
      </c>
      <c r="G155" s="433">
        <f>+q16_E_b!$F$14</f>
        <v>447.00000000000006</v>
      </c>
      <c r="H155" s="433">
        <f>+q16_E_b!$G$14</f>
        <v>565</v>
      </c>
      <c r="I155" s="433">
        <f>+q16_E_b!$H$14</f>
        <v>565</v>
      </c>
      <c r="J155" s="433">
        <f>+q16_E_b!$I$14</f>
        <v>566</v>
      </c>
      <c r="K155" s="433">
        <f>+q16_E_b!$J$14</f>
        <v>743</v>
      </c>
      <c r="L155" s="433">
        <f>+q16_E_b!$K$14</f>
        <v>1073.9999999999998</v>
      </c>
      <c r="M155" s="433">
        <f>+q16_E_b!$L$14</f>
        <v>1588</v>
      </c>
      <c r="AG155" s="435"/>
      <c r="AH155" s="435"/>
      <c r="AI155" s="435"/>
      <c r="AJ155" s="435"/>
      <c r="AK155" s="435"/>
      <c r="AL155" s="881"/>
      <c r="AM155" s="881"/>
      <c r="AN155" s="881"/>
      <c r="AO155" s="881"/>
      <c r="AP155" s="881"/>
      <c r="AQ155" s="435"/>
      <c r="AR155" s="435"/>
      <c r="AS155" s="421"/>
    </row>
    <row r="156" spans="1:45">
      <c r="A156" s="422"/>
      <c r="B156" s="422" t="str">
        <f>+q16_E_b!$A$16</f>
        <v>Oeste</v>
      </c>
      <c r="C156" s="433">
        <f>+q16_E_b!$B$16</f>
        <v>3991</v>
      </c>
      <c r="D156" s="433">
        <f>+q16_E_b!$C$16</f>
        <v>4094</v>
      </c>
      <c r="E156" s="433">
        <f>+q16_E_b!$D$16</f>
        <v>4361</v>
      </c>
      <c r="F156" s="433">
        <f>+q16_E_b!$E$16</f>
        <v>4889.9999999999991</v>
      </c>
      <c r="G156" s="433">
        <f>+q16_E_b!$F$16</f>
        <v>6858</v>
      </c>
      <c r="H156" s="433">
        <f>+q16_E_b!$G$16</f>
        <v>8502.0000000000018</v>
      </c>
      <c r="I156" s="433">
        <f>+q16_E_b!$H$16</f>
        <v>9006</v>
      </c>
      <c r="J156" s="433">
        <f>+q16_E_b!$I$16</f>
        <v>8757</v>
      </c>
      <c r="K156" s="433">
        <f>+q16_E_b!$J$16</f>
        <v>11466</v>
      </c>
      <c r="L156" s="433">
        <f>+q16_E_b!$K$16</f>
        <v>15640</v>
      </c>
      <c r="M156" s="433">
        <f>+q16_E_b!$L$16</f>
        <v>18310</v>
      </c>
      <c r="AG156" s="435"/>
      <c r="AH156" s="435"/>
      <c r="AI156" s="435"/>
      <c r="AJ156" s="435"/>
      <c r="AK156" s="881"/>
      <c r="AL156" s="881"/>
      <c r="AM156" s="881"/>
      <c r="AN156" s="881"/>
      <c r="AO156" s="881"/>
      <c r="AP156" s="881"/>
      <c r="AQ156" s="435"/>
      <c r="AR156" s="435"/>
      <c r="AS156" s="421"/>
    </row>
    <row r="157" spans="1:45">
      <c r="A157" s="422"/>
      <c r="B157" s="422" t="str">
        <f>+q16_E_b!$A$17</f>
        <v>Região de Aveiro</v>
      </c>
      <c r="C157" s="433">
        <f>+q16_E_b!$B$17</f>
        <v>2309</v>
      </c>
      <c r="D157" s="433">
        <f>+q16_E_b!$C$17</f>
        <v>2311.9999999999995</v>
      </c>
      <c r="E157" s="433">
        <f>+q16_E_b!$D$17</f>
        <v>2429</v>
      </c>
      <c r="F157" s="433">
        <f>+q16_E_b!$E$17</f>
        <v>2616</v>
      </c>
      <c r="G157" s="433">
        <f>+q16_E_b!$F$17</f>
        <v>3538.9999999999995</v>
      </c>
      <c r="H157" s="433">
        <f>+q16_E_b!$G$17</f>
        <v>4939.0000000000009</v>
      </c>
      <c r="I157" s="433">
        <f>+q16_E_b!$H$17</f>
        <v>5784.0000000000009</v>
      </c>
      <c r="J157" s="433">
        <f>+q16_E_b!$I$17</f>
        <v>6065.9999999999991</v>
      </c>
      <c r="K157" s="433">
        <f>+q16_E_b!$J$17</f>
        <v>10322</v>
      </c>
      <c r="L157" s="433">
        <f>+q16_E_b!$K$17</f>
        <v>13965</v>
      </c>
      <c r="M157" s="433">
        <f>+q16_E_b!$L$17</f>
        <v>16595</v>
      </c>
      <c r="AG157" s="435"/>
      <c r="AH157" s="435"/>
      <c r="AI157" s="435"/>
      <c r="AJ157" s="435"/>
      <c r="AK157" s="881"/>
      <c r="AL157" s="881"/>
      <c r="AM157" s="881"/>
      <c r="AN157" s="881"/>
      <c r="AO157" s="881"/>
      <c r="AP157" s="881"/>
      <c r="AQ157" s="435"/>
      <c r="AR157" s="435"/>
      <c r="AS157" s="421"/>
    </row>
    <row r="158" spans="1:45">
      <c r="A158" s="422"/>
      <c r="B158" s="422" t="str">
        <f>+q16_E_b!$A$18</f>
        <v>Região de Coimbra</v>
      </c>
      <c r="C158" s="433">
        <f>+q16_E_b!$B$18</f>
        <v>2017</v>
      </c>
      <c r="D158" s="433">
        <f>+q16_E_b!$C$18</f>
        <v>2181.0000000000005</v>
      </c>
      <c r="E158" s="433">
        <f>+q16_E_b!$D$18</f>
        <v>2257.9999999999995</v>
      </c>
      <c r="F158" s="433">
        <f>+q16_E_b!$E$18</f>
        <v>2477.9999999999995</v>
      </c>
      <c r="G158" s="433">
        <f>+q16_E_b!$F$18</f>
        <v>2776</v>
      </c>
      <c r="H158" s="433">
        <f>+q16_E_b!$G$18</f>
        <v>3640.0000000000009</v>
      </c>
      <c r="I158" s="433">
        <f>+q16_E_b!$H$18</f>
        <v>3973.9999999999995</v>
      </c>
      <c r="J158" s="433">
        <f>+q16_E_b!$I$18</f>
        <v>4436</v>
      </c>
      <c r="K158" s="433">
        <f>+q16_E_b!$J$18</f>
        <v>7026</v>
      </c>
      <c r="L158" s="433">
        <f>+q16_E_b!$K$18</f>
        <v>9698.0000000000018</v>
      </c>
      <c r="M158" s="433">
        <f>+q16_E_b!$L$18</f>
        <v>12388</v>
      </c>
      <c r="AG158" s="435"/>
      <c r="AH158" s="435"/>
      <c r="AI158" s="435"/>
      <c r="AJ158" s="435"/>
      <c r="AK158" s="881"/>
      <c r="AL158" s="881"/>
      <c r="AM158" s="435"/>
      <c r="AN158" s="881"/>
      <c r="AO158" s="881"/>
      <c r="AP158" s="881"/>
      <c r="AQ158" s="435"/>
      <c r="AR158" s="435"/>
      <c r="AS158" s="421"/>
    </row>
    <row r="159" spans="1:45">
      <c r="A159" s="422"/>
      <c r="B159" s="422" t="str">
        <f>+q16_E_b!$A$19</f>
        <v>Região de Leiria</v>
      </c>
      <c r="C159" s="433">
        <f>+q16_E_b!$B$19</f>
        <v>3297.9999999999995</v>
      </c>
      <c r="D159" s="433">
        <f>+q16_E_b!$C$19</f>
        <v>3394</v>
      </c>
      <c r="E159" s="433">
        <f>+q16_E_b!$D$19</f>
        <v>3494</v>
      </c>
      <c r="F159" s="433">
        <f>+q16_E_b!$E$19</f>
        <v>3760</v>
      </c>
      <c r="G159" s="433">
        <f>+q16_E_b!$F$19</f>
        <v>4520</v>
      </c>
      <c r="H159" s="433">
        <f>+q16_E_b!$G$19</f>
        <v>5528</v>
      </c>
      <c r="I159" s="433">
        <f>+q16_E_b!$H$19</f>
        <v>6041.9999999999991</v>
      </c>
      <c r="J159" s="433">
        <f>+q16_E_b!$I$19</f>
        <v>7051.9999999999991</v>
      </c>
      <c r="K159" s="433">
        <f>+q16_E_b!$J$19</f>
        <v>9828</v>
      </c>
      <c r="L159" s="433">
        <f>+q16_E_b!$K$19</f>
        <v>12503.000000000002</v>
      </c>
      <c r="M159" s="433">
        <f>+q16_E_b!$L$19</f>
        <v>15258</v>
      </c>
      <c r="AG159" s="508"/>
      <c r="AH159" s="508"/>
      <c r="AI159" s="508"/>
      <c r="AJ159" s="508"/>
      <c r="AK159" s="508"/>
      <c r="AL159" s="508"/>
      <c r="AM159" s="508"/>
      <c r="AN159" s="508"/>
      <c r="AO159" s="508"/>
      <c r="AP159" s="508"/>
      <c r="AQ159" s="508"/>
      <c r="AR159" s="508"/>
    </row>
    <row r="160" spans="1:45">
      <c r="A160" s="422"/>
      <c r="B160" s="422" t="str">
        <f>+q16_E_b!$A$20</f>
        <v>Viseu Dão Lafões</v>
      </c>
      <c r="C160" s="433">
        <f>+q16_E_b!$B$20</f>
        <v>975</v>
      </c>
      <c r="D160" s="433">
        <f>+q16_E_b!$C$20</f>
        <v>979</v>
      </c>
      <c r="E160" s="433">
        <f>+q16_E_b!$D$20</f>
        <v>1013</v>
      </c>
      <c r="F160" s="433">
        <f>+q16_E_b!$E$20</f>
        <v>1046</v>
      </c>
      <c r="G160" s="433">
        <f>+q16_E_b!$F$20</f>
        <v>1186</v>
      </c>
      <c r="H160" s="433">
        <f>+q16_E_b!$G$20</f>
        <v>1737</v>
      </c>
      <c r="I160" s="433">
        <f>+q16_E_b!$H$20</f>
        <v>1965.9999999999998</v>
      </c>
      <c r="J160" s="433">
        <f>+q16_E_b!$I$20</f>
        <v>2000</v>
      </c>
      <c r="K160" s="433">
        <f>+q16_E_b!$J$20</f>
        <v>3319</v>
      </c>
      <c r="L160" s="433">
        <f>+q16_E_b!$K$20</f>
        <v>4970</v>
      </c>
      <c r="M160" s="433">
        <f>+q16_E_b!$L$20</f>
        <v>6921</v>
      </c>
      <c r="AG160" s="508"/>
      <c r="AH160" s="508"/>
      <c r="AI160" s="508"/>
      <c r="AJ160" s="508"/>
      <c r="AK160" s="508"/>
      <c r="AL160" s="508"/>
      <c r="AM160" s="508"/>
      <c r="AN160" s="508"/>
      <c r="AO160" s="508"/>
      <c r="AP160" s="508"/>
      <c r="AQ160" s="508"/>
      <c r="AR160" s="508"/>
    </row>
    <row r="161" spans="1:44">
      <c r="A161" s="422"/>
      <c r="B161" s="422" t="str">
        <f>+q16_E_b!$A$21</f>
        <v>Beira Baixa</v>
      </c>
      <c r="C161" s="433">
        <f>+q16_E_b!$B$21</f>
        <v>428</v>
      </c>
      <c r="D161" s="433">
        <f>+q16_E_b!$C$21</f>
        <v>393</v>
      </c>
      <c r="E161" s="433">
        <f>+q16_E_b!$D$21</f>
        <v>368</v>
      </c>
      <c r="F161" s="433">
        <f>+q16_E_b!$E$21</f>
        <v>440</v>
      </c>
      <c r="G161" s="433">
        <f>+q16_E_b!$F$21</f>
        <v>573.00000000000011</v>
      </c>
      <c r="H161" s="433">
        <f>+q16_E_b!$G$21</f>
        <v>699.00000000000011</v>
      </c>
      <c r="I161" s="433">
        <f>+q16_E_b!$H$21</f>
        <v>708</v>
      </c>
      <c r="J161" s="433">
        <f>+q16_E_b!$I$21</f>
        <v>769</v>
      </c>
      <c r="K161" s="433">
        <f>+q16_E_b!$J$21</f>
        <v>1323</v>
      </c>
      <c r="L161" s="433">
        <f>+q16_E_b!$K$21</f>
        <v>1950</v>
      </c>
      <c r="M161" s="433">
        <f>+q16_E_b!$L$21</f>
        <v>2305</v>
      </c>
      <c r="AG161" s="508"/>
      <c r="AH161" s="508"/>
      <c r="AI161" s="508"/>
      <c r="AJ161" s="508"/>
      <c r="AK161" s="508"/>
      <c r="AL161" s="508"/>
      <c r="AM161" s="508"/>
      <c r="AN161" s="508"/>
      <c r="AO161" s="508"/>
      <c r="AP161" s="508"/>
      <c r="AQ161" s="508"/>
      <c r="AR161" s="508"/>
    </row>
    <row r="162" spans="1:44">
      <c r="A162" s="422"/>
      <c r="B162" s="422" t="str">
        <f>+q16_E_b!$A$22</f>
        <v>Médio Tejo</v>
      </c>
      <c r="C162" s="433">
        <f>+q16_E_b!$B$22</f>
        <v>1297</v>
      </c>
      <c r="D162" s="433">
        <f>+q16_E_b!$C$22</f>
        <v>1350</v>
      </c>
      <c r="E162" s="433">
        <f>+q16_E_b!$D$22</f>
        <v>1308</v>
      </c>
      <c r="F162" s="433">
        <f>+q16_E_b!$E$22</f>
        <v>1439</v>
      </c>
      <c r="G162" s="433">
        <f>+q16_E_b!$F$22</f>
        <v>1788</v>
      </c>
      <c r="H162" s="433">
        <f>+q16_E_b!$G$22</f>
        <v>2410.0000000000005</v>
      </c>
      <c r="I162" s="433">
        <f>+q16_E_b!$H$22</f>
        <v>2456</v>
      </c>
      <c r="J162" s="433">
        <f>+q16_E_b!$I$22</f>
        <v>2613</v>
      </c>
      <c r="K162" s="433">
        <f>+q16_E_b!$J$22</f>
        <v>4111</v>
      </c>
      <c r="L162" s="433">
        <f>+q16_E_b!$K$22</f>
        <v>5686.9999999999991</v>
      </c>
      <c r="M162" s="433">
        <f>+q16_E_b!$L$22</f>
        <v>7214</v>
      </c>
      <c r="AG162" s="508"/>
      <c r="AH162" s="508"/>
      <c r="AI162" s="508"/>
      <c r="AJ162" s="508"/>
      <c r="AK162" s="508"/>
      <c r="AL162" s="508"/>
      <c r="AM162" s="508"/>
      <c r="AN162" s="508"/>
      <c r="AO162" s="508"/>
      <c r="AP162" s="508"/>
      <c r="AQ162" s="508"/>
      <c r="AR162" s="508"/>
    </row>
    <row r="163" spans="1:44">
      <c r="A163" s="422"/>
      <c r="B163" s="422" t="str">
        <f>+q16_E_b!$A$23</f>
        <v>Beiras e Serra da Estrela</v>
      </c>
      <c r="C163" s="433">
        <f>+q16_E_b!$B$23</f>
        <v>582</v>
      </c>
      <c r="D163" s="433">
        <f>+q16_E_b!$C$23</f>
        <v>607.00000000000011</v>
      </c>
      <c r="E163" s="433">
        <f>+q16_E_b!$D$23</f>
        <v>589.99999999999989</v>
      </c>
      <c r="F163" s="433">
        <f>+q16_E_b!$E$23</f>
        <v>555</v>
      </c>
      <c r="G163" s="433">
        <f>+q16_E_b!$F$23</f>
        <v>714.00000000000011</v>
      </c>
      <c r="H163" s="433">
        <f>+q16_E_b!$G$23</f>
        <v>878.99999999999989</v>
      </c>
      <c r="I163" s="433">
        <f>+q16_E_b!$H$23</f>
        <v>924.99999999999989</v>
      </c>
      <c r="J163" s="433">
        <f>+q16_E_b!$I$23</f>
        <v>1109</v>
      </c>
      <c r="K163" s="433">
        <f>+q16_E_b!$J$23</f>
        <v>1768.9999999999998</v>
      </c>
      <c r="L163" s="433">
        <f>+q16_E_b!$K$23</f>
        <v>3272</v>
      </c>
      <c r="M163" s="433">
        <f>+q16_E_b!$L$23</f>
        <v>3797</v>
      </c>
      <c r="V163">
        <v>1</v>
      </c>
      <c r="AG163" s="508"/>
      <c r="AH163" s="508"/>
      <c r="AI163" s="508"/>
      <c r="AJ163" s="508"/>
      <c r="AK163" s="508"/>
      <c r="AL163" s="508"/>
      <c r="AM163" s="508"/>
      <c r="AN163" s="508"/>
      <c r="AO163" s="508"/>
      <c r="AP163" s="508"/>
      <c r="AQ163" s="508"/>
      <c r="AR163" s="508"/>
    </row>
    <row r="164" spans="1:44">
      <c r="A164" s="422"/>
      <c r="B164" s="422" t="str">
        <f>+q16_E_b!$A$24</f>
        <v>Área Metropolitana de Lisboa</v>
      </c>
      <c r="C164" s="433">
        <f>+q16_E_b!$B$24</f>
        <v>59933.000000000015</v>
      </c>
      <c r="D164" s="433">
        <f>+q16_E_b!$C$24</f>
        <v>62464</v>
      </c>
      <c r="E164" s="433">
        <f>+q16_E_b!$D$24</f>
        <v>69696.999999999985</v>
      </c>
      <c r="F164" s="433">
        <f>+q16_E_b!$E$24</f>
        <v>73738</v>
      </c>
      <c r="G164" s="433">
        <f>+q16_E_b!$F$24</f>
        <v>87013</v>
      </c>
      <c r="H164" s="433">
        <f>+q16_E_b!$G$24</f>
        <v>103740</v>
      </c>
      <c r="I164" s="433">
        <f>+q16_E_b!$H$24</f>
        <v>104861.99999999999</v>
      </c>
      <c r="J164" s="433">
        <f>+q16_E_b!$I$24</f>
        <v>109691</v>
      </c>
      <c r="K164" s="433">
        <f>+q16_E_b!$J$24</f>
        <v>146528.99999999997</v>
      </c>
      <c r="L164" s="433">
        <f>+q16_E_b!$K$24</f>
        <v>183951.00000000003</v>
      </c>
      <c r="M164" s="433">
        <f>+q16_E_b!$L$24</f>
        <v>225406.00000000003</v>
      </c>
      <c r="AG164" s="508"/>
      <c r="AH164" s="508"/>
      <c r="AI164" s="508"/>
      <c r="AJ164" s="508"/>
      <c r="AK164" s="508"/>
      <c r="AL164" s="508"/>
      <c r="AM164" s="508"/>
      <c r="AN164" s="508"/>
      <c r="AO164" s="508"/>
      <c r="AP164" s="508"/>
      <c r="AQ164" s="508"/>
      <c r="AR164" s="508"/>
    </row>
    <row r="165" spans="1:44" ht="12.75" customHeight="1">
      <c r="A165" s="422"/>
      <c r="B165" s="422" t="str">
        <f>+q16_E_b!$A$26</f>
        <v>Alentejo Litoral</v>
      </c>
      <c r="C165" s="433">
        <f>+q16_E_b!$B$26</f>
        <v>2196</v>
      </c>
      <c r="D165" s="433">
        <f>+q16_E_b!$C$26</f>
        <v>2940</v>
      </c>
      <c r="E165" s="433">
        <f>+q16_E_b!$D$26</f>
        <v>3624</v>
      </c>
      <c r="F165" s="433">
        <f>+q16_E_b!$E$26</f>
        <v>4439.9999999999991</v>
      </c>
      <c r="G165" s="433">
        <f>+q16_E_b!$F$26</f>
        <v>5219</v>
      </c>
      <c r="H165" s="433">
        <f>+q16_E_b!$G$26</f>
        <v>6854</v>
      </c>
      <c r="I165" s="433">
        <f>+q16_E_b!$H$26</f>
        <v>10026</v>
      </c>
      <c r="J165" s="433">
        <f>+q16_E_b!$I$26</f>
        <v>9885</v>
      </c>
      <c r="K165" s="433">
        <f>+q16_E_b!$J$26</f>
        <v>11408</v>
      </c>
      <c r="L165" s="433">
        <f>+q16_E_b!$K$26</f>
        <v>12212</v>
      </c>
      <c r="M165" s="433">
        <f>+q16_E_b!$L$26</f>
        <v>13062</v>
      </c>
      <c r="V165" s="421" t="s">
        <v>916</v>
      </c>
      <c r="W165" s="421" t="s">
        <v>525</v>
      </c>
      <c r="X165" s="421"/>
      <c r="Y165" s="421"/>
      <c r="Z165" s="421"/>
      <c r="AA165" s="421"/>
      <c r="AD165" s="942" t="s">
        <v>952</v>
      </c>
      <c r="AE165" s="942"/>
      <c r="AF165" s="942"/>
      <c r="AG165" s="942"/>
      <c r="AH165" s="508"/>
      <c r="AI165" s="508"/>
      <c r="AJ165" s="508"/>
      <c r="AK165" s="508"/>
      <c r="AL165" s="508"/>
      <c r="AM165" s="508"/>
      <c r="AN165" s="508"/>
      <c r="AO165" s="508"/>
      <c r="AP165" s="508"/>
      <c r="AQ165" s="508"/>
      <c r="AR165" s="508"/>
    </row>
    <row r="166" spans="1:44">
      <c r="A166" s="422"/>
      <c r="B166" s="422" t="str">
        <f>+q16_E_b!$A$27</f>
        <v>Baixo Alentejo</v>
      </c>
      <c r="C166" s="433">
        <f>+q16_E_b!$B$27</f>
        <v>961</v>
      </c>
      <c r="D166" s="433">
        <f>+q16_E_b!$C$27</f>
        <v>984.00000000000023</v>
      </c>
      <c r="E166" s="433">
        <f>+q16_E_b!$D$27</f>
        <v>1091.0000000000002</v>
      </c>
      <c r="F166" s="433">
        <f>+q16_E_b!$E$27</f>
        <v>1196</v>
      </c>
      <c r="G166" s="433">
        <f>+q16_E_b!$F$27</f>
        <v>1242</v>
      </c>
      <c r="H166" s="433">
        <f>+q16_E_b!$G$27</f>
        <v>2118</v>
      </c>
      <c r="I166" s="433">
        <f>+q16_E_b!$H$27</f>
        <v>2298</v>
      </c>
      <c r="J166" s="433">
        <f>+q16_E_b!$I$27</f>
        <v>2378</v>
      </c>
      <c r="K166" s="433">
        <f>+q16_E_b!$J$27</f>
        <v>3794.9999999999991</v>
      </c>
      <c r="L166" s="433">
        <f>+q16_E_b!$K$27</f>
        <v>4535</v>
      </c>
      <c r="M166" s="433">
        <f>+q16_E_b!$L$27</f>
        <v>5654.0000000000009</v>
      </c>
      <c r="V166" s="421"/>
      <c r="W166" s="422">
        <f>INDEX($P$95:$P$105,$W$91)</f>
        <v>2024</v>
      </c>
      <c r="X166" s="421"/>
      <c r="Y166" s="421"/>
      <c r="Z166" s="421"/>
      <c r="AA166" s="421"/>
      <c r="AD166" s="942"/>
      <c r="AE166" s="942"/>
      <c r="AF166" s="942"/>
      <c r="AG166" s="942"/>
      <c r="AH166" s="508"/>
      <c r="AI166" s="508"/>
      <c r="AJ166" s="508"/>
      <c r="AK166" s="508"/>
      <c r="AL166" s="508"/>
      <c r="AM166" s="508"/>
      <c r="AN166" s="508"/>
      <c r="AO166" s="508"/>
      <c r="AP166" s="508"/>
      <c r="AQ166" s="508"/>
      <c r="AR166" s="508"/>
    </row>
    <row r="167" spans="1:44">
      <c r="A167" s="422"/>
      <c r="B167" s="422" t="str">
        <f>+q16_E_b!$A$28</f>
        <v>Lezíria do Tejo</v>
      </c>
      <c r="C167" s="433">
        <f>+q16_E_b!$B$28</f>
        <v>3079.0000000000005</v>
      </c>
      <c r="D167" s="433">
        <f>+q16_E_b!$C$28</f>
        <v>2998</v>
      </c>
      <c r="E167" s="433">
        <f>+q16_E_b!$D$28</f>
        <v>3572</v>
      </c>
      <c r="F167" s="433">
        <f>+q16_E_b!$E$28</f>
        <v>3951.9999999999991</v>
      </c>
      <c r="G167" s="433">
        <f>+q16_E_b!$F$28</f>
        <v>5196.0000000000009</v>
      </c>
      <c r="H167" s="433">
        <f>+q16_E_b!$G$28</f>
        <v>6583</v>
      </c>
      <c r="I167" s="433">
        <f>+q16_E_b!$H$28</f>
        <v>8374</v>
      </c>
      <c r="J167" s="433">
        <f>+q16_E_b!$I$28</f>
        <v>8787</v>
      </c>
      <c r="K167" s="433">
        <f>+q16_E_b!$J$28</f>
        <v>10822</v>
      </c>
      <c r="L167" s="433">
        <f>+q16_E_b!$K$28</f>
        <v>12671</v>
      </c>
      <c r="M167" s="433">
        <f>+q16_E_b!$L$28</f>
        <v>15731</v>
      </c>
      <c r="V167" s="421"/>
      <c r="W167" s="421"/>
      <c r="X167" s="502" t="s">
        <v>182</v>
      </c>
      <c r="Y167" s="398" t="s">
        <v>320</v>
      </c>
      <c r="Z167" s="398" t="s">
        <v>322</v>
      </c>
      <c r="AA167" s="421"/>
      <c r="AD167" s="942"/>
      <c r="AE167" s="942"/>
      <c r="AF167" s="942"/>
      <c r="AG167" s="942"/>
      <c r="AH167" s="508"/>
      <c r="AI167" s="508"/>
      <c r="AJ167" s="508"/>
      <c r="AK167" s="508"/>
      <c r="AL167" s="508"/>
      <c r="AM167" s="508"/>
      <c r="AN167" s="508"/>
      <c r="AO167" s="508"/>
      <c r="AP167" s="508"/>
      <c r="AQ167" s="508"/>
      <c r="AR167" s="508"/>
    </row>
    <row r="168" spans="1:44">
      <c r="A168" s="422"/>
      <c r="B168" s="422" t="str">
        <f>+q16_E_b!$A$29</f>
        <v>Alto Alentejo</v>
      </c>
      <c r="C168" s="433">
        <f>+q16_E_b!$B$29</f>
        <v>621.99999999999989</v>
      </c>
      <c r="D168" s="433">
        <f>+q16_E_b!$C$29</f>
        <v>657.99999999999989</v>
      </c>
      <c r="E168" s="433">
        <f>+q16_E_b!$D$29</f>
        <v>923</v>
      </c>
      <c r="F168" s="433">
        <f>+q16_E_b!$E$29</f>
        <v>1149</v>
      </c>
      <c r="G168" s="433">
        <f>+q16_E_b!$F$29</f>
        <v>784</v>
      </c>
      <c r="H168" s="433">
        <f>+q16_E_b!$G$29</f>
        <v>1303</v>
      </c>
      <c r="I168" s="433">
        <f>+q16_E_b!$H$29</f>
        <v>1359</v>
      </c>
      <c r="J168" s="433">
        <f>+q16_E_b!$I$29</f>
        <v>839</v>
      </c>
      <c r="K168" s="433">
        <f>+q16_E_b!$J$29</f>
        <v>1091</v>
      </c>
      <c r="L168" s="433">
        <f>+q16_E_b!$K$29</f>
        <v>1952.9999999999998</v>
      </c>
      <c r="M168" s="433">
        <f>+q16_E_b!$L$29</f>
        <v>1982</v>
      </c>
      <c r="V168" s="943" t="s">
        <v>496</v>
      </c>
      <c r="W168" s="422" t="str">
        <f>+q16_E_b!$A$7</f>
        <v>Alto Minho</v>
      </c>
      <c r="X168" s="433">
        <f>INDEX($B$147:$M$171,MATCH($W$168:$W$191,$B$147:$B$171,0),MATCH($W$166,$B$147:$M$147,0))</f>
        <v>8918</v>
      </c>
      <c r="Y168" s="446">
        <f>+X168/$X$191*100</f>
        <v>1.7493717915269829</v>
      </c>
      <c r="Z168" s="436">
        <f>RANK(X168,$X$168:$X$190,0)</f>
        <v>11</v>
      </c>
      <c r="AA168" s="421" t="str">
        <f t="shared" ref="AA168:AA190" si="39">+W168</f>
        <v>Alto Minho</v>
      </c>
      <c r="AD168" s="942"/>
      <c r="AE168" s="942"/>
      <c r="AF168" s="942"/>
      <c r="AG168" s="942"/>
      <c r="AH168" s="508"/>
      <c r="AI168" s="508"/>
      <c r="AJ168" s="508"/>
      <c r="AK168" s="508"/>
      <c r="AL168" s="508"/>
      <c r="AM168" s="508"/>
      <c r="AN168" s="508"/>
      <c r="AO168" s="508"/>
      <c r="AP168" s="508"/>
      <c r="AQ168" s="508"/>
      <c r="AR168" s="508"/>
    </row>
    <row r="169" spans="1:44">
      <c r="A169" s="422"/>
      <c r="B169" s="422" t="str">
        <f>+q16_E_b!$A$30</f>
        <v>Alentejo Central</v>
      </c>
      <c r="C169" s="433">
        <f>+q16_E_b!$B$30</f>
        <v>1011.0000000000001</v>
      </c>
      <c r="D169" s="433">
        <f>+q16_E_b!$C$30</f>
        <v>1059</v>
      </c>
      <c r="E169" s="433">
        <f>+q16_E_b!$D$30</f>
        <v>1154.9999999999998</v>
      </c>
      <c r="F169" s="433">
        <f>+q16_E_b!$E$30</f>
        <v>1363.0000000000002</v>
      </c>
      <c r="G169" s="433">
        <f>+q16_E_b!$F$30</f>
        <v>1577.0000000000002</v>
      </c>
      <c r="H169" s="433">
        <f>+q16_E_b!$G$30</f>
        <v>1928</v>
      </c>
      <c r="I169" s="433">
        <f>+q16_E_b!$H$30</f>
        <v>1992.9999999999995</v>
      </c>
      <c r="J169" s="433">
        <f>+q16_E_b!$I$30</f>
        <v>2121.0000000000005</v>
      </c>
      <c r="K169" s="433">
        <f>+q16_E_b!$J$30</f>
        <v>3045</v>
      </c>
      <c r="L169" s="433">
        <f>+q16_E_b!$K$30</f>
        <v>4019</v>
      </c>
      <c r="M169" s="433">
        <f>+q16_E_b!$L$30</f>
        <v>4770</v>
      </c>
      <c r="V169" s="943"/>
      <c r="W169" s="422" t="str">
        <f>+q16_E_b!$A$8</f>
        <v>Cávado</v>
      </c>
      <c r="X169" s="433">
        <f t="shared" ref="X169:X191" si="40">INDEX($B$147:$M$171,MATCH($W$168:$W$191,$B$147:$B$171,0),MATCH($W$166,$B$147:$M$147,0))</f>
        <v>16614.999999999996</v>
      </c>
      <c r="Y169" s="446">
        <f t="shared" ref="Y169:Y191" si="41">+X169/$X$191*100</f>
        <v>3.2592299076273616</v>
      </c>
      <c r="Z169" s="436">
        <f t="shared" ref="Z169:Z190" si="42">RANK(X169,$X$168:$X$190,0)</f>
        <v>5</v>
      </c>
      <c r="AA169" s="421" t="str">
        <f t="shared" si="39"/>
        <v>Cávado</v>
      </c>
      <c r="AD169" s="942"/>
      <c r="AE169" s="942"/>
      <c r="AF169" s="942"/>
      <c r="AG169" s="942"/>
      <c r="AH169" s="508"/>
      <c r="AI169" s="508"/>
      <c r="AJ169" s="508"/>
      <c r="AK169" s="508"/>
      <c r="AL169" s="508"/>
      <c r="AM169" s="508"/>
      <c r="AN169" s="508"/>
      <c r="AO169" s="508"/>
      <c r="AP169" s="508"/>
      <c r="AQ169" s="508"/>
      <c r="AR169" s="508"/>
    </row>
    <row r="170" spans="1:44">
      <c r="A170" s="422"/>
      <c r="B170" s="422" t="str">
        <f>+q16_E_b!$A$31</f>
        <v>Algarve</v>
      </c>
      <c r="C170" s="433">
        <f>+q16_E_b!$B$31</f>
        <v>14790.000000000004</v>
      </c>
      <c r="D170" s="433">
        <f>+q16_E_b!$C$31</f>
        <v>15565.000000000005</v>
      </c>
      <c r="E170" s="433">
        <f>+q16_E_b!$D$31</f>
        <v>17115</v>
      </c>
      <c r="F170" s="433">
        <f>+q16_E_b!$E$31</f>
        <v>19795</v>
      </c>
      <c r="G170" s="433">
        <f>+q16_E_b!$F$31</f>
        <v>24122</v>
      </c>
      <c r="H170" s="433">
        <f>+q16_E_b!$G$31</f>
        <v>29269.999999999993</v>
      </c>
      <c r="I170" s="433">
        <f>+q16_E_b!$H$31</f>
        <v>24212</v>
      </c>
      <c r="J170" s="433">
        <f>+q16_E_b!$I$31</f>
        <v>25073.000000000004</v>
      </c>
      <c r="K170" s="433">
        <f>+q16_E_b!$J$31</f>
        <v>34702</v>
      </c>
      <c r="L170" s="433">
        <f>+q16_E_b!$K$31</f>
        <v>43171.000000000007</v>
      </c>
      <c r="M170" s="433">
        <f>+q16_E_b!$L$31</f>
        <v>52164.000000000007</v>
      </c>
      <c r="V170" s="943"/>
      <c r="W170" s="422" t="str">
        <f>+q16_E_b!$A$9</f>
        <v>Ave</v>
      </c>
      <c r="X170" s="433">
        <f t="shared" si="40"/>
        <v>8530</v>
      </c>
      <c r="Y170" s="446">
        <f t="shared" si="41"/>
        <v>1.6732609757485042</v>
      </c>
      <c r="Z170" s="436">
        <f t="shared" si="42"/>
        <v>13</v>
      </c>
      <c r="AA170" s="421" t="str">
        <f t="shared" si="39"/>
        <v>Ave</v>
      </c>
      <c r="AG170" s="508"/>
      <c r="AH170" s="508"/>
      <c r="AI170" s="508"/>
      <c r="AJ170" s="508"/>
      <c r="AK170" s="508"/>
      <c r="AL170" s="508"/>
      <c r="AM170" s="508"/>
      <c r="AN170" s="508"/>
      <c r="AO170" s="508"/>
      <c r="AP170" s="508"/>
      <c r="AQ170" s="508"/>
      <c r="AR170" s="508"/>
    </row>
    <row r="171" spans="1:44">
      <c r="A171" s="422"/>
      <c r="B171" s="422" t="s">
        <v>13</v>
      </c>
      <c r="C171" s="433">
        <f>+q16_E_b!$B$5</f>
        <v>110390.99999999996</v>
      </c>
      <c r="D171" s="433">
        <f>+q16_E_b!$C$5</f>
        <v>116010.9999999999</v>
      </c>
      <c r="E171" s="433">
        <f>+q16_E_b!$D$5</f>
        <v>127236.00000000019</v>
      </c>
      <c r="F171" s="433">
        <f>+q16_E_b!$E$5</f>
        <v>140295.00000000003</v>
      </c>
      <c r="G171" s="433">
        <f>+q16_E_b!$F$5</f>
        <v>169294.99999999988</v>
      </c>
      <c r="H171" s="433">
        <f>+q16_E_b!$G$5</f>
        <v>210582.99999999997</v>
      </c>
      <c r="I171" s="433">
        <f>+q16_E_b!$H$5</f>
        <v>217760.99999999983</v>
      </c>
      <c r="J171" s="433">
        <f>+q16_E_b!$I$5</f>
        <v>228523.00000000006</v>
      </c>
      <c r="K171" s="433">
        <f>+q16_E_b!$J$5</f>
        <v>322028.00000000017</v>
      </c>
      <c r="L171" s="433">
        <f>+q16_E_b!$K$5</f>
        <v>414782.99999999994</v>
      </c>
      <c r="M171" s="433">
        <f>+q16_E_b!$L$5</f>
        <v>509783.00000000012</v>
      </c>
      <c r="V171" s="943"/>
      <c r="W171" s="422" t="str">
        <f>+q16_E_b!$A$10</f>
        <v>Área Metropolitana do Porto</v>
      </c>
      <c r="X171" s="433">
        <f t="shared" si="40"/>
        <v>59436</v>
      </c>
      <c r="Y171" s="446">
        <f t="shared" si="41"/>
        <v>11.659078470643388</v>
      </c>
      <c r="Z171" s="436">
        <f t="shared" si="42"/>
        <v>2</v>
      </c>
      <c r="AA171" s="421" t="str">
        <f t="shared" si="39"/>
        <v>Área Metropolitana do Porto</v>
      </c>
      <c r="AG171" s="508"/>
      <c r="AH171" s="508"/>
      <c r="AI171" s="508"/>
      <c r="AJ171" s="508"/>
      <c r="AK171" s="508"/>
      <c r="AL171" s="508"/>
      <c r="AM171" s="508"/>
      <c r="AN171" s="508"/>
      <c r="AO171" s="508"/>
      <c r="AP171" s="508"/>
      <c r="AQ171" s="508"/>
      <c r="AR171" s="508"/>
    </row>
    <row r="172" spans="1:44">
      <c r="V172" s="943"/>
      <c r="W172" s="422" t="str">
        <f>+q16_E_b!$A$11</f>
        <v>Alto Tâmega</v>
      </c>
      <c r="X172" s="433">
        <f t="shared" si="40"/>
        <v>1000.9999999999999</v>
      </c>
      <c r="Y172" s="446">
        <f t="shared" si="41"/>
        <v>0.19635805823262051</v>
      </c>
      <c r="Z172" s="436">
        <f t="shared" si="42"/>
        <v>23</v>
      </c>
      <c r="AA172" s="421" t="str">
        <f t="shared" si="39"/>
        <v>Alto Tâmega</v>
      </c>
    </row>
    <row r="173" spans="1:44">
      <c r="V173" s="943"/>
      <c r="W173" s="422" t="str">
        <f>+q16_E_b!$A$12</f>
        <v>Tâmega e Sousa</v>
      </c>
      <c r="X173" s="433">
        <f t="shared" si="40"/>
        <v>8817</v>
      </c>
      <c r="Y173" s="446">
        <f t="shared" si="41"/>
        <v>1.729559439997018</v>
      </c>
      <c r="Z173" s="436">
        <f t="shared" si="42"/>
        <v>12</v>
      </c>
      <c r="AA173" s="421" t="str">
        <f t="shared" si="39"/>
        <v>Tâmega e Sousa</v>
      </c>
    </row>
    <row r="174" spans="1:44">
      <c r="V174" s="943"/>
      <c r="W174" s="422" t="str">
        <f>+q16_E_b!$A$13</f>
        <v>Douro</v>
      </c>
      <c r="X174" s="433">
        <f t="shared" si="40"/>
        <v>3321.0000000000005</v>
      </c>
      <c r="Y174" s="446">
        <f t="shared" si="41"/>
        <v>0.65145365773280006</v>
      </c>
      <c r="Z174" s="436">
        <f t="shared" si="42"/>
        <v>19</v>
      </c>
      <c r="AA174" s="421" t="str">
        <f t="shared" si="39"/>
        <v>Douro</v>
      </c>
    </row>
    <row r="175" spans="1:44">
      <c r="V175" s="943"/>
      <c r="W175" s="422" t="str">
        <f>+q16_E_b!$A$14</f>
        <v>Terras de Trás-os-Montes</v>
      </c>
      <c r="X175" s="433">
        <f t="shared" si="40"/>
        <v>1588</v>
      </c>
      <c r="Y175" s="446">
        <f t="shared" si="41"/>
        <v>0.31150509138201932</v>
      </c>
      <c r="Z175" s="436">
        <f t="shared" si="42"/>
        <v>22</v>
      </c>
      <c r="AA175" s="421" t="str">
        <f t="shared" si="39"/>
        <v>Terras de Trás-os-Montes</v>
      </c>
    </row>
    <row r="176" spans="1:44">
      <c r="V176" s="943" t="s">
        <v>505</v>
      </c>
      <c r="W176" s="422" t="str">
        <f>+q16_E_b!$A$16</f>
        <v>Oeste</v>
      </c>
      <c r="X176" s="433">
        <f t="shared" si="40"/>
        <v>18310</v>
      </c>
      <c r="Y176" s="446">
        <f t="shared" si="41"/>
        <v>3.591724321917364</v>
      </c>
      <c r="Z176" s="436">
        <f t="shared" si="42"/>
        <v>4</v>
      </c>
      <c r="AA176" s="421" t="str">
        <f t="shared" si="39"/>
        <v>Oeste</v>
      </c>
    </row>
    <row r="177" spans="1:27">
      <c r="A177" s="628" t="s">
        <v>918</v>
      </c>
      <c r="B177" s="628"/>
      <c r="C177" s="628"/>
      <c r="V177" s="943"/>
      <c r="W177" s="422" t="str">
        <f>+q16_E_b!$A$17</f>
        <v>Região de Aveiro</v>
      </c>
      <c r="X177" s="433">
        <f t="shared" si="40"/>
        <v>16595</v>
      </c>
      <c r="Y177" s="446">
        <f t="shared" si="41"/>
        <v>3.2553066697006368</v>
      </c>
      <c r="Z177" s="436">
        <f t="shared" si="42"/>
        <v>6</v>
      </c>
      <c r="AA177" s="421" t="str">
        <f t="shared" si="39"/>
        <v>Região de Aveiro</v>
      </c>
    </row>
    <row r="178" spans="1:27">
      <c r="A178" s="628" t="s">
        <v>832</v>
      </c>
      <c r="V178" s="943"/>
      <c r="W178" s="422" t="str">
        <f>+q16_E_b!$A$18</f>
        <v>Região de Coimbra</v>
      </c>
      <c r="X178" s="433">
        <f t="shared" si="40"/>
        <v>12388</v>
      </c>
      <c r="Y178" s="446">
        <f t="shared" si="41"/>
        <v>2.4300535718138891</v>
      </c>
      <c r="Z178" s="436">
        <f t="shared" si="42"/>
        <v>10</v>
      </c>
      <c r="AA178" s="421" t="str">
        <f t="shared" si="39"/>
        <v>Região de Coimbra</v>
      </c>
    </row>
    <row r="179" spans="1:27">
      <c r="A179" s="461" t="s">
        <v>343</v>
      </c>
      <c r="B179" s="453"/>
      <c r="C179" s="423">
        <f>+q27_E!$C$4</f>
        <v>2014</v>
      </c>
      <c r="D179" s="423">
        <f>+q27_E!$D$4</f>
        <v>2015</v>
      </c>
      <c r="E179" s="423">
        <f>+q27_E!$E$4</f>
        <v>2016</v>
      </c>
      <c r="F179" s="423">
        <f>+q27_E!$F$4</f>
        <v>2017</v>
      </c>
      <c r="G179" s="423">
        <f>+q27_E!$G$4</f>
        <v>2018</v>
      </c>
      <c r="H179" s="423">
        <f>+q27_E!$H$4</f>
        <v>2019</v>
      </c>
      <c r="I179" s="423">
        <f>+q27_E!$I$4</f>
        <v>2020</v>
      </c>
      <c r="J179" s="423">
        <f>+q27_E!$J$4</f>
        <v>2021</v>
      </c>
      <c r="K179" s="423">
        <f>+q27_E!$K$4</f>
        <v>2022</v>
      </c>
      <c r="L179" s="423">
        <f>+q27_E!$L$4</f>
        <v>2023</v>
      </c>
      <c r="M179" s="423">
        <f>+q27_E!$M$4</f>
        <v>2024</v>
      </c>
      <c r="V179" s="943"/>
      <c r="W179" s="422" t="str">
        <f>+q16_E_b!$A$19</f>
        <v>Região de Leiria</v>
      </c>
      <c r="X179" s="433">
        <f t="shared" si="40"/>
        <v>15258</v>
      </c>
      <c r="Y179" s="446">
        <f t="shared" si="41"/>
        <v>2.9930382142990246</v>
      </c>
      <c r="Z179" s="436">
        <f t="shared" si="42"/>
        <v>8</v>
      </c>
      <c r="AA179" s="421" t="str">
        <f t="shared" si="39"/>
        <v>Região de Leiria</v>
      </c>
    </row>
    <row r="180" spans="1:27">
      <c r="A180" s="461" t="s">
        <v>115</v>
      </c>
      <c r="B180" s="453" t="str">
        <f>+Aux!$B$107</f>
        <v>Quadros superiores</v>
      </c>
      <c r="C180" s="458">
        <f>+q27_E!$C$9</f>
        <v>3315.61</v>
      </c>
      <c r="D180" s="458">
        <f>+q27_E!$D$9</f>
        <v>3302.01</v>
      </c>
      <c r="E180" s="458">
        <f>+q27_E!$E$9</f>
        <v>3384.92</v>
      </c>
      <c r="F180" s="458">
        <f>+q27_E!$F$9</f>
        <v>3517.15</v>
      </c>
      <c r="G180" s="458">
        <f>+q27_E!$G$9</f>
        <v>3347.95</v>
      </c>
      <c r="H180" s="458">
        <f>+q27_E!$H$9</f>
        <v>3114</v>
      </c>
      <c r="I180" s="458">
        <f>+q27_E!$I$9</f>
        <v>3173.57</v>
      </c>
      <c r="J180" s="458">
        <f>+q27_E!$J$9</f>
        <v>3124.34</v>
      </c>
      <c r="K180" s="458">
        <f>+q27_E!$K$9</f>
        <v>3240.95</v>
      </c>
      <c r="L180" s="458">
        <f>+q27_E!$L$9</f>
        <v>3469.91</v>
      </c>
      <c r="M180" s="458">
        <f>+q27_E!$M$9</f>
        <v>3670.58</v>
      </c>
      <c r="V180" s="943"/>
      <c r="W180" s="422" t="str">
        <f>+q16_E_b!$A$20</f>
        <v>Viseu Dão Lafões</v>
      </c>
      <c r="X180" s="433">
        <f t="shared" si="40"/>
        <v>6921</v>
      </c>
      <c r="Y180" s="446">
        <f t="shared" si="41"/>
        <v>1.357636484543423</v>
      </c>
      <c r="Z180" s="436">
        <f t="shared" si="42"/>
        <v>15</v>
      </c>
      <c r="AA180" s="421" t="str">
        <f t="shared" si="39"/>
        <v>Viseu Dão Lafões</v>
      </c>
    </row>
    <row r="181" spans="1:27">
      <c r="A181" s="453"/>
      <c r="B181" s="453" t="str">
        <f>+Aux!$B$108</f>
        <v>Quadros médios</v>
      </c>
      <c r="C181" s="458">
        <f>+q27_E!$C$12</f>
        <v>1606.46</v>
      </c>
      <c r="D181" s="458">
        <f>+q27_E!$D$12</f>
        <v>1645.4</v>
      </c>
      <c r="E181" s="458">
        <f>+q27_E!$E$12</f>
        <v>1646.75</v>
      </c>
      <c r="F181" s="458">
        <f>+q27_E!$F$12</f>
        <v>1803.82</v>
      </c>
      <c r="G181" s="458">
        <f>+q27_E!$G$12</f>
        <v>1661.36</v>
      </c>
      <c r="H181" s="458">
        <f>+q27_E!$H$12</f>
        <v>1701.14</v>
      </c>
      <c r="I181" s="458">
        <f>+q27_E!$I$12</f>
        <v>1864.55</v>
      </c>
      <c r="J181" s="458">
        <f>+q27_E!$J$12</f>
        <v>1857.41</v>
      </c>
      <c r="K181" s="458">
        <f>+q27_E!$K$12</f>
        <v>2067.34</v>
      </c>
      <c r="L181" s="458">
        <f>+q27_E!$L$12</f>
        <v>2190.85</v>
      </c>
      <c r="M181" s="458">
        <f>+q27_E!$M$12</f>
        <v>2239.0700000000002</v>
      </c>
      <c r="V181" s="943"/>
      <c r="W181" s="422" t="str">
        <f>+q16_E_b!$A$21</f>
        <v>Beira Baixa</v>
      </c>
      <c r="X181" s="433">
        <f t="shared" si="40"/>
        <v>2305</v>
      </c>
      <c r="Y181" s="446">
        <f t="shared" si="41"/>
        <v>0.45215317105513508</v>
      </c>
      <c r="Z181" s="436">
        <f t="shared" si="42"/>
        <v>20</v>
      </c>
      <c r="AA181" s="421" t="str">
        <f t="shared" si="39"/>
        <v>Beira Baixa</v>
      </c>
    </row>
    <row r="182" spans="1:27">
      <c r="A182" s="453"/>
      <c r="B182" s="453" t="str">
        <f>+Aux!$B$109</f>
        <v>Encarregados, contramestres e chefes de equipa</v>
      </c>
      <c r="C182" s="458">
        <f>+q27_E!$C$15</f>
        <v>1445.29</v>
      </c>
      <c r="D182" s="458">
        <f>+q27_E!$D$15</f>
        <v>1452.15</v>
      </c>
      <c r="E182" s="458">
        <f>+q27_E!$E$15</f>
        <v>1524.6</v>
      </c>
      <c r="F182" s="458">
        <f>+q27_E!$F$15</f>
        <v>1544.08</v>
      </c>
      <c r="G182" s="458">
        <f>+q27_E!$G$15</f>
        <v>1573.92</v>
      </c>
      <c r="H182" s="458">
        <f>+q27_E!$H$15</f>
        <v>1611.7</v>
      </c>
      <c r="I182" s="458">
        <f>+q27_E!$I$15</f>
        <v>1733.15</v>
      </c>
      <c r="J182" s="458">
        <f>+q27_E!$J$15</f>
        <v>1800.27</v>
      </c>
      <c r="K182" s="458">
        <f>+q27_E!$K$15</f>
        <v>1853.3</v>
      </c>
      <c r="L182" s="458">
        <f>+q27_E!$L$15</f>
        <v>1943.09</v>
      </c>
      <c r="M182" s="458">
        <f>+q27_E!$M$15</f>
        <v>2008.05</v>
      </c>
      <c r="V182" s="943"/>
      <c r="W182" s="422" t="str">
        <f>+q16_E_b!$A$22</f>
        <v>Médio Tejo</v>
      </c>
      <c r="X182" s="433">
        <f t="shared" si="40"/>
        <v>7214</v>
      </c>
      <c r="Y182" s="446">
        <f t="shared" si="41"/>
        <v>1.4151119201699542</v>
      </c>
      <c r="Z182" s="436">
        <f t="shared" si="42"/>
        <v>14</v>
      </c>
      <c r="AA182" s="421" t="str">
        <f t="shared" si="39"/>
        <v>Médio Tejo</v>
      </c>
    </row>
    <row r="183" spans="1:27">
      <c r="A183" s="453"/>
      <c r="B183" s="453" t="str">
        <f>+Aux!$B$110</f>
        <v>Profissionais altamente qualificados</v>
      </c>
      <c r="C183" s="458">
        <f>+q27_E!$C$18</f>
        <v>3197.94</v>
      </c>
      <c r="D183" s="458">
        <f>+q27_E!$D$18</f>
        <v>4175.79</v>
      </c>
      <c r="E183" s="458">
        <f>+q27_E!$E$18</f>
        <v>4407.2299999999996</v>
      </c>
      <c r="F183" s="458">
        <f>+q27_E!$F$18</f>
        <v>4264.63</v>
      </c>
      <c r="G183" s="458">
        <f>+q27_E!$G$18</f>
        <v>3688.01</v>
      </c>
      <c r="H183" s="458">
        <f>+q27_E!$H$18</f>
        <v>2815.71</v>
      </c>
      <c r="I183" s="458">
        <f>+q27_E!$I$18</f>
        <v>2991.96</v>
      </c>
      <c r="J183" s="458">
        <f>+q27_E!$J$18</f>
        <v>2572</v>
      </c>
      <c r="K183" s="458">
        <f>+q27_E!$K$18</f>
        <v>2263.31</v>
      </c>
      <c r="L183" s="458">
        <f>+q27_E!$L$18</f>
        <v>2321.7399999999998</v>
      </c>
      <c r="M183" s="458">
        <f>+q27_E!$M$18</f>
        <v>2180.5300000000002</v>
      </c>
      <c r="V183" s="943"/>
      <c r="W183" s="422" t="str">
        <f>+q16_E_b!$A$23</f>
        <v>Beiras e Serra da Estrela</v>
      </c>
      <c r="X183" s="433">
        <f t="shared" si="40"/>
        <v>3797</v>
      </c>
      <c r="Y183" s="446">
        <f t="shared" si="41"/>
        <v>0.74482672038887121</v>
      </c>
      <c r="Z183" s="436">
        <f t="shared" si="42"/>
        <v>18</v>
      </c>
      <c r="AA183" s="421" t="str">
        <f t="shared" si="39"/>
        <v>Beiras e Serra da Estrela</v>
      </c>
    </row>
    <row r="184" spans="1:27">
      <c r="A184" s="453"/>
      <c r="B184" s="453" t="str">
        <f>+Aux!$B$111</f>
        <v>Profissionais qualificados</v>
      </c>
      <c r="C184" s="458">
        <f>+q27_E!$C$21</f>
        <v>690.06</v>
      </c>
      <c r="D184" s="458">
        <f>+q27_E!$D$21</f>
        <v>699.45</v>
      </c>
      <c r="E184" s="458">
        <f>+q27_E!$E$21</f>
        <v>694.41</v>
      </c>
      <c r="F184" s="458">
        <f>+q27_E!$F$21</f>
        <v>699.37</v>
      </c>
      <c r="G184" s="458">
        <f>+q27_E!$G$21</f>
        <v>727.69</v>
      </c>
      <c r="H184" s="458">
        <f>+q27_E!$H$21</f>
        <v>764.3</v>
      </c>
      <c r="I184" s="458">
        <f>+q27_E!$I$21</f>
        <v>797.7</v>
      </c>
      <c r="J184" s="458">
        <f>+q27_E!$J$21</f>
        <v>846.92</v>
      </c>
      <c r="K184" s="458">
        <f>+q27_E!$K$21</f>
        <v>883.56</v>
      </c>
      <c r="L184" s="458">
        <f>+q27_E!$L$21</f>
        <v>938.62</v>
      </c>
      <c r="M184" s="458">
        <f>+q27_E!$M$21</f>
        <v>991.02</v>
      </c>
      <c r="V184" s="422" t="str">
        <f>+q16_E_b!$A$24</f>
        <v>Área Metropolitana de Lisboa</v>
      </c>
      <c r="W184" s="422" t="str">
        <f>+q16_E_b!$A$24</f>
        <v>Área Metropolitana de Lisboa</v>
      </c>
      <c r="X184" s="433">
        <f t="shared" si="40"/>
        <v>225406.00000000003</v>
      </c>
      <c r="Y184" s="446">
        <f t="shared" si="41"/>
        <v>44.216068405576486</v>
      </c>
      <c r="Z184" s="436">
        <f t="shared" si="42"/>
        <v>1</v>
      </c>
      <c r="AA184" s="421" t="str">
        <f t="shared" si="39"/>
        <v>Área Metropolitana de Lisboa</v>
      </c>
    </row>
    <row r="185" spans="1:27">
      <c r="A185" s="453"/>
      <c r="B185" s="453" t="str">
        <f>+Aux!$B$112</f>
        <v>Profissionais semi-qualificados</v>
      </c>
      <c r="C185" s="458">
        <f>+q27_E!$C$24</f>
        <v>580.44000000000005</v>
      </c>
      <c r="D185" s="458">
        <f>+q27_E!$D$24</f>
        <v>580.09</v>
      </c>
      <c r="E185" s="458">
        <f>+q27_E!$E$24</f>
        <v>592.91</v>
      </c>
      <c r="F185" s="458">
        <f>+q27_E!$F$24</f>
        <v>628.91999999999996</v>
      </c>
      <c r="G185" s="458">
        <f>+q27_E!$G$24</f>
        <v>647.77</v>
      </c>
      <c r="H185" s="458">
        <f>+q27_E!$H$24</f>
        <v>679.58</v>
      </c>
      <c r="I185" s="458">
        <f>+q27_E!$I$24</f>
        <v>710.3</v>
      </c>
      <c r="J185" s="458">
        <f>+q27_E!$J$24</f>
        <v>742.9</v>
      </c>
      <c r="K185" s="458">
        <f>+q27_E!$K$24</f>
        <v>787.75</v>
      </c>
      <c r="L185" s="458">
        <f>+q27_E!$L$24</f>
        <v>830.02</v>
      </c>
      <c r="M185" s="458">
        <f>+q27_E!$M$24</f>
        <v>891.09</v>
      </c>
      <c r="V185" s="943" t="s">
        <v>518</v>
      </c>
      <c r="W185" s="422" t="str">
        <f>+q16_E_b!$A$26</f>
        <v>Alentejo Litoral</v>
      </c>
      <c r="X185" s="433">
        <f t="shared" si="40"/>
        <v>13062</v>
      </c>
      <c r="Y185" s="446">
        <f t="shared" si="41"/>
        <v>2.5622666899445443</v>
      </c>
      <c r="Z185" s="436">
        <f t="shared" si="42"/>
        <v>9</v>
      </c>
      <c r="AA185" s="421" t="str">
        <f t="shared" si="39"/>
        <v>Alentejo Litoral</v>
      </c>
    </row>
    <row r="186" spans="1:27">
      <c r="A186" s="453"/>
      <c r="B186" s="453" t="str">
        <f>+Aux!$B$113</f>
        <v>Profissionais não qualificados</v>
      </c>
      <c r="C186" s="458">
        <f>+q27_E!$C$27</f>
        <v>561.22</v>
      </c>
      <c r="D186" s="458">
        <f>+q27_E!$D$27</f>
        <v>559.02</v>
      </c>
      <c r="E186" s="458">
        <f>+q27_E!$E$27</f>
        <v>576.98</v>
      </c>
      <c r="F186" s="458">
        <f>+q27_E!$F$27</f>
        <v>600.22</v>
      </c>
      <c r="G186" s="458">
        <f>+q27_E!$G$27</f>
        <v>621.21</v>
      </c>
      <c r="H186" s="458">
        <f>+q27_E!$H$27</f>
        <v>630.5</v>
      </c>
      <c r="I186" s="458">
        <f>+q27_E!$I$27</f>
        <v>663.73</v>
      </c>
      <c r="J186" s="458">
        <f>+q27_E!$J$27</f>
        <v>697.69</v>
      </c>
      <c r="K186" s="458">
        <f>+q27_E!$K$27</f>
        <v>734.83</v>
      </c>
      <c r="L186" s="458">
        <f>+q27_E!$L$27</f>
        <v>790.93</v>
      </c>
      <c r="M186" s="458">
        <f>+q27_E!$M$27</f>
        <v>849.19</v>
      </c>
      <c r="V186" s="943"/>
      <c r="W186" s="422" t="str">
        <f>+q16_E_b!$A$27</f>
        <v>Baixo Alentejo</v>
      </c>
      <c r="X186" s="433">
        <f t="shared" si="40"/>
        <v>5654.0000000000009</v>
      </c>
      <c r="Y186" s="446">
        <f t="shared" si="41"/>
        <v>1.1090993618853513</v>
      </c>
      <c r="Z186" s="436">
        <f t="shared" si="42"/>
        <v>16</v>
      </c>
      <c r="AA186" s="421" t="str">
        <f t="shared" si="39"/>
        <v>Baixo Alentejo</v>
      </c>
    </row>
    <row r="187" spans="1:27">
      <c r="A187" s="453"/>
      <c r="B187" s="453" t="str">
        <f>+Aux!$B$114</f>
        <v>Praticantes e aprendizes</v>
      </c>
      <c r="C187" s="458">
        <f>+q27_E!$C$30</f>
        <v>544.11</v>
      </c>
      <c r="D187" s="458">
        <f>+q27_E!$D$30</f>
        <v>547.66</v>
      </c>
      <c r="E187" s="458">
        <f>+q27_E!$E$30</f>
        <v>564.15</v>
      </c>
      <c r="F187" s="458">
        <f>+q27_E!$F$30</f>
        <v>590.71</v>
      </c>
      <c r="G187" s="458">
        <f>+q27_E!$G$30</f>
        <v>615.15</v>
      </c>
      <c r="H187" s="458">
        <f>+q27_E!$H$30</f>
        <v>635.36</v>
      </c>
      <c r="I187" s="458">
        <f>+q27_E!$I$30</f>
        <v>666.93</v>
      </c>
      <c r="J187" s="458">
        <f>+q27_E!$J$30</f>
        <v>694.69</v>
      </c>
      <c r="K187" s="458">
        <f>+q27_E!$K$30</f>
        <v>740.08</v>
      </c>
      <c r="L187" s="458">
        <f>+q27_E!$L$30</f>
        <v>793.79</v>
      </c>
      <c r="M187" s="458">
        <f>+q27_E!$M$30</f>
        <v>852.66</v>
      </c>
      <c r="V187" s="943"/>
      <c r="W187" s="422" t="str">
        <f>+q16_E_b!$A$28</f>
        <v>Lezíria do Tejo</v>
      </c>
      <c r="X187" s="433">
        <f t="shared" si="40"/>
        <v>15731</v>
      </c>
      <c r="Y187" s="446">
        <f t="shared" si="41"/>
        <v>3.0858227912660867</v>
      </c>
      <c r="Z187" s="436">
        <f t="shared" si="42"/>
        <v>7</v>
      </c>
      <c r="AA187" s="421" t="str">
        <f t="shared" si="39"/>
        <v>Lezíria do Tejo</v>
      </c>
    </row>
    <row r="188" spans="1:27">
      <c r="A188" s="453"/>
      <c r="B188" s="453" t="str">
        <f>+Aux!$B$115</f>
        <v>Total</v>
      </c>
      <c r="C188" s="458">
        <f>+q27_E!$C$6</f>
        <v>934.63</v>
      </c>
      <c r="D188" s="458">
        <f>+q27_E!$D$6</f>
        <v>974.78</v>
      </c>
      <c r="E188" s="458">
        <f>+q27_E!$E$6</f>
        <v>982.54</v>
      </c>
      <c r="F188" s="458">
        <f>+q27_E!$F$6</f>
        <v>1021.01</v>
      </c>
      <c r="G188" s="458">
        <f>+q27_E!$G$6</f>
        <v>1006.43</v>
      </c>
      <c r="H188" s="458">
        <f>+q27_E!$H$6</f>
        <v>1002.19</v>
      </c>
      <c r="I188" s="458">
        <f>+q27_E!$I$6</f>
        <v>1044.03</v>
      </c>
      <c r="J188" s="458">
        <f>+q27_E!$J$6</f>
        <v>1097.6500000000001</v>
      </c>
      <c r="K188" s="458">
        <f>+q27_E!$K$6</f>
        <v>1126.8499999999999</v>
      </c>
      <c r="L188" s="458">
        <f>+q27_E!$L$6</f>
        <v>1165.46</v>
      </c>
      <c r="M188" s="458">
        <f>+q27_E!$M$6</f>
        <v>1218.82</v>
      </c>
      <c r="V188" s="943"/>
      <c r="W188" s="422" t="str">
        <f>+q16_E_b!$A$29</f>
        <v>Alto Alentejo</v>
      </c>
      <c r="X188" s="433">
        <f t="shared" si="40"/>
        <v>1982</v>
      </c>
      <c r="Y188" s="446">
        <f t="shared" si="41"/>
        <v>0.38879287853851535</v>
      </c>
      <c r="Z188" s="436">
        <f t="shared" si="42"/>
        <v>21</v>
      </c>
      <c r="AA188" s="421" t="str">
        <f t="shared" si="39"/>
        <v>Alto Alentejo</v>
      </c>
    </row>
    <row r="189" spans="1:27">
      <c r="A189" s="453"/>
      <c r="B189" s="453"/>
      <c r="C189" s="453"/>
      <c r="D189" s="453"/>
      <c r="E189" s="453"/>
      <c r="F189" s="453"/>
      <c r="G189" s="453"/>
      <c r="H189" s="453"/>
      <c r="I189" s="453"/>
      <c r="J189" s="453"/>
      <c r="K189" s="453"/>
      <c r="L189" s="453"/>
      <c r="M189" s="453"/>
      <c r="V189" s="943"/>
      <c r="W189" s="422" t="str">
        <f>+q16_E_b!$A$30</f>
        <v>Alentejo Central</v>
      </c>
      <c r="X189" s="433">
        <f t="shared" si="40"/>
        <v>4770</v>
      </c>
      <c r="Y189" s="446">
        <f t="shared" si="41"/>
        <v>0.93569224552407571</v>
      </c>
      <c r="Z189" s="436">
        <f t="shared" si="42"/>
        <v>17</v>
      </c>
      <c r="AA189" s="421" t="str">
        <f t="shared" si="39"/>
        <v>Alentejo Central</v>
      </c>
    </row>
    <row r="190" spans="1:27">
      <c r="A190" s="453"/>
      <c r="B190" s="453"/>
      <c r="C190" s="423">
        <f>+q27_E!$C$4</f>
        <v>2014</v>
      </c>
      <c r="D190" s="423">
        <f>+q27_E!$D$4</f>
        <v>2015</v>
      </c>
      <c r="E190" s="423">
        <f>+q27_E!$E$4</f>
        <v>2016</v>
      </c>
      <c r="F190" s="423">
        <f>+q27_E!$F$4</f>
        <v>2017</v>
      </c>
      <c r="G190" s="423">
        <f>+q27_E!$G$4</f>
        <v>2018</v>
      </c>
      <c r="H190" s="423">
        <f>+q27_E!$H$4</f>
        <v>2019</v>
      </c>
      <c r="I190" s="423">
        <f>+q27_E!$I$4</f>
        <v>2020</v>
      </c>
      <c r="J190" s="423">
        <f>+q27_E!$J$4</f>
        <v>2021</v>
      </c>
      <c r="K190" s="423">
        <f>+q27_E!$K$4</f>
        <v>2022</v>
      </c>
      <c r="L190" s="423">
        <f>+q27_E!$L$4</f>
        <v>2023</v>
      </c>
      <c r="M190" s="423">
        <f>+q27_E!$M$4</f>
        <v>2024</v>
      </c>
      <c r="V190" s="422" t="str">
        <f>+q16_E_b!$A$31</f>
        <v>Algarve</v>
      </c>
      <c r="W190" s="422" t="str">
        <f>+q16_E_b!$A$31</f>
        <v>Algarve</v>
      </c>
      <c r="X190" s="433">
        <f t="shared" si="40"/>
        <v>52164.000000000007</v>
      </c>
      <c r="Y190" s="446">
        <f t="shared" si="41"/>
        <v>10.232589160485931</v>
      </c>
      <c r="Z190" s="436">
        <f t="shared" si="42"/>
        <v>3</v>
      </c>
      <c r="AA190" s="421" t="str">
        <f t="shared" si="39"/>
        <v>Algarve</v>
      </c>
    </row>
    <row r="191" spans="1:27">
      <c r="A191" s="461" t="s">
        <v>116</v>
      </c>
      <c r="B191" s="453" t="str">
        <f>+Aux!$B$107</f>
        <v>Quadros superiores</v>
      </c>
      <c r="C191" s="458">
        <f>+q27_E!$C$10</f>
        <v>2010.83</v>
      </c>
      <c r="D191" s="458">
        <f>+q27_E!$D$10</f>
        <v>2000.35</v>
      </c>
      <c r="E191" s="458">
        <f>+q27_E!$E$10</f>
        <v>2017.57</v>
      </c>
      <c r="F191" s="458">
        <f>+q27_E!$F$10</f>
        <v>2114.38</v>
      </c>
      <c r="G191" s="458">
        <f>+q27_E!$G$10</f>
        <v>2115.3000000000002</v>
      </c>
      <c r="H191" s="458">
        <f>+q27_E!$H$10</f>
        <v>2109.1999999999998</v>
      </c>
      <c r="I191" s="458">
        <f>+q27_E!$I$10</f>
        <v>2152.6999999999998</v>
      </c>
      <c r="J191" s="458">
        <f>+q27_E!$J$10</f>
        <v>2131.16</v>
      </c>
      <c r="K191" s="458">
        <f>+q27_E!$K$10</f>
        <v>2391.5500000000002</v>
      </c>
      <c r="L191" s="458">
        <f>+q27_E!$L$10</f>
        <v>2586.1999999999998</v>
      </c>
      <c r="M191" s="458">
        <f>+q27_E!$M$10</f>
        <v>2716.25</v>
      </c>
      <c r="V191" s="422" t="s">
        <v>13</v>
      </c>
      <c r="W191" s="422" t="s">
        <v>13</v>
      </c>
      <c r="X191" s="433">
        <f t="shared" si="40"/>
        <v>509783.00000000012</v>
      </c>
      <c r="Y191" s="446">
        <f t="shared" si="41"/>
        <v>100</v>
      </c>
      <c r="Z191" s="436"/>
      <c r="AA191" s="421"/>
    </row>
    <row r="192" spans="1:27">
      <c r="A192" s="453"/>
      <c r="B192" s="453" t="str">
        <f>+Aux!$B$108</f>
        <v>Quadros médios</v>
      </c>
      <c r="C192" s="458">
        <f>+q27_E!$C$13</f>
        <v>1292.81</v>
      </c>
      <c r="D192" s="458">
        <f>+q27_E!$D$13</f>
        <v>1307.98</v>
      </c>
      <c r="E192" s="458">
        <f>+q27_E!$E$13</f>
        <v>1350.41</v>
      </c>
      <c r="F192" s="458">
        <f>+q27_E!$F$13</f>
        <v>1398.77</v>
      </c>
      <c r="G192" s="458">
        <f>+q27_E!$G$13</f>
        <v>1458.09</v>
      </c>
      <c r="H192" s="458">
        <f>+q27_E!$H$13</f>
        <v>1464.13</v>
      </c>
      <c r="I192" s="458">
        <f>+q27_E!$I$13</f>
        <v>1549.97</v>
      </c>
      <c r="J192" s="458">
        <f>+q27_E!$J$13</f>
        <v>1554.4</v>
      </c>
      <c r="K192" s="458">
        <f>+q27_E!$K$13</f>
        <v>1739.41</v>
      </c>
      <c r="L192" s="458">
        <f>+q27_E!$L$13</f>
        <v>1885.8</v>
      </c>
      <c r="M192" s="458">
        <f>+q27_E!$M$13</f>
        <v>1899.64</v>
      </c>
      <c r="V192" s="421"/>
      <c r="W192" s="423"/>
      <c r="X192" s="433"/>
      <c r="Y192" s="446"/>
    </row>
    <row r="193" spans="1:31">
      <c r="A193" s="453"/>
      <c r="B193" s="453" t="str">
        <f>+Aux!$B$109</f>
        <v>Encarregados, contramestres e chefes de equipa</v>
      </c>
      <c r="C193" s="458">
        <f>+q27_E!$C$16</f>
        <v>1236.7</v>
      </c>
      <c r="D193" s="458">
        <f>+q27_E!$D$16</f>
        <v>1255.75</v>
      </c>
      <c r="E193" s="458">
        <f>+q27_E!$E$16</f>
        <v>1293.2</v>
      </c>
      <c r="F193" s="458">
        <f>+q27_E!$F$16</f>
        <v>1349.38</v>
      </c>
      <c r="G193" s="458">
        <f>+q27_E!$G$16</f>
        <v>1384.41</v>
      </c>
      <c r="H193" s="458">
        <f>+q27_E!$H$16</f>
        <v>1450.2</v>
      </c>
      <c r="I193" s="458">
        <f>+q27_E!$I$16</f>
        <v>1544.78</v>
      </c>
      <c r="J193" s="458">
        <f>+q27_E!$J$16</f>
        <v>1630.76</v>
      </c>
      <c r="K193" s="458">
        <f>+q27_E!$K$16</f>
        <v>1652.77</v>
      </c>
      <c r="L193" s="458">
        <f>+q27_E!$L$16</f>
        <v>1724.07</v>
      </c>
      <c r="M193" s="458">
        <f>+q27_E!$M$16</f>
        <v>1926.26</v>
      </c>
    </row>
    <row r="194" spans="1:31">
      <c r="A194" s="453"/>
      <c r="B194" s="453" t="str">
        <f>+Aux!$B$110</f>
        <v>Profissionais altamente qualificados</v>
      </c>
      <c r="C194" s="458">
        <f>+q27_E!$C$19</f>
        <v>969.99</v>
      </c>
      <c r="D194" s="458">
        <f>+q27_E!$D$19</f>
        <v>963.66</v>
      </c>
      <c r="E194" s="458">
        <f>+q27_E!$E$19</f>
        <v>971.66</v>
      </c>
      <c r="F194" s="458">
        <f>+q27_E!$F$19</f>
        <v>960.23</v>
      </c>
      <c r="G194" s="458">
        <f>+q27_E!$G$19</f>
        <v>964.23</v>
      </c>
      <c r="H194" s="458">
        <f>+q27_E!$H$19</f>
        <v>936.59</v>
      </c>
      <c r="I194" s="458">
        <f>+q27_E!$I$19</f>
        <v>989.35</v>
      </c>
      <c r="J194" s="458">
        <f>+q27_E!$J$19</f>
        <v>994.04</v>
      </c>
      <c r="K194" s="458">
        <f>+q27_E!$K$19</f>
        <v>1041.3900000000001</v>
      </c>
      <c r="L194" s="458">
        <f>+q27_E!$L$19</f>
        <v>1188.58</v>
      </c>
      <c r="M194" s="458">
        <f>+q27_E!$M$19</f>
        <v>1258.3</v>
      </c>
    </row>
    <row r="195" spans="1:31">
      <c r="A195" s="453"/>
      <c r="B195" s="453" t="str">
        <f>+Aux!$B$111</f>
        <v>Profissionais qualificados</v>
      </c>
      <c r="C195" s="458">
        <f>+q27_E!$C$22</f>
        <v>644.87</v>
      </c>
      <c r="D195" s="458">
        <f>+q27_E!$D$22</f>
        <v>652.25</v>
      </c>
      <c r="E195" s="458">
        <f>+q27_E!$E$22</f>
        <v>669</v>
      </c>
      <c r="F195" s="458">
        <f>+q27_E!$F$22</f>
        <v>675.76</v>
      </c>
      <c r="G195" s="458">
        <f>+q27_E!$G$22</f>
        <v>695.71</v>
      </c>
      <c r="H195" s="458">
        <f>+q27_E!$H$22</f>
        <v>741.16</v>
      </c>
      <c r="I195" s="458">
        <f>+q27_E!$I$22</f>
        <v>787.01</v>
      </c>
      <c r="J195" s="458">
        <f>+q27_E!$J$22</f>
        <v>819.86</v>
      </c>
      <c r="K195" s="458">
        <f>+q27_E!$K$22</f>
        <v>853.54</v>
      </c>
      <c r="L195" s="458">
        <f>+q27_E!$L$22</f>
        <v>909.7</v>
      </c>
      <c r="M195" s="458">
        <f>+q27_E!$M$22</f>
        <v>973.58</v>
      </c>
    </row>
    <row r="196" spans="1:31">
      <c r="A196" s="453"/>
      <c r="B196" s="453" t="str">
        <f>+Aux!$B$112</f>
        <v>Profissionais semi-qualificados</v>
      </c>
      <c r="C196" s="458">
        <f>+q27_E!$C$25</f>
        <v>552.41999999999996</v>
      </c>
      <c r="D196" s="458">
        <f>+q27_E!$D$25</f>
        <v>559.54999999999995</v>
      </c>
      <c r="E196" s="458">
        <f>+q27_E!$E$25</f>
        <v>577.32000000000005</v>
      </c>
      <c r="F196" s="458">
        <f>+q27_E!$F$25</f>
        <v>607.07000000000005</v>
      </c>
      <c r="G196" s="458">
        <f>+q27_E!$G$25</f>
        <v>627.76</v>
      </c>
      <c r="H196" s="458">
        <f>+q27_E!$H$25</f>
        <v>655.21</v>
      </c>
      <c r="I196" s="458">
        <f>+q27_E!$I$25</f>
        <v>684.63</v>
      </c>
      <c r="J196" s="458">
        <f>+q27_E!$J$25</f>
        <v>720.78</v>
      </c>
      <c r="K196" s="458">
        <f>+q27_E!$K$25</f>
        <v>762.22</v>
      </c>
      <c r="L196" s="458">
        <f>+q27_E!$L$25</f>
        <v>803.54</v>
      </c>
      <c r="M196" s="458">
        <f>+q27_E!$M$25</f>
        <v>865.85</v>
      </c>
      <c r="V196" s="421" t="s">
        <v>524</v>
      </c>
      <c r="W196" s="421"/>
      <c r="Y196" s="421"/>
      <c r="Z196" s="944" t="s">
        <v>182</v>
      </c>
      <c r="AA196" s="944"/>
      <c r="AB196" s="944"/>
      <c r="AC196" s="944" t="s">
        <v>182</v>
      </c>
      <c r="AD196" s="944"/>
      <c r="AE196" s="944"/>
    </row>
    <row r="197" spans="1:31">
      <c r="A197" s="453"/>
      <c r="B197" s="453" t="str">
        <f>+Aux!$B$113</f>
        <v>Profissionais não qualificados</v>
      </c>
      <c r="C197" s="458">
        <f>+q27_E!$C$28</f>
        <v>527.4</v>
      </c>
      <c r="D197" s="458">
        <f>+q27_E!$D$28</f>
        <v>530.39</v>
      </c>
      <c r="E197" s="458">
        <f>+q27_E!$E$28</f>
        <v>552.73</v>
      </c>
      <c r="F197" s="458">
        <f>+q27_E!$F$28</f>
        <v>579.55999999999995</v>
      </c>
      <c r="G197" s="458">
        <f>+q27_E!$G$28</f>
        <v>601.16</v>
      </c>
      <c r="H197" s="458">
        <f>+q27_E!$H$28</f>
        <v>616.35</v>
      </c>
      <c r="I197" s="458">
        <f>+q27_E!$I$28</f>
        <v>646.04</v>
      </c>
      <c r="J197" s="458">
        <f>+q27_E!$J$28</f>
        <v>678.55</v>
      </c>
      <c r="K197" s="458">
        <f>+q27_E!$K$28</f>
        <v>719.04</v>
      </c>
      <c r="L197" s="458">
        <f>+q27_E!$L$28</f>
        <v>777.44</v>
      </c>
      <c r="M197" s="458">
        <f>+q27_E!$M$28</f>
        <v>835.52</v>
      </c>
      <c r="V197" s="421"/>
      <c r="W197" s="502" t="s">
        <v>182</v>
      </c>
      <c r="X197" s="398" t="s">
        <v>320</v>
      </c>
      <c r="Y197" s="398" t="s">
        <v>322</v>
      </c>
      <c r="Z197" s="421" t="s">
        <v>543</v>
      </c>
      <c r="AA197" s="421" t="s">
        <v>544</v>
      </c>
      <c r="AB197" s="421" t="s">
        <v>285</v>
      </c>
      <c r="AC197" s="421" t="s">
        <v>545</v>
      </c>
      <c r="AD197" s="421" t="s">
        <v>546</v>
      </c>
      <c r="AE197" s="421" t="s">
        <v>285</v>
      </c>
    </row>
    <row r="198" spans="1:31">
      <c r="A198" s="453"/>
      <c r="B198" s="453" t="str">
        <f>+Aux!$B$114</f>
        <v>Praticantes e aprendizes</v>
      </c>
      <c r="C198" s="458">
        <f>+q27_E!$C$31</f>
        <v>536.73</v>
      </c>
      <c r="D198" s="458">
        <f>+q27_E!$D$31</f>
        <v>535.46</v>
      </c>
      <c r="E198" s="458">
        <f>+q27_E!$E$31</f>
        <v>560.89</v>
      </c>
      <c r="F198" s="458">
        <f>+q27_E!$F$31</f>
        <v>586.51</v>
      </c>
      <c r="G198" s="458">
        <f>+q27_E!$G$31</f>
        <v>606.30999999999995</v>
      </c>
      <c r="H198" s="458">
        <f>+q27_E!$H$31</f>
        <v>626.95000000000005</v>
      </c>
      <c r="I198" s="458">
        <f>+q27_E!$I$31</f>
        <v>653.89</v>
      </c>
      <c r="J198" s="458">
        <f>+q27_E!$J$31</f>
        <v>688.88</v>
      </c>
      <c r="K198" s="458">
        <f>+q27_E!$K$31</f>
        <v>731.65</v>
      </c>
      <c r="L198" s="458">
        <f>+q27_E!$L$31</f>
        <v>786.82</v>
      </c>
      <c r="M198" s="458">
        <f>+q27_E!$M$31</f>
        <v>846.31</v>
      </c>
      <c r="V198" s="423" t="s">
        <v>496</v>
      </c>
      <c r="W198" s="433">
        <f>INDEX($B$137:$M$142,MATCH($V$198:$V$202,$B$137:$B$142,0),MATCH($W$166,$B$137:$M$137,0))</f>
        <v>108225.99999999999</v>
      </c>
      <c r="X198" s="446">
        <f>+W198/$X$191*100</f>
        <v>21.229817392890695</v>
      </c>
      <c r="Y198" s="436">
        <f>RANK(W198,$W$198:$W$202,0)</f>
        <v>2</v>
      </c>
      <c r="Z198" s="433">
        <f>MAX($X$168:$X$175)</f>
        <v>59436</v>
      </c>
      <c r="AA198" s="421" t="str">
        <f>VLOOKUP(Z198,$X$168:$AA$191,4,0)</f>
        <v>Área Metropolitana do Porto</v>
      </c>
      <c r="AB198" s="421">
        <f>Z198/$W198*100</f>
        <v>54.918411472289478</v>
      </c>
      <c r="AC198" s="433">
        <f>MIN($X$168:$X$175)</f>
        <v>1000.9999999999999</v>
      </c>
      <c r="AD198" s="421">
        <f>AB198/$W198*100</f>
        <v>5.0744194068236353E-2</v>
      </c>
      <c r="AE198" s="421">
        <f>AC198/$W198*100</f>
        <v>0.92491637868903964</v>
      </c>
    </row>
    <row r="199" spans="1:31">
      <c r="A199" s="453"/>
      <c r="B199" s="453" t="str">
        <f>+Aux!$B$115</f>
        <v>Total</v>
      </c>
      <c r="C199" s="458">
        <f>+q27_E!$C$7</f>
        <v>704.49</v>
      </c>
      <c r="D199" s="458">
        <f>+q27_E!$D$7</f>
        <v>710.51</v>
      </c>
      <c r="E199" s="458">
        <f>+q27_E!$E$7</f>
        <v>733.83</v>
      </c>
      <c r="F199" s="458">
        <f>+q27_E!$F$7</f>
        <v>764.57</v>
      </c>
      <c r="G199" s="458">
        <f>+q27_E!$G$7</f>
        <v>784.54</v>
      </c>
      <c r="H199" s="458">
        <f>+q27_E!$H$7</f>
        <v>802.31</v>
      </c>
      <c r="I199" s="458">
        <f>+q27_E!$I$7</f>
        <v>855.24</v>
      </c>
      <c r="J199" s="458">
        <f>+q27_E!$J$7</f>
        <v>907.26</v>
      </c>
      <c r="K199" s="458">
        <f>+q27_E!$K$7</f>
        <v>952.68</v>
      </c>
      <c r="L199" s="458">
        <f>+q27_E!$L$7</f>
        <v>1006.76</v>
      </c>
      <c r="M199" s="458">
        <f>+q27_E!$M$7</f>
        <v>1074.28</v>
      </c>
      <c r="V199" s="423" t="s">
        <v>505</v>
      </c>
      <c r="W199" s="433">
        <f t="shared" ref="W199:W202" si="43">INDEX($B$137:$M$142,MATCH($V$198:$V$202,$B$137:$B$142,0),MATCH($W$166,$B$137:$M$137,0))</f>
        <v>82788.000000000015</v>
      </c>
      <c r="X199" s="446">
        <f t="shared" ref="X199:X202" si="44">+W199/$X$191*100</f>
        <v>16.2398510738883</v>
      </c>
      <c r="Y199" s="436">
        <f t="shared" ref="Y199:Y202" si="45">RANK(W199,$W$198:$W$202,0)</f>
        <v>3</v>
      </c>
      <c r="Z199" s="433">
        <f>MAX($X$176:$X$183)</f>
        <v>18310</v>
      </c>
      <c r="AA199" s="421" t="str">
        <f t="shared" ref="AA199:AA202" si="46">VLOOKUP(Z199,$X$168:$AA$191,4,0)</f>
        <v>Oeste</v>
      </c>
      <c r="AB199" s="421">
        <f t="shared" ref="AB199:AD202" si="47">Z199/$W199*100</f>
        <v>22.116731893511133</v>
      </c>
      <c r="AC199" s="433">
        <f>MIN($X$176:$X$183)</f>
        <v>2305</v>
      </c>
      <c r="AD199" s="421">
        <f t="shared" si="47"/>
        <v>2.6714900581619475E-2</v>
      </c>
      <c r="AE199" s="421">
        <f t="shared" ref="AE199:AE202" si="48">AC199/$W199*100</f>
        <v>2.7842199352563166</v>
      </c>
    </row>
    <row r="200" spans="1:31">
      <c r="A200" s="453"/>
      <c r="B200" s="453"/>
      <c r="C200" s="458"/>
      <c r="D200" s="458"/>
      <c r="E200" s="458"/>
      <c r="F200" s="458"/>
      <c r="G200" s="458"/>
      <c r="H200" s="458"/>
      <c r="I200" s="458"/>
      <c r="J200" s="458"/>
      <c r="K200" s="458"/>
      <c r="L200" s="458"/>
      <c r="M200" s="458"/>
      <c r="V200" s="422" t="str">
        <f>+q16_E_b!$A$24</f>
        <v>Área Metropolitana de Lisboa</v>
      </c>
      <c r="W200" s="433">
        <f t="shared" si="43"/>
        <v>225406.00000000003</v>
      </c>
      <c r="X200" s="446">
        <f t="shared" si="44"/>
        <v>44.216068405576486</v>
      </c>
      <c r="Y200" s="436">
        <f t="shared" si="45"/>
        <v>1</v>
      </c>
      <c r="Z200" s="433">
        <f>MAX($X$184)</f>
        <v>225406.00000000003</v>
      </c>
      <c r="AA200" s="421" t="str">
        <f t="shared" si="46"/>
        <v>Área Metropolitana de Lisboa</v>
      </c>
      <c r="AB200" s="421">
        <f t="shared" si="47"/>
        <v>100</v>
      </c>
      <c r="AC200" s="433">
        <f>MIN($X$184)</f>
        <v>225406.00000000003</v>
      </c>
      <c r="AD200" s="421">
        <f t="shared" si="47"/>
        <v>4.4364391364914858E-2</v>
      </c>
      <c r="AE200" s="421">
        <f t="shared" si="48"/>
        <v>100</v>
      </c>
    </row>
    <row r="201" spans="1:31">
      <c r="A201" s="453"/>
      <c r="B201" s="453"/>
      <c r="C201" s="423">
        <f>+q27_E!$C$4</f>
        <v>2014</v>
      </c>
      <c r="D201" s="423">
        <f>+q27_E!$D$4</f>
        <v>2015</v>
      </c>
      <c r="E201" s="423">
        <f>+q27_E!$E$4</f>
        <v>2016</v>
      </c>
      <c r="F201" s="423">
        <f>+q27_E!$F$4</f>
        <v>2017</v>
      </c>
      <c r="G201" s="423">
        <f>+q27_E!$G$4</f>
        <v>2018</v>
      </c>
      <c r="H201" s="423">
        <f>+q27_E!$H$4</f>
        <v>2019</v>
      </c>
      <c r="I201" s="423">
        <f>+q27_E!$I$4</f>
        <v>2020</v>
      </c>
      <c r="J201" s="423">
        <f>+q27_E!$J$4</f>
        <v>2021</v>
      </c>
      <c r="K201" s="423">
        <f>+q27_E!$K$4</f>
        <v>2022</v>
      </c>
      <c r="L201" s="423">
        <f>+q27_E!$L$4</f>
        <v>2023</v>
      </c>
      <c r="M201" s="423">
        <f>+q27_E!$M$4</f>
        <v>2024</v>
      </c>
      <c r="V201" s="423" t="s">
        <v>518</v>
      </c>
      <c r="W201" s="433">
        <f t="shared" si="43"/>
        <v>41198.999999999993</v>
      </c>
      <c r="X201" s="446">
        <f t="shared" si="44"/>
        <v>8.0816739671585722</v>
      </c>
      <c r="Y201" s="436">
        <f t="shared" si="45"/>
        <v>5</v>
      </c>
      <c r="Z201" s="433">
        <f>MAX($X$185:$X$189)</f>
        <v>15731</v>
      </c>
      <c r="AA201" s="421" t="str">
        <f t="shared" si="46"/>
        <v>Lezíria do Tejo</v>
      </c>
      <c r="AB201" s="421">
        <f t="shared" si="47"/>
        <v>38.182965605961314</v>
      </c>
      <c r="AC201" s="433">
        <f>MIN($X$185:$X$189)</f>
        <v>1982</v>
      </c>
      <c r="AD201" s="421">
        <f t="shared" si="47"/>
        <v>9.2679350484141165E-2</v>
      </c>
      <c r="AE201" s="421">
        <f t="shared" si="48"/>
        <v>4.8107963785528787</v>
      </c>
    </row>
    <row r="202" spans="1:31">
      <c r="A202" s="461" t="s">
        <v>11</v>
      </c>
      <c r="B202" s="453" t="str">
        <f>+Aux!$B$107</f>
        <v>Quadros superiores</v>
      </c>
      <c r="C202" s="458">
        <f>+q27_E!$C$8</f>
        <v>2794.98</v>
      </c>
      <c r="D202" s="458">
        <f>+q27_E!$D$8</f>
        <v>2785.71</v>
      </c>
      <c r="E202" s="458">
        <f>+q27_E!$E$8</f>
        <v>2836.68</v>
      </c>
      <c r="F202" s="458">
        <f>+q27_E!$F$8</f>
        <v>2955.26</v>
      </c>
      <c r="G202" s="458">
        <f>+q27_E!$G$8</f>
        <v>2871.45</v>
      </c>
      <c r="H202" s="458">
        <f>+q27_E!$H$8</f>
        <v>2745.16</v>
      </c>
      <c r="I202" s="458">
        <f>+q27_E!$I$8</f>
        <v>2797.18</v>
      </c>
      <c r="J202" s="458">
        <f>+q27_E!$J$8</f>
        <v>2745</v>
      </c>
      <c r="K202" s="458">
        <f>+q27_E!$K$8</f>
        <v>2940.33</v>
      </c>
      <c r="L202" s="458">
        <f>+q27_E!$L$8</f>
        <v>3161.6</v>
      </c>
      <c r="M202" s="458">
        <f>+q27_E!$M$8</f>
        <v>3338.86</v>
      </c>
      <c r="V202" s="423" t="s">
        <v>523</v>
      </c>
      <c r="W202" s="433">
        <f t="shared" si="43"/>
        <v>52164.000000000007</v>
      </c>
      <c r="X202" s="446">
        <f t="shared" si="44"/>
        <v>10.232589160485931</v>
      </c>
      <c r="Y202" s="436">
        <f t="shared" si="45"/>
        <v>4</v>
      </c>
      <c r="Z202" s="433">
        <f>MAX($X$190)</f>
        <v>52164.000000000007</v>
      </c>
      <c r="AA202" s="421" t="str">
        <f t="shared" si="46"/>
        <v>Algarve</v>
      </c>
      <c r="AB202" s="421">
        <f t="shared" si="47"/>
        <v>100</v>
      </c>
      <c r="AC202" s="433">
        <f>MIN($X$190)</f>
        <v>52164.000000000007</v>
      </c>
      <c r="AD202" s="421">
        <f t="shared" si="47"/>
        <v>0.19170309025381488</v>
      </c>
      <c r="AE202" s="421">
        <f t="shared" si="48"/>
        <v>100</v>
      </c>
    </row>
    <row r="203" spans="1:31">
      <c r="A203" s="453"/>
      <c r="B203" s="453" t="str">
        <f>+Aux!$B$108</f>
        <v>Quadros médios</v>
      </c>
      <c r="C203" s="458">
        <f>+q27_E!$C$11</f>
        <v>1478.19</v>
      </c>
      <c r="D203" s="458">
        <f>+q27_E!$D$11</f>
        <v>1499.66</v>
      </c>
      <c r="E203" s="458">
        <f>+q27_E!$E$11</f>
        <v>1521.05</v>
      </c>
      <c r="F203" s="458">
        <f>+q27_E!$F$11</f>
        <v>1636.99</v>
      </c>
      <c r="G203" s="458">
        <f>+q27_E!$G$11</f>
        <v>1580.4</v>
      </c>
      <c r="H203" s="458">
        <f>+q27_E!$H$11</f>
        <v>1605.66</v>
      </c>
      <c r="I203" s="458">
        <f>+q27_E!$I$11</f>
        <v>1739.43</v>
      </c>
      <c r="J203" s="458">
        <f>+q27_E!$J$11</f>
        <v>1739.83</v>
      </c>
      <c r="K203" s="458">
        <f>+q27_E!$K$11</f>
        <v>1940.04</v>
      </c>
      <c r="L203" s="458">
        <f>+q27_E!$L$11</f>
        <v>2070.14</v>
      </c>
      <c r="M203" s="458">
        <f>+q27_E!$M$11</f>
        <v>2106.92</v>
      </c>
    </row>
    <row r="204" spans="1:31">
      <c r="A204" s="453"/>
      <c r="B204" s="453" t="str">
        <f>+Aux!$B$109</f>
        <v>Encarregados, contramestres e chefes de equipa</v>
      </c>
      <c r="C204" s="458">
        <f>+q27_E!$C$14</f>
        <v>1364.82</v>
      </c>
      <c r="D204" s="458">
        <f>+q27_E!$D$14</f>
        <v>1374.73</v>
      </c>
      <c r="E204" s="458">
        <f>+q27_E!$E$14</f>
        <v>1427.38</v>
      </c>
      <c r="F204" s="458">
        <f>+q27_E!$F$14</f>
        <v>1461.54</v>
      </c>
      <c r="G204" s="458">
        <f>+q27_E!$G$14</f>
        <v>1491.03</v>
      </c>
      <c r="H204" s="458">
        <f>+q27_E!$H$14</f>
        <v>1547.76</v>
      </c>
      <c r="I204" s="458">
        <f>+q27_E!$I$14</f>
        <v>1660.98</v>
      </c>
      <c r="J204" s="458">
        <f>+q27_E!$J$14</f>
        <v>1733.17</v>
      </c>
      <c r="K204" s="458">
        <f>+q27_E!$K$14</f>
        <v>1772.96</v>
      </c>
      <c r="L204" s="458">
        <f>+q27_E!$L$14</f>
        <v>1853.75</v>
      </c>
      <c r="M204" s="458">
        <f>+q27_E!$M$14</f>
        <v>1976.21</v>
      </c>
    </row>
    <row r="205" spans="1:31">
      <c r="A205" s="453"/>
      <c r="B205" s="453" t="str">
        <f>+Aux!$B$110</f>
        <v>Profissionais altamente qualificados</v>
      </c>
      <c r="C205" s="458">
        <f>+q27_E!$C$17</f>
        <v>2169.65</v>
      </c>
      <c r="D205" s="458">
        <f>+q27_E!$D$17</f>
        <v>2691.44</v>
      </c>
      <c r="E205" s="458">
        <f>+q27_E!$E$17</f>
        <v>2802.54</v>
      </c>
      <c r="F205" s="458">
        <f>+q27_E!$F$17</f>
        <v>2756.88</v>
      </c>
      <c r="G205" s="458">
        <f>+q27_E!$G$17</f>
        <v>2478.7199999999998</v>
      </c>
      <c r="H205" s="458">
        <f>+q27_E!$H$17</f>
        <v>2033.3</v>
      </c>
      <c r="I205" s="458">
        <f>+q27_E!$I$17</f>
        <v>2107.31</v>
      </c>
      <c r="J205" s="458">
        <f>+q27_E!$J$17</f>
        <v>1843.05</v>
      </c>
      <c r="K205" s="458">
        <f>+q27_E!$K$17</f>
        <v>1713.4</v>
      </c>
      <c r="L205" s="458">
        <f>+q27_E!$L$17</f>
        <v>1859.59</v>
      </c>
      <c r="M205" s="458">
        <f>+q27_E!$M$17</f>
        <v>1809.22</v>
      </c>
    </row>
    <row r="206" spans="1:31">
      <c r="A206" s="453"/>
      <c r="B206" s="453" t="str">
        <f>+Aux!$B$111</f>
        <v>Profissionais qualificados</v>
      </c>
      <c r="C206" s="458">
        <f>+q27_E!$C$20</f>
        <v>674.82</v>
      </c>
      <c r="D206" s="458">
        <f>+q27_E!$D$20</f>
        <v>683.36</v>
      </c>
      <c r="E206" s="458">
        <f>+q27_E!$E$20</f>
        <v>685.4</v>
      </c>
      <c r="F206" s="458">
        <f>+q27_E!$F$20</f>
        <v>690.69</v>
      </c>
      <c r="G206" s="458">
        <f>+q27_E!$G$20</f>
        <v>715.86</v>
      </c>
      <c r="H206" s="458">
        <f>+q27_E!$H$20</f>
        <v>755.95</v>
      </c>
      <c r="I206" s="458">
        <f>+q27_E!$I$20</f>
        <v>794.04</v>
      </c>
      <c r="J206" s="458">
        <f>+q27_E!$J$20</f>
        <v>837.36</v>
      </c>
      <c r="K206" s="458">
        <f>+q27_E!$K$20</f>
        <v>873.25</v>
      </c>
      <c r="L206" s="458">
        <f>+q27_E!$L$20</f>
        <v>929.07</v>
      </c>
      <c r="M206" s="458">
        <f>+q27_E!$M$20</f>
        <v>985.49</v>
      </c>
    </row>
    <row r="207" spans="1:31">
      <c r="A207" s="453"/>
      <c r="B207" s="453" t="str">
        <f>+Aux!$B$112</f>
        <v>Profissionais semi-qualificados</v>
      </c>
      <c r="C207" s="458">
        <f>+q27_E!$C$23</f>
        <v>566.96</v>
      </c>
      <c r="D207" s="458">
        <f>+q27_E!$D$23</f>
        <v>570.41</v>
      </c>
      <c r="E207" s="458">
        <f>+q27_E!$E$23</f>
        <v>585.92999999999995</v>
      </c>
      <c r="F207" s="458">
        <f>+q27_E!$F$23</f>
        <v>618.92999999999995</v>
      </c>
      <c r="G207" s="458">
        <f>+q27_E!$G$23</f>
        <v>638.69000000000005</v>
      </c>
      <c r="H207" s="458">
        <f>+q27_E!$H$23</f>
        <v>668.3</v>
      </c>
      <c r="I207" s="458">
        <f>+q27_E!$I$23</f>
        <v>698.99</v>
      </c>
      <c r="J207" s="458">
        <f>+q27_E!$J$23</f>
        <v>733.31</v>
      </c>
      <c r="K207" s="458">
        <f>+q27_E!$K$23</f>
        <v>776.67</v>
      </c>
      <c r="L207" s="458">
        <f>+q27_E!$L$23</f>
        <v>818.05</v>
      </c>
      <c r="M207" s="458">
        <f>+q27_E!$M$23</f>
        <v>879.94</v>
      </c>
    </row>
    <row r="208" spans="1:31">
      <c r="A208" s="453"/>
      <c r="B208" s="453" t="str">
        <f>+Aux!$B$113</f>
        <v>Profissionais não qualificados</v>
      </c>
      <c r="C208" s="458">
        <f>+q27_E!$C$26</f>
        <v>544.32000000000005</v>
      </c>
      <c r="D208" s="458">
        <f>+q27_E!$D$26</f>
        <v>544.79999999999995</v>
      </c>
      <c r="E208" s="458">
        <f>+q27_E!$E$26</f>
        <v>565.69000000000005</v>
      </c>
      <c r="F208" s="458">
        <f>+q27_E!$F$26</f>
        <v>590.87</v>
      </c>
      <c r="G208" s="458">
        <f>+q27_E!$G$26</f>
        <v>612.33000000000004</v>
      </c>
      <c r="H208" s="458">
        <f>+q27_E!$H$26</f>
        <v>624.49</v>
      </c>
      <c r="I208" s="458">
        <f>+q27_E!$I$26</f>
        <v>656.69</v>
      </c>
      <c r="J208" s="458">
        <f>+q27_E!$J$26</f>
        <v>689.99</v>
      </c>
      <c r="K208" s="458">
        <f>+q27_E!$K$26</f>
        <v>728.52</v>
      </c>
      <c r="L208" s="458">
        <f>+q27_E!$L$26</f>
        <v>785.85</v>
      </c>
      <c r="M208" s="458">
        <f>+q27_E!$M$26</f>
        <v>844.25</v>
      </c>
    </row>
    <row r="209" spans="1:13">
      <c r="A209" s="453"/>
      <c r="B209" s="453" t="str">
        <f>+Aux!$B$114</f>
        <v>Praticantes e aprendizes</v>
      </c>
      <c r="C209" s="458">
        <f>+q27_E!$C$29</f>
        <v>540.54999999999995</v>
      </c>
      <c r="D209" s="458">
        <f>+q27_E!$D$29</f>
        <v>542.17999999999995</v>
      </c>
      <c r="E209" s="458">
        <f>+q27_E!$E$29</f>
        <v>562.67999999999995</v>
      </c>
      <c r="F209" s="458">
        <f>+q27_E!$F$29</f>
        <v>588.85</v>
      </c>
      <c r="G209" s="458">
        <f>+q27_E!$G$29</f>
        <v>611.49</v>
      </c>
      <c r="H209" s="458">
        <f>+q27_E!$H$29</f>
        <v>632.08000000000004</v>
      </c>
      <c r="I209" s="458">
        <f>+q27_E!$I$29</f>
        <v>661.8</v>
      </c>
      <c r="J209" s="458">
        <f>+q27_E!$J$29</f>
        <v>692.54</v>
      </c>
      <c r="K209" s="458">
        <f>+q27_E!$K$29</f>
        <v>736.77</v>
      </c>
      <c r="L209" s="458">
        <f>+q27_E!$L$29</f>
        <v>791.09</v>
      </c>
      <c r="M209" s="458">
        <f>+q27_E!$M$29</f>
        <v>850.36</v>
      </c>
    </row>
    <row r="210" spans="1:13">
      <c r="A210" s="453"/>
      <c r="B210" s="453" t="str">
        <f>+Aux!$B$115</f>
        <v>Total</v>
      </c>
      <c r="C210" s="458">
        <f>+q27_E!$C$5</f>
        <v>836.38</v>
      </c>
      <c r="D210" s="458">
        <f>+q27_E!$D$5</f>
        <v>862.54</v>
      </c>
      <c r="E210" s="458">
        <f>+q27_E!$E$5</f>
        <v>878.67</v>
      </c>
      <c r="F210" s="458">
        <f>+q27_E!$F$5</f>
        <v>913.99</v>
      </c>
      <c r="G210" s="458">
        <f>+q27_E!$G$5</f>
        <v>914.83</v>
      </c>
      <c r="H210" s="458">
        <f>+q27_E!$H$5</f>
        <v>920.93</v>
      </c>
      <c r="I210" s="458">
        <f>+q27_E!$I$5</f>
        <v>970.48</v>
      </c>
      <c r="J210" s="458">
        <f>+q27_E!$J$5</f>
        <v>1022.56</v>
      </c>
      <c r="K210" s="458">
        <f>+q27_E!$K$5</f>
        <v>1059</v>
      </c>
      <c r="L210" s="458">
        <f>+q27_E!$L$5</f>
        <v>1104.3699999999999</v>
      </c>
      <c r="M210" s="458">
        <f>+q27_E!$M$5</f>
        <v>1165.07</v>
      </c>
    </row>
    <row r="211" spans="1:13">
      <c r="A211" s="455" t="s">
        <v>833</v>
      </c>
      <c r="B211" s="453"/>
      <c r="C211" s="453"/>
      <c r="D211" s="453"/>
      <c r="E211" s="453"/>
      <c r="F211" s="453"/>
      <c r="G211" s="453"/>
      <c r="H211" s="453"/>
      <c r="I211" s="453"/>
      <c r="J211" s="453"/>
      <c r="K211" s="453"/>
      <c r="L211" s="453"/>
      <c r="M211" s="453"/>
    </row>
    <row r="212" spans="1:13">
      <c r="A212" s="460" t="s">
        <v>348</v>
      </c>
      <c r="B212" s="453"/>
      <c r="C212" s="423">
        <f>+q27_E!$C$4</f>
        <v>2014</v>
      </c>
      <c r="D212" s="423">
        <f>+q27_E!$D$4</f>
        <v>2015</v>
      </c>
      <c r="E212" s="423">
        <f>+q27_E!$E$4</f>
        <v>2016</v>
      </c>
      <c r="F212" s="423">
        <f>+q27_E!$F$4</f>
        <v>2017</v>
      </c>
      <c r="G212" s="423">
        <f>+q27_E!$G$4</f>
        <v>2018</v>
      </c>
      <c r="H212" s="423">
        <f>+q27_E!$H$4</f>
        <v>2019</v>
      </c>
      <c r="I212" s="423">
        <f>+q27_E!$I$4</f>
        <v>2020</v>
      </c>
      <c r="J212" s="423">
        <f>+q27_E!$J$4</f>
        <v>2021</v>
      </c>
      <c r="K212" s="423">
        <f>+q27_E!$K$4</f>
        <v>2022</v>
      </c>
      <c r="L212" s="423">
        <f>+q27_E!$L$4</f>
        <v>2023</v>
      </c>
      <c r="M212" s="423">
        <f>+q27_E!$M$4</f>
        <v>2024</v>
      </c>
    </row>
    <row r="213" spans="1:13">
      <c r="A213" s="460" t="s">
        <v>115</v>
      </c>
      <c r="B213" s="453" t="str">
        <f>+Aux!$B$107</f>
        <v>Quadros superiores</v>
      </c>
      <c r="C213" s="458">
        <f>+q39_E!$C$9</f>
        <v>3866.97</v>
      </c>
      <c r="D213" s="458">
        <f>+q39_E!$D$9</f>
        <v>3856.89</v>
      </c>
      <c r="E213" s="458">
        <f>+q39_E!$E$9</f>
        <v>3906.05</v>
      </c>
      <c r="F213" s="458">
        <f>+q39_E!$F$9</f>
        <v>4166.6400000000003</v>
      </c>
      <c r="G213" s="458">
        <f>+q39_E!$G$9</f>
        <v>3908.08</v>
      </c>
      <c r="H213" s="458">
        <f>+q39_E!$H$9</f>
        <v>3615.05</v>
      </c>
      <c r="I213" s="458">
        <f>+q39_E!$I$9</f>
        <v>3637.73</v>
      </c>
      <c r="J213" s="458">
        <f>+q39_E!$J$9</f>
        <v>3559.54</v>
      </c>
      <c r="K213" s="458">
        <f>+q39_E!$K$9</f>
        <v>3688.44</v>
      </c>
      <c r="L213" s="458">
        <f>+q39_E!$L$9</f>
        <v>3980.55</v>
      </c>
      <c r="M213" s="458">
        <f>+q39_E!$M$9</f>
        <v>4178.83</v>
      </c>
    </row>
    <row r="214" spans="1:13">
      <c r="A214" s="453"/>
      <c r="B214" s="453" t="str">
        <f>+Aux!$B$108</f>
        <v>Quadros médios</v>
      </c>
      <c r="C214" s="458">
        <f>+q39_E!$C$12</f>
        <v>1890.58</v>
      </c>
      <c r="D214" s="458">
        <f>+q39_E!$D$12</f>
        <v>1910.73</v>
      </c>
      <c r="E214" s="458">
        <f>+q39_E!$E$12</f>
        <v>1932.86</v>
      </c>
      <c r="F214" s="458">
        <f>+q39_E!$F$12</f>
        <v>2069.64</v>
      </c>
      <c r="G214" s="458">
        <f>+q39_E!$G$12</f>
        <v>1951.4</v>
      </c>
      <c r="H214" s="458">
        <f>+q39_E!$H$12</f>
        <v>2003.5</v>
      </c>
      <c r="I214" s="458">
        <f>+q39_E!$I$12</f>
        <v>2190.79</v>
      </c>
      <c r="J214" s="458">
        <f>+q39_E!$J$12</f>
        <v>2141.7199999999998</v>
      </c>
      <c r="K214" s="458">
        <f>+q39_E!$K$12</f>
        <v>2387.7399999999998</v>
      </c>
      <c r="L214" s="458">
        <f>+q39_E!$L$12</f>
        <v>2546.37</v>
      </c>
      <c r="M214" s="458">
        <f>+q39_E!$M$12</f>
        <v>2598.15</v>
      </c>
    </row>
    <row r="215" spans="1:13">
      <c r="A215" s="453"/>
      <c r="B215" s="453" t="str">
        <f>+Aux!$B$109</f>
        <v>Encarregados, contramestres e chefes de equipa</v>
      </c>
      <c r="C215" s="458">
        <f>+q39_E!$C$15</f>
        <v>1679.42</v>
      </c>
      <c r="D215" s="458">
        <f>+q39_E!$D$15</f>
        <v>1691.27</v>
      </c>
      <c r="E215" s="458">
        <f>+q39_E!$E$15</f>
        <v>1778.54</v>
      </c>
      <c r="F215" s="458">
        <f>+q39_E!$F$15</f>
        <v>1826.04</v>
      </c>
      <c r="G215" s="458">
        <f>+q39_E!$G$15</f>
        <v>1857.2</v>
      </c>
      <c r="H215" s="458">
        <f>+q39_E!$H$15</f>
        <v>1926.35</v>
      </c>
      <c r="I215" s="458">
        <f>+q39_E!$I$15</f>
        <v>2038.79</v>
      </c>
      <c r="J215" s="458">
        <f>+q39_E!$J$15</f>
        <v>2123.67</v>
      </c>
      <c r="K215" s="458">
        <f>+q39_E!$K$15</f>
        <v>2192.8000000000002</v>
      </c>
      <c r="L215" s="458">
        <f>+q39_E!$L$15</f>
        <v>2316.0500000000002</v>
      </c>
      <c r="M215" s="458">
        <f>+q39_E!$M$15</f>
        <v>2363.9</v>
      </c>
    </row>
    <row r="216" spans="1:13">
      <c r="A216" s="453"/>
      <c r="B216" s="453" t="str">
        <f>+Aux!$B$110</f>
        <v>Profissionais altamente qualificados</v>
      </c>
      <c r="C216" s="458">
        <f>+q39_E!$C$18</f>
        <v>3384.11</v>
      </c>
      <c r="D216" s="458">
        <f>+q39_E!$D$18</f>
        <v>4377.63</v>
      </c>
      <c r="E216" s="458">
        <f>+q39_E!$E$18</f>
        <v>4608.54</v>
      </c>
      <c r="F216" s="458">
        <f>+q39_E!$F$18</f>
        <v>4487.84</v>
      </c>
      <c r="G216" s="458">
        <f>+q39_E!$G$18</f>
        <v>3895.94</v>
      </c>
      <c r="H216" s="458">
        <f>+q39_E!$H$18</f>
        <v>3045.02</v>
      </c>
      <c r="I216" s="458">
        <f>+q39_E!$I$18</f>
        <v>3238.26</v>
      </c>
      <c r="J216" s="458">
        <f>+q39_E!$J$18</f>
        <v>2810.91</v>
      </c>
      <c r="K216" s="458">
        <f>+q39_E!$K$18</f>
        <v>2504.0100000000002</v>
      </c>
      <c r="L216" s="458">
        <f>+q39_E!$L$18</f>
        <v>2600.4</v>
      </c>
      <c r="M216" s="458">
        <f>+q39_E!$M$18</f>
        <v>2497.88</v>
      </c>
    </row>
    <row r="217" spans="1:13">
      <c r="A217" s="453"/>
      <c r="B217" s="453" t="str">
        <f>+Aux!$B$111</f>
        <v>Profissionais qualificados</v>
      </c>
      <c r="C217" s="458">
        <f>+q39_E!$C$21</f>
        <v>847.08</v>
      </c>
      <c r="D217" s="458">
        <f>+q39_E!$D$21</f>
        <v>856.48</v>
      </c>
      <c r="E217" s="458">
        <f>+q39_E!$E$21</f>
        <v>853.32</v>
      </c>
      <c r="F217" s="458">
        <f>+q39_E!$F$21</f>
        <v>854.57</v>
      </c>
      <c r="G217" s="458">
        <f>+q39_E!$G$21</f>
        <v>886.43</v>
      </c>
      <c r="H217" s="458">
        <f>+q39_E!$H$21</f>
        <v>929.96</v>
      </c>
      <c r="I217" s="458">
        <f>+q39_E!$I$21</f>
        <v>965.86</v>
      </c>
      <c r="J217" s="458">
        <f>+q39_E!$J$21</f>
        <v>1033.98</v>
      </c>
      <c r="K217" s="458">
        <f>+q39_E!$K$21</f>
        <v>1083.6600000000001</v>
      </c>
      <c r="L217" s="458">
        <f>+q39_E!$L$21</f>
        <v>1163.8599999999999</v>
      </c>
      <c r="M217" s="458">
        <f>+q39_E!$M$21</f>
        <v>1226.06</v>
      </c>
    </row>
    <row r="218" spans="1:13">
      <c r="A218" s="453"/>
      <c r="B218" s="453" t="str">
        <f>+Aux!$B$112</f>
        <v>Profissionais semi-qualificados</v>
      </c>
      <c r="C218" s="458">
        <f>+q39_E!$C$24</f>
        <v>696.38</v>
      </c>
      <c r="D218" s="458">
        <f>+q39_E!$D$24</f>
        <v>685.23</v>
      </c>
      <c r="E218" s="458">
        <f>+q39_E!$E$24</f>
        <v>699.73</v>
      </c>
      <c r="F218" s="458">
        <f>+q39_E!$F$24</f>
        <v>750.38</v>
      </c>
      <c r="G218" s="458">
        <f>+q39_E!$G$24</f>
        <v>787.56</v>
      </c>
      <c r="H218" s="458">
        <f>+q39_E!$H$24</f>
        <v>816.09</v>
      </c>
      <c r="I218" s="458">
        <f>+q39_E!$I$24</f>
        <v>854.71</v>
      </c>
      <c r="J218" s="458">
        <f>+q39_E!$J$24</f>
        <v>894.87</v>
      </c>
      <c r="K218" s="458">
        <f>+q39_E!$K$24</f>
        <v>945.24</v>
      </c>
      <c r="L218" s="458">
        <f>+q39_E!$L$24</f>
        <v>1018.94</v>
      </c>
      <c r="M218" s="458">
        <f>+q39_E!$M$24</f>
        <v>1093.5999999999999</v>
      </c>
    </row>
    <row r="219" spans="1:13">
      <c r="A219" s="453"/>
      <c r="B219" s="453" t="str">
        <f>+Aux!$B$113</f>
        <v>Profissionais não qualificados</v>
      </c>
      <c r="C219" s="458">
        <f>+q39_E!$C$27</f>
        <v>663.69</v>
      </c>
      <c r="D219" s="458">
        <f>+q39_E!$D$27</f>
        <v>666.36</v>
      </c>
      <c r="E219" s="458">
        <f>+q39_E!$E$27</f>
        <v>684.84</v>
      </c>
      <c r="F219" s="458">
        <f>+q39_E!$F$27</f>
        <v>712.8</v>
      </c>
      <c r="G219" s="458">
        <f>+q39_E!$G$27</f>
        <v>736.42</v>
      </c>
      <c r="H219" s="458">
        <f>+q39_E!$H$27</f>
        <v>755.23</v>
      </c>
      <c r="I219" s="458">
        <f>+q39_E!$I$27</f>
        <v>788.4</v>
      </c>
      <c r="J219" s="458">
        <f>+q39_E!$J$27</f>
        <v>839.5</v>
      </c>
      <c r="K219" s="458">
        <f>+q39_E!$K$27</f>
        <v>883.84</v>
      </c>
      <c r="L219" s="458">
        <f>+q39_E!$L$27</f>
        <v>951.59</v>
      </c>
      <c r="M219" s="458">
        <f>+q39_E!$M$27</f>
        <v>1023.89</v>
      </c>
    </row>
    <row r="220" spans="1:13">
      <c r="A220" s="453"/>
      <c r="B220" s="453" t="str">
        <f>+Aux!$B$114</f>
        <v>Praticantes e aprendizes</v>
      </c>
      <c r="C220" s="458">
        <f>+q39_E!$C$30</f>
        <v>632.63</v>
      </c>
      <c r="D220" s="458">
        <f>+q39_E!$D$30</f>
        <v>632.74</v>
      </c>
      <c r="E220" s="458">
        <f>+q39_E!$E$30</f>
        <v>650.96</v>
      </c>
      <c r="F220" s="458">
        <f>+q39_E!$F$30</f>
        <v>690.13</v>
      </c>
      <c r="G220" s="458">
        <f>+q39_E!$G$30</f>
        <v>724.97</v>
      </c>
      <c r="H220" s="458">
        <f>+q39_E!$H$30</f>
        <v>751.55</v>
      </c>
      <c r="I220" s="458">
        <f>+q39_E!$I$30</f>
        <v>779.81</v>
      </c>
      <c r="J220" s="458">
        <f>+q39_E!$J$30</f>
        <v>813.53</v>
      </c>
      <c r="K220" s="458">
        <f>+q39_E!$K$30</f>
        <v>869.87</v>
      </c>
      <c r="L220" s="458">
        <f>+q39_E!$L$30</f>
        <v>944.39</v>
      </c>
      <c r="M220" s="458">
        <f>+q39_E!$M$30</f>
        <v>1011.47</v>
      </c>
    </row>
    <row r="221" spans="1:13">
      <c r="A221" s="453"/>
      <c r="B221" s="453" t="str">
        <f>+Aux!$B$115</f>
        <v>Total</v>
      </c>
      <c r="C221" s="458">
        <f>+q39_E!$C$6</f>
        <v>1100.31</v>
      </c>
      <c r="D221" s="458">
        <f>+q39_E!$D$6</f>
        <v>1136.92</v>
      </c>
      <c r="E221" s="458">
        <f>+q39_E!$E$6</f>
        <v>1143.05</v>
      </c>
      <c r="F221" s="458">
        <f>+q39_E!$F$6</f>
        <v>1196</v>
      </c>
      <c r="G221" s="458">
        <f>+q39_E!$G$6</f>
        <v>1184.03</v>
      </c>
      <c r="H221" s="458">
        <f>+q39_E!$H$6</f>
        <v>1181.53</v>
      </c>
      <c r="I221" s="458">
        <f>+q39_E!$I$6</f>
        <v>1226.0999999999999</v>
      </c>
      <c r="J221" s="458">
        <f>+q39_E!$J$6</f>
        <v>1292.43</v>
      </c>
      <c r="K221" s="458">
        <f>+q39_E!$K$6</f>
        <v>1331.16</v>
      </c>
      <c r="L221" s="458">
        <f>+q39_E!$L$6</f>
        <v>1394.29</v>
      </c>
      <c r="M221" s="458">
        <f>+q39_E!$M$6</f>
        <v>1458.01</v>
      </c>
    </row>
    <row r="222" spans="1:13">
      <c r="A222" s="453"/>
      <c r="B222" s="453"/>
      <c r="C222" s="453"/>
      <c r="D222" s="453"/>
      <c r="E222" s="453"/>
      <c r="F222" s="453"/>
      <c r="G222" s="453"/>
      <c r="H222" s="453"/>
      <c r="I222" s="453"/>
      <c r="J222" s="453"/>
      <c r="K222" s="453"/>
      <c r="L222" s="453"/>
      <c r="M222" s="453"/>
    </row>
    <row r="223" spans="1:13">
      <c r="A223" s="453"/>
      <c r="B223" s="453"/>
      <c r="C223" s="423">
        <f>+q27_E!$C$4</f>
        <v>2014</v>
      </c>
      <c r="D223" s="423">
        <f>+q27_E!$D$4</f>
        <v>2015</v>
      </c>
      <c r="E223" s="423">
        <f>+q27_E!$E$4</f>
        <v>2016</v>
      </c>
      <c r="F223" s="423">
        <f>+q27_E!$F$4</f>
        <v>2017</v>
      </c>
      <c r="G223" s="423">
        <f>+q27_E!$G$4</f>
        <v>2018</v>
      </c>
      <c r="H223" s="423">
        <f>+q27_E!$H$4</f>
        <v>2019</v>
      </c>
      <c r="I223" s="423">
        <f>+q27_E!$I$4</f>
        <v>2020</v>
      </c>
      <c r="J223" s="423">
        <f>+q27_E!$J$4</f>
        <v>2021</v>
      </c>
      <c r="K223" s="423">
        <f>+q27_E!$K$4</f>
        <v>2022</v>
      </c>
      <c r="L223" s="423">
        <f>+q27_E!$L$4</f>
        <v>2023</v>
      </c>
      <c r="M223" s="423">
        <f>+q27_E!$M$4</f>
        <v>2024</v>
      </c>
    </row>
    <row r="224" spans="1:13">
      <c r="A224" s="460" t="s">
        <v>116</v>
      </c>
      <c r="B224" s="453" t="str">
        <f>+Aux!$B$107</f>
        <v>Quadros superiores</v>
      </c>
      <c r="C224" s="458">
        <f>+q39_E!$C$10</f>
        <v>2290.71</v>
      </c>
      <c r="D224" s="458">
        <f>+q39_E!$D$10</f>
        <v>2296.1999999999998</v>
      </c>
      <c r="E224" s="458">
        <f>+q39_E!$E$10</f>
        <v>2328.9499999999998</v>
      </c>
      <c r="F224" s="458">
        <f>+q39_E!$F$10</f>
        <v>2471.65</v>
      </c>
      <c r="G224" s="458">
        <f>+q39_E!$G$10</f>
        <v>2471.2199999999998</v>
      </c>
      <c r="H224" s="458">
        <f>+q39_E!$H$10</f>
        <v>2435.56</v>
      </c>
      <c r="I224" s="458">
        <f>+q39_E!$I$10</f>
        <v>2493.8200000000002</v>
      </c>
      <c r="J224" s="458">
        <f>+q39_E!$J$10</f>
        <v>2455.5300000000002</v>
      </c>
      <c r="K224" s="458">
        <f>+q39_E!$K$10</f>
        <v>2743.19</v>
      </c>
      <c r="L224" s="458">
        <f>+q39_E!$L$10</f>
        <v>2962.51</v>
      </c>
      <c r="M224" s="458">
        <f>+q39_E!$M$10</f>
        <v>3159.42</v>
      </c>
    </row>
    <row r="225" spans="1:32">
      <c r="A225" s="453"/>
      <c r="B225" s="453" t="str">
        <f>+Aux!$B$108</f>
        <v>Quadros médios</v>
      </c>
      <c r="C225" s="458">
        <f>+q39_E!$C$13</f>
        <v>1477.98</v>
      </c>
      <c r="D225" s="458">
        <f>+q39_E!$D$13</f>
        <v>1503.64</v>
      </c>
      <c r="E225" s="458">
        <f>+q39_E!$E$13</f>
        <v>1568.18</v>
      </c>
      <c r="F225" s="458">
        <f>+q39_E!$F$13</f>
        <v>1615.8</v>
      </c>
      <c r="G225" s="458">
        <f>+q39_E!$G$13</f>
        <v>1691.82</v>
      </c>
      <c r="H225" s="458">
        <f>+q39_E!$H$13</f>
        <v>1702.6</v>
      </c>
      <c r="I225" s="458">
        <f>+q39_E!$I$13</f>
        <v>1816.78</v>
      </c>
      <c r="J225" s="458">
        <f>+q39_E!$J$13</f>
        <v>1822.16</v>
      </c>
      <c r="K225" s="458">
        <f>+q39_E!$K$13</f>
        <v>2017.01</v>
      </c>
      <c r="L225" s="458">
        <f>+q39_E!$L$13</f>
        <v>2186.04</v>
      </c>
      <c r="M225" s="458">
        <f>+q39_E!$M$13</f>
        <v>2208.0300000000002</v>
      </c>
    </row>
    <row r="226" spans="1:32">
      <c r="A226" s="453"/>
      <c r="B226" s="453" t="str">
        <f>+Aux!$B$109</f>
        <v>Encarregados, contramestres e chefes de equipa</v>
      </c>
      <c r="C226" s="458">
        <f>+q39_E!$C$16</f>
        <v>1418.38</v>
      </c>
      <c r="D226" s="458">
        <f>+q39_E!$D$16</f>
        <v>1432.42</v>
      </c>
      <c r="E226" s="458">
        <f>+q39_E!$E$16</f>
        <v>1488.96</v>
      </c>
      <c r="F226" s="458">
        <f>+q39_E!$F$16</f>
        <v>1551.77</v>
      </c>
      <c r="G226" s="458">
        <f>+q39_E!$G$16</f>
        <v>1600.4</v>
      </c>
      <c r="H226" s="458">
        <f>+q39_E!$H$16</f>
        <v>1693.64</v>
      </c>
      <c r="I226" s="458">
        <f>+q39_E!$I$16</f>
        <v>1784.88</v>
      </c>
      <c r="J226" s="458">
        <f>+q39_E!$J$16</f>
        <v>1910.41</v>
      </c>
      <c r="K226" s="458">
        <f>+q39_E!$K$16</f>
        <v>1936.13</v>
      </c>
      <c r="L226" s="458">
        <f>+q39_E!$L$16</f>
        <v>2017.33</v>
      </c>
      <c r="M226" s="458">
        <f>+q39_E!$M$16</f>
        <v>2212.02</v>
      </c>
    </row>
    <row r="227" spans="1:32">
      <c r="A227" s="453"/>
      <c r="B227" s="453" t="str">
        <f>+Aux!$B$110</f>
        <v>Profissionais altamente qualificados</v>
      </c>
      <c r="C227" s="458">
        <f>+q39_E!$C$19</f>
        <v>1125.56</v>
      </c>
      <c r="D227" s="458">
        <f>+q39_E!$D$19</f>
        <v>1120.42</v>
      </c>
      <c r="E227" s="458">
        <f>+q39_E!$E$19</f>
        <v>1122.33</v>
      </c>
      <c r="F227" s="458">
        <f>+q39_E!$F$19</f>
        <v>1110.3599999999999</v>
      </c>
      <c r="G227" s="458">
        <f>+q39_E!$G$19</f>
        <v>1118.27</v>
      </c>
      <c r="H227" s="458">
        <f>+q39_E!$H$19</f>
        <v>1080.31</v>
      </c>
      <c r="I227" s="458">
        <f>+q39_E!$I$19</f>
        <v>1139.95</v>
      </c>
      <c r="J227" s="458">
        <f>+q39_E!$J$19</f>
        <v>1153.3800000000001</v>
      </c>
      <c r="K227" s="458">
        <f>+q39_E!$K$19</f>
        <v>1200.81</v>
      </c>
      <c r="L227" s="458">
        <f>+q39_E!$L$19</f>
        <v>1389.1</v>
      </c>
      <c r="M227" s="458">
        <f>+q39_E!$M$19</f>
        <v>1480.77</v>
      </c>
    </row>
    <row r="228" spans="1:32">
      <c r="A228" s="453"/>
      <c r="B228" s="453" t="str">
        <f>+Aux!$B$111</f>
        <v>Profissionais qualificados</v>
      </c>
      <c r="C228" s="458">
        <f>+q39_E!$C$22</f>
        <v>745.64</v>
      </c>
      <c r="D228" s="458">
        <f>+q39_E!$D$22</f>
        <v>754.98</v>
      </c>
      <c r="E228" s="458">
        <f>+q39_E!$E$22</f>
        <v>777.1</v>
      </c>
      <c r="F228" s="458">
        <f>+q39_E!$F$22</f>
        <v>788.56</v>
      </c>
      <c r="G228" s="458">
        <f>+q39_E!$G$22</f>
        <v>810.51</v>
      </c>
      <c r="H228" s="458">
        <f>+q39_E!$H$22</f>
        <v>863.51</v>
      </c>
      <c r="I228" s="458">
        <f>+q39_E!$I$22</f>
        <v>922.83</v>
      </c>
      <c r="J228" s="458">
        <f>+q39_E!$J$22</f>
        <v>960.58</v>
      </c>
      <c r="K228" s="458">
        <f>+q39_E!$K$22</f>
        <v>1001</v>
      </c>
      <c r="L228" s="458">
        <f>+q39_E!$L$22</f>
        <v>1071.19</v>
      </c>
      <c r="M228" s="458">
        <f>+q39_E!$M$22</f>
        <v>1150.71</v>
      </c>
    </row>
    <row r="229" spans="1:32">
      <c r="A229" s="453"/>
      <c r="B229" s="453" t="str">
        <f>+Aux!$B$112</f>
        <v>Profissionais semi-qualificados</v>
      </c>
      <c r="C229" s="458">
        <f>+q39_E!$C$25</f>
        <v>638.86</v>
      </c>
      <c r="D229" s="458">
        <f>+q39_E!$D$25</f>
        <v>640.91</v>
      </c>
      <c r="E229" s="458">
        <f>+q39_E!$E$25</f>
        <v>666.29</v>
      </c>
      <c r="F229" s="458">
        <f>+q39_E!$F$25</f>
        <v>698.54</v>
      </c>
      <c r="G229" s="458">
        <f>+q39_E!$G$25</f>
        <v>733.01</v>
      </c>
      <c r="H229" s="458">
        <f>+q39_E!$H$25</f>
        <v>763.99</v>
      </c>
      <c r="I229" s="458">
        <f>+q39_E!$I$25</f>
        <v>804.83</v>
      </c>
      <c r="J229" s="458">
        <f>+q39_E!$J$25</f>
        <v>848.4</v>
      </c>
      <c r="K229" s="458">
        <f>+q39_E!$K$25</f>
        <v>896.94</v>
      </c>
      <c r="L229" s="458">
        <f>+q39_E!$L$25</f>
        <v>955.79</v>
      </c>
      <c r="M229" s="458">
        <f>+q39_E!$M$25</f>
        <v>1030.8399999999999</v>
      </c>
    </row>
    <row r="230" spans="1:32">
      <c r="A230" s="453"/>
      <c r="B230" s="453" t="str">
        <f>+Aux!$B$113</f>
        <v>Profissionais não qualificados</v>
      </c>
      <c r="C230" s="458">
        <f>+q39_E!$C$28</f>
        <v>598.98</v>
      </c>
      <c r="D230" s="458">
        <f>+q39_E!$D$28</f>
        <v>603.71</v>
      </c>
      <c r="E230" s="458">
        <f>+q39_E!$E$28</f>
        <v>625.15</v>
      </c>
      <c r="F230" s="458">
        <f>+q39_E!$F$28</f>
        <v>658.74</v>
      </c>
      <c r="G230" s="458">
        <f>+q39_E!$G$28</f>
        <v>683.49</v>
      </c>
      <c r="H230" s="458">
        <f>+q39_E!$H$28</f>
        <v>708.84</v>
      </c>
      <c r="I230" s="458">
        <f>+q39_E!$I$28</f>
        <v>747.11</v>
      </c>
      <c r="J230" s="458">
        <f>+q39_E!$J$28</f>
        <v>788.11</v>
      </c>
      <c r="K230" s="458">
        <f>+q39_E!$K$28</f>
        <v>840.07</v>
      </c>
      <c r="L230" s="458">
        <f>+q39_E!$L$28</f>
        <v>901.8</v>
      </c>
      <c r="M230" s="458">
        <f>+q39_E!$M$28</f>
        <v>972.11</v>
      </c>
    </row>
    <row r="231" spans="1:32">
      <c r="A231" s="453"/>
      <c r="B231" s="453" t="str">
        <f>+Aux!$B$114</f>
        <v>Praticantes e aprendizes</v>
      </c>
      <c r="C231" s="458">
        <f>+q39_E!$C$31</f>
        <v>615.12</v>
      </c>
      <c r="D231" s="458">
        <f>+q39_E!$D$31</f>
        <v>609.21</v>
      </c>
      <c r="E231" s="458">
        <f>+q39_E!$E$31</f>
        <v>634.72</v>
      </c>
      <c r="F231" s="458">
        <f>+q39_E!$F$31</f>
        <v>667.13</v>
      </c>
      <c r="G231" s="458">
        <f>+q39_E!$G$31</f>
        <v>702.04</v>
      </c>
      <c r="H231" s="458">
        <f>+q39_E!$H$31</f>
        <v>729.61</v>
      </c>
      <c r="I231" s="458">
        <f>+q39_E!$I$31</f>
        <v>752.06</v>
      </c>
      <c r="J231" s="458">
        <f>+q39_E!$J$31</f>
        <v>791.48</v>
      </c>
      <c r="K231" s="458">
        <f>+q39_E!$K$31</f>
        <v>844</v>
      </c>
      <c r="L231" s="458">
        <f>+q39_E!$L$31</f>
        <v>907.13</v>
      </c>
      <c r="M231" s="458">
        <f>+q39_E!$M$31</f>
        <v>977.21</v>
      </c>
    </row>
    <row r="232" spans="1:32">
      <c r="A232" s="453"/>
      <c r="B232" s="453" t="str">
        <f>+Aux!$B$115</f>
        <v>Total</v>
      </c>
      <c r="C232" s="458">
        <f>+q39_E!$C$7</f>
        <v>809.9</v>
      </c>
      <c r="D232" s="458">
        <f>+q39_E!$D$7</f>
        <v>815.98</v>
      </c>
      <c r="E232" s="458">
        <f>+q39_E!$E$7</f>
        <v>845.79</v>
      </c>
      <c r="F232" s="458">
        <f>+q39_E!$F$7</f>
        <v>884.09</v>
      </c>
      <c r="G232" s="458">
        <f>+q39_E!$G$7</f>
        <v>911.3</v>
      </c>
      <c r="H232" s="458">
        <f>+q39_E!$H$7</f>
        <v>931.54</v>
      </c>
      <c r="I232" s="458">
        <f>+q39_E!$I$7</f>
        <v>997.34</v>
      </c>
      <c r="J232" s="458">
        <f>+q39_E!$J$7</f>
        <v>1058.8800000000001</v>
      </c>
      <c r="K232" s="458">
        <f>+q39_E!$K$7</f>
        <v>1111.1300000000001</v>
      </c>
      <c r="L232" s="458">
        <f>+q39_E!$L$7</f>
        <v>1178.73</v>
      </c>
      <c r="M232" s="458">
        <f>+q39_E!$M$7</f>
        <v>1261.96</v>
      </c>
    </row>
    <row r="233" spans="1:32">
      <c r="A233" s="453"/>
      <c r="B233" s="453"/>
      <c r="C233" s="453"/>
      <c r="D233" s="453"/>
      <c r="E233" s="453"/>
      <c r="F233" s="453"/>
      <c r="G233" s="453"/>
      <c r="H233" s="453"/>
      <c r="I233" s="453"/>
      <c r="J233" s="453"/>
      <c r="K233" s="453"/>
      <c r="L233" s="453"/>
      <c r="M233" s="453"/>
    </row>
    <row r="234" spans="1:32">
      <c r="A234" s="453"/>
      <c r="B234" s="453"/>
      <c r="C234" s="423">
        <f>+q27_E!$C$4</f>
        <v>2014</v>
      </c>
      <c r="D234" s="423">
        <f>+q27_E!$D$4</f>
        <v>2015</v>
      </c>
      <c r="E234" s="423">
        <f>+q27_E!$E$4</f>
        <v>2016</v>
      </c>
      <c r="F234" s="423">
        <f>+q27_E!$F$4</f>
        <v>2017</v>
      </c>
      <c r="G234" s="423">
        <f>+q27_E!$G$4</f>
        <v>2018</v>
      </c>
      <c r="H234" s="423">
        <f>+q27_E!$H$4</f>
        <v>2019</v>
      </c>
      <c r="I234" s="423">
        <f>+q27_E!$I$4</f>
        <v>2020</v>
      </c>
      <c r="J234" s="423">
        <f>+q27_E!$J$4</f>
        <v>2021</v>
      </c>
      <c r="K234" s="423">
        <f>+q27_E!$K$4</f>
        <v>2022</v>
      </c>
      <c r="L234" s="423">
        <f>+q27_E!$L$4</f>
        <v>2023</v>
      </c>
      <c r="M234" s="423">
        <f>+q27_E!$M$4</f>
        <v>2024</v>
      </c>
    </row>
    <row r="235" spans="1:32">
      <c r="A235" s="460" t="s">
        <v>11</v>
      </c>
      <c r="B235" s="453" t="str">
        <f>+Aux!$B$107</f>
        <v>Quadros superiores</v>
      </c>
      <c r="C235" s="458">
        <f>+q39_E!$C$8</f>
        <v>3238.01</v>
      </c>
      <c r="D235" s="458">
        <f>+q39_E!$D$8</f>
        <v>3237.85</v>
      </c>
      <c r="E235" s="458">
        <f>+q39_E!$E$8</f>
        <v>3273.71</v>
      </c>
      <c r="F235" s="458">
        <f>+q39_E!$F$8</f>
        <v>3487.7</v>
      </c>
      <c r="G235" s="458">
        <f>+q39_E!$G$8</f>
        <v>3352.64</v>
      </c>
      <c r="H235" s="458">
        <f>+q39_E!$H$8</f>
        <v>3182.08</v>
      </c>
      <c r="I235" s="458">
        <f>+q39_E!$I$8</f>
        <v>3215.98</v>
      </c>
      <c r="J235" s="458">
        <f>+q39_E!$J$8</f>
        <v>3137.86</v>
      </c>
      <c r="K235" s="458">
        <f>+q39_E!$K$8</f>
        <v>3353.9</v>
      </c>
      <c r="L235" s="458">
        <f>+q39_E!$L$8</f>
        <v>3625.38</v>
      </c>
      <c r="M235" s="458">
        <f>+q39_E!$M$8</f>
        <v>3824.49</v>
      </c>
    </row>
    <row r="236" spans="1:32">
      <c r="A236" s="453"/>
      <c r="B236" s="453" t="str">
        <f>+Aux!$B$108</f>
        <v>Quadros médios</v>
      </c>
      <c r="C236" s="458">
        <f>+q39_E!$C$11</f>
        <v>1721.84</v>
      </c>
      <c r="D236" s="458">
        <f>+q39_E!$D$11</f>
        <v>1734.9</v>
      </c>
      <c r="E236" s="458">
        <f>+q39_E!$E$11</f>
        <v>1778.17</v>
      </c>
      <c r="F236" s="458">
        <f>+q39_E!$F$11</f>
        <v>1882.71</v>
      </c>
      <c r="G236" s="458">
        <f>+q39_E!$G$11</f>
        <v>1848.02</v>
      </c>
      <c r="H236" s="458">
        <f>+q39_E!$H$11</f>
        <v>1882.28</v>
      </c>
      <c r="I236" s="458">
        <f>+q39_E!$I$11</f>
        <v>2042.02</v>
      </c>
      <c r="J236" s="458">
        <f>+q39_E!$J$11</f>
        <v>2017.72</v>
      </c>
      <c r="K236" s="458">
        <f>+q39_E!$K$11</f>
        <v>2243.83</v>
      </c>
      <c r="L236" s="458">
        <f>+q39_E!$L$11</f>
        <v>2403.7800000000002</v>
      </c>
      <c r="M236" s="458">
        <f>+q39_E!$M$11</f>
        <v>2446.27</v>
      </c>
      <c r="R236" s="453"/>
      <c r="S236" s="453"/>
      <c r="T236" s="453"/>
      <c r="U236" s="453">
        <v>11</v>
      </c>
      <c r="V236" s="453"/>
      <c r="W236" s="453"/>
      <c r="X236" s="453"/>
      <c r="Y236" s="453"/>
      <c r="Z236" s="453"/>
      <c r="AA236" s="453"/>
      <c r="AB236" s="453"/>
      <c r="AC236" s="453"/>
      <c r="AD236" s="453"/>
      <c r="AE236" s="463"/>
      <c r="AF236" s="453"/>
    </row>
    <row r="237" spans="1:32">
      <c r="A237" s="453"/>
      <c r="B237" s="453" t="str">
        <f>+Aux!$B$109</f>
        <v>Encarregados, contramestres e chefes de equipa</v>
      </c>
      <c r="C237" s="458">
        <f>+q39_E!$C$14</f>
        <v>1578.72</v>
      </c>
      <c r="D237" s="458">
        <f>+q39_E!$D$14</f>
        <v>1589.24</v>
      </c>
      <c r="E237" s="458">
        <f>+q39_E!$E$14</f>
        <v>1656.88</v>
      </c>
      <c r="F237" s="458">
        <f>+q39_E!$F$14</f>
        <v>1709.78</v>
      </c>
      <c r="G237" s="458">
        <f>+q39_E!$G$14</f>
        <v>1744.87</v>
      </c>
      <c r="H237" s="458">
        <f>+q39_E!$H$14</f>
        <v>1834.22</v>
      </c>
      <c r="I237" s="458">
        <f>+q39_E!$I$14</f>
        <v>1941.51</v>
      </c>
      <c r="J237" s="458">
        <f>+q39_E!$J$14</f>
        <v>2039.26</v>
      </c>
      <c r="K237" s="458">
        <f>+q39_E!$K$14</f>
        <v>2089.9699999999998</v>
      </c>
      <c r="L237" s="458">
        <f>+q39_E!$L$14</f>
        <v>2194.1999999999998</v>
      </c>
      <c r="M237" s="458">
        <f>+q39_E!$M$14</f>
        <v>2304.77</v>
      </c>
      <c r="R237" s="453">
        <f>INDEX($P$95:$P$105,$U$236)</f>
        <v>2024</v>
      </c>
      <c r="S237" s="423" t="s">
        <v>349</v>
      </c>
      <c r="T237" s="453"/>
      <c r="U237" s="453"/>
      <c r="V237" s="453"/>
      <c r="W237" s="453"/>
      <c r="X237" s="453"/>
      <c r="Y237" s="453"/>
      <c r="Z237" s="453"/>
      <c r="AA237" s="453"/>
      <c r="AB237" s="453"/>
      <c r="AC237" s="453"/>
      <c r="AD237" s="453"/>
      <c r="AE237" s="453"/>
      <c r="AF237" s="453"/>
    </row>
    <row r="238" spans="1:32">
      <c r="A238" s="453"/>
      <c r="B238" s="453" t="str">
        <f>+Aux!$B$110</f>
        <v>Profissionais altamente qualificados</v>
      </c>
      <c r="C238" s="458">
        <f>+q39_E!$C$17</f>
        <v>2341.6999999999998</v>
      </c>
      <c r="D238" s="458">
        <f>+q39_E!$D$17</f>
        <v>2872.46</v>
      </c>
      <c r="E238" s="458">
        <f>+q39_E!$E$17</f>
        <v>2980.19</v>
      </c>
      <c r="F238" s="458">
        <f>+q39_E!$F$17</f>
        <v>2946.74</v>
      </c>
      <c r="G238" s="458">
        <f>+q39_E!$G$17</f>
        <v>2662.73</v>
      </c>
      <c r="H238" s="458">
        <f>+q39_E!$H$17</f>
        <v>2226.9699999999998</v>
      </c>
      <c r="I238" s="458">
        <f>+q39_E!$I$17</f>
        <v>2311.34</v>
      </c>
      <c r="J238" s="458">
        <f>+q39_E!$J$17</f>
        <v>2045.2</v>
      </c>
      <c r="K238" s="458">
        <f>+q39_E!$K$17</f>
        <v>1917.52</v>
      </c>
      <c r="L238" s="458">
        <f>+q39_E!$L$17</f>
        <v>2106.38</v>
      </c>
      <c r="M238" s="458">
        <f>+q39_E!$M$17</f>
        <v>2088.37</v>
      </c>
      <c r="R238" s="453"/>
      <c r="S238" s="453"/>
      <c r="T238" s="423" t="s">
        <v>364</v>
      </c>
      <c r="U238" s="423" t="s">
        <v>368</v>
      </c>
      <c r="V238" s="423" t="s">
        <v>365</v>
      </c>
      <c r="W238" s="423" t="s">
        <v>369</v>
      </c>
      <c r="X238" s="423" t="s">
        <v>366</v>
      </c>
      <c r="Y238" s="423" t="s">
        <v>367</v>
      </c>
      <c r="Z238" s="453"/>
      <c r="AA238" s="453" t="s">
        <v>389</v>
      </c>
      <c r="AB238" s="502" t="s">
        <v>417</v>
      </c>
      <c r="AC238" s="453" t="s">
        <v>263</v>
      </c>
      <c r="AD238" s="453" t="s">
        <v>422</v>
      </c>
      <c r="AE238" s="453" t="s">
        <v>423</v>
      </c>
      <c r="AF238" s="453"/>
    </row>
    <row r="239" spans="1:32">
      <c r="A239" s="453"/>
      <c r="B239" s="453" t="str">
        <f>+Aux!$B$111</f>
        <v>Profissionais qualificados</v>
      </c>
      <c r="C239" s="458">
        <f>+q39_E!$C$20</f>
        <v>812.86</v>
      </c>
      <c r="D239" s="458">
        <f>+q39_E!$D$20</f>
        <v>821.87</v>
      </c>
      <c r="E239" s="458">
        <f>+q39_E!$E$20</f>
        <v>826.3</v>
      </c>
      <c r="F239" s="458">
        <f>+q39_E!$F$20</f>
        <v>830.32</v>
      </c>
      <c r="G239" s="458">
        <f>+q39_E!$G$20</f>
        <v>858.36</v>
      </c>
      <c r="H239" s="458">
        <f>+q39_E!$H$20</f>
        <v>905.98</v>
      </c>
      <c r="I239" s="458">
        <f>+q39_E!$I$20</f>
        <v>951.11</v>
      </c>
      <c r="J239" s="458">
        <f>+q39_E!$J$20</f>
        <v>1008.06</v>
      </c>
      <c r="K239" s="458">
        <f>+q39_E!$K$20</f>
        <v>1055.27</v>
      </c>
      <c r="L239" s="458">
        <f>+q39_E!$L$20</f>
        <v>1133.23</v>
      </c>
      <c r="M239" s="458">
        <f>+q39_E!$M$20</f>
        <v>1202.1600000000001</v>
      </c>
      <c r="R239" s="453"/>
      <c r="S239" s="453" t="s">
        <v>47</v>
      </c>
      <c r="T239" s="463">
        <f>INDEX($B$179:$M$188,MATCH($S239,$B$179:$B$188,0),MATCH($R$237,$B$179:$M$179,0))*-1</f>
        <v>-3670.58</v>
      </c>
      <c r="U239" s="463">
        <f>INDEX($B$212:$M$221,MATCH($S239,$B$212:$B$221,0),MATCH($R$237,$B$212:$M$212,0))*-1</f>
        <v>-4178.83</v>
      </c>
      <c r="V239" s="463">
        <f>INDEX($B$190:$M$199,MATCH($S239,$B$190:$B$199,0),MATCH($R$237,$B$190:$M$190,0))</f>
        <v>2716.25</v>
      </c>
      <c r="W239" s="463">
        <f>INDEX($B$223:$M$232,MATCH($S239,$B$223:$B$232,0),MATCH($R$237,$B$223:$M$223,0))</f>
        <v>3159.42</v>
      </c>
      <c r="X239" s="463">
        <f>INDEX($B$201:$M$210,MATCH($S239,$B$201:$B$210,0),MATCH($R$237,$B$201:$M$201,0))</f>
        <v>3338.86</v>
      </c>
      <c r="Y239" s="463">
        <f>INDEX($B$234:$M$243,MATCH($S239,$B$234:$B$243,0),MATCH($R$237,$B$234:$M$234,0))</f>
        <v>3824.49</v>
      </c>
      <c r="Z239" s="483">
        <f>+X239/$X$247</f>
        <v>2.8658020548121574</v>
      </c>
      <c r="AA239" s="483">
        <f>(V239/T239*(-1)-1)*100</f>
        <v>-25.999433332061962</v>
      </c>
      <c r="AB239" s="536">
        <f>X239/Y239</f>
        <v>0.87302097796046019</v>
      </c>
      <c r="AC239" s="463">
        <f>+Y239</f>
        <v>3824.49</v>
      </c>
      <c r="AD239" s="470">
        <f>+(V239/(T239*-1))</f>
        <v>0.74000566667938039</v>
      </c>
      <c r="AE239" s="470">
        <f>+(W239/(U239*-1))</f>
        <v>0.75605372795734693</v>
      </c>
      <c r="AF239" s="453" t="str">
        <f>+S239</f>
        <v>Quadros superiores</v>
      </c>
    </row>
    <row r="240" spans="1:32">
      <c r="A240" s="453"/>
      <c r="B240" s="453" t="str">
        <f>+Aux!$B$112</f>
        <v>Profissionais semi-qualificados</v>
      </c>
      <c r="C240" s="458">
        <f>+q39_E!$C$23</f>
        <v>668.7</v>
      </c>
      <c r="D240" s="458">
        <f>+q39_E!$D$23</f>
        <v>664.33</v>
      </c>
      <c r="E240" s="458">
        <f>+q39_E!$E$23</f>
        <v>684.74</v>
      </c>
      <c r="F240" s="458">
        <f>+q39_E!$F$23</f>
        <v>726.67</v>
      </c>
      <c r="G240" s="458">
        <f>+q39_E!$G$23</f>
        <v>762.82</v>
      </c>
      <c r="H240" s="458">
        <f>+q39_E!$H$23</f>
        <v>791.98</v>
      </c>
      <c r="I240" s="458">
        <f>+q39_E!$I$23</f>
        <v>832.72</v>
      </c>
      <c r="J240" s="458">
        <f>+q39_E!$J$23</f>
        <v>874.72</v>
      </c>
      <c r="K240" s="458">
        <f>+q39_E!$K$23</f>
        <v>924.28</v>
      </c>
      <c r="L240" s="458">
        <f>+q39_E!$L$23</f>
        <v>990.4</v>
      </c>
      <c r="M240" s="458">
        <f>+q39_E!$M$23</f>
        <v>1065.8699999999999</v>
      </c>
      <c r="R240" s="453"/>
      <c r="S240" s="453" t="s">
        <v>48</v>
      </c>
      <c r="T240" s="463">
        <f t="shared" ref="T240:T247" si="49">INDEX($B$179:$M$188,MATCH($S240,$B$179:$B$188,0),MATCH($R$237,$B$179:$M$179,0))*-1</f>
        <v>-2239.0700000000002</v>
      </c>
      <c r="U240" s="463">
        <f t="shared" ref="U240:U247" si="50">INDEX($B$212:$M$221,MATCH($S240,$B$212:$B$221,0),MATCH($R$237,$B$212:$M$212,0))*-1</f>
        <v>-2598.15</v>
      </c>
      <c r="V240" s="463">
        <f t="shared" ref="V240:V247" si="51">INDEX($B$190:$M$199,MATCH($S240,$B$190:$B$199,0),MATCH($R$237,$B$190:$M$190,0))</f>
        <v>1899.64</v>
      </c>
      <c r="W240" s="463">
        <f t="shared" ref="W240:W247" si="52">INDEX($B$223:$M$232,MATCH($S240,$B$223:$B$232,0),MATCH($R$237,$B$223:$M$223,0))</f>
        <v>2208.0300000000002</v>
      </c>
      <c r="X240" s="463">
        <f t="shared" ref="X240:X247" si="53">INDEX($B$201:$M$210,MATCH($S240,$B$201:$B$210,0),MATCH($R$237,$B$201:$M$201,0))</f>
        <v>2106.92</v>
      </c>
      <c r="Y240" s="463">
        <f t="shared" ref="Y240:Y247" si="54">INDEX($B$234:$M$243,MATCH($S240,$B$234:$B$243,0),MATCH($R$237,$B$234:$M$234,0))</f>
        <v>2446.27</v>
      </c>
      <c r="Z240" s="483">
        <f t="shared" ref="Z240:Z246" si="55">+X240/$X$247</f>
        <v>1.8084063618495028</v>
      </c>
      <c r="AA240" s="483">
        <f t="shared" ref="AA240:AA246" si="56">(V240/T240*(-1)-1)*100</f>
        <v>-15.159418865868425</v>
      </c>
      <c r="AB240" s="536">
        <f t="shared" ref="AB240:AB247" si="57">X240/Y240</f>
        <v>0.86127859966397824</v>
      </c>
      <c r="AC240" s="463">
        <f t="shared" ref="AC240:AC247" si="58">+Y240</f>
        <v>2446.27</v>
      </c>
      <c r="AD240" s="470">
        <f t="shared" ref="AD240:AE247" si="59">+(V240/(T240*-1))</f>
        <v>0.84840581134131576</v>
      </c>
      <c r="AE240" s="470">
        <f t="shared" si="59"/>
        <v>0.84984700652387279</v>
      </c>
      <c r="AF240" s="453" t="str">
        <f t="shared" ref="AF240:AF246" si="60">+S240</f>
        <v>Quadros médios</v>
      </c>
    </row>
    <row r="241" spans="1:37">
      <c r="A241" s="453"/>
      <c r="B241" s="453" t="str">
        <f>+Aux!$B$113</f>
        <v>Profissionais não qualificados</v>
      </c>
      <c r="C241" s="458">
        <f>+q39_E!$C$26</f>
        <v>631.35</v>
      </c>
      <c r="D241" s="458">
        <f>+q39_E!$D$26</f>
        <v>635.25</v>
      </c>
      <c r="E241" s="458">
        <f>+q39_E!$E$26</f>
        <v>657.05</v>
      </c>
      <c r="F241" s="458">
        <f>+q39_E!$F$26</f>
        <v>688.32</v>
      </c>
      <c r="G241" s="458">
        <f>+q39_E!$G$26</f>
        <v>712.98</v>
      </c>
      <c r="H241" s="458">
        <f>+q39_E!$H$26</f>
        <v>735.52</v>
      </c>
      <c r="I241" s="458">
        <f>+q39_E!$I$26</f>
        <v>771.97</v>
      </c>
      <c r="J241" s="458">
        <f>+q39_E!$J$26</f>
        <v>818.82</v>
      </c>
      <c r="K241" s="458">
        <f>+q39_E!$K$26</f>
        <v>866.35</v>
      </c>
      <c r="L241" s="458">
        <f>+q39_E!$L$26</f>
        <v>932.84</v>
      </c>
      <c r="M241" s="458">
        <f>+q39_E!$M$26</f>
        <v>1005.17</v>
      </c>
      <c r="R241" s="453"/>
      <c r="S241" s="453" t="s">
        <v>352</v>
      </c>
      <c r="T241" s="463">
        <f t="shared" si="49"/>
        <v>-2008.05</v>
      </c>
      <c r="U241" s="463">
        <f t="shared" si="50"/>
        <v>-2363.9</v>
      </c>
      <c r="V241" s="463">
        <f t="shared" si="51"/>
        <v>1926.26</v>
      </c>
      <c r="W241" s="463">
        <f t="shared" si="52"/>
        <v>2212.02</v>
      </c>
      <c r="X241" s="463">
        <f t="shared" si="53"/>
        <v>1976.21</v>
      </c>
      <c r="Y241" s="463">
        <f t="shared" si="54"/>
        <v>2304.77</v>
      </c>
      <c r="Z241" s="483">
        <f t="shared" si="55"/>
        <v>1.6962156780279298</v>
      </c>
      <c r="AA241" s="483">
        <f t="shared" si="56"/>
        <v>-4.0731057493588292</v>
      </c>
      <c r="AB241" s="536">
        <f t="shared" si="57"/>
        <v>0.85744347592167547</v>
      </c>
      <c r="AC241" s="463">
        <f t="shared" si="58"/>
        <v>2304.77</v>
      </c>
      <c r="AD241" s="470">
        <f t="shared" si="59"/>
        <v>0.9592689425064117</v>
      </c>
      <c r="AE241" s="470">
        <f t="shared" si="59"/>
        <v>0.93575024324209988</v>
      </c>
      <c r="AF241" s="453" t="str">
        <f t="shared" si="60"/>
        <v>Encarregados, contramestres e chefes de equipa</v>
      </c>
    </row>
    <row r="242" spans="1:37">
      <c r="A242" s="453"/>
      <c r="B242" s="453" t="str">
        <f>+Aux!$B$114</f>
        <v>Praticantes e aprendizes</v>
      </c>
      <c r="C242" s="458">
        <f>+q39_E!$C$29</f>
        <v>624.19000000000005</v>
      </c>
      <c r="D242" s="458">
        <f>+q39_E!$D$29</f>
        <v>622.16999999999996</v>
      </c>
      <c r="E242" s="458">
        <f>+q39_E!$E$29</f>
        <v>643.66</v>
      </c>
      <c r="F242" s="458">
        <f>+q39_E!$F$29</f>
        <v>679.94</v>
      </c>
      <c r="G242" s="458">
        <f>+q39_E!$G$29</f>
        <v>715.49</v>
      </c>
      <c r="H242" s="458">
        <f>+q39_E!$H$29</f>
        <v>742.98</v>
      </c>
      <c r="I242" s="458">
        <f>+q39_E!$I$29</f>
        <v>768.89</v>
      </c>
      <c r="J242" s="458">
        <f>+q39_E!$J$29</f>
        <v>805.38</v>
      </c>
      <c r="K242" s="458">
        <f>+q39_E!$K$29</f>
        <v>859.71</v>
      </c>
      <c r="L242" s="458">
        <f>+q39_E!$L$29</f>
        <v>929.98</v>
      </c>
      <c r="M242" s="458">
        <f>+q39_E!$M$29</f>
        <v>999.06</v>
      </c>
      <c r="R242" s="453"/>
      <c r="S242" s="453" t="s">
        <v>350</v>
      </c>
      <c r="T242" s="463">
        <f t="shared" si="49"/>
        <v>-2180.5300000000002</v>
      </c>
      <c r="U242" s="463">
        <f t="shared" si="50"/>
        <v>-2497.88</v>
      </c>
      <c r="V242" s="463">
        <f t="shared" si="51"/>
        <v>1258.3</v>
      </c>
      <c r="W242" s="463">
        <f t="shared" si="52"/>
        <v>1480.77</v>
      </c>
      <c r="X242" s="463">
        <f t="shared" si="53"/>
        <v>1809.22</v>
      </c>
      <c r="Y242" s="463">
        <f t="shared" si="54"/>
        <v>2088.37</v>
      </c>
      <c r="Z242" s="483">
        <f t="shared" si="55"/>
        <v>1.5528852343636006</v>
      </c>
      <c r="AA242" s="483">
        <f t="shared" si="56"/>
        <v>-42.293845991570869</v>
      </c>
      <c r="AB242" s="536">
        <f t="shared" si="57"/>
        <v>0.86633115779291991</v>
      </c>
      <c r="AC242" s="463">
        <f t="shared" si="58"/>
        <v>2088.37</v>
      </c>
      <c r="AD242" s="470">
        <f t="shared" si="59"/>
        <v>0.57706154008429134</v>
      </c>
      <c r="AE242" s="470">
        <f t="shared" si="59"/>
        <v>0.59281070347654807</v>
      </c>
      <c r="AF242" s="453" t="str">
        <f t="shared" si="60"/>
        <v>Profissionais altamente qualificados</v>
      </c>
    </row>
    <row r="243" spans="1:37">
      <c r="A243" s="453"/>
      <c r="B243" s="453" t="str">
        <f>+Aux!$B$115</f>
        <v>Total</v>
      </c>
      <c r="C243" s="458">
        <f>+q39_E!$C$5</f>
        <v>976.32</v>
      </c>
      <c r="D243" s="458">
        <f>+q39_E!$D$5</f>
        <v>1000.61</v>
      </c>
      <c r="E243" s="458">
        <f>+q39_E!$E$5</f>
        <v>1018.91</v>
      </c>
      <c r="F243" s="458">
        <f>+q39_E!$F$5</f>
        <v>1065.8399999999999</v>
      </c>
      <c r="G243" s="458">
        <f>+q39_E!$G$5</f>
        <v>1071.44</v>
      </c>
      <c r="H243" s="458">
        <f>+q39_E!$H$5</f>
        <v>1079.9000000000001</v>
      </c>
      <c r="I243" s="458">
        <f>+q39_E!$I$5</f>
        <v>1136.98</v>
      </c>
      <c r="J243" s="458">
        <f>+q39_E!$J$5</f>
        <v>1200.32</v>
      </c>
      <c r="K243" s="458">
        <f>+q39_E!$K$5</f>
        <v>1245.44</v>
      </c>
      <c r="L243" s="458">
        <f>+q39_E!$L$5</f>
        <v>1311.32</v>
      </c>
      <c r="M243" s="458">
        <f>+q39_E!$M$5</f>
        <v>1385.12</v>
      </c>
      <c r="R243" s="453"/>
      <c r="S243" s="453" t="s">
        <v>49</v>
      </c>
      <c r="T243" s="463">
        <f t="shared" si="49"/>
        <v>-991.02</v>
      </c>
      <c r="U243" s="463">
        <f t="shared" si="50"/>
        <v>-1226.06</v>
      </c>
      <c r="V243" s="463">
        <f t="shared" si="51"/>
        <v>973.58</v>
      </c>
      <c r="W243" s="463">
        <f t="shared" si="52"/>
        <v>1150.71</v>
      </c>
      <c r="X243" s="463">
        <f t="shared" si="53"/>
        <v>985.49</v>
      </c>
      <c r="Y243" s="463">
        <f t="shared" si="54"/>
        <v>1202.1600000000001</v>
      </c>
      <c r="Z243" s="483">
        <f t="shared" si="55"/>
        <v>0.8458633386835126</v>
      </c>
      <c r="AA243" s="483">
        <f t="shared" si="56"/>
        <v>-1.7598030312203528</v>
      </c>
      <c r="AB243" s="536">
        <f t="shared" si="57"/>
        <v>0.81976608770879078</v>
      </c>
      <c r="AC243" s="463">
        <f t="shared" si="58"/>
        <v>1202.1600000000001</v>
      </c>
      <c r="AD243" s="470">
        <f t="shared" si="59"/>
        <v>0.98240196968779647</v>
      </c>
      <c r="AE243" s="470">
        <f t="shared" si="59"/>
        <v>0.93854297505831696</v>
      </c>
      <c r="AF243" s="453" t="str">
        <f t="shared" si="60"/>
        <v>Profissionais qualificados</v>
      </c>
    </row>
    <row r="244" spans="1:37">
      <c r="R244" s="453"/>
      <c r="S244" s="453" t="s">
        <v>351</v>
      </c>
      <c r="T244" s="463">
        <f t="shared" si="49"/>
        <v>-891.09</v>
      </c>
      <c r="U244" s="463">
        <f t="shared" si="50"/>
        <v>-1093.5999999999999</v>
      </c>
      <c r="V244" s="463">
        <f t="shared" si="51"/>
        <v>865.85</v>
      </c>
      <c r="W244" s="463">
        <f t="shared" si="52"/>
        <v>1030.8399999999999</v>
      </c>
      <c r="X244" s="463">
        <f t="shared" si="53"/>
        <v>879.94</v>
      </c>
      <c r="Y244" s="463">
        <f t="shared" si="54"/>
        <v>1065.8699999999999</v>
      </c>
      <c r="Z244" s="483">
        <f t="shared" si="55"/>
        <v>0.75526792381573649</v>
      </c>
      <c r="AA244" s="483">
        <f t="shared" si="56"/>
        <v>-2.8324860564028387</v>
      </c>
      <c r="AB244" s="536">
        <f t="shared" si="57"/>
        <v>0.82556034037922088</v>
      </c>
      <c r="AC244" s="463">
        <f t="shared" si="58"/>
        <v>1065.8699999999999</v>
      </c>
      <c r="AD244" s="470">
        <f t="shared" si="59"/>
        <v>0.97167513943597161</v>
      </c>
      <c r="AE244" s="470">
        <f t="shared" si="59"/>
        <v>0.94261155815654718</v>
      </c>
      <c r="AF244" s="453" t="str">
        <f t="shared" si="60"/>
        <v>Profissionais semi-qualificados</v>
      </c>
    </row>
    <row r="245" spans="1:37">
      <c r="R245" s="453"/>
      <c r="S245" s="453" t="s">
        <v>50</v>
      </c>
      <c r="T245" s="463">
        <f t="shared" si="49"/>
        <v>-849.19</v>
      </c>
      <c r="U245" s="463">
        <f t="shared" si="50"/>
        <v>-1023.89</v>
      </c>
      <c r="V245" s="463">
        <f t="shared" si="51"/>
        <v>835.52</v>
      </c>
      <c r="W245" s="463">
        <f t="shared" si="52"/>
        <v>972.11</v>
      </c>
      <c r="X245" s="463">
        <f t="shared" si="53"/>
        <v>844.25</v>
      </c>
      <c r="Y245" s="463">
        <f t="shared" si="54"/>
        <v>1005.17</v>
      </c>
      <c r="Z245" s="483">
        <f t="shared" si="55"/>
        <v>0.72463457131331166</v>
      </c>
      <c r="AA245" s="483">
        <f t="shared" si="56"/>
        <v>-1.6097693095773691</v>
      </c>
      <c r="AB245" s="536">
        <f t="shared" si="57"/>
        <v>0.83990767730831606</v>
      </c>
      <c r="AC245" s="463">
        <f t="shared" si="58"/>
        <v>1005.17</v>
      </c>
      <c r="AD245" s="470">
        <f t="shared" si="59"/>
        <v>0.98390230690422631</v>
      </c>
      <c r="AE245" s="470">
        <f t="shared" si="59"/>
        <v>0.94942816122825702</v>
      </c>
      <c r="AF245" s="453" t="str">
        <f t="shared" si="60"/>
        <v>Profissionais não qualificados</v>
      </c>
    </row>
    <row r="246" spans="1:37">
      <c r="R246" s="453"/>
      <c r="S246" s="453" t="s">
        <v>51</v>
      </c>
      <c r="T246" s="463">
        <f t="shared" si="49"/>
        <v>-852.66</v>
      </c>
      <c r="U246" s="463">
        <f t="shared" si="50"/>
        <v>-1011.47</v>
      </c>
      <c r="V246" s="463">
        <f t="shared" si="51"/>
        <v>846.31</v>
      </c>
      <c r="W246" s="463">
        <f t="shared" si="52"/>
        <v>977.21</v>
      </c>
      <c r="X246" s="463">
        <f t="shared" si="53"/>
        <v>850.36</v>
      </c>
      <c r="Y246" s="463">
        <f t="shared" si="54"/>
        <v>999.06</v>
      </c>
      <c r="Z246" s="483">
        <f t="shared" si="55"/>
        <v>0.72987889139708351</v>
      </c>
      <c r="AA246" s="483">
        <f t="shared" si="56"/>
        <v>-0.74472826214435628</v>
      </c>
      <c r="AB246" s="536">
        <f t="shared" si="57"/>
        <v>0.85116009048505603</v>
      </c>
      <c r="AC246" s="463">
        <f t="shared" si="58"/>
        <v>999.06</v>
      </c>
      <c r="AD246" s="470">
        <f t="shared" si="59"/>
        <v>0.99255271737855644</v>
      </c>
      <c r="AE246" s="470">
        <f t="shared" si="59"/>
        <v>0.96612850603576972</v>
      </c>
      <c r="AF246" s="453" t="str">
        <f t="shared" si="60"/>
        <v>Praticantes e aprendizes</v>
      </c>
    </row>
    <row r="247" spans="1:37">
      <c r="R247" s="453"/>
      <c r="S247" s="453" t="s">
        <v>11</v>
      </c>
      <c r="T247" s="463">
        <f t="shared" si="49"/>
        <v>-1218.82</v>
      </c>
      <c r="U247" s="463">
        <f t="shared" si="50"/>
        <v>-1458.01</v>
      </c>
      <c r="V247" s="463">
        <f t="shared" si="51"/>
        <v>1074.28</v>
      </c>
      <c r="W247" s="463">
        <f t="shared" si="52"/>
        <v>1261.96</v>
      </c>
      <c r="X247" s="463">
        <f t="shared" si="53"/>
        <v>1165.07</v>
      </c>
      <c r="Y247" s="463">
        <f t="shared" si="54"/>
        <v>1385.12</v>
      </c>
      <c r="Z247" s="453"/>
      <c r="AA247" s="483"/>
      <c r="AB247" s="536">
        <f t="shared" si="57"/>
        <v>0.84113289823264414</v>
      </c>
      <c r="AC247" s="463">
        <f t="shared" si="58"/>
        <v>1385.12</v>
      </c>
      <c r="AD247" s="536">
        <f t="shared" si="59"/>
        <v>0.88140988825257216</v>
      </c>
      <c r="AE247" s="470">
        <f t="shared" si="59"/>
        <v>0.8655359016741998</v>
      </c>
      <c r="AF247" s="453"/>
    </row>
    <row r="248" spans="1:37">
      <c r="R248" s="453"/>
      <c r="S248" s="453"/>
      <c r="T248" s="483"/>
      <c r="U248" s="453"/>
      <c r="V248" s="483"/>
      <c r="W248" s="453"/>
      <c r="X248" s="453"/>
      <c r="Y248" s="453"/>
      <c r="Z248" s="453"/>
      <c r="AA248" s="453"/>
      <c r="AB248" s="453"/>
      <c r="AC248" s="453"/>
      <c r="AD248" s="453"/>
      <c r="AE248" s="453"/>
      <c r="AF248" s="453"/>
    </row>
    <row r="249" spans="1:37">
      <c r="R249" s="453"/>
      <c r="S249" s="453"/>
      <c r="T249" s="453" t="s">
        <v>11</v>
      </c>
      <c r="U249" s="453" t="s">
        <v>47</v>
      </c>
      <c r="V249" s="453" t="s">
        <v>48</v>
      </c>
      <c r="W249" s="453" t="s">
        <v>352</v>
      </c>
      <c r="X249" s="453" t="s">
        <v>350</v>
      </c>
      <c r="Y249" s="453" t="s">
        <v>49</v>
      </c>
      <c r="Z249" s="453" t="s">
        <v>351</v>
      </c>
      <c r="AA249" s="453" t="s">
        <v>50</v>
      </c>
      <c r="AB249" s="453" t="s">
        <v>51</v>
      </c>
      <c r="AC249" s="453"/>
      <c r="AD249" s="453"/>
      <c r="AE249" s="453"/>
      <c r="AF249" s="453"/>
    </row>
    <row r="250" spans="1:37">
      <c r="R250" s="453"/>
      <c r="S250" s="423" t="s">
        <v>370</v>
      </c>
      <c r="T250" s="463">
        <f>INDEX($B$201:$M$210,MATCH($S$247,$B$201:$B$210,0),MATCH($R$237,$B$201:$M$201,0))</f>
        <v>1165.07</v>
      </c>
      <c r="U250" s="463">
        <f>INDEX($B$201:$M$210,MATCH($S$239,$B$201:$B$210,0),MATCH($R$237,$B$201:$M$201,0))</f>
        <v>3338.86</v>
      </c>
      <c r="V250" s="463">
        <f>INDEX($B$201:$M$210,MATCH($S$240,$B$201:$B$210,0),MATCH($R$237,$B$201:$M$201,0))</f>
        <v>2106.92</v>
      </c>
      <c r="W250" s="463">
        <f>INDEX($B$201:$M$210,MATCH($S$241,$B$201:$B$210,0),MATCH($R$237,$B$201:$M$201,0))</f>
        <v>1976.21</v>
      </c>
      <c r="X250" s="463">
        <f>INDEX($B$201:$M$210,MATCH($S$242,$B$201:$B$210,0),MATCH($R$237,$B$201:$M$201,0))</f>
        <v>1809.22</v>
      </c>
      <c r="Y250" s="463">
        <f>INDEX($B$201:$M$210,MATCH($S$243,$B$201:$B$210,0),MATCH($R$237,$B$201:$M$201,0))</f>
        <v>985.49</v>
      </c>
      <c r="Z250" s="463">
        <f>INDEX($B$201:$M$210,MATCH($S$244,$B$201:$B$210,0),MATCH($R$237,$B$201:$M$201,0))</f>
        <v>879.94</v>
      </c>
      <c r="AA250" s="463">
        <f>INDEX($B$201:$M$210,MATCH($S$245,$B$201:$B$210,0),MATCH($R$237,$B$201:$M$201,0))</f>
        <v>844.25</v>
      </c>
      <c r="AB250" s="463">
        <f>INDEX($B$201:$M$210,MATCH($S$246,$B$201:$B$210,0),MATCH($R$237,$B$201:$M$201,0))</f>
        <v>850.36</v>
      </c>
      <c r="AC250" s="463"/>
      <c r="AD250" s="463"/>
      <c r="AE250" s="453"/>
      <c r="AF250" s="453"/>
    </row>
    <row r="251" spans="1:37">
      <c r="R251" s="453"/>
      <c r="S251" s="423" t="s">
        <v>263</v>
      </c>
      <c r="T251" s="463">
        <f>INDEX($B$234:$M$243,MATCH($S$247,$B$234:$B$243,0),MATCH($R$237,$B$234:$M$234,0))</f>
        <v>1385.12</v>
      </c>
      <c r="U251" s="463">
        <f>INDEX($B$234:$M$243,MATCH($S$239,$B$234:$B$243,0),MATCH($R$237,$B$234:$M$234,0))</f>
        <v>3824.49</v>
      </c>
      <c r="V251" s="463">
        <f>INDEX($B$234:$M$243,MATCH($S$240,$B$234:$B$243,0),MATCH($R$237,$B$234:$M$234,0))</f>
        <v>2446.27</v>
      </c>
      <c r="W251" s="463">
        <f>INDEX($B$234:$M$243,MATCH($S$241,$B$234:$B$243,0),MATCH($R$237,$B$234:$M$234,0))</f>
        <v>2304.77</v>
      </c>
      <c r="X251" s="463">
        <f>INDEX($B$234:$M$243,MATCH($S$242,$B$234:$B$243,0),MATCH($R$237,$B$234:$M$234,0))</f>
        <v>2088.37</v>
      </c>
      <c r="Y251" s="463">
        <f>INDEX($B$234:$M$243,MATCH($S$243,$B$234:$B$243,0),MATCH($R$237,$B$234:$M$234,0))</f>
        <v>1202.1600000000001</v>
      </c>
      <c r="Z251" s="463">
        <f>INDEX($B$234:$M$243,MATCH($S$244,$B$234:$B$243,0),MATCH($R$237,$B$234:$M$234,0))</f>
        <v>1065.8699999999999</v>
      </c>
      <c r="AA251" s="463">
        <f>INDEX($B$234:$M$243,MATCH($S$245,$B$234:$B$243,0),MATCH($R$237,$B$234:$M$234,0))</f>
        <v>1005.17</v>
      </c>
      <c r="AB251" s="463">
        <f>INDEX($B$234:$M$243,MATCH($S$246,$B$234:$B$243,0),MATCH($R$237,$B$234:$M$234,0))</f>
        <v>999.06</v>
      </c>
      <c r="AC251" s="463"/>
      <c r="AD251" s="463"/>
      <c r="AE251" s="453"/>
      <c r="AF251" s="453"/>
    </row>
    <row r="252" spans="1:37">
      <c r="R252" s="453"/>
      <c r="S252" s="453"/>
      <c r="T252" s="453"/>
      <c r="U252" s="453"/>
      <c r="V252" s="453"/>
      <c r="W252" s="453"/>
      <c r="X252" s="453"/>
      <c r="Y252" s="453"/>
      <c r="Z252" s="453"/>
      <c r="AA252" s="453"/>
      <c r="AB252" s="453"/>
      <c r="AC252" s="453"/>
      <c r="AD252" s="453"/>
      <c r="AE252" s="453"/>
      <c r="AF252" s="453"/>
      <c r="AH252">
        <f>+COLUMN(AF238)</f>
        <v>32</v>
      </c>
    </row>
    <row r="253" spans="1:37">
      <c r="R253" s="453"/>
      <c r="S253" s="453"/>
      <c r="T253" s="453"/>
      <c r="U253" s="453"/>
      <c r="V253" s="453"/>
      <c r="W253" s="453"/>
      <c r="X253" s="453"/>
      <c r="Y253" s="453"/>
      <c r="Z253" s="453"/>
      <c r="AA253" s="453"/>
      <c r="AB253" s="453"/>
      <c r="AC253" s="453"/>
      <c r="AD253" s="453"/>
      <c r="AE253" s="453"/>
      <c r="AF253" s="453"/>
    </row>
    <row r="254" spans="1:37">
      <c r="R254" s="453"/>
      <c r="S254" s="471" t="s">
        <v>364</v>
      </c>
      <c r="T254" s="463">
        <f>+T247*-1</f>
        <v>1218.82</v>
      </c>
      <c r="U254" s="453"/>
      <c r="V254" s="453"/>
      <c r="W254" s="453"/>
      <c r="X254" s="453"/>
      <c r="Y254" s="453"/>
      <c r="Z254" s="453"/>
      <c r="AA254" s="453"/>
      <c r="AB254" s="453"/>
      <c r="AC254" s="453"/>
      <c r="AD254" s="453"/>
      <c r="AE254" s="453"/>
      <c r="AF254" s="453"/>
    </row>
    <row r="255" spans="1:37">
      <c r="R255" s="453"/>
      <c r="S255" s="471" t="s">
        <v>368</v>
      </c>
      <c r="T255" s="463">
        <f>+U247*-1</f>
        <v>1458.01</v>
      </c>
      <c r="U255" s="453"/>
      <c r="V255" s="453"/>
      <c r="W255" s="453"/>
      <c r="X255" s="453"/>
      <c r="Y255" s="453"/>
      <c r="Z255" s="453"/>
      <c r="AA255" s="453"/>
      <c r="AB255" s="453"/>
      <c r="AC255" s="453"/>
      <c r="AD255" s="453"/>
      <c r="AE255" s="453"/>
      <c r="AF255" s="453"/>
    </row>
    <row r="256" spans="1:37">
      <c r="AB256" t="str">
        <f>+TEXT(AC256,"####")</f>
        <v>2024</v>
      </c>
      <c r="AC256" s="453">
        <f>+R237</f>
        <v>2024</v>
      </c>
      <c r="AD256" s="453" t="s">
        <v>415</v>
      </c>
      <c r="AE256" s="453"/>
      <c r="AF256" s="453"/>
      <c r="AG256" s="453"/>
      <c r="AH256" s="453"/>
      <c r="AI256" s="453"/>
      <c r="AJ256" s="453"/>
      <c r="AK256" s="453"/>
    </row>
    <row r="257" spans="28:39">
      <c r="AC257" s="453" t="s">
        <v>750</v>
      </c>
      <c r="AD257" s="453"/>
      <c r="AE257" s="453"/>
      <c r="AF257" s="453" t="s">
        <v>751</v>
      </c>
      <c r="AG257" s="453"/>
      <c r="AH257" s="453" t="s">
        <v>402</v>
      </c>
      <c r="AI257" s="453"/>
      <c r="AJ257" s="453" t="s">
        <v>403</v>
      </c>
      <c r="AK257" s="453"/>
    </row>
    <row r="258" spans="28:39">
      <c r="AC258" s="483" t="str">
        <f>TEXT(AB247,"##.###,0%")</f>
        <v>84,1%</v>
      </c>
      <c r="AD258" s="453"/>
      <c r="AE258" s="453"/>
      <c r="AF258" s="483" t="s">
        <v>696</v>
      </c>
      <c r="AG258" s="453"/>
      <c r="AH258" s="483" t="str">
        <f>TEXT($AD$247,"##.###,0%")</f>
        <v>88,1%</v>
      </c>
      <c r="AI258" s="453" t="s">
        <v>467</v>
      </c>
      <c r="AJ258" s="483" t="str">
        <f>TEXT($AE$247,"##.###,0%")</f>
        <v>86,6%</v>
      </c>
      <c r="AK258" s="453" t="s">
        <v>468</v>
      </c>
    </row>
    <row r="259" spans="28:39">
      <c r="AC259" s="453" t="s">
        <v>694</v>
      </c>
      <c r="AD259" s="453"/>
      <c r="AE259" s="453"/>
      <c r="AF259" s="483">
        <f>+SMALL($Y$239:$Y$246,1)</f>
        <v>999.06</v>
      </c>
      <c r="AG259" s="453" t="str">
        <f>+TEXT(AF259,"##.### €")</f>
        <v>999 €</v>
      </c>
      <c r="AH259" s="453">
        <f>+SMALL(AD239:AD246,1)</f>
        <v>0.57706154008429134</v>
      </c>
      <c r="AI259" s="453" t="str">
        <f>+TEXT(AH259,"##.###,0%")</f>
        <v>57,7%</v>
      </c>
      <c r="AJ259" s="453">
        <f>+SMALL($AE$239:$AE$246,1)</f>
        <v>0.59281070347654807</v>
      </c>
      <c r="AK259" s="453" t="str">
        <f>+TEXT(AJ259,"##.###,0%")</f>
        <v>59,3%</v>
      </c>
    </row>
    <row r="260" spans="28:39">
      <c r="AC260" s="453">
        <f>+SMALL($X$239:$X$246,1)</f>
        <v>844.25</v>
      </c>
      <c r="AD260" s="453" t="str">
        <f>+TEXT(AC260,"##.### €")</f>
        <v>844 €</v>
      </c>
      <c r="AE260" s="453"/>
      <c r="AF260" s="483" t="str">
        <f>+VLOOKUP(AF259,$Y$238:$AF$2393,COLUMN($AF$238)-24,0)</f>
        <v>Praticantes e aprendizes</v>
      </c>
      <c r="AG260" s="453" t="str">
        <f>+VLOOKUP(AF260,Aux!$B$107:$C$115,2,0)</f>
        <v>Praticantes e aprendizes</v>
      </c>
      <c r="AH260" s="453" t="s">
        <v>469</v>
      </c>
      <c r="AI260" s="453"/>
      <c r="AJ260" s="453" t="s">
        <v>469</v>
      </c>
      <c r="AK260" s="453"/>
    </row>
    <row r="261" spans="28:39">
      <c r="AC261" s="453" t="s">
        <v>465</v>
      </c>
      <c r="AD261" s="453"/>
      <c r="AE261" s="453"/>
      <c r="AF261" s="453" t="s">
        <v>421</v>
      </c>
      <c r="AG261" s="503"/>
      <c r="AH261" s="888" t="str">
        <f>+VLOOKUP(AH259,$AD$238:$AF$246,COLUMN($AF$238)-29,0)</f>
        <v>Profissionais altamente qualificados</v>
      </c>
      <c r="AI261" s="503" t="s">
        <v>396</v>
      </c>
      <c r="AJ261" s="889" t="str">
        <f>+VLOOKUP(AJ259,$AE$238:$AF$246,COLUMN($AF$238)-30,0)</f>
        <v>Profissionais altamente qualificados</v>
      </c>
      <c r="AK261" s="503" t="s">
        <v>396</v>
      </c>
      <c r="AL261" s="890" t="str">
        <f>+VLOOKUP(AH261,Aux!$B$107:$C$115,2,0)</f>
        <v>Profis. altam. qualificados</v>
      </c>
      <c r="AM261" s="891" t="str">
        <f>+VLOOKUP(AJ261,Aux!$B$107:$C$115,2,0)</f>
        <v>Profis. altam. qualificados</v>
      </c>
    </row>
    <row r="262" spans="28:39">
      <c r="AB262" s="21" t="str">
        <f>+VLOOKUP(AC262,Aux!$B$107:$C$115,2,0)</f>
        <v>Profissionais não qualificados</v>
      </c>
      <c r="AC262" s="483" t="str">
        <f>+VLOOKUP(AC260,$X$238:$AF$2393,COLUMN($AF$238)-23,0)</f>
        <v>Profissionais não qualificados</v>
      </c>
      <c r="AD262" s="453"/>
      <c r="AE262" s="453"/>
      <c r="AF262" s="483">
        <f>+LARGE($Y$239:$Y$246,1)</f>
        <v>3824.49</v>
      </c>
      <c r="AG262" s="453" t="str">
        <f>+TEXT(AF262,"##.### €")</f>
        <v>3.824 €</v>
      </c>
      <c r="AH262" s="503">
        <f>+LARGE(AD239:AD246,1)</f>
        <v>0.99255271737855644</v>
      </c>
      <c r="AI262" s="453" t="str">
        <f>+TEXT(AH262,"##.###,0%")</f>
        <v>99,3%</v>
      </c>
      <c r="AJ262" s="503">
        <f>+LARGE(AE239:AE246,1)</f>
        <v>0.96612850603576972</v>
      </c>
      <c r="AK262" s="453" t="str">
        <f>+TEXT(AJ262,"##.###,0%")</f>
        <v>96,6%</v>
      </c>
    </row>
    <row r="263" spans="28:39">
      <c r="AC263" s="453" t="s">
        <v>418</v>
      </c>
      <c r="AD263" s="453"/>
      <c r="AE263" s="453"/>
      <c r="AF263" s="483" t="str">
        <f>+VLOOKUP(AF262,$Y$238:$AF$2393,COLUMN($AF$238)-24,0)</f>
        <v>Quadros superiores</v>
      </c>
      <c r="AG263" s="453" t="str">
        <f>+VLOOKUP(AF263,Aux!$B$107:$C$115,2,0)</f>
        <v>Quadros superiores</v>
      </c>
      <c r="AH263" s="503" t="s">
        <v>464</v>
      </c>
      <c r="AI263" s="453"/>
      <c r="AJ263" s="503" t="s">
        <v>464</v>
      </c>
      <c r="AK263" s="453"/>
    </row>
    <row r="264" spans="28:39">
      <c r="AC264" s="453">
        <f>+LARGE($X$239:$X$246,1)</f>
        <v>3338.86</v>
      </c>
      <c r="AD264" s="453" t="str">
        <f>+TEXT(AC264,"##.### €")</f>
        <v>3.339 €</v>
      </c>
      <c r="AE264" s="453"/>
      <c r="AF264" s="453"/>
      <c r="AG264" s="503"/>
      <c r="AH264" s="483" t="str">
        <f>+VLOOKUP(AH262,$AD$238:$AF$246,COLUMN($AF$238)-29,0)</f>
        <v>Praticantes e aprendizes</v>
      </c>
      <c r="AI264" s="503" t="s">
        <v>397</v>
      </c>
      <c r="AJ264" s="483" t="str">
        <f>+VLOOKUP(AJ262,$AE$239:$AF$246,COLUMN($AF$238)-30,0)</f>
        <v>Praticantes e aprendizes</v>
      </c>
      <c r="AK264" s="503" t="s">
        <v>397</v>
      </c>
    </row>
    <row r="265" spans="28:39">
      <c r="AC265" s="453" t="s">
        <v>465</v>
      </c>
      <c r="AD265" s="453"/>
      <c r="AE265" s="483"/>
      <c r="AF265" s="453"/>
      <c r="AG265" s="503"/>
      <c r="AH265" s="453" t="str">
        <f>+VLOOKUP(AH264,Aux!$B$107:$C$115,2,0)</f>
        <v>Praticantes e aprendizes</v>
      </c>
      <c r="AI265" s="503"/>
      <c r="AJ265" s="453" t="str">
        <f>+VLOOKUP(AJ264,Aux!$B$107:$C$115,2,0)</f>
        <v>Praticantes e aprendizes</v>
      </c>
      <c r="AK265" s="503"/>
    </row>
    <row r="266" spans="28:39">
      <c r="AB266" s="21" t="str">
        <f>+VLOOKUP(AC266,Aux!$B$107:$C$115,2,0)</f>
        <v>Quadros superiores</v>
      </c>
      <c r="AC266" s="483" t="str">
        <f>+VLOOKUP(AC264,$X$238:$AF$2393,COLUMN($AF$238)-23,0)</f>
        <v>Quadros superiores</v>
      </c>
      <c r="AD266" s="453" t="s">
        <v>397</v>
      </c>
      <c r="AE266" s="453"/>
      <c r="AF266" s="453" t="s">
        <v>473</v>
      </c>
      <c r="AG266" s="453"/>
      <c r="AH266" s="453"/>
      <c r="AI266" s="453"/>
      <c r="AJ266" s="453"/>
      <c r="AK266" s="453"/>
    </row>
    <row r="268" spans="28:39">
      <c r="AC268" s="383" t="s">
        <v>953</v>
      </c>
    </row>
    <row r="269" spans="28:39">
      <c r="AC269" s="502" t="str">
        <f>CONCATENATE($AC$256," - ",$AD$256,CHAR(10),$AC$257," ",$AC$258,$AC$259," ",$AD$260,$AC$261,$AC$262,$AC$263," ",$AD$264,$AC$265,$AC$266,$AD$266,CHAR(10),$AF$257," ",$AF$258," ",$AG$259," "," ",$AF$261," ",$AG$262,$AF$266)</f>
        <v>2024 - Continente:
Base:  84,1% do Ganho, entre  844 €  (Profissionais não qualificados) e  3.339 €  (Quadros superiores).
Ganho:  Entre  999 €  e 3.824 €, nos mesmos níveis de qualificação, respetivamente.</v>
      </c>
    </row>
    <row r="270" spans="28:39">
      <c r="AC270" s="383" t="s">
        <v>954</v>
      </c>
    </row>
    <row r="271" spans="28:39">
      <c r="AC271" s="502" t="str">
        <f>CONCATENATE(AC256," - ",AD256,CHAR(10),AC257,AC258,AC259,AD260,AC261,AB262,AC263,AD264,AC265,AB266,AD266,CHAR(10),AF257,AF258,AG259,AC261,AG260,AC263,AG262,AC265,AG263,AD266)</f>
        <v>2024 - Continente:
Base: 84,1% do Ganho, entre 844 €  (Profissionais não qualificados) e 3.339 €  (Quadros superiores).
Ganho: Entre 999 €  (Praticantes e aprendizes) e 3.824 €  (Quadros superiores).</v>
      </c>
    </row>
    <row r="273" spans="19:30">
      <c r="AB273" s="508"/>
      <c r="AC273" s="540" t="str">
        <f>+CONCATENATE(AC256,":",CHAR(10),AH257," ",AH258," ",AI258," ",AI259,AH260,AL261," ",AI261," ",AI262,AH263,AH265,AI264,CHAR(10),AJ257," ",AJ258,AK258,AK259,AJ260,AM261,AK261," ",AK262,AJ263,AJ265,AK264)</f>
        <v>2024:
Base Mulheres = 88,1%  da dos Homens (H), entre  57,7% da dos H (Profis. altam. qualificados ) e 99,3% (Praticantes e aprendizes).
Ganho Mulheres = 86,6% da dos H, entre 59,3% da dos H (Profis. altam. qualificados) e 96,6% (Praticantes e aprendizes).</v>
      </c>
      <c r="AD273" s="508"/>
    </row>
    <row r="277" spans="19:30">
      <c r="AB277" t="str">
        <f>+IF($AB$256="2014",$AC$269,IF($AB$256="2015",$AC$269,IF($AB$256="2016",$AC$269,IF($AB$256="2017",$AC$269,IF($AB$256="2019",$AC$269,$AC$271)))))</f>
        <v>2024 - Continente:
Base: 84,1% do Ganho, entre 844 €  (Profissionais não qualificados) e 3.339 €  (Quadros superiores).
Ganho: Entre 999 €  (Praticantes e aprendizes) e 3.824 €  (Quadros superiores).</v>
      </c>
    </row>
    <row r="288" spans="19:30">
      <c r="S288">
        <v>11</v>
      </c>
    </row>
    <row r="290" spans="1:24">
      <c r="A290" s="384" t="s">
        <v>919</v>
      </c>
      <c r="S290" s="21"/>
      <c r="T290" s="21"/>
      <c r="U290" s="21"/>
      <c r="V290" s="21"/>
      <c r="W290" s="21"/>
      <c r="X290" s="21"/>
    </row>
    <row r="291" spans="1:24">
      <c r="A291" s="420" t="s">
        <v>268</v>
      </c>
      <c r="C291" s="384">
        <f>+q28_E!$C$4</f>
        <v>2014</v>
      </c>
      <c r="D291" s="384">
        <f>+q28_E!$D$4</f>
        <v>2015</v>
      </c>
      <c r="E291" s="384">
        <f>+q28_E!$E$4</f>
        <v>2016</v>
      </c>
      <c r="F291" s="384">
        <f>+q28_E!$F$4</f>
        <v>2017</v>
      </c>
      <c r="G291" s="384">
        <f>+q28_E!$G$4</f>
        <v>2018</v>
      </c>
      <c r="H291" s="384">
        <f>+q28_E!$H$4</f>
        <v>2019</v>
      </c>
      <c r="I291" s="384">
        <f>+q28_E!$I$4</f>
        <v>2020</v>
      </c>
      <c r="J291" s="384">
        <f>+q28_E!$J$4</f>
        <v>2021</v>
      </c>
      <c r="K291" s="384">
        <f>+q28_E!$K$4</f>
        <v>2022</v>
      </c>
      <c r="L291" s="384">
        <f>+q28_E!$L$4</f>
        <v>2023</v>
      </c>
      <c r="M291" s="384">
        <f>+q28_E!$M$4</f>
        <v>2024</v>
      </c>
      <c r="R291" s="453">
        <f>+INDEX(q9_13_16_27_28_39_40_E_Fig!$P$95:$P$105,q9_13_16_27_28_39_40_E_Fig!$S$288)</f>
        <v>2024</v>
      </c>
      <c r="S291" s="630" t="s">
        <v>663</v>
      </c>
      <c r="T291" s="21" t="s">
        <v>680</v>
      </c>
      <c r="U291" s="21" t="s">
        <v>680</v>
      </c>
      <c r="V291" s="21"/>
      <c r="W291" s="21"/>
      <c r="X291" s="21"/>
    </row>
    <row r="292" spans="1:24">
      <c r="A292" s="420" t="s">
        <v>680</v>
      </c>
      <c r="B292" t="str">
        <f>+Aux!$C$164</f>
        <v>Repres. poder leg. e de órgãos exec., dirig., diret. e gestores executivos</v>
      </c>
      <c r="C292" s="472">
        <f>+q28_E!$C$6</f>
        <v>2927.24</v>
      </c>
      <c r="D292" s="472">
        <f>+q28_E!$D$6</f>
        <v>2813.68</v>
      </c>
      <c r="E292" s="472">
        <f>+q28_E!$E$6</f>
        <v>2907.96</v>
      </c>
      <c r="F292" s="472">
        <f>+q28_E!$F$6</f>
        <v>3081.73</v>
      </c>
      <c r="G292" s="472">
        <f>+q28_E!$G$6</f>
        <v>3083.46</v>
      </c>
      <c r="H292" s="472">
        <f>+q28_E!$H$6</f>
        <v>3096.01</v>
      </c>
      <c r="I292" s="472">
        <f>+q28_E!$I$6</f>
        <v>3401.27</v>
      </c>
      <c r="J292" s="472">
        <f>+q28_E!$J$6</f>
        <v>3561.51</v>
      </c>
      <c r="K292" s="472">
        <f>+q28_E!$K$6</f>
        <v>3718</v>
      </c>
      <c r="L292" s="472">
        <f>+q28_E!$L$6</f>
        <v>3909.23</v>
      </c>
      <c r="M292" s="472">
        <f>+q28_E!$M$6</f>
        <v>4063.23</v>
      </c>
      <c r="S292" s="21"/>
      <c r="T292" s="630" t="s">
        <v>262</v>
      </c>
      <c r="U292" s="630" t="s">
        <v>263</v>
      </c>
      <c r="V292" s="21" t="s">
        <v>686</v>
      </c>
      <c r="W292" s="21"/>
      <c r="X292" s="21"/>
    </row>
    <row r="293" spans="1:24">
      <c r="B293" t="str">
        <f>+Aux!$C$165</f>
        <v>Especial.das ativ.intelet.e cientif.</v>
      </c>
      <c r="C293" s="472">
        <f>+q28_E!$C$11</f>
        <v>1849.67</v>
      </c>
      <c r="D293" s="472">
        <f>+q28_E!$D$11</f>
        <v>1823.35</v>
      </c>
      <c r="E293" s="472">
        <f>+q28_E!$E$11</f>
        <v>1864.97</v>
      </c>
      <c r="F293" s="472">
        <f>+q28_E!$F$11</f>
        <v>1901.38</v>
      </c>
      <c r="G293" s="472">
        <f>+q28_E!$G$11</f>
        <v>1862.07</v>
      </c>
      <c r="H293" s="472">
        <f>+q28_E!$H$11</f>
        <v>1840.43</v>
      </c>
      <c r="I293" s="472">
        <f>+q28_E!$I$11</f>
        <v>1909.82</v>
      </c>
      <c r="J293" s="472">
        <f>+q28_E!$J$11</f>
        <v>2006.57</v>
      </c>
      <c r="K293" s="472">
        <f>+q28_E!$K$11</f>
        <v>2194.14</v>
      </c>
      <c r="L293" s="472">
        <f>+q28_E!$L$11</f>
        <v>2348.86</v>
      </c>
      <c r="M293" s="472">
        <f>+q28_E!$M$11</f>
        <v>2512.0500000000002</v>
      </c>
      <c r="S293" s="21" t="s">
        <v>584</v>
      </c>
      <c r="T293" s="632">
        <f>+INDEX($B$291:$M$302,MATCH($S$293:$S$303,$B$291:$B$302,0),MATCH($R$291,$B$291:$M$291,0))</f>
        <v>4063.23</v>
      </c>
      <c r="U293" s="632">
        <f>+INDEX($B$309:$M$320,MATCH($S$293:$S$303,$B$309:$B$320,0),MATCH($R$291,$B$309:$M$309,0))</f>
        <v>4558.8100000000004</v>
      </c>
      <c r="V293" s="892">
        <f>+T293/U293</f>
        <v>0.89129180641439321</v>
      </c>
      <c r="W293" s="21" t="str">
        <f>+S293</f>
        <v>Repres. poder leg. e de órgãos exec., dirig., diret. e gestores executivos</v>
      </c>
      <c r="X293" s="21"/>
    </row>
    <row r="294" spans="1:24">
      <c r="B294" t="str">
        <f>+Aux!$C$166</f>
        <v>Técn. e prof. de nível intermédio</v>
      </c>
      <c r="C294" s="472">
        <f>+q28_E!$C$18</f>
        <v>2088.79</v>
      </c>
      <c r="D294" s="472">
        <f>+q28_E!$D$18</f>
        <v>2573.33</v>
      </c>
      <c r="E294" s="472">
        <f>+q28_E!$E$18</f>
        <v>2587.7199999999998</v>
      </c>
      <c r="F294" s="472">
        <f>+q28_E!$F$18</f>
        <v>2666.35</v>
      </c>
      <c r="G294" s="472">
        <f>+q28_E!$G$18</f>
        <v>2424.65</v>
      </c>
      <c r="H294" s="472">
        <f>+q28_E!$H$18</f>
        <v>2294.73</v>
      </c>
      <c r="I294" s="472">
        <f>+q28_E!$I$18</f>
        <v>2148.6799999999998</v>
      </c>
      <c r="J294" s="472">
        <f>+q28_E!$J$18</f>
        <v>1942.01</v>
      </c>
      <c r="K294" s="472">
        <f>+q28_E!$K$18</f>
        <v>1968.1</v>
      </c>
      <c r="L294" s="472">
        <f>+q28_E!$L$18</f>
        <v>2032.94</v>
      </c>
      <c r="M294" s="472">
        <f>+q28_E!$M$18</f>
        <v>2042.99</v>
      </c>
      <c r="S294" s="21" t="s">
        <v>589</v>
      </c>
      <c r="T294" s="632">
        <f t="shared" ref="T294:T303" si="61">+INDEX($B$291:$M$302,MATCH($S$293:$S$303,$B$291:$B$302,0),MATCH($R$291,$B$291:$M$291,0))</f>
        <v>2512.0500000000002</v>
      </c>
      <c r="U294" s="632">
        <f t="shared" ref="U294:U303" si="62">+INDEX($B$309:$M$320,MATCH($S$293:$S$303,$B$309:$B$320,0),MATCH($R$291,$B$309:$M$309,0))</f>
        <v>2902.03</v>
      </c>
      <c r="V294" s="892">
        <f t="shared" ref="V294:V303" si="63">+T294/U294</f>
        <v>0.86561820518740329</v>
      </c>
      <c r="W294" s="21" t="str">
        <f t="shared" ref="W294:W303" si="64">+S294</f>
        <v>Especial.das ativ.intelet.e cientif.</v>
      </c>
      <c r="X294" s="21"/>
    </row>
    <row r="295" spans="1:24">
      <c r="B295" t="str">
        <f>+Aux!$C$167</f>
        <v>Pessoal administrativo</v>
      </c>
      <c r="C295" s="472">
        <f>+q28_E!$C$24</f>
        <v>751.77</v>
      </c>
      <c r="D295" s="472">
        <f>+q28_E!$D$24</f>
        <v>763.17</v>
      </c>
      <c r="E295" s="472">
        <f>+q28_E!$E$24</f>
        <v>769.52</v>
      </c>
      <c r="F295" s="472">
        <f>+q28_E!$F$24</f>
        <v>805.93</v>
      </c>
      <c r="G295" s="472">
        <f>+q28_E!$G$24</f>
        <v>825.2</v>
      </c>
      <c r="H295" s="472">
        <f>+q28_E!$H$24</f>
        <v>838.81</v>
      </c>
      <c r="I295" s="472">
        <f>+q28_E!$I$24</f>
        <v>873.04</v>
      </c>
      <c r="J295" s="472">
        <f>+q28_E!$J$24</f>
        <v>929.46</v>
      </c>
      <c r="K295" s="472">
        <f>+q28_E!$K$24</f>
        <v>950.55</v>
      </c>
      <c r="L295" s="472">
        <f>+q28_E!$L$24</f>
        <v>986.78</v>
      </c>
      <c r="M295" s="472">
        <f>+q28_E!$M$24</f>
        <v>1027.46</v>
      </c>
      <c r="S295" s="21" t="s">
        <v>596</v>
      </c>
      <c r="T295" s="632">
        <f t="shared" si="61"/>
        <v>2042.99</v>
      </c>
      <c r="U295" s="632">
        <f t="shared" si="62"/>
        <v>2333.11</v>
      </c>
      <c r="V295" s="892">
        <f t="shared" si="63"/>
        <v>0.8756509551628513</v>
      </c>
      <c r="W295" s="21" t="str">
        <f t="shared" si="64"/>
        <v>Técn. e prof. de nível intermédio</v>
      </c>
      <c r="X295" s="21"/>
    </row>
    <row r="296" spans="1:24">
      <c r="B296" t="str">
        <f>+Aux!$C$168</f>
        <v>Trab.dos serv.pessoais, de prot.e segur.e vendedores</v>
      </c>
      <c r="C296" s="472">
        <f>+q28_E!$C$29</f>
        <v>588.85</v>
      </c>
      <c r="D296" s="472">
        <f>+q28_E!$D$29</f>
        <v>594.96</v>
      </c>
      <c r="E296" s="472">
        <f>+q28_E!$E$29</f>
        <v>615.64</v>
      </c>
      <c r="F296" s="472">
        <f>+q28_E!$F$29</f>
        <v>641.39</v>
      </c>
      <c r="G296" s="472">
        <f>+q28_E!$G$29</f>
        <v>664.22</v>
      </c>
      <c r="H296" s="472">
        <f>+q28_E!$H$29</f>
        <v>684.86</v>
      </c>
      <c r="I296" s="472">
        <f>+q28_E!$I$29</f>
        <v>707.65</v>
      </c>
      <c r="J296" s="472">
        <f>+q28_E!$J$29</f>
        <v>743.27</v>
      </c>
      <c r="K296" s="472">
        <f>+q28_E!$K$29</f>
        <v>788.65</v>
      </c>
      <c r="L296" s="472">
        <f>+q28_E!$L$29</f>
        <v>844.24</v>
      </c>
      <c r="M296" s="472">
        <f>+q28_E!$M$29</f>
        <v>903.77</v>
      </c>
      <c r="S296" s="21" t="s">
        <v>602</v>
      </c>
      <c r="T296" s="632">
        <f t="shared" si="61"/>
        <v>1027.46</v>
      </c>
      <c r="U296" s="632">
        <f t="shared" si="62"/>
        <v>1262.76</v>
      </c>
      <c r="V296" s="892">
        <f t="shared" si="63"/>
        <v>0.81366213690645894</v>
      </c>
      <c r="W296" s="21" t="str">
        <f t="shared" si="64"/>
        <v>Pessoal administrativo</v>
      </c>
      <c r="X296" s="21"/>
    </row>
    <row r="297" spans="1:24">
      <c r="B297" t="str">
        <f>+Aux!$C$169</f>
        <v>Agric.e trab.qualif.da agric.,da pesca e da floresta</v>
      </c>
      <c r="C297" s="472">
        <f>+q28_E!$C$34</f>
        <v>590.62</v>
      </c>
      <c r="D297" s="472">
        <f>+q28_E!$D$34</f>
        <v>589.33000000000004</v>
      </c>
      <c r="E297" s="472">
        <f>+q28_E!$E$34</f>
        <v>604.99</v>
      </c>
      <c r="F297" s="472">
        <f>+q28_E!$F$34</f>
        <v>617.63</v>
      </c>
      <c r="G297" s="472">
        <f>+q28_E!$G$34</f>
        <v>641.69000000000005</v>
      </c>
      <c r="H297" s="472">
        <f>+q28_E!$H$34</f>
        <v>672.66</v>
      </c>
      <c r="I297" s="472">
        <f>+q28_E!$I$34</f>
        <v>692.98</v>
      </c>
      <c r="J297" s="472">
        <f>+q28_E!$J$34</f>
        <v>733.14</v>
      </c>
      <c r="K297" s="472">
        <f>+q28_E!$K$34</f>
        <v>800.38</v>
      </c>
      <c r="L297" s="472">
        <f>+q28_E!$L$34</f>
        <v>853.21</v>
      </c>
      <c r="M297" s="472">
        <f>+q28_E!$M$34</f>
        <v>911.75</v>
      </c>
      <c r="S297" s="21" t="s">
        <v>607</v>
      </c>
      <c r="T297" s="632">
        <f t="shared" si="61"/>
        <v>903.77</v>
      </c>
      <c r="U297" s="632">
        <f t="shared" si="62"/>
        <v>1058.28</v>
      </c>
      <c r="V297" s="892">
        <f t="shared" si="63"/>
        <v>0.85399894167895074</v>
      </c>
      <c r="W297" s="21" t="str">
        <f t="shared" si="64"/>
        <v>Trab.dos serv.pessoais, de prot.e segur.e vendedores</v>
      </c>
      <c r="X297" s="21"/>
    </row>
    <row r="298" spans="1:24">
      <c r="B298" t="str">
        <f>+Aux!$C$170</f>
        <v>Trab.qualif.da ind.,constr.e artific.</v>
      </c>
      <c r="C298" s="472">
        <f>+q28_E!$C$37</f>
        <v>644.13</v>
      </c>
      <c r="D298" s="472">
        <f>+q28_E!$D$37</f>
        <v>651.29999999999995</v>
      </c>
      <c r="E298" s="472">
        <f>+q28_E!$E$37</f>
        <v>655.64</v>
      </c>
      <c r="F298" s="472">
        <f>+q28_E!$F$37</f>
        <v>672.82</v>
      </c>
      <c r="G298" s="472">
        <f>+q28_E!$G$37</f>
        <v>693.51</v>
      </c>
      <c r="H298" s="472">
        <f>+q28_E!$H$37</f>
        <v>708.14</v>
      </c>
      <c r="I298" s="472">
        <f>+q28_E!$I$37</f>
        <v>733.37</v>
      </c>
      <c r="J298" s="472">
        <f>+q28_E!$J$37</f>
        <v>778.8</v>
      </c>
      <c r="K298" s="472">
        <f>+q28_E!$K$37</f>
        <v>814.41</v>
      </c>
      <c r="L298" s="472">
        <f>+q28_E!$L$37</f>
        <v>879</v>
      </c>
      <c r="M298" s="472">
        <f>+q28_E!$M$37</f>
        <v>935.01</v>
      </c>
      <c r="S298" s="21" t="s">
        <v>612</v>
      </c>
      <c r="T298" s="632">
        <f t="shared" si="61"/>
        <v>911.75</v>
      </c>
      <c r="U298" s="632">
        <f t="shared" si="62"/>
        <v>1052.21</v>
      </c>
      <c r="V298" s="892">
        <f t="shared" si="63"/>
        <v>0.86650953706959633</v>
      </c>
      <c r="W298" s="21" t="str">
        <f t="shared" si="64"/>
        <v>Agric.e trab.qualif.da agric.,da pesca e da floresta</v>
      </c>
      <c r="X298" s="21"/>
    </row>
    <row r="299" spans="1:24">
      <c r="B299" t="str">
        <f>+Aux!$C$171</f>
        <v>Oper.de inst.e máq.e trab.mont.</v>
      </c>
      <c r="C299" s="472">
        <f>+q28_E!$C$43</f>
        <v>628.23</v>
      </c>
      <c r="D299" s="472">
        <f>+q28_E!$D$43</f>
        <v>626.69000000000005</v>
      </c>
      <c r="E299" s="472">
        <f>+q28_E!$E$43</f>
        <v>641.37</v>
      </c>
      <c r="F299" s="472">
        <f>+q28_E!$F$43</f>
        <v>665.98</v>
      </c>
      <c r="G299" s="472">
        <f>+q28_E!$G$43</f>
        <v>687.55</v>
      </c>
      <c r="H299" s="472">
        <f>+q28_E!$H$43</f>
        <v>701.24</v>
      </c>
      <c r="I299" s="472">
        <f>+q28_E!$I$43</f>
        <v>740.62</v>
      </c>
      <c r="J299" s="472">
        <f>+q28_E!$J$43</f>
        <v>774.77</v>
      </c>
      <c r="K299" s="472">
        <f>+q28_E!$K$43</f>
        <v>802.89</v>
      </c>
      <c r="L299" s="472">
        <f>+q28_E!$L$43</f>
        <v>861.29</v>
      </c>
      <c r="M299" s="472">
        <f>+q28_E!$M$43</f>
        <v>929.07</v>
      </c>
      <c r="S299" s="21" t="s">
        <v>615</v>
      </c>
      <c r="T299" s="632">
        <f t="shared" si="61"/>
        <v>935.01</v>
      </c>
      <c r="U299" s="632">
        <f t="shared" si="62"/>
        <v>1166.3900000000001</v>
      </c>
      <c r="V299" s="892">
        <f t="shared" si="63"/>
        <v>0.8016272430319189</v>
      </c>
      <c r="W299" s="21" t="str">
        <f t="shared" si="64"/>
        <v>Trab.qualif.da ind.,constr.e artific.</v>
      </c>
      <c r="X299" s="21"/>
    </row>
    <row r="300" spans="1:24">
      <c r="B300" t="str">
        <f>+Aux!$C$172</f>
        <v>Trabalhadores não qualificados</v>
      </c>
      <c r="C300" s="472">
        <f>+q28_E!$C$47</f>
        <v>548.35</v>
      </c>
      <c r="D300" s="472">
        <f>+q28_E!$D$47</f>
        <v>552.21</v>
      </c>
      <c r="E300" s="472">
        <f>+q28_E!$E$47</f>
        <v>572.37</v>
      </c>
      <c r="F300" s="472">
        <f>+q28_E!$F$47</f>
        <v>599.17999999999995</v>
      </c>
      <c r="G300" s="472">
        <f>+q28_E!$G$47</f>
        <v>625.88</v>
      </c>
      <c r="H300" s="472">
        <f>+q28_E!$H$47</f>
        <v>647.15</v>
      </c>
      <c r="I300" s="472">
        <f>+q28_E!$I$47</f>
        <v>680.01</v>
      </c>
      <c r="J300" s="472">
        <f>+q28_E!$J$47</f>
        <v>717.83</v>
      </c>
      <c r="K300" s="472">
        <f>+q28_E!$K$47</f>
        <v>758.31</v>
      </c>
      <c r="L300" s="472">
        <f>+q28_E!$L$47</f>
        <v>807.97</v>
      </c>
      <c r="M300" s="472">
        <f>+q28_E!$M$47</f>
        <v>857.81</v>
      </c>
      <c r="S300" s="21" t="s">
        <v>621</v>
      </c>
      <c r="T300" s="632">
        <f t="shared" si="61"/>
        <v>929.07</v>
      </c>
      <c r="U300" s="632">
        <f t="shared" si="62"/>
        <v>1259.9100000000001</v>
      </c>
      <c r="V300" s="892">
        <f t="shared" si="63"/>
        <v>0.73740981498678482</v>
      </c>
      <c r="W300" s="21" t="str">
        <f t="shared" si="64"/>
        <v>Oper.de inst.e máq.e trab.mont.</v>
      </c>
      <c r="X300" s="21"/>
    </row>
    <row r="301" spans="1:24">
      <c r="B301" t="str">
        <f>+Aux!$C$173</f>
        <v>Trabalhadores sem profissão atribuida</v>
      </c>
      <c r="C301" s="472">
        <f>+q28_E!$C$54</f>
        <v>2945.25</v>
      </c>
      <c r="D301" s="472">
        <f>+q28_E!$D$54</f>
        <v>4172.04</v>
      </c>
      <c r="E301" s="472">
        <f>+q28_E!$E$54</f>
        <v>2969.9</v>
      </c>
      <c r="F301" s="472">
        <f>+q28_E!$F$54</f>
        <v>3532.78</v>
      </c>
      <c r="G301" s="472">
        <f>+q28_E!$G$54</f>
        <v>2687.6</v>
      </c>
      <c r="H301" s="472">
        <f>+q28_E!$H$54</f>
        <v>2538.2800000000002</v>
      </c>
      <c r="I301" s="472">
        <f>+q28_E!$I$54</f>
        <v>2351.2600000000002</v>
      </c>
      <c r="J301" s="472">
        <f>+q28_E!$J$54</f>
        <v>3013.2</v>
      </c>
      <c r="K301" s="472">
        <f>+q28_E!$K$54</f>
        <v>3614.16</v>
      </c>
      <c r="L301" s="472">
        <f>+q28_E!$L$54</f>
        <v>4973.2700000000004</v>
      </c>
      <c r="M301" s="472">
        <f>+q28_E!$M$54</f>
        <v>4145.2700000000004</v>
      </c>
      <c r="S301" s="21" t="s">
        <v>625</v>
      </c>
      <c r="T301" s="632">
        <f t="shared" si="61"/>
        <v>857.81</v>
      </c>
      <c r="U301" s="632">
        <f t="shared" si="62"/>
        <v>1008.29</v>
      </c>
      <c r="V301" s="892">
        <f t="shared" si="63"/>
        <v>0.85075722262444331</v>
      </c>
      <c r="W301" s="21" t="str">
        <f t="shared" si="64"/>
        <v>Trabalhadores não qualificados</v>
      </c>
      <c r="X301" s="21"/>
    </row>
    <row r="302" spans="1:24">
      <c r="B302" s="383" t="s">
        <v>11</v>
      </c>
      <c r="C302" s="472">
        <f>+q28_E!$C$5</f>
        <v>836.38</v>
      </c>
      <c r="D302" s="472">
        <f>+q28_E!$D$5</f>
        <v>862.54</v>
      </c>
      <c r="E302" s="472">
        <f>+q28_E!$E$5</f>
        <v>878.67</v>
      </c>
      <c r="F302" s="472">
        <f>+q28_E!$F$5</f>
        <v>913.99</v>
      </c>
      <c r="G302" s="472">
        <f>+q28_E!$G$5</f>
        <v>914.83</v>
      </c>
      <c r="H302" s="472">
        <f>+q28_E!$H$5</f>
        <v>920.93</v>
      </c>
      <c r="I302" s="472">
        <f>+q28_E!$I$5</f>
        <v>970.48</v>
      </c>
      <c r="J302" s="472">
        <f>+q28_E!$J$5</f>
        <v>1022.56</v>
      </c>
      <c r="K302" s="472">
        <f>+q28_E!$K$5</f>
        <v>1059</v>
      </c>
      <c r="L302" s="472">
        <f>+q28_E!$L$5</f>
        <v>1104.3699999999999</v>
      </c>
      <c r="M302" s="472">
        <f>+q28_E!$M$5</f>
        <v>1165.07</v>
      </c>
      <c r="S302" s="21" t="s">
        <v>632</v>
      </c>
      <c r="T302" s="632">
        <f t="shared" si="61"/>
        <v>4145.2700000000004</v>
      </c>
      <c r="U302" s="632">
        <f t="shared" si="62"/>
        <v>4623.66</v>
      </c>
      <c r="V302" s="892">
        <f t="shared" si="63"/>
        <v>0.8965343472487165</v>
      </c>
      <c r="W302" s="21" t="str">
        <f t="shared" si="64"/>
        <v>Trabalhadores sem profissão atribuida</v>
      </c>
      <c r="X302" s="21"/>
    </row>
    <row r="303" spans="1:24">
      <c r="S303" s="21" t="s">
        <v>11</v>
      </c>
      <c r="T303" s="632">
        <f t="shared" si="61"/>
        <v>1165.07</v>
      </c>
      <c r="U303" s="632">
        <f t="shared" si="62"/>
        <v>1385.12</v>
      </c>
      <c r="V303" s="892">
        <f t="shared" si="63"/>
        <v>0.84113289823264414</v>
      </c>
      <c r="W303" s="21" t="str">
        <f t="shared" si="64"/>
        <v>Total</v>
      </c>
      <c r="X303" s="21"/>
    </row>
    <row r="304" spans="1:24">
      <c r="S304" s="21"/>
      <c r="T304" s="21"/>
      <c r="U304" s="21"/>
      <c r="V304" s="21"/>
      <c r="W304" s="21"/>
      <c r="X304" s="21"/>
    </row>
    <row r="308" spans="1:24">
      <c r="A308" s="384" t="s">
        <v>920</v>
      </c>
    </row>
    <row r="309" spans="1:24">
      <c r="A309" s="420" t="s">
        <v>269</v>
      </c>
      <c r="C309" s="384">
        <f>+q40_E!$C$4</f>
        <v>2014</v>
      </c>
      <c r="D309" s="384">
        <f>+q40_E!$D$4</f>
        <v>2015</v>
      </c>
      <c r="E309" s="384">
        <f>+q40_E!$E$4</f>
        <v>2016</v>
      </c>
      <c r="F309" s="384">
        <f>+q40_E!$F$4</f>
        <v>2017</v>
      </c>
      <c r="G309" s="384">
        <f>+q40_E!$G$4</f>
        <v>2018</v>
      </c>
      <c r="H309" s="384">
        <f>+q40_E!$H$4</f>
        <v>2019</v>
      </c>
      <c r="I309" s="384">
        <f>+q40_E!$I$4</f>
        <v>2020</v>
      </c>
      <c r="J309" s="384">
        <f>+q40_E!$J$4</f>
        <v>2021</v>
      </c>
      <c r="K309" s="384">
        <f>+q40_E!$K$4</f>
        <v>2022</v>
      </c>
      <c r="L309" s="384">
        <f>+q40_E!$L$4</f>
        <v>2023</v>
      </c>
      <c r="M309" s="384">
        <f>+q40_E!$M$4</f>
        <v>2024</v>
      </c>
    </row>
    <row r="310" spans="1:24">
      <c r="A310" s="420" t="s">
        <v>680</v>
      </c>
      <c r="B310" t="str">
        <f>+Aux!$C$164</f>
        <v>Repres. poder leg. e de órgãos exec., dirig., diret. e gestores executivos</v>
      </c>
      <c r="C310" s="472">
        <f>+q40_E!$C$6</f>
        <v>3314.18</v>
      </c>
      <c r="D310" s="472">
        <f>+q40_E!$D$6</f>
        <v>3165.25</v>
      </c>
      <c r="E310" s="472">
        <f>+q40_E!$E$6</f>
        <v>3269.76</v>
      </c>
      <c r="F310" s="472">
        <f>+q40_E!$F$6</f>
        <v>3475.86</v>
      </c>
      <c r="G310" s="472">
        <f>+q40_E!$G$6</f>
        <v>3451.26</v>
      </c>
      <c r="H310" s="472">
        <f>+q40_E!$H$6</f>
        <v>3467.75</v>
      </c>
      <c r="I310" s="472">
        <f>+q40_E!$I$6</f>
        <v>3809.38</v>
      </c>
      <c r="J310" s="472">
        <f>+q40_E!$J$6</f>
        <v>3973.37</v>
      </c>
      <c r="K310" s="472">
        <f>+q40_E!$K$6</f>
        <v>4155.03</v>
      </c>
      <c r="L310" s="472">
        <f>+q40_E!$L$6</f>
        <v>4422.09</v>
      </c>
      <c r="M310" s="472">
        <f>+q40_E!$M$6</f>
        <v>4558.8100000000004</v>
      </c>
    </row>
    <row r="311" spans="1:24">
      <c r="B311" t="str">
        <f>+Aux!$C$165</f>
        <v>Especial.das ativ.intelet.e cientif.</v>
      </c>
      <c r="C311" s="472">
        <f>+q40_E!$C$11</f>
        <v>2151.77</v>
      </c>
      <c r="D311" s="472">
        <f>+q40_E!$D$11</f>
        <v>2131.0300000000002</v>
      </c>
      <c r="E311" s="472">
        <f>+q40_E!$E$11</f>
        <v>2168.94</v>
      </c>
      <c r="F311" s="472">
        <f>+q40_E!$F$11</f>
        <v>2278.5</v>
      </c>
      <c r="G311" s="472">
        <f>+q40_E!$G$11</f>
        <v>2217.6799999999998</v>
      </c>
      <c r="H311" s="472">
        <f>+q40_E!$H$11</f>
        <v>2180.15</v>
      </c>
      <c r="I311" s="472">
        <f>+q40_E!$I$11</f>
        <v>2231.09</v>
      </c>
      <c r="J311" s="472">
        <f>+q40_E!$J$11</f>
        <v>2322.75</v>
      </c>
      <c r="K311" s="472">
        <f>+q40_E!$K$11</f>
        <v>2523.0300000000002</v>
      </c>
      <c r="L311" s="472">
        <f>+q40_E!$L$11</f>
        <v>2692.04</v>
      </c>
      <c r="M311" s="472">
        <f>+q40_E!$M$11</f>
        <v>2902.03</v>
      </c>
      <c r="S311" s="453" t="s">
        <v>690</v>
      </c>
      <c r="T311" s="453">
        <f>+SMALL($T$293:$T$302,1)</f>
        <v>857.81</v>
      </c>
      <c r="U311" s="453" t="str">
        <f>+TEXT(T311,"##.### €")</f>
        <v>858 €</v>
      </c>
      <c r="V311" s="453" t="str">
        <f>+VLOOKUP(T311,$T$292:$W$302,4,0)</f>
        <v>Trabalhadores não qualificados</v>
      </c>
    </row>
    <row r="312" spans="1:24">
      <c r="B312" t="str">
        <f>+Aux!$C$166</f>
        <v>Técn. e prof. de nível intermédio</v>
      </c>
      <c r="C312" s="472">
        <f>+q40_E!$C$18</f>
        <v>2306.66</v>
      </c>
      <c r="D312" s="472">
        <f>+q40_E!$D$18</f>
        <v>2798.72</v>
      </c>
      <c r="E312" s="472">
        <f>+q40_E!$E$18</f>
        <v>2807.15</v>
      </c>
      <c r="F312" s="472">
        <f>+q40_E!$F$18</f>
        <v>2905.39</v>
      </c>
      <c r="G312" s="472">
        <f>+q40_E!$G$18</f>
        <v>2658.34</v>
      </c>
      <c r="H312" s="472">
        <f>+q40_E!$H$18</f>
        <v>2536.29</v>
      </c>
      <c r="I312" s="472">
        <f>+q40_E!$I$18</f>
        <v>2374.08</v>
      </c>
      <c r="J312" s="472">
        <f>+q40_E!$J$18</f>
        <v>2154.56</v>
      </c>
      <c r="K312" s="472">
        <f>+q40_E!$K$18</f>
        <v>2210.66</v>
      </c>
      <c r="L312" s="472">
        <f>+q40_E!$L$18</f>
        <v>2335.94</v>
      </c>
      <c r="M312" s="472">
        <f>+q40_E!$M$18</f>
        <v>2333.11</v>
      </c>
      <c r="S312" s="453" t="s">
        <v>689</v>
      </c>
      <c r="T312" s="453">
        <f>+LARGE($T$293:$T$302,1)</f>
        <v>4145.2700000000004</v>
      </c>
      <c r="U312" s="453" t="str">
        <f>+TEXT(T312,"##.### €")</f>
        <v>4.145 €</v>
      </c>
      <c r="V312" s="453" t="str">
        <f>+VLOOKUP(T312,$T$292:$W$302,4,0)</f>
        <v>Trabalhadores sem profissão atribuida</v>
      </c>
    </row>
    <row r="313" spans="1:24">
      <c r="B313" t="str">
        <f>+Aux!$C$167</f>
        <v>Pessoal administrativo</v>
      </c>
      <c r="C313" s="472">
        <f>+q40_E!$C$24</f>
        <v>897.29</v>
      </c>
      <c r="D313" s="472">
        <f>+q40_E!$D$24</f>
        <v>915.29</v>
      </c>
      <c r="E313" s="472">
        <f>+q40_E!$E$24</f>
        <v>920.42</v>
      </c>
      <c r="F313" s="472">
        <f>+q40_E!$F$24</f>
        <v>957.45</v>
      </c>
      <c r="G313" s="472">
        <f>+q40_E!$G$24</f>
        <v>985.56</v>
      </c>
      <c r="H313" s="472">
        <f>+q40_E!$H$24</f>
        <v>1007.87</v>
      </c>
      <c r="I313" s="472">
        <f>+q40_E!$I$24</f>
        <v>1068.52</v>
      </c>
      <c r="J313" s="472">
        <f>+q40_E!$J$24</f>
        <v>1126.24</v>
      </c>
      <c r="K313" s="472">
        <f>+q40_E!$K$24</f>
        <v>1151.76</v>
      </c>
      <c r="L313" s="472">
        <f>+q40_E!$L$24</f>
        <v>1210.1300000000001</v>
      </c>
      <c r="M313" s="472">
        <f>+q40_E!$M$24</f>
        <v>1262.76</v>
      </c>
      <c r="S313" s="453"/>
      <c r="T313" s="453"/>
      <c r="U313" s="453"/>
      <c r="V313" s="453"/>
    </row>
    <row r="314" spans="1:24">
      <c r="B314" t="str">
        <f>+Aux!$C$168</f>
        <v>Trab.dos serv.pessoais, de prot.e segur.e vendedores</v>
      </c>
      <c r="C314" s="472">
        <f>+q40_E!$C$29</f>
        <v>664.7</v>
      </c>
      <c r="D314" s="472">
        <f>+q40_E!$D$29</f>
        <v>670.23</v>
      </c>
      <c r="E314" s="472">
        <f>+q40_E!$E$29</f>
        <v>696.28</v>
      </c>
      <c r="F314" s="472">
        <f>+q40_E!$F$29</f>
        <v>728.01</v>
      </c>
      <c r="G314" s="472">
        <f>+q40_E!$G$29</f>
        <v>758.87</v>
      </c>
      <c r="H314" s="472">
        <f>+q40_E!$H$29</f>
        <v>785.32</v>
      </c>
      <c r="I314" s="472">
        <f>+q40_E!$I$29</f>
        <v>805.15</v>
      </c>
      <c r="J314" s="472">
        <f>+q40_E!$J$29</f>
        <v>857.91</v>
      </c>
      <c r="K314" s="472">
        <f>+q40_E!$K$29</f>
        <v>914.13</v>
      </c>
      <c r="L314" s="472">
        <f>+q40_E!$L$29</f>
        <v>985.29</v>
      </c>
      <c r="M314" s="472">
        <f>+q40_E!$M$29</f>
        <v>1058.28</v>
      </c>
      <c r="S314" s="453" t="s">
        <v>691</v>
      </c>
      <c r="T314" s="453">
        <f>+SMALL($U$293:$U$302,1)</f>
        <v>1008.29</v>
      </c>
      <c r="U314" s="453" t="str">
        <f>+TEXT(T314,"##.### €")</f>
        <v>1.008 €</v>
      </c>
      <c r="V314" s="453" t="str">
        <f>+VLOOKUP(T314,$U$292:$W$302,3,0)</f>
        <v>Trabalhadores não qualificados</v>
      </c>
    </row>
    <row r="315" spans="1:24">
      <c r="B315" t="str">
        <f>+Aux!$C$169</f>
        <v>Agric.e trab.qualif.da agric.,da pesca e da floresta</v>
      </c>
      <c r="C315" s="472">
        <f>+q40_E!$C$34</f>
        <v>706.12</v>
      </c>
      <c r="D315" s="472">
        <f>+q40_E!$D$34</f>
        <v>698.4</v>
      </c>
      <c r="E315" s="472">
        <f>+q40_E!$E$34</f>
        <v>706.68</v>
      </c>
      <c r="F315" s="472">
        <f>+q40_E!$F$34</f>
        <v>728.68</v>
      </c>
      <c r="G315" s="472">
        <f>+q40_E!$G$34</f>
        <v>757.07</v>
      </c>
      <c r="H315" s="472">
        <f>+q40_E!$H$34</f>
        <v>787.58</v>
      </c>
      <c r="I315" s="472">
        <f>+q40_E!$I$34</f>
        <v>795.89</v>
      </c>
      <c r="J315" s="472">
        <f>+q40_E!$J$34</f>
        <v>855.64</v>
      </c>
      <c r="K315" s="472">
        <f>+q40_E!$K$34</f>
        <v>925.36</v>
      </c>
      <c r="L315" s="472">
        <f>+q40_E!$L$34</f>
        <v>992.29</v>
      </c>
      <c r="M315" s="472">
        <f>+q40_E!$M$34</f>
        <v>1052.21</v>
      </c>
      <c r="S315" s="453" t="s">
        <v>692</v>
      </c>
      <c r="T315" s="453">
        <f>+LARGE($U$293:$U$302,1)</f>
        <v>4623.66</v>
      </c>
      <c r="U315" s="453" t="str">
        <f>+TEXT(T315,"##.### €")</f>
        <v>4.624 €</v>
      </c>
      <c r="V315" s="453" t="str">
        <f>+VLOOKUP(T315,$U$292:$W$302,3,0)</f>
        <v>Trabalhadores sem profissão atribuida</v>
      </c>
    </row>
    <row r="316" spans="1:24">
      <c r="B316" t="str">
        <f>+Aux!$C$170</f>
        <v>Trab.qualif.da ind.,constr.e artific.</v>
      </c>
      <c r="C316" s="472">
        <f>+q40_E!$C$37</f>
        <v>791.25</v>
      </c>
      <c r="D316" s="472">
        <f>+q40_E!$D$37</f>
        <v>793.32</v>
      </c>
      <c r="E316" s="472">
        <f>+q40_E!$E$37</f>
        <v>800.3</v>
      </c>
      <c r="F316" s="472">
        <f>+q40_E!$F$37</f>
        <v>827.11</v>
      </c>
      <c r="G316" s="472">
        <f>+q40_E!$G$37</f>
        <v>849.29</v>
      </c>
      <c r="H316" s="472">
        <f>+q40_E!$H$37</f>
        <v>863.8</v>
      </c>
      <c r="I316" s="472">
        <f>+q40_E!$I$37</f>
        <v>880.91</v>
      </c>
      <c r="J316" s="472">
        <f>+q40_E!$J$37</f>
        <v>942.2</v>
      </c>
      <c r="K316" s="472">
        <f>+q40_E!$K$37</f>
        <v>996</v>
      </c>
      <c r="L316" s="472">
        <f>+q40_E!$L$37</f>
        <v>1095.33</v>
      </c>
      <c r="M316" s="472">
        <f>+q40_E!$M$37</f>
        <v>1166.3900000000001</v>
      </c>
      <c r="W316" s="453"/>
      <c r="X316" s="453"/>
    </row>
    <row r="317" spans="1:24">
      <c r="B317" t="str">
        <f>+Aux!$C$171</f>
        <v>Oper.de inst.e máq.e trab.mont.</v>
      </c>
      <c r="C317" s="472">
        <f>+q40_E!$C$43</f>
        <v>845.85</v>
      </c>
      <c r="D317" s="472">
        <f>+q40_E!$D$43</f>
        <v>855.03</v>
      </c>
      <c r="E317" s="472">
        <f>+q40_E!$E$43</f>
        <v>883.36</v>
      </c>
      <c r="F317" s="472">
        <f>+q40_E!$F$43</f>
        <v>914.28</v>
      </c>
      <c r="G317" s="472">
        <f>+q40_E!$G$43</f>
        <v>931.47</v>
      </c>
      <c r="H317" s="472">
        <f>+q40_E!$H$43</f>
        <v>958.69</v>
      </c>
      <c r="I317" s="472">
        <f>+q40_E!$I$43</f>
        <v>1009.21</v>
      </c>
      <c r="J317" s="472">
        <f>+q40_E!$J$43</f>
        <v>1043.18</v>
      </c>
      <c r="K317" s="472">
        <f>+q40_E!$K$43</f>
        <v>1083.21</v>
      </c>
      <c r="L317" s="472">
        <f>+q40_E!$L$43</f>
        <v>1165.3399999999999</v>
      </c>
      <c r="M317" s="472">
        <f>+q40_E!$M$43</f>
        <v>1259.9100000000001</v>
      </c>
      <c r="W317" s="453"/>
      <c r="X317" s="453"/>
    </row>
    <row r="318" spans="1:24">
      <c r="B318" t="str">
        <f>+Aux!$C$172</f>
        <v>Trabalhadores não qualificados</v>
      </c>
      <c r="C318" s="472">
        <f>+q40_E!$C$47</f>
        <v>641.44000000000005</v>
      </c>
      <c r="D318" s="472">
        <f>+q40_E!$D$47</f>
        <v>639.92999999999995</v>
      </c>
      <c r="E318" s="472">
        <f>+q40_E!$E$47</f>
        <v>663.93</v>
      </c>
      <c r="F318" s="472">
        <f>+q40_E!$F$47</f>
        <v>698.89</v>
      </c>
      <c r="G318" s="472">
        <f>+q40_E!$G$47</f>
        <v>738.77</v>
      </c>
      <c r="H318" s="472">
        <f>+q40_E!$H$47</f>
        <v>756.93</v>
      </c>
      <c r="I318" s="472">
        <f>+q40_E!$I$47</f>
        <v>796.53</v>
      </c>
      <c r="J318" s="472">
        <f>+q40_E!$J$47</f>
        <v>850.94</v>
      </c>
      <c r="K318" s="472">
        <f>+q40_E!$K$47</f>
        <v>890.69</v>
      </c>
      <c r="L318" s="472">
        <f>+q40_E!$L$47</f>
        <v>950.93</v>
      </c>
      <c r="M318" s="472">
        <f>+q40_E!$M$47</f>
        <v>1008.29</v>
      </c>
      <c r="S318" s="423" t="s">
        <v>697</v>
      </c>
      <c r="T318" s="453"/>
      <c r="U318" s="453"/>
      <c r="V318" s="453"/>
      <c r="W318" s="453"/>
      <c r="X318" s="453"/>
    </row>
    <row r="319" spans="1:24">
      <c r="B319" t="str">
        <f>+Aux!$C$173</f>
        <v>Trabalhadores sem profissão atribuida</v>
      </c>
      <c r="C319" s="472">
        <f>+q40_E!$C$54</f>
        <v>3189.98</v>
      </c>
      <c r="D319" s="472">
        <f>+q40_E!$D$54</f>
        <v>4687.5200000000004</v>
      </c>
      <c r="E319" s="472">
        <f>+q40_E!$E$54</f>
        <v>3171.58</v>
      </c>
      <c r="F319" s="472">
        <f>+q40_E!$F$54</f>
        <v>3745.49</v>
      </c>
      <c r="G319" s="472">
        <f>+q40_E!$G$54</f>
        <v>2979.43</v>
      </c>
      <c r="H319" s="472">
        <f>+q40_E!$H$54</f>
        <v>2858.15</v>
      </c>
      <c r="I319" s="472">
        <f>+q40_E!$I$54</f>
        <v>2557.16</v>
      </c>
      <c r="J319" s="472">
        <f>+q40_E!$J$54</f>
        <v>3293.17</v>
      </c>
      <c r="K319" s="472">
        <f>+q40_E!$K$54</f>
        <v>3924.88</v>
      </c>
      <c r="L319" s="472">
        <f>+q40_E!$L$54</f>
        <v>5421.37</v>
      </c>
      <c r="M319" s="472">
        <f>+q40_E!$M$54</f>
        <v>4623.66</v>
      </c>
      <c r="R319" s="6" t="str">
        <f>+TEXT(S319,"####")</f>
        <v>2024</v>
      </c>
      <c r="S319" s="453">
        <f>+$R$291</f>
        <v>2024</v>
      </c>
      <c r="T319" s="453" t="s">
        <v>693</v>
      </c>
      <c r="U319" s="453"/>
      <c r="V319" s="453"/>
      <c r="W319" s="453"/>
      <c r="X319" s="453"/>
    </row>
    <row r="320" spans="1:24">
      <c r="B320" s="383" t="s">
        <v>11</v>
      </c>
      <c r="C320" s="472">
        <f>+q40_E!$C$5</f>
        <v>976.32</v>
      </c>
      <c r="D320" s="472">
        <f>+q40_E!$D$5</f>
        <v>1000.61</v>
      </c>
      <c r="E320" s="472">
        <f>+q40_E!$E$5</f>
        <v>1018.91</v>
      </c>
      <c r="F320" s="472">
        <f>+q40_E!$F$5</f>
        <v>1065.8399999999999</v>
      </c>
      <c r="G320" s="472">
        <f>+q40_E!$G$5</f>
        <v>1071.44</v>
      </c>
      <c r="H320" s="472">
        <f>+q40_E!$H$5</f>
        <v>1079.9000000000001</v>
      </c>
      <c r="I320" s="472">
        <f>+q40_E!$I$5</f>
        <v>1136.98</v>
      </c>
      <c r="J320" s="472">
        <f>+q40_E!$J$5</f>
        <v>1200.32</v>
      </c>
      <c r="K320" s="472">
        <f>+q40_E!$K$5</f>
        <v>1245.44</v>
      </c>
      <c r="L320" s="472">
        <f>+q40_E!$L$5</f>
        <v>1311.32</v>
      </c>
      <c r="M320" s="472">
        <f>+q40_E!$M$5</f>
        <v>1385.12</v>
      </c>
      <c r="S320" s="453" t="s">
        <v>700</v>
      </c>
      <c r="T320" s="453"/>
      <c r="U320" s="453"/>
      <c r="V320" s="453"/>
      <c r="W320" s="453"/>
      <c r="X320" s="453"/>
    </row>
    <row r="321" spans="18:24">
      <c r="S321" s="483" t="str">
        <f>TEXT($V$303,"##.###,0%")</f>
        <v>84,1%</v>
      </c>
      <c r="T321" s="453" t="s">
        <v>694</v>
      </c>
      <c r="U321" s="453" t="str">
        <f>+TEXT($U$311,"##.### €")</f>
        <v>858 €</v>
      </c>
      <c r="V321" s="453" t="s">
        <v>464</v>
      </c>
      <c r="W321" s="453" t="str">
        <f>+$V$311</f>
        <v>Trabalhadores não qualificados</v>
      </c>
      <c r="X321" s="453" t="s">
        <v>418</v>
      </c>
    </row>
    <row r="322" spans="18:24">
      <c r="S322" s="453"/>
      <c r="T322" s="453"/>
      <c r="U322" s="453" t="str">
        <f>+TEXT($U$312,"##.### €")</f>
        <v>4.145 €</v>
      </c>
      <c r="V322" s="453" t="s">
        <v>464</v>
      </c>
      <c r="W322" s="453" t="str">
        <f>+$V$312</f>
        <v>Trabalhadores sem profissão atribuida</v>
      </c>
      <c r="X322" s="453" t="s">
        <v>397</v>
      </c>
    </row>
    <row r="323" spans="18:24">
      <c r="S323" s="453" t="s">
        <v>695</v>
      </c>
      <c r="T323" s="453" t="s">
        <v>696</v>
      </c>
      <c r="U323" s="453" t="str">
        <f>+TEXT($U$314,"##.### €")</f>
        <v>1.008 €</v>
      </c>
      <c r="V323" s="453" t="s">
        <v>443</v>
      </c>
      <c r="W323" s="453" t="str">
        <f>+TEXT($U$315,"##.### €")</f>
        <v>4.624 €</v>
      </c>
      <c r="X323" s="453"/>
    </row>
    <row r="324" spans="18:24">
      <c r="S324" s="453" t="s">
        <v>698</v>
      </c>
      <c r="T324" s="453"/>
      <c r="U324" s="453" t="str">
        <f>+$V$314</f>
        <v>Trabalhadores não qualificados</v>
      </c>
      <c r="V324" s="453"/>
      <c r="W324" s="453" t="str">
        <f>+$V$315</f>
        <v>Trabalhadores sem profissão atribuida</v>
      </c>
      <c r="X324" s="453"/>
    </row>
    <row r="325" spans="18:24">
      <c r="S325" s="453"/>
      <c r="T325" s="453"/>
      <c r="U325" s="453"/>
      <c r="V325" s="453"/>
      <c r="W325" s="453"/>
      <c r="X325" s="453"/>
    </row>
    <row r="326" spans="18:24">
      <c r="S326" s="535"/>
      <c r="T326" s="453"/>
      <c r="U326" s="453"/>
      <c r="V326" s="453"/>
      <c r="W326" s="453"/>
      <c r="X326" s="453"/>
    </row>
    <row r="327" spans="18:24">
      <c r="S327" s="535"/>
      <c r="T327" s="453"/>
      <c r="U327" s="453"/>
      <c r="V327" s="453"/>
      <c r="W327" s="453"/>
      <c r="X327" s="453"/>
    </row>
    <row r="328" spans="18:24">
      <c r="S328" s="535"/>
    </row>
    <row r="329" spans="18:24">
      <c r="S329" s="535"/>
    </row>
    <row r="330" spans="18:24">
      <c r="S330" s="453" t="str">
        <f>+CONCATENATE($S$319,$T$319,CHAR(10),$S$320,$S$321,$T$321,$U$321,$V$321,$W$321,$X$321,$U$322,$V$322,$W$322,$X$322:$X$322)</f>
        <v>2024 - Continente:
Base média: 84,1% do Ganho, entre 858 € (Trabalhadores não qualificados) e 4.145 € (Trabalhadores sem profissão atribuida).</v>
      </c>
      <c r="U330" s="453"/>
    </row>
    <row r="331" spans="18:24">
      <c r="R331" s="6"/>
      <c r="S331" s="453" t="str">
        <f>+CONCATENATE($S$319,$T$319,CHAR(10),S323,T323,U323,V321,U324,X321,W323,V322,W324,X322)</f>
        <v>2024 - Continente:
Ganho médio: Entre 1.008 € (Trabalhadores não qualificados) e 4.624 € (Trabalhadores sem profissão atribuida).</v>
      </c>
    </row>
    <row r="332" spans="18:24">
      <c r="S332" s="27"/>
    </row>
  </sheetData>
  <mergeCells count="18">
    <mergeCell ref="Z196:AB196"/>
    <mergeCell ref="AC196:AE196"/>
    <mergeCell ref="V168:V175"/>
    <mergeCell ref="V176:V183"/>
    <mergeCell ref="V185:V189"/>
    <mergeCell ref="W116:W119"/>
    <mergeCell ref="AB125:AD125"/>
    <mergeCell ref="AE125:AG125"/>
    <mergeCell ref="Y69:Z69"/>
    <mergeCell ref="W97:W104"/>
    <mergeCell ref="W105:W110"/>
    <mergeCell ref="W111:W113"/>
    <mergeCell ref="Y78:Z78"/>
    <mergeCell ref="BQ4:BR4"/>
    <mergeCell ref="BS4:BT4"/>
    <mergeCell ref="BU4:BV4"/>
    <mergeCell ref="BW4:BX4"/>
    <mergeCell ref="AD165:AG169"/>
  </mergeCells>
  <conditionalFormatting sqref="BC3 BC5">
    <cfRule type="cellIs" dxfId="2736" priority="46" operator="equal">
      <formula>0</formula>
    </cfRule>
  </conditionalFormatting>
  <conditionalFormatting sqref="BD3:BE3 BD5:BE5">
    <cfRule type="cellIs" dxfId="2735" priority="45" operator="equal">
      <formula>0</formula>
    </cfRule>
  </conditionalFormatting>
  <conditionalFormatting sqref="AT3:BE3">
    <cfRule type="cellIs" dxfId="2734" priority="44" operator="equal">
      <formula>0</formula>
    </cfRule>
  </conditionalFormatting>
  <conditionalFormatting sqref="AT4:BE4">
    <cfRule type="cellIs" dxfId="2733" priority="43" operator="equal">
      <formula>0</formula>
    </cfRule>
  </conditionalFormatting>
  <conditionalFormatting sqref="B69:B74">
    <cfRule type="cellIs" dxfId="2732" priority="42" operator="equal">
      <formula>0</formula>
    </cfRule>
  </conditionalFormatting>
  <conditionalFormatting sqref="D70:D74">
    <cfRule type="cellIs" dxfId="2731" priority="41" operator="equal">
      <formula>0</formula>
    </cfRule>
  </conditionalFormatting>
  <conditionalFormatting sqref="F70:F74">
    <cfRule type="cellIs" dxfId="2730" priority="40" operator="equal">
      <formula>0</formula>
    </cfRule>
  </conditionalFormatting>
  <conditionalFormatting sqref="H70:H74">
    <cfRule type="cellIs" dxfId="2729" priority="39" operator="equal">
      <formula>0</formula>
    </cfRule>
  </conditionalFormatting>
  <conditionalFormatting sqref="J70:J74">
    <cfRule type="cellIs" dxfId="2728" priority="38" operator="equal">
      <formula>0</formula>
    </cfRule>
  </conditionalFormatting>
  <conditionalFormatting sqref="L70:L74">
    <cfRule type="cellIs" dxfId="2727" priority="37" operator="equal">
      <formula>0</formula>
    </cfRule>
  </conditionalFormatting>
  <conditionalFormatting sqref="N70:N74">
    <cfRule type="cellIs" dxfId="2726" priority="36" operator="equal">
      <formula>0</formula>
    </cfRule>
  </conditionalFormatting>
  <conditionalFormatting sqref="P70:P74">
    <cfRule type="cellIs" dxfId="2725" priority="35" operator="equal">
      <formula>0</formula>
    </cfRule>
  </conditionalFormatting>
  <conditionalFormatting sqref="R70:R74">
    <cfRule type="cellIs" dxfId="2724" priority="34" operator="equal">
      <formula>0</formula>
    </cfRule>
  </conditionalFormatting>
  <conditionalFormatting sqref="T70:T74">
    <cfRule type="cellIs" dxfId="2723" priority="33" operator="equal">
      <formula>0</formula>
    </cfRule>
  </conditionalFormatting>
  <conditionalFormatting sqref="V70:V74">
    <cfRule type="cellIs" dxfId="2722" priority="32" operator="equal">
      <formula>0</formula>
    </cfRule>
  </conditionalFormatting>
  <conditionalFormatting sqref="B78:B83">
    <cfRule type="cellIs" dxfId="2721" priority="31" operator="equal">
      <formula>0</formula>
    </cfRule>
  </conditionalFormatting>
  <conditionalFormatting sqref="D78">
    <cfRule type="cellIs" dxfId="2720" priority="30" operator="equal">
      <formula>0</formula>
    </cfRule>
  </conditionalFormatting>
  <conditionalFormatting sqref="F78">
    <cfRule type="cellIs" dxfId="2719" priority="29" operator="equal">
      <formula>0</formula>
    </cfRule>
  </conditionalFormatting>
  <conditionalFormatting sqref="H78">
    <cfRule type="cellIs" dxfId="2718" priority="28" operator="equal">
      <formula>0</formula>
    </cfRule>
  </conditionalFormatting>
  <conditionalFormatting sqref="J78">
    <cfRule type="cellIs" dxfId="2717" priority="27" operator="equal">
      <formula>0</formula>
    </cfRule>
  </conditionalFormatting>
  <conditionalFormatting sqref="L78">
    <cfRule type="cellIs" dxfId="2716" priority="26" operator="equal">
      <formula>0</formula>
    </cfRule>
  </conditionalFormatting>
  <conditionalFormatting sqref="N78">
    <cfRule type="cellIs" dxfId="2715" priority="25" operator="equal">
      <formula>0</formula>
    </cfRule>
  </conditionalFormatting>
  <conditionalFormatting sqref="P78">
    <cfRule type="cellIs" dxfId="2714" priority="24" operator="equal">
      <formula>0</formula>
    </cfRule>
  </conditionalFormatting>
  <conditionalFormatting sqref="R78">
    <cfRule type="cellIs" dxfId="2713" priority="23" operator="equal">
      <formula>0</formula>
    </cfRule>
  </conditionalFormatting>
  <conditionalFormatting sqref="T78">
    <cfRule type="cellIs" dxfId="2712" priority="22" operator="equal">
      <formula>0</formula>
    </cfRule>
  </conditionalFormatting>
  <conditionalFormatting sqref="V78">
    <cfRule type="cellIs" dxfId="2711" priority="21" operator="equal">
      <formula>0</formula>
    </cfRule>
  </conditionalFormatting>
  <conditionalFormatting sqref="D79:D83">
    <cfRule type="cellIs" dxfId="2710" priority="20" operator="equal">
      <formula>0</formula>
    </cfRule>
  </conditionalFormatting>
  <conditionalFormatting sqref="F79:F83">
    <cfRule type="cellIs" dxfId="2709" priority="19" operator="equal">
      <formula>0</formula>
    </cfRule>
  </conditionalFormatting>
  <conditionalFormatting sqref="H79:H83">
    <cfRule type="cellIs" dxfId="2708" priority="18" operator="equal">
      <formula>0</formula>
    </cfRule>
  </conditionalFormatting>
  <conditionalFormatting sqref="J79:J83">
    <cfRule type="cellIs" dxfId="2707" priority="17" operator="equal">
      <formula>0</formula>
    </cfRule>
  </conditionalFormatting>
  <conditionalFormatting sqref="L79:L83">
    <cfRule type="cellIs" dxfId="2706" priority="16" operator="equal">
      <formula>0</formula>
    </cfRule>
  </conditionalFormatting>
  <conditionalFormatting sqref="N79:N83">
    <cfRule type="cellIs" dxfId="2705" priority="15" operator="equal">
      <formula>0</formula>
    </cfRule>
  </conditionalFormatting>
  <conditionalFormatting sqref="P79:P83">
    <cfRule type="cellIs" dxfId="2704" priority="14" operator="equal">
      <formula>0</formula>
    </cfRule>
  </conditionalFormatting>
  <conditionalFormatting sqref="R79:R83">
    <cfRule type="cellIs" dxfId="2703" priority="13" operator="equal">
      <formula>0</formula>
    </cfRule>
  </conditionalFormatting>
  <conditionalFormatting sqref="T79:T83">
    <cfRule type="cellIs" dxfId="2702" priority="12" operator="equal">
      <formula>0</formula>
    </cfRule>
  </conditionalFormatting>
  <conditionalFormatting sqref="V79:V83">
    <cfRule type="cellIs" dxfId="2701" priority="11" operator="equal">
      <formula>0</formula>
    </cfRule>
  </conditionalFormatting>
  <conditionalFormatting sqref="D69">
    <cfRule type="cellIs" dxfId="2700" priority="10" operator="equal">
      <formula>0</formula>
    </cfRule>
  </conditionalFormatting>
  <conditionalFormatting sqref="F69">
    <cfRule type="cellIs" dxfId="2699" priority="9" operator="equal">
      <formula>0</formula>
    </cfRule>
  </conditionalFormatting>
  <conditionalFormatting sqref="H69">
    <cfRule type="cellIs" dxfId="2698" priority="8" operator="equal">
      <formula>0</formula>
    </cfRule>
  </conditionalFormatting>
  <conditionalFormatting sqref="J69">
    <cfRule type="cellIs" dxfId="2697" priority="7" operator="equal">
      <formula>0</formula>
    </cfRule>
  </conditionalFormatting>
  <conditionalFormatting sqref="L69">
    <cfRule type="cellIs" dxfId="2696" priority="6" operator="equal">
      <formula>0</formula>
    </cfRule>
  </conditionalFormatting>
  <conditionalFormatting sqref="N69">
    <cfRule type="cellIs" dxfId="2695" priority="5" operator="equal">
      <formula>0</formula>
    </cfRule>
  </conditionalFormatting>
  <conditionalFormatting sqref="P69">
    <cfRule type="cellIs" dxfId="2694" priority="4" operator="equal">
      <formula>0</formula>
    </cfRule>
  </conditionalFormatting>
  <conditionalFormatting sqref="R69">
    <cfRule type="cellIs" dxfId="2693" priority="3" operator="equal">
      <formula>0</formula>
    </cfRule>
  </conditionalFormatting>
  <conditionalFormatting sqref="T69">
    <cfRule type="cellIs" dxfId="2692" priority="2" operator="equal">
      <formula>0</formula>
    </cfRule>
  </conditionalFormatting>
  <conditionalFormatting sqref="V69">
    <cfRule type="cellIs" dxfId="2691" priority="1"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04161" r:id="rId4" name="Drop Down 1">
              <controlPr defaultSize="0" autoLine="0" autoPict="0">
                <anchor moveWithCells="1">
                  <from>
                    <xdr:col>17</xdr:col>
                    <xdr:colOff>219075</xdr:colOff>
                    <xdr:row>2</xdr:row>
                    <xdr:rowOff>0</xdr:rowOff>
                  </from>
                  <to>
                    <xdr:col>19</xdr:col>
                    <xdr:colOff>66675</xdr:colOff>
                    <xdr:row>3</xdr:row>
                    <xdr:rowOff>9525</xdr:rowOff>
                  </to>
                </anchor>
              </controlPr>
            </control>
          </mc:Choice>
        </mc:AlternateContent>
        <mc:AlternateContent xmlns:mc="http://schemas.openxmlformats.org/markup-compatibility/2006">
          <mc:Choice Requires="x14">
            <control shapeId="604162" r:id="rId5" name="Drop Down 2">
              <controlPr defaultSize="0" autoLine="0" autoPict="0">
                <anchor moveWithCells="1">
                  <from>
                    <xdr:col>23</xdr:col>
                    <xdr:colOff>209550</xdr:colOff>
                    <xdr:row>90</xdr:row>
                    <xdr:rowOff>0</xdr:rowOff>
                  </from>
                  <to>
                    <xdr:col>24</xdr:col>
                    <xdr:colOff>228600</xdr:colOff>
                    <xdr:row>91</xdr:row>
                    <xdr:rowOff>19050</xdr:rowOff>
                  </to>
                </anchor>
              </controlPr>
            </control>
          </mc:Choice>
        </mc:AlternateContent>
        <mc:AlternateContent xmlns:mc="http://schemas.openxmlformats.org/markup-compatibility/2006">
          <mc:Choice Requires="x14">
            <control shapeId="604163" r:id="rId6" name="Drop Down 3">
              <controlPr defaultSize="0" autoLine="0" autoPict="0">
                <anchor moveWithCells="1">
                  <from>
                    <xdr:col>24</xdr:col>
                    <xdr:colOff>209550</xdr:colOff>
                    <xdr:row>123</xdr:row>
                    <xdr:rowOff>0</xdr:rowOff>
                  </from>
                  <to>
                    <xdr:col>25</xdr:col>
                    <xdr:colOff>228600</xdr:colOff>
                    <xdr:row>124</xdr:row>
                    <xdr:rowOff>19050</xdr:rowOff>
                  </to>
                </anchor>
              </controlPr>
            </control>
          </mc:Choice>
        </mc:AlternateContent>
        <mc:AlternateContent xmlns:mc="http://schemas.openxmlformats.org/markup-compatibility/2006">
          <mc:Choice Requires="x14">
            <control shapeId="604164" r:id="rId7" name="Drop Down 4">
              <controlPr defaultSize="0" autoLine="0" autoPict="0">
                <anchor moveWithCells="1">
                  <from>
                    <xdr:col>22</xdr:col>
                    <xdr:colOff>209550</xdr:colOff>
                    <xdr:row>162</xdr:row>
                    <xdr:rowOff>0</xdr:rowOff>
                  </from>
                  <to>
                    <xdr:col>23</xdr:col>
                    <xdr:colOff>228600</xdr:colOff>
                    <xdr:row>163</xdr:row>
                    <xdr:rowOff>19050</xdr:rowOff>
                  </to>
                </anchor>
              </controlPr>
            </control>
          </mc:Choice>
        </mc:AlternateContent>
        <mc:AlternateContent xmlns:mc="http://schemas.openxmlformats.org/markup-compatibility/2006">
          <mc:Choice Requires="x14">
            <control shapeId="604165" r:id="rId8" name="Drop Down 5">
              <controlPr defaultSize="0" autoLine="0" autoPict="0">
                <anchor moveWithCells="1">
                  <from>
                    <xdr:col>22</xdr:col>
                    <xdr:colOff>209550</xdr:colOff>
                    <xdr:row>194</xdr:row>
                    <xdr:rowOff>0</xdr:rowOff>
                  </from>
                  <to>
                    <xdr:col>23</xdr:col>
                    <xdr:colOff>228600</xdr:colOff>
                    <xdr:row>195</xdr:row>
                    <xdr:rowOff>19050</xdr:rowOff>
                  </to>
                </anchor>
              </controlPr>
            </control>
          </mc:Choice>
        </mc:AlternateContent>
        <mc:AlternateContent xmlns:mc="http://schemas.openxmlformats.org/markup-compatibility/2006">
          <mc:Choice Requires="x14">
            <control shapeId="604166" r:id="rId9" name="Drop Down 6">
              <controlPr defaultSize="0" autoLine="0" autoPict="0">
                <anchor moveWithCells="1">
                  <from>
                    <xdr:col>20</xdr:col>
                    <xdr:colOff>581025</xdr:colOff>
                    <xdr:row>234</xdr:row>
                    <xdr:rowOff>123825</xdr:rowOff>
                  </from>
                  <to>
                    <xdr:col>21</xdr:col>
                    <xdr:colOff>685800</xdr:colOff>
                    <xdr:row>235</xdr:row>
                    <xdr:rowOff>133350</xdr:rowOff>
                  </to>
                </anchor>
              </controlPr>
            </control>
          </mc:Choice>
        </mc:AlternateContent>
        <mc:AlternateContent xmlns:mc="http://schemas.openxmlformats.org/markup-compatibility/2006">
          <mc:Choice Requires="x14">
            <control shapeId="604167" r:id="rId10" name="Drop Down 7">
              <controlPr defaultSize="0" autoLine="0" autoPict="0">
                <anchor moveWithCells="1">
                  <from>
                    <xdr:col>19</xdr:col>
                    <xdr:colOff>209550</xdr:colOff>
                    <xdr:row>287</xdr:row>
                    <xdr:rowOff>0</xdr:rowOff>
                  </from>
                  <to>
                    <xdr:col>20</xdr:col>
                    <xdr:colOff>190500</xdr:colOff>
                    <xdr:row>288</xdr:row>
                    <xdr:rowOff>19050</xdr:rowOff>
                  </to>
                </anchor>
              </controlPr>
            </control>
          </mc:Choice>
        </mc:AlternateContent>
        <mc:AlternateContent xmlns:mc="http://schemas.openxmlformats.org/markup-compatibility/2006">
          <mc:Choice Requires="x14">
            <control shapeId="604168" r:id="rId11" name="Drop Down 8">
              <controlPr defaultSize="0" autoLine="0" autoPict="0">
                <anchor moveWithCells="1">
                  <from>
                    <xdr:col>27</xdr:col>
                    <xdr:colOff>133350</xdr:colOff>
                    <xdr:row>274</xdr:row>
                    <xdr:rowOff>9525</xdr:rowOff>
                  </from>
                  <to>
                    <xdr:col>27</xdr:col>
                    <xdr:colOff>895350</xdr:colOff>
                    <xdr:row>275</xdr:row>
                    <xdr:rowOff>19050</xdr:rowOff>
                  </to>
                </anchor>
              </controlPr>
            </control>
          </mc:Choice>
        </mc:AlternateContent>
        <mc:AlternateContent xmlns:mc="http://schemas.openxmlformats.org/markup-compatibility/2006">
          <mc:Choice Requires="x14">
            <control shapeId="604169" r:id="rId12" name="Drop Down 9">
              <controlPr defaultSize="0" autoLine="0" autoPict="0">
                <anchor moveWithCells="1">
                  <from>
                    <xdr:col>17</xdr:col>
                    <xdr:colOff>209550</xdr:colOff>
                    <xdr:row>333</xdr:row>
                    <xdr:rowOff>0</xdr:rowOff>
                  </from>
                  <to>
                    <xdr:col>17</xdr:col>
                    <xdr:colOff>838200</xdr:colOff>
                    <xdr:row>334</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8EA99-AD1A-4DC2-AA41-97726AB91717}">
  <sheetPr codeName="Folha9">
    <tabColor indexed="24"/>
  </sheetPr>
  <dimension ref="A1:CF119"/>
  <sheetViews>
    <sheetView topLeftCell="A22" zoomScale="104" zoomScaleNormal="104" workbookViewId="0">
      <selection activeCell="Y70" sqref="Y70"/>
    </sheetView>
  </sheetViews>
  <sheetFormatPr defaultRowHeight="12.75"/>
  <cols>
    <col min="1" max="1" width="18.5703125" customWidth="1"/>
    <col min="2" max="2" width="15.140625" customWidth="1"/>
    <col min="3" max="9" width="11.5703125" bestFit="1" customWidth="1"/>
    <col min="10" max="14" width="10.5703125" bestFit="1" customWidth="1"/>
    <col min="18" max="18" width="25" bestFit="1" customWidth="1"/>
    <col min="46" max="52" width="10.85546875" bestFit="1" customWidth="1"/>
    <col min="53" max="53" width="8.140625" customWidth="1"/>
    <col min="54" max="54" width="16.140625" bestFit="1" customWidth="1"/>
    <col min="55" max="56" width="11" bestFit="1" customWidth="1"/>
    <col min="59" max="60" width="18.28515625" bestFit="1" customWidth="1"/>
    <col min="70" max="71" width="23.140625" customWidth="1"/>
  </cols>
  <sheetData>
    <row r="1" spans="1:84">
      <c r="A1" s="383"/>
      <c r="BL1" t="s">
        <v>202</v>
      </c>
    </row>
    <row r="2" spans="1:84">
      <c r="A2" s="383" t="s">
        <v>250</v>
      </c>
      <c r="B2">
        <v>1</v>
      </c>
      <c r="BL2">
        <f>+AT3</f>
        <v>2014</v>
      </c>
      <c r="BM2">
        <v>1</v>
      </c>
    </row>
    <row r="3" spans="1:84" ht="13.5" thickBot="1">
      <c r="A3" s="383" t="s">
        <v>251</v>
      </c>
      <c r="AS3" s="115"/>
      <c r="AT3" s="4">
        <f>+'q1'!$C$4</f>
        <v>2014</v>
      </c>
      <c r="AU3" s="4">
        <f>+'q1'!$D$4</f>
        <v>2015</v>
      </c>
      <c r="AV3" s="4">
        <f>+'q1'!$E$4</f>
        <v>2016</v>
      </c>
      <c r="AW3" s="4">
        <f>+'q1'!$F$4</f>
        <v>2017</v>
      </c>
      <c r="AX3" s="4">
        <f>+'q1'!$G$4</f>
        <v>2018</v>
      </c>
      <c r="AY3" s="4">
        <f>+'q1'!$H$4</f>
        <v>2019</v>
      </c>
      <c r="AZ3" s="4">
        <f>+'q1'!$I$4</f>
        <v>2020</v>
      </c>
      <c r="BA3" s="4">
        <f>+'q1'!$J$4</f>
        <v>2021</v>
      </c>
      <c r="BB3" s="4">
        <f>+'q1'!$K$4</f>
        <v>2022</v>
      </c>
      <c r="BC3" s="4">
        <f>+'q1'!$L$4</f>
        <v>2023</v>
      </c>
      <c r="BD3" s="4">
        <f>+'q1'!$M$4</f>
        <v>2024</v>
      </c>
      <c r="BE3" s="403"/>
      <c r="BF3" s="384" t="str">
        <f>+BD3&amp;"-"&amp;BC3</f>
        <v>2024-2023</v>
      </c>
      <c r="BG3" t="str">
        <f>+"variação "&amp;$BD$3&amp;"/"&amp;$BC$3</f>
        <v>variação 2024/2023</v>
      </c>
      <c r="BH3" t="str">
        <f>+"variação "&amp;$BD$3&amp;"/"&amp;$AT$3</f>
        <v>variação 2024/2014</v>
      </c>
      <c r="BL3">
        <f>+AU3</f>
        <v>2015</v>
      </c>
      <c r="BM3">
        <v>2</v>
      </c>
      <c r="BT3" s="493" t="s">
        <v>250</v>
      </c>
      <c r="BV3" s="384">
        <f>+'q23'!$C$4</f>
        <v>2014</v>
      </c>
      <c r="BW3" s="384">
        <f>+'q23'!$D$4</f>
        <v>2015</v>
      </c>
      <c r="BX3" s="384">
        <f>+'q23'!$E$4</f>
        <v>2016</v>
      </c>
      <c r="BY3" s="384">
        <f>+'q23'!$F$4</f>
        <v>2017</v>
      </c>
      <c r="BZ3" s="384">
        <f>+'q23'!$G$4</f>
        <v>2018</v>
      </c>
      <c r="CA3" s="384">
        <f>+'q23'!$H$4</f>
        <v>2019</v>
      </c>
      <c r="CB3" s="384">
        <f>+'q23'!$I$4</f>
        <v>2020</v>
      </c>
      <c r="CC3" s="384">
        <f>+'q23'!$J$4</f>
        <v>2021</v>
      </c>
      <c r="CD3" s="384">
        <f>+'q23'!$K$4</f>
        <v>2022</v>
      </c>
      <c r="CE3" s="384">
        <f>+'q23'!$L$4</f>
        <v>2023</v>
      </c>
      <c r="CF3" s="384">
        <f>+'q23'!$M$4</f>
        <v>2024</v>
      </c>
    </row>
    <row r="4" spans="1:84" ht="13.5" thickTop="1">
      <c r="R4" s="383"/>
      <c r="AS4" s="395" t="s">
        <v>256</v>
      </c>
      <c r="AT4" s="427">
        <f>+'q22'!$C$5</f>
        <v>909.49</v>
      </c>
      <c r="AU4" s="427">
        <f>+'q22'!$D$5</f>
        <v>913.93</v>
      </c>
      <c r="AV4" s="427">
        <f>+'q22'!$E$5</f>
        <v>924.94</v>
      </c>
      <c r="AW4" s="427">
        <f>+'q22'!$F$5</f>
        <v>943</v>
      </c>
      <c r="AX4" s="427">
        <f>+'q22'!$G$5</f>
        <v>970.42</v>
      </c>
      <c r="AY4" s="427">
        <f>+'q22'!$H$5</f>
        <v>1005.09</v>
      </c>
      <c r="AZ4" s="427">
        <f>+'q22'!$I$5</f>
        <v>1041.99</v>
      </c>
      <c r="BA4" s="427">
        <f>+'q22'!$J$5</f>
        <v>1082.77</v>
      </c>
      <c r="BB4" s="427">
        <f>+'q22'!$K$5</f>
        <v>1143.45</v>
      </c>
      <c r="BC4" s="427">
        <f>+'q22'!$L$5</f>
        <v>1219.8699999999999</v>
      </c>
      <c r="BD4" s="871">
        <f>+'q22'!$M$5</f>
        <v>1308.96</v>
      </c>
      <c r="BE4" s="323"/>
      <c r="BF4" s="528">
        <f>+BD4-BC4</f>
        <v>89.090000000000146</v>
      </c>
      <c r="BG4" s="505">
        <f>+(BD4/BC4-1)</f>
        <v>7.3032372301966797E-2</v>
      </c>
      <c r="BH4" s="397">
        <f>+(BD4/AT4-1)</f>
        <v>0.43922418058472323</v>
      </c>
      <c r="BL4">
        <f>+AV3</f>
        <v>2016</v>
      </c>
      <c r="BM4">
        <v>3</v>
      </c>
      <c r="BQ4" s="492"/>
      <c r="BR4" s="492"/>
      <c r="BS4" s="492"/>
      <c r="BT4" s="493" t="s">
        <v>115</v>
      </c>
      <c r="BU4" s="383" t="s">
        <v>222</v>
      </c>
      <c r="BV4" s="407">
        <f>+(q23_Aux!$R$9+q23_Aux!$R$12)/(q14a!$C$9+q14a!$C$12)</f>
        <v>781.11783274934442</v>
      </c>
      <c r="BW4" s="407">
        <f>+(q23_Aux!$S$9+q23_Aux!$S$12)/(q14a!$D$9+q14a!$D$12)</f>
        <v>778.84578295049801</v>
      </c>
      <c r="BX4" s="407">
        <f>+(q23_Aux!$T$9+q23_Aux!$T$12)/(q14a!$E$9+q14a!$E$12)</f>
        <v>790.85815806292248</v>
      </c>
      <c r="BY4" s="407">
        <f>+(q23_Aux!$U$9+q23_Aux!$U$12)/(q14a!$F$9+q14a!$F$12)</f>
        <v>808.36123382062499</v>
      </c>
      <c r="BZ4" s="407">
        <f>+(q23_Aux!$V$9+q23_Aux!$V$12)/(q14a!$G$9+q14a!$G$12)</f>
        <v>833.20365774381833</v>
      </c>
      <c r="CA4" s="407">
        <f>+(q23_Aux!$W$9+q23_Aux!$W$12)/(q14a!$H$9+q14a!$H$12)</f>
        <v>860.39443439305364</v>
      </c>
      <c r="CB4" s="407">
        <f>+(q23_Aux!$X$9+q23_Aux!$X$12)/(q14a!$I$9+q14a!$I$12)</f>
        <v>896.66949528687007</v>
      </c>
      <c r="CC4" s="407">
        <f>+(q23_Aux!$Y$9+q23_Aux!$Y$12)/(q14a!$J$9+q14a!$J$12)</f>
        <v>934.18122099004563</v>
      </c>
      <c r="CD4" s="407">
        <f>+(q23_Aux!$Z$9+q23_Aux!$Z$12)/(q14a!$K$9+q14a!$K$12)</f>
        <v>983.53238893542834</v>
      </c>
      <c r="CE4" s="407">
        <f>+(q23_Aux!$AA$9+q23_Aux!$AA$12)/(q14a!$L$9+q14a!$L$12)</f>
        <v>1049.2754023095581</v>
      </c>
      <c r="CF4" s="407">
        <f>+(q23_Aux!$AB$9+q23_Aux!$AB$12)/(q14a!$M$9+q14a!$M$12)</f>
        <v>1120.5396858895213</v>
      </c>
    </row>
    <row r="5" spans="1:84">
      <c r="AS5" s="395" t="s">
        <v>257</v>
      </c>
      <c r="AT5" s="428">
        <f>+'q34'!$C$5</f>
        <v>1093.21</v>
      </c>
      <c r="AU5" s="428">
        <f>+'q34'!$D$5</f>
        <v>1096.6600000000001</v>
      </c>
      <c r="AV5" s="428">
        <f>+'q34'!$E$5</f>
        <v>1107.8599999999999</v>
      </c>
      <c r="AW5" s="428">
        <f>+'q34'!$F$5</f>
        <v>1133.3399999999999</v>
      </c>
      <c r="AX5" s="428">
        <f>+'q34'!$G$5</f>
        <v>1170.25</v>
      </c>
      <c r="AY5" s="428">
        <f>+'q34'!$H$5</f>
        <v>1209.94</v>
      </c>
      <c r="AZ5" s="428">
        <f>+'q34'!$I$5</f>
        <v>1250.75</v>
      </c>
      <c r="BA5" s="428">
        <f>+'q34'!$J$5</f>
        <v>1294.1099999999999</v>
      </c>
      <c r="BB5" s="428">
        <f>+'q34'!$K$5</f>
        <v>1368</v>
      </c>
      <c r="BC5" s="428">
        <f>+'q34'!$L$5</f>
        <v>1466.66</v>
      </c>
      <c r="BD5" s="872">
        <f>+'q34'!$M$5</f>
        <v>1582.75</v>
      </c>
      <c r="BE5" s="394"/>
      <c r="BF5" s="528">
        <f>+BD5-BC5</f>
        <v>116.08999999999992</v>
      </c>
      <c r="BG5" s="505">
        <f>+(BD5/BC5-1)</f>
        <v>7.9152632511965804E-2</v>
      </c>
      <c r="BH5" s="397">
        <f>+(BD5/AT5-1)</f>
        <v>0.44780051408238131</v>
      </c>
      <c r="BL5">
        <f>+AW3</f>
        <v>2017</v>
      </c>
      <c r="BM5">
        <v>4</v>
      </c>
      <c r="BQ5" s="383"/>
      <c r="BR5" s="383"/>
      <c r="BS5" s="383"/>
      <c r="BU5" s="383" t="s">
        <v>432</v>
      </c>
      <c r="BV5" s="407">
        <f>+(q23_Aux!$R$15+q23_Aux!$R$18)/(q14a!$C$15+q14a!$C$18)</f>
        <v>944.82539046631746</v>
      </c>
      <c r="BW5" s="407">
        <f>+(q23_Aux!$S$15+q23_Aux!$S$18)/(q14a!$D$15+q14a!$D$18)</f>
        <v>942.57483200777199</v>
      </c>
      <c r="BX5" s="407">
        <f>+(q23_Aux!$T$15+q23_Aux!$T$18)/(q14a!$E$15+q14a!$E$18)</f>
        <v>945.30117093095339</v>
      </c>
      <c r="BY5" s="407">
        <f>+(q23_Aux!$U$15+q23_Aux!$U$18)/(q14a!$F$15+q14a!$F$18)</f>
        <v>955.23732611016862</v>
      </c>
      <c r="BZ5" s="407">
        <f>+(q23_Aux!$V$15+q23_Aux!$V$18)/(q14a!$G$15+q14a!$G$18)</f>
        <v>975.30136595619285</v>
      </c>
      <c r="CA5" s="407">
        <f>+(q23_Aux!$W$15+q23_Aux!$W$18)/(q14a!$H$15+q14a!$H$18)</f>
        <v>1003.8625394934082</v>
      </c>
      <c r="CB5" s="407">
        <f>+(q23_Aux!$X$15+q23_Aux!$X$18)/(q14a!$I$15+q14a!$I$18)</f>
        <v>1045.4442470547006</v>
      </c>
      <c r="CC5" s="407">
        <f>+(q23_Aux!$Y$15+q23_Aux!$Y$18)/(q14a!$J$15+q14a!$J$18)</f>
        <v>1082.3525120341474</v>
      </c>
      <c r="CD5" s="407">
        <f>+(q23_Aux!$Z$15+q23_Aux!$Z$18)/(q14a!$K$15+q14a!$K$18)</f>
        <v>1129.0118405819944</v>
      </c>
      <c r="CE5" s="407">
        <f>+(q23_Aux!$AA$15+q23_Aux!$AA$18)/(q14a!$L$15+q14a!$L$18)</f>
        <v>1200.4695220416991</v>
      </c>
      <c r="CF5" s="407">
        <f>+(q23_Aux!$AB$15+q23_Aux!$AB$18)/(q14a!$M$15+q14a!$M$18)</f>
        <v>1271.7886090185459</v>
      </c>
    </row>
    <row r="6" spans="1:84">
      <c r="B6" s="383"/>
      <c r="D6">
        <f>+'q22'!$C$4</f>
        <v>2014</v>
      </c>
      <c r="E6">
        <f>+'q22'!$D$4</f>
        <v>2015</v>
      </c>
      <c r="F6">
        <f>+'q22'!$E$4</f>
        <v>2016</v>
      </c>
      <c r="G6">
        <f>+'q22'!$F$4</f>
        <v>2017</v>
      </c>
      <c r="H6">
        <f>+'q22'!$G$4</f>
        <v>2018</v>
      </c>
      <c r="I6">
        <f>+'q22'!$H$4</f>
        <v>2019</v>
      </c>
      <c r="J6">
        <f>+'q22'!$I$4</f>
        <v>2020</v>
      </c>
      <c r="K6">
        <f>+'q22'!$J$4</f>
        <v>2021</v>
      </c>
      <c r="L6">
        <f>+'q22'!$K$4</f>
        <v>2022</v>
      </c>
      <c r="M6">
        <f>+'q22'!$L$4</f>
        <v>2023</v>
      </c>
      <c r="N6">
        <f>+'q22'!$M$4</f>
        <v>2024</v>
      </c>
      <c r="BL6">
        <f>+AX3</f>
        <v>2018</v>
      </c>
      <c r="BM6">
        <v>5</v>
      </c>
      <c r="BT6" s="492"/>
      <c r="BU6" s="383" t="s">
        <v>433</v>
      </c>
      <c r="BV6" s="407">
        <f>+(q23_Aux!$R$21+q23_Aux!$R$24+q23_Aux!$R$27+q23_Aux!$R$30)/(q14a!$C$21+q14a!$C$24+q14a!$C$27+q14a!$C$30)</f>
        <v>1139.3812195235798</v>
      </c>
      <c r="BW6" s="407">
        <f>+(q23_Aux!$S$21+q23_Aux!$S$24+q23_Aux!$S$27+q23_Aux!$S$30)/(q14a!$D$21+q14a!$D$24+q14a!$D$27+q14a!$D$30)</f>
        <v>1149.1993996163176</v>
      </c>
      <c r="BX6" s="407">
        <f>+(q23_Aux!$T$21+q23_Aux!$T$24+q23_Aux!$T$27+q23_Aux!$T$30)/(q14a!$E$21+q14a!$E$24+q14a!$E$27+q14a!$E$30)</f>
        <v>1152.035244188254</v>
      </c>
      <c r="BY6" s="407">
        <f>+(q23_Aux!$U$21+q23_Aux!$U$24+q23_Aux!$U$27+q23_Aux!$U$30)/(q14a!$F$21+q14a!$F$24+q14a!$F$27+q14a!$F$30)</f>
        <v>1164.6052044548396</v>
      </c>
      <c r="BZ6" s="407">
        <f>+(q23_Aux!$V$21+q23_Aux!$V$24+q23_Aux!$V$27+q23_Aux!$V$30)/(q14a!$G$21+q14a!$G$24+q14a!$G$27+q14a!$G$30)</f>
        <v>1189.8080266937716</v>
      </c>
      <c r="CA6" s="407">
        <f>+(q23_Aux!$W$21+q23_Aux!$W$24+q23_Aux!$W$27+q23_Aux!$W$30)/(q14a!$H$21+q14a!$H$24+q14a!$H$27+q14a!$H$30)</f>
        <v>1213.9215963040717</v>
      </c>
      <c r="CB6" s="407">
        <f>+(q23_Aux!$X$21+q23_Aux!$X$24+q23_Aux!$X$27+q23_Aux!$X$30)/(q14a!$I$21+q14a!$I$24+q14a!$I$27+q14a!$I$30)</f>
        <v>1256.4395515462345</v>
      </c>
      <c r="CC6" s="407">
        <f>+(q23_Aux!$Y$21+q23_Aux!$Y$24+q23_Aux!$Y$27+q23_Aux!$Y$30)/(q14a!$J$21+q14a!$J$24+q14a!$J$27+q14a!$J$30)</f>
        <v>1284.4045940747583</v>
      </c>
      <c r="CD6" s="407">
        <f>+(q23_Aux!$Z$21+q23_Aux!$Z$24+q23_Aux!$Z$27+q23_Aux!$Z$30)/(q14a!$K$21+q14a!$K$24+q14a!$K$27+q14a!$K$30)</f>
        <v>1340.9528794761798</v>
      </c>
      <c r="CE6" s="407">
        <f>+(q23_Aux!$AA$21+q23_Aux!$AA$24+q23_Aux!$AA$27+q23_Aux!$AA$30)/(q14a!$L$21+q14a!$L$24+q14a!$L$27+q14a!$L$30)</f>
        <v>1414.9339946749119</v>
      </c>
      <c r="CF6" s="407">
        <f>+(q23_Aux!$AB$21+q23_Aux!$AB$24+q23_Aux!$AB$27+q23_Aux!$AB$30)/(q14a!$M$21+q14a!$M$24+q14a!$M$27+q14a!$M$30)</f>
        <v>1485.057317005522</v>
      </c>
    </row>
    <row r="7" spans="1:84">
      <c r="A7" s="383" t="s">
        <v>243</v>
      </c>
      <c r="B7" t="str">
        <f>+'q22'!$A$6</f>
        <v>A</v>
      </c>
      <c r="C7" t="str">
        <f>+'q22'!$B$6</f>
        <v>Agr., pr. animal, caça, flor. pesca</v>
      </c>
      <c r="D7" s="407">
        <f>+'q22'!$C$6</f>
        <v>687.92</v>
      </c>
      <c r="E7" s="407">
        <f>+'q22'!$D$6</f>
        <v>701.34</v>
      </c>
      <c r="F7" s="407">
        <f>+'q22'!$E$6</f>
        <v>726.49</v>
      </c>
      <c r="G7" s="407">
        <f>+'q22'!$F$6</f>
        <v>738.39</v>
      </c>
      <c r="H7" s="407">
        <f>+'q22'!$G$6</f>
        <v>773.22</v>
      </c>
      <c r="I7" s="407">
        <f>+'q22'!$H$6</f>
        <v>823.08</v>
      </c>
      <c r="J7" s="407">
        <f>+'q22'!$I$6</f>
        <v>823.12</v>
      </c>
      <c r="K7" s="407">
        <f>+'q22'!$J$6</f>
        <v>872.68</v>
      </c>
      <c r="L7" s="407">
        <f>+'q22'!$K$6</f>
        <v>916.19</v>
      </c>
      <c r="M7" s="407">
        <f>+'q22'!$L$6</f>
        <v>969.65</v>
      </c>
      <c r="N7" s="407">
        <f>+'q22'!$M$6</f>
        <v>1041.6300000000001</v>
      </c>
      <c r="P7" s="491"/>
      <c r="S7" s="407"/>
      <c r="T7" s="407"/>
      <c r="U7" s="407"/>
      <c r="V7" s="407"/>
      <c r="W7" s="407"/>
      <c r="X7" s="407"/>
      <c r="Y7" s="407"/>
      <c r="Z7" s="407"/>
      <c r="AA7" s="407"/>
      <c r="AB7" s="407"/>
      <c r="AC7" s="407"/>
      <c r="BF7" s="491">
        <v>1308.96</v>
      </c>
      <c r="BL7">
        <f>+AY3</f>
        <v>2019</v>
      </c>
      <c r="BM7">
        <v>6</v>
      </c>
      <c r="BT7" s="383"/>
      <c r="BU7" s="383" t="s">
        <v>231</v>
      </c>
      <c r="BV7" s="407">
        <f>+(q23_Aux!$R$33+q23_Aux!$R$36+q23_Aux!$R$39)/(q14a!$C$33+q14a!$C$36+q14a!$C$39)</f>
        <v>1163.3137943040338</v>
      </c>
      <c r="BW7" s="407">
        <f>+(q23_Aux!$S$33+q23_Aux!$S$36+q23_Aux!$S$39)/(q14a!$D$33+q14a!$D$36+q14a!$D$39)</f>
        <v>1175.2478004064444</v>
      </c>
      <c r="BX7" s="407">
        <f>+(q23_Aux!$T$33+q23_Aux!$T$36+q23_Aux!$T$39)/(q14a!$E$33+q14a!$E$36+q14a!$E$39)</f>
        <v>1185.082785904081</v>
      </c>
      <c r="BY7" s="407">
        <f>+(q23_Aux!$U$33+q23_Aux!$U$36+q23_Aux!$U$39)/(q14a!$F$33+q14a!$F$36+q14a!$F$39)</f>
        <v>1186.7702625078382</v>
      </c>
      <c r="BZ7" s="407">
        <f>+(q23_Aux!$V$33+q23_Aux!$V$36+q23_Aux!$V$39)/(q14a!$G$33+q14a!$G$36+q14a!$G$39)</f>
        <v>1217.9484879327349</v>
      </c>
      <c r="CA7" s="407">
        <f>+(q23_Aux!$W$33+q23_Aux!$W$36+q23_Aux!$W$39)/(q14a!$H$33+q14a!$H$36+q14a!$H$39)</f>
        <v>1271.8815261859859</v>
      </c>
      <c r="CB7" s="407">
        <f>+(q23_Aux!$X$33+q23_Aux!$X$36+q23_Aux!$X$39)/(q14a!$I$33+q14a!$I$36+q14a!$I$39)</f>
        <v>1287.0059261575884</v>
      </c>
      <c r="CC7" s="407">
        <f>+(q23_Aux!$Y$33+q23_Aux!$Y$36+q23_Aux!$Y$39)/(q14a!$J$33+q14a!$J$36+q14a!$J$39)</f>
        <v>1361.6657513272228</v>
      </c>
      <c r="CD7" s="407">
        <f>+(q23_Aux!$Z$33+q23_Aux!$Z$36+q23_Aux!$Z$39)/(q14a!$K$33+q14a!$K$36+q14a!$K$39)</f>
        <v>1465.0937013585124</v>
      </c>
      <c r="CE7" s="407">
        <f>+(q23_Aux!$AA$33+q23_Aux!$AA$36+q23_Aux!$AA$39)/(q14a!$L$33+q14a!$L$36+q14a!$L$39)</f>
        <v>1559.6177955823755</v>
      </c>
      <c r="CF7" s="407">
        <f>+(q23_Aux!$AB$33+q23_Aux!$AB$36+q23_Aux!$AB$39)/(q14a!$M$33+q14a!$M$36+q14a!$M$39)</f>
        <v>1696.6928720265187</v>
      </c>
    </row>
    <row r="8" spans="1:84" ht="13.5" thickBot="1">
      <c r="A8" s="383"/>
      <c r="B8" t="str">
        <f>+'q22'!$A$7</f>
        <v>B</v>
      </c>
      <c r="C8" t="str">
        <f>+'q22'!$B$7</f>
        <v>Indústrias extrativas</v>
      </c>
      <c r="D8" s="407">
        <f>+'q22'!$C$7</f>
        <v>934.74</v>
      </c>
      <c r="E8" s="407">
        <f>+'q22'!$D$7</f>
        <v>937.81</v>
      </c>
      <c r="F8" s="407">
        <f>+'q22'!$E$7</f>
        <v>958.1</v>
      </c>
      <c r="G8" s="407">
        <f>+'q22'!$F$7</f>
        <v>986.18</v>
      </c>
      <c r="H8" s="407">
        <f>+'q22'!$G$7</f>
        <v>1036.73</v>
      </c>
      <c r="I8" s="407">
        <f>+'q22'!$H$7</f>
        <v>1083.24</v>
      </c>
      <c r="J8" s="407">
        <f>+'q22'!$I$7</f>
        <v>1099.73</v>
      </c>
      <c r="K8" s="407">
        <f>+'q22'!$J$7</f>
        <v>1159.45</v>
      </c>
      <c r="L8" s="407">
        <f>+'q22'!$K$7</f>
        <v>1221.07</v>
      </c>
      <c r="M8" s="407">
        <f>+'q22'!$L$7</f>
        <v>1316.39</v>
      </c>
      <c r="N8" s="407">
        <f>+'q22'!$M$7</f>
        <v>1434.33</v>
      </c>
      <c r="P8" s="491"/>
      <c r="S8" s="407"/>
      <c r="T8" s="407"/>
      <c r="U8" s="407"/>
      <c r="V8" s="407"/>
      <c r="W8" s="407"/>
      <c r="X8" s="407"/>
      <c r="Y8" s="407"/>
      <c r="Z8" s="407"/>
      <c r="AA8" s="407"/>
      <c r="AB8" s="407"/>
      <c r="AC8" s="407"/>
      <c r="BF8" s="491">
        <v>1582.75</v>
      </c>
      <c r="BL8">
        <f>+AZ3</f>
        <v>2020</v>
      </c>
      <c r="BM8">
        <v>7</v>
      </c>
      <c r="BU8" s="383" t="s">
        <v>11</v>
      </c>
      <c r="BV8" s="407">
        <f>+q23_Aux!$C$6</f>
        <v>985.02</v>
      </c>
      <c r="BW8" s="407">
        <f>+q23_Aux!$D$6</f>
        <v>990.05</v>
      </c>
      <c r="BX8" s="407">
        <f>+q23_Aux!$E$6</f>
        <v>997.38</v>
      </c>
      <c r="BY8" s="407">
        <f>+q23_Aux!$F$6</f>
        <v>1012.25</v>
      </c>
      <c r="BZ8" s="407">
        <f>+q23_Aux!$G$6</f>
        <v>1039.08</v>
      </c>
      <c r="CA8" s="407">
        <f>+q23_Aux!$H$6</f>
        <v>1073.82</v>
      </c>
      <c r="CB8" s="407">
        <f>+q23_Aux!$I$6</f>
        <v>1109.21</v>
      </c>
      <c r="CC8" s="407">
        <f>+q23_Aux!$J$6</f>
        <v>1152.24</v>
      </c>
      <c r="CD8" s="407">
        <f>+q23_Aux!$K$6</f>
        <v>1217.33</v>
      </c>
      <c r="CE8" s="407">
        <f>+q23_Aux!$L$6</f>
        <v>1294.03</v>
      </c>
      <c r="CF8" s="407">
        <f>+q23_Aux!$M$6</f>
        <v>1383.38</v>
      </c>
    </row>
    <row r="9" spans="1:84" ht="13.5" thickTop="1">
      <c r="A9" s="383"/>
      <c r="B9" t="str">
        <f>+'q22'!$A$8</f>
        <v>C</v>
      </c>
      <c r="C9" t="str">
        <f>+'q22'!$B$8</f>
        <v>Indústrias transformadoras</v>
      </c>
      <c r="D9" s="407">
        <f>+'q22'!$C$8</f>
        <v>844.01</v>
      </c>
      <c r="E9" s="407">
        <f>+'q22'!$D$8</f>
        <v>856.12</v>
      </c>
      <c r="F9" s="407">
        <f>+'q22'!$E$8</f>
        <v>870.08</v>
      </c>
      <c r="G9" s="407">
        <f>+'q22'!$F$8</f>
        <v>895.89</v>
      </c>
      <c r="H9" s="407">
        <f>+'q22'!$G$8</f>
        <v>929.15</v>
      </c>
      <c r="I9" s="407">
        <f>+'q22'!$H$8</f>
        <v>964.71</v>
      </c>
      <c r="J9" s="407">
        <f>+'q22'!$I$8</f>
        <v>1003.21</v>
      </c>
      <c r="K9" s="407">
        <f>+'q22'!$J$8</f>
        <v>1031.03</v>
      </c>
      <c r="L9" s="407">
        <f>+'q22'!$K$8</f>
        <v>1095.17</v>
      </c>
      <c r="M9" s="407">
        <f>+'q22'!$L$8</f>
        <v>1172.58</v>
      </c>
      <c r="N9" s="407">
        <f>+'q22'!$M$8</f>
        <v>1262.53</v>
      </c>
      <c r="S9" s="407"/>
      <c r="T9" s="407"/>
      <c r="U9" s="407"/>
      <c r="V9" s="407"/>
      <c r="W9" s="407"/>
      <c r="X9" s="407"/>
      <c r="Y9" s="407"/>
      <c r="Z9" s="407"/>
      <c r="AA9" s="407"/>
      <c r="AB9" s="407"/>
      <c r="AC9" s="407"/>
      <c r="BD9" s="489"/>
      <c r="BL9">
        <f>+BA3</f>
        <v>2021</v>
      </c>
      <c r="BM9">
        <v>8</v>
      </c>
    </row>
    <row r="10" spans="1:84">
      <c r="A10" s="383"/>
      <c r="B10" t="str">
        <f>+'q22'!$A$33</f>
        <v>D</v>
      </c>
      <c r="C10" t="str">
        <f>+'q22'!$B$33</f>
        <v>Eletr., gás, ág. quente/fria e ar frio</v>
      </c>
      <c r="D10" s="407">
        <f>+'q22'!$C$33</f>
        <v>2065.0700000000002</v>
      </c>
      <c r="E10" s="407">
        <f>+'q22'!$D$33</f>
        <v>2091.5</v>
      </c>
      <c r="F10" s="407">
        <f>+'q22'!$E$33</f>
        <v>2075.64</v>
      </c>
      <c r="G10" s="407">
        <f>+'q22'!$F$33</f>
        <v>2070.14</v>
      </c>
      <c r="H10" s="407">
        <f>+'q22'!$G$33</f>
        <v>2080.65</v>
      </c>
      <c r="I10" s="407">
        <f>+'q22'!$H$33</f>
        <v>2086.9</v>
      </c>
      <c r="J10" s="407">
        <f>+'q22'!$I$33</f>
        <v>2128.4699999999998</v>
      </c>
      <c r="K10" s="407">
        <f>+'q22'!$J$33</f>
        <v>2156.69</v>
      </c>
      <c r="L10" s="407">
        <f>+'q22'!$K$33</f>
        <v>2243.09</v>
      </c>
      <c r="M10" s="407">
        <f>+'q22'!$L$33</f>
        <v>2384.1999999999998</v>
      </c>
      <c r="N10" s="407">
        <f>+'q22'!$M$33</f>
        <v>2492.3000000000002</v>
      </c>
      <c r="S10" s="407"/>
      <c r="T10" s="407"/>
      <c r="U10" s="407"/>
      <c r="V10" s="407"/>
      <c r="W10" s="407"/>
      <c r="X10" s="407"/>
      <c r="Y10" s="407"/>
      <c r="Z10" s="407"/>
      <c r="AA10" s="407"/>
      <c r="AB10" s="407"/>
      <c r="AC10" s="407"/>
      <c r="BD10" s="490"/>
      <c r="BL10">
        <f>+BB3</f>
        <v>2022</v>
      </c>
      <c r="BM10">
        <v>9</v>
      </c>
      <c r="BT10" s="494" t="s">
        <v>250</v>
      </c>
      <c r="BV10" s="384">
        <f>+'q23'!$C$4</f>
        <v>2014</v>
      </c>
      <c r="BW10" s="384">
        <f>+'q23'!$D$4</f>
        <v>2015</v>
      </c>
      <c r="BX10" s="384">
        <f>+'q23'!$E$4</f>
        <v>2016</v>
      </c>
      <c r="BY10" s="384">
        <f>+'q23'!$F$4</f>
        <v>2017</v>
      </c>
      <c r="BZ10" s="384">
        <f>+'q23'!$G$4</f>
        <v>2018</v>
      </c>
      <c r="CA10" s="384">
        <f>+'q23'!$H$4</f>
        <v>2019</v>
      </c>
      <c r="CB10" s="384">
        <f>+'q23'!$I$4</f>
        <v>2020</v>
      </c>
      <c r="CC10" s="384">
        <f>+'q23'!$J$4</f>
        <v>2021</v>
      </c>
      <c r="CD10" s="384">
        <f>+'q23'!$K$4</f>
        <v>2022</v>
      </c>
      <c r="CE10" s="384">
        <f>+'q23'!$L$4</f>
        <v>2023</v>
      </c>
      <c r="CF10" s="384">
        <f>+'q23'!$M$4</f>
        <v>2024</v>
      </c>
    </row>
    <row r="11" spans="1:84">
      <c r="A11" s="383"/>
      <c r="B11" t="str">
        <f>+'q22'!$A$34</f>
        <v>E</v>
      </c>
      <c r="C11" t="str">
        <f>+'q22'!$B$34</f>
        <v>Capt., trat. e d. água; san., resíd.</v>
      </c>
      <c r="D11" s="407">
        <f>+'q22'!$C$34</f>
        <v>885.35</v>
      </c>
      <c r="E11" s="407">
        <f>+'q22'!$D$34</f>
        <v>893.71</v>
      </c>
      <c r="F11" s="407">
        <f>+'q22'!$E$34</f>
        <v>883.84</v>
      </c>
      <c r="G11" s="407">
        <f>+'q22'!$F$34</f>
        <v>891.49</v>
      </c>
      <c r="H11" s="407">
        <f>+'q22'!$G$34</f>
        <v>920.04</v>
      </c>
      <c r="I11" s="407">
        <f>+'q22'!$H$34</f>
        <v>936.67</v>
      </c>
      <c r="J11" s="407">
        <f>+'q22'!$I$34</f>
        <v>970.37</v>
      </c>
      <c r="K11" s="407">
        <f>+'q22'!$J$34</f>
        <v>989.79</v>
      </c>
      <c r="L11" s="407">
        <f>+'q22'!$K$34</f>
        <v>1034.78</v>
      </c>
      <c r="M11" s="407">
        <f>+'q22'!$L$34</f>
        <v>1116.05</v>
      </c>
      <c r="N11" s="407">
        <f>+'q22'!$M$34</f>
        <v>1175.5899999999999</v>
      </c>
      <c r="S11" s="407"/>
      <c r="T11" s="407"/>
      <c r="U11" s="407"/>
      <c r="V11" s="407"/>
      <c r="W11" s="407"/>
      <c r="X11" s="407"/>
      <c r="Y11" s="407"/>
      <c r="Z11" s="407"/>
      <c r="AA11" s="407"/>
      <c r="AB11" s="407"/>
      <c r="AC11" s="407"/>
      <c r="BL11">
        <f>+BC3</f>
        <v>2023</v>
      </c>
      <c r="BM11">
        <v>10</v>
      </c>
      <c r="BT11" s="494" t="s">
        <v>116</v>
      </c>
      <c r="BU11" s="383" t="s">
        <v>222</v>
      </c>
      <c r="BV11" s="407">
        <f>+(q23_Aux!$R$10+q23_Aux!$R$13)/(q14a!$C$10+q14a!$C$13)</f>
        <v>701.58208393649352</v>
      </c>
      <c r="BW11" s="407">
        <f>+(q23_Aux!$S$10+q23_Aux!$S$13)/(q14a!$D$10+q14a!$D$13)</f>
        <v>701.82143169324013</v>
      </c>
      <c r="BX11" s="407">
        <f>+(q23_Aux!$T$10+q23_Aux!$T$13)/(q14a!$E$10+q14a!$E$13)</f>
        <v>717.87002410764069</v>
      </c>
      <c r="BY11" s="407">
        <f>+(q23_Aux!$U$10+q23_Aux!$U$13)/(q14a!$F$10+q14a!$F$13)</f>
        <v>738.0239631441716</v>
      </c>
      <c r="BZ11" s="407">
        <f>+(q23_Aux!$V$10+q23_Aux!$V$13)/(q14a!$G$10+q14a!$G$13)</f>
        <v>760.91371061349071</v>
      </c>
      <c r="CA11" s="407">
        <f>+(q23_Aux!$W$10+q23_Aux!$W$13)/(q14a!$H$10+q14a!$H$13)</f>
        <v>787.28829202832333</v>
      </c>
      <c r="CB11" s="407">
        <f>+(q23_Aux!$X$10+q23_Aux!$X$13)/(q14a!$I$10+q14a!$I$13)</f>
        <v>823.28018737542595</v>
      </c>
      <c r="CC11" s="407">
        <f>+(q23_Aux!$Y$10+q23_Aux!$Y$13)/(q14a!$J$10+q14a!$J$13)</f>
        <v>857.73444251160356</v>
      </c>
      <c r="CD11" s="407">
        <f>+(q23_Aux!$Z$10+q23_Aux!$Z$13)/(q14a!$K$10+q14a!$K$13)</f>
        <v>901.65697507506047</v>
      </c>
      <c r="CE11" s="407">
        <f>+(q23_Aux!$AA$10+q23_Aux!$AA$13)/(q14a!$L$10+q14a!$L$13)</f>
        <v>967.2604386727055</v>
      </c>
      <c r="CF11" s="407">
        <f>+(q23_Aux!$AB$10+q23_Aux!$AB$13)/(q14a!$M$10+q14a!$M$13)</f>
        <v>1034.5808613752467</v>
      </c>
    </row>
    <row r="12" spans="1:84">
      <c r="A12" s="383"/>
      <c r="B12" t="str">
        <f>+'q22'!$A$35</f>
        <v>F</v>
      </c>
      <c r="C12" t="str">
        <f>+'q22'!$B$35</f>
        <v>Construção</v>
      </c>
      <c r="D12" s="407">
        <f>+'q22'!$C$35</f>
        <v>800.21</v>
      </c>
      <c r="E12" s="407">
        <f>+'q22'!$D$35</f>
        <v>796.22</v>
      </c>
      <c r="F12" s="407">
        <f>+'q22'!$E$35</f>
        <v>798.87</v>
      </c>
      <c r="G12" s="407">
        <f>+'q22'!$F$35</f>
        <v>808.62</v>
      </c>
      <c r="H12" s="407">
        <f>+'q22'!$G$35</f>
        <v>824.76</v>
      </c>
      <c r="I12" s="407">
        <f>+'q22'!$H$35</f>
        <v>853.92</v>
      </c>
      <c r="J12" s="407">
        <f>+'q22'!$I$35</f>
        <v>880.77</v>
      </c>
      <c r="K12" s="407">
        <f>+'q22'!$J$35</f>
        <v>934.51</v>
      </c>
      <c r="L12" s="407">
        <f>+'q22'!$K$35</f>
        <v>973.22</v>
      </c>
      <c r="M12" s="407">
        <f>+'q22'!$L$35</f>
        <v>1035.72</v>
      </c>
      <c r="N12" s="407">
        <f>+'q22'!$M$35</f>
        <v>1114.46</v>
      </c>
      <c r="S12" s="407"/>
      <c r="T12" s="407"/>
      <c r="U12" s="407"/>
      <c r="V12" s="407"/>
      <c r="W12" s="407"/>
      <c r="X12" s="407"/>
      <c r="Y12" s="407"/>
      <c r="Z12" s="407"/>
      <c r="AA12" s="407"/>
      <c r="AB12" s="407"/>
      <c r="AC12" s="407"/>
      <c r="BE12" s="400"/>
      <c r="BG12" s="399"/>
      <c r="BH12" s="400"/>
      <c r="BL12">
        <f>+BD3</f>
        <v>2024</v>
      </c>
      <c r="BM12">
        <v>11</v>
      </c>
      <c r="BU12" s="383" t="s">
        <v>432</v>
      </c>
      <c r="BV12" s="407">
        <f>+(q23_Aux!$R$16+q23_Aux!$R$19)/(q14a!$C$16+q14a!$C$19)</f>
        <v>790.95489458855525</v>
      </c>
      <c r="BW12" s="407">
        <f>+(q23_Aux!$S$16+q23_Aux!$S$19)/(q14a!$D$16+q14a!$D$19)</f>
        <v>793.83737040659491</v>
      </c>
      <c r="BX12" s="407">
        <f>+(q23_Aux!$T$16+q23_Aux!$T$19)/(q14a!$E$16+q14a!$E$19)</f>
        <v>805.84072470645663</v>
      </c>
      <c r="BY12" s="407">
        <f>+(q23_Aux!$U$16+q23_Aux!$U$19)/(q14a!$F$16+q14a!$F$19)</f>
        <v>824.16249615713059</v>
      </c>
      <c r="BZ12" s="407">
        <f>+(q23_Aux!$V$16+q23_Aux!$V$19)/(q14a!$G$16+q14a!$G$19)</f>
        <v>850.42603059419673</v>
      </c>
      <c r="CA12" s="407">
        <f>+(q23_Aux!$W$16+q23_Aux!$W$19)/(q14a!$H$16+q14a!$H$19)</f>
        <v>876.35788299246474</v>
      </c>
      <c r="CB12" s="407">
        <f>+(q23_Aux!$X$16+q23_Aux!$X$19)/(q14a!$I$16+q14a!$I$19)</f>
        <v>916.69044095754293</v>
      </c>
      <c r="CC12" s="407">
        <f>+(q23_Aux!$Y$16+q23_Aux!$Y$19)/(q14a!$J$16+q14a!$J$19)</f>
        <v>949.14037827534105</v>
      </c>
      <c r="CD12" s="407">
        <f>+(q23_Aux!$Z$16+q23_Aux!$Z$19)/(q14a!$K$16+q14a!$K$19)</f>
        <v>994.03697806457149</v>
      </c>
      <c r="CE12" s="407">
        <f>+(q23_Aux!$AA$16+q23_Aux!$AA$19)/(q14a!$L$16+q14a!$L$19)</f>
        <v>1066.3296194806223</v>
      </c>
      <c r="CF12" s="407">
        <f>+(q23_Aux!$AB$16+q23_Aux!$AB$19)/(q14a!$M$16+q14a!$M$19)</f>
        <v>1136.6835068486735</v>
      </c>
    </row>
    <row r="13" spans="1:84">
      <c r="A13" s="383"/>
      <c r="B13" t="str">
        <f>+'q22'!$A$36</f>
        <v>G</v>
      </c>
      <c r="C13" t="str">
        <f>+'q22'!$B$36</f>
        <v>Com. grosso e ret.; r.v.aut./moto.</v>
      </c>
      <c r="D13" s="407">
        <f>+'q22'!$C$36</f>
        <v>862.67</v>
      </c>
      <c r="E13" s="407">
        <f>+'q22'!$D$36</f>
        <v>867.89</v>
      </c>
      <c r="F13" s="407">
        <f>+'q22'!$E$36</f>
        <v>881.9</v>
      </c>
      <c r="G13" s="407">
        <f>+'q22'!$F$36</f>
        <v>900.4</v>
      </c>
      <c r="H13" s="407">
        <f>+'q22'!$G$36</f>
        <v>924.91</v>
      </c>
      <c r="I13" s="407">
        <f>+'q22'!$H$36</f>
        <v>959.33</v>
      </c>
      <c r="J13" s="407">
        <f>+'q22'!$I$36</f>
        <v>989.91</v>
      </c>
      <c r="K13" s="407">
        <f>+'q22'!$J$36</f>
        <v>1031.8499999999999</v>
      </c>
      <c r="L13" s="407">
        <f>+'q22'!$K$36</f>
        <v>1075.5999999999999</v>
      </c>
      <c r="M13" s="407">
        <f>+'q22'!$L$36</f>
        <v>1146.8499999999999</v>
      </c>
      <c r="N13" s="407">
        <f>+'q22'!$M$36</f>
        <v>1222.95</v>
      </c>
      <c r="S13" s="407"/>
      <c r="T13" s="407"/>
      <c r="U13" s="407"/>
      <c r="V13" s="407"/>
      <c r="W13" s="407"/>
      <c r="X13" s="407"/>
      <c r="Y13" s="407"/>
      <c r="Z13" s="407"/>
      <c r="AA13" s="407"/>
      <c r="AB13" s="407"/>
      <c r="AC13" s="407"/>
      <c r="BT13" s="492"/>
      <c r="BU13" s="383" t="s">
        <v>433</v>
      </c>
      <c r="BV13" s="407">
        <f>+(q23_Aux!$R$22+q23_Aux!$R$25+q23_Aux!$R$28+q23_Aux!$R$31)/(q14a!$C$22+q14a!$C$25+q14a!$C$28+q14a!$C$31)</f>
        <v>897.2384395255043</v>
      </c>
      <c r="BW13" s="407">
        <f>+(q23_Aux!$S$22+q23_Aux!$S$25+q23_Aux!$S$28+q23_Aux!$S$31)/(q14a!$D$22+q14a!$D$25+q14a!$D$28+q14a!$D$31)</f>
        <v>902.53570070451644</v>
      </c>
      <c r="BX13" s="407">
        <f>+(q23_Aux!$T$22+q23_Aux!$T$25+q23_Aux!$T$28+q23_Aux!$T$31)/(q14a!$E$22+q14a!$E$25+q14a!$E$28+q14a!$E$31)</f>
        <v>911.07867701091698</v>
      </c>
      <c r="BY13" s="407">
        <f>+(q23_Aux!$U$22+q23_Aux!$U$25+q23_Aux!$U$28+q23_Aux!$U$31)/(q14a!$F$22+q14a!$F$25+q14a!$F$28+q14a!$F$31)</f>
        <v>923.58670788253482</v>
      </c>
      <c r="BZ13" s="407">
        <f>+(q23_Aux!$V$22+q23_Aux!$V$25+q23_Aux!$V$28+q23_Aux!$V$31)/(q14a!$G$22+q14a!$G$25+q14a!$G$28+q14a!$G$31)</f>
        <v>953.58895419393207</v>
      </c>
      <c r="CA13" s="407">
        <f>+(q23_Aux!$W$22+q23_Aux!$W$25+q23_Aux!$W$28+q23_Aux!$W$31)/(q14a!$H$22+q14a!$H$25+q14a!$H$28+q14a!$H$31)</f>
        <v>987.74865899915847</v>
      </c>
      <c r="CB13" s="407">
        <f>+(q23_Aux!$X$22+q23_Aux!$X$25+q23_Aux!$X$28+q23_Aux!$X$31)/(q14a!$I$22+q14a!$I$25+q14a!$I$28+q14a!$I$31)</f>
        <v>1032.5608030283752</v>
      </c>
      <c r="CC13" s="407">
        <f>+(q23_Aux!$Y$22+q23_Aux!$Y$25+q23_Aux!$Y$28+q23_Aux!$Y$31)/(q14a!$J$22+q14a!$J$25+q14a!$J$28+q14a!$J$31)</f>
        <v>1072.0467452557314</v>
      </c>
      <c r="CD13" s="407">
        <f>+(q23_Aux!$Z$22+q23_Aux!$Z$25+q23_Aux!$Z$28+q23_Aux!$Z$31)/(q14a!$K$22+q14a!$K$25+q14a!$K$28+q14a!$K$31)</f>
        <v>1129.2241270809466</v>
      </c>
      <c r="CE13" s="407">
        <f>+(q23_Aux!$AA$22+q23_Aux!$AA$25+q23_Aux!$AA$28+q23_Aux!$AA$31)/(q14a!$L$22+q14a!$L$25+q14a!$L$28+q14a!$L$31)</f>
        <v>1206.0014079606424</v>
      </c>
      <c r="CF13" s="407">
        <f>+(q23_Aux!$AB$22+q23_Aux!$AB$25+q23_Aux!$AB$28+q23_Aux!$AB$31)/(q14a!$M$22+q14a!$M$25+q14a!$M$28+q14a!$M$31)</f>
        <v>1290.870053540666</v>
      </c>
    </row>
    <row r="14" spans="1:84">
      <c r="A14" s="383"/>
      <c r="B14" t="str">
        <f>+'q22'!$A$37</f>
        <v>H</v>
      </c>
      <c r="C14" t="str">
        <f>+'q22'!$B$37</f>
        <v>Transportes e armazenagem</v>
      </c>
      <c r="D14" s="407">
        <f>+'q22'!$C$37</f>
        <v>977.22</v>
      </c>
      <c r="E14" s="407">
        <f>+'q22'!$D$37</f>
        <v>988.25</v>
      </c>
      <c r="F14" s="407">
        <f>+'q22'!$E$37</f>
        <v>994.98</v>
      </c>
      <c r="G14" s="407">
        <f>+'q22'!$F$37</f>
        <v>1002.64</v>
      </c>
      <c r="H14" s="407">
        <f>+'q22'!$G$37</f>
        <v>1033.97</v>
      </c>
      <c r="I14" s="407">
        <f>+'q22'!$H$37</f>
        <v>1071.3699999999999</v>
      </c>
      <c r="J14" s="407">
        <f>+'q22'!$I$37</f>
        <v>1033.25</v>
      </c>
      <c r="K14" s="407">
        <f>+'q22'!$J$37</f>
        <v>1056.1199999999999</v>
      </c>
      <c r="L14" s="407">
        <f>+'q22'!$K$37</f>
        <v>1184.24</v>
      </c>
      <c r="M14" s="407">
        <f>+'q22'!$L$37</f>
        <v>1269.02</v>
      </c>
      <c r="N14" s="407">
        <f>+'q22'!$M$37</f>
        <v>1347.49</v>
      </c>
      <c r="S14" s="407"/>
      <c r="T14" s="407"/>
      <c r="U14" s="407"/>
      <c r="V14" s="407"/>
      <c r="W14" s="407"/>
      <c r="X14" s="407"/>
      <c r="Y14" s="407"/>
      <c r="Z14" s="407"/>
      <c r="AA14" s="407"/>
      <c r="AB14" s="407"/>
      <c r="AC14" s="407"/>
      <c r="BB14" s="398"/>
      <c r="BT14" s="383"/>
      <c r="BU14" s="383" t="s">
        <v>231</v>
      </c>
      <c r="BV14" s="407">
        <f>+(q23_Aux!$R$34+q23_Aux!$R$37+q23_Aux!$R$40)/(q14a!$C$34+q14a!$C$37+q14a!$C$40)</f>
        <v>980.92093108757592</v>
      </c>
      <c r="BW14" s="407">
        <f>+(q23_Aux!$S$34+q23_Aux!$S$37+q23_Aux!$S$40)/(q14a!$D$34+q14a!$D$37+q14a!$D$40)</f>
        <v>985.86631789337594</v>
      </c>
      <c r="BX14" s="407">
        <f>+(q23_Aux!$T$34+q23_Aux!$T$37+q23_Aux!$T$40)/(q14a!$E$34+q14a!$E$37+q14a!$E$40)</f>
        <v>1006.3924705529297</v>
      </c>
      <c r="BY14" s="407">
        <f>+(q23_Aux!$U$34+q23_Aux!$U$37+q23_Aux!$U$40)/(q14a!$F$34+q14a!$F$37+q14a!$F$40)</f>
        <v>1033.2222147349769</v>
      </c>
      <c r="BZ14" s="407">
        <f>+(q23_Aux!$V$34+q23_Aux!$V$37+q23_Aux!$V$40)/(q14a!$G$34+q14a!$G$37+q14a!$G$40)</f>
        <v>1058.1147835045806</v>
      </c>
      <c r="CA14" s="407">
        <f>+(q23_Aux!$W$34+q23_Aux!$W$37+q23_Aux!$W$40)/(q14a!$H$34+q14a!$H$37+q14a!$H$40)</f>
        <v>1097.5680608876139</v>
      </c>
      <c r="CB14" s="407">
        <f>+(q23_Aux!$X$34+q23_Aux!$X$37+q23_Aux!$X$40)/(q14a!$I$34+q14a!$I$37+q14a!$I$40)</f>
        <v>1112.7781282648757</v>
      </c>
      <c r="CC14" s="407">
        <f>+(q23_Aux!$Y$34+q23_Aux!$Y$37+q23_Aux!$Y$40)/(q14a!$J$34+q14a!$J$37+q14a!$J$40)</f>
        <v>1168.2531804045532</v>
      </c>
      <c r="CD14" s="407">
        <f>+(q23_Aux!$Z$34+q23_Aux!$Z$37+q23_Aux!$Z$40)/(q14a!$K$34+q14a!$K$37+q14a!$K$40)</f>
        <v>1240.5654004215205</v>
      </c>
      <c r="CE14" s="407">
        <f>+(q23_Aux!$AA$34+q23_Aux!$AA$37+q23_Aux!$AA$40)/(q14a!$L$34+q14a!$L$37+q14a!$L$40)</f>
        <v>1329.0528638930714</v>
      </c>
      <c r="CF14" s="407">
        <f>+(q23_Aux!$AB$34+q23_Aux!$AB$37+q23_Aux!$AB$40)/(q14a!$M$34+q14a!$M$37+q14a!$M$40)</f>
        <v>1456.3128685964136</v>
      </c>
    </row>
    <row r="15" spans="1:84">
      <c r="A15" s="383"/>
      <c r="B15" t="str">
        <f>+'q22'!$A$38</f>
        <v>I</v>
      </c>
      <c r="C15" t="str">
        <f>+'q22'!$B$38</f>
        <v>Alojamento, restauração e sim.</v>
      </c>
      <c r="D15" s="407">
        <f>+'q22'!$C$38</f>
        <v>669.99</v>
      </c>
      <c r="E15" s="407">
        <f>+'q22'!$D$38</f>
        <v>673.94</v>
      </c>
      <c r="F15" s="407">
        <f>+'q22'!$E$38</f>
        <v>690.54</v>
      </c>
      <c r="G15" s="407">
        <f>+'q22'!$F$38</f>
        <v>713.45</v>
      </c>
      <c r="H15" s="407">
        <f>+'q22'!$G$38</f>
        <v>739.37</v>
      </c>
      <c r="I15" s="407">
        <f>+'q22'!$H$38</f>
        <v>764.08</v>
      </c>
      <c r="J15" s="407">
        <f>+'q22'!$I$38</f>
        <v>780.14</v>
      </c>
      <c r="K15" s="407">
        <f>+'q22'!$J$38</f>
        <v>822.39</v>
      </c>
      <c r="L15" s="407">
        <f>+'q22'!$K$38</f>
        <v>872.72</v>
      </c>
      <c r="M15" s="407">
        <f>+'q22'!$L$38</f>
        <v>929.8</v>
      </c>
      <c r="N15" s="407">
        <f>+'q22'!$M$38</f>
        <v>994.57</v>
      </c>
      <c r="S15" s="407"/>
      <c r="T15" s="407"/>
      <c r="U15" s="407"/>
      <c r="V15" s="407"/>
      <c r="W15" s="407"/>
      <c r="X15" s="407"/>
      <c r="Y15" s="407"/>
      <c r="Z15" s="407"/>
      <c r="AA15" s="407"/>
      <c r="AB15" s="407"/>
      <c r="AC15" s="407"/>
      <c r="BB15" s="398"/>
      <c r="BU15" s="383" t="s">
        <v>11</v>
      </c>
      <c r="BV15" s="407">
        <f>+q23_Aux!$C$7</f>
        <v>820.25</v>
      </c>
      <c r="BW15" s="407">
        <f>+q23_Aux!$D$7</f>
        <v>824.99</v>
      </c>
      <c r="BX15" s="407">
        <f>+q23_Aux!$E$7</f>
        <v>840.26</v>
      </c>
      <c r="BY15" s="407">
        <f>+q23_Aux!$F$7</f>
        <v>861.17</v>
      </c>
      <c r="BZ15" s="407">
        <f>+q23_Aux!$G$7</f>
        <v>888.56</v>
      </c>
      <c r="CA15" s="407">
        <f>+q23_Aux!$H$7</f>
        <v>922.63</v>
      </c>
      <c r="CB15" s="407">
        <f>+q23_Aux!$I$7</f>
        <v>960.27</v>
      </c>
      <c r="CC15" s="407">
        <f>+q23_Aux!$J$7</f>
        <v>999.33</v>
      </c>
      <c r="CD15" s="407">
        <f>+q23_Aux!$K$7</f>
        <v>1054.3599999999999</v>
      </c>
      <c r="CE15" s="407">
        <f>+q23_Aux!$L$7</f>
        <v>1129.6400000000001</v>
      </c>
      <c r="CF15" s="407">
        <f>+q23_Aux!$M$7</f>
        <v>1216.8499999999999</v>
      </c>
    </row>
    <row r="16" spans="1:84">
      <c r="A16" s="383"/>
      <c r="B16" t="str">
        <f>+'q22'!$A$39</f>
        <v>J</v>
      </c>
      <c r="C16" t="str">
        <f>+'q22'!$B$39</f>
        <v xml:space="preserve">Ativ. Inform. e de comunicação </v>
      </c>
      <c r="D16" s="407">
        <f>+'q22'!$C$39</f>
        <v>1500.69</v>
      </c>
      <c r="E16" s="407">
        <f>+'q22'!$D$39</f>
        <v>1488.73</v>
      </c>
      <c r="F16" s="407">
        <f>+'q22'!$E$39</f>
        <v>1520.09</v>
      </c>
      <c r="G16" s="407">
        <f>+'q22'!$F$39</f>
        <v>1522.79</v>
      </c>
      <c r="H16" s="407">
        <f>+'q22'!$G$39</f>
        <v>1562.86</v>
      </c>
      <c r="I16" s="407">
        <f>+'q22'!$H$39</f>
        <v>1614.97</v>
      </c>
      <c r="J16" s="407">
        <f>+'q22'!$I$39</f>
        <v>1668.12</v>
      </c>
      <c r="K16" s="407">
        <f>+'q22'!$J$39</f>
        <v>1748.11</v>
      </c>
      <c r="L16" s="407">
        <f>+'q22'!$K$39</f>
        <v>1915.45</v>
      </c>
      <c r="M16" s="407">
        <f>+'q22'!$L$39</f>
        <v>2022.39</v>
      </c>
      <c r="N16" s="407">
        <f>+'q22'!$M$39</f>
        <v>2199</v>
      </c>
      <c r="S16" s="407"/>
      <c r="T16" s="407"/>
      <c r="U16" s="407"/>
      <c r="V16" s="407"/>
      <c r="W16" s="407"/>
      <c r="X16" s="407"/>
      <c r="Y16" s="407"/>
      <c r="Z16" s="407"/>
      <c r="AA16" s="407"/>
      <c r="AB16" s="407"/>
      <c r="AC16" s="407"/>
      <c r="BL16">
        <v>11</v>
      </c>
    </row>
    <row r="17" spans="1:84">
      <c r="A17" s="383"/>
      <c r="B17" t="str">
        <f>+'q22'!$A$40</f>
        <v>K</v>
      </c>
      <c r="C17" t="str">
        <f>+'q22'!$B$40</f>
        <v>Ativ. financeiras e de seguros</v>
      </c>
      <c r="D17" s="407">
        <f>+'q22'!$C$40</f>
        <v>1572.96</v>
      </c>
      <c r="E17" s="407">
        <f>+'q22'!$D$40</f>
        <v>1571.12</v>
      </c>
      <c r="F17" s="407">
        <f>+'q22'!$E$40</f>
        <v>1585.29</v>
      </c>
      <c r="G17" s="407">
        <f>+'q22'!$F$40</f>
        <v>1592.44</v>
      </c>
      <c r="H17" s="407">
        <f>+'q22'!$G$40</f>
        <v>1601.12</v>
      </c>
      <c r="I17" s="407">
        <f>+'q22'!$H$40</f>
        <v>1632.26</v>
      </c>
      <c r="J17" s="407">
        <f>+'q22'!$I$40</f>
        <v>1651.3</v>
      </c>
      <c r="K17" s="407">
        <f>+'q22'!$J$40</f>
        <v>1674.12</v>
      </c>
      <c r="L17" s="407">
        <f>+'q22'!$K$40</f>
        <v>1705.23</v>
      </c>
      <c r="M17" s="407">
        <f>+'q22'!$L$40</f>
        <v>1801.31</v>
      </c>
      <c r="N17" s="407">
        <f>+'q22'!$M$40</f>
        <v>1896.55</v>
      </c>
      <c r="S17" s="407"/>
      <c r="T17" s="407"/>
      <c r="U17" s="407"/>
      <c r="V17" s="407"/>
      <c r="W17" s="407"/>
      <c r="X17" s="407"/>
      <c r="Y17" s="407"/>
      <c r="Z17" s="407"/>
      <c r="AA17" s="407"/>
      <c r="AB17" s="407"/>
      <c r="AC17" s="407"/>
      <c r="BB17" s="398"/>
      <c r="BT17" s="493" t="s">
        <v>257</v>
      </c>
      <c r="BV17" s="384">
        <f>+'q35'!$C$4</f>
        <v>2014</v>
      </c>
      <c r="BW17" s="384">
        <f>+'q35'!$D$4</f>
        <v>2015</v>
      </c>
      <c r="BX17" s="384">
        <f>+'q35'!$E$4</f>
        <v>2016</v>
      </c>
      <c r="BY17" s="384">
        <f>+'q35'!$F$4</f>
        <v>2017</v>
      </c>
      <c r="BZ17" s="384">
        <f>+'q35'!$G$4</f>
        <v>2018</v>
      </c>
      <c r="CA17" s="384">
        <f>+'q35'!$H$4</f>
        <v>2019</v>
      </c>
      <c r="CB17" s="384">
        <f>+'q35'!$I$4</f>
        <v>2020</v>
      </c>
      <c r="CC17" s="384">
        <f>+'q35'!$J$4</f>
        <v>2021</v>
      </c>
      <c r="CD17" s="384">
        <f>+'q35'!$K$4</f>
        <v>2022</v>
      </c>
      <c r="CE17" s="384">
        <f>+'q35'!$L$4</f>
        <v>2023</v>
      </c>
      <c r="CF17" s="384">
        <f>+'q35'!$M$4</f>
        <v>2024</v>
      </c>
    </row>
    <row r="18" spans="1:84">
      <c r="A18" s="383"/>
      <c r="B18" t="str">
        <f>+'q22'!$A$41</f>
        <v>L</v>
      </c>
      <c r="C18" t="str">
        <f>+'q22'!$B$41</f>
        <v>Atividades imobiliárias</v>
      </c>
      <c r="D18" s="407">
        <f>+'q22'!$C$41</f>
        <v>951.85</v>
      </c>
      <c r="E18" s="407">
        <f>+'q22'!$D$41</f>
        <v>945.14</v>
      </c>
      <c r="F18" s="407">
        <f>+'q22'!$E$41</f>
        <v>969.55</v>
      </c>
      <c r="G18" s="407">
        <f>+'q22'!$F$41</f>
        <v>978.99</v>
      </c>
      <c r="H18" s="407">
        <f>+'q22'!$G$41</f>
        <v>1001.04</v>
      </c>
      <c r="I18" s="407">
        <f>+'q22'!$H$41</f>
        <v>1045.96</v>
      </c>
      <c r="J18" s="407">
        <f>+'q22'!$I$41</f>
        <v>1091.6400000000001</v>
      </c>
      <c r="K18" s="407">
        <f>+'q22'!$J$41</f>
        <v>1129.19</v>
      </c>
      <c r="L18" s="407">
        <f>+'q22'!$K$41</f>
        <v>1185.33</v>
      </c>
      <c r="M18" s="407">
        <f>+'q22'!$L$41</f>
        <v>1267.8800000000001</v>
      </c>
      <c r="N18" s="407">
        <f>+'q22'!$M$41</f>
        <v>1328.45</v>
      </c>
      <c r="S18" s="407"/>
      <c r="T18" s="407"/>
      <c r="U18" s="407"/>
      <c r="V18" s="407"/>
      <c r="W18" s="407"/>
      <c r="X18" s="407"/>
      <c r="Y18" s="407"/>
      <c r="Z18" s="407"/>
      <c r="AA18" s="407"/>
      <c r="AB18" s="407"/>
      <c r="AC18" s="407"/>
      <c r="BB18" s="580"/>
      <c r="BT18" s="493" t="s">
        <v>115</v>
      </c>
      <c r="BU18" s="383" t="s">
        <v>222</v>
      </c>
      <c r="BV18" s="407">
        <f>+(q35_Aux!$R$9+q35_Aux!$R$12)/(q14a!$C$9+q14a!$C$12)</f>
        <v>925.04281437679015</v>
      </c>
      <c r="BW18" s="407">
        <f>+(q35_Aux!$S$9+q35_Aux!$S$12)/(q14a!$D$9+q14a!$D$12)</f>
        <v>918.4985994118914</v>
      </c>
      <c r="BX18" s="407">
        <f>+(q35_Aux!$T$9+q35_Aux!$T$12)/(q14a!$E$9+q14a!$E$12)</f>
        <v>927.75319331737296</v>
      </c>
      <c r="BY18" s="407">
        <f>+(q35_Aux!$U$9+q35_Aux!$U$12)/(q14a!$F$9+q14a!$F$12)</f>
        <v>947.98494507199064</v>
      </c>
      <c r="BZ18" s="407">
        <f>+(q35_Aux!$V$9+q35_Aux!$V$12)/(q14a!$G$9+q14a!$G$12)</f>
        <v>977.46388703776199</v>
      </c>
      <c r="CA18" s="407">
        <f>+(q35_Aux!$W$9+q35_Aux!$W$12)/(q14a!$H$9+q14a!$H$12)</f>
        <v>1009.399742415332</v>
      </c>
      <c r="CB18" s="407">
        <f>+(q35_Aux!$X$9+q35_Aux!$X$12)/(q14a!$I$9+q14a!$I$12)</f>
        <v>1045.4768849869051</v>
      </c>
      <c r="CC18" s="407">
        <f>+(q35_Aux!$Y$9+q35_Aux!$Y$12)/(q14a!$J$9+q14a!$J$12)</f>
        <v>1084.2676793810263</v>
      </c>
      <c r="CD18" s="407">
        <f>+(q35_Aux!$Z$9+q35_Aux!$Z$12)/(q14a!$K$9+q14a!$K$12)</f>
        <v>1138.1232950541118</v>
      </c>
      <c r="CE18" s="407">
        <f>+(q35_Aux!$AA$9+q35_Aux!$AA$12)/(q14a!$L$9+q14a!$L$12)</f>
        <v>1220.9610704079153</v>
      </c>
      <c r="CF18" s="407">
        <f>+(q35_Aux!$AB$9+q35_Aux!$AB$12)/(q14a!$M$9+q14a!$M$12)</f>
        <v>1311.3349269916257</v>
      </c>
    </row>
    <row r="19" spans="1:84">
      <c r="A19" s="383"/>
      <c r="B19" t="str">
        <f>+'q22'!$A$42</f>
        <v>M</v>
      </c>
      <c r="C19" t="str">
        <f>+'q22'!$B$42</f>
        <v>Ativ. consultoria, cient.,téc. e sim.</v>
      </c>
      <c r="D19" s="407">
        <f>+'q22'!$C$42</f>
        <v>1170.25</v>
      </c>
      <c r="E19" s="407">
        <f>+'q22'!$D$42</f>
        <v>1171.06</v>
      </c>
      <c r="F19" s="407">
        <f>+'q22'!$E$42</f>
        <v>1183.3900000000001</v>
      </c>
      <c r="G19" s="407">
        <f>+'q22'!$F$42</f>
        <v>1225.58</v>
      </c>
      <c r="H19" s="407">
        <f>+'q22'!$G$42</f>
        <v>1249.78</v>
      </c>
      <c r="I19" s="407">
        <f>+'q22'!$H$42</f>
        <v>1288.0899999999999</v>
      </c>
      <c r="J19" s="407">
        <f>+'q22'!$I$42</f>
        <v>1335.14</v>
      </c>
      <c r="K19" s="407">
        <f>+'q22'!$J$42</f>
        <v>1403.13</v>
      </c>
      <c r="L19" s="407">
        <f>+'q22'!$K$42</f>
        <v>1491.97</v>
      </c>
      <c r="M19" s="407">
        <f>+'q22'!$L$42</f>
        <v>1607.85</v>
      </c>
      <c r="N19" s="407">
        <f>+'q22'!$M$42</f>
        <v>1707.41</v>
      </c>
      <c r="S19" s="407"/>
      <c r="T19" s="407"/>
      <c r="U19" s="407"/>
      <c r="V19" s="407"/>
      <c r="W19" s="407"/>
      <c r="X19" s="407"/>
      <c r="Y19" s="407"/>
      <c r="Z19" s="407"/>
      <c r="AA19" s="407"/>
      <c r="AB19" s="407"/>
      <c r="AC19" s="407"/>
      <c r="BK19">
        <f>INDEX($BL$2:$BL$12,$BL$16)</f>
        <v>2024</v>
      </c>
      <c r="BL19" s="423" t="s">
        <v>391</v>
      </c>
      <c r="BM19" s="453"/>
      <c r="BN19" s="453"/>
      <c r="BO19" s="453"/>
      <c r="BP19" s="453"/>
      <c r="BU19" s="383" t="s">
        <v>432</v>
      </c>
      <c r="BV19" s="407">
        <f>+(q35_Aux!$R$15+q35_Aux!$R$18)/(q14a!$C$15+q14a!$C$18)</f>
        <v>1138.5932229367695</v>
      </c>
      <c r="BW19" s="407">
        <f>+(q35_Aux!$S$15+q35_Aux!$S$18)/(q14a!$D$15+q14a!$D$18)</f>
        <v>1132.6624720403111</v>
      </c>
      <c r="BX19" s="407">
        <f>+(q35_Aux!$T$15+q35_Aux!$T$18)/(q14a!$E$15+q14a!$E$18)</f>
        <v>1132.1695231867934</v>
      </c>
      <c r="BY19" s="407">
        <f>+(q35_Aux!$U$15+q35_Aux!$U$18)/(q14a!$F$15+q14a!$F$18)</f>
        <v>1149.2922319904173</v>
      </c>
      <c r="BZ19" s="407">
        <f>+(q35_Aux!$V$15+q35_Aux!$V$18)/(q14a!$G$15+q14a!$G$18)</f>
        <v>1177.0656127608859</v>
      </c>
      <c r="CA19" s="407">
        <f>+(q35_Aux!$W$15+q35_Aux!$W$18)/(q14a!$H$15+q14a!$H$18)</f>
        <v>1211.7778774647345</v>
      </c>
      <c r="CB19" s="407">
        <f>+(q35_Aux!$X$15+q35_Aux!$X$18)/(q14a!$I$15+q14a!$I$18)</f>
        <v>1256.2405072950676</v>
      </c>
      <c r="CC19" s="407">
        <f>+(q35_Aux!$Y$15+q35_Aux!$Y$18)/(q14a!$J$15+q14a!$J$18)</f>
        <v>1295.9674253415517</v>
      </c>
      <c r="CD19" s="407">
        <f>+(q35_Aux!$Z$15+q35_Aux!$Z$18)/(q14a!$K$15+q14a!$K$18)</f>
        <v>1349.9494285056076</v>
      </c>
      <c r="CE19" s="407">
        <f>+(q35_Aux!$AA$15+q35_Aux!$AA$18)/(q14a!$L$15+q14a!$L$18)</f>
        <v>1442.920633695968</v>
      </c>
      <c r="CF19" s="407">
        <f>+(q35_Aux!$AB$15+q35_Aux!$AB$18)/(q14a!$M$15+q14a!$M$18)</f>
        <v>1538.4811929701916</v>
      </c>
    </row>
    <row r="20" spans="1:84">
      <c r="A20" s="383"/>
      <c r="B20" t="str">
        <f>+'q22'!$A$43</f>
        <v>N</v>
      </c>
      <c r="C20" t="str">
        <f>+'q22'!$B$43</f>
        <v>Ativ. Adm. e serviços de apoio</v>
      </c>
      <c r="D20" s="407">
        <f>+'q22'!$C$43</f>
        <v>772.15</v>
      </c>
      <c r="E20" s="407">
        <f>+'q22'!$D$43</f>
        <v>768.27</v>
      </c>
      <c r="F20" s="407">
        <f>+'q22'!$E$43</f>
        <v>772.59</v>
      </c>
      <c r="G20" s="407">
        <f>+'q22'!$F$43</f>
        <v>787.93</v>
      </c>
      <c r="H20" s="407">
        <f>+'q22'!$G$43</f>
        <v>807.44</v>
      </c>
      <c r="I20" s="407">
        <f>+'q22'!$H$43</f>
        <v>842.48</v>
      </c>
      <c r="J20" s="407">
        <f>+'q22'!$I$43</f>
        <v>864.18</v>
      </c>
      <c r="K20" s="407">
        <f>+'q22'!$J$43</f>
        <v>916.97</v>
      </c>
      <c r="L20" s="407">
        <f>+'q22'!$K$43</f>
        <v>970.39</v>
      </c>
      <c r="M20" s="407">
        <f>+'q22'!$L$43</f>
        <v>1056.28</v>
      </c>
      <c r="N20" s="407">
        <f>+'q22'!$M$43</f>
        <v>1139.6600000000001</v>
      </c>
      <c r="S20" s="407"/>
      <c r="T20" s="407"/>
      <c r="U20" s="407"/>
      <c r="V20" s="407"/>
      <c r="W20" s="407"/>
      <c r="X20" s="407"/>
      <c r="Y20" s="407"/>
      <c r="Z20" s="407"/>
      <c r="AA20" s="407"/>
      <c r="AB20" s="407"/>
      <c r="AC20" s="407"/>
      <c r="BL20" s="453"/>
      <c r="BM20" s="423" t="s">
        <v>364</v>
      </c>
      <c r="BN20" s="423" t="s">
        <v>368</v>
      </c>
      <c r="BO20" s="423" t="s">
        <v>365</v>
      </c>
      <c r="BP20" s="423" t="s">
        <v>369</v>
      </c>
      <c r="BQ20" s="423" t="s">
        <v>393</v>
      </c>
      <c r="BR20" s="423" t="s">
        <v>394</v>
      </c>
      <c r="BS20" s="423"/>
      <c r="BT20" s="492"/>
      <c r="BU20" s="383" t="s">
        <v>433</v>
      </c>
      <c r="BV20" s="407">
        <f>+(q35_Aux!$R$21+q35_Aux!$R$24+q35_Aux!$R$27+q35_Aux!$R$30)/(q14a!$C$21+q14a!$C$24+q14a!$C$27+q14a!$C$30)</f>
        <v>1406.2124343794246</v>
      </c>
      <c r="BW20" s="407">
        <f>+(q35_Aux!$S$21+q35_Aux!$S$24+q35_Aux!$S$27+q35_Aux!$S$30)/(q14a!$D$21+q14a!$D$24+q14a!$D$27+q14a!$D$30)</f>
        <v>1416.2215011673181</v>
      </c>
      <c r="BX20" s="407">
        <f>+(q35_Aux!$T$21+q35_Aux!$T$24+q35_Aux!$T$27+q35_Aux!$T$30)/(q14a!$E$21+q14a!$E$24+q14a!$E$27+q14a!$E$30)</f>
        <v>1419.4202244385385</v>
      </c>
      <c r="BY20" s="407">
        <f>+(q35_Aux!$U$21+q35_Aux!$U$24+q35_Aux!$U$27+q35_Aux!$U$30)/(q14a!$F$21+q14a!$F$24+q14a!$F$27+q14a!$F$30)</f>
        <v>1438.6822729010109</v>
      </c>
      <c r="BZ20" s="407">
        <f>+(q35_Aux!$V$21+q35_Aux!$V$24+q35_Aux!$V$27+q35_Aux!$V$30)/(q14a!$G$21+q14a!$G$24+q14a!$G$27+q14a!$G$30)</f>
        <v>1474.8673104942181</v>
      </c>
      <c r="CA20" s="407">
        <f>+(q35_Aux!$W$21+q35_Aux!$W$24+q35_Aux!$W$27+q35_Aux!$W$30)/(q14a!$H$21+q14a!$H$24+q14a!$H$27+q14a!$H$30)</f>
        <v>1494.4813879474304</v>
      </c>
      <c r="CB20" s="407">
        <f>+(q35_Aux!$X$21+q35_Aux!$X$24+q35_Aux!$X$27+q35_Aux!$X$30)/(q14a!$I$21+q14a!$I$24+q14a!$I$27+q14a!$I$30)</f>
        <v>1542.8598623873438</v>
      </c>
      <c r="CC20" s="407">
        <f>+(q35_Aux!$Y$21+q35_Aux!$Y$24+q35_Aux!$Y$27+q35_Aux!$Y$30)/(q14a!$J$21+q14a!$J$24+q14a!$J$27+q14a!$J$30)</f>
        <v>1575.3069860776616</v>
      </c>
      <c r="CD20" s="407">
        <f>+(q35_Aux!$Z$21+q35_Aux!$Z$24+q35_Aux!$Z$27+q35_Aux!$Z$30)/(q14a!$K$21+q14a!$K$24+q14a!$K$27+q14a!$K$30)</f>
        <v>1646.9144678557989</v>
      </c>
      <c r="CE20" s="407">
        <f>+(q35_Aux!$AA$21+q35_Aux!$AA$24+q35_Aux!$AA$27+q35_Aux!$AA$30)/(q14a!$L$21+q14a!$L$24+q14a!$L$27+q14a!$L$30)</f>
        <v>1743.6255699848264</v>
      </c>
      <c r="CF20" s="407">
        <f>+(q35_Aux!$AB$21+q35_Aux!$AB$24+q35_Aux!$AB$27+q35_Aux!$AB$30)/(q14a!$M$21+q14a!$M$24+q14a!$M$27+q14a!$M$30)</f>
        <v>1836.3561464348047</v>
      </c>
    </row>
    <row r="21" spans="1:84">
      <c r="A21" s="383"/>
      <c r="B21" t="str">
        <f>+'q22'!$A$44</f>
        <v>O</v>
      </c>
      <c r="C21" t="str">
        <f>+'q22'!$B$44</f>
        <v xml:space="preserve">Adm. Púb. e defesa; seg. social </v>
      </c>
      <c r="D21" s="407">
        <f>+'q22'!$C$44</f>
        <v>880.99</v>
      </c>
      <c r="E21" s="407">
        <f>+'q22'!$D$44</f>
        <v>849.2</v>
      </c>
      <c r="F21" s="407">
        <f>+'q22'!$E$44</f>
        <v>848.71</v>
      </c>
      <c r="G21" s="407">
        <f>+'q22'!$F$44</f>
        <v>866.69</v>
      </c>
      <c r="H21" s="407">
        <f>+'q22'!$G$44</f>
        <v>895.16</v>
      </c>
      <c r="I21" s="407">
        <f>+'q22'!$H$44</f>
        <v>950.41</v>
      </c>
      <c r="J21" s="407">
        <f>+'q22'!$I$44</f>
        <v>990.79</v>
      </c>
      <c r="K21" s="407">
        <f>+'q22'!$J$44</f>
        <v>1027.51</v>
      </c>
      <c r="L21" s="407">
        <f>+'q22'!$K$44</f>
        <v>1035.5</v>
      </c>
      <c r="M21" s="407">
        <f>+'q22'!$L$44</f>
        <v>1098.71</v>
      </c>
      <c r="N21" s="407">
        <f>+'q22'!$M$44</f>
        <v>1162.82</v>
      </c>
      <c r="S21" s="407"/>
      <c r="T21" s="407"/>
      <c r="U21" s="407"/>
      <c r="V21" s="407"/>
      <c r="W21" s="407"/>
      <c r="X21" s="407"/>
      <c r="Y21" s="407"/>
      <c r="Z21" s="407"/>
      <c r="AA21" s="407"/>
      <c r="AB21" s="407"/>
      <c r="AC21" s="407"/>
      <c r="BL21" s="383" t="s">
        <v>222</v>
      </c>
      <c r="BM21" s="463">
        <f>INDEX($BU$3:$CF$8,MATCH($BL21,$BU$3:$BU$8,0),MATCH($BK$19,$BU$3:$CF$3,0))*-1</f>
        <v>-1120.5396858895213</v>
      </c>
      <c r="BN21" s="463">
        <f>INDEX($BU$17:$CF$22,MATCH($BL21,$BU$17:$BU$22,0),MATCH($BK$19,$BU$17:$CF$17,0))*-1</f>
        <v>-1311.3349269916257</v>
      </c>
      <c r="BO21" s="463">
        <f>INDEX($BU$10:$CF$15,MATCH($BL21,$BU$10:$BU$15,0),MATCH($BK$19,$BU$10:$CF$10,0))</f>
        <v>1034.5808613752467</v>
      </c>
      <c r="BP21" s="463">
        <f>INDEX($BU$24:$CF$29,MATCH($BL21,$BU$24:$BU$29,0),MATCH($BK$19,$BU$24:$CF$24,0))</f>
        <v>1203.1785746469959</v>
      </c>
      <c r="BQ21" s="487">
        <f>+ROUND(BO21/(BM21*-1)*100,1)</f>
        <v>92.3</v>
      </c>
      <c r="BR21" s="487">
        <f>+ROUND(BP21/(BN21*-1)*100,1)</f>
        <v>91.8</v>
      </c>
      <c r="BS21" s="383" t="s">
        <v>429</v>
      </c>
      <c r="BT21" s="383"/>
      <c r="BU21" s="383" t="s">
        <v>231</v>
      </c>
      <c r="BV21" s="407">
        <f>+(q35_Aux!$R$33+q35_Aux!$R$36+q35_Aux!$R$39)/(q14a!$C$33+q14a!$C$36+q14a!$C$39)</f>
        <v>1476.9208119940477</v>
      </c>
      <c r="BW21" s="407">
        <f>+(q35_Aux!$S$33+q35_Aux!$S$36+q35_Aux!$S$39)/(q14a!$D$33+q14a!$D$36+q14a!$D$39)</f>
        <v>1493.8913841987983</v>
      </c>
      <c r="BX21" s="407">
        <f>+(q35_Aux!$T$33+q35_Aux!$T$36+q35_Aux!$T$39)/(q14a!$E$33+q14a!$E$36+q14a!$E$39)</f>
        <v>1511.2848538051537</v>
      </c>
      <c r="BY21" s="407">
        <f>+(q35_Aux!$U$33+q35_Aux!$U$36+q35_Aux!$U$39)/(q14a!$F$33+q14a!$F$36+q14a!$F$39)</f>
        <v>1515.0064821289452</v>
      </c>
      <c r="BZ21" s="407">
        <f>+(q35_Aux!$V$33+q35_Aux!$V$36+q35_Aux!$V$39)/(q14a!$G$33+q14a!$G$36+q14a!$G$39)</f>
        <v>1562.2457854868564</v>
      </c>
      <c r="CA21" s="407">
        <f>+(q35_Aux!$W$33+q35_Aux!$W$36+q35_Aux!$W$39)/(q14a!$H$33+q14a!$H$36+q14a!$H$39)</f>
        <v>1617.7143086336523</v>
      </c>
      <c r="CB21" s="407">
        <f>+(q35_Aux!$X$33+q35_Aux!$X$36+q35_Aux!$X$39)/(q14a!$I$33+q14a!$I$36+q14a!$I$39)</f>
        <v>1628.4889543480149</v>
      </c>
      <c r="CC21" s="407">
        <f>+(q35_Aux!$Y$33+q35_Aux!$Y$36+q35_Aux!$Y$39)/(q14a!$J$33+q14a!$J$36+q14a!$J$39)</f>
        <v>1706.6535163492167</v>
      </c>
      <c r="CD21" s="407">
        <f>+(q35_Aux!$Z$33+q35_Aux!$Z$36+q35_Aux!$Z$39)/(q14a!$K$33+q14a!$K$36+q14a!$K$39)</f>
        <v>1842.4922157433282</v>
      </c>
      <c r="CE21" s="407">
        <f>+(q35_Aux!$AA$33+q35_Aux!$AA$36+q35_Aux!$AA$39)/(q14a!$L$33+q14a!$L$36+q14a!$L$39)</f>
        <v>1973.6535206201365</v>
      </c>
      <c r="CF21" s="407">
        <f>+(q35_Aux!$AB$33+q35_Aux!$AB$36+q35_Aux!$AB$39)/(q14a!$M$33+q14a!$M$36+q14a!$M$39)</f>
        <v>2144.4478157429194</v>
      </c>
    </row>
    <row r="22" spans="1:84">
      <c r="A22" s="383"/>
      <c r="B22" t="str">
        <f>+'q22'!$A$45</f>
        <v>P</v>
      </c>
      <c r="C22" t="str">
        <f>+'q22'!$B$45</f>
        <v>Educação</v>
      </c>
      <c r="D22" s="407">
        <f>+'q22'!$C$45</f>
        <v>1119.54</v>
      </c>
      <c r="E22" s="407">
        <f>+'q22'!$D$45</f>
        <v>1118.44</v>
      </c>
      <c r="F22" s="407">
        <f>+'q22'!$E$45</f>
        <v>1121.57</v>
      </c>
      <c r="G22" s="407">
        <f>+'q22'!$F$45</f>
        <v>1136.27</v>
      </c>
      <c r="H22" s="407">
        <f>+'q22'!$G$45</f>
        <v>1161.1400000000001</v>
      </c>
      <c r="I22" s="407">
        <f>+'q22'!$H$45</f>
        <v>1219.79</v>
      </c>
      <c r="J22" s="407">
        <f>+'q22'!$I$45</f>
        <v>1259.28</v>
      </c>
      <c r="K22" s="407">
        <f>+'q22'!$J$45</f>
        <v>1296.72</v>
      </c>
      <c r="L22" s="407">
        <f>+'q22'!$K$45</f>
        <v>1348.73</v>
      </c>
      <c r="M22" s="407">
        <f>+'q22'!$L$45</f>
        <v>1435.78</v>
      </c>
      <c r="N22" s="407">
        <f>+'q22'!$M$45</f>
        <v>1511.69</v>
      </c>
      <c r="S22" s="407"/>
      <c r="T22" s="407"/>
      <c r="U22" s="407"/>
      <c r="V22" s="407"/>
      <c r="W22" s="407"/>
      <c r="X22" s="407"/>
      <c r="Y22" s="407"/>
      <c r="Z22" s="407"/>
      <c r="AA22" s="407"/>
      <c r="AB22" s="407"/>
      <c r="AC22" s="407"/>
      <c r="BL22" s="383" t="s">
        <v>432</v>
      </c>
      <c r="BM22" s="463">
        <f t="shared" ref="BM22:BM25" si="0">INDEX($BU$3:$CF$8,MATCH($BL22,$BU$3:$BU$8,0),MATCH($BK$19,$BU$3:$CF$3,0))*-1</f>
        <v>-1271.7886090185459</v>
      </c>
      <c r="BN22" s="463">
        <f t="shared" ref="BN22:BN25" si="1">INDEX($BU$17:$CF$22,MATCH($BL22,$BU$17:$BU$22,0),MATCH($BK$19,$BU$17:$CF$17,0))*-1</f>
        <v>-1538.4811929701916</v>
      </c>
      <c r="BO22" s="463">
        <f t="shared" ref="BO22:BO25" si="2">INDEX($BU$10:$CF$15,MATCH($BL22,$BU$10:$BU$15,0),MATCH($BK$19,$BU$10:$CF$10,0))</f>
        <v>1136.6835068486735</v>
      </c>
      <c r="BP22" s="463">
        <f t="shared" ref="BP22:BP25" si="3">INDEX($BU$24:$CF$29,MATCH($BL22,$BU$24:$BU$29,0),MATCH($BK$19,$BU$24:$CF$24,0))</f>
        <v>1331.5030199164923</v>
      </c>
      <c r="BQ22" s="487">
        <f t="shared" ref="BQ22:BQ25" si="4">+ROUND(BO22/(BM22*-1)*100,1)</f>
        <v>89.4</v>
      </c>
      <c r="BR22" s="487">
        <f t="shared" ref="BR22:BR25" si="5">+ROUND(BP22/(BN22*-1)*100,1)</f>
        <v>86.5</v>
      </c>
      <c r="BS22" s="383" t="s">
        <v>430</v>
      </c>
      <c r="BU22" s="383" t="s">
        <v>11</v>
      </c>
      <c r="BV22" s="407">
        <f>+q35_Aux!$C$6</f>
        <v>1203.32</v>
      </c>
      <c r="BW22" s="407">
        <f>+q35_Aux!$D$6</f>
        <v>1207.76</v>
      </c>
      <c r="BX22" s="407">
        <f>+q35_Aux!$E$6</f>
        <v>1215.1099999999999</v>
      </c>
      <c r="BY22" s="407">
        <f>+q35_Aux!$F$6</f>
        <v>1236.8499999999999</v>
      </c>
      <c r="BZ22" s="407">
        <f>+q35_Aux!$G$6</f>
        <v>1273.99</v>
      </c>
      <c r="CA22" s="407">
        <f>+q35_Aux!$H$6</f>
        <v>1312.43</v>
      </c>
      <c r="CB22" s="407">
        <f>+q35_Aux!$I$6</f>
        <v>1349.35</v>
      </c>
      <c r="CC22" s="407">
        <f>+q35_Aux!$J$6</f>
        <v>1395.7</v>
      </c>
      <c r="CD22" s="407">
        <f>+q35_Aux!$K$6</f>
        <v>1476.2</v>
      </c>
      <c r="CE22" s="407">
        <f>+q35_Aux!$L$6</f>
        <v>1577.33</v>
      </c>
      <c r="CF22" s="407">
        <f>+q35_Aux!$M$6</f>
        <v>1693.55</v>
      </c>
    </row>
    <row r="23" spans="1:84">
      <c r="A23" s="383"/>
      <c r="B23" t="str">
        <f>+'q22'!$A$46</f>
        <v>Q</v>
      </c>
      <c r="C23" t="str">
        <f>+'q22'!$B$46</f>
        <v>Ativ. saúde humana e apoio social</v>
      </c>
      <c r="D23" s="407">
        <f>+'q22'!$C$46</f>
        <v>821.86</v>
      </c>
      <c r="E23" s="407">
        <f>+'q22'!$D$46</f>
        <v>833.44</v>
      </c>
      <c r="F23" s="407">
        <f>+'q22'!$E$46</f>
        <v>851.36</v>
      </c>
      <c r="G23" s="407">
        <f>+'q22'!$F$46</f>
        <v>871</v>
      </c>
      <c r="H23" s="407">
        <f>+'q22'!$G$46</f>
        <v>891.94</v>
      </c>
      <c r="I23" s="407">
        <f>+'q22'!$H$46</f>
        <v>923.59</v>
      </c>
      <c r="J23" s="407">
        <f>+'q22'!$I$46</f>
        <v>942.71</v>
      </c>
      <c r="K23" s="407">
        <f>+'q22'!$J$46</f>
        <v>974.58</v>
      </c>
      <c r="L23" s="407">
        <f>+'q22'!$K$46</f>
        <v>1004.81</v>
      </c>
      <c r="M23" s="407">
        <f>+'q22'!$L$46</f>
        <v>1055.5</v>
      </c>
      <c r="N23" s="407">
        <f>+'q22'!$M$46</f>
        <v>1145.81</v>
      </c>
      <c r="S23" s="407"/>
      <c r="T23" s="407"/>
      <c r="U23" s="407"/>
      <c r="V23" s="407"/>
      <c r="W23" s="407"/>
      <c r="X23" s="407"/>
      <c r="Y23" s="407"/>
      <c r="Z23" s="407"/>
      <c r="AA23" s="407"/>
      <c r="AB23" s="407"/>
      <c r="AC23" s="407"/>
      <c r="BL23" s="383" t="s">
        <v>433</v>
      </c>
      <c r="BM23" s="463">
        <f t="shared" si="0"/>
        <v>-1485.057317005522</v>
      </c>
      <c r="BN23" s="463">
        <f t="shared" si="1"/>
        <v>-1836.3561464348047</v>
      </c>
      <c r="BO23" s="463">
        <f t="shared" si="2"/>
        <v>1290.870053540666</v>
      </c>
      <c r="BP23" s="463">
        <f t="shared" si="3"/>
        <v>1532.2239568867822</v>
      </c>
      <c r="BQ23" s="487">
        <f t="shared" si="4"/>
        <v>86.9</v>
      </c>
      <c r="BR23" s="487">
        <f t="shared" si="5"/>
        <v>83.4</v>
      </c>
      <c r="BS23" s="383" t="s">
        <v>431</v>
      </c>
    </row>
    <row r="24" spans="1:84">
      <c r="A24" s="383"/>
      <c r="B24" t="str">
        <f>+'q22'!$A$47</f>
        <v>R</v>
      </c>
      <c r="C24" t="str">
        <f>+'q22'!$B$47</f>
        <v>Ativ. artíst., espet., desp. e recr.</v>
      </c>
      <c r="D24" s="407">
        <f>+'q22'!$C$47</f>
        <v>1383.37</v>
      </c>
      <c r="E24" s="407">
        <f>+'q22'!$D$47</f>
        <v>1514.4</v>
      </c>
      <c r="F24" s="407">
        <f>+'q22'!$E$47</f>
        <v>1537.25</v>
      </c>
      <c r="G24" s="407">
        <f>+'q22'!$F$47</f>
        <v>1612.9</v>
      </c>
      <c r="H24" s="407">
        <f>+'q22'!$G$47</f>
        <v>1607.95</v>
      </c>
      <c r="I24" s="407">
        <f>+'q22'!$H$47</f>
        <v>1645.66</v>
      </c>
      <c r="J24" s="407">
        <f>+'q22'!$I$47</f>
        <v>1838.97</v>
      </c>
      <c r="K24" s="407">
        <f>+'q22'!$J$47</f>
        <v>1780.1</v>
      </c>
      <c r="L24" s="407">
        <f>+'q22'!$K$47</f>
        <v>1789.86</v>
      </c>
      <c r="M24" s="407">
        <f>+'q22'!$L$47</f>
        <v>1903.38</v>
      </c>
      <c r="N24" s="407">
        <f>+'q22'!$M$47</f>
        <v>1963.43</v>
      </c>
      <c r="S24" s="407"/>
      <c r="T24" s="407"/>
      <c r="U24" s="407"/>
      <c r="V24" s="407"/>
      <c r="W24" s="407"/>
      <c r="X24" s="407"/>
      <c r="Y24" s="407"/>
      <c r="Z24" s="407"/>
      <c r="AA24" s="407"/>
      <c r="AB24" s="407"/>
      <c r="AC24" s="407"/>
      <c r="BL24" s="383" t="s">
        <v>231</v>
      </c>
      <c r="BM24" s="463">
        <f t="shared" si="0"/>
        <v>-1696.6928720265187</v>
      </c>
      <c r="BN24" s="463">
        <f t="shared" si="1"/>
        <v>-2144.4478157429194</v>
      </c>
      <c r="BO24" s="463">
        <f t="shared" si="2"/>
        <v>1456.3128685964136</v>
      </c>
      <c r="BP24" s="463">
        <f t="shared" si="3"/>
        <v>1790.0339973099788</v>
      </c>
      <c r="BQ24" s="487">
        <f t="shared" si="4"/>
        <v>85.8</v>
      </c>
      <c r="BR24" s="487">
        <f t="shared" si="5"/>
        <v>83.5</v>
      </c>
      <c r="BS24" s="383" t="s">
        <v>223</v>
      </c>
      <c r="BT24" s="494" t="s">
        <v>257</v>
      </c>
      <c r="BV24" s="384">
        <f>+'q35'!$C$4</f>
        <v>2014</v>
      </c>
      <c r="BW24" s="384">
        <f>+'q35'!$D$4</f>
        <v>2015</v>
      </c>
      <c r="BX24" s="384">
        <f>+'q35'!$E$4</f>
        <v>2016</v>
      </c>
      <c r="BY24" s="384">
        <f>+'q35'!$F$4</f>
        <v>2017</v>
      </c>
      <c r="BZ24" s="384">
        <f>+'q35'!$G$4</f>
        <v>2018</v>
      </c>
      <c r="CA24" s="384">
        <f>+'q35'!$H$4</f>
        <v>2019</v>
      </c>
      <c r="CB24" s="384">
        <f>+'q35'!$I$4</f>
        <v>2020</v>
      </c>
      <c r="CC24" s="384">
        <f>+'q35'!$J$4</f>
        <v>2021</v>
      </c>
      <c r="CD24" s="384">
        <f>+'q35'!$K$4</f>
        <v>2022</v>
      </c>
      <c r="CE24" s="384">
        <f>+'q35'!$L$4</f>
        <v>2023</v>
      </c>
      <c r="CF24" s="384">
        <f>+'q35'!$M$4</f>
        <v>2024</v>
      </c>
    </row>
    <row r="25" spans="1:84">
      <c r="A25" s="383"/>
      <c r="B25" t="str">
        <f>+'q22'!$A$48</f>
        <v>S</v>
      </c>
      <c r="C25" t="str">
        <f>+'q22'!$B$48</f>
        <v>Outras atividades de serviços</v>
      </c>
      <c r="D25" s="407">
        <f>+'q22'!$C$48</f>
        <v>847.6</v>
      </c>
      <c r="E25" s="407">
        <f>+'q22'!$D$48</f>
        <v>847.05</v>
      </c>
      <c r="F25" s="407">
        <f>+'q22'!$E$48</f>
        <v>857.44</v>
      </c>
      <c r="G25" s="407">
        <f>+'q22'!$F$48</f>
        <v>877.34</v>
      </c>
      <c r="H25" s="407">
        <f>+'q22'!$G$48</f>
        <v>901.62</v>
      </c>
      <c r="I25" s="407">
        <f>+'q22'!$H$48</f>
        <v>932.37</v>
      </c>
      <c r="J25" s="407">
        <f>+'q22'!$I$48</f>
        <v>987.51</v>
      </c>
      <c r="K25" s="407">
        <f>+'q22'!$J$48</f>
        <v>1012.59</v>
      </c>
      <c r="L25" s="407">
        <f>+'q22'!$K$48</f>
        <v>1053.43</v>
      </c>
      <c r="M25" s="407">
        <f>+'q22'!$L$48</f>
        <v>1105.46</v>
      </c>
      <c r="N25" s="407">
        <f>+'q22'!$M$48</f>
        <v>1180.2</v>
      </c>
      <c r="S25" s="407"/>
      <c r="T25" s="407"/>
      <c r="U25" s="407"/>
      <c r="V25" s="407"/>
      <c r="W25" s="407"/>
      <c r="X25" s="407"/>
      <c r="Y25" s="407"/>
      <c r="Z25" s="407"/>
      <c r="AA25" s="407"/>
      <c r="AB25" s="407"/>
      <c r="AC25" s="407"/>
      <c r="BL25" s="453" t="s">
        <v>11</v>
      </c>
      <c r="BM25" s="463">
        <f t="shared" si="0"/>
        <v>-1383.38</v>
      </c>
      <c r="BN25" s="463">
        <f t="shared" si="1"/>
        <v>-1693.55</v>
      </c>
      <c r="BO25" s="463">
        <f t="shared" si="2"/>
        <v>1216.8499999999999</v>
      </c>
      <c r="BP25" s="463">
        <f t="shared" si="3"/>
        <v>1445.59</v>
      </c>
      <c r="BQ25" s="487">
        <f t="shared" si="4"/>
        <v>88</v>
      </c>
      <c r="BR25" s="487">
        <f t="shared" si="5"/>
        <v>85.4</v>
      </c>
      <c r="BS25" s="383" t="str">
        <f t="shared" ref="BS25" si="6">+BL25</f>
        <v>Total</v>
      </c>
      <c r="BT25" s="494" t="s">
        <v>116</v>
      </c>
      <c r="BU25" s="383" t="s">
        <v>222</v>
      </c>
      <c r="BV25" s="407">
        <f>+(q35_Aux!$R$10+q35_Aux!$R$13)/(q14a!$C$10+q14a!$C$13)</f>
        <v>818.75815544170825</v>
      </c>
      <c r="BW25" s="407">
        <f>+(q35_Aux!$S$10+q35_Aux!$S$13)/(q14a!$D$10+q14a!$D$13)</f>
        <v>815.87912623539989</v>
      </c>
      <c r="BX25" s="407">
        <f>+(q35_Aux!$T$10+q35_Aux!$T$13)/(q14a!$E$10+q14a!$E$13)</f>
        <v>830.86881563681834</v>
      </c>
      <c r="BY25" s="407">
        <f>+(q35_Aux!$U$10+q35_Aux!$U$13)/(q14a!$F$10+q14a!$F$13)</f>
        <v>856.06440880074331</v>
      </c>
      <c r="BZ25" s="407">
        <f>+(q35_Aux!$V$10+q35_Aux!$V$13)/(q14a!$G$10+q14a!$G$13)</f>
        <v>884.05928281697891</v>
      </c>
      <c r="CA25" s="407">
        <f>+(q35_Aux!$W$10+q35_Aux!$W$13)/(q14a!$H$10+q14a!$H$13)</f>
        <v>915.9215354042941</v>
      </c>
      <c r="CB25" s="407">
        <f>+(q35_Aux!$X$10+q35_Aux!$X$13)/(q14a!$I$10+q14a!$I$13)</f>
        <v>951.16592802962225</v>
      </c>
      <c r="CC25" s="407">
        <f>+(q35_Aux!$Y$10+q35_Aux!$Y$13)/(q14a!$J$10+q14a!$J$13)</f>
        <v>986.80971763831462</v>
      </c>
      <c r="CD25" s="407">
        <f>+(q35_Aux!$Z$10+q35_Aux!$Z$13)/(q14a!$K$10+q14a!$K$13)</f>
        <v>1035.1509546481084</v>
      </c>
      <c r="CE25" s="407">
        <f>+(q35_Aux!$AA$10+q35_Aux!$AA$13)/(q14a!$L$10+q14a!$L$13)</f>
        <v>1117.8725618633885</v>
      </c>
      <c r="CF25" s="407">
        <f>+(q35_Aux!$AB$10+q35_Aux!$AB$13)/(q14a!$M$10+q14a!$M$13)</f>
        <v>1203.1785746469959</v>
      </c>
    </row>
    <row r="26" spans="1:84">
      <c r="A26" s="383"/>
      <c r="B26" t="str">
        <f>+'q22'!$A$49</f>
        <v>U</v>
      </c>
      <c r="C26" t="str">
        <f>+'q22'!$B$49</f>
        <v>Ativ. org. int. e o. inst. extra-territ.</v>
      </c>
      <c r="D26" s="407">
        <f>+'q22'!$C$49</f>
        <v>1772.71</v>
      </c>
      <c r="E26" s="407">
        <f>+'q22'!$D$49</f>
        <v>1910.54</v>
      </c>
      <c r="F26" s="407">
        <f>+'q22'!$E$49</f>
        <v>2028.96</v>
      </c>
      <c r="G26" s="407">
        <f>+'q22'!$F$49</f>
        <v>1986.43</v>
      </c>
      <c r="H26" s="407">
        <f>+'q22'!$G$49</f>
        <v>2136.13</v>
      </c>
      <c r="I26" s="407">
        <f>+'q22'!$H$49</f>
        <v>2160.36</v>
      </c>
      <c r="J26" s="407">
        <f>+'q22'!$I$49</f>
        <v>1978.98</v>
      </c>
      <c r="K26" s="407">
        <f>+'q22'!$J$49</f>
        <v>1886.51</v>
      </c>
      <c r="L26" s="407">
        <f>+'q22'!$K$49</f>
        <v>3156.84</v>
      </c>
      <c r="M26" s="407">
        <f>+'q22'!$L$49</f>
        <v>3347.61</v>
      </c>
      <c r="N26" s="407">
        <f>+'q22'!$M$49</f>
        <v>3203.52</v>
      </c>
      <c r="S26" s="407"/>
      <c r="T26" s="407"/>
      <c r="U26" s="407"/>
      <c r="V26" s="407"/>
      <c r="W26" s="407"/>
      <c r="X26" s="407"/>
      <c r="Y26" s="407"/>
      <c r="Z26" s="407"/>
      <c r="AA26" s="407"/>
      <c r="AB26" s="407"/>
      <c r="AC26" s="407"/>
      <c r="BM26" s="463">
        <f>+BM25*-1</f>
        <v>1383.38</v>
      </c>
      <c r="BN26" s="463">
        <f>+BN25*-1</f>
        <v>1693.55</v>
      </c>
      <c r="BQ26" s="487"/>
      <c r="BU26" s="383" t="s">
        <v>432</v>
      </c>
      <c r="BV26" s="407">
        <f>+(q35_Aux!$R$16+q35_Aux!$R$19)/(q14a!$C$16+q14a!$C$19)</f>
        <v>917.01672916869074</v>
      </c>
      <c r="BW26" s="407">
        <f>+(q35_Aux!$S$16+q35_Aux!$S$19)/(q14a!$D$16+q14a!$D$19)</f>
        <v>918.83913092077694</v>
      </c>
      <c r="BX26" s="407">
        <f>+(q35_Aux!$T$16+q35_Aux!$T$19)/(q14a!$E$16+q14a!$E$19)</f>
        <v>930.81478289313122</v>
      </c>
      <c r="BY26" s="407">
        <f>+(q35_Aux!$U$16+q35_Aux!$U$19)/(q14a!$F$16+q14a!$F$19)</f>
        <v>956.3338812323459</v>
      </c>
      <c r="BZ26" s="407">
        <f>+(q35_Aux!$V$16+q35_Aux!$V$19)/(q14a!$G$16+q14a!$G$19)</f>
        <v>988.59471389645785</v>
      </c>
      <c r="CA26" s="407">
        <f>+(q35_Aux!$W$16+q35_Aux!$W$19)/(q14a!$H$16+q14a!$H$19)</f>
        <v>1020.6349842466434</v>
      </c>
      <c r="CB26" s="407">
        <f>+(q35_Aux!$X$16+q35_Aux!$X$19)/(q14a!$I$16+q14a!$I$19)</f>
        <v>1064.0541093127752</v>
      </c>
      <c r="CC26" s="407">
        <f>+(q35_Aux!$Y$16+q35_Aux!$Y$19)/(q14a!$J$16+q14a!$J$19)</f>
        <v>1097.5683639344588</v>
      </c>
      <c r="CD26" s="407">
        <f>+(q35_Aux!$Z$16+q35_Aux!$Z$19)/(q14a!$K$16+q14a!$K$19)</f>
        <v>1150.472095463083</v>
      </c>
      <c r="CE26" s="407">
        <f>+(q35_Aux!$AA$16+q35_Aux!$AA$19)/(q14a!$L$16+q14a!$L$19)</f>
        <v>1240.7962813691779</v>
      </c>
      <c r="CF26" s="407">
        <f>+(q35_Aux!$AB$16+q35_Aux!$AB$19)/(q14a!$M$16+q14a!$M$19)</f>
        <v>1331.5030199164923</v>
      </c>
    </row>
    <row r="27" spans="1:84">
      <c r="A27" s="383"/>
      <c r="B27" s="410" t="s">
        <v>222</v>
      </c>
      <c r="C27" s="383"/>
      <c r="D27" s="407">
        <f>+(q23_Aux!$R$8+q23_Aux!$R$11)/(q14a!$C$8+q14a!$C$11)</f>
        <v>743.20795656208907</v>
      </c>
      <c r="E27" s="407">
        <f>+(q23_Aux!$S$8+q23_Aux!$S$11)/(q14a!$D$8+q14a!$D$11)</f>
        <v>741.78689645003453</v>
      </c>
      <c r="F27" s="407">
        <f>+(q23_Aux!$T$8+q23_Aux!$T$11)/(q14a!$E$8+q14a!$E$11)</f>
        <v>755.94167163114048</v>
      </c>
      <c r="G27" s="407">
        <f>+(q23_Aux!$U$8+q23_Aux!$U$11)/(q14a!$F$8+q14a!$F$11)</f>
        <v>774.65604370609594</v>
      </c>
      <c r="H27" s="407">
        <f>+(q23_Aux!$V$8+q23_Aux!$V$11)/(q14a!$G$8+q14a!$G$11)</f>
        <v>798.65344060954112</v>
      </c>
      <c r="I27" s="407">
        <f>+(q23_Aux!$W$8+q23_Aux!$W$11)/(q14a!$H$8+q14a!$H$11)</f>
        <v>825.58911691889443</v>
      </c>
      <c r="J27" s="407">
        <f>+(q23_Aux!$X$8+q23_Aux!$X$11)/(q14a!$I$8+q14a!$I$11)</f>
        <v>862.21451500695696</v>
      </c>
      <c r="K27" s="407">
        <f>+(q23_Aux!$Y$8+q23_Aux!$Y$11)/(q14a!$J$8+q14a!$J$11)</f>
        <v>898.02663930564074</v>
      </c>
      <c r="L27" s="407">
        <f>+(q23_Aux!$Z$8+q23_Aux!$Z$11)/(q14a!$K$8+q14a!$K$11)</f>
        <v>944.6909195144126</v>
      </c>
      <c r="M27" s="407">
        <f>+(q23_Aux!$AA$8+q23_Aux!$AA$11)/(q14a!$L$8+q14a!$L$11)</f>
        <v>1010.4312129193138</v>
      </c>
      <c r="N27" s="407">
        <f>+(q23_Aux!$AB$8+q23_Aux!$AB$11)/(q14a!$M$8+q14a!$M$11)</f>
        <v>1080.0451885767829</v>
      </c>
      <c r="BT27" s="492"/>
      <c r="BU27" s="383" t="s">
        <v>433</v>
      </c>
      <c r="BV27" s="407">
        <f>+(q35_Aux!$R$22+q35_Aux!$R$25+q35_Aux!$R$28+q35_Aux!$R$31)/(q14a!$C$22+q14a!$C$25+q14a!$C$28+q14a!$C$31)</f>
        <v>1056.5100780071173</v>
      </c>
      <c r="BW27" s="407">
        <f>+(q35_Aux!$S$22+q35_Aux!$S$25+q35_Aux!$S$28+q35_Aux!$S$31)/(q14a!$D$22+q14a!$D$25+q14a!$D$28+q14a!$D$31)</f>
        <v>1062.2455904803021</v>
      </c>
      <c r="BX27" s="407">
        <f>+(q35_Aux!$T$22+q35_Aux!$T$25+q35_Aux!$T$28+q35_Aux!$T$31)/(q14a!$E$22+q14a!$E$25+q14a!$E$28+q14a!$E$31)</f>
        <v>1069.7839175543868</v>
      </c>
      <c r="BY27" s="407">
        <f>+(q35_Aux!$U$22+q35_Aux!$U$25+q35_Aux!$U$28+q35_Aux!$U$31)/(q14a!$F$22+q14a!$F$25+q14a!$F$28+q14a!$F$31)</f>
        <v>1087.0933179912388</v>
      </c>
      <c r="BZ27" s="407">
        <f>+(q35_Aux!$V$22+q35_Aux!$V$25+q35_Aux!$V$28+q35_Aux!$V$31)/(q14a!$G$22+q14a!$G$25+q14a!$G$28+q14a!$G$31)</f>
        <v>1125.5754441321874</v>
      </c>
      <c r="CA27" s="407">
        <f>+(q35_Aux!$W$22+q35_Aux!$W$25+q35_Aux!$W$28+q35_Aux!$W$31)/(q14a!$H$22+q14a!$H$25+q14a!$H$28+q14a!$H$31)</f>
        <v>1164.6970306090507</v>
      </c>
      <c r="CB27" s="407">
        <f>+(q35_Aux!$X$22+q35_Aux!$X$25+q35_Aux!$X$28+q35_Aux!$X$31)/(q14a!$I$22+q14a!$I$25+q14a!$I$28+q14a!$I$31)</f>
        <v>1217.3368932434153</v>
      </c>
      <c r="CC27" s="407">
        <f>+(q35_Aux!$Y$22+q35_Aux!$Y$25+q35_Aux!$Y$28+q35_Aux!$Y$31)/(q14a!$J$22+q14a!$J$25+q14a!$J$28+q14a!$J$31)</f>
        <v>1260.0525552098966</v>
      </c>
      <c r="CD27" s="407">
        <f>+(q35_Aux!$Z$22+q35_Aux!$Z$25+q35_Aux!$Z$28+q35_Aux!$Z$31)/(q14a!$K$22+q14a!$K$25+q14a!$K$28+q14a!$K$31)</f>
        <v>1328.2653102265795</v>
      </c>
      <c r="CE27" s="407">
        <f>+(q35_Aux!$AA$22+q35_Aux!$AA$25+q35_Aux!$AA$28+q35_Aux!$AA$31)/(q14a!$L$22+q14a!$L$25+q14a!$L$28+q14a!$L$31)</f>
        <v>1424.6992472504944</v>
      </c>
      <c r="CF27" s="407">
        <f>+(q35_Aux!$AB$22+q35_Aux!$AB$25+q35_Aux!$AB$28+q35_Aux!$AB$31)/(q14a!$M$22+q14a!$M$25+q14a!$M$28+q14a!$M$31)</f>
        <v>1532.2239568867822</v>
      </c>
    </row>
    <row r="28" spans="1:84">
      <c r="A28" s="383"/>
      <c r="B28" s="410" t="s">
        <v>432</v>
      </c>
      <c r="C28" s="383"/>
      <c r="D28" s="407">
        <f>+(q23_Aux!$R$14+q23_Aux!$R$17)/(q14a!$C$14+q14a!$C$17)</f>
        <v>874.69302032816984</v>
      </c>
      <c r="E28" s="407">
        <f>+(q23_Aux!$S$14+q23_Aux!$S$17)/(q14a!$D$14+q14a!$D$17)</f>
        <v>874.77236221024111</v>
      </c>
      <c r="F28" s="407">
        <f>+(q23_Aux!$T$14+q23_Aux!$T$17)/(q14a!$E$14+q14a!$E$17)</f>
        <v>881.83878051639738</v>
      </c>
      <c r="G28" s="407">
        <f>+(q23_Aux!$U$14+q23_Aux!$U$17)/(q14a!$F$14+q14a!$F$17)</f>
        <v>895.9812325341743</v>
      </c>
      <c r="H28" s="407">
        <f>+(q23_Aux!$V$14+q23_Aux!$V$17)/(q14a!$G$14+q14a!$G$17)</f>
        <v>919.10627144533146</v>
      </c>
      <c r="I28" s="407">
        <f>+(q23_Aux!$W$14+q23_Aux!$W$17)/(q14a!$H$14+q14a!$H$17)</f>
        <v>947.21197629910625</v>
      </c>
      <c r="J28" s="407">
        <f>+(q23_Aux!$X$14+q23_Aux!$X$17)/(q14a!$I$14+q14a!$I$17)</f>
        <v>989.29209724149632</v>
      </c>
      <c r="K28" s="407">
        <f>+(q23_Aux!$Y$14+q23_Aux!$Y$17)/(q14a!$J$14+q14a!$J$17)</f>
        <v>1023.6176880858063</v>
      </c>
      <c r="L28" s="407">
        <f>+(q23_Aux!$Z$14+q23_Aux!$Z$17)/(q14a!$K$14+q14a!$K$17)</f>
        <v>1069.3807933486928</v>
      </c>
      <c r="M28" s="407">
        <f>+(q23_Aux!$AA$14+q23_Aux!$AA$17)/(q14a!$L$14+q14a!$L$17)</f>
        <v>1141.4113559330783</v>
      </c>
      <c r="N28" s="407">
        <f>+(q23_Aux!$AB$14+q23_Aux!$AB$17)/(q14a!$M$14+q14a!$M$17)</f>
        <v>1212.7913689942682</v>
      </c>
      <c r="BT28" s="383"/>
      <c r="BU28" s="383" t="s">
        <v>231</v>
      </c>
      <c r="BV28" s="407">
        <f>+(q35_Aux!$R$34+q35_Aux!$R$37+q35_Aux!$R$40)/(q14a!$C$34+q14a!$C$37+q14a!$C$40)</f>
        <v>1179.8718644775088</v>
      </c>
      <c r="BW28" s="407">
        <f>+(q35_Aux!$S$34+q35_Aux!$S$37+q35_Aux!$S$40)/(q14a!$D$34+q14a!$D$37+q14a!$D$40)</f>
        <v>1182.1003401100277</v>
      </c>
      <c r="BX28" s="407">
        <f>+(q35_Aux!$T$34+q35_Aux!$T$37+q35_Aux!$T$40)/(q14a!$E$34+q14a!$E$37+q14a!$E$40)</f>
        <v>1205.5542415034886</v>
      </c>
      <c r="BY28" s="407">
        <f>+(q35_Aux!$U$34+q35_Aux!$U$37+q35_Aux!$U$40)/(q14a!$F$34+q14a!$F$37+q14a!$F$40)</f>
        <v>1245.3129879744215</v>
      </c>
      <c r="BZ28" s="407">
        <f>+(q35_Aux!$V$34+q35_Aux!$V$37+q35_Aux!$V$40)/(q14a!$G$34+q14a!$G$37+q14a!$G$40)</f>
        <v>1284.154244591095</v>
      </c>
      <c r="CA28" s="407">
        <f>+(q35_Aux!$W$34+q35_Aux!$W$37+q35_Aux!$W$40)/(q14a!$H$34+q14a!$H$37+q14a!$H$40)</f>
        <v>1326.517008101524</v>
      </c>
      <c r="CB28" s="407">
        <f>+(q35_Aux!$X$34+q35_Aux!$X$37+q35_Aux!$X$40)/(q14a!$I$34+q14a!$I$37+q14a!$I$40)</f>
        <v>1355.3246283181797</v>
      </c>
      <c r="CC28" s="407">
        <f>+(q35_Aux!$Y$34+q35_Aux!$Y$37+q35_Aux!$Y$40)/(q14a!$J$34+q14a!$J$37+q14a!$J$40)</f>
        <v>1415.9039110718461</v>
      </c>
      <c r="CD28" s="407">
        <f>+(q35_Aux!$Z$34+q35_Aux!$Z$37+q35_Aux!$Z$40)/(q14a!$K$34+q14a!$K$37+q14a!$K$40)</f>
        <v>1505.5787805544617</v>
      </c>
      <c r="CE28" s="407">
        <f>+(q35_Aux!$AA$34+q35_Aux!$AA$37+q35_Aux!$AA$40)/(q14a!$L$34+q14a!$L$37+q14a!$L$40)</f>
        <v>1617.1096587492148</v>
      </c>
      <c r="CF28" s="407">
        <f>+(q35_Aux!$AB$34+q35_Aux!$AB$37+q35_Aux!$AB$40)/(q14a!$M$34+q14a!$M$37+q14a!$M$40)</f>
        <v>1790.0339973099788</v>
      </c>
    </row>
    <row r="29" spans="1:84">
      <c r="A29" s="383"/>
      <c r="B29" s="410" t="s">
        <v>433</v>
      </c>
      <c r="C29" s="383"/>
      <c r="D29" s="407">
        <f>+(q23_Aux!$R$20+q23_Aux!$R$23+q23_Aux!$R$26+q23_Aux!$R$29)/(q14a!$C$20+q14a!$C$23+q14a!$C$26+q14a!$C$29)</f>
        <v>1030.3012322105706</v>
      </c>
      <c r="E29" s="407">
        <f>+(q23_Aux!$S$20+q23_Aux!$S$23+q23_Aux!$S$26+q23_Aux!$S$29)/(q14a!$D$20+q14a!$D$23+q14a!$D$26+q14a!$D$29)</f>
        <v>1037.7742553924222</v>
      </c>
      <c r="F29" s="407">
        <f>+(q23_Aux!$T$20+q23_Aux!$T$23+q23_Aux!$T$26+q23_Aux!$T$29)/(q14a!$E$20+q14a!$E$23+q14a!$E$26+q14a!$E$29)</f>
        <v>1042.8491928354968</v>
      </c>
      <c r="G29" s="407">
        <f>+(q23_Aux!$U$20+q23_Aux!$U$23+q23_Aux!$U$26+q23_Aux!$U$29)/(q14a!$F$20+q14a!$F$23+q14a!$F$26+q14a!$F$29)</f>
        <v>1055.918660825165</v>
      </c>
      <c r="H29" s="407">
        <f>+(q23_Aux!$V$20+q23_Aux!$V$23+q23_Aux!$V$26+q23_Aux!$V$29)/(q14a!$G$20+q14a!$G$23+q14a!$G$26+q14a!$G$29)</f>
        <v>1083.9322384634481</v>
      </c>
      <c r="I29" s="407">
        <f>+(q23_Aux!$W$20+q23_Aux!$W$23+q23_Aux!$W$26+q23_Aux!$W$29)/(q14a!$H$20+q14a!$H$23+q14a!$H$26+q14a!$H$29)</f>
        <v>1112.7469412139121</v>
      </c>
      <c r="J29" s="407">
        <f>+(q23_Aux!$X$20+q23_Aux!$X$23+q23_Aux!$X$26+q23_Aux!$X$29)/(q14a!$I$20+q14a!$I$23+q14a!$I$26+q14a!$I$29)</f>
        <v>1156.9571340205018</v>
      </c>
      <c r="K29" s="407">
        <f>+(q23_Aux!$Y$20+q23_Aux!$Y$23+q23_Aux!$Y$26+q23_Aux!$Y$29)/(q14a!$J$20+q14a!$J$23+q14a!$J$26+q14a!$J$29)</f>
        <v>1189.0174465158286</v>
      </c>
      <c r="L29" s="407">
        <f>+(q23_Aux!$Z$20+q23_Aux!$Z$23+q23_Aux!$Z$26+q23_Aux!$Z$29)/(q14a!$K$20+q14a!$K$23+q14a!$K$26+q14a!$K$29)</f>
        <v>1246.2383636445311</v>
      </c>
      <c r="M29" s="407">
        <f>+(q23_Aux!$AA$20+q23_Aux!$AA$23+q23_Aux!$AA$26+q23_Aux!$AA$29)/(q14a!$L$20+q14a!$L$23+q14a!$L$26+q14a!$L$29)</f>
        <v>1321.8781510809069</v>
      </c>
      <c r="N29" s="407">
        <f>+(q23_Aux!$AB$20+q23_Aux!$AB$23+q23_Aux!$AB$26+q23_Aux!$AB$29)/(q14a!$M$20+q14a!$M$23+q14a!$M$26+q14a!$M$29)</f>
        <v>1398.8434401374552</v>
      </c>
      <c r="BU29" s="383" t="s">
        <v>11</v>
      </c>
      <c r="BV29" s="407">
        <f>+q35_Aux!$C$7</f>
        <v>963.12</v>
      </c>
      <c r="BW29" s="407">
        <f>+q35_Aux!$D$7</f>
        <v>966.85</v>
      </c>
      <c r="BX29" s="407">
        <f>+q35_Aux!$E$7</f>
        <v>982.49</v>
      </c>
      <c r="BY29" s="407">
        <f>+q35_Aux!$F$7</f>
        <v>1011.02</v>
      </c>
      <c r="BZ29" s="407">
        <f>+q35_Aux!$G$7</f>
        <v>1046.5899999999999</v>
      </c>
      <c r="CA29" s="407">
        <f>+q35_Aux!$H$7</f>
        <v>1086.97</v>
      </c>
      <c r="CB29" s="407">
        <f>+q35_Aux!$I$7</f>
        <v>1130.8699999999999</v>
      </c>
      <c r="CC29" s="407">
        <f>+q35_Aux!$J$7</f>
        <v>1172.08</v>
      </c>
      <c r="CD29" s="407">
        <f>+q35_Aux!$K$7</f>
        <v>1237.52</v>
      </c>
      <c r="CE29" s="407">
        <f>+q35_Aux!$L$7</f>
        <v>1332.02</v>
      </c>
      <c r="CF29" s="407">
        <f>+q35_Aux!$M$7</f>
        <v>1445.59</v>
      </c>
    </row>
    <row r="30" spans="1:84">
      <c r="A30" s="383"/>
      <c r="B30" s="410" t="s">
        <v>231</v>
      </c>
      <c r="C30" s="383"/>
      <c r="D30" s="407">
        <f>+(q23_Aux!$R$32+q23_Aux!$R$35+q23_Aux!$R$38)/(q14a!$C$32+q14a!$C$35+q14a!$C$38)</f>
        <v>1082.3316942828576</v>
      </c>
      <c r="E30" s="407">
        <f>+(q23_Aux!$S$32+q23_Aux!$S$35+q23_Aux!$S$38)/(q14a!$D$32+q14a!$D$35+q14a!$D$38)</f>
        <v>1089.5805250625856</v>
      </c>
      <c r="F30" s="407">
        <f>+(q23_Aux!$T$32+q23_Aux!$T$35+q23_Aux!$T$38)/(q14a!$E$32+q14a!$E$35+q14a!$E$38)</f>
        <v>1103.5962996393494</v>
      </c>
      <c r="G30" s="407">
        <f>+(q23_Aux!$U$32+q23_Aux!$U$35+q23_Aux!$U$38)/(q14a!$F$32+q14a!$F$35+q14a!$F$38)</f>
        <v>1117.8228410271711</v>
      </c>
      <c r="H30" s="407">
        <f>+(q23_Aux!$V$32+q23_Aux!$V$35+q23_Aux!$V$38)/(q14a!$G$32+q14a!$G$35+q14a!$G$38)</f>
        <v>1146.4864034939196</v>
      </c>
      <c r="I30" s="407">
        <f>+(q23_Aux!$W$32+q23_Aux!$W$35+q23_Aux!$W$38)/(q14a!$H$32+q14a!$H$35+q14a!$H$38)</f>
        <v>1192.8973877014769</v>
      </c>
      <c r="J30" s="407">
        <f>+(q23_Aux!$X$32+q23_Aux!$X$35+q23_Aux!$X$38)/(q14a!$I$32+q14a!$I$35+q14a!$I$38)</f>
        <v>1206.670574012823</v>
      </c>
      <c r="K30" s="407">
        <f>+(q23_Aux!$Y$32+q23_Aux!$Y$35+q23_Aux!$Y$38)/(q14a!$J$32+q14a!$J$35+q14a!$J$38)</f>
        <v>1272.873442046483</v>
      </c>
      <c r="L30" s="407">
        <f>+(q23_Aux!$Z$32+q23_Aux!$Z$35+q23_Aux!$Z$38)/(q14a!$K$32+q14a!$K$35+q14a!$K$38)</f>
        <v>1363.1229781849545</v>
      </c>
      <c r="M30" s="407">
        <f>+(q23_Aux!$AA$32+q23_Aux!$AA$35+q23_Aux!$AA$38)/(q14a!$L$32+q14a!$L$35+q14a!$L$38)</f>
        <v>1455.9608662508945</v>
      </c>
      <c r="N30" s="407">
        <f>+(q23_Aux!$AB$32+q23_Aux!$AB$35+q23_Aux!$AB$38)/(q14a!$M$32+q14a!$M$35+q14a!$M$38)</f>
        <v>1591.0486395335852</v>
      </c>
      <c r="BV30" s="384"/>
      <c r="BW30" s="384"/>
      <c r="BX30" s="384"/>
      <c r="BY30" s="384"/>
      <c r="BZ30" s="384"/>
      <c r="CA30" s="384"/>
      <c r="CB30" s="384"/>
      <c r="CC30" s="384"/>
      <c r="CD30" s="384"/>
      <c r="CE30" s="384"/>
      <c r="CF30" s="384"/>
    </row>
    <row r="31" spans="1:84">
      <c r="A31" s="383" t="s">
        <v>244</v>
      </c>
      <c r="B31" t="str">
        <f>+'q34'!$A$6</f>
        <v>A</v>
      </c>
      <c r="C31" t="str">
        <f>+'q34'!$B$6</f>
        <v>Agr., pr. animal, caça, flor. pesca</v>
      </c>
      <c r="D31" s="407">
        <f>+'q34'!$C$6</f>
        <v>794.63</v>
      </c>
      <c r="E31" s="407">
        <f>+'q34'!$D$6</f>
        <v>802.68</v>
      </c>
      <c r="F31" s="407">
        <f>+'q34'!$E$6</f>
        <v>832.8</v>
      </c>
      <c r="G31" s="407">
        <f>+'q34'!$F$6</f>
        <v>850.4</v>
      </c>
      <c r="H31" s="407">
        <f>+'q34'!$G$6</f>
        <v>896.43</v>
      </c>
      <c r="I31" s="407">
        <f>+'q34'!$H$6</f>
        <v>945.56</v>
      </c>
      <c r="J31" s="407">
        <f>+'q34'!$I$6</f>
        <v>949.69</v>
      </c>
      <c r="K31" s="407">
        <f>+'q34'!$J$6</f>
        <v>1011.43</v>
      </c>
      <c r="L31" s="407">
        <f>+'q34'!$K$6</f>
        <v>1058.3699999999999</v>
      </c>
      <c r="M31" s="407">
        <f>+'q34'!$L$6</f>
        <v>1125.73</v>
      </c>
      <c r="N31" s="407">
        <f>+'q34'!$M$6</f>
        <v>1210.1300000000001</v>
      </c>
      <c r="R31" s="383"/>
      <c r="S31" s="407"/>
      <c r="T31" s="407"/>
      <c r="U31" s="407"/>
      <c r="V31" s="407"/>
      <c r="W31" s="407"/>
      <c r="X31" s="407"/>
      <c r="Y31" s="407"/>
      <c r="Z31" s="407"/>
      <c r="AA31" s="407"/>
      <c r="AB31" s="407"/>
      <c r="AC31" s="407"/>
      <c r="BU31" s="383"/>
      <c r="BV31" s="500"/>
      <c r="BW31" s="500"/>
      <c r="BX31" s="500"/>
      <c r="BY31" s="500"/>
      <c r="BZ31" s="500"/>
      <c r="CA31" s="500"/>
      <c r="CB31" s="500"/>
      <c r="CC31" s="500"/>
      <c r="CD31" s="500"/>
      <c r="CE31" s="500"/>
      <c r="CF31" s="500"/>
    </row>
    <row r="32" spans="1:84">
      <c r="A32" s="383"/>
      <c r="B32" t="str">
        <f>+'q34'!$A$7</f>
        <v>B</v>
      </c>
      <c r="C32" t="str">
        <f>+'q34'!$B$7</f>
        <v>Indústrias extrativas</v>
      </c>
      <c r="D32" s="407">
        <f>+'q34'!$C$7</f>
        <v>1253.19</v>
      </c>
      <c r="E32" s="407">
        <f>+'q34'!$D$7</f>
        <v>1254.1099999999999</v>
      </c>
      <c r="F32" s="407">
        <f>+'q34'!$E$7</f>
        <v>1286.78</v>
      </c>
      <c r="G32" s="407">
        <f>+'q34'!$F$7</f>
        <v>1296.04</v>
      </c>
      <c r="H32" s="407">
        <f>+'q34'!$G$7</f>
        <v>1403.23</v>
      </c>
      <c r="I32" s="407">
        <f>+'q34'!$H$7</f>
        <v>1459.11</v>
      </c>
      <c r="J32" s="407">
        <f>+'q34'!$I$7</f>
        <v>1500.09</v>
      </c>
      <c r="K32" s="407">
        <f>+'q34'!$J$7</f>
        <v>1596.03</v>
      </c>
      <c r="L32" s="407">
        <f>+'q34'!$K$7</f>
        <v>1702.24</v>
      </c>
      <c r="M32" s="407">
        <f>+'q34'!$L$7</f>
        <v>1969.8</v>
      </c>
      <c r="N32" s="407">
        <f>+'q34'!$M$7</f>
        <v>2021.23</v>
      </c>
      <c r="R32" s="383"/>
      <c r="S32" s="407"/>
      <c r="T32" s="407"/>
      <c r="U32" s="407"/>
      <c r="V32" s="407"/>
      <c r="W32" s="407"/>
      <c r="X32" s="407"/>
      <c r="Y32" s="407"/>
      <c r="Z32" s="407"/>
      <c r="AA32" s="407"/>
      <c r="AB32" s="407"/>
      <c r="AC32" s="407"/>
      <c r="BU32" s="383"/>
      <c r="BV32" s="500"/>
      <c r="BW32" s="500"/>
      <c r="BX32" s="500"/>
      <c r="BY32" s="500"/>
      <c r="BZ32" s="500"/>
      <c r="CA32" s="500"/>
      <c r="CB32" s="500"/>
      <c r="CC32" s="500"/>
      <c r="CD32" s="500"/>
      <c r="CE32" s="500"/>
      <c r="CF32" s="500"/>
    </row>
    <row r="33" spans="1:84">
      <c r="A33" s="383"/>
      <c r="B33" t="str">
        <f>+'q34'!$A$8</f>
        <v>C</v>
      </c>
      <c r="C33" t="str">
        <f>+'q34'!$B$8</f>
        <v>Indústrias transformadoras</v>
      </c>
      <c r="D33" s="407">
        <f>+'q34'!$C$8</f>
        <v>1003.09</v>
      </c>
      <c r="E33" s="407">
        <f>+'q34'!$D$8</f>
        <v>1015.82</v>
      </c>
      <c r="F33" s="407">
        <f>+'q34'!$E$8</f>
        <v>1031.5999999999999</v>
      </c>
      <c r="G33" s="407">
        <f>+'q34'!$F$8</f>
        <v>1068.43</v>
      </c>
      <c r="H33" s="407">
        <f>+'q34'!$G$8</f>
        <v>1110.54</v>
      </c>
      <c r="I33" s="407">
        <f>+'q34'!$H$8</f>
        <v>1154.94</v>
      </c>
      <c r="J33" s="407">
        <f>+'q34'!$I$8</f>
        <v>1198.04</v>
      </c>
      <c r="K33" s="407">
        <f>+'q34'!$J$8</f>
        <v>1224.79</v>
      </c>
      <c r="L33" s="407">
        <f>+'q34'!$K$8</f>
        <v>1302.5899999999999</v>
      </c>
      <c r="M33" s="407">
        <f>+'q34'!$L$8</f>
        <v>1400.65</v>
      </c>
      <c r="N33" s="407">
        <f>+'q34'!$M$8</f>
        <v>1521.41</v>
      </c>
      <c r="R33" s="383"/>
      <c r="S33" s="407"/>
      <c r="T33" s="407"/>
      <c r="U33" s="407"/>
      <c r="V33" s="407"/>
      <c r="W33" s="407"/>
      <c r="X33" s="407"/>
      <c r="Y33" s="407"/>
      <c r="Z33" s="407"/>
      <c r="AA33" s="407"/>
      <c r="AB33" s="407"/>
      <c r="AC33" s="407"/>
      <c r="BU33" s="383"/>
      <c r="BV33" s="500"/>
      <c r="BW33" s="500"/>
      <c r="BX33" s="500"/>
      <c r="BY33" s="500"/>
      <c r="BZ33" s="500"/>
      <c r="CA33" s="500"/>
      <c r="CB33" s="500"/>
      <c r="CC33" s="500"/>
      <c r="CD33" s="500"/>
      <c r="CE33" s="500"/>
      <c r="CF33" s="500"/>
    </row>
    <row r="34" spans="1:84">
      <c r="A34" s="383"/>
      <c r="B34" t="str">
        <f>+'q34'!$A$33</f>
        <v>D</v>
      </c>
      <c r="C34" t="str">
        <f>+'q34'!$B$33</f>
        <v>Eletr., gás, ág. quente/fria e ar frio</v>
      </c>
      <c r="D34" s="407">
        <f>+'q34'!$C$33</f>
        <v>2899.03</v>
      </c>
      <c r="E34" s="407">
        <f>+'q34'!$D$33</f>
        <v>2923.78</v>
      </c>
      <c r="F34" s="407">
        <f>+'q34'!$E$33</f>
        <v>2941.6</v>
      </c>
      <c r="G34" s="407">
        <f>+'q34'!$F$33</f>
        <v>2914.67</v>
      </c>
      <c r="H34" s="407">
        <f>+'q34'!$G$33</f>
        <v>2948.55</v>
      </c>
      <c r="I34" s="407">
        <f>+'q34'!$H$33</f>
        <v>2904.2</v>
      </c>
      <c r="J34" s="407">
        <f>+'q34'!$I$33</f>
        <v>2956.05</v>
      </c>
      <c r="K34" s="407">
        <f>+'q34'!$J$33</f>
        <v>2965.84</v>
      </c>
      <c r="L34" s="407">
        <f>+'q34'!$K$33</f>
        <v>3040.89</v>
      </c>
      <c r="M34" s="407">
        <f>+'q34'!$L$33</f>
        <v>3171.51</v>
      </c>
      <c r="N34" s="407">
        <f>+'q34'!$M$33</f>
        <v>3320.85</v>
      </c>
      <c r="R34" s="383"/>
      <c r="S34" s="407"/>
      <c r="T34" s="407"/>
      <c r="U34" s="407"/>
      <c r="V34" s="407"/>
      <c r="W34" s="407"/>
      <c r="X34" s="407"/>
      <c r="Y34" s="407"/>
      <c r="Z34" s="407"/>
      <c r="AA34" s="407"/>
      <c r="AB34" s="407"/>
      <c r="AC34" s="407"/>
      <c r="BU34" s="383"/>
      <c r="BV34" s="500"/>
      <c r="BW34" s="500"/>
      <c r="BX34" s="500"/>
      <c r="BY34" s="500"/>
      <c r="BZ34" s="500"/>
      <c r="CA34" s="500"/>
      <c r="CB34" s="500"/>
      <c r="CC34" s="500"/>
      <c r="CD34" s="500"/>
      <c r="CE34" s="500"/>
      <c r="CF34" s="500"/>
    </row>
    <row r="35" spans="1:84">
      <c r="A35" s="383"/>
      <c r="B35" t="str">
        <f>+'q34'!$A$34</f>
        <v>E</v>
      </c>
      <c r="C35" t="str">
        <f>+'q34'!$B$34</f>
        <v>Capt., trat. e d. água; san., resíd.</v>
      </c>
      <c r="D35" s="407">
        <f>+'q34'!$C$34</f>
        <v>1091.92</v>
      </c>
      <c r="E35" s="407">
        <f>+'q34'!$D$34</f>
        <v>1102.67</v>
      </c>
      <c r="F35" s="407">
        <f>+'q34'!$E$34</f>
        <v>1092.5</v>
      </c>
      <c r="G35" s="407">
        <f>+'q34'!$F$34</f>
        <v>1108.54</v>
      </c>
      <c r="H35" s="407">
        <f>+'q34'!$G$34</f>
        <v>1150.68</v>
      </c>
      <c r="I35" s="407">
        <f>+'q34'!$H$34</f>
        <v>1174.83</v>
      </c>
      <c r="J35" s="407">
        <f>+'q34'!$I$34</f>
        <v>1204.9000000000001</v>
      </c>
      <c r="K35" s="407">
        <f>+'q34'!$J$34</f>
        <v>1227.3</v>
      </c>
      <c r="L35" s="407">
        <f>+'q34'!$K$34</f>
        <v>1275.54</v>
      </c>
      <c r="M35" s="407">
        <f>+'q34'!$L$34</f>
        <v>1387.57</v>
      </c>
      <c r="N35" s="407">
        <f>+'q34'!$M$34</f>
        <v>1478.52</v>
      </c>
      <c r="BU35" s="383"/>
      <c r="BV35" s="500"/>
      <c r="BW35" s="383"/>
      <c r="BX35" s="500"/>
      <c r="BY35" s="500"/>
      <c r="BZ35" s="500"/>
      <c r="CA35" s="500"/>
      <c r="CB35" s="500"/>
      <c r="CC35" s="500"/>
      <c r="CD35" s="500"/>
      <c r="CE35" s="500"/>
      <c r="CF35" s="500"/>
    </row>
    <row r="36" spans="1:84">
      <c r="A36" s="383"/>
      <c r="B36" t="str">
        <f>+'q34'!$A$35</f>
        <v>F</v>
      </c>
      <c r="C36" t="str">
        <f>+'q34'!$B$35</f>
        <v>Construção</v>
      </c>
      <c r="D36" s="407">
        <f>+'q34'!$C$35</f>
        <v>962.23</v>
      </c>
      <c r="E36" s="407">
        <f>+'q34'!$D$35</f>
        <v>958.61</v>
      </c>
      <c r="F36" s="407">
        <f>+'q34'!$E$35</f>
        <v>955.52</v>
      </c>
      <c r="G36" s="407">
        <f>+'q34'!$F$35</f>
        <v>967.03</v>
      </c>
      <c r="H36" s="407">
        <f>+'q34'!$G$35</f>
        <v>993.18</v>
      </c>
      <c r="I36" s="407">
        <f>+'q34'!$H$35</f>
        <v>1025</v>
      </c>
      <c r="J36" s="407">
        <f>+'q34'!$I$35</f>
        <v>1042.3699999999999</v>
      </c>
      <c r="K36" s="407">
        <f>+'q34'!$J$35</f>
        <v>1103.17</v>
      </c>
      <c r="L36" s="407">
        <f>+'q34'!$K$35</f>
        <v>1149.6099999999999</v>
      </c>
      <c r="M36" s="407">
        <f>+'q34'!$L$35</f>
        <v>1231.28</v>
      </c>
      <c r="N36" s="407">
        <f>+'q34'!$M$35</f>
        <v>1336.73</v>
      </c>
    </row>
    <row r="37" spans="1:84" ht="12.75" customHeight="1">
      <c r="A37" s="383"/>
      <c r="B37" t="str">
        <f>+'q34'!$A$36</f>
        <v>G</v>
      </c>
      <c r="C37" t="str">
        <f>+'q34'!$B$36</f>
        <v>Com. grosso e ret.; r.v.aut./moto.</v>
      </c>
      <c r="D37" s="407">
        <f>+'q34'!$C$36</f>
        <v>1014.14</v>
      </c>
      <c r="E37" s="407">
        <f>+'q34'!$D$36</f>
        <v>1022.01</v>
      </c>
      <c r="F37" s="407">
        <f>+'q34'!$E$36</f>
        <v>1039.55</v>
      </c>
      <c r="G37" s="407">
        <f>+'q34'!$F$36</f>
        <v>1066.6400000000001</v>
      </c>
      <c r="H37" s="407">
        <f>+'q34'!$G$36</f>
        <v>1099.03</v>
      </c>
      <c r="I37" s="407">
        <f>+'q34'!$H$36</f>
        <v>1140.32</v>
      </c>
      <c r="J37" s="407">
        <f>+'q34'!$I$36</f>
        <v>1176.33</v>
      </c>
      <c r="K37" s="407">
        <f>+'q34'!$J$36</f>
        <v>1224.17</v>
      </c>
      <c r="L37" s="407">
        <f>+'q34'!$K$36</f>
        <v>1280.54</v>
      </c>
      <c r="M37" s="407">
        <f>+'q34'!$L$36</f>
        <v>1373.91</v>
      </c>
      <c r="N37" s="407">
        <f>+'q34'!$M$36</f>
        <v>1471.31</v>
      </c>
      <c r="BU37" s="384" t="s">
        <v>392</v>
      </c>
      <c r="BZ37" s="402" t="str">
        <f>CONCATENATE("Remunerações - ",BU38,BV38,CHAR(10),BU39," ",BV40,BU41,BV42,BU43,BU44,BU45," ",BV46,BU47,BU48,BU49,CHAR(10),BU50," ",BV51,BU52,BV53,BU54,BU55,BU56," ",BV57,BU58,BU59,BU60)</f>
        <v>Remunerações - 2024:
Base Mulheres = 88,0% da dos Homens (H), entre 85,8% da dos H (Grandes) e 92,3% da dos H (Micro).
Ganho Mulheres = 85,4% da dos H, entre 83,4% da dos H (Médios) e 91,8% da dos H (Micro).</v>
      </c>
      <c r="CA37" s="402"/>
      <c r="CB37" s="402"/>
      <c r="CC37" s="402"/>
      <c r="CD37" s="402"/>
      <c r="CE37" s="402"/>
    </row>
    <row r="38" spans="1:84">
      <c r="A38" s="383"/>
      <c r="B38" t="str">
        <f>+'q34'!$A$37</f>
        <v>H</v>
      </c>
      <c r="C38" t="str">
        <f>+'q34'!$B$37</f>
        <v>Transportes e armazenagem</v>
      </c>
      <c r="D38" s="407">
        <f>+'q34'!$C$37</f>
        <v>1335.45</v>
      </c>
      <c r="E38" s="407">
        <f>+'q34'!$D$37</f>
        <v>1342.5</v>
      </c>
      <c r="F38" s="407">
        <f>+'q34'!$E$37</f>
        <v>1359.02</v>
      </c>
      <c r="G38" s="407">
        <f>+'q34'!$F$37</f>
        <v>1384.77</v>
      </c>
      <c r="H38" s="407">
        <f>+'q34'!$G$37</f>
        <v>1425.95</v>
      </c>
      <c r="I38" s="407">
        <f>+'q34'!$H$37</f>
        <v>1489.52</v>
      </c>
      <c r="J38" s="407">
        <f>+'q34'!$I$37</f>
        <v>1418.68</v>
      </c>
      <c r="K38" s="407">
        <f>+'q34'!$J$37</f>
        <v>1463.67</v>
      </c>
      <c r="L38" s="407">
        <f>+'q34'!$K$37</f>
        <v>1651.37</v>
      </c>
      <c r="M38" s="407">
        <f>+'q34'!$L$37</f>
        <v>1761.67</v>
      </c>
      <c r="N38" s="407">
        <f>+'q34'!$M$37</f>
        <v>1856.48</v>
      </c>
      <c r="P38" s="383"/>
      <c r="BU38">
        <f>+$BK$19</f>
        <v>2024</v>
      </c>
      <c r="BV38" s="383" t="s">
        <v>398</v>
      </c>
      <c r="BZ38" s="402"/>
      <c r="CA38" s="402"/>
      <c r="CB38" s="402"/>
      <c r="CC38" s="402"/>
      <c r="CD38" s="402"/>
      <c r="CE38" s="402"/>
    </row>
    <row r="39" spans="1:84">
      <c r="A39" s="383"/>
      <c r="B39" t="str">
        <f>+'q34'!$A$38</f>
        <v>I</v>
      </c>
      <c r="C39" t="str">
        <f>+'q34'!$B$38</f>
        <v>Alojamento, restauração e sim.</v>
      </c>
      <c r="D39" s="407">
        <f>+'q34'!$C$38</f>
        <v>734.04</v>
      </c>
      <c r="E39" s="407">
        <f>+'q34'!$D$38</f>
        <v>736.8</v>
      </c>
      <c r="F39" s="407">
        <f>+'q34'!$E$38</f>
        <v>758.99</v>
      </c>
      <c r="G39" s="407">
        <f>+'q34'!$F$38</f>
        <v>788.29</v>
      </c>
      <c r="H39" s="407">
        <f>+'q34'!$G$38</f>
        <v>820.22</v>
      </c>
      <c r="I39" s="407">
        <f>+'q34'!$H$38</f>
        <v>851.31</v>
      </c>
      <c r="J39" s="407">
        <f>+'q34'!$I$38</f>
        <v>858.93</v>
      </c>
      <c r="K39" s="407">
        <f>+'q34'!$J$38</f>
        <v>913.66</v>
      </c>
      <c r="L39" s="407">
        <f>+'q34'!$K$38</f>
        <v>977.82</v>
      </c>
      <c r="M39" s="407">
        <f>+'q34'!$L$38</f>
        <v>1046.9100000000001</v>
      </c>
      <c r="N39" s="407">
        <f>+'q34'!$M$38</f>
        <v>1125.3499999999999</v>
      </c>
      <c r="Q39" s="492"/>
      <c r="R39" s="383"/>
      <c r="BS39" s="383" t="s">
        <v>395</v>
      </c>
      <c r="BU39" s="383" t="s">
        <v>402</v>
      </c>
      <c r="BZ39" s="402"/>
      <c r="CA39" s="402"/>
      <c r="CB39" s="402"/>
      <c r="CC39" s="402"/>
      <c r="CD39" s="402"/>
      <c r="CE39" s="402"/>
    </row>
    <row r="40" spans="1:84">
      <c r="A40" s="383"/>
      <c r="B40" t="str">
        <f>+'q34'!$A$39</f>
        <v>J</v>
      </c>
      <c r="C40" t="str">
        <f>+'q34'!$B$39</f>
        <v xml:space="preserve">Ativ. Inform. e de comunicação </v>
      </c>
      <c r="D40" s="407">
        <f>+'q34'!$C$39</f>
        <v>1779.88</v>
      </c>
      <c r="E40" s="407">
        <f>+'q34'!$D$39</f>
        <v>1770.68</v>
      </c>
      <c r="F40" s="407">
        <f>+'q34'!$E$39</f>
        <v>1797.94</v>
      </c>
      <c r="G40" s="407">
        <f>+'q34'!$F$39</f>
        <v>1808.57</v>
      </c>
      <c r="H40" s="407">
        <f>+'q34'!$G$39</f>
        <v>1867.06</v>
      </c>
      <c r="I40" s="407">
        <f>+'q34'!$H$39</f>
        <v>1919.57</v>
      </c>
      <c r="J40" s="407">
        <f>+'q34'!$I$39</f>
        <v>1970.06</v>
      </c>
      <c r="K40" s="407">
        <f>+'q34'!$J$39</f>
        <v>2046.09</v>
      </c>
      <c r="L40" s="407">
        <f>+'q34'!$K$39</f>
        <v>2222.2600000000002</v>
      </c>
      <c r="M40" s="407">
        <f>+'q34'!$L$39</f>
        <v>2360.1999999999998</v>
      </c>
      <c r="N40" s="407">
        <f>+'q34'!$M$39</f>
        <v>2565.69</v>
      </c>
      <c r="Q40" s="492"/>
      <c r="R40" s="383"/>
      <c r="BS40">
        <f>COLUMN(BS21)</f>
        <v>71</v>
      </c>
      <c r="BU40" s="487">
        <f>+$BQ$25</f>
        <v>88</v>
      </c>
      <c r="BV40" t="str">
        <f>+TEXT(BU40,"##.###,0")</f>
        <v>88,0</v>
      </c>
      <c r="BZ40" s="402"/>
      <c r="CA40" s="402"/>
      <c r="CB40" s="402"/>
      <c r="CC40" s="402"/>
      <c r="CD40" s="402"/>
      <c r="CE40" s="402"/>
    </row>
    <row r="41" spans="1:84">
      <c r="A41" s="383"/>
      <c r="B41" t="str">
        <f>+'q34'!$A$40</f>
        <v>K</v>
      </c>
      <c r="C41" t="str">
        <f>+'q34'!$B$40</f>
        <v>Ativ. financeiras e de seguros</v>
      </c>
      <c r="D41" s="407">
        <f>+'q34'!$C$40</f>
        <v>2312.4899999999998</v>
      </c>
      <c r="E41" s="407">
        <f>+'q34'!$D$40</f>
        <v>2302.13</v>
      </c>
      <c r="F41" s="407">
        <f>+'q34'!$E$40</f>
        <v>2313.46</v>
      </c>
      <c r="G41" s="407">
        <f>+'q34'!$F$40</f>
        <v>2305.21</v>
      </c>
      <c r="H41" s="407">
        <f>+'q34'!$G$40</f>
        <v>2321.41</v>
      </c>
      <c r="I41" s="407">
        <f>+'q34'!$H$40</f>
        <v>2330.36</v>
      </c>
      <c r="J41" s="407">
        <f>+'q34'!$I$40</f>
        <v>2366.37</v>
      </c>
      <c r="K41" s="407">
        <f>+'q34'!$J$40</f>
        <v>2374.41</v>
      </c>
      <c r="L41" s="407">
        <f>+'q34'!$K$40</f>
        <v>2429.02</v>
      </c>
      <c r="M41" s="407">
        <f>+'q34'!$L$40</f>
        <v>2579.31</v>
      </c>
      <c r="N41" s="407">
        <f>+'q34'!$M$40</f>
        <v>2718.01</v>
      </c>
      <c r="Q41" s="492"/>
      <c r="R41" s="383"/>
      <c r="BS41" t="str">
        <f>VLOOKUP(BU42,BQ20:BS25,COLUMN(BS20)-68,0)</f>
        <v>Grandes</v>
      </c>
      <c r="BU41" s="383" t="s">
        <v>399</v>
      </c>
      <c r="BZ41" s="402"/>
      <c r="CA41" s="402"/>
      <c r="CB41" s="402"/>
      <c r="CC41" s="402"/>
      <c r="CD41" s="402"/>
      <c r="CE41" s="402"/>
    </row>
    <row r="42" spans="1:84">
      <c r="A42" s="383"/>
      <c r="B42" t="str">
        <f>+'q34'!$A$41</f>
        <v>L</v>
      </c>
      <c r="C42" t="str">
        <f>+'q34'!$B$41</f>
        <v>Atividades imobiliárias</v>
      </c>
      <c r="D42" s="407">
        <f>+'q34'!$C$41</f>
        <v>1087.28</v>
      </c>
      <c r="E42" s="407">
        <f>+'q34'!$D$41</f>
        <v>1080.53</v>
      </c>
      <c r="F42" s="407">
        <f>+'q34'!$E$41</f>
        <v>1101.57</v>
      </c>
      <c r="G42" s="407">
        <f>+'q34'!$F$41</f>
        <v>1115</v>
      </c>
      <c r="H42" s="407">
        <f>+'q34'!$G$41</f>
        <v>1148.17</v>
      </c>
      <c r="I42" s="407">
        <f>+'q34'!$H$41</f>
        <v>1193.98</v>
      </c>
      <c r="J42" s="407">
        <f>+'q34'!$I$41</f>
        <v>1237.47</v>
      </c>
      <c r="K42" s="407">
        <f>+'q34'!$J$41</f>
        <v>1277.49</v>
      </c>
      <c r="L42" s="407">
        <f>+'q34'!$K$41</f>
        <v>1343.29</v>
      </c>
      <c r="M42" s="407">
        <f>+'q34'!$L$41</f>
        <v>1449.6</v>
      </c>
      <c r="N42" s="407">
        <f>+'q34'!$M$41</f>
        <v>1535.49</v>
      </c>
      <c r="Q42" s="492"/>
      <c r="R42" s="383"/>
      <c r="BU42">
        <f>+SMALL($BQ$21:$BQ$24,1)</f>
        <v>85.8</v>
      </c>
      <c r="BV42" t="str">
        <f>+TEXT(BU42,"##.###,0")</f>
        <v>85,8</v>
      </c>
      <c r="BZ42" s="402"/>
      <c r="CA42" s="402"/>
      <c r="CB42" s="402"/>
      <c r="CC42" s="402"/>
      <c r="CD42" s="402"/>
      <c r="CE42" s="402"/>
    </row>
    <row r="43" spans="1:84">
      <c r="A43" s="383"/>
      <c r="B43" t="str">
        <f>+'q34'!$A$42</f>
        <v>M</v>
      </c>
      <c r="C43" t="str">
        <f>+'q34'!$B$42</f>
        <v>Ativ. consultoria, cient.,téc. e sim.</v>
      </c>
      <c r="D43" s="407">
        <f>+'q34'!$C$42</f>
        <v>1347.85</v>
      </c>
      <c r="E43" s="407">
        <f>+'q34'!$D$42</f>
        <v>1352.56</v>
      </c>
      <c r="F43" s="407">
        <f>+'q34'!$E$42</f>
        <v>1358.58</v>
      </c>
      <c r="G43" s="407">
        <f>+'q34'!$F$42</f>
        <v>1414.09</v>
      </c>
      <c r="H43" s="407">
        <f>+'q34'!$G$42</f>
        <v>1446.18</v>
      </c>
      <c r="I43" s="407">
        <f>+'q34'!$H$42</f>
        <v>1498.25</v>
      </c>
      <c r="J43" s="407">
        <f>+'q34'!$I$42</f>
        <v>1543.35</v>
      </c>
      <c r="K43" s="407">
        <f>+'q34'!$J$42</f>
        <v>1612.77</v>
      </c>
      <c r="L43" s="407">
        <f>+'q34'!$K$42</f>
        <v>1708.75</v>
      </c>
      <c r="M43" s="407">
        <f>+'q34'!$L$42</f>
        <v>1854.12</v>
      </c>
      <c r="N43" s="407">
        <f>+'q34'!$M$42</f>
        <v>1980.2</v>
      </c>
      <c r="Q43" s="492"/>
      <c r="R43" s="383"/>
      <c r="BU43" s="383" t="s">
        <v>400</v>
      </c>
      <c r="BZ43" s="402"/>
      <c r="CA43" s="402"/>
      <c r="CB43" s="402"/>
      <c r="CC43" s="402"/>
      <c r="CD43" s="402"/>
      <c r="CE43" s="402"/>
    </row>
    <row r="44" spans="1:84">
      <c r="A44" s="383"/>
      <c r="B44" t="str">
        <f>+'q34'!$A$43</f>
        <v>N</v>
      </c>
      <c r="C44" t="str">
        <f>+'q34'!$B$43</f>
        <v>Ativ. Adm. e serviços de apoio</v>
      </c>
      <c r="D44" s="407">
        <f>+'q34'!$C$43</f>
        <v>915.77</v>
      </c>
      <c r="E44" s="407">
        <f>+'q34'!$D$43</f>
        <v>909.36</v>
      </c>
      <c r="F44" s="407">
        <f>+'q34'!$E$43</f>
        <v>915.81</v>
      </c>
      <c r="G44" s="407">
        <f>+'q34'!$F$43</f>
        <v>940.16</v>
      </c>
      <c r="H44" s="407">
        <f>+'q34'!$G$43</f>
        <v>974.19</v>
      </c>
      <c r="I44" s="407">
        <f>+'q34'!$H$43</f>
        <v>1006.82</v>
      </c>
      <c r="J44" s="407">
        <f>+'q34'!$I$43</f>
        <v>1032.8800000000001</v>
      </c>
      <c r="K44" s="407">
        <f>+'q34'!$J$43</f>
        <v>1086.1400000000001</v>
      </c>
      <c r="L44" s="407">
        <f>+'q34'!$K$43</f>
        <v>1156.51</v>
      </c>
      <c r="M44" s="407">
        <f>+'q34'!$L$43</f>
        <v>1263.92</v>
      </c>
      <c r="N44" s="407">
        <f>+'q34'!$M$43</f>
        <v>1367.59</v>
      </c>
      <c r="Q44" s="492"/>
      <c r="R44" s="383"/>
      <c r="BU44" t="str">
        <f>VLOOKUP($BU$42,$BQ$20:$BS$25,COLUMN(BS$20)-68,0)</f>
        <v>Grandes</v>
      </c>
    </row>
    <row r="45" spans="1:84">
      <c r="A45" s="383"/>
      <c r="B45" t="str">
        <f>+'q34'!$A$44</f>
        <v>O</v>
      </c>
      <c r="C45" t="str">
        <f>+'q34'!$B$44</f>
        <v xml:space="preserve">Adm. Púb. e defesa; seg. social </v>
      </c>
      <c r="D45" s="407">
        <f>+'q34'!$C$44</f>
        <v>1049.32</v>
      </c>
      <c r="E45" s="407">
        <f>+'q34'!$D$44</f>
        <v>1055.0899999999999</v>
      </c>
      <c r="F45" s="407">
        <f>+'q34'!$E$44</f>
        <v>1031.68</v>
      </c>
      <c r="G45" s="407">
        <f>+'q34'!$F$44</f>
        <v>1056.22</v>
      </c>
      <c r="H45" s="407">
        <f>+'q34'!$G$44</f>
        <v>1099.5999999999999</v>
      </c>
      <c r="I45" s="407">
        <f>+'q34'!$H$44</f>
        <v>1161.46</v>
      </c>
      <c r="J45" s="407">
        <f>+'q34'!$I$44</f>
        <v>1222.78</v>
      </c>
      <c r="K45" s="407">
        <f>+'q34'!$J$44</f>
        <v>1269.25</v>
      </c>
      <c r="L45" s="407">
        <f>+'q34'!$K$44</f>
        <v>1293.6300000000001</v>
      </c>
      <c r="M45" s="407">
        <f>+'q34'!$L$44</f>
        <v>1386.73</v>
      </c>
      <c r="N45" s="407">
        <f>+'q34'!$M$44</f>
        <v>1479.67</v>
      </c>
      <c r="Q45" s="492"/>
      <c r="R45" s="383"/>
      <c r="BU45" s="383" t="s">
        <v>396</v>
      </c>
    </row>
    <row r="46" spans="1:84">
      <c r="A46" s="383"/>
      <c r="B46" t="str">
        <f>+'q34'!$A$45</f>
        <v>P</v>
      </c>
      <c r="C46" t="str">
        <f>+'q34'!$B$45</f>
        <v>Educação</v>
      </c>
      <c r="D46" s="407">
        <f>+'q34'!$C$45</f>
        <v>1224.42</v>
      </c>
      <c r="E46" s="407">
        <f>+'q34'!$D$45</f>
        <v>1215.92</v>
      </c>
      <c r="F46" s="407">
        <f>+'q34'!$E$45</f>
        <v>1218.18</v>
      </c>
      <c r="G46" s="407">
        <f>+'q34'!$F$45</f>
        <v>1243.1300000000001</v>
      </c>
      <c r="H46" s="407">
        <f>+'q34'!$G$45</f>
        <v>1272.3900000000001</v>
      </c>
      <c r="I46" s="407">
        <f>+'q34'!$H$45</f>
        <v>1336.35</v>
      </c>
      <c r="J46" s="407">
        <f>+'q34'!$I$45</f>
        <v>1375.08</v>
      </c>
      <c r="K46" s="407">
        <f>+'q34'!$J$45</f>
        <v>1415.08</v>
      </c>
      <c r="L46" s="407">
        <f>+'q34'!$K$45</f>
        <v>1477.62</v>
      </c>
      <c r="M46" s="407">
        <f>+'q34'!$L$45</f>
        <v>1587.99</v>
      </c>
      <c r="N46" s="407">
        <f>+'q34'!$M$45</f>
        <v>1682.54</v>
      </c>
      <c r="Q46" s="492"/>
      <c r="R46" s="383"/>
      <c r="BU46">
        <f>+LARGE($BQ$21:$BQ$24,1)</f>
        <v>92.3</v>
      </c>
      <c r="BV46" t="str">
        <f>+TEXT(BU46,"##.###,0")</f>
        <v>92,3</v>
      </c>
    </row>
    <row r="47" spans="1:84">
      <c r="A47" s="383"/>
      <c r="B47" t="str">
        <f>+'q34'!$A$46</f>
        <v>Q</v>
      </c>
      <c r="C47" t="str">
        <f>+'q34'!$B$46</f>
        <v>Ativ. saúde humana e apoio social</v>
      </c>
      <c r="D47" s="407">
        <f>+'q34'!$C$46</f>
        <v>941.14</v>
      </c>
      <c r="E47" s="407">
        <f>+'q34'!$D$46</f>
        <v>957.95</v>
      </c>
      <c r="F47" s="407">
        <f>+'q34'!$E$46</f>
        <v>977.41</v>
      </c>
      <c r="G47" s="407">
        <f>+'q34'!$F$46</f>
        <v>1008.97</v>
      </c>
      <c r="H47" s="407">
        <f>+'q34'!$G$46</f>
        <v>1045.1199999999999</v>
      </c>
      <c r="I47" s="407">
        <f>+'q34'!$H$46</f>
        <v>1088.3399999999999</v>
      </c>
      <c r="J47" s="407">
        <f>+'q34'!$I$46</f>
        <v>1112.49</v>
      </c>
      <c r="K47" s="407">
        <f>+'q34'!$J$46</f>
        <v>1148.8</v>
      </c>
      <c r="L47" s="407">
        <f>+'q34'!$K$46</f>
        <v>1186.79</v>
      </c>
      <c r="M47" s="407">
        <f>+'q34'!$L$46</f>
        <v>1250.5999999999999</v>
      </c>
      <c r="N47" s="407">
        <f>+'q34'!$M$46</f>
        <v>1396.03</v>
      </c>
      <c r="BU47" s="383" t="s">
        <v>400</v>
      </c>
    </row>
    <row r="48" spans="1:84">
      <c r="A48" s="383"/>
      <c r="B48" t="str">
        <f>+'q34'!$A$47</f>
        <v>R</v>
      </c>
      <c r="C48" t="str">
        <f>+'q34'!$B$47</f>
        <v>Ativ. artíst., espet., desp. e recr.</v>
      </c>
      <c r="D48" s="407">
        <f>+'q34'!$C$47</f>
        <v>1556.9</v>
      </c>
      <c r="E48" s="407">
        <f>+'q34'!$D$47</f>
        <v>1683.9</v>
      </c>
      <c r="F48" s="407">
        <f>+'q34'!$E$47</f>
        <v>1710.96</v>
      </c>
      <c r="G48" s="407">
        <f>+'q34'!$F$47</f>
        <v>1798.97</v>
      </c>
      <c r="H48" s="407">
        <f>+'q34'!$G$47</f>
        <v>1800.76</v>
      </c>
      <c r="I48" s="407">
        <f>+'q34'!$H$47</f>
        <v>1856.55</v>
      </c>
      <c r="J48" s="407">
        <f>+'q34'!$I$47</f>
        <v>2043.82</v>
      </c>
      <c r="K48" s="407">
        <f>+'q34'!$J$47</f>
        <v>1981.67</v>
      </c>
      <c r="L48" s="407">
        <f>+'q34'!$K$47</f>
        <v>2006.93</v>
      </c>
      <c r="M48" s="407">
        <f>+'q34'!$L$47</f>
        <v>2131.9699999999998</v>
      </c>
      <c r="N48" s="407">
        <f>+'q34'!$M$47</f>
        <v>2222.9899999999998</v>
      </c>
      <c r="BU48" t="str">
        <f>VLOOKUP($BU$46,$BQ$20:$BS$24,COLUMN(BS$20)-68,0)</f>
        <v>Micro</v>
      </c>
    </row>
    <row r="49" spans="1:74">
      <c r="A49" s="383"/>
      <c r="B49" t="str">
        <f>+'q34'!$A$48</f>
        <v>S</v>
      </c>
      <c r="C49" t="str">
        <f>+'q34'!$B$48</f>
        <v>Outras atividades de serviços</v>
      </c>
      <c r="D49" s="407">
        <f>+'q34'!$C$48</f>
        <v>957.11</v>
      </c>
      <c r="E49" s="407">
        <f>+'q34'!$D$48</f>
        <v>956.51</v>
      </c>
      <c r="F49" s="407">
        <f>+'q34'!$E$48</f>
        <v>964.7</v>
      </c>
      <c r="G49" s="407">
        <f>+'q34'!$F$48</f>
        <v>994.49</v>
      </c>
      <c r="H49" s="407">
        <f>+'q34'!$G$48</f>
        <v>1024</v>
      </c>
      <c r="I49" s="407">
        <f>+'q34'!$H$48</f>
        <v>1057.8699999999999</v>
      </c>
      <c r="J49" s="407">
        <f>+'q34'!$I$48</f>
        <v>1115.8800000000001</v>
      </c>
      <c r="K49" s="407">
        <f>+'q34'!$J$48</f>
        <v>1140.2</v>
      </c>
      <c r="L49" s="407">
        <f>+'q34'!$K$48</f>
        <v>1185.8599999999999</v>
      </c>
      <c r="M49" s="407">
        <f>+'q34'!$L$48</f>
        <v>1259.4000000000001</v>
      </c>
      <c r="N49" s="407">
        <f>+'q34'!$M$48</f>
        <v>1356.2</v>
      </c>
      <c r="BU49" s="383" t="s">
        <v>397</v>
      </c>
    </row>
    <row r="50" spans="1:74">
      <c r="A50" s="383"/>
      <c r="B50" t="str">
        <f>+'q34'!$A$49</f>
        <v>U</v>
      </c>
      <c r="C50" t="str">
        <f>+'q34'!$B$49</f>
        <v>Ativ. org. int. e o. inst. extra-territ.</v>
      </c>
      <c r="D50" s="407">
        <f>+'q34'!$C$49</f>
        <v>1860.19</v>
      </c>
      <c r="E50" s="407">
        <f>+'q34'!$D$49</f>
        <v>2012.88</v>
      </c>
      <c r="F50" s="407">
        <f>+'q34'!$E$49</f>
        <v>2228.17</v>
      </c>
      <c r="G50" s="407">
        <f>+'q34'!$F$49</f>
        <v>2104.88</v>
      </c>
      <c r="H50" s="407">
        <f>+'q34'!$G$49</f>
        <v>2323.9899999999998</v>
      </c>
      <c r="I50" s="407">
        <f>+'q34'!$H$49</f>
        <v>2299.36</v>
      </c>
      <c r="J50" s="407">
        <f>+'q34'!$I$49</f>
        <v>2045.65</v>
      </c>
      <c r="K50" s="407">
        <f>+'q34'!$J$49</f>
        <v>1997.5</v>
      </c>
      <c r="L50" s="407">
        <f>+'q34'!$K$49</f>
        <v>3245.89</v>
      </c>
      <c r="M50" s="407">
        <f>+'q34'!$L$49</f>
        <v>3521.63</v>
      </c>
      <c r="N50" s="407">
        <f>+'q34'!$M$49</f>
        <v>3420.75</v>
      </c>
      <c r="Q50" s="382" t="s">
        <v>250</v>
      </c>
      <c r="S50" s="384">
        <f>+D6</f>
        <v>2014</v>
      </c>
      <c r="T50" s="384">
        <f t="shared" ref="T50:AC50" si="7">+E6</f>
        <v>2015</v>
      </c>
      <c r="U50" s="384">
        <f t="shared" si="7"/>
        <v>2016</v>
      </c>
      <c r="V50" s="384">
        <f t="shared" si="7"/>
        <v>2017</v>
      </c>
      <c r="W50" s="384">
        <f t="shared" si="7"/>
        <v>2018</v>
      </c>
      <c r="X50" s="384">
        <f t="shared" si="7"/>
        <v>2019</v>
      </c>
      <c r="Y50" s="384">
        <f t="shared" si="7"/>
        <v>2020</v>
      </c>
      <c r="Z50" s="384">
        <f t="shared" si="7"/>
        <v>2021</v>
      </c>
      <c r="AA50" s="384">
        <f t="shared" si="7"/>
        <v>2022</v>
      </c>
      <c r="AB50" s="384">
        <f t="shared" si="7"/>
        <v>2023</v>
      </c>
      <c r="AC50" s="384">
        <f t="shared" si="7"/>
        <v>2024</v>
      </c>
      <c r="BU50" s="383" t="s">
        <v>403</v>
      </c>
    </row>
    <row r="51" spans="1:74">
      <c r="A51" s="383"/>
      <c r="B51" s="410" t="s">
        <v>222</v>
      </c>
      <c r="C51" s="383"/>
      <c r="D51" s="407">
        <f>+(q35_Aux!$R$8+q35_Aux!$R$11)/(q14a!$C$8+q14a!$C$11)</f>
        <v>874.38436612750547</v>
      </c>
      <c r="E51" s="407">
        <f>+(q35_Aux!$S$8+q35_Aux!$S$11)/(q14a!$D$8+q14a!$D$11)</f>
        <v>869.12276441572385</v>
      </c>
      <c r="F51" s="407">
        <f>+(q35_Aux!$T$8+q35_Aux!$T$11)/(q14a!$E$8+q14a!$E$11)</f>
        <v>881.40512820235597</v>
      </c>
      <c r="G51" s="407">
        <f>+(q35_Aux!$U$8+q35_Aux!$U$11)/(q14a!$F$8+q14a!$F$11)</f>
        <v>903.93939883921951</v>
      </c>
      <c r="H51" s="407">
        <f>+(q35_Aux!$V$8+q35_Aux!$V$11)/(q14a!$G$8+q14a!$G$11)</f>
        <v>932.82112641795084</v>
      </c>
      <c r="I51" s="407">
        <f>+(q35_Aux!$W$8+q35_Aux!$W$11)/(q14a!$H$8+q14a!$H$11)</f>
        <v>964.9013625736294</v>
      </c>
      <c r="J51" s="407">
        <f>+(q35_Aux!$X$8+q35_Aux!$X$11)/(q14a!$I$8+q14a!$I$11)</f>
        <v>1001.2044941363545</v>
      </c>
      <c r="K51" s="407">
        <f>+(q35_Aux!$Y$8+q35_Aux!$Y$11)/(q14a!$J$8+q14a!$J$11)</f>
        <v>1038.1806040678803</v>
      </c>
      <c r="L51" s="407">
        <f>+(q35_Aux!$Z$8+q35_Aux!$Z$11)/(q14a!$K$8+q14a!$K$11)</f>
        <v>1089.2710386651693</v>
      </c>
      <c r="M51" s="407">
        <f>+(q35_Aux!$AA$8+q35_Aux!$AA$11)/(q14a!$L$8+q14a!$L$11)</f>
        <v>1172.1326870057369</v>
      </c>
      <c r="N51" s="407">
        <f>+(q35_Aux!$AB$8+q35_Aux!$AB$11)/(q14a!$M$8+q14a!$M$11)</f>
        <v>1260.3809432033565</v>
      </c>
      <c r="R51" s="383" t="str">
        <f>+B27</f>
        <v>Micro (1-9 pessoas)</v>
      </c>
      <c r="S51" s="407">
        <f>+D27</f>
        <v>743.20795656208907</v>
      </c>
      <c r="T51" s="407">
        <f t="shared" ref="T51:AB51" si="8">+E27</f>
        <v>741.78689645003453</v>
      </c>
      <c r="U51" s="407">
        <f t="shared" si="8"/>
        <v>755.94167163114048</v>
      </c>
      <c r="V51" s="407">
        <f t="shared" si="8"/>
        <v>774.65604370609594</v>
      </c>
      <c r="W51" s="407">
        <f t="shared" si="8"/>
        <v>798.65344060954112</v>
      </c>
      <c r="X51" s="407">
        <f t="shared" si="8"/>
        <v>825.58911691889443</v>
      </c>
      <c r="Y51" s="407">
        <f t="shared" si="8"/>
        <v>862.21451500695696</v>
      </c>
      <c r="Z51" s="407">
        <f t="shared" si="8"/>
        <v>898.02663930564074</v>
      </c>
      <c r="AA51" s="407">
        <f t="shared" si="8"/>
        <v>944.6909195144126</v>
      </c>
      <c r="AB51" s="407">
        <f t="shared" si="8"/>
        <v>1010.4312129193138</v>
      </c>
      <c r="AC51" s="407">
        <f>+N27</f>
        <v>1080.0451885767829</v>
      </c>
      <c r="AE51" s="407">
        <f>+(AC51/S51-1)*100</f>
        <v>45.322070228207224</v>
      </c>
      <c r="BU51" s="487">
        <f>+$BR$25</f>
        <v>85.4</v>
      </c>
      <c r="BV51" t="str">
        <f>+TEXT(BU51,"##.###,0")</f>
        <v>85,4</v>
      </c>
    </row>
    <row r="52" spans="1:74">
      <c r="A52" s="383"/>
      <c r="B52" s="410" t="s">
        <v>432</v>
      </c>
      <c r="C52" s="383"/>
      <c r="D52" s="407">
        <f>+(q35_Aux!$R$14+q35_Aux!$R$17)/(q14a!$C$14+q14a!$C$17)</f>
        <v>1037.6006240969584</v>
      </c>
      <c r="E52" s="407">
        <f>+(q35_Aux!$S$14+q35_Aux!$S$17)/(q14a!$D$14+q14a!$D$17)</f>
        <v>1035.1865874443888</v>
      </c>
      <c r="F52" s="407">
        <f>+(q35_Aux!$T$14+q35_Aux!$T$17)/(q14a!$E$14+q14a!$E$17)</f>
        <v>1040.5432494420013</v>
      </c>
      <c r="G52" s="407">
        <f>+(q35_Aux!$U$14+q35_Aux!$U$17)/(q14a!$F$14+q14a!$F$17)</f>
        <v>1062.0631016188092</v>
      </c>
      <c r="H52" s="407">
        <f>+(q35_Aux!$V$14+q35_Aux!$V$17)/(q14a!$G$14+q14a!$G$17)</f>
        <v>1092.2485129611412</v>
      </c>
      <c r="I52" s="407">
        <f>+(q35_Aux!$W$14+q35_Aux!$W$17)/(q14a!$H$14+q14a!$H$17)</f>
        <v>1126.8547486372413</v>
      </c>
      <c r="J52" s="407">
        <f>+(q35_Aux!$X$14+q35_Aux!$X$17)/(q14a!$I$14+q14a!$I$17)</f>
        <v>1172.4223622753868</v>
      </c>
      <c r="K52" s="407">
        <f>+(q35_Aux!$Y$14+q35_Aux!$Y$17)/(q14a!$J$14+q14a!$J$17)</f>
        <v>1208.4921346318265</v>
      </c>
      <c r="L52" s="407">
        <f>+(q35_Aux!$Z$14+q35_Aux!$Z$17)/(q14a!$K$14+q14a!$K$17)</f>
        <v>1261.8200779433143</v>
      </c>
      <c r="M52" s="407">
        <f>+(q35_Aux!$AA$14+q35_Aux!$AA$17)/(q14a!$L$14+q14a!$L$17)</f>
        <v>1353.931007657292</v>
      </c>
      <c r="N52" s="407">
        <f>+(q35_Aux!$AB$14+q35_Aux!$AB$17)/(q14a!$M$14+q14a!$M$17)</f>
        <v>1448.0976118612928</v>
      </c>
      <c r="Q52" s="402"/>
      <c r="R52" s="383" t="str">
        <f t="shared" ref="R52:R54" si="9">+B28</f>
        <v>Pequenos (10 - 49 pessoas)</v>
      </c>
      <c r="S52" s="407">
        <f t="shared" ref="S52:S54" si="10">+D28</f>
        <v>874.69302032816984</v>
      </c>
      <c r="T52" s="407">
        <f t="shared" ref="T52:T54" si="11">+E28</f>
        <v>874.77236221024111</v>
      </c>
      <c r="U52" s="407">
        <f t="shared" ref="U52:U54" si="12">+F28</f>
        <v>881.83878051639738</v>
      </c>
      <c r="V52" s="407">
        <f t="shared" ref="V52:V54" si="13">+G28</f>
        <v>895.9812325341743</v>
      </c>
      <c r="W52" s="407">
        <f t="shared" ref="W52:W54" si="14">+H28</f>
        <v>919.10627144533146</v>
      </c>
      <c r="X52" s="407">
        <f t="shared" ref="X52:X54" si="15">+I28</f>
        <v>947.21197629910625</v>
      </c>
      <c r="Y52" s="407">
        <f t="shared" ref="Y52:Y54" si="16">+J28</f>
        <v>989.29209724149632</v>
      </c>
      <c r="Z52" s="407">
        <f t="shared" ref="Z52:Z54" si="17">+K28</f>
        <v>1023.6176880858063</v>
      </c>
      <c r="AA52" s="407">
        <f t="shared" ref="AA52:AA54" si="18">+L28</f>
        <v>1069.3807933486928</v>
      </c>
      <c r="AB52" s="407">
        <f t="shared" ref="AB52:AC54" si="19">+M28</f>
        <v>1141.4113559330783</v>
      </c>
      <c r="AC52" s="407">
        <f t="shared" si="19"/>
        <v>1212.7913689942682</v>
      </c>
      <c r="AE52" s="407">
        <f t="shared" ref="AE52:AE54" si="20">+(AC52/S52-1)*100</f>
        <v>38.653372189851211</v>
      </c>
      <c r="BU52" s="383" t="s">
        <v>401</v>
      </c>
    </row>
    <row r="53" spans="1:74">
      <c r="A53" s="383"/>
      <c r="B53" s="410" t="s">
        <v>433</v>
      </c>
      <c r="C53" s="383"/>
      <c r="D53" s="407">
        <f>+(q35_Aux!$R$20+q35_Aux!$R$23+q35_Aux!$R$26+q35_Aux!$R$29)/(q14a!$C$20+q14a!$C$23+q14a!$C$26+q14a!$C$29)</f>
        <v>1248.6811036820754</v>
      </c>
      <c r="E53" s="407">
        <f>+(q35_Aux!$S$20+q35_Aux!$S$23+q35_Aux!$S$26+q35_Aux!$S$29)/(q14a!$D$20+q14a!$D$23+q14a!$D$26+q14a!$D$29)</f>
        <v>1256.3213446357925</v>
      </c>
      <c r="F53" s="407">
        <f>+(q35_Aux!$T$20+q35_Aux!$T$23+q35_Aux!$T$26+q35_Aux!$T$29)/(q14a!$E$20+q14a!$E$23+q14a!$E$26+q14a!$E$29)</f>
        <v>1260.9841138399006</v>
      </c>
      <c r="G53" s="407">
        <f>+(q35_Aux!$U$20+q35_Aux!$U$23+q35_Aux!$U$26+q35_Aux!$U$29)/(q14a!$F$20+q14a!$F$23+q14a!$F$26+q14a!$F$29)</f>
        <v>1280.1375315323639</v>
      </c>
      <c r="H53" s="407">
        <f>+(q35_Aux!$V$20+q35_Aux!$V$23+q35_Aux!$V$26+q35_Aux!$V$29)/(q14a!$G$20+q14a!$G$23+q14a!$G$26+q14a!$G$29)</f>
        <v>1318.3099653190882</v>
      </c>
      <c r="I53" s="407">
        <f>+(q35_Aux!$W$20+q35_Aux!$W$23+q35_Aux!$W$26+q35_Aux!$W$29)/(q14a!$H$20+q14a!$H$23+q14a!$H$26+q14a!$H$29)</f>
        <v>1346.9581295749031</v>
      </c>
      <c r="J53" s="407">
        <f>+(q35_Aux!$X$20+q35_Aux!$X$23+q35_Aux!$X$26+q35_Aux!$X$29)/(q14a!$I$20+q14a!$I$23+q14a!$I$26+q14a!$I$29)</f>
        <v>1398.2108743778072</v>
      </c>
      <c r="K53" s="407">
        <f>+(q35_Aux!$Y$20+q35_Aux!$Y$23+q35_Aux!$Y$26+q35_Aux!$Y$29)/(q14a!$J$20+q14a!$J$23+q14a!$J$26+q14a!$J$29)</f>
        <v>1433.697122712397</v>
      </c>
      <c r="L53" s="407">
        <f>+(q35_Aux!$Z$20+q35_Aux!$Z$23+q35_Aux!$Z$26+q35_Aux!$Z$29)/(q14a!$K$20+q14a!$K$23+q14a!$K$26+q14a!$K$29)</f>
        <v>1504.3707328427417</v>
      </c>
      <c r="M53" s="407">
        <f>+(q35_Aux!$AA$20+q35_Aux!$AA$23+q35_Aux!$AA$26+q35_Aux!$AA$29)/(q14a!$L$20+q14a!$L$23+q14a!$L$26+q14a!$L$29)</f>
        <v>1601.5759696250366</v>
      </c>
      <c r="N53" s="407">
        <f>+(q35_Aux!$AB$20+q35_Aux!$AB$23+q35_Aux!$AB$26+q35_Aux!$AB$29)/(q14a!$M$20+q14a!$M$23+q14a!$M$26+q14a!$M$29)</f>
        <v>1701.3275748885435</v>
      </c>
      <c r="Q53" s="402"/>
      <c r="R53" s="383" t="str">
        <f t="shared" si="9"/>
        <v>Médios (50 - 249 pessoas)</v>
      </c>
      <c r="S53" s="407">
        <f t="shared" si="10"/>
        <v>1030.3012322105706</v>
      </c>
      <c r="T53" s="407">
        <f t="shared" si="11"/>
        <v>1037.7742553924222</v>
      </c>
      <c r="U53" s="407">
        <f t="shared" si="12"/>
        <v>1042.8491928354968</v>
      </c>
      <c r="V53" s="407">
        <f t="shared" si="13"/>
        <v>1055.918660825165</v>
      </c>
      <c r="W53" s="407">
        <f t="shared" si="14"/>
        <v>1083.9322384634481</v>
      </c>
      <c r="X53" s="407">
        <f t="shared" si="15"/>
        <v>1112.7469412139121</v>
      </c>
      <c r="Y53" s="407">
        <f t="shared" si="16"/>
        <v>1156.9571340205018</v>
      </c>
      <c r="Z53" s="407">
        <f t="shared" si="17"/>
        <v>1189.0174465158286</v>
      </c>
      <c r="AA53" s="407">
        <f t="shared" si="18"/>
        <v>1246.2383636445311</v>
      </c>
      <c r="AB53" s="407">
        <f t="shared" si="19"/>
        <v>1321.8781510809069</v>
      </c>
      <c r="AC53" s="407">
        <f t="shared" ref="AC53:AC54" si="21">+N29</f>
        <v>1398.8434401374552</v>
      </c>
      <c r="AE53" s="407">
        <f t="shared" si="20"/>
        <v>35.770335548969136</v>
      </c>
      <c r="BU53">
        <f>+SMALL($BR$21:$BR$24,1)</f>
        <v>83.4</v>
      </c>
      <c r="BV53" t="str">
        <f>+TEXT(BU53,"##.###,0")</f>
        <v>83,4</v>
      </c>
    </row>
    <row r="54" spans="1:74">
      <c r="A54" s="383"/>
      <c r="B54" s="410" t="s">
        <v>231</v>
      </c>
      <c r="C54" s="383"/>
      <c r="D54" s="407">
        <f>+(q35_Aux!$R$32+q35_Aux!$R$35+q35_Aux!$R$38)/(q14a!$C$32+q14a!$C$35+q14a!$C$38)</f>
        <v>1345.0363768324278</v>
      </c>
      <c r="E54" s="407">
        <f>+(q35_Aux!$S$32+q35_Aux!$S$35+q35_Aux!$S$38)/(q14a!$D$32+q14a!$D$35+q14a!$D$38)</f>
        <v>1352.8574877439646</v>
      </c>
      <c r="F54" s="407">
        <f>+(q35_Aux!$T$32+q35_Aux!$T$35+q35_Aux!$T$38)/(q14a!$E$32+q14a!$E$35+q14a!$E$38)</f>
        <v>1371.8676367835099</v>
      </c>
      <c r="G54" s="407">
        <f>+(q35_Aux!$U$32+q35_Aux!$U$35+q35_Aux!$U$38)/(q14a!$F$32+q14a!$F$35+q14a!$F$38)</f>
        <v>1393.9052874294284</v>
      </c>
      <c r="H54" s="407">
        <f>+(q35_Aux!$V$32+q35_Aux!$V$35+q35_Aux!$V$38)/(q14a!$G$32+q14a!$G$35+q14a!$G$38)</f>
        <v>1437.9076145135105</v>
      </c>
      <c r="I54" s="407">
        <f>+(q35_Aux!$W$32+q35_Aux!$W$35+q35_Aux!$W$38)/(q14a!$H$32+q14a!$H$35+q14a!$H$38)</f>
        <v>1485.7730804180874</v>
      </c>
      <c r="J54" s="407">
        <f>+(q35_Aux!$X$32+q35_Aux!$X$35+q35_Aux!$X$38)/(q14a!$I$32+q14a!$I$35+q14a!$I$38)</f>
        <v>1502.5346094245592</v>
      </c>
      <c r="K54" s="407">
        <f>+(q35_Aux!$Y$32+q35_Aux!$Y$35+q35_Aux!$Y$38)/(q14a!$J$32+q14a!$J$35+q14a!$J$38)</f>
        <v>1573.1822719813581</v>
      </c>
      <c r="L54" s="407">
        <f>+(q35_Aux!$Z$32+q35_Aux!$Z$35+q35_Aux!$Z$38)/(q14a!$K$32+q14a!$K$35+q14a!$K$38)</f>
        <v>1689.4825648140356</v>
      </c>
      <c r="M54" s="407">
        <f>+(q35_Aux!$AA$32+q35_Aux!$AA$35+q35_Aux!$AA$38)/(q14a!$L$32+q14a!$L$35+q14a!$L$38)</f>
        <v>1813.3635405012035</v>
      </c>
      <c r="N54" s="407">
        <f>+(q35_Aux!$AB$32+q35_Aux!$AB$35+q35_Aux!$AB$38)/(q14a!$M$32+q14a!$M$35+q14a!$M$38)</f>
        <v>1988.6904912527966</v>
      </c>
      <c r="Q54" s="402"/>
      <c r="R54" s="383" t="str">
        <f t="shared" si="9"/>
        <v>Grandes (250 ou + pessoas)</v>
      </c>
      <c r="S54" s="407">
        <f t="shared" si="10"/>
        <v>1082.3316942828576</v>
      </c>
      <c r="T54" s="407">
        <f t="shared" si="11"/>
        <v>1089.5805250625856</v>
      </c>
      <c r="U54" s="407">
        <f t="shared" si="12"/>
        <v>1103.5962996393494</v>
      </c>
      <c r="V54" s="407">
        <f t="shared" si="13"/>
        <v>1117.8228410271711</v>
      </c>
      <c r="W54" s="407">
        <f t="shared" si="14"/>
        <v>1146.4864034939196</v>
      </c>
      <c r="X54" s="407">
        <f t="shared" si="15"/>
        <v>1192.8973877014769</v>
      </c>
      <c r="Y54" s="407">
        <f t="shared" si="16"/>
        <v>1206.670574012823</v>
      </c>
      <c r="Z54" s="407">
        <f t="shared" si="17"/>
        <v>1272.873442046483</v>
      </c>
      <c r="AA54" s="407">
        <f t="shared" si="18"/>
        <v>1363.1229781849545</v>
      </c>
      <c r="AB54" s="407">
        <f t="shared" si="19"/>
        <v>1455.9608662508945</v>
      </c>
      <c r="AC54" s="407">
        <f t="shared" si="21"/>
        <v>1591.0486395335852</v>
      </c>
      <c r="AE54" s="407">
        <f t="shared" si="20"/>
        <v>47.001944776993575</v>
      </c>
      <c r="BU54" s="383" t="s">
        <v>400</v>
      </c>
    </row>
    <row r="55" spans="1:74">
      <c r="Q55" s="382"/>
      <c r="R55" s="383"/>
      <c r="BU55" t="str">
        <f>VLOOKUP($BU$53,$BR$20:$BS$25,COLUMN(BS$20)-69,0)</f>
        <v>Médios</v>
      </c>
    </row>
    <row r="56" spans="1:74">
      <c r="N56" s="491"/>
      <c r="Q56" s="402"/>
      <c r="R56" s="383"/>
      <c r="BU56" s="383" t="s">
        <v>396</v>
      </c>
    </row>
    <row r="57" spans="1:74">
      <c r="N57" s="491"/>
      <c r="Q57" s="402"/>
      <c r="R57" s="383"/>
      <c r="BU57">
        <f>+LARGE($BR$21:$BR$24,1)</f>
        <v>91.8</v>
      </c>
      <c r="BV57" t="str">
        <f>+TEXT(BU57,"##.###,0")</f>
        <v>91,8</v>
      </c>
    </row>
    <row r="58" spans="1:74">
      <c r="Q58" s="382" t="s">
        <v>251</v>
      </c>
      <c r="S58" s="384">
        <f>+S50</f>
        <v>2014</v>
      </c>
      <c r="T58" s="384">
        <f t="shared" ref="T58:AC58" si="22">+T50</f>
        <v>2015</v>
      </c>
      <c r="U58" s="384">
        <f t="shared" si="22"/>
        <v>2016</v>
      </c>
      <c r="V58" s="384">
        <f t="shared" si="22"/>
        <v>2017</v>
      </c>
      <c r="W58" s="384">
        <f t="shared" si="22"/>
        <v>2018</v>
      </c>
      <c r="X58" s="384">
        <f t="shared" si="22"/>
        <v>2019</v>
      </c>
      <c r="Y58" s="384">
        <f t="shared" si="22"/>
        <v>2020</v>
      </c>
      <c r="Z58" s="384">
        <f t="shared" si="22"/>
        <v>2021</v>
      </c>
      <c r="AA58" s="384">
        <f t="shared" si="22"/>
        <v>2022</v>
      </c>
      <c r="AB58" s="384">
        <f t="shared" si="22"/>
        <v>2023</v>
      </c>
      <c r="AC58" s="384">
        <f t="shared" si="22"/>
        <v>2024</v>
      </c>
      <c r="BU58" s="383" t="s">
        <v>400</v>
      </c>
    </row>
    <row r="59" spans="1:74">
      <c r="R59" s="383" t="str">
        <f>+B51</f>
        <v>Micro (1-9 pessoas)</v>
      </c>
      <c r="S59" s="407">
        <f>+D51</f>
        <v>874.38436612750547</v>
      </c>
      <c r="T59" s="407">
        <f t="shared" ref="T59:AC59" si="23">+E51</f>
        <v>869.12276441572385</v>
      </c>
      <c r="U59" s="407">
        <f t="shared" si="23"/>
        <v>881.40512820235597</v>
      </c>
      <c r="V59" s="407">
        <f t="shared" si="23"/>
        <v>903.93939883921951</v>
      </c>
      <c r="W59" s="407">
        <f t="shared" si="23"/>
        <v>932.82112641795084</v>
      </c>
      <c r="X59" s="407">
        <f t="shared" si="23"/>
        <v>964.9013625736294</v>
      </c>
      <c r="Y59" s="407">
        <f t="shared" si="23"/>
        <v>1001.2044941363545</v>
      </c>
      <c r="Z59" s="407">
        <f t="shared" si="23"/>
        <v>1038.1806040678803</v>
      </c>
      <c r="AA59" s="407">
        <f t="shared" si="23"/>
        <v>1089.2710386651693</v>
      </c>
      <c r="AB59" s="407">
        <f t="shared" si="23"/>
        <v>1172.1326870057369</v>
      </c>
      <c r="AC59" s="407">
        <f t="shared" si="23"/>
        <v>1260.3809432033565</v>
      </c>
      <c r="AE59" s="407">
        <f>+(AC59/S59-1)*100</f>
        <v>44.144954099003627</v>
      </c>
      <c r="BU59" t="str">
        <f>VLOOKUP($BU$57,$BR$20:$BS$24,COLUMN(BS$20)-69,0)</f>
        <v>Micro</v>
      </c>
    </row>
    <row r="60" spans="1:74">
      <c r="Q60" s="402"/>
      <c r="R60" s="383" t="str">
        <f t="shared" ref="R60:R62" si="24">+B52</f>
        <v>Pequenos (10 - 49 pessoas)</v>
      </c>
      <c r="S60" s="407">
        <f t="shared" ref="S60:S62" si="25">+D52</f>
        <v>1037.6006240969584</v>
      </c>
      <c r="T60" s="407">
        <f t="shared" ref="T60:T62" si="26">+E52</f>
        <v>1035.1865874443888</v>
      </c>
      <c r="U60" s="407">
        <f t="shared" ref="U60:U62" si="27">+F52</f>
        <v>1040.5432494420013</v>
      </c>
      <c r="V60" s="407">
        <f t="shared" ref="V60:V62" si="28">+G52</f>
        <v>1062.0631016188092</v>
      </c>
      <c r="W60" s="407">
        <f t="shared" ref="W60:W62" si="29">+H52</f>
        <v>1092.2485129611412</v>
      </c>
      <c r="X60" s="407">
        <f t="shared" ref="X60:X62" si="30">+I52</f>
        <v>1126.8547486372413</v>
      </c>
      <c r="Y60" s="407">
        <f t="shared" ref="Y60:Y62" si="31">+J52</f>
        <v>1172.4223622753868</v>
      </c>
      <c r="Z60" s="407">
        <f t="shared" ref="Z60:Z62" si="32">+K52</f>
        <v>1208.4921346318265</v>
      </c>
      <c r="AA60" s="407">
        <f t="shared" ref="AA60:AA62" si="33">+L52</f>
        <v>1261.8200779433143</v>
      </c>
      <c r="AB60" s="407">
        <f t="shared" ref="AB60:AB62" si="34">+M52</f>
        <v>1353.931007657292</v>
      </c>
      <c r="AC60" s="407">
        <f t="shared" ref="AC60:AC62" si="35">+N52</f>
        <v>1448.0976118612928</v>
      </c>
      <c r="AE60" s="407">
        <f t="shared" ref="AE60:AE62" si="36">+(AC60/S60-1)*100</f>
        <v>39.562137708002723</v>
      </c>
      <c r="BU60" s="383" t="s">
        <v>397</v>
      </c>
    </row>
    <row r="61" spans="1:74">
      <c r="C61" s="522" t="s">
        <v>458</v>
      </c>
      <c r="Q61" s="402"/>
      <c r="R61" s="383" t="str">
        <f t="shared" si="24"/>
        <v>Médios (50 - 249 pessoas)</v>
      </c>
      <c r="S61" s="407">
        <f t="shared" si="25"/>
        <v>1248.6811036820754</v>
      </c>
      <c r="T61" s="407">
        <f t="shared" si="26"/>
        <v>1256.3213446357925</v>
      </c>
      <c r="U61" s="407">
        <f t="shared" si="27"/>
        <v>1260.9841138399006</v>
      </c>
      <c r="V61" s="407">
        <f t="shared" si="28"/>
        <v>1280.1375315323639</v>
      </c>
      <c r="W61" s="407">
        <f t="shared" si="29"/>
        <v>1318.3099653190882</v>
      </c>
      <c r="X61" s="407">
        <f t="shared" si="30"/>
        <v>1346.9581295749031</v>
      </c>
      <c r="Y61" s="407">
        <f t="shared" si="31"/>
        <v>1398.2108743778072</v>
      </c>
      <c r="Z61" s="407">
        <f t="shared" si="32"/>
        <v>1433.697122712397</v>
      </c>
      <c r="AA61" s="407">
        <f t="shared" si="33"/>
        <v>1504.3707328427417</v>
      </c>
      <c r="AB61" s="407">
        <f t="shared" si="34"/>
        <v>1601.5759696250366</v>
      </c>
      <c r="AC61" s="407">
        <f t="shared" si="35"/>
        <v>1701.3275748885435</v>
      </c>
      <c r="AE61" s="407">
        <f t="shared" si="36"/>
        <v>36.249965653497675</v>
      </c>
    </row>
    <row r="62" spans="1:74">
      <c r="Q62" s="402"/>
      <c r="R62" s="383" t="str">
        <f t="shared" si="24"/>
        <v>Grandes (250 ou + pessoas)</v>
      </c>
      <c r="S62" s="407">
        <f t="shared" si="25"/>
        <v>1345.0363768324278</v>
      </c>
      <c r="T62" s="407">
        <f t="shared" si="26"/>
        <v>1352.8574877439646</v>
      </c>
      <c r="U62" s="407">
        <f t="shared" si="27"/>
        <v>1371.8676367835099</v>
      </c>
      <c r="V62" s="407">
        <f t="shared" si="28"/>
        <v>1393.9052874294284</v>
      </c>
      <c r="W62" s="407">
        <f t="shared" si="29"/>
        <v>1437.9076145135105</v>
      </c>
      <c r="X62" s="407">
        <f t="shared" si="30"/>
        <v>1485.7730804180874</v>
      </c>
      <c r="Y62" s="407">
        <f t="shared" si="31"/>
        <v>1502.5346094245592</v>
      </c>
      <c r="Z62" s="407">
        <f t="shared" si="32"/>
        <v>1573.1822719813581</v>
      </c>
      <c r="AA62" s="407">
        <f t="shared" si="33"/>
        <v>1689.4825648140356</v>
      </c>
      <c r="AB62" s="407">
        <f t="shared" si="34"/>
        <v>1813.3635405012035</v>
      </c>
      <c r="AC62" s="407">
        <f t="shared" si="35"/>
        <v>1988.6904912527966</v>
      </c>
      <c r="AE62" s="407">
        <f t="shared" si="36"/>
        <v>47.854030233455823</v>
      </c>
    </row>
    <row r="63" spans="1:74">
      <c r="C63" s="384" t="s">
        <v>455</v>
      </c>
      <c r="I63" s="384" t="s">
        <v>456</v>
      </c>
    </row>
    <row r="65" spans="1:18">
      <c r="R65" s="522" t="s">
        <v>454</v>
      </c>
    </row>
    <row r="67" spans="1:18">
      <c r="A67" s="384" t="s">
        <v>392</v>
      </c>
    </row>
    <row r="70" spans="1:18">
      <c r="A70" t="s">
        <v>267</v>
      </c>
      <c r="B70" t="s">
        <v>268</v>
      </c>
      <c r="D70" s="384" t="str">
        <f>+$N$6&amp;"/"&amp;$D$6</f>
        <v>2024/2014</v>
      </c>
      <c r="F70" s="384" t="s">
        <v>272</v>
      </c>
    </row>
    <row r="71" spans="1:18">
      <c r="C71" s="420" t="s">
        <v>222</v>
      </c>
      <c r="D71" s="531">
        <f>+N27/D27-1</f>
        <v>0.45322070228207223</v>
      </c>
      <c r="G71" t="s">
        <v>270</v>
      </c>
      <c r="I71" t="s">
        <v>271</v>
      </c>
      <c r="L71" s="383" t="s">
        <v>270</v>
      </c>
      <c r="M71" s="383" t="s">
        <v>271</v>
      </c>
    </row>
    <row r="72" spans="1:18">
      <c r="C72" s="420" t="s">
        <v>432</v>
      </c>
      <c r="D72" s="531">
        <f t="shared" ref="D72:D74" si="37">+N28/D28-1</f>
        <v>0.38653372189851209</v>
      </c>
      <c r="E72" s="384">
        <f>+$N$6</f>
        <v>2024</v>
      </c>
      <c r="F72" s="383" t="s">
        <v>255</v>
      </c>
      <c r="G72" s="530">
        <f>(LARGE($AC$51:$AC$54,1))</f>
        <v>1591.0486395335852</v>
      </c>
      <c r="H72" s="441" t="str">
        <f>INDEX($R$51:$AC$54,MATCH($G$72,$AC$51:$AC$54,0),1)</f>
        <v>Grandes (250 ou + pessoas)</v>
      </c>
      <c r="I72" s="530">
        <f>SMALL($AC$51:$AC$54,1)</f>
        <v>1080.0451885767829</v>
      </c>
      <c r="J72" s="441" t="str">
        <f>INDEX($R$51:$AC$54,MATCH($I$72,$AC$51:$AC$54,0),1)</f>
        <v>Micro (1-9 pessoas)</v>
      </c>
      <c r="L72" s="530" t="str">
        <f>TEXT(LARGE($AC$51:$AC$54,1),"##.### €")</f>
        <v>1.591 €</v>
      </c>
      <c r="M72" s="530" t="str">
        <f>TEXT(SMALL($AC$51:$AC$54,1),"##.### €")</f>
        <v>1.080 €</v>
      </c>
    </row>
    <row r="73" spans="1:18">
      <c r="C73" s="420" t="s">
        <v>433</v>
      </c>
      <c r="D73" s="531">
        <f t="shared" si="37"/>
        <v>0.35770335548969134</v>
      </c>
      <c r="E73" s="384" t="str">
        <f>+$N$6&amp;" vs "&amp;$D$6</f>
        <v>2024 vs 2014</v>
      </c>
      <c r="F73" t="s">
        <v>237</v>
      </c>
      <c r="G73" s="532">
        <f>LARGE($D$71:$D$74,1)</f>
        <v>0.47001944776993576</v>
      </c>
      <c r="H73" s="441" t="str">
        <f>INDEX($C$71:$D$74,MATCH($G$73,$D$71:$D$74,0),1)</f>
        <v>Grandes (250 ou + pessoas)</v>
      </c>
      <c r="I73" s="532">
        <f>SMALL($D$71:$D$74,1)</f>
        <v>0.35770335548969134</v>
      </c>
      <c r="J73" s="441" t="str">
        <f>INDEX($C$71:$D$74,MATCH($I$73,$D$71:$D$74,0),1)</f>
        <v>Médios (50 - 249 pessoas)</v>
      </c>
      <c r="L73" s="415" t="str">
        <f>TEXT(LARGE($D$71:$D$74,1),"###%")</f>
        <v>47%</v>
      </c>
      <c r="M73" s="415" t="str">
        <f>TEXT(SMALL($D$71:$D$74,1),"###%")</f>
        <v>36%</v>
      </c>
    </row>
    <row r="74" spans="1:18">
      <c r="C74" s="420" t="s">
        <v>231</v>
      </c>
      <c r="D74" s="531">
        <f t="shared" si="37"/>
        <v>0.47001944776993576</v>
      </c>
      <c r="I74" s="415"/>
    </row>
    <row r="75" spans="1:18">
      <c r="D75" s="415"/>
    </row>
    <row r="76" spans="1:18">
      <c r="B76" t="s">
        <v>269</v>
      </c>
      <c r="D76" s="384" t="str">
        <f>+$N$6&amp;"/"&amp;$D$6</f>
        <v>2024/2014</v>
      </c>
    </row>
    <row r="77" spans="1:18">
      <c r="C77" s="420" t="s">
        <v>222</v>
      </c>
      <c r="D77" s="531">
        <f>+N51/D51-1</f>
        <v>0.4414495409900363</v>
      </c>
      <c r="F77" s="384" t="s">
        <v>273</v>
      </c>
    </row>
    <row r="78" spans="1:18">
      <c r="C78" s="420" t="s">
        <v>432</v>
      </c>
      <c r="D78" s="531">
        <f t="shared" ref="D78:D80" si="38">+N52/D52-1</f>
        <v>0.3956213770800272</v>
      </c>
      <c r="G78" t="s">
        <v>270</v>
      </c>
      <c r="I78" t="s">
        <v>271</v>
      </c>
      <c r="L78" s="383" t="s">
        <v>270</v>
      </c>
      <c r="M78" s="383" t="s">
        <v>271</v>
      </c>
    </row>
    <row r="79" spans="1:18">
      <c r="C79" s="420" t="s">
        <v>433</v>
      </c>
      <c r="D79" s="531">
        <f t="shared" si="38"/>
        <v>0.36249965653497673</v>
      </c>
      <c r="E79" s="384">
        <f>+$N$6</f>
        <v>2024</v>
      </c>
      <c r="F79" s="383" t="s">
        <v>255</v>
      </c>
      <c r="G79" s="530">
        <f>LARGE($AC$59:$AC$62,1)</f>
        <v>1988.6904912527966</v>
      </c>
      <c r="H79" s="441" t="str">
        <f>INDEX($R$59:$AC$62,MATCH($G$79,$AC$59:$AC$62,0),1)</f>
        <v>Grandes (250 ou + pessoas)</v>
      </c>
      <c r="I79" s="530">
        <f>SMALL($AC$59:$AC$62,1)</f>
        <v>1260.3809432033565</v>
      </c>
      <c r="J79" s="441" t="str">
        <f>INDEX($R$59:$AC$62,MATCH($I$79,$AC$59:$AC$62,0),1)</f>
        <v>Micro (1-9 pessoas)</v>
      </c>
      <c r="L79" s="530" t="str">
        <f>TEXT(LARGE($AC$59:$AC$62,1),"##.### €")</f>
        <v>1.989 €</v>
      </c>
      <c r="M79" s="530" t="str">
        <f>TEXT(SMALL($AC$59:$AC$62,1),"##.### €")</f>
        <v>1.260 €</v>
      </c>
    </row>
    <row r="80" spans="1:18">
      <c r="C80" s="420" t="s">
        <v>231</v>
      </c>
      <c r="D80" s="531">
        <f t="shared" si="38"/>
        <v>0.47854030233455824</v>
      </c>
      <c r="E80" s="384" t="str">
        <f>+$N$6&amp;" vs "&amp;$D$6</f>
        <v>2024 vs 2014</v>
      </c>
      <c r="F80" t="s">
        <v>237</v>
      </c>
      <c r="G80" s="532">
        <f>LARGE($D$77:$D$80,1)</f>
        <v>0.47854030233455824</v>
      </c>
      <c r="H80" s="441" t="str">
        <f>INDEX($C$77:$D$80,MATCH($G$80,$D$77:$D$80,0),1)</f>
        <v>Grandes (250 ou + pessoas)</v>
      </c>
      <c r="I80" s="532">
        <f>SMALL($D$77:$D$80,1)</f>
        <v>0.36249965653497673</v>
      </c>
      <c r="J80" s="441" t="str">
        <f>INDEX($C$77:$D$80,MATCH($I$80,$D$77:$D$80,0),1)</f>
        <v>Médios (50 - 249 pessoas)</v>
      </c>
      <c r="L80" s="415" t="str">
        <f>TEXT(LARGE($D$77:$D$80,1),"###%")</f>
        <v>48%</v>
      </c>
      <c r="M80" s="415" t="str">
        <f>TEXT(SMALL($D$77:$D$80,1),"###%")</f>
        <v>36%</v>
      </c>
    </row>
    <row r="81" spans="3:12">
      <c r="D81" s="415"/>
      <c r="G81" s="532">
        <f>LARGE($D$77:$D$80,2)</f>
        <v>0.4414495409900363</v>
      </c>
      <c r="H81" s="441" t="str">
        <f>INDEX($C$77:$D$80,MATCH($G$81,$D$77:$D$80,0),1)</f>
        <v>Micro (1-9 pessoas)</v>
      </c>
      <c r="L81" s="415" t="str">
        <f>TEXT(LARGE($D$77:$D$80,2),"###%")</f>
        <v>44%</v>
      </c>
    </row>
    <row r="82" spans="3:12">
      <c r="D82" s="415"/>
    </row>
    <row r="83" spans="3:12">
      <c r="C83" s="420" t="s">
        <v>457</v>
      </c>
      <c r="D83" s="415"/>
    </row>
    <row r="84" spans="3:12">
      <c r="C84" s="384" t="s">
        <v>262</v>
      </c>
      <c r="D84" s="415" t="str">
        <f>+E72&amp;":"&amp;CHAR(10)&amp;"Entre "&amp;M72&amp;" "&amp;J72&amp;" e "&amp;L72&amp;" "&amp;H72&amp;CHAR(10)&amp;E73&amp;":"&amp;CHAR(10)&amp;"Variações entre "&amp;M73&amp;" "&amp;J73&amp;" e "&amp;L73&amp;" "&amp;H73&amp;"."</f>
        <v>2024:
Entre 1.080 € Micro (1-9 pessoas) e 1.591 € Grandes (250 ou + pessoas)
2024 vs 2014:
Variações entre 36% Médios (50 - 249 pessoas) e 47% Grandes (250 ou + pessoas).</v>
      </c>
    </row>
    <row r="85" spans="3:12">
      <c r="D85" s="415"/>
    </row>
    <row r="90" spans="3:12">
      <c r="D90" s="415"/>
    </row>
    <row r="94" spans="3:12">
      <c r="C94" s="384" t="s">
        <v>263</v>
      </c>
      <c r="D94" s="415" t="str">
        <f>+E79&amp;":"&amp;CHAR(10)&amp;"Entre "&amp;M79&amp;" "&amp;J79&amp;" e "&amp;L79&amp;" "&amp;H79&amp;CHAR(10)&amp;E80&amp;":"&amp;CHAR(10)&amp;"Variações entre "&amp;M80&amp;" "&amp;J80&amp;" e "&amp;L80&amp;" "&amp;H80&amp;"."</f>
        <v>2024:
Entre 1.260 € Micro (1-9 pessoas) e 1.989 € Grandes (250 ou + pessoas)
2024 vs 2014:
Variações entre 36% Médios (50 - 249 pessoas) e 48% Grandes (250 ou + pessoas).</v>
      </c>
    </row>
    <row r="97" spans="1:9">
      <c r="D97" s="440"/>
    </row>
    <row r="98" spans="1:9">
      <c r="D98" s="440"/>
    </row>
    <row r="99" spans="1:9">
      <c r="D99" s="440"/>
    </row>
    <row r="100" spans="1:9">
      <c r="D100" s="440"/>
    </row>
    <row r="101" spans="1:9">
      <c r="D101" s="440"/>
    </row>
    <row r="102" spans="1:9">
      <c r="D102" s="440"/>
    </row>
    <row r="103" spans="1:9">
      <c r="D103" s="440"/>
    </row>
    <row r="104" spans="1:9">
      <c r="D104" s="440"/>
    </row>
    <row r="105" spans="1:9">
      <c r="D105" s="440"/>
    </row>
    <row r="106" spans="1:9">
      <c r="D106" s="440"/>
      <c r="E106" s="381"/>
      <c r="F106" s="381"/>
      <c r="G106" s="381"/>
      <c r="H106" s="381"/>
      <c r="I106" s="381"/>
    </row>
    <row r="107" spans="1:9">
      <c r="D107" s="440"/>
      <c r="E107" s="381"/>
      <c r="F107" s="945"/>
      <c r="G107" s="945"/>
      <c r="H107" s="945"/>
      <c r="I107" s="945"/>
    </row>
    <row r="108" spans="1:9">
      <c r="A108" s="383"/>
      <c r="D108" s="440"/>
    </row>
    <row r="109" spans="1:9">
      <c r="D109" s="440"/>
      <c r="E109" s="415"/>
      <c r="F109" s="415"/>
      <c r="G109" s="415"/>
      <c r="H109" s="415"/>
      <c r="I109" s="415"/>
    </row>
    <row r="110" spans="1:9">
      <c r="D110" s="440"/>
      <c r="E110" s="415"/>
      <c r="F110" s="415"/>
      <c r="G110" s="415"/>
      <c r="H110" s="415"/>
      <c r="I110" s="415"/>
    </row>
    <row r="111" spans="1:9">
      <c r="D111" s="440"/>
      <c r="E111" s="415"/>
      <c r="F111" s="415"/>
      <c r="G111" s="415"/>
      <c r="H111" s="415"/>
      <c r="I111" s="415"/>
    </row>
    <row r="112" spans="1:9">
      <c r="D112" s="440"/>
      <c r="E112" s="415"/>
      <c r="F112" s="415"/>
      <c r="G112" s="415"/>
      <c r="H112" s="415"/>
      <c r="I112" s="415"/>
    </row>
    <row r="113" spans="4:9">
      <c r="D113" s="440"/>
      <c r="E113" s="415"/>
      <c r="F113" s="415"/>
      <c r="G113" s="415"/>
      <c r="H113" s="415"/>
      <c r="I113" s="415"/>
    </row>
    <row r="114" spans="4:9">
      <c r="D114" s="440"/>
      <c r="E114" s="415"/>
      <c r="F114" s="415"/>
      <c r="G114" s="415"/>
      <c r="H114" s="415"/>
      <c r="I114" s="415"/>
    </row>
    <row r="115" spans="4:9">
      <c r="D115" s="440"/>
      <c r="E115" s="415"/>
      <c r="F115" s="415"/>
      <c r="G115" s="415"/>
      <c r="H115" s="415"/>
      <c r="I115" s="415"/>
    </row>
    <row r="116" spans="4:9">
      <c r="D116" s="440"/>
      <c r="E116" s="415"/>
      <c r="F116" s="415"/>
      <c r="G116" s="415"/>
      <c r="H116" s="415"/>
      <c r="I116" s="415"/>
    </row>
    <row r="117" spans="4:9">
      <c r="E117" s="415"/>
      <c r="F117" s="415"/>
      <c r="G117" s="415"/>
      <c r="H117" s="415"/>
      <c r="I117" s="415"/>
    </row>
    <row r="118" spans="4:9">
      <c r="E118" s="415"/>
      <c r="F118" s="415"/>
      <c r="G118" s="415"/>
      <c r="H118" s="415"/>
      <c r="I118" s="415"/>
    </row>
    <row r="119" spans="4:9">
      <c r="E119" s="415"/>
      <c r="F119" s="415"/>
      <c r="G119" s="415"/>
      <c r="H119" s="415"/>
      <c r="I119" s="415"/>
    </row>
  </sheetData>
  <mergeCells count="1">
    <mergeCell ref="F107:I107"/>
  </mergeCells>
  <conditionalFormatting sqref="BC3 BC5">
    <cfRule type="cellIs" dxfId="2690" priority="48" operator="equal">
      <formula>0</formula>
    </cfRule>
  </conditionalFormatting>
  <conditionalFormatting sqref="BD3:BE3 BD5:BE5">
    <cfRule type="cellIs" dxfId="2689" priority="47" operator="equal">
      <formula>0</formula>
    </cfRule>
  </conditionalFormatting>
  <conditionalFormatting sqref="AT3:BE3">
    <cfRule type="cellIs" dxfId="2688" priority="46" operator="equal">
      <formula>0</formula>
    </cfRule>
  </conditionalFormatting>
  <conditionalFormatting sqref="AT4:BE4">
    <cfRule type="cellIs" dxfId="2687" priority="45" operator="equal">
      <formula>0</formula>
    </cfRule>
  </conditionalFormatting>
  <conditionalFormatting sqref="BD10">
    <cfRule type="cellIs" dxfId="2686" priority="2" operator="equal">
      <formula>0</formula>
    </cfRule>
  </conditionalFormatting>
  <conditionalFormatting sqref="BD9">
    <cfRule type="cellIs" dxfId="2685" priority="1"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4" r:id="rId4" name="Drop Down 2">
              <controlPr defaultSize="0" autoLine="0" autoPict="0">
                <anchor moveWithCells="1">
                  <from>
                    <xdr:col>64</xdr:col>
                    <xdr:colOff>47625</xdr:colOff>
                    <xdr:row>14</xdr:row>
                    <xdr:rowOff>133350</xdr:rowOff>
                  </from>
                  <to>
                    <xdr:col>65</xdr:col>
                    <xdr:colOff>85725</xdr:colOff>
                    <xdr:row>16</xdr:row>
                    <xdr:rowOff>9525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055CA-26E3-498A-8B95-8E0687174B32}">
  <dimension ref="A2:H129"/>
  <sheetViews>
    <sheetView topLeftCell="A73" workbookViewId="0">
      <selection activeCell="Y70" sqref="Y70"/>
    </sheetView>
  </sheetViews>
  <sheetFormatPr defaultRowHeight="12.75"/>
  <cols>
    <col min="1" max="1" width="18.7109375" bestFit="1" customWidth="1"/>
    <col min="2" max="2" width="20.140625" bestFit="1" customWidth="1"/>
    <col min="3" max="3" width="9" bestFit="1" customWidth="1"/>
    <col min="4" max="7" width="11.85546875" bestFit="1" customWidth="1"/>
    <col min="8" max="8" width="12" bestFit="1" customWidth="1"/>
    <col min="9" max="9" width="25.7109375" bestFit="1" customWidth="1"/>
    <col min="10" max="10" width="12" bestFit="1" customWidth="1"/>
  </cols>
  <sheetData>
    <row r="2" spans="1:5">
      <c r="A2" s="383" t="s">
        <v>390</v>
      </c>
    </row>
    <row r="4" spans="1:5">
      <c r="A4" s="383" t="s">
        <v>202</v>
      </c>
      <c r="B4" s="383" t="s">
        <v>354</v>
      </c>
      <c r="C4" s="383" t="s">
        <v>259</v>
      </c>
      <c r="D4" s="383" t="s">
        <v>255</v>
      </c>
    </row>
    <row r="5" spans="1:5">
      <c r="A5">
        <f>+'q23'!$C$4</f>
        <v>2014</v>
      </c>
      <c r="B5" t="s">
        <v>262</v>
      </c>
      <c r="C5" t="str">
        <f>Aux!$B$50</f>
        <v>Total</v>
      </c>
      <c r="D5" s="407">
        <f>+'q23'!$C$5</f>
        <v>909.49</v>
      </c>
    </row>
    <row r="6" spans="1:5">
      <c r="A6">
        <f>+'q23'!$C$4</f>
        <v>2014</v>
      </c>
      <c r="B6" t="s">
        <v>262</v>
      </c>
      <c r="C6" t="str">
        <f>Aux!$B$51</f>
        <v>Homens</v>
      </c>
      <c r="D6" s="407">
        <f>+'q23'!$C$6</f>
        <v>985.02</v>
      </c>
    </row>
    <row r="7" spans="1:5">
      <c r="A7">
        <f>+'q23'!$C$4</f>
        <v>2014</v>
      </c>
      <c r="B7" t="s">
        <v>262</v>
      </c>
      <c r="C7" t="str">
        <f>Aux!$B$52</f>
        <v>Mulheres</v>
      </c>
      <c r="D7" s="407">
        <f>+'q23'!$C$7</f>
        <v>820.25</v>
      </c>
      <c r="E7" s="415"/>
    </row>
    <row r="8" spans="1:5">
      <c r="A8">
        <f>+'q23'!$D$4</f>
        <v>2015</v>
      </c>
      <c r="B8" t="s">
        <v>262</v>
      </c>
      <c r="C8" t="str">
        <f>Aux!$B$50</f>
        <v>Total</v>
      </c>
      <c r="D8" s="407">
        <f>+'q23'!$D$5</f>
        <v>913.93</v>
      </c>
      <c r="E8" s="415"/>
    </row>
    <row r="9" spans="1:5">
      <c r="A9">
        <f>+'q23'!$D$4</f>
        <v>2015</v>
      </c>
      <c r="B9" t="s">
        <v>262</v>
      </c>
      <c r="C9" t="str">
        <f>Aux!$B$51</f>
        <v>Homens</v>
      </c>
      <c r="D9" s="407">
        <f>+'q23'!$D$6</f>
        <v>990.05</v>
      </c>
      <c r="E9" s="415"/>
    </row>
    <row r="10" spans="1:5">
      <c r="A10">
        <f>+'q23'!$D$4</f>
        <v>2015</v>
      </c>
      <c r="B10" t="s">
        <v>262</v>
      </c>
      <c r="C10" t="str">
        <f>Aux!$B$52</f>
        <v>Mulheres</v>
      </c>
      <c r="D10" s="407">
        <f>+'q23'!$D$7</f>
        <v>824.99</v>
      </c>
      <c r="E10" s="415"/>
    </row>
    <row r="11" spans="1:5">
      <c r="A11">
        <f>+'q23'!$E$4</f>
        <v>2016</v>
      </c>
      <c r="B11" t="s">
        <v>262</v>
      </c>
      <c r="C11" t="str">
        <f>Aux!$B$50</f>
        <v>Total</v>
      </c>
      <c r="D11" s="407">
        <f>+'q23'!$E$5</f>
        <v>924.94</v>
      </c>
      <c r="E11" s="415"/>
    </row>
    <row r="12" spans="1:5">
      <c r="A12">
        <f>+'q23'!$E$4</f>
        <v>2016</v>
      </c>
      <c r="B12" t="s">
        <v>262</v>
      </c>
      <c r="C12" t="str">
        <f>Aux!$B$51</f>
        <v>Homens</v>
      </c>
      <c r="D12" s="407">
        <f>+'q23'!$E$6</f>
        <v>997.38</v>
      </c>
      <c r="E12" s="415"/>
    </row>
    <row r="13" spans="1:5">
      <c r="A13">
        <f>+'q23'!$E$4</f>
        <v>2016</v>
      </c>
      <c r="B13" t="s">
        <v>262</v>
      </c>
      <c r="C13" t="str">
        <f>Aux!$B$52</f>
        <v>Mulheres</v>
      </c>
      <c r="D13" s="407">
        <f>+'q23'!$E$7</f>
        <v>840.26</v>
      </c>
      <c r="E13" s="415"/>
    </row>
    <row r="14" spans="1:5">
      <c r="A14">
        <f>+'q23'!$F$4</f>
        <v>2017</v>
      </c>
      <c r="B14" t="s">
        <v>262</v>
      </c>
      <c r="C14" t="str">
        <f>Aux!$B$50</f>
        <v>Total</v>
      </c>
      <c r="D14" s="407">
        <f>+'q23'!$F$5</f>
        <v>943</v>
      </c>
      <c r="E14" s="415"/>
    </row>
    <row r="15" spans="1:5">
      <c r="A15">
        <f>+'q23'!$F$4</f>
        <v>2017</v>
      </c>
      <c r="B15" t="s">
        <v>262</v>
      </c>
      <c r="C15" t="str">
        <f>Aux!$B$51</f>
        <v>Homens</v>
      </c>
      <c r="D15" s="407">
        <f>+'q23'!$F$6</f>
        <v>1012.25</v>
      </c>
      <c r="E15" s="415"/>
    </row>
    <row r="16" spans="1:5">
      <c r="A16">
        <f>+'q23'!$F$4</f>
        <v>2017</v>
      </c>
      <c r="B16" t="s">
        <v>262</v>
      </c>
      <c r="C16" t="str">
        <f>Aux!$B$52</f>
        <v>Mulheres</v>
      </c>
      <c r="D16" s="407">
        <f>+'q23'!$F$7</f>
        <v>861.17</v>
      </c>
      <c r="E16" s="415"/>
    </row>
    <row r="17" spans="1:5">
      <c r="A17">
        <f>+'q23'!$G$4</f>
        <v>2018</v>
      </c>
      <c r="B17" t="s">
        <v>262</v>
      </c>
      <c r="C17" t="str">
        <f>Aux!$B$50</f>
        <v>Total</v>
      </c>
      <c r="D17" s="407">
        <f>+'q23'!$G$5</f>
        <v>970.42</v>
      </c>
      <c r="E17" s="415"/>
    </row>
    <row r="18" spans="1:5">
      <c r="A18">
        <f>+'q23'!$G$4</f>
        <v>2018</v>
      </c>
      <c r="B18" t="s">
        <v>262</v>
      </c>
      <c r="C18" t="str">
        <f>Aux!$B$51</f>
        <v>Homens</v>
      </c>
      <c r="D18" s="407">
        <f>+'q23'!$G$6</f>
        <v>1039.08</v>
      </c>
      <c r="E18" s="415"/>
    </row>
    <row r="19" spans="1:5">
      <c r="A19">
        <f>+'q23'!$G$4</f>
        <v>2018</v>
      </c>
      <c r="B19" t="s">
        <v>262</v>
      </c>
      <c r="C19" t="str">
        <f>Aux!$B$52</f>
        <v>Mulheres</v>
      </c>
      <c r="D19" s="407">
        <f>+'q23'!$G$7</f>
        <v>888.56</v>
      </c>
      <c r="E19" s="415"/>
    </row>
    <row r="20" spans="1:5">
      <c r="A20">
        <f>+'q23'!$H$4</f>
        <v>2019</v>
      </c>
      <c r="B20" t="s">
        <v>262</v>
      </c>
      <c r="C20" t="str">
        <f>Aux!$B$50</f>
        <v>Total</v>
      </c>
      <c r="D20" s="407">
        <f>+'q23'!$H$5</f>
        <v>1005.09</v>
      </c>
      <c r="E20" s="415"/>
    </row>
    <row r="21" spans="1:5">
      <c r="A21">
        <f>+'q23'!$H$4</f>
        <v>2019</v>
      </c>
      <c r="B21" t="s">
        <v>262</v>
      </c>
      <c r="C21" t="str">
        <f>Aux!$B$51</f>
        <v>Homens</v>
      </c>
      <c r="D21" s="407">
        <f>+'q23'!$H$6</f>
        <v>1073.82</v>
      </c>
      <c r="E21" s="415"/>
    </row>
    <row r="22" spans="1:5">
      <c r="A22">
        <f>+'q23'!$H$4</f>
        <v>2019</v>
      </c>
      <c r="B22" t="s">
        <v>262</v>
      </c>
      <c r="C22" t="str">
        <f>Aux!$B$52</f>
        <v>Mulheres</v>
      </c>
      <c r="D22" s="407">
        <f>+'q23'!$H$7</f>
        <v>922.63</v>
      </c>
      <c r="E22" s="415"/>
    </row>
    <row r="23" spans="1:5">
      <c r="A23">
        <f>+'q23'!$I$4</f>
        <v>2020</v>
      </c>
      <c r="B23" t="s">
        <v>262</v>
      </c>
      <c r="C23" t="str">
        <f>Aux!$B$50</f>
        <v>Total</v>
      </c>
      <c r="D23" s="407">
        <f>+'q23'!$I$5</f>
        <v>1041.99</v>
      </c>
      <c r="E23" s="415"/>
    </row>
    <row r="24" spans="1:5">
      <c r="A24">
        <f>+'q23'!$I$4</f>
        <v>2020</v>
      </c>
      <c r="B24" t="s">
        <v>262</v>
      </c>
      <c r="C24" t="str">
        <f>Aux!$B$51</f>
        <v>Homens</v>
      </c>
      <c r="D24" s="407">
        <f>+'q23'!$I$6</f>
        <v>1109.21</v>
      </c>
      <c r="E24" s="415"/>
    </row>
    <row r="25" spans="1:5">
      <c r="A25">
        <f>+'q23'!$I$4</f>
        <v>2020</v>
      </c>
      <c r="B25" t="s">
        <v>262</v>
      </c>
      <c r="C25" t="str">
        <f>Aux!$B$52</f>
        <v>Mulheres</v>
      </c>
      <c r="D25" s="407">
        <f>+'q23'!$I$7</f>
        <v>960.27</v>
      </c>
      <c r="E25" s="415"/>
    </row>
    <row r="26" spans="1:5">
      <c r="A26">
        <f>+'q23'!$J$4</f>
        <v>2021</v>
      </c>
      <c r="B26" t="s">
        <v>262</v>
      </c>
      <c r="C26" t="str">
        <f>Aux!$B$50</f>
        <v>Total</v>
      </c>
      <c r="D26" s="407">
        <f>+'q23'!$J$5</f>
        <v>1082.77</v>
      </c>
      <c r="E26" s="415"/>
    </row>
    <row r="27" spans="1:5">
      <c r="A27">
        <f>+'q23'!$J$4</f>
        <v>2021</v>
      </c>
      <c r="B27" t="s">
        <v>262</v>
      </c>
      <c r="C27" t="str">
        <f>Aux!$B$51</f>
        <v>Homens</v>
      </c>
      <c r="D27" s="407">
        <f>+'q23'!$J$6</f>
        <v>1152.24</v>
      </c>
      <c r="E27" s="415"/>
    </row>
    <row r="28" spans="1:5">
      <c r="A28">
        <f>+'q23'!$J$4</f>
        <v>2021</v>
      </c>
      <c r="B28" t="s">
        <v>262</v>
      </c>
      <c r="C28" t="str">
        <f>Aux!$B$52</f>
        <v>Mulheres</v>
      </c>
      <c r="D28" s="407">
        <f>+'q23'!$J$7</f>
        <v>999.33</v>
      </c>
      <c r="E28" s="415"/>
    </row>
    <row r="29" spans="1:5">
      <c r="A29">
        <f>+'q23'!$K$4</f>
        <v>2022</v>
      </c>
      <c r="B29" t="s">
        <v>262</v>
      </c>
      <c r="C29" t="str">
        <f>Aux!$B$50</f>
        <v>Total</v>
      </c>
      <c r="D29" s="407">
        <f>+'q23'!$K$5</f>
        <v>1143.45</v>
      </c>
      <c r="E29" s="415"/>
    </row>
    <row r="30" spans="1:5">
      <c r="A30">
        <f>+'q23'!$K$4</f>
        <v>2022</v>
      </c>
      <c r="B30" t="s">
        <v>262</v>
      </c>
      <c r="C30" t="str">
        <f>Aux!$B$51</f>
        <v>Homens</v>
      </c>
      <c r="D30" s="407">
        <f>+'q23'!$K$6</f>
        <v>1217.33</v>
      </c>
      <c r="E30" s="415"/>
    </row>
    <row r="31" spans="1:5">
      <c r="A31">
        <f>+'q23'!$K$4</f>
        <v>2022</v>
      </c>
      <c r="B31" t="s">
        <v>262</v>
      </c>
      <c r="C31" t="str">
        <f>Aux!$B$52</f>
        <v>Mulheres</v>
      </c>
      <c r="D31" s="407">
        <f>+'q23'!$K$7</f>
        <v>1054.3599999999999</v>
      </c>
      <c r="E31" s="415"/>
    </row>
    <row r="32" spans="1:5">
      <c r="A32">
        <f>+'q23'!$L$4</f>
        <v>2023</v>
      </c>
      <c r="B32" t="s">
        <v>262</v>
      </c>
      <c r="C32" t="str">
        <f>Aux!$B$50</f>
        <v>Total</v>
      </c>
      <c r="D32" s="407">
        <f>+'q23'!$L$5</f>
        <v>1219.8699999999999</v>
      </c>
      <c r="E32" s="415"/>
    </row>
    <row r="33" spans="1:8">
      <c r="A33">
        <f>+'q23'!$L$4</f>
        <v>2023</v>
      </c>
      <c r="B33" t="s">
        <v>262</v>
      </c>
      <c r="C33" t="str">
        <f>Aux!$B$51</f>
        <v>Homens</v>
      </c>
      <c r="D33" s="407">
        <f>+'q23'!$L$6</f>
        <v>1294.03</v>
      </c>
      <c r="E33" s="415"/>
    </row>
    <row r="34" spans="1:8">
      <c r="A34">
        <f>+'q23'!$L$4</f>
        <v>2023</v>
      </c>
      <c r="B34" t="s">
        <v>262</v>
      </c>
      <c r="C34" t="str">
        <f>Aux!$B$52</f>
        <v>Mulheres</v>
      </c>
      <c r="D34" s="407">
        <f>+'q23'!$L$7</f>
        <v>1129.6400000000001</v>
      </c>
      <c r="E34" s="415"/>
    </row>
    <row r="35" spans="1:8">
      <c r="A35">
        <f>+'q23'!$M$4</f>
        <v>2024</v>
      </c>
      <c r="B35" t="s">
        <v>262</v>
      </c>
      <c r="C35" t="str">
        <f>Aux!$B$50</f>
        <v>Total</v>
      </c>
      <c r="D35" s="407">
        <f>+'q23'!$M$5</f>
        <v>1308.96</v>
      </c>
      <c r="E35" s="415"/>
    </row>
    <row r="36" spans="1:8">
      <c r="A36">
        <f>+'q23'!$M$4</f>
        <v>2024</v>
      </c>
      <c r="B36" t="s">
        <v>262</v>
      </c>
      <c r="C36" t="str">
        <f>Aux!$B$51</f>
        <v>Homens</v>
      </c>
      <c r="D36" s="407">
        <f>+'q23'!$M$6</f>
        <v>1383.38</v>
      </c>
      <c r="E36" s="415"/>
      <c r="F36" s="407"/>
      <c r="G36" s="415"/>
      <c r="H36" s="415"/>
    </row>
    <row r="37" spans="1:8">
      <c r="A37">
        <f>+'q23'!$M$4</f>
        <v>2024</v>
      </c>
      <c r="B37" t="s">
        <v>262</v>
      </c>
      <c r="C37" t="str">
        <f>Aux!$B$52</f>
        <v>Mulheres</v>
      </c>
      <c r="D37" s="407">
        <f>+'q23'!$M$7</f>
        <v>1216.8499999999999</v>
      </c>
      <c r="E37" s="415"/>
      <c r="F37" s="407"/>
      <c r="G37" s="415"/>
      <c r="H37" s="415"/>
    </row>
    <row r="38" spans="1:8">
      <c r="A38">
        <f>+'q35'!$C$4</f>
        <v>2014</v>
      </c>
      <c r="B38" t="s">
        <v>263</v>
      </c>
      <c r="C38" t="str">
        <f>Aux!$B$50</f>
        <v>Total</v>
      </c>
      <c r="D38" s="407">
        <f>+'q35'!$C$5</f>
        <v>1093.21</v>
      </c>
      <c r="E38" s="415"/>
      <c r="F38" s="407"/>
      <c r="G38" s="415"/>
      <c r="H38" s="415"/>
    </row>
    <row r="39" spans="1:8">
      <c r="A39">
        <f>+'q35'!$C$4</f>
        <v>2014</v>
      </c>
      <c r="B39" t="s">
        <v>263</v>
      </c>
      <c r="C39" t="str">
        <f>Aux!$B$51</f>
        <v>Homens</v>
      </c>
      <c r="D39" s="407">
        <f>+'q35'!$C$6</f>
        <v>1203.32</v>
      </c>
      <c r="E39" s="415"/>
    </row>
    <row r="40" spans="1:8">
      <c r="A40">
        <f>+'q35'!$C$4</f>
        <v>2014</v>
      </c>
      <c r="B40" t="s">
        <v>263</v>
      </c>
      <c r="C40" t="str">
        <f>Aux!$B$52</f>
        <v>Mulheres</v>
      </c>
      <c r="D40" s="407">
        <f>+'q35'!$C$7</f>
        <v>963.12</v>
      </c>
      <c r="E40" s="415"/>
    </row>
    <row r="41" spans="1:8">
      <c r="A41">
        <f>+'q35'!$D$4</f>
        <v>2015</v>
      </c>
      <c r="B41" t="s">
        <v>263</v>
      </c>
      <c r="C41" t="str">
        <f>Aux!$B$50</f>
        <v>Total</v>
      </c>
      <c r="D41" s="407">
        <f>+'q35'!$D$5</f>
        <v>1096.6600000000001</v>
      </c>
      <c r="E41" s="415"/>
    </row>
    <row r="42" spans="1:8">
      <c r="A42">
        <f>+'q35'!$D$4</f>
        <v>2015</v>
      </c>
      <c r="B42" t="s">
        <v>263</v>
      </c>
      <c r="C42" t="str">
        <f>Aux!$B$51</f>
        <v>Homens</v>
      </c>
      <c r="D42" s="407">
        <f>+'q35'!$D$6</f>
        <v>1207.76</v>
      </c>
      <c r="E42" s="415"/>
    </row>
    <row r="43" spans="1:8">
      <c r="A43">
        <f>+'q35'!$D$4</f>
        <v>2015</v>
      </c>
      <c r="B43" t="s">
        <v>263</v>
      </c>
      <c r="C43" t="str">
        <f>Aux!$B$52</f>
        <v>Mulheres</v>
      </c>
      <c r="D43" s="407">
        <f>+'q35'!$D$7</f>
        <v>966.85</v>
      </c>
      <c r="E43" s="415"/>
    </row>
    <row r="44" spans="1:8">
      <c r="A44">
        <f>+'q35'!$E$4</f>
        <v>2016</v>
      </c>
      <c r="B44" t="s">
        <v>263</v>
      </c>
      <c r="C44" t="str">
        <f>Aux!$B$50</f>
        <v>Total</v>
      </c>
      <c r="D44" s="407">
        <f>+'q35'!$E$5</f>
        <v>1107.8599999999999</v>
      </c>
      <c r="E44" s="415"/>
    </row>
    <row r="45" spans="1:8">
      <c r="A45">
        <f>+'q35'!$E$4</f>
        <v>2016</v>
      </c>
      <c r="B45" t="s">
        <v>263</v>
      </c>
      <c r="C45" t="str">
        <f>Aux!$B$51</f>
        <v>Homens</v>
      </c>
      <c r="D45" s="407">
        <f>+'q35'!$E$6</f>
        <v>1215.1099999999999</v>
      </c>
      <c r="E45" s="415"/>
    </row>
    <row r="46" spans="1:8">
      <c r="A46">
        <f>+'q35'!$E$4</f>
        <v>2016</v>
      </c>
      <c r="B46" t="s">
        <v>263</v>
      </c>
      <c r="C46" t="str">
        <f>Aux!$B$52</f>
        <v>Mulheres</v>
      </c>
      <c r="D46" s="407">
        <f>+'q35'!$E$7</f>
        <v>982.49</v>
      </c>
      <c r="E46" s="415"/>
    </row>
    <row r="47" spans="1:8">
      <c r="A47">
        <f>+'q35'!$F$4</f>
        <v>2017</v>
      </c>
      <c r="B47" t="s">
        <v>263</v>
      </c>
      <c r="C47" t="str">
        <f>Aux!$B$50</f>
        <v>Total</v>
      </c>
      <c r="D47" s="407">
        <f>+'q35'!$F$5</f>
        <v>1133.3399999999999</v>
      </c>
      <c r="E47" s="415"/>
    </row>
    <row r="48" spans="1:8">
      <c r="A48">
        <f>+'q35'!$F$4</f>
        <v>2017</v>
      </c>
      <c r="B48" t="s">
        <v>263</v>
      </c>
      <c r="C48" t="str">
        <f>Aux!$B$51</f>
        <v>Homens</v>
      </c>
      <c r="D48" s="407">
        <f>+'q35'!$F$6</f>
        <v>1236.8499999999999</v>
      </c>
      <c r="E48" s="415"/>
    </row>
    <row r="49" spans="1:5">
      <c r="A49">
        <f>+'q35'!$F$4</f>
        <v>2017</v>
      </c>
      <c r="B49" t="s">
        <v>263</v>
      </c>
      <c r="C49" t="str">
        <f>Aux!$B$52</f>
        <v>Mulheres</v>
      </c>
      <c r="D49" s="407">
        <f>+'q35'!$F$7</f>
        <v>1011.02</v>
      </c>
      <c r="E49" s="415"/>
    </row>
    <row r="50" spans="1:5">
      <c r="A50">
        <f>+'q35'!$G$4</f>
        <v>2018</v>
      </c>
      <c r="B50" t="s">
        <v>263</v>
      </c>
      <c r="C50" t="str">
        <f>Aux!$B$50</f>
        <v>Total</v>
      </c>
      <c r="D50" s="407">
        <f>+'q35'!$G$5</f>
        <v>1170.25</v>
      </c>
      <c r="E50" s="415"/>
    </row>
    <row r="51" spans="1:5">
      <c r="A51">
        <f>+'q35'!$G$4</f>
        <v>2018</v>
      </c>
      <c r="B51" t="s">
        <v>263</v>
      </c>
      <c r="C51" t="str">
        <f>Aux!$B$51</f>
        <v>Homens</v>
      </c>
      <c r="D51" s="407">
        <f>+'q35'!$G$6</f>
        <v>1273.99</v>
      </c>
      <c r="E51" s="415"/>
    </row>
    <row r="52" spans="1:5">
      <c r="A52">
        <f>+'q35'!$G$4</f>
        <v>2018</v>
      </c>
      <c r="B52" t="s">
        <v>263</v>
      </c>
      <c r="C52" t="str">
        <f>Aux!$B$52</f>
        <v>Mulheres</v>
      </c>
      <c r="D52" s="407">
        <f>+'q35'!$G$7</f>
        <v>1046.5899999999999</v>
      </c>
      <c r="E52" s="415"/>
    </row>
    <row r="53" spans="1:5">
      <c r="A53">
        <f>+'q35'!$H$4</f>
        <v>2019</v>
      </c>
      <c r="B53" t="s">
        <v>263</v>
      </c>
      <c r="C53" t="str">
        <f>Aux!$B$50</f>
        <v>Total</v>
      </c>
      <c r="D53" s="407">
        <f>+'q35'!$H$5</f>
        <v>1209.94</v>
      </c>
      <c r="E53" s="415"/>
    </row>
    <row r="54" spans="1:5">
      <c r="A54">
        <f>+'q35'!$H$4</f>
        <v>2019</v>
      </c>
      <c r="B54" t="s">
        <v>263</v>
      </c>
      <c r="C54" t="str">
        <f>Aux!$B$51</f>
        <v>Homens</v>
      </c>
      <c r="D54" s="407">
        <f>+'q35'!$H$6</f>
        <v>1312.43</v>
      </c>
      <c r="E54" s="415"/>
    </row>
    <row r="55" spans="1:5">
      <c r="A55">
        <f>+'q35'!$H$4</f>
        <v>2019</v>
      </c>
      <c r="B55" t="s">
        <v>263</v>
      </c>
      <c r="C55" t="str">
        <f>Aux!$B$52</f>
        <v>Mulheres</v>
      </c>
      <c r="D55" s="407">
        <f>+'q35'!$H$7</f>
        <v>1086.97</v>
      </c>
      <c r="E55" s="415"/>
    </row>
    <row r="56" spans="1:5">
      <c r="A56">
        <f>+'q35'!$I$4</f>
        <v>2020</v>
      </c>
      <c r="B56" t="s">
        <v>263</v>
      </c>
      <c r="C56" t="str">
        <f>Aux!$B$50</f>
        <v>Total</v>
      </c>
      <c r="D56" s="407">
        <f>+'q35'!$I$5</f>
        <v>1250.75</v>
      </c>
      <c r="E56" s="415"/>
    </row>
    <row r="57" spans="1:5">
      <c r="A57">
        <f>+'q35'!$I$4</f>
        <v>2020</v>
      </c>
      <c r="B57" t="s">
        <v>263</v>
      </c>
      <c r="C57" t="str">
        <f>Aux!$B$51</f>
        <v>Homens</v>
      </c>
      <c r="D57" s="407">
        <f>+'q35'!$I$6</f>
        <v>1349.35</v>
      </c>
      <c r="E57" s="415"/>
    </row>
    <row r="58" spans="1:5">
      <c r="A58">
        <f>+'q35'!$I$4</f>
        <v>2020</v>
      </c>
      <c r="B58" t="s">
        <v>263</v>
      </c>
      <c r="C58" t="str">
        <f>Aux!$B$52</f>
        <v>Mulheres</v>
      </c>
      <c r="D58" s="407">
        <f>+'q35'!$I$7</f>
        <v>1130.8699999999999</v>
      </c>
      <c r="E58" s="415"/>
    </row>
    <row r="59" spans="1:5">
      <c r="A59">
        <f>+'q35'!$J$4</f>
        <v>2021</v>
      </c>
      <c r="B59" t="s">
        <v>263</v>
      </c>
      <c r="C59" t="str">
        <f>Aux!$B$50</f>
        <v>Total</v>
      </c>
      <c r="D59" s="407">
        <f>+'q35'!$J$5</f>
        <v>1294.1099999999999</v>
      </c>
      <c r="E59" s="415"/>
    </row>
    <row r="60" spans="1:5">
      <c r="A60">
        <f>+'q35'!$J$4</f>
        <v>2021</v>
      </c>
      <c r="B60" t="s">
        <v>263</v>
      </c>
      <c r="C60" t="str">
        <f>Aux!$B$51</f>
        <v>Homens</v>
      </c>
      <c r="D60" s="407">
        <f>+'q35'!$J$6</f>
        <v>1395.7</v>
      </c>
      <c r="E60" s="415"/>
    </row>
    <row r="61" spans="1:5">
      <c r="A61">
        <f>+'q35'!$J$4</f>
        <v>2021</v>
      </c>
      <c r="B61" t="s">
        <v>263</v>
      </c>
      <c r="C61" t="str">
        <f>Aux!$B$52</f>
        <v>Mulheres</v>
      </c>
      <c r="D61" s="407">
        <f>+'q35'!$J$7</f>
        <v>1172.08</v>
      </c>
      <c r="E61" s="415"/>
    </row>
    <row r="62" spans="1:5">
      <c r="A62">
        <f>+'q35'!$K$4</f>
        <v>2022</v>
      </c>
      <c r="B62" t="s">
        <v>263</v>
      </c>
      <c r="C62" t="str">
        <f>Aux!$B$50</f>
        <v>Total</v>
      </c>
      <c r="D62" s="407">
        <f>+'q35'!$K$5</f>
        <v>1368</v>
      </c>
      <c r="E62" s="415"/>
    </row>
    <row r="63" spans="1:5">
      <c r="A63">
        <f>+'q35'!$K$4</f>
        <v>2022</v>
      </c>
      <c r="B63" t="s">
        <v>263</v>
      </c>
      <c r="C63" t="str">
        <f>Aux!$B$51</f>
        <v>Homens</v>
      </c>
      <c r="D63" s="407">
        <f>+'q35'!$K$6</f>
        <v>1476.2</v>
      </c>
      <c r="E63" s="415"/>
    </row>
    <row r="64" spans="1:5">
      <c r="A64">
        <f>+'q35'!$K$4</f>
        <v>2022</v>
      </c>
      <c r="B64" t="s">
        <v>263</v>
      </c>
      <c r="C64" t="str">
        <f>Aux!$B$52</f>
        <v>Mulheres</v>
      </c>
      <c r="D64" s="407">
        <f>+'q35'!$K$7</f>
        <v>1237.52</v>
      </c>
      <c r="E64" s="415"/>
    </row>
    <row r="65" spans="1:7">
      <c r="A65">
        <f>+'q35'!$L$4</f>
        <v>2023</v>
      </c>
      <c r="B65" t="s">
        <v>263</v>
      </c>
      <c r="C65" t="str">
        <f>Aux!$B$50</f>
        <v>Total</v>
      </c>
      <c r="D65" s="407">
        <f>+'q35'!$L$5</f>
        <v>1466.66</v>
      </c>
      <c r="E65" s="415"/>
    </row>
    <row r="66" spans="1:7">
      <c r="A66">
        <f>+'q35'!$L$4</f>
        <v>2023</v>
      </c>
      <c r="B66" t="s">
        <v>263</v>
      </c>
      <c r="C66" t="str">
        <f>Aux!$B$51</f>
        <v>Homens</v>
      </c>
      <c r="D66" s="407">
        <f>+'q35'!$L$6</f>
        <v>1577.33</v>
      </c>
      <c r="E66" s="415"/>
    </row>
    <row r="67" spans="1:7">
      <c r="A67">
        <f>+'q35'!$L$4</f>
        <v>2023</v>
      </c>
      <c r="B67" t="s">
        <v>263</v>
      </c>
      <c r="C67" t="str">
        <f>Aux!$B$52</f>
        <v>Mulheres</v>
      </c>
      <c r="D67" s="407">
        <f>+'q35'!$L$7</f>
        <v>1332.02</v>
      </c>
      <c r="E67" s="415"/>
    </row>
    <row r="68" spans="1:7">
      <c r="A68">
        <f>+'q35'!$M$4</f>
        <v>2024</v>
      </c>
      <c r="B68" t="s">
        <v>263</v>
      </c>
      <c r="C68" t="str">
        <f>Aux!$B$50</f>
        <v>Total</v>
      </c>
      <c r="D68" s="407">
        <f>+'q35'!$M$5</f>
        <v>1582.75</v>
      </c>
      <c r="E68" s="415"/>
    </row>
    <row r="69" spans="1:7">
      <c r="A69">
        <f>+'q35'!$M$4</f>
        <v>2024</v>
      </c>
      <c r="B69" t="s">
        <v>263</v>
      </c>
      <c r="C69" t="str">
        <f>Aux!$B$51</f>
        <v>Homens</v>
      </c>
      <c r="D69" s="407">
        <f>+'q35'!$M$6</f>
        <v>1693.55</v>
      </c>
      <c r="E69" s="415"/>
    </row>
    <row r="70" spans="1:7">
      <c r="A70">
        <f>+'q35'!$M$4</f>
        <v>2024</v>
      </c>
      <c r="B70" t="s">
        <v>263</v>
      </c>
      <c r="C70" t="str">
        <f>Aux!$B$52</f>
        <v>Mulheres</v>
      </c>
      <c r="D70" s="407">
        <f>+'q35'!$M$7</f>
        <v>1445.59</v>
      </c>
      <c r="E70" s="415"/>
      <c r="F70" s="407"/>
      <c r="G70" s="415"/>
    </row>
    <row r="71" spans="1:7">
      <c r="F71" s="415"/>
    </row>
    <row r="72" spans="1:7">
      <c r="F72" s="415"/>
    </row>
    <row r="80" spans="1:7">
      <c r="A80" s="404" t="s">
        <v>258</v>
      </c>
      <c r="B80" s="404" t="s">
        <v>240</v>
      </c>
    </row>
    <row r="81" spans="1:3">
      <c r="B81" t="s">
        <v>262</v>
      </c>
      <c r="C81" t="s">
        <v>263</v>
      </c>
    </row>
    <row r="82" spans="1:3">
      <c r="A82" s="404" t="s">
        <v>238</v>
      </c>
      <c r="B82" t="s">
        <v>11</v>
      </c>
      <c r="C82" t="s">
        <v>11</v>
      </c>
    </row>
    <row r="83" spans="1:3">
      <c r="A83" s="405">
        <v>2014</v>
      </c>
      <c r="B83" s="406">
        <v>909.49</v>
      </c>
      <c r="C83" s="406">
        <v>1093.21</v>
      </c>
    </row>
    <row r="84" spans="1:3">
      <c r="A84" s="405">
        <v>2015</v>
      </c>
      <c r="B84" s="406">
        <v>913.93</v>
      </c>
      <c r="C84" s="406">
        <v>1096.6600000000001</v>
      </c>
    </row>
    <row r="85" spans="1:3">
      <c r="A85" s="405">
        <v>2016</v>
      </c>
      <c r="B85" s="406">
        <v>924.94</v>
      </c>
      <c r="C85" s="406">
        <v>1107.8599999999999</v>
      </c>
    </row>
    <row r="86" spans="1:3">
      <c r="A86" s="405">
        <v>2017</v>
      </c>
      <c r="B86" s="406">
        <v>943</v>
      </c>
      <c r="C86" s="406">
        <v>1133.3399999999999</v>
      </c>
    </row>
    <row r="87" spans="1:3">
      <c r="A87" s="405">
        <v>2018</v>
      </c>
      <c r="B87" s="406">
        <v>970.42</v>
      </c>
      <c r="C87" s="406">
        <v>1170.25</v>
      </c>
    </row>
    <row r="88" spans="1:3">
      <c r="A88" s="405">
        <v>2019</v>
      </c>
      <c r="B88" s="406">
        <v>1005.09</v>
      </c>
      <c r="C88" s="406">
        <v>1209.94</v>
      </c>
    </row>
    <row r="89" spans="1:3">
      <c r="A89" s="405">
        <v>2020</v>
      </c>
      <c r="B89" s="406">
        <v>1041.99</v>
      </c>
      <c r="C89" s="406">
        <v>1250.75</v>
      </c>
    </row>
    <row r="90" spans="1:3">
      <c r="A90" s="405">
        <v>2021</v>
      </c>
      <c r="B90" s="406">
        <v>1082.77</v>
      </c>
      <c r="C90" s="406">
        <v>1294.1099999999999</v>
      </c>
    </row>
    <row r="91" spans="1:3">
      <c r="A91" s="405">
        <v>2022</v>
      </c>
      <c r="B91" s="406">
        <v>1143.45</v>
      </c>
      <c r="C91" s="406">
        <v>1368</v>
      </c>
    </row>
    <row r="92" spans="1:3">
      <c r="A92" s="405">
        <v>2023</v>
      </c>
      <c r="B92" s="406">
        <v>1219.8699999999999</v>
      </c>
      <c r="C92" s="406">
        <v>1466.66</v>
      </c>
    </row>
    <row r="93" spans="1:3">
      <c r="A93" s="405">
        <v>2024</v>
      </c>
      <c r="B93" s="406">
        <v>1308.96</v>
      </c>
      <c r="C93" s="406">
        <v>1582.75</v>
      </c>
    </row>
    <row r="128" spans="1:1">
      <c r="A128" s="529" t="s">
        <v>450</v>
      </c>
    </row>
    <row r="129" spans="1:1">
      <c r="A129" s="529" t="s">
        <v>451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A71B7-F442-46E3-822B-115B23A1B9F6}">
  <sheetPr codeName="Folha10"/>
  <dimension ref="A1:P447"/>
  <sheetViews>
    <sheetView topLeftCell="H52" zoomScaleNormal="100" workbookViewId="0">
      <selection activeCell="Y70" sqref="Y70"/>
    </sheetView>
  </sheetViews>
  <sheetFormatPr defaultRowHeight="12.75"/>
  <cols>
    <col min="4" max="4" width="13.5703125" customWidth="1"/>
    <col min="9" max="9" width="18.7109375" bestFit="1" customWidth="1"/>
    <col min="10" max="10" width="20.140625" bestFit="1" customWidth="1"/>
    <col min="11" max="11" width="9.7109375" bestFit="1" customWidth="1"/>
    <col min="12" max="13" width="11.140625" bestFit="1" customWidth="1"/>
    <col min="14" max="24" width="9.42578125" bestFit="1" customWidth="1"/>
    <col min="25" max="25" width="8.42578125" bestFit="1" customWidth="1"/>
    <col min="26" max="33" width="9.42578125" bestFit="1" customWidth="1"/>
    <col min="34" max="35" width="8.42578125" bestFit="1" customWidth="1"/>
    <col min="36" max="48" width="9.42578125" bestFit="1" customWidth="1"/>
    <col min="49" max="49" width="8.42578125" bestFit="1" customWidth="1"/>
    <col min="50" max="69" width="9.42578125" bestFit="1" customWidth="1"/>
    <col min="70" max="70" width="10.42578125" bestFit="1" customWidth="1"/>
  </cols>
  <sheetData>
    <row r="1" spans="1:14">
      <c r="N1" s="383" t="s">
        <v>261</v>
      </c>
    </row>
    <row r="2" spans="1:14">
      <c r="A2" s="383" t="s">
        <v>252</v>
      </c>
    </row>
    <row r="4" spans="1:14">
      <c r="A4" s="383" t="s">
        <v>202</v>
      </c>
      <c r="B4" s="383" t="s">
        <v>253</v>
      </c>
      <c r="C4" s="383" t="s">
        <v>203</v>
      </c>
      <c r="D4" s="383" t="s">
        <v>254</v>
      </c>
      <c r="E4" s="383" t="s">
        <v>255</v>
      </c>
    </row>
    <row r="5" spans="1:14">
      <c r="A5">
        <f>+'q22'!$C$4</f>
        <v>2014</v>
      </c>
      <c r="B5" t="str">
        <f>+Aux!$A$14</f>
        <v xml:space="preserve">A - Agricultura, produção animal, caça, floresta e pesca </v>
      </c>
      <c r="C5" t="str">
        <f>+LEFT(B5,1)</f>
        <v>A</v>
      </c>
      <c r="D5" s="383" t="s">
        <v>262</v>
      </c>
      <c r="E5" s="439">
        <f>+'q22'!$C$6</f>
        <v>687.92</v>
      </c>
      <c r="I5" s="404" t="s">
        <v>258</v>
      </c>
      <c r="J5" s="404" t="s">
        <v>240</v>
      </c>
    </row>
    <row r="6" spans="1:14">
      <c r="A6">
        <f>+'q22'!$C$4</f>
        <v>2014</v>
      </c>
      <c r="B6" t="str">
        <f>+Aux!$A$15</f>
        <v>B - Indústrias extrativas</v>
      </c>
      <c r="C6" t="str">
        <f t="shared" ref="C6:C69" si="0">+LEFT(B6,1)</f>
        <v>B</v>
      </c>
      <c r="D6" s="383" t="s">
        <v>262</v>
      </c>
      <c r="E6" s="439">
        <f>+'q22'!$C$7</f>
        <v>934.74</v>
      </c>
      <c r="J6" t="s">
        <v>74</v>
      </c>
      <c r="L6" t="s">
        <v>957</v>
      </c>
      <c r="M6" t="s">
        <v>239</v>
      </c>
    </row>
    <row r="7" spans="1:14">
      <c r="A7">
        <f>+'q22'!$C$4</f>
        <v>2014</v>
      </c>
      <c r="B7" t="str">
        <f>+Aux!$A$16</f>
        <v>C - Ind. transf.</v>
      </c>
      <c r="C7" t="str">
        <f t="shared" si="0"/>
        <v>C</v>
      </c>
      <c r="D7" s="383" t="s">
        <v>262</v>
      </c>
      <c r="E7" s="439">
        <f>+'q22'!$C$8</f>
        <v>844.01</v>
      </c>
      <c r="I7" s="404" t="s">
        <v>238</v>
      </c>
      <c r="J7" t="s">
        <v>262</v>
      </c>
      <c r="K7" t="s">
        <v>263</v>
      </c>
    </row>
    <row r="8" spans="1:14">
      <c r="A8">
        <f>+'q22'!$C$4</f>
        <v>2014</v>
      </c>
      <c r="B8" t="str">
        <f>+Aux!$A$17</f>
        <v>D - Eletricidade, gás, vapor, água quente e fria e ar frio</v>
      </c>
      <c r="C8" t="str">
        <f t="shared" si="0"/>
        <v>D</v>
      </c>
      <c r="D8" s="383" t="s">
        <v>262</v>
      </c>
      <c r="E8" s="439">
        <f>+'q22'!$C$33</f>
        <v>2065.0700000000002</v>
      </c>
      <c r="I8" s="405">
        <v>2014</v>
      </c>
      <c r="J8" s="439">
        <v>844.01</v>
      </c>
      <c r="K8" s="439">
        <v>1003.09</v>
      </c>
      <c r="L8" s="439">
        <v>1847.1</v>
      </c>
      <c r="M8" s="439">
        <v>1847.1</v>
      </c>
    </row>
    <row r="9" spans="1:14">
      <c r="A9">
        <f>+'q22'!$C$4</f>
        <v>2014</v>
      </c>
      <c r="B9" t="str">
        <f>+Aux!$A$18</f>
        <v>E - Captação, trat. e dist. água; saneam., gest. resíduos e desp.</v>
      </c>
      <c r="C9" t="str">
        <f t="shared" si="0"/>
        <v>E</v>
      </c>
      <c r="D9" s="383" t="s">
        <v>262</v>
      </c>
      <c r="E9" s="439">
        <f>+'q22'!$C$34</f>
        <v>885.35</v>
      </c>
      <c r="I9" s="405">
        <v>2015</v>
      </c>
      <c r="J9" s="439">
        <v>856.12</v>
      </c>
      <c r="K9" s="439">
        <v>1015.82</v>
      </c>
      <c r="L9" s="439">
        <v>1871.94</v>
      </c>
      <c r="M9" s="439">
        <v>1871.94</v>
      </c>
    </row>
    <row r="10" spans="1:14">
      <c r="A10">
        <f>+'q22'!$C$4</f>
        <v>2014</v>
      </c>
      <c r="B10" t="str">
        <f>+Aux!$A$19</f>
        <v>F - Construção</v>
      </c>
      <c r="C10" t="str">
        <f t="shared" si="0"/>
        <v>F</v>
      </c>
      <c r="D10" s="383" t="s">
        <v>262</v>
      </c>
      <c r="E10" s="439">
        <f>+'q22'!$C$35</f>
        <v>800.21</v>
      </c>
      <c r="I10" s="405">
        <v>2016</v>
      </c>
      <c r="J10" s="439">
        <v>870.08</v>
      </c>
      <c r="K10" s="439">
        <v>1031.5999999999999</v>
      </c>
      <c r="L10" s="439">
        <v>1901.6799999999998</v>
      </c>
      <c r="M10" s="439">
        <v>1901.6799999999998</v>
      </c>
    </row>
    <row r="11" spans="1:14">
      <c r="A11">
        <f>+'q22'!$C$4</f>
        <v>2014</v>
      </c>
      <c r="B11" t="str">
        <f>+Aux!$A$20</f>
        <v>G - Com. por grosso e ret. (…)</v>
      </c>
      <c r="C11" t="str">
        <f t="shared" si="0"/>
        <v>G</v>
      </c>
      <c r="D11" s="383" t="s">
        <v>262</v>
      </c>
      <c r="E11" s="439">
        <f>+'q22'!$C$36</f>
        <v>862.67</v>
      </c>
      <c r="I11" s="405">
        <v>2017</v>
      </c>
      <c r="J11" s="439">
        <v>895.89</v>
      </c>
      <c r="K11" s="439">
        <v>1068.43</v>
      </c>
      <c r="L11" s="439">
        <v>1964.3200000000002</v>
      </c>
      <c r="M11" s="439">
        <v>1964.3200000000002</v>
      </c>
    </row>
    <row r="12" spans="1:14">
      <c r="A12">
        <f>+'q22'!$C$4</f>
        <v>2014</v>
      </c>
      <c r="B12" t="str">
        <f>+Aux!$A$21</f>
        <v>H - Transportes e armazenagem</v>
      </c>
      <c r="C12" t="str">
        <f t="shared" si="0"/>
        <v>H</v>
      </c>
      <c r="D12" s="383" t="s">
        <v>262</v>
      </c>
      <c r="E12" s="439">
        <f>+'q22'!$C$37</f>
        <v>977.22</v>
      </c>
      <c r="I12" s="405">
        <v>2018</v>
      </c>
      <c r="J12" s="439">
        <v>929.15</v>
      </c>
      <c r="K12" s="439">
        <v>1110.54</v>
      </c>
      <c r="L12" s="439">
        <v>2039.69</v>
      </c>
      <c r="M12" s="439">
        <v>2039.69</v>
      </c>
    </row>
    <row r="13" spans="1:14">
      <c r="A13">
        <f>+'q22'!$C$4</f>
        <v>2014</v>
      </c>
      <c r="B13" t="str">
        <f>+Aux!$A$22</f>
        <v>I - Aloj., rest. e sim.</v>
      </c>
      <c r="C13" t="str">
        <f t="shared" si="0"/>
        <v>I</v>
      </c>
      <c r="D13" s="383" t="s">
        <v>262</v>
      </c>
      <c r="E13" s="439">
        <f>+'q22'!$C$38</f>
        <v>669.99</v>
      </c>
      <c r="I13" s="405">
        <v>2019</v>
      </c>
      <c r="J13" s="439">
        <v>964.71</v>
      </c>
      <c r="K13" s="439">
        <v>1154.94</v>
      </c>
      <c r="L13" s="439">
        <v>2119.65</v>
      </c>
      <c r="M13" s="439">
        <v>2119.65</v>
      </c>
    </row>
    <row r="14" spans="1:14">
      <c r="A14">
        <f>+'q22'!$C$4</f>
        <v>2014</v>
      </c>
      <c r="B14" t="str">
        <f>+Aux!$A$23</f>
        <v>J - Atividades de informação e de comunicação</v>
      </c>
      <c r="C14" t="str">
        <f t="shared" si="0"/>
        <v>J</v>
      </c>
      <c r="D14" s="383" t="s">
        <v>262</v>
      </c>
      <c r="E14" s="439">
        <f>+'q22'!$C$39</f>
        <v>1500.69</v>
      </c>
      <c r="I14" s="405">
        <v>2020</v>
      </c>
      <c r="J14" s="439">
        <v>1003.21</v>
      </c>
      <c r="K14" s="439">
        <v>1198.04</v>
      </c>
      <c r="L14" s="439">
        <v>2201.25</v>
      </c>
      <c r="M14" s="439">
        <v>2201.25</v>
      </c>
    </row>
    <row r="15" spans="1:14">
      <c r="A15">
        <f>+'q22'!$C$4</f>
        <v>2014</v>
      </c>
      <c r="B15" t="str">
        <f>+Aux!$A$24</f>
        <v>K - Atividades financeiras e de seguros</v>
      </c>
      <c r="C15" t="str">
        <f t="shared" si="0"/>
        <v>K</v>
      </c>
      <c r="D15" s="383" t="s">
        <v>262</v>
      </c>
      <c r="E15" s="439">
        <f>+'q22'!$C$40</f>
        <v>1572.96</v>
      </c>
      <c r="I15" s="405">
        <v>2021</v>
      </c>
      <c r="J15" s="439">
        <v>1031.03</v>
      </c>
      <c r="K15" s="439">
        <v>1224.79</v>
      </c>
      <c r="L15" s="439">
        <v>2255.8199999999997</v>
      </c>
      <c r="M15" s="439">
        <v>2255.8199999999997</v>
      </c>
    </row>
    <row r="16" spans="1:14">
      <c r="A16">
        <f>+'q22'!$C$4</f>
        <v>2014</v>
      </c>
      <c r="B16" t="str">
        <f>+Aux!$A$25</f>
        <v>L - Atividades imobiliárias</v>
      </c>
      <c r="C16" t="str">
        <f t="shared" si="0"/>
        <v>L</v>
      </c>
      <c r="D16" s="383" t="s">
        <v>262</v>
      </c>
      <c r="E16" s="439">
        <f>+'q22'!$C$41</f>
        <v>951.85</v>
      </c>
      <c r="I16" s="405">
        <v>2022</v>
      </c>
      <c r="J16" s="439">
        <v>1095.17</v>
      </c>
      <c r="K16" s="439">
        <v>1302.5899999999999</v>
      </c>
      <c r="L16" s="439">
        <v>2397.7600000000002</v>
      </c>
      <c r="M16" s="439">
        <v>2397.7600000000002</v>
      </c>
    </row>
    <row r="17" spans="1:13">
      <c r="A17">
        <f>+'q22'!$C$4</f>
        <v>2014</v>
      </c>
      <c r="B17" t="str">
        <f>+Aux!$A$26</f>
        <v>M - Atividades de consultoria, científicas, técnicas e similares</v>
      </c>
      <c r="C17" t="str">
        <f t="shared" si="0"/>
        <v>M</v>
      </c>
      <c r="D17" s="383" t="s">
        <v>262</v>
      </c>
      <c r="E17" s="439">
        <f>+'q22'!$C$42</f>
        <v>1170.25</v>
      </c>
      <c r="I17" s="405">
        <v>2023</v>
      </c>
      <c r="J17" s="439">
        <v>1172.58</v>
      </c>
      <c r="K17" s="439">
        <v>1400.65</v>
      </c>
      <c r="L17" s="439">
        <v>2573.23</v>
      </c>
      <c r="M17" s="439">
        <v>2573.23</v>
      </c>
    </row>
    <row r="18" spans="1:13">
      <c r="A18">
        <f>+'q22'!$C$4</f>
        <v>2014</v>
      </c>
      <c r="B18" t="str">
        <f>+Aux!$A$27</f>
        <v>N - Ativ. Admin. e dos serv. apoio</v>
      </c>
      <c r="C18" t="str">
        <f t="shared" si="0"/>
        <v>N</v>
      </c>
      <c r="D18" s="383" t="s">
        <v>262</v>
      </c>
      <c r="E18" s="439">
        <f>+'q22'!$C$43</f>
        <v>772.15</v>
      </c>
      <c r="I18" s="405">
        <v>2024</v>
      </c>
      <c r="J18" s="439">
        <v>1262.53</v>
      </c>
      <c r="K18" s="439">
        <v>1521.41</v>
      </c>
      <c r="L18" s="439">
        <v>2783.94</v>
      </c>
      <c r="M18" s="439">
        <v>2783.94</v>
      </c>
    </row>
    <row r="19" spans="1:13">
      <c r="A19">
        <f>+'q22'!$C$4</f>
        <v>2014</v>
      </c>
      <c r="B19" t="str">
        <f>+Aux!$A$28</f>
        <v>O - Administração pública e defesa; segurança social obrigatória</v>
      </c>
      <c r="C19" t="str">
        <f t="shared" si="0"/>
        <v>O</v>
      </c>
      <c r="D19" s="383" t="s">
        <v>262</v>
      </c>
      <c r="E19" s="439">
        <f>+'q22'!$C$44</f>
        <v>880.99</v>
      </c>
      <c r="I19" s="405" t="s">
        <v>239</v>
      </c>
      <c r="J19" s="439">
        <v>10924.48</v>
      </c>
      <c r="K19" s="439">
        <v>13031.9</v>
      </c>
      <c r="L19" s="439">
        <v>23956.379999999997</v>
      </c>
      <c r="M19" s="439">
        <v>23956.379999999997</v>
      </c>
    </row>
    <row r="20" spans="1:13">
      <c r="A20">
        <f>+'q22'!$C$4</f>
        <v>2014</v>
      </c>
      <c r="B20" t="str">
        <f>+Aux!$A$29</f>
        <v>P - Educação</v>
      </c>
      <c r="C20" t="str">
        <f t="shared" si="0"/>
        <v>P</v>
      </c>
      <c r="D20" s="383" t="s">
        <v>262</v>
      </c>
      <c r="E20" s="439">
        <f>+'q22'!$C$45</f>
        <v>1119.54</v>
      </c>
    </row>
    <row r="21" spans="1:13">
      <c r="A21">
        <f>+'q22'!$C$4</f>
        <v>2014</v>
      </c>
      <c r="B21" t="str">
        <f>+Aux!$A$30</f>
        <v>Q - Ativ. de saúde humana e apoio social</v>
      </c>
      <c r="C21" t="str">
        <f t="shared" si="0"/>
        <v>Q</v>
      </c>
      <c r="D21" s="383" t="s">
        <v>262</v>
      </c>
      <c r="E21" s="439">
        <f>+'q22'!$C$46</f>
        <v>821.86</v>
      </c>
    </row>
    <row r="22" spans="1:13">
      <c r="A22">
        <f>+'q22'!$C$4</f>
        <v>2014</v>
      </c>
      <c r="B22" t="str">
        <f>+Aux!$A$31</f>
        <v>R - Atividades artísticas, de espectáculos, desp. e recreativas</v>
      </c>
      <c r="C22" t="str">
        <f t="shared" si="0"/>
        <v>R</v>
      </c>
      <c r="D22" s="383" t="s">
        <v>262</v>
      </c>
      <c r="E22" s="439">
        <f>+'q22'!$C$47</f>
        <v>1383.37</v>
      </c>
    </row>
    <row r="23" spans="1:13">
      <c r="A23">
        <f>+'q22'!$C$4</f>
        <v>2014</v>
      </c>
      <c r="B23" t="str">
        <f>+Aux!$A$32</f>
        <v>S - Outras atividades de serviços</v>
      </c>
      <c r="C23" t="str">
        <f t="shared" si="0"/>
        <v>S</v>
      </c>
      <c r="D23" s="383" t="s">
        <v>262</v>
      </c>
      <c r="E23" s="439">
        <f>+'q22'!$C$48</f>
        <v>847.6</v>
      </c>
    </row>
    <row r="24" spans="1:13">
      <c r="A24">
        <f>+'q22'!$C$4</f>
        <v>2014</v>
      </c>
      <c r="B24" t="str">
        <f>+Aux!$A$33</f>
        <v>U - Ativ. org. interna. e outras instituições extra-territoriais</v>
      </c>
      <c r="C24" t="str">
        <f t="shared" si="0"/>
        <v>U</v>
      </c>
      <c r="D24" s="383" t="s">
        <v>262</v>
      </c>
      <c r="E24" s="439">
        <f>+'q22'!$C$49</f>
        <v>1772.71</v>
      </c>
    </row>
    <row r="25" spans="1:13">
      <c r="A25">
        <f>+'q22'!$D$4</f>
        <v>2015</v>
      </c>
      <c r="B25" t="str">
        <f>+Aux!$A$14</f>
        <v xml:space="preserve">A - Agricultura, produção animal, caça, floresta e pesca </v>
      </c>
      <c r="C25" t="str">
        <f t="shared" si="0"/>
        <v>A</v>
      </c>
      <c r="D25" s="383" t="s">
        <v>262</v>
      </c>
      <c r="E25" s="439">
        <f>+'q22'!$D$6</f>
        <v>701.34</v>
      </c>
      <c r="I25" s="404" t="s">
        <v>258</v>
      </c>
      <c r="J25" s="404" t="s">
        <v>240</v>
      </c>
    </row>
    <row r="26" spans="1:13">
      <c r="A26">
        <f>+'q22'!$D$4</f>
        <v>2015</v>
      </c>
      <c r="B26" t="str">
        <f>+Aux!$A$15</f>
        <v>B - Indústrias extrativas</v>
      </c>
      <c r="C26" t="str">
        <f t="shared" si="0"/>
        <v>B</v>
      </c>
      <c r="D26" s="383" t="s">
        <v>262</v>
      </c>
      <c r="E26" s="439">
        <f>+'q22'!$D$7</f>
        <v>937.81</v>
      </c>
      <c r="I26" s="404" t="s">
        <v>238</v>
      </c>
      <c r="J26" t="s">
        <v>262</v>
      </c>
      <c r="K26" t="s">
        <v>263</v>
      </c>
      <c r="L26" t="s">
        <v>239</v>
      </c>
    </row>
    <row r="27" spans="1:13">
      <c r="A27">
        <f>+'q22'!$D$4</f>
        <v>2015</v>
      </c>
      <c r="B27" t="str">
        <f>+Aux!$A$16</f>
        <v>C - Ind. transf.</v>
      </c>
      <c r="C27" t="str">
        <f t="shared" si="0"/>
        <v>C</v>
      </c>
      <c r="D27" s="383" t="s">
        <v>262</v>
      </c>
      <c r="E27" s="439">
        <f>+'q22'!$D$8</f>
        <v>856.12</v>
      </c>
      <c r="I27" s="405">
        <v>2014</v>
      </c>
      <c r="J27" s="439">
        <v>844.01</v>
      </c>
      <c r="K27" s="439">
        <v>1003.09</v>
      </c>
      <c r="L27" s="439">
        <v>1847.1</v>
      </c>
    </row>
    <row r="28" spans="1:13">
      <c r="A28">
        <f>+'q22'!$D$4</f>
        <v>2015</v>
      </c>
      <c r="B28" t="str">
        <f>+Aux!$A$17</f>
        <v>D - Eletricidade, gás, vapor, água quente e fria e ar frio</v>
      </c>
      <c r="C28" t="str">
        <f t="shared" si="0"/>
        <v>D</v>
      </c>
      <c r="D28" s="383" t="s">
        <v>262</v>
      </c>
      <c r="E28" s="439">
        <f>+'q22'!$D$33</f>
        <v>2091.5</v>
      </c>
      <c r="I28" s="405">
        <v>2015</v>
      </c>
      <c r="J28" s="439">
        <v>856.12</v>
      </c>
      <c r="K28" s="439">
        <v>1015.82</v>
      </c>
      <c r="L28" s="439">
        <v>1871.94</v>
      </c>
    </row>
    <row r="29" spans="1:13">
      <c r="A29">
        <f>+'q22'!$D$4</f>
        <v>2015</v>
      </c>
      <c r="B29" t="str">
        <f>+Aux!$A$18</f>
        <v>E - Captação, trat. e dist. água; saneam., gest. resíduos e desp.</v>
      </c>
      <c r="C29" t="str">
        <f t="shared" si="0"/>
        <v>E</v>
      </c>
      <c r="D29" s="383" t="s">
        <v>262</v>
      </c>
      <c r="E29" s="439">
        <f>+'q22'!$D$34</f>
        <v>893.71</v>
      </c>
      <c r="I29" s="405">
        <v>2016</v>
      </c>
      <c r="J29" s="439">
        <v>870.08</v>
      </c>
      <c r="K29" s="439">
        <v>1031.5999999999999</v>
      </c>
      <c r="L29" s="439">
        <v>1901.6799999999998</v>
      </c>
    </row>
    <row r="30" spans="1:13">
      <c r="A30">
        <f>+'q22'!$D$4</f>
        <v>2015</v>
      </c>
      <c r="B30" t="str">
        <f>+Aux!$A$19</f>
        <v>F - Construção</v>
      </c>
      <c r="C30" t="str">
        <f t="shared" si="0"/>
        <v>F</v>
      </c>
      <c r="D30" s="383" t="s">
        <v>262</v>
      </c>
      <c r="E30" s="439">
        <f>+'q22'!$D$35</f>
        <v>796.22</v>
      </c>
      <c r="I30" s="405">
        <v>2017</v>
      </c>
      <c r="J30" s="439">
        <v>895.89</v>
      </c>
      <c r="K30" s="439">
        <v>1068.43</v>
      </c>
      <c r="L30" s="439">
        <v>1964.3200000000002</v>
      </c>
    </row>
    <row r="31" spans="1:13">
      <c r="A31">
        <f>+'q22'!$D$4</f>
        <v>2015</v>
      </c>
      <c r="B31" t="str">
        <f>+Aux!$A$20</f>
        <v>G - Com. por grosso e ret. (…)</v>
      </c>
      <c r="C31" t="str">
        <f t="shared" si="0"/>
        <v>G</v>
      </c>
      <c r="D31" s="383" t="s">
        <v>262</v>
      </c>
      <c r="E31" s="439">
        <f>+'q22'!$D$36</f>
        <v>867.89</v>
      </c>
      <c r="I31" s="405">
        <v>2018</v>
      </c>
      <c r="J31" s="439">
        <v>929.15</v>
      </c>
      <c r="K31" s="439">
        <v>1110.54</v>
      </c>
      <c r="L31" s="439">
        <v>2039.69</v>
      </c>
    </row>
    <row r="32" spans="1:13">
      <c r="A32">
        <f>+'q22'!$D$4</f>
        <v>2015</v>
      </c>
      <c r="B32" t="str">
        <f>+Aux!$A$21</f>
        <v>H - Transportes e armazenagem</v>
      </c>
      <c r="C32" t="str">
        <f t="shared" si="0"/>
        <v>H</v>
      </c>
      <c r="D32" s="383" t="s">
        <v>262</v>
      </c>
      <c r="E32" s="439">
        <f>+'q22'!$D$37</f>
        <v>988.25</v>
      </c>
      <c r="I32" s="405">
        <v>2019</v>
      </c>
      <c r="J32" s="439">
        <v>964.71</v>
      </c>
      <c r="K32" s="439">
        <v>1154.94</v>
      </c>
      <c r="L32" s="439">
        <v>2119.65</v>
      </c>
    </row>
    <row r="33" spans="1:12">
      <c r="A33">
        <f>+'q22'!$D$4</f>
        <v>2015</v>
      </c>
      <c r="B33" t="str">
        <f>+Aux!$A$22</f>
        <v>I - Aloj., rest. e sim.</v>
      </c>
      <c r="C33" t="str">
        <f t="shared" si="0"/>
        <v>I</v>
      </c>
      <c r="D33" s="383" t="s">
        <v>262</v>
      </c>
      <c r="E33" s="439">
        <f>+'q22'!$D$38</f>
        <v>673.94</v>
      </c>
      <c r="I33" s="405">
        <v>2020</v>
      </c>
      <c r="J33" s="439">
        <v>1003.21</v>
      </c>
      <c r="K33" s="439">
        <v>1198.04</v>
      </c>
      <c r="L33" s="439">
        <v>2201.25</v>
      </c>
    </row>
    <row r="34" spans="1:12">
      <c r="A34">
        <f>+'q22'!$D$4</f>
        <v>2015</v>
      </c>
      <c r="B34" t="str">
        <f>+Aux!$A$23</f>
        <v>J - Atividades de informação e de comunicação</v>
      </c>
      <c r="C34" t="str">
        <f t="shared" si="0"/>
        <v>J</v>
      </c>
      <c r="D34" s="383" t="s">
        <v>262</v>
      </c>
      <c r="E34" s="439">
        <f>+'q22'!$D$39</f>
        <v>1488.73</v>
      </c>
      <c r="I34" s="405">
        <v>2021</v>
      </c>
      <c r="J34" s="439">
        <v>1031.03</v>
      </c>
      <c r="K34" s="439">
        <v>1224.79</v>
      </c>
      <c r="L34" s="439">
        <v>2255.8199999999997</v>
      </c>
    </row>
    <row r="35" spans="1:12">
      <c r="A35">
        <f>+'q22'!$D$4</f>
        <v>2015</v>
      </c>
      <c r="B35" t="str">
        <f>+Aux!$A$24</f>
        <v>K - Atividades financeiras e de seguros</v>
      </c>
      <c r="C35" t="str">
        <f t="shared" si="0"/>
        <v>K</v>
      </c>
      <c r="D35" s="383" t="s">
        <v>262</v>
      </c>
      <c r="E35" s="439">
        <f>+'q22'!$D$40</f>
        <v>1571.12</v>
      </c>
      <c r="I35" s="405">
        <v>2022</v>
      </c>
      <c r="J35" s="439">
        <v>1095.17</v>
      </c>
      <c r="K35" s="439">
        <v>1302.5899999999999</v>
      </c>
      <c r="L35" s="439">
        <v>2397.7600000000002</v>
      </c>
    </row>
    <row r="36" spans="1:12">
      <c r="A36">
        <f>+'q22'!$D$4</f>
        <v>2015</v>
      </c>
      <c r="B36" t="str">
        <f>+Aux!$A$25</f>
        <v>L - Atividades imobiliárias</v>
      </c>
      <c r="C36" t="str">
        <f t="shared" si="0"/>
        <v>L</v>
      </c>
      <c r="D36" s="383" t="s">
        <v>262</v>
      </c>
      <c r="E36" s="439">
        <f>+'q22'!$D$41</f>
        <v>945.14</v>
      </c>
      <c r="I36" s="405">
        <v>2023</v>
      </c>
      <c r="J36" s="439">
        <v>1172.58</v>
      </c>
      <c r="K36" s="439">
        <v>1400.65</v>
      </c>
      <c r="L36" s="439">
        <v>2573.23</v>
      </c>
    </row>
    <row r="37" spans="1:12">
      <c r="A37">
        <f>+'q22'!$D$4</f>
        <v>2015</v>
      </c>
      <c r="B37" t="str">
        <f>+Aux!$A$26</f>
        <v>M - Atividades de consultoria, científicas, técnicas e similares</v>
      </c>
      <c r="C37" t="str">
        <f t="shared" si="0"/>
        <v>M</v>
      </c>
      <c r="D37" s="383" t="s">
        <v>262</v>
      </c>
      <c r="E37" s="439">
        <f>+'q22'!$D$42</f>
        <v>1171.06</v>
      </c>
      <c r="I37" s="405">
        <v>2024</v>
      </c>
      <c r="J37" s="439">
        <v>1262.53</v>
      </c>
      <c r="K37" s="439">
        <v>1521.41</v>
      </c>
      <c r="L37" s="439">
        <v>2783.94</v>
      </c>
    </row>
    <row r="38" spans="1:12">
      <c r="A38">
        <f>+'q22'!$D$4</f>
        <v>2015</v>
      </c>
      <c r="B38" t="str">
        <f>+Aux!$A$27</f>
        <v>N - Ativ. Admin. e dos serv. apoio</v>
      </c>
      <c r="C38" t="str">
        <f t="shared" si="0"/>
        <v>N</v>
      </c>
      <c r="D38" s="383" t="s">
        <v>262</v>
      </c>
      <c r="E38" s="439">
        <f>+'q22'!$D$43</f>
        <v>768.27</v>
      </c>
      <c r="I38" s="405" t="s">
        <v>239</v>
      </c>
      <c r="J38" s="439">
        <v>10924.48</v>
      </c>
      <c r="K38" s="439">
        <v>13031.9</v>
      </c>
      <c r="L38" s="439">
        <v>23956.379999999997</v>
      </c>
    </row>
    <row r="39" spans="1:12">
      <c r="A39">
        <f>+'q22'!$D$4</f>
        <v>2015</v>
      </c>
      <c r="B39" t="str">
        <f>+Aux!$A$28</f>
        <v>O - Administração pública e defesa; segurança social obrigatória</v>
      </c>
      <c r="C39" t="str">
        <f t="shared" si="0"/>
        <v>O</v>
      </c>
      <c r="D39" s="383" t="s">
        <v>262</v>
      </c>
      <c r="E39" s="439">
        <f>+'q22'!$D$44</f>
        <v>849.2</v>
      </c>
    </row>
    <row r="40" spans="1:12">
      <c r="A40">
        <f>+'q22'!$D$4</f>
        <v>2015</v>
      </c>
      <c r="B40" t="str">
        <f>+Aux!$A$29</f>
        <v>P - Educação</v>
      </c>
      <c r="C40" t="str">
        <f t="shared" si="0"/>
        <v>P</v>
      </c>
      <c r="D40" s="383" t="s">
        <v>262</v>
      </c>
      <c r="E40" s="439">
        <f>+'q22'!$D$45</f>
        <v>1118.44</v>
      </c>
    </row>
    <row r="41" spans="1:12">
      <c r="A41">
        <f>+'q22'!$D$4</f>
        <v>2015</v>
      </c>
      <c r="B41" t="str">
        <f>+Aux!$A$30</f>
        <v>Q - Ativ. de saúde humana e apoio social</v>
      </c>
      <c r="C41" t="str">
        <f t="shared" si="0"/>
        <v>Q</v>
      </c>
      <c r="D41" s="383" t="s">
        <v>262</v>
      </c>
      <c r="E41" s="439">
        <f>+'q22'!$D$46</f>
        <v>833.44</v>
      </c>
      <c r="I41" s="404" t="s">
        <v>253</v>
      </c>
      <c r="J41" t="s">
        <v>958</v>
      </c>
    </row>
    <row r="42" spans="1:12">
      <c r="A42">
        <f>+'q22'!$D$4</f>
        <v>2015</v>
      </c>
      <c r="B42" t="str">
        <f>+Aux!$A$31</f>
        <v>R - Atividades artísticas, de espectáculos, desp. e recreativas</v>
      </c>
      <c r="C42" t="str">
        <f t="shared" si="0"/>
        <v>R</v>
      </c>
      <c r="D42" s="383" t="s">
        <v>262</v>
      </c>
      <c r="E42" s="439">
        <f>+'q22'!$D$47</f>
        <v>1514.4</v>
      </c>
    </row>
    <row r="43" spans="1:12">
      <c r="A43">
        <f>+'q22'!$D$4</f>
        <v>2015</v>
      </c>
      <c r="B43" t="str">
        <f>+Aux!$A$32</f>
        <v>S - Outras atividades de serviços</v>
      </c>
      <c r="C43" t="str">
        <f t="shared" si="0"/>
        <v>S</v>
      </c>
      <c r="D43" s="383" t="s">
        <v>262</v>
      </c>
      <c r="E43" s="439">
        <f>+'q22'!$D$48</f>
        <v>847.05</v>
      </c>
      <c r="I43" s="404" t="s">
        <v>258</v>
      </c>
      <c r="J43" s="404" t="s">
        <v>240</v>
      </c>
    </row>
    <row r="44" spans="1:12">
      <c r="A44">
        <f>+'q22'!$D$4</f>
        <v>2015</v>
      </c>
      <c r="B44" t="str">
        <f>+Aux!$A$33</f>
        <v>U - Ativ. org. interna. e outras instituições extra-territoriais</v>
      </c>
      <c r="C44" t="str">
        <f t="shared" si="0"/>
        <v>U</v>
      </c>
      <c r="D44" s="383" t="s">
        <v>262</v>
      </c>
      <c r="E44" s="439">
        <f>+'q22'!$D$49</f>
        <v>1910.54</v>
      </c>
      <c r="I44" s="404" t="s">
        <v>238</v>
      </c>
    </row>
    <row r="45" spans="1:12">
      <c r="A45">
        <f>+'q22'!$E$4</f>
        <v>2016</v>
      </c>
      <c r="B45" t="str">
        <f>+Aux!$A$14</f>
        <v xml:space="preserve">A - Agricultura, produção animal, caça, floresta e pesca </v>
      </c>
      <c r="C45" t="str">
        <f t="shared" si="0"/>
        <v>A</v>
      </c>
      <c r="D45" s="383" t="s">
        <v>262</v>
      </c>
      <c r="E45" s="439">
        <f>+'q22'!$E$6</f>
        <v>726.49</v>
      </c>
    </row>
    <row r="46" spans="1:12">
      <c r="A46">
        <f>+'q22'!$E$4</f>
        <v>2016</v>
      </c>
      <c r="B46" t="str">
        <f>+Aux!$A$15</f>
        <v>B - Indústrias extrativas</v>
      </c>
      <c r="C46" t="str">
        <f t="shared" si="0"/>
        <v>B</v>
      </c>
      <c r="D46" s="383" t="s">
        <v>262</v>
      </c>
      <c r="E46" s="439">
        <f>+'q22'!$E$7</f>
        <v>958.1</v>
      </c>
    </row>
    <row r="47" spans="1:12">
      <c r="A47">
        <f>+'q22'!$E$4</f>
        <v>2016</v>
      </c>
      <c r="B47" t="str">
        <f>+Aux!$A$16</f>
        <v>C - Ind. transf.</v>
      </c>
      <c r="C47" t="str">
        <f t="shared" si="0"/>
        <v>C</v>
      </c>
      <c r="D47" s="383" t="s">
        <v>262</v>
      </c>
      <c r="E47" s="439">
        <f>+'q22'!$E$8</f>
        <v>870.08</v>
      </c>
    </row>
    <row r="48" spans="1:12">
      <c r="A48">
        <f>+'q22'!$E$4</f>
        <v>2016</v>
      </c>
      <c r="B48" t="str">
        <f>+Aux!$A$17</f>
        <v>D - Eletricidade, gás, vapor, água quente e fria e ar frio</v>
      </c>
      <c r="C48" t="str">
        <f t="shared" si="0"/>
        <v>D</v>
      </c>
      <c r="D48" s="383" t="s">
        <v>262</v>
      </c>
      <c r="E48" s="439">
        <f>+'q22'!$E$33</f>
        <v>2075.64</v>
      </c>
    </row>
    <row r="49" spans="1:5">
      <c r="A49">
        <f>+'q22'!$E$4</f>
        <v>2016</v>
      </c>
      <c r="B49" t="str">
        <f>+Aux!$A$18</f>
        <v>E - Captação, trat. e dist. água; saneam., gest. resíduos e desp.</v>
      </c>
      <c r="C49" t="str">
        <f t="shared" si="0"/>
        <v>E</v>
      </c>
      <c r="D49" s="383" t="s">
        <v>262</v>
      </c>
      <c r="E49" s="439">
        <f>+'q22'!$E$34</f>
        <v>883.84</v>
      </c>
    </row>
    <row r="50" spans="1:5">
      <c r="A50">
        <f>+'q22'!$E$4</f>
        <v>2016</v>
      </c>
      <c r="B50" t="str">
        <f>+Aux!$A$19</f>
        <v>F - Construção</v>
      </c>
      <c r="C50" t="str">
        <f t="shared" si="0"/>
        <v>F</v>
      </c>
      <c r="D50" s="383" t="s">
        <v>262</v>
      </c>
      <c r="E50" s="439">
        <f>+'q22'!$E$35</f>
        <v>798.87</v>
      </c>
    </row>
    <row r="51" spans="1:5">
      <c r="A51">
        <f>+'q22'!$E$4</f>
        <v>2016</v>
      </c>
      <c r="B51" t="str">
        <f>+Aux!$A$20</f>
        <v>G - Com. por grosso e ret. (…)</v>
      </c>
      <c r="C51" t="str">
        <f t="shared" si="0"/>
        <v>G</v>
      </c>
      <c r="D51" s="383" t="s">
        <v>262</v>
      </c>
      <c r="E51" s="439">
        <f>+'q22'!$E$36</f>
        <v>881.9</v>
      </c>
    </row>
    <row r="52" spans="1:5">
      <c r="A52">
        <f>+'q22'!$E$4</f>
        <v>2016</v>
      </c>
      <c r="B52" t="str">
        <f>+Aux!$A$21</f>
        <v>H - Transportes e armazenagem</v>
      </c>
      <c r="C52" t="str">
        <f t="shared" si="0"/>
        <v>H</v>
      </c>
      <c r="D52" s="383" t="s">
        <v>262</v>
      </c>
      <c r="E52" s="439">
        <f>+'q22'!$E$37</f>
        <v>994.98</v>
      </c>
    </row>
    <row r="53" spans="1:5">
      <c r="A53">
        <f>+'q22'!$E$4</f>
        <v>2016</v>
      </c>
      <c r="B53" t="str">
        <f>+Aux!$A$22</f>
        <v>I - Aloj., rest. e sim.</v>
      </c>
      <c r="C53" t="str">
        <f t="shared" si="0"/>
        <v>I</v>
      </c>
      <c r="D53" s="383" t="s">
        <v>262</v>
      </c>
      <c r="E53" s="439">
        <f>+'q22'!$E$38</f>
        <v>690.54</v>
      </c>
    </row>
    <row r="54" spans="1:5">
      <c r="A54">
        <f>+'q22'!$E$4</f>
        <v>2016</v>
      </c>
      <c r="B54" t="str">
        <f>+Aux!$A$23</f>
        <v>J - Atividades de informação e de comunicação</v>
      </c>
      <c r="C54" t="str">
        <f t="shared" si="0"/>
        <v>J</v>
      </c>
      <c r="D54" s="383" t="s">
        <v>262</v>
      </c>
      <c r="E54" s="439">
        <f>+'q22'!$E$39</f>
        <v>1520.09</v>
      </c>
    </row>
    <row r="55" spans="1:5">
      <c r="A55">
        <f>+'q22'!$E$4</f>
        <v>2016</v>
      </c>
      <c r="B55" t="str">
        <f>+Aux!$A$24</f>
        <v>K - Atividades financeiras e de seguros</v>
      </c>
      <c r="C55" t="str">
        <f t="shared" si="0"/>
        <v>K</v>
      </c>
      <c r="D55" s="383" t="s">
        <v>262</v>
      </c>
      <c r="E55" s="439">
        <f>+'q22'!$E$40</f>
        <v>1585.29</v>
      </c>
    </row>
    <row r="56" spans="1:5">
      <c r="A56">
        <f>+'q22'!$E$4</f>
        <v>2016</v>
      </c>
      <c r="B56" t="str">
        <f>+Aux!$A$25</f>
        <v>L - Atividades imobiliárias</v>
      </c>
      <c r="C56" t="str">
        <f t="shared" si="0"/>
        <v>L</v>
      </c>
      <c r="D56" s="383" t="s">
        <v>262</v>
      </c>
      <c r="E56" s="439">
        <f>+'q22'!$E$41</f>
        <v>969.55</v>
      </c>
    </row>
    <row r="57" spans="1:5">
      <c r="A57">
        <f>+'q22'!$E$4</f>
        <v>2016</v>
      </c>
      <c r="B57" t="str">
        <f>+Aux!$A$26</f>
        <v>M - Atividades de consultoria, científicas, técnicas e similares</v>
      </c>
      <c r="C57" t="str">
        <f t="shared" si="0"/>
        <v>M</v>
      </c>
      <c r="D57" s="383" t="s">
        <v>262</v>
      </c>
      <c r="E57" s="439">
        <f>+'q22'!$E$42</f>
        <v>1183.3900000000001</v>
      </c>
    </row>
    <row r="58" spans="1:5">
      <c r="A58">
        <f>+'q22'!$E$4</f>
        <v>2016</v>
      </c>
      <c r="B58" t="str">
        <f>+Aux!$A$27</f>
        <v>N - Ativ. Admin. e dos serv. apoio</v>
      </c>
      <c r="C58" t="str">
        <f t="shared" si="0"/>
        <v>N</v>
      </c>
      <c r="D58" s="383" t="s">
        <v>262</v>
      </c>
      <c r="E58" s="439">
        <f>+'q22'!$E$43</f>
        <v>772.59</v>
      </c>
    </row>
    <row r="59" spans="1:5">
      <c r="A59">
        <f>+'q22'!$E$4</f>
        <v>2016</v>
      </c>
      <c r="B59" t="str">
        <f>+Aux!$A$28</f>
        <v>O - Administração pública e defesa; segurança social obrigatória</v>
      </c>
      <c r="C59" t="str">
        <f t="shared" si="0"/>
        <v>O</v>
      </c>
      <c r="D59" s="383" t="s">
        <v>262</v>
      </c>
      <c r="E59" s="439">
        <f>+'q22'!$E$44</f>
        <v>848.71</v>
      </c>
    </row>
    <row r="60" spans="1:5">
      <c r="A60">
        <f>+'q22'!$E$4</f>
        <v>2016</v>
      </c>
      <c r="B60" t="str">
        <f>+Aux!$A$29</f>
        <v>P - Educação</v>
      </c>
      <c r="C60" t="str">
        <f t="shared" si="0"/>
        <v>P</v>
      </c>
      <c r="D60" s="383" t="s">
        <v>262</v>
      </c>
      <c r="E60" s="439">
        <f>+'q22'!$E$45</f>
        <v>1121.57</v>
      </c>
    </row>
    <row r="61" spans="1:5">
      <c r="A61">
        <f>+'q22'!$E$4</f>
        <v>2016</v>
      </c>
      <c r="B61" t="str">
        <f>+Aux!$A$30</f>
        <v>Q - Ativ. de saúde humana e apoio social</v>
      </c>
      <c r="C61" t="str">
        <f t="shared" si="0"/>
        <v>Q</v>
      </c>
      <c r="D61" s="383" t="s">
        <v>262</v>
      </c>
      <c r="E61" s="439">
        <f>+'q22'!$E$46</f>
        <v>851.36</v>
      </c>
    </row>
    <row r="62" spans="1:5">
      <c r="A62">
        <f>+'q22'!$E$4</f>
        <v>2016</v>
      </c>
      <c r="B62" t="str">
        <f>+Aux!$A$31</f>
        <v>R - Atividades artísticas, de espectáculos, desp. e recreativas</v>
      </c>
      <c r="C62" t="str">
        <f t="shared" si="0"/>
        <v>R</v>
      </c>
      <c r="D62" s="383" t="s">
        <v>262</v>
      </c>
      <c r="E62" s="439">
        <f>+'q22'!$E$47</f>
        <v>1537.25</v>
      </c>
    </row>
    <row r="63" spans="1:5">
      <c r="A63">
        <f>+'q22'!$E$4</f>
        <v>2016</v>
      </c>
      <c r="B63" t="str">
        <f>+Aux!$A$32</f>
        <v>S - Outras atividades de serviços</v>
      </c>
      <c r="C63" t="str">
        <f t="shared" si="0"/>
        <v>S</v>
      </c>
      <c r="D63" s="383" t="s">
        <v>262</v>
      </c>
      <c r="E63" s="439">
        <f>+'q22'!$E$48</f>
        <v>857.44</v>
      </c>
    </row>
    <row r="64" spans="1:5">
      <c r="A64">
        <f>+'q22'!$E$4</f>
        <v>2016</v>
      </c>
      <c r="B64" t="str">
        <f>+Aux!$A$33</f>
        <v>U - Ativ. org. interna. e outras instituições extra-territoriais</v>
      </c>
      <c r="C64" t="str">
        <f t="shared" si="0"/>
        <v>U</v>
      </c>
      <c r="D64" s="383" t="s">
        <v>262</v>
      </c>
      <c r="E64" s="439">
        <f>+'q22'!$E$49</f>
        <v>2028.96</v>
      </c>
    </row>
    <row r="65" spans="1:16">
      <c r="A65">
        <f>+'q22'!$F$4</f>
        <v>2017</v>
      </c>
      <c r="B65" t="str">
        <f>+Aux!$A$14</f>
        <v xml:space="preserve">A - Agricultura, produção animal, caça, floresta e pesca </v>
      </c>
      <c r="C65" t="str">
        <f t="shared" si="0"/>
        <v>A</v>
      </c>
      <c r="D65" s="383" t="s">
        <v>262</v>
      </c>
      <c r="E65" s="439">
        <f>+'q22'!$F$6</f>
        <v>738.39</v>
      </c>
    </row>
    <row r="66" spans="1:16">
      <c r="A66">
        <f>+'q22'!$F$4</f>
        <v>2017</v>
      </c>
      <c r="B66" t="str">
        <f>+Aux!$A$15</f>
        <v>B - Indústrias extrativas</v>
      </c>
      <c r="C66" t="str">
        <f t="shared" si="0"/>
        <v>B</v>
      </c>
      <c r="D66" s="383" t="s">
        <v>262</v>
      </c>
      <c r="E66" s="439">
        <f>+'q22'!$F$7</f>
        <v>986.18</v>
      </c>
    </row>
    <row r="67" spans="1:16">
      <c r="A67">
        <f>+'q22'!$F$4</f>
        <v>2017</v>
      </c>
      <c r="B67" t="str">
        <f>+Aux!$A$16</f>
        <v>C - Ind. transf.</v>
      </c>
      <c r="C67" t="str">
        <f t="shared" si="0"/>
        <v>C</v>
      </c>
      <c r="D67" s="383" t="s">
        <v>262</v>
      </c>
      <c r="E67" s="439">
        <f>+'q22'!$F$8</f>
        <v>895.89</v>
      </c>
    </row>
    <row r="68" spans="1:16">
      <c r="A68">
        <f>+'q22'!$F$4</f>
        <v>2017</v>
      </c>
      <c r="B68" t="str">
        <f>+Aux!$A$17</f>
        <v>D - Eletricidade, gás, vapor, água quente e fria e ar frio</v>
      </c>
      <c r="C68" t="str">
        <f t="shared" si="0"/>
        <v>D</v>
      </c>
      <c r="D68" s="383" t="s">
        <v>262</v>
      </c>
      <c r="E68" s="439">
        <f>+'q22'!$F$33</f>
        <v>2070.14</v>
      </c>
    </row>
    <row r="69" spans="1:16">
      <c r="A69">
        <f>+'q22'!$F$4</f>
        <v>2017</v>
      </c>
      <c r="B69" t="str">
        <f>+Aux!$A$18</f>
        <v>E - Captação, trat. e dist. água; saneam., gest. resíduos e desp.</v>
      </c>
      <c r="C69" t="str">
        <f t="shared" si="0"/>
        <v>E</v>
      </c>
      <c r="D69" s="383" t="s">
        <v>262</v>
      </c>
      <c r="E69" s="439">
        <f>+'q22'!$F$34</f>
        <v>891.49</v>
      </c>
      <c r="I69" s="383"/>
    </row>
    <row r="70" spans="1:16">
      <c r="A70">
        <f>+'q22'!$F$4</f>
        <v>2017</v>
      </c>
      <c r="B70" t="str">
        <f>+Aux!$A$19</f>
        <v>F - Construção</v>
      </c>
      <c r="C70" t="str">
        <f t="shared" ref="C70:C133" si="1">+LEFT(B70,1)</f>
        <v>F</v>
      </c>
      <c r="D70" s="383" t="s">
        <v>262</v>
      </c>
      <c r="E70" s="439">
        <f>+'q22'!$F$35</f>
        <v>808.62</v>
      </c>
    </row>
    <row r="71" spans="1:16">
      <c r="A71">
        <f>+'q22'!$F$4</f>
        <v>2017</v>
      </c>
      <c r="B71" t="str">
        <f>+Aux!$A$20</f>
        <v>G - Com. por grosso e ret. (…)</v>
      </c>
      <c r="C71" t="str">
        <f t="shared" si="1"/>
        <v>G</v>
      </c>
      <c r="D71" s="383" t="s">
        <v>262</v>
      </c>
      <c r="E71" s="439">
        <f>+'q22'!$F$36</f>
        <v>900.4</v>
      </c>
    </row>
    <row r="72" spans="1:16">
      <c r="A72">
        <f>+'q22'!$F$4</f>
        <v>2017</v>
      </c>
      <c r="B72" t="str">
        <f>+Aux!$A$21</f>
        <v>H - Transportes e armazenagem</v>
      </c>
      <c r="C72" t="str">
        <f t="shared" si="1"/>
        <v>H</v>
      </c>
      <c r="D72" s="383" t="s">
        <v>262</v>
      </c>
      <c r="E72" s="439">
        <f>+'q22'!$F$37</f>
        <v>1002.64</v>
      </c>
      <c r="P72" s="438"/>
    </row>
    <row r="73" spans="1:16">
      <c r="A73">
        <f>+'q22'!$F$4</f>
        <v>2017</v>
      </c>
      <c r="B73" t="str">
        <f>+Aux!$A$22</f>
        <v>I - Aloj., rest. e sim.</v>
      </c>
      <c r="C73" t="str">
        <f t="shared" si="1"/>
        <v>I</v>
      </c>
      <c r="D73" s="383" t="s">
        <v>262</v>
      </c>
      <c r="E73" s="439">
        <f>+'q22'!$F$38</f>
        <v>713.45</v>
      </c>
    </row>
    <row r="74" spans="1:16">
      <c r="A74">
        <f>+'q22'!$F$4</f>
        <v>2017</v>
      </c>
      <c r="B74" t="str">
        <f>+Aux!$A$23</f>
        <v>J - Atividades de informação e de comunicação</v>
      </c>
      <c r="C74" t="str">
        <f t="shared" si="1"/>
        <v>J</v>
      </c>
      <c r="D74" s="383" t="s">
        <v>262</v>
      </c>
      <c r="E74" s="439">
        <f>+'q22'!$F$39</f>
        <v>1522.79</v>
      </c>
    </row>
    <row r="75" spans="1:16">
      <c r="A75">
        <f>+'q22'!$F$4</f>
        <v>2017</v>
      </c>
      <c r="B75" t="str">
        <f>+Aux!$A$24</f>
        <v>K - Atividades financeiras e de seguros</v>
      </c>
      <c r="C75" t="str">
        <f t="shared" si="1"/>
        <v>K</v>
      </c>
      <c r="D75" s="383" t="s">
        <v>262</v>
      </c>
      <c r="E75" s="439">
        <f>+'q22'!$F$40</f>
        <v>1592.44</v>
      </c>
    </row>
    <row r="76" spans="1:16">
      <c r="A76">
        <f>+'q22'!$F$4</f>
        <v>2017</v>
      </c>
      <c r="B76" t="str">
        <f>+Aux!$A$25</f>
        <v>L - Atividades imobiliárias</v>
      </c>
      <c r="C76" t="str">
        <f t="shared" si="1"/>
        <v>L</v>
      </c>
      <c r="D76" s="383" t="s">
        <v>262</v>
      </c>
      <c r="E76" s="439">
        <f>+'q22'!$F$41</f>
        <v>978.99</v>
      </c>
    </row>
    <row r="77" spans="1:16">
      <c r="A77">
        <f>+'q22'!$F$4</f>
        <v>2017</v>
      </c>
      <c r="B77" t="str">
        <f>+Aux!$A$26</f>
        <v>M - Atividades de consultoria, científicas, técnicas e similares</v>
      </c>
      <c r="C77" t="str">
        <f t="shared" si="1"/>
        <v>M</v>
      </c>
      <c r="D77" s="383" t="s">
        <v>262</v>
      </c>
      <c r="E77" s="439">
        <f>+'q22'!$F$42</f>
        <v>1225.58</v>
      </c>
    </row>
    <row r="78" spans="1:16">
      <c r="A78">
        <f>+'q22'!$F$4</f>
        <v>2017</v>
      </c>
      <c r="B78" t="str">
        <f>+Aux!$A$27</f>
        <v>N - Ativ. Admin. e dos serv. apoio</v>
      </c>
      <c r="C78" t="str">
        <f t="shared" si="1"/>
        <v>N</v>
      </c>
      <c r="D78" s="383" t="s">
        <v>262</v>
      </c>
      <c r="E78" s="439">
        <f>+'q22'!$F$43</f>
        <v>787.93</v>
      </c>
    </row>
    <row r="79" spans="1:16">
      <c r="A79">
        <f>+'q22'!$F$4</f>
        <v>2017</v>
      </c>
      <c r="B79" t="str">
        <f>+Aux!$A$28</f>
        <v>O - Administração pública e defesa; segurança social obrigatória</v>
      </c>
      <c r="C79" t="str">
        <f t="shared" si="1"/>
        <v>O</v>
      </c>
      <c r="D79" s="383" t="s">
        <v>262</v>
      </c>
      <c r="E79" s="439">
        <f>+'q22'!$F$44</f>
        <v>866.69</v>
      </c>
    </row>
    <row r="80" spans="1:16">
      <c r="A80">
        <f>+'q22'!$F$4</f>
        <v>2017</v>
      </c>
      <c r="B80" t="str">
        <f>+Aux!$A$29</f>
        <v>P - Educação</v>
      </c>
      <c r="C80" t="str">
        <f t="shared" si="1"/>
        <v>P</v>
      </c>
      <c r="D80" s="383" t="s">
        <v>262</v>
      </c>
      <c r="E80" s="439">
        <f>+'q22'!$F$45</f>
        <v>1136.27</v>
      </c>
    </row>
    <row r="81" spans="1:9">
      <c r="A81">
        <f>+'q22'!$F$4</f>
        <v>2017</v>
      </c>
      <c r="B81" t="str">
        <f>+Aux!$A$30</f>
        <v>Q - Ativ. de saúde humana e apoio social</v>
      </c>
      <c r="C81" t="str">
        <f t="shared" si="1"/>
        <v>Q</v>
      </c>
      <c r="D81" s="383" t="s">
        <v>262</v>
      </c>
      <c r="E81" s="439">
        <f>+'q22'!$F$46</f>
        <v>871</v>
      </c>
    </row>
    <row r="82" spans="1:9">
      <c r="A82">
        <f>+'q22'!$F$4</f>
        <v>2017</v>
      </c>
      <c r="B82" t="str">
        <f>+Aux!$A$31</f>
        <v>R - Atividades artísticas, de espectáculos, desp. e recreativas</v>
      </c>
      <c r="C82" t="str">
        <f t="shared" si="1"/>
        <v>R</v>
      </c>
      <c r="D82" s="383" t="s">
        <v>262</v>
      </c>
      <c r="E82" s="439">
        <f>+'q22'!$F$47</f>
        <v>1612.9</v>
      </c>
    </row>
    <row r="83" spans="1:9">
      <c r="A83">
        <f>+'q22'!$F$4</f>
        <v>2017</v>
      </c>
      <c r="B83" t="str">
        <f>+Aux!$A$32</f>
        <v>S - Outras atividades de serviços</v>
      </c>
      <c r="C83" t="str">
        <f t="shared" si="1"/>
        <v>S</v>
      </c>
      <c r="D83" s="383" t="s">
        <v>262</v>
      </c>
      <c r="E83" s="439">
        <f>+'q22'!$F$48</f>
        <v>877.34</v>
      </c>
      <c r="I83" s="529" t="s">
        <v>453</v>
      </c>
    </row>
    <row r="84" spans="1:9">
      <c r="A84">
        <f>+'q22'!$F$4</f>
        <v>2017</v>
      </c>
      <c r="B84" t="str">
        <f>+Aux!$A$33</f>
        <v>U - Ativ. org. interna. e outras instituições extra-territoriais</v>
      </c>
      <c r="C84" t="str">
        <f t="shared" si="1"/>
        <v>U</v>
      </c>
      <c r="D84" s="383" t="s">
        <v>262</v>
      </c>
      <c r="E84" s="439">
        <f>+'q22'!$F$49</f>
        <v>1986.43</v>
      </c>
      <c r="I84" s="529" t="s">
        <v>451</v>
      </c>
    </row>
    <row r="85" spans="1:9">
      <c r="A85">
        <f>+'q22'!$G$4</f>
        <v>2018</v>
      </c>
      <c r="B85" t="str">
        <f>+Aux!$A$14</f>
        <v xml:space="preserve">A - Agricultura, produção animal, caça, floresta e pesca </v>
      </c>
      <c r="C85" t="str">
        <f t="shared" si="1"/>
        <v>A</v>
      </c>
      <c r="D85" s="383" t="s">
        <v>262</v>
      </c>
      <c r="E85" s="439">
        <f>+'q22'!$G$6</f>
        <v>773.22</v>
      </c>
    </row>
    <row r="86" spans="1:9">
      <c r="A86">
        <f>+'q22'!$G$4</f>
        <v>2018</v>
      </c>
      <c r="B86" t="str">
        <f>+Aux!$A$15</f>
        <v>B - Indústrias extrativas</v>
      </c>
      <c r="C86" t="str">
        <f t="shared" si="1"/>
        <v>B</v>
      </c>
      <c r="D86" s="383" t="s">
        <v>262</v>
      </c>
      <c r="E86" s="439">
        <f>+'q22'!$G$7</f>
        <v>1036.73</v>
      </c>
    </row>
    <row r="87" spans="1:9">
      <c r="A87">
        <f>+'q22'!$G$4</f>
        <v>2018</v>
      </c>
      <c r="B87" t="str">
        <f>+Aux!$A$16</f>
        <v>C - Ind. transf.</v>
      </c>
      <c r="C87" t="str">
        <f t="shared" si="1"/>
        <v>C</v>
      </c>
      <c r="D87" s="383" t="s">
        <v>262</v>
      </c>
      <c r="E87" s="439">
        <f>+'q22'!$G$8</f>
        <v>929.15</v>
      </c>
    </row>
    <row r="88" spans="1:9">
      <c r="A88">
        <f>+'q22'!$G$4</f>
        <v>2018</v>
      </c>
      <c r="B88" t="str">
        <f>+Aux!$A$17</f>
        <v>D - Eletricidade, gás, vapor, água quente e fria e ar frio</v>
      </c>
      <c r="C88" t="str">
        <f t="shared" si="1"/>
        <v>D</v>
      </c>
      <c r="D88" s="383" t="s">
        <v>262</v>
      </c>
      <c r="E88" s="439">
        <f>+'q22'!$G$33</f>
        <v>2080.65</v>
      </c>
    </row>
    <row r="89" spans="1:9">
      <c r="A89">
        <f>+'q22'!$G$4</f>
        <v>2018</v>
      </c>
      <c r="B89" t="str">
        <f>+Aux!$A$18</f>
        <v>E - Captação, trat. e dist. água; saneam., gest. resíduos e desp.</v>
      </c>
      <c r="C89" t="str">
        <f t="shared" si="1"/>
        <v>E</v>
      </c>
      <c r="D89" s="383" t="s">
        <v>262</v>
      </c>
      <c r="E89" s="439">
        <f>+'q22'!$G$34</f>
        <v>920.04</v>
      </c>
    </row>
    <row r="90" spans="1:9">
      <c r="A90">
        <f>+'q22'!$G$4</f>
        <v>2018</v>
      </c>
      <c r="B90" t="str">
        <f>+Aux!$A$19</f>
        <v>F - Construção</v>
      </c>
      <c r="C90" t="str">
        <f t="shared" si="1"/>
        <v>F</v>
      </c>
      <c r="D90" s="383" t="s">
        <v>262</v>
      </c>
      <c r="E90" s="439">
        <f>+'q22'!$G$35</f>
        <v>824.76</v>
      </c>
    </row>
    <row r="91" spans="1:9">
      <c r="A91">
        <f>+'q22'!$G$4</f>
        <v>2018</v>
      </c>
      <c r="B91" t="str">
        <f>+Aux!$A$20</f>
        <v>G - Com. por grosso e ret. (…)</v>
      </c>
      <c r="C91" t="str">
        <f t="shared" si="1"/>
        <v>G</v>
      </c>
      <c r="D91" s="383" t="s">
        <v>262</v>
      </c>
      <c r="E91" s="439">
        <f>+'q22'!$G$36</f>
        <v>924.91</v>
      </c>
    </row>
    <row r="92" spans="1:9">
      <c r="A92">
        <f>+'q22'!$G$4</f>
        <v>2018</v>
      </c>
      <c r="B92" t="str">
        <f>+Aux!$A$21</f>
        <v>H - Transportes e armazenagem</v>
      </c>
      <c r="C92" t="str">
        <f t="shared" si="1"/>
        <v>H</v>
      </c>
      <c r="D92" s="383" t="s">
        <v>262</v>
      </c>
      <c r="E92" s="439">
        <f>+'q22'!$G$37</f>
        <v>1033.97</v>
      </c>
    </row>
    <row r="93" spans="1:9">
      <c r="A93">
        <f>+'q22'!$G$4</f>
        <v>2018</v>
      </c>
      <c r="B93" t="str">
        <f>+Aux!$A$22</f>
        <v>I - Aloj., rest. e sim.</v>
      </c>
      <c r="C93" t="str">
        <f t="shared" si="1"/>
        <v>I</v>
      </c>
      <c r="D93" s="383" t="s">
        <v>262</v>
      </c>
      <c r="E93" s="439">
        <f>+'q22'!$G$38</f>
        <v>739.37</v>
      </c>
    </row>
    <row r="94" spans="1:9">
      <c r="A94">
        <f>+'q22'!$G$4</f>
        <v>2018</v>
      </c>
      <c r="B94" t="str">
        <f>+Aux!$A$23</f>
        <v>J - Atividades de informação e de comunicação</v>
      </c>
      <c r="C94" t="str">
        <f t="shared" si="1"/>
        <v>J</v>
      </c>
      <c r="D94" s="383" t="s">
        <v>262</v>
      </c>
      <c r="E94" s="439">
        <f>+'q22'!$G$39</f>
        <v>1562.86</v>
      </c>
    </row>
    <row r="95" spans="1:9">
      <c r="A95">
        <f>+'q22'!$G$4</f>
        <v>2018</v>
      </c>
      <c r="B95" t="str">
        <f>+Aux!$A$24</f>
        <v>K - Atividades financeiras e de seguros</v>
      </c>
      <c r="C95" t="str">
        <f t="shared" si="1"/>
        <v>K</v>
      </c>
      <c r="D95" s="383" t="s">
        <v>262</v>
      </c>
      <c r="E95" s="439">
        <f>+'q22'!$G$40</f>
        <v>1601.12</v>
      </c>
    </row>
    <row r="96" spans="1:9">
      <c r="A96">
        <f>+'q22'!$G$4</f>
        <v>2018</v>
      </c>
      <c r="B96" t="str">
        <f>+Aux!$A$25</f>
        <v>L - Atividades imobiliárias</v>
      </c>
      <c r="C96" t="str">
        <f t="shared" si="1"/>
        <v>L</v>
      </c>
      <c r="D96" s="383" t="s">
        <v>262</v>
      </c>
      <c r="E96" s="439">
        <f>+'q22'!$G$41</f>
        <v>1001.04</v>
      </c>
    </row>
    <row r="97" spans="1:12">
      <c r="A97">
        <f>+'q22'!$G$4</f>
        <v>2018</v>
      </c>
      <c r="B97" t="str">
        <f>+Aux!$A$26</f>
        <v>M - Atividades de consultoria, científicas, técnicas e similares</v>
      </c>
      <c r="C97" t="str">
        <f t="shared" si="1"/>
        <v>M</v>
      </c>
      <c r="D97" s="383" t="s">
        <v>262</v>
      </c>
      <c r="E97" s="439">
        <f>+'q22'!$G$42</f>
        <v>1249.78</v>
      </c>
    </row>
    <row r="98" spans="1:12">
      <c r="A98">
        <f>+'q22'!$G$4</f>
        <v>2018</v>
      </c>
      <c r="B98" t="str">
        <f>+Aux!$A$27</f>
        <v>N - Ativ. Admin. e dos serv. apoio</v>
      </c>
      <c r="C98" t="str">
        <f t="shared" si="1"/>
        <v>N</v>
      </c>
      <c r="D98" s="383" t="s">
        <v>262</v>
      </c>
      <c r="E98" s="439">
        <f>+'q22'!$G$43</f>
        <v>807.44</v>
      </c>
    </row>
    <row r="99" spans="1:12">
      <c r="A99">
        <f>+'q22'!$G$4</f>
        <v>2018</v>
      </c>
      <c r="B99" t="str">
        <f>+Aux!$A$28</f>
        <v>O - Administração pública e defesa; segurança social obrigatória</v>
      </c>
      <c r="C99" t="str">
        <f t="shared" si="1"/>
        <v>O</v>
      </c>
      <c r="D99" s="383" t="s">
        <v>262</v>
      </c>
      <c r="E99" s="439">
        <f>+'q22'!$G$44</f>
        <v>895.16</v>
      </c>
    </row>
    <row r="100" spans="1:12">
      <c r="A100">
        <f>+'q22'!$G$4</f>
        <v>2018</v>
      </c>
      <c r="B100" t="str">
        <f>+Aux!$A$29</f>
        <v>P - Educação</v>
      </c>
      <c r="C100" t="str">
        <f t="shared" si="1"/>
        <v>P</v>
      </c>
      <c r="D100" s="383" t="s">
        <v>262</v>
      </c>
      <c r="E100" s="439">
        <f>+'q22'!$G$45</f>
        <v>1161.1400000000001</v>
      </c>
    </row>
    <row r="101" spans="1:12">
      <c r="A101">
        <f>+'q22'!$G$4</f>
        <v>2018</v>
      </c>
      <c r="B101" t="str">
        <f>+Aux!$A$30</f>
        <v>Q - Ativ. de saúde humana e apoio social</v>
      </c>
      <c r="C101" t="str">
        <f t="shared" si="1"/>
        <v>Q</v>
      </c>
      <c r="D101" s="383" t="s">
        <v>262</v>
      </c>
      <c r="E101" s="439">
        <f>+'q22'!$G$46</f>
        <v>891.94</v>
      </c>
    </row>
    <row r="102" spans="1:12">
      <c r="A102">
        <f>+'q22'!$G$4</f>
        <v>2018</v>
      </c>
      <c r="B102" t="str">
        <f>+Aux!$A$31</f>
        <v>R - Atividades artísticas, de espectáculos, desp. e recreativas</v>
      </c>
      <c r="C102" t="str">
        <f t="shared" si="1"/>
        <v>R</v>
      </c>
      <c r="D102" s="383" t="s">
        <v>262</v>
      </c>
      <c r="E102" s="439">
        <f>+'q22'!$G$47</f>
        <v>1607.95</v>
      </c>
      <c r="I102" s="404" t="s">
        <v>253</v>
      </c>
      <c r="J102" t="s">
        <v>452</v>
      </c>
    </row>
    <row r="103" spans="1:12">
      <c r="A103">
        <f>+'q22'!$G$4</f>
        <v>2018</v>
      </c>
      <c r="B103" t="str">
        <f>+Aux!$A$32</f>
        <v>S - Outras atividades de serviços</v>
      </c>
      <c r="C103" t="str">
        <f t="shared" si="1"/>
        <v>S</v>
      </c>
      <c r="D103" s="383" t="s">
        <v>262</v>
      </c>
      <c r="E103" s="439">
        <f>+'q22'!$G$48</f>
        <v>901.62</v>
      </c>
    </row>
    <row r="104" spans="1:12">
      <c r="A104">
        <f>+'q22'!$G$4</f>
        <v>2018</v>
      </c>
      <c r="B104" t="str">
        <f>+Aux!$A$33</f>
        <v>U - Ativ. org. interna. e outras instituições extra-territoriais</v>
      </c>
      <c r="C104" t="str">
        <f t="shared" si="1"/>
        <v>U</v>
      </c>
      <c r="D104" s="383" t="s">
        <v>262</v>
      </c>
      <c r="E104" s="439">
        <f>+'q22'!$G$49</f>
        <v>2136.13</v>
      </c>
      <c r="I104" s="404" t="s">
        <v>258</v>
      </c>
      <c r="J104" s="404" t="s">
        <v>240</v>
      </c>
    </row>
    <row r="105" spans="1:12">
      <c r="A105">
        <f>+'q22'!$H$4</f>
        <v>2019</v>
      </c>
      <c r="B105" t="str">
        <f>+Aux!$A$14</f>
        <v xml:space="preserve">A - Agricultura, produção animal, caça, floresta e pesca </v>
      </c>
      <c r="C105" t="str">
        <f t="shared" si="1"/>
        <v>A</v>
      </c>
      <c r="D105" s="383" t="s">
        <v>262</v>
      </c>
      <c r="E105" s="439">
        <f>+'q22'!$H$6</f>
        <v>823.08</v>
      </c>
      <c r="I105" s="404" t="s">
        <v>238</v>
      </c>
      <c r="J105" t="s">
        <v>72</v>
      </c>
      <c r="K105" t="s">
        <v>73</v>
      </c>
      <c r="L105" t="s">
        <v>239</v>
      </c>
    </row>
    <row r="106" spans="1:12">
      <c r="A106">
        <f>+'q22'!$H$4</f>
        <v>2019</v>
      </c>
      <c r="B106" t="str">
        <f>+Aux!$A$15</f>
        <v>B - Indústrias extrativas</v>
      </c>
      <c r="C106" t="str">
        <f t="shared" si="1"/>
        <v>B</v>
      </c>
      <c r="D106" s="383" t="s">
        <v>262</v>
      </c>
      <c r="E106" s="439">
        <f>+'q22'!$H$7</f>
        <v>1083.24</v>
      </c>
      <c r="I106" s="405">
        <v>2014</v>
      </c>
      <c r="J106" s="406">
        <v>1482.55</v>
      </c>
      <c r="K106" s="406">
        <v>2187.9300000000003</v>
      </c>
      <c r="L106" s="406">
        <v>3670.4800000000005</v>
      </c>
    </row>
    <row r="107" spans="1:12">
      <c r="A107">
        <f>+'q22'!$H$4</f>
        <v>2019</v>
      </c>
      <c r="B107" t="str">
        <f>+Aux!$A$16</f>
        <v>C - Ind. transf.</v>
      </c>
      <c r="C107" t="str">
        <f t="shared" si="1"/>
        <v>C</v>
      </c>
      <c r="D107" s="383" t="s">
        <v>262</v>
      </c>
      <c r="E107" s="439">
        <f>+'q22'!$H$8</f>
        <v>964.71</v>
      </c>
      <c r="I107" s="405">
        <v>2015</v>
      </c>
      <c r="J107" s="406">
        <v>1504.02</v>
      </c>
      <c r="K107" s="406">
        <v>2191.92</v>
      </c>
      <c r="L107" s="406">
        <v>3695.94</v>
      </c>
    </row>
    <row r="108" spans="1:12">
      <c r="A108">
        <f>+'q22'!$H$4</f>
        <v>2019</v>
      </c>
      <c r="B108" t="str">
        <f>+Aux!$A$17</f>
        <v>D - Eletricidade, gás, vapor, água quente e fria e ar frio</v>
      </c>
      <c r="C108" t="str">
        <f t="shared" si="1"/>
        <v>D</v>
      </c>
      <c r="D108" s="383" t="s">
        <v>262</v>
      </c>
      <c r="E108" s="439">
        <f>+'q22'!$H$33</f>
        <v>2086.9</v>
      </c>
      <c r="I108" s="405">
        <v>2016</v>
      </c>
      <c r="J108" s="406">
        <v>1559.29</v>
      </c>
      <c r="K108" s="406">
        <v>2244.88</v>
      </c>
      <c r="L108" s="406">
        <v>3804.17</v>
      </c>
    </row>
    <row r="109" spans="1:12">
      <c r="A109">
        <f>+'q22'!$H$4</f>
        <v>2019</v>
      </c>
      <c r="B109" t="str">
        <f>+Aux!$A$18</f>
        <v>E - Captação, trat. e dist. água; saneam., gest. resíduos e desp.</v>
      </c>
      <c r="C109" t="str">
        <f t="shared" si="1"/>
        <v>E</v>
      </c>
      <c r="D109" s="383" t="s">
        <v>262</v>
      </c>
      <c r="E109" s="439">
        <f>+'q22'!$H$34</f>
        <v>936.67</v>
      </c>
      <c r="I109" s="405">
        <v>2017</v>
      </c>
      <c r="J109" s="406">
        <v>1588.79</v>
      </c>
      <c r="K109" s="406">
        <v>2282.2199999999998</v>
      </c>
      <c r="L109" s="406">
        <v>3871.0099999999998</v>
      </c>
    </row>
    <row r="110" spans="1:12">
      <c r="A110">
        <f>+'q22'!$H$4</f>
        <v>2019</v>
      </c>
      <c r="B110" t="str">
        <f>+Aux!$A$19</f>
        <v>F - Construção</v>
      </c>
      <c r="C110" t="str">
        <f t="shared" si="1"/>
        <v>F</v>
      </c>
      <c r="D110" s="383" t="s">
        <v>262</v>
      </c>
      <c r="E110" s="439">
        <f>+'q22'!$H$35</f>
        <v>853.92</v>
      </c>
      <c r="I110" s="405">
        <v>2018</v>
      </c>
      <c r="J110" s="406">
        <v>1669.65</v>
      </c>
      <c r="K110" s="406">
        <v>2439.96</v>
      </c>
      <c r="L110" s="406">
        <v>4109.6100000000006</v>
      </c>
    </row>
    <row r="111" spans="1:12">
      <c r="A111">
        <f>+'q22'!$H$4</f>
        <v>2019</v>
      </c>
      <c r="B111" t="str">
        <f>+Aux!$A$20</f>
        <v>G - Com. por grosso e ret. (…)</v>
      </c>
      <c r="C111" t="str">
        <f t="shared" si="1"/>
        <v>G</v>
      </c>
      <c r="D111" s="383" t="s">
        <v>262</v>
      </c>
      <c r="E111" s="439">
        <f>+'q22'!$H$36</f>
        <v>959.33</v>
      </c>
      <c r="I111" s="405">
        <v>2019</v>
      </c>
      <c r="J111" s="406">
        <v>1768.6399999999999</v>
      </c>
      <c r="K111" s="406">
        <v>2542.35</v>
      </c>
      <c r="L111" s="406">
        <v>4310.99</v>
      </c>
    </row>
    <row r="112" spans="1:12">
      <c r="A112">
        <f>+'q22'!$H$4</f>
        <v>2019</v>
      </c>
      <c r="B112" t="str">
        <f>+Aux!$A$21</f>
        <v>H - Transportes e armazenagem</v>
      </c>
      <c r="C112" t="str">
        <f t="shared" si="1"/>
        <v>H</v>
      </c>
      <c r="D112" s="383" t="s">
        <v>262</v>
      </c>
      <c r="E112" s="439">
        <f>+'q22'!$H$37</f>
        <v>1071.3699999999999</v>
      </c>
      <c r="I112" s="405">
        <v>2020</v>
      </c>
      <c r="J112" s="406">
        <v>1772.81</v>
      </c>
      <c r="K112" s="406">
        <v>2599.8199999999997</v>
      </c>
      <c r="L112" s="406">
        <v>4372.6299999999992</v>
      </c>
    </row>
    <row r="113" spans="1:12">
      <c r="A113">
        <f>+'q22'!$H$4</f>
        <v>2019</v>
      </c>
      <c r="B113" t="str">
        <f>+Aux!$A$22</f>
        <v>I - Aloj., rest. e sim.</v>
      </c>
      <c r="C113" t="str">
        <f t="shared" si="1"/>
        <v>I</v>
      </c>
      <c r="D113" s="383" t="s">
        <v>262</v>
      </c>
      <c r="E113" s="439">
        <f>+'q22'!$H$38</f>
        <v>764.08</v>
      </c>
      <c r="I113" s="405">
        <v>2021</v>
      </c>
      <c r="J113" s="406">
        <v>1884.11</v>
      </c>
      <c r="K113" s="406">
        <v>2755.48</v>
      </c>
      <c r="L113" s="406">
        <v>4639.59</v>
      </c>
    </row>
    <row r="114" spans="1:12">
      <c r="A114">
        <f>+'q22'!$H$4</f>
        <v>2019</v>
      </c>
      <c r="B114" t="str">
        <f>+Aux!$A$23</f>
        <v>J - Atividades de informação e de comunicação</v>
      </c>
      <c r="C114" t="str">
        <f t="shared" si="1"/>
        <v>J</v>
      </c>
      <c r="D114" s="383" t="s">
        <v>262</v>
      </c>
      <c r="E114" s="439">
        <f>+'q22'!$H$39</f>
        <v>1614.97</v>
      </c>
      <c r="I114" s="405">
        <v>2022</v>
      </c>
      <c r="J114" s="406">
        <v>1974.56</v>
      </c>
      <c r="K114" s="406">
        <v>2923.31</v>
      </c>
      <c r="L114" s="406">
        <v>4897.87</v>
      </c>
    </row>
    <row r="115" spans="1:12">
      <c r="A115">
        <f>+'q22'!$H$4</f>
        <v>2019</v>
      </c>
      <c r="B115" t="str">
        <f>+Aux!$A$24</f>
        <v>K - Atividades financeiras e de seguros</v>
      </c>
      <c r="C115" t="str">
        <f t="shared" si="1"/>
        <v>K</v>
      </c>
      <c r="D115" s="383" t="s">
        <v>262</v>
      </c>
      <c r="E115" s="439">
        <f>+'q22'!$H$40</f>
        <v>1632.26</v>
      </c>
      <c r="I115" s="405">
        <v>2023</v>
      </c>
      <c r="J115" s="406">
        <v>2095.38</v>
      </c>
      <c r="K115" s="406">
        <v>3286.19</v>
      </c>
      <c r="L115" s="406">
        <v>5381.57</v>
      </c>
    </row>
    <row r="116" spans="1:12">
      <c r="A116">
        <f>+'q22'!$H$4</f>
        <v>2019</v>
      </c>
      <c r="B116" t="str">
        <f>+Aux!$A$25</f>
        <v>L - Atividades imobiliárias</v>
      </c>
      <c r="C116" t="str">
        <f t="shared" si="1"/>
        <v>L</v>
      </c>
      <c r="D116" s="383" t="s">
        <v>262</v>
      </c>
      <c r="E116" s="439">
        <f>+'q22'!$H$41</f>
        <v>1045.96</v>
      </c>
      <c r="I116" s="405">
        <v>2024</v>
      </c>
      <c r="J116" s="406">
        <v>2251.7600000000002</v>
      </c>
      <c r="K116" s="406">
        <v>3455.56</v>
      </c>
      <c r="L116" s="406">
        <v>5707.32</v>
      </c>
    </row>
    <row r="117" spans="1:12">
      <c r="A117">
        <f>+'q22'!$H$4</f>
        <v>2019</v>
      </c>
      <c r="B117" t="str">
        <f>+Aux!$A$26</f>
        <v>M - Atividades de consultoria, científicas, técnicas e similares</v>
      </c>
      <c r="C117" t="str">
        <f t="shared" si="1"/>
        <v>M</v>
      </c>
      <c r="D117" s="383" t="s">
        <v>262</v>
      </c>
      <c r="E117" s="439">
        <f>+'q22'!$H$42</f>
        <v>1288.0899999999999</v>
      </c>
      <c r="I117" s="405" t="s">
        <v>239</v>
      </c>
      <c r="J117" s="406">
        <v>19551.559999999998</v>
      </c>
      <c r="K117" s="406">
        <v>28909.620000000003</v>
      </c>
      <c r="L117" s="406">
        <v>48461.179999999993</v>
      </c>
    </row>
    <row r="118" spans="1:12">
      <c r="A118">
        <f>+'q22'!$H$4</f>
        <v>2019</v>
      </c>
      <c r="B118" t="str">
        <f>+Aux!$A$27</f>
        <v>N - Ativ. Admin. e dos serv. apoio</v>
      </c>
      <c r="C118" t="str">
        <f t="shared" si="1"/>
        <v>N</v>
      </c>
      <c r="D118" s="383" t="s">
        <v>262</v>
      </c>
      <c r="E118" s="439">
        <f>+'q22'!$H$43</f>
        <v>842.48</v>
      </c>
    </row>
    <row r="119" spans="1:12">
      <c r="A119">
        <f>+'q22'!$H$4</f>
        <v>2019</v>
      </c>
      <c r="B119" t="str">
        <f>+Aux!$A$28</f>
        <v>O - Administração pública e defesa; segurança social obrigatória</v>
      </c>
      <c r="C119" t="str">
        <f t="shared" si="1"/>
        <v>O</v>
      </c>
      <c r="D119" s="383" t="s">
        <v>262</v>
      </c>
      <c r="E119" s="439">
        <f>+'q22'!$H$44</f>
        <v>950.41</v>
      </c>
    </row>
    <row r="120" spans="1:12">
      <c r="A120">
        <f>+'q22'!$H$4</f>
        <v>2019</v>
      </c>
      <c r="B120" t="str">
        <f>+Aux!$A$29</f>
        <v>P - Educação</v>
      </c>
      <c r="C120" t="str">
        <f t="shared" si="1"/>
        <v>P</v>
      </c>
      <c r="D120" s="383" t="s">
        <v>262</v>
      </c>
      <c r="E120" s="439">
        <f>+'q22'!$H$45</f>
        <v>1219.79</v>
      </c>
    </row>
    <row r="121" spans="1:12">
      <c r="A121">
        <f>+'q22'!$H$4</f>
        <v>2019</v>
      </c>
      <c r="B121" t="str">
        <f>+Aux!$A$30</f>
        <v>Q - Ativ. de saúde humana e apoio social</v>
      </c>
      <c r="C121" t="str">
        <f t="shared" si="1"/>
        <v>Q</v>
      </c>
      <c r="D121" s="383" t="s">
        <v>262</v>
      </c>
      <c r="E121" s="439">
        <f>+'q22'!$H$46</f>
        <v>923.59</v>
      </c>
    </row>
    <row r="122" spans="1:12">
      <c r="A122">
        <f>+'q22'!$H$4</f>
        <v>2019</v>
      </c>
      <c r="B122" t="str">
        <f>+Aux!$A$31</f>
        <v>R - Atividades artísticas, de espectáculos, desp. e recreativas</v>
      </c>
      <c r="C122" t="str">
        <f t="shared" si="1"/>
        <v>R</v>
      </c>
      <c r="D122" s="383" t="s">
        <v>262</v>
      </c>
      <c r="E122" s="439">
        <f>+'q22'!$H$47</f>
        <v>1645.66</v>
      </c>
    </row>
    <row r="123" spans="1:12">
      <c r="A123">
        <f>+'q22'!$H$4</f>
        <v>2019</v>
      </c>
      <c r="B123" t="str">
        <f>+Aux!$A$32</f>
        <v>S - Outras atividades de serviços</v>
      </c>
      <c r="C123" t="str">
        <f t="shared" si="1"/>
        <v>S</v>
      </c>
      <c r="D123" s="383" t="s">
        <v>262</v>
      </c>
      <c r="E123" s="439">
        <f>+'q22'!$H$48</f>
        <v>932.37</v>
      </c>
    </row>
    <row r="124" spans="1:12">
      <c r="A124">
        <f>+'q22'!$H$4</f>
        <v>2019</v>
      </c>
      <c r="B124" t="str">
        <f>+Aux!$A$33</f>
        <v>U - Ativ. org. interna. e outras instituições extra-territoriais</v>
      </c>
      <c r="C124" t="str">
        <f t="shared" si="1"/>
        <v>U</v>
      </c>
      <c r="D124" s="383" t="s">
        <v>262</v>
      </c>
      <c r="E124" s="439">
        <f>+'q22'!$H$49</f>
        <v>2160.36</v>
      </c>
    </row>
    <row r="125" spans="1:12">
      <c r="A125">
        <f>+'q22'!$I$4</f>
        <v>2020</v>
      </c>
      <c r="B125" t="str">
        <f>+Aux!$A$14</f>
        <v xml:space="preserve">A - Agricultura, produção animal, caça, floresta e pesca </v>
      </c>
      <c r="C125" t="str">
        <f t="shared" si="1"/>
        <v>A</v>
      </c>
      <c r="D125" s="383" t="s">
        <v>262</v>
      </c>
      <c r="E125" s="439">
        <f>+'q22'!$I$6</f>
        <v>823.12</v>
      </c>
    </row>
    <row r="126" spans="1:12">
      <c r="A126">
        <f>+'q22'!$I$4</f>
        <v>2020</v>
      </c>
      <c r="B126" t="str">
        <f>+Aux!$A$15</f>
        <v>B - Indústrias extrativas</v>
      </c>
      <c r="C126" t="str">
        <f t="shared" si="1"/>
        <v>B</v>
      </c>
      <c r="D126" s="383" t="s">
        <v>262</v>
      </c>
      <c r="E126" s="439">
        <f>+'q22'!$I$7</f>
        <v>1099.73</v>
      </c>
    </row>
    <row r="127" spans="1:12">
      <c r="A127">
        <f>+'q22'!$I$4</f>
        <v>2020</v>
      </c>
      <c r="B127" t="str">
        <f>+Aux!$A$16</f>
        <v>C - Ind. transf.</v>
      </c>
      <c r="C127" t="str">
        <f t="shared" si="1"/>
        <v>C</v>
      </c>
      <c r="D127" s="383" t="s">
        <v>262</v>
      </c>
      <c r="E127" s="439">
        <f>+'q22'!$I$8</f>
        <v>1003.21</v>
      </c>
    </row>
    <row r="128" spans="1:12">
      <c r="A128">
        <f>+'q22'!$I$4</f>
        <v>2020</v>
      </c>
      <c r="B128" t="str">
        <f>+Aux!$A$17</f>
        <v>D - Eletricidade, gás, vapor, água quente e fria e ar frio</v>
      </c>
      <c r="C128" t="str">
        <f t="shared" si="1"/>
        <v>D</v>
      </c>
      <c r="D128" s="383" t="s">
        <v>262</v>
      </c>
      <c r="E128" s="439">
        <f>+'q22'!$I$33</f>
        <v>2128.4699999999998</v>
      </c>
    </row>
    <row r="129" spans="1:5">
      <c r="A129">
        <f>+'q22'!$I$4</f>
        <v>2020</v>
      </c>
      <c r="B129" t="str">
        <f>+Aux!$A$18</f>
        <v>E - Captação, trat. e dist. água; saneam., gest. resíduos e desp.</v>
      </c>
      <c r="C129" t="str">
        <f t="shared" si="1"/>
        <v>E</v>
      </c>
      <c r="D129" s="383" t="s">
        <v>262</v>
      </c>
      <c r="E129" s="439">
        <f>+'q22'!$I$34</f>
        <v>970.37</v>
      </c>
    </row>
    <row r="130" spans="1:5">
      <c r="A130">
        <f>+'q22'!$I$4</f>
        <v>2020</v>
      </c>
      <c r="B130" t="str">
        <f>+Aux!$A$19</f>
        <v>F - Construção</v>
      </c>
      <c r="C130" t="str">
        <f t="shared" si="1"/>
        <v>F</v>
      </c>
      <c r="D130" s="383" t="s">
        <v>262</v>
      </c>
      <c r="E130" s="439">
        <f>+'q22'!$I$35</f>
        <v>880.77</v>
      </c>
    </row>
    <row r="131" spans="1:5">
      <c r="A131">
        <f>+'q22'!$I$4</f>
        <v>2020</v>
      </c>
      <c r="B131" t="str">
        <f>+Aux!$A$20</f>
        <v>G - Com. por grosso e ret. (…)</v>
      </c>
      <c r="C131" t="str">
        <f t="shared" si="1"/>
        <v>G</v>
      </c>
      <c r="D131" s="383" t="s">
        <v>262</v>
      </c>
      <c r="E131" s="439">
        <f>+'q22'!$I$36</f>
        <v>989.91</v>
      </c>
    </row>
    <row r="132" spans="1:5">
      <c r="A132">
        <f>+'q22'!$I$4</f>
        <v>2020</v>
      </c>
      <c r="B132" t="str">
        <f>+Aux!$A$21</f>
        <v>H - Transportes e armazenagem</v>
      </c>
      <c r="C132" t="str">
        <f t="shared" si="1"/>
        <v>H</v>
      </c>
      <c r="D132" s="383" t="s">
        <v>262</v>
      </c>
      <c r="E132" s="439">
        <f>+'q22'!$I$37</f>
        <v>1033.25</v>
      </c>
    </row>
    <row r="133" spans="1:5">
      <c r="A133">
        <f>+'q22'!$I$4</f>
        <v>2020</v>
      </c>
      <c r="B133" t="str">
        <f>+Aux!$A$22</f>
        <v>I - Aloj., rest. e sim.</v>
      </c>
      <c r="C133" t="str">
        <f t="shared" si="1"/>
        <v>I</v>
      </c>
      <c r="D133" s="383" t="s">
        <v>262</v>
      </c>
      <c r="E133" s="439">
        <f>+'q22'!$I$38</f>
        <v>780.14</v>
      </c>
    </row>
    <row r="134" spans="1:5">
      <c r="A134">
        <f>+'q22'!$I$4</f>
        <v>2020</v>
      </c>
      <c r="B134" t="str">
        <f>+Aux!$A$23</f>
        <v>J - Atividades de informação e de comunicação</v>
      </c>
      <c r="C134" t="str">
        <f t="shared" ref="C134:C197" si="2">+LEFT(B134,1)</f>
        <v>J</v>
      </c>
      <c r="D134" s="383" t="s">
        <v>262</v>
      </c>
      <c r="E134" s="439">
        <f>+'q22'!$I$39</f>
        <v>1668.12</v>
      </c>
    </row>
    <row r="135" spans="1:5">
      <c r="A135">
        <f>+'q22'!$I$4</f>
        <v>2020</v>
      </c>
      <c r="B135" t="str">
        <f>+Aux!$A$24</f>
        <v>K - Atividades financeiras e de seguros</v>
      </c>
      <c r="C135" t="str">
        <f t="shared" si="2"/>
        <v>K</v>
      </c>
      <c r="D135" s="383" t="s">
        <v>262</v>
      </c>
      <c r="E135" s="439">
        <f>+'q22'!$I$40</f>
        <v>1651.3</v>
      </c>
    </row>
    <row r="136" spans="1:5">
      <c r="A136">
        <f>+'q22'!$I$4</f>
        <v>2020</v>
      </c>
      <c r="B136" t="str">
        <f>+Aux!$A$25</f>
        <v>L - Atividades imobiliárias</v>
      </c>
      <c r="C136" t="str">
        <f t="shared" si="2"/>
        <v>L</v>
      </c>
      <c r="D136" s="383" t="s">
        <v>262</v>
      </c>
      <c r="E136" s="439">
        <f>+'q22'!$I$41</f>
        <v>1091.6400000000001</v>
      </c>
    </row>
    <row r="137" spans="1:5">
      <c r="A137">
        <f>+'q22'!$I$4</f>
        <v>2020</v>
      </c>
      <c r="B137" t="str">
        <f>+Aux!$A$26</f>
        <v>M - Atividades de consultoria, científicas, técnicas e similares</v>
      </c>
      <c r="C137" t="str">
        <f t="shared" si="2"/>
        <v>M</v>
      </c>
      <c r="D137" s="383" t="s">
        <v>262</v>
      </c>
      <c r="E137" s="439">
        <f>+'q22'!$I$42</f>
        <v>1335.14</v>
      </c>
    </row>
    <row r="138" spans="1:5">
      <c r="A138">
        <f>+'q22'!$I$4</f>
        <v>2020</v>
      </c>
      <c r="B138" t="str">
        <f>+Aux!$A$27</f>
        <v>N - Ativ. Admin. e dos serv. apoio</v>
      </c>
      <c r="C138" t="str">
        <f t="shared" si="2"/>
        <v>N</v>
      </c>
      <c r="D138" s="383" t="s">
        <v>262</v>
      </c>
      <c r="E138" s="439">
        <f>+'q22'!$I$43</f>
        <v>864.18</v>
      </c>
    </row>
    <row r="139" spans="1:5">
      <c r="A139">
        <f>+'q22'!$I$4</f>
        <v>2020</v>
      </c>
      <c r="B139" t="str">
        <f>+Aux!$A$28</f>
        <v>O - Administração pública e defesa; segurança social obrigatória</v>
      </c>
      <c r="C139" t="str">
        <f t="shared" si="2"/>
        <v>O</v>
      </c>
      <c r="D139" s="383" t="s">
        <v>262</v>
      </c>
      <c r="E139" s="439">
        <f>+'q22'!$I$44</f>
        <v>990.79</v>
      </c>
    </row>
    <row r="140" spans="1:5">
      <c r="A140">
        <f>+'q22'!$I$4</f>
        <v>2020</v>
      </c>
      <c r="B140" t="str">
        <f>+Aux!$A$29</f>
        <v>P - Educação</v>
      </c>
      <c r="C140" t="str">
        <f t="shared" si="2"/>
        <v>P</v>
      </c>
      <c r="D140" s="383" t="s">
        <v>262</v>
      </c>
      <c r="E140" s="439">
        <f>+'q22'!$I$45</f>
        <v>1259.28</v>
      </c>
    </row>
    <row r="141" spans="1:5">
      <c r="A141">
        <f>+'q22'!$I$4</f>
        <v>2020</v>
      </c>
      <c r="B141" t="str">
        <f>+Aux!$A$30</f>
        <v>Q - Ativ. de saúde humana e apoio social</v>
      </c>
      <c r="C141" t="str">
        <f t="shared" si="2"/>
        <v>Q</v>
      </c>
      <c r="D141" s="383" t="s">
        <v>262</v>
      </c>
      <c r="E141" s="439">
        <f>+'q22'!$I$46</f>
        <v>942.71</v>
      </c>
    </row>
    <row r="142" spans="1:5">
      <c r="A142">
        <f>+'q22'!$I$4</f>
        <v>2020</v>
      </c>
      <c r="B142" t="str">
        <f>+Aux!$A$31</f>
        <v>R - Atividades artísticas, de espectáculos, desp. e recreativas</v>
      </c>
      <c r="C142" t="str">
        <f t="shared" si="2"/>
        <v>R</v>
      </c>
      <c r="D142" s="383" t="s">
        <v>262</v>
      </c>
      <c r="E142" s="439">
        <f>+'q22'!$I$47</f>
        <v>1838.97</v>
      </c>
    </row>
    <row r="143" spans="1:5">
      <c r="A143">
        <f>+'q22'!$I$4</f>
        <v>2020</v>
      </c>
      <c r="B143" t="str">
        <f>+Aux!$A$32</f>
        <v>S - Outras atividades de serviços</v>
      </c>
      <c r="C143" t="str">
        <f t="shared" si="2"/>
        <v>S</v>
      </c>
      <c r="D143" s="383" t="s">
        <v>262</v>
      </c>
      <c r="E143" s="439">
        <f>+'q22'!$I$48</f>
        <v>987.51</v>
      </c>
    </row>
    <row r="144" spans="1:5">
      <c r="A144">
        <f>+'q22'!$I$4</f>
        <v>2020</v>
      </c>
      <c r="B144" t="str">
        <f>+Aux!$A$33</f>
        <v>U - Ativ. org. interna. e outras instituições extra-territoriais</v>
      </c>
      <c r="C144" t="str">
        <f t="shared" si="2"/>
        <v>U</v>
      </c>
      <c r="D144" s="383" t="s">
        <v>262</v>
      </c>
      <c r="E144" s="439">
        <f>+'q22'!$I$49</f>
        <v>1978.98</v>
      </c>
    </row>
    <row r="145" spans="1:5">
      <c r="A145">
        <f>+'q22'!$J$4</f>
        <v>2021</v>
      </c>
      <c r="B145" t="str">
        <f>+Aux!$A$14</f>
        <v xml:space="preserve">A - Agricultura, produção animal, caça, floresta e pesca </v>
      </c>
      <c r="C145" t="str">
        <f t="shared" si="2"/>
        <v>A</v>
      </c>
      <c r="D145" s="383" t="s">
        <v>262</v>
      </c>
      <c r="E145" s="439">
        <f>+'q22'!$J$6</f>
        <v>872.68</v>
      </c>
    </row>
    <row r="146" spans="1:5">
      <c r="A146">
        <f>+'q22'!$J$4</f>
        <v>2021</v>
      </c>
      <c r="B146" t="str">
        <f>+Aux!$A$15</f>
        <v>B - Indústrias extrativas</v>
      </c>
      <c r="C146" t="str">
        <f t="shared" si="2"/>
        <v>B</v>
      </c>
      <c r="D146" s="383" t="s">
        <v>262</v>
      </c>
      <c r="E146" s="439">
        <f>+'q22'!$J$7</f>
        <v>1159.45</v>
      </c>
    </row>
    <row r="147" spans="1:5">
      <c r="A147">
        <f>+'q22'!$J$4</f>
        <v>2021</v>
      </c>
      <c r="B147" t="str">
        <f>+Aux!$A$16</f>
        <v>C - Ind. transf.</v>
      </c>
      <c r="C147" t="str">
        <f t="shared" si="2"/>
        <v>C</v>
      </c>
      <c r="D147" s="383" t="s">
        <v>262</v>
      </c>
      <c r="E147" s="439">
        <f>+'q22'!$J$8</f>
        <v>1031.03</v>
      </c>
    </row>
    <row r="148" spans="1:5">
      <c r="A148">
        <f>+'q22'!$J$4</f>
        <v>2021</v>
      </c>
      <c r="B148" t="str">
        <f>+Aux!$A$17</f>
        <v>D - Eletricidade, gás, vapor, água quente e fria e ar frio</v>
      </c>
      <c r="C148" t="str">
        <f t="shared" si="2"/>
        <v>D</v>
      </c>
      <c r="D148" s="383" t="s">
        <v>262</v>
      </c>
      <c r="E148" s="439">
        <f>+'q22'!$J$33</f>
        <v>2156.69</v>
      </c>
    </row>
    <row r="149" spans="1:5">
      <c r="A149">
        <f>+'q22'!$J$4</f>
        <v>2021</v>
      </c>
      <c r="B149" t="str">
        <f>+Aux!$A$18</f>
        <v>E - Captação, trat. e dist. água; saneam., gest. resíduos e desp.</v>
      </c>
      <c r="C149" t="str">
        <f t="shared" si="2"/>
        <v>E</v>
      </c>
      <c r="D149" s="383" t="s">
        <v>262</v>
      </c>
      <c r="E149" s="439">
        <f>+'q22'!$J$34</f>
        <v>989.79</v>
      </c>
    </row>
    <row r="150" spans="1:5">
      <c r="A150">
        <f>+'q22'!$J$4</f>
        <v>2021</v>
      </c>
      <c r="B150" t="str">
        <f>+Aux!$A$19</f>
        <v>F - Construção</v>
      </c>
      <c r="C150" t="str">
        <f t="shared" si="2"/>
        <v>F</v>
      </c>
      <c r="D150" s="383" t="s">
        <v>262</v>
      </c>
      <c r="E150" s="439">
        <f>+'q22'!$J$35</f>
        <v>934.51</v>
      </c>
    </row>
    <row r="151" spans="1:5">
      <c r="A151">
        <f>+'q22'!$J$4</f>
        <v>2021</v>
      </c>
      <c r="B151" t="str">
        <f>+Aux!$A$20</f>
        <v>G - Com. por grosso e ret. (…)</v>
      </c>
      <c r="C151" t="str">
        <f t="shared" si="2"/>
        <v>G</v>
      </c>
      <c r="D151" s="383" t="s">
        <v>262</v>
      </c>
      <c r="E151" s="439">
        <f>+'q22'!$J$36</f>
        <v>1031.8499999999999</v>
      </c>
    </row>
    <row r="152" spans="1:5">
      <c r="A152">
        <f>+'q22'!$J$4</f>
        <v>2021</v>
      </c>
      <c r="B152" t="str">
        <f>+Aux!$A$21</f>
        <v>H - Transportes e armazenagem</v>
      </c>
      <c r="C152" t="str">
        <f t="shared" si="2"/>
        <v>H</v>
      </c>
      <c r="D152" s="383" t="s">
        <v>262</v>
      </c>
      <c r="E152" s="439">
        <f>+'q22'!$J$37</f>
        <v>1056.1199999999999</v>
      </c>
    </row>
    <row r="153" spans="1:5">
      <c r="A153">
        <f>+'q22'!$J$4</f>
        <v>2021</v>
      </c>
      <c r="B153" t="str">
        <f>+Aux!$A$22</f>
        <v>I - Aloj., rest. e sim.</v>
      </c>
      <c r="C153" t="str">
        <f t="shared" si="2"/>
        <v>I</v>
      </c>
      <c r="D153" s="383" t="s">
        <v>262</v>
      </c>
      <c r="E153" s="439">
        <f>+'q22'!$J$38</f>
        <v>822.39</v>
      </c>
    </row>
    <row r="154" spans="1:5">
      <c r="A154">
        <f>+'q22'!$J$4</f>
        <v>2021</v>
      </c>
      <c r="B154" t="str">
        <f>+Aux!$A$23</f>
        <v>J - Atividades de informação e de comunicação</v>
      </c>
      <c r="C154" t="str">
        <f t="shared" si="2"/>
        <v>J</v>
      </c>
      <c r="D154" s="383" t="s">
        <v>262</v>
      </c>
      <c r="E154" s="439">
        <f>+'q22'!$J$39</f>
        <v>1748.11</v>
      </c>
    </row>
    <row r="155" spans="1:5">
      <c r="A155">
        <f>+'q22'!$J$4</f>
        <v>2021</v>
      </c>
      <c r="B155" t="str">
        <f>+Aux!$A$24</f>
        <v>K - Atividades financeiras e de seguros</v>
      </c>
      <c r="C155" t="str">
        <f t="shared" si="2"/>
        <v>K</v>
      </c>
      <c r="D155" s="383" t="s">
        <v>262</v>
      </c>
      <c r="E155" s="439">
        <f>+'q22'!$J$40</f>
        <v>1674.12</v>
      </c>
    </row>
    <row r="156" spans="1:5">
      <c r="A156">
        <f>+'q22'!$J$4</f>
        <v>2021</v>
      </c>
      <c r="B156" t="str">
        <f>+Aux!$A$25</f>
        <v>L - Atividades imobiliárias</v>
      </c>
      <c r="C156" t="str">
        <f t="shared" si="2"/>
        <v>L</v>
      </c>
      <c r="D156" s="383" t="s">
        <v>262</v>
      </c>
      <c r="E156" s="439">
        <f>+'q22'!$J$41</f>
        <v>1129.19</v>
      </c>
    </row>
    <row r="157" spans="1:5">
      <c r="A157">
        <f>+'q22'!$J$4</f>
        <v>2021</v>
      </c>
      <c r="B157" t="str">
        <f>+Aux!$A$26</f>
        <v>M - Atividades de consultoria, científicas, técnicas e similares</v>
      </c>
      <c r="C157" t="str">
        <f t="shared" si="2"/>
        <v>M</v>
      </c>
      <c r="D157" s="383" t="s">
        <v>262</v>
      </c>
      <c r="E157" s="439">
        <f>+'q22'!$J$42</f>
        <v>1403.13</v>
      </c>
    </row>
    <row r="158" spans="1:5">
      <c r="A158">
        <f>+'q22'!$J$4</f>
        <v>2021</v>
      </c>
      <c r="B158" t="str">
        <f>+Aux!$A$27</f>
        <v>N - Ativ. Admin. e dos serv. apoio</v>
      </c>
      <c r="C158" t="str">
        <f t="shared" si="2"/>
        <v>N</v>
      </c>
      <c r="D158" s="383" t="s">
        <v>262</v>
      </c>
      <c r="E158" s="439">
        <f>+'q22'!$J$43</f>
        <v>916.97</v>
      </c>
    </row>
    <row r="159" spans="1:5">
      <c r="A159">
        <f>+'q22'!$J$4</f>
        <v>2021</v>
      </c>
      <c r="B159" t="str">
        <f>+Aux!$A$28</f>
        <v>O - Administração pública e defesa; segurança social obrigatória</v>
      </c>
      <c r="C159" t="str">
        <f t="shared" si="2"/>
        <v>O</v>
      </c>
      <c r="D159" s="383" t="s">
        <v>262</v>
      </c>
      <c r="E159" s="439">
        <f>+'q22'!$J$44</f>
        <v>1027.51</v>
      </c>
    </row>
    <row r="160" spans="1:5">
      <c r="A160">
        <f>+'q22'!$J$4</f>
        <v>2021</v>
      </c>
      <c r="B160" t="str">
        <f>+Aux!$A$29</f>
        <v>P - Educação</v>
      </c>
      <c r="C160" t="str">
        <f t="shared" si="2"/>
        <v>P</v>
      </c>
      <c r="D160" s="383" t="s">
        <v>262</v>
      </c>
      <c r="E160" s="439">
        <f>+'q22'!$J$45</f>
        <v>1296.72</v>
      </c>
    </row>
    <row r="161" spans="1:5">
      <c r="A161">
        <f>+'q22'!$J$4</f>
        <v>2021</v>
      </c>
      <c r="B161" t="str">
        <f>+Aux!$A$30</f>
        <v>Q - Ativ. de saúde humana e apoio social</v>
      </c>
      <c r="C161" t="str">
        <f t="shared" si="2"/>
        <v>Q</v>
      </c>
      <c r="D161" s="383" t="s">
        <v>262</v>
      </c>
      <c r="E161" s="439">
        <f>+'q22'!$J$46</f>
        <v>974.58</v>
      </c>
    </row>
    <row r="162" spans="1:5">
      <c r="A162">
        <f>+'q22'!$J$4</f>
        <v>2021</v>
      </c>
      <c r="B162" t="str">
        <f>+Aux!$A$31</f>
        <v>R - Atividades artísticas, de espectáculos, desp. e recreativas</v>
      </c>
      <c r="C162" t="str">
        <f t="shared" si="2"/>
        <v>R</v>
      </c>
      <c r="D162" s="383" t="s">
        <v>262</v>
      </c>
      <c r="E162" s="439">
        <f>+'q22'!$J$47</f>
        <v>1780.1</v>
      </c>
    </row>
    <row r="163" spans="1:5">
      <c r="A163">
        <f>+'q22'!$J$4</f>
        <v>2021</v>
      </c>
      <c r="B163" t="str">
        <f>+Aux!$A$32</f>
        <v>S - Outras atividades de serviços</v>
      </c>
      <c r="C163" t="str">
        <f t="shared" si="2"/>
        <v>S</v>
      </c>
      <c r="D163" s="383" t="s">
        <v>262</v>
      </c>
      <c r="E163" s="439">
        <f>+'q22'!$J$48</f>
        <v>1012.59</v>
      </c>
    </row>
    <row r="164" spans="1:5">
      <c r="A164">
        <f>+'q22'!$J$4</f>
        <v>2021</v>
      </c>
      <c r="B164" t="str">
        <f>+Aux!$A$33</f>
        <v>U - Ativ. org. interna. e outras instituições extra-territoriais</v>
      </c>
      <c r="C164" t="str">
        <f t="shared" si="2"/>
        <v>U</v>
      </c>
      <c r="D164" s="383" t="s">
        <v>262</v>
      </c>
      <c r="E164" s="439">
        <f>+'q22'!$J$49</f>
        <v>1886.51</v>
      </c>
    </row>
    <row r="165" spans="1:5">
      <c r="A165">
        <f>+'q22'!$K$4</f>
        <v>2022</v>
      </c>
      <c r="B165" t="str">
        <f>+Aux!$A$14</f>
        <v xml:space="preserve">A - Agricultura, produção animal, caça, floresta e pesca </v>
      </c>
      <c r="C165" t="str">
        <f t="shared" si="2"/>
        <v>A</v>
      </c>
      <c r="D165" s="383" t="s">
        <v>262</v>
      </c>
      <c r="E165" s="439">
        <f>+'q22'!$K$6</f>
        <v>916.19</v>
      </c>
    </row>
    <row r="166" spans="1:5">
      <c r="A166">
        <f>+'q22'!$K$4</f>
        <v>2022</v>
      </c>
      <c r="B166" t="str">
        <f>+Aux!$A$15</f>
        <v>B - Indústrias extrativas</v>
      </c>
      <c r="C166" t="str">
        <f t="shared" si="2"/>
        <v>B</v>
      </c>
      <c r="D166" s="383" t="s">
        <v>262</v>
      </c>
      <c r="E166" s="439">
        <f>+'q22'!$K$7</f>
        <v>1221.07</v>
      </c>
    </row>
    <row r="167" spans="1:5">
      <c r="A167">
        <f>+'q22'!$K$4</f>
        <v>2022</v>
      </c>
      <c r="B167" t="str">
        <f>+Aux!$A$16</f>
        <v>C - Ind. transf.</v>
      </c>
      <c r="C167" t="str">
        <f t="shared" si="2"/>
        <v>C</v>
      </c>
      <c r="D167" s="383" t="s">
        <v>262</v>
      </c>
      <c r="E167" s="439">
        <f>+'q22'!$K$8</f>
        <v>1095.17</v>
      </c>
    </row>
    <row r="168" spans="1:5">
      <c r="A168">
        <f>+'q22'!$K$4</f>
        <v>2022</v>
      </c>
      <c r="B168" t="str">
        <f>+Aux!$A$17</f>
        <v>D - Eletricidade, gás, vapor, água quente e fria e ar frio</v>
      </c>
      <c r="C168" t="str">
        <f t="shared" si="2"/>
        <v>D</v>
      </c>
      <c r="D168" s="383" t="s">
        <v>262</v>
      </c>
      <c r="E168" s="439">
        <f>+'q22'!$K$33</f>
        <v>2243.09</v>
      </c>
    </row>
    <row r="169" spans="1:5">
      <c r="A169">
        <f>+'q22'!$K$4</f>
        <v>2022</v>
      </c>
      <c r="B169" t="str">
        <f>+Aux!$A$18</f>
        <v>E - Captação, trat. e dist. água; saneam., gest. resíduos e desp.</v>
      </c>
      <c r="C169" t="str">
        <f t="shared" si="2"/>
        <v>E</v>
      </c>
      <c r="D169" s="383" t="s">
        <v>262</v>
      </c>
      <c r="E169" s="439">
        <f>+'q22'!$K$34</f>
        <v>1034.78</v>
      </c>
    </row>
    <row r="170" spans="1:5">
      <c r="A170">
        <f>+'q22'!$K$4</f>
        <v>2022</v>
      </c>
      <c r="B170" t="str">
        <f>+Aux!$A$19</f>
        <v>F - Construção</v>
      </c>
      <c r="C170" t="str">
        <f t="shared" si="2"/>
        <v>F</v>
      </c>
      <c r="D170" s="383" t="s">
        <v>262</v>
      </c>
      <c r="E170" s="439">
        <f>+'q22'!$K$35</f>
        <v>973.22</v>
      </c>
    </row>
    <row r="171" spans="1:5">
      <c r="A171">
        <f>+'q22'!$K$4</f>
        <v>2022</v>
      </c>
      <c r="B171" t="str">
        <f>+Aux!$A$20</f>
        <v>G - Com. por grosso e ret. (…)</v>
      </c>
      <c r="C171" t="str">
        <f t="shared" si="2"/>
        <v>G</v>
      </c>
      <c r="D171" s="383" t="s">
        <v>262</v>
      </c>
      <c r="E171" s="439">
        <f>+'q22'!$K$36</f>
        <v>1075.5999999999999</v>
      </c>
    </row>
    <row r="172" spans="1:5">
      <c r="A172">
        <f>+'q22'!$K$4</f>
        <v>2022</v>
      </c>
      <c r="B172" t="str">
        <f>+Aux!$A$21</f>
        <v>H - Transportes e armazenagem</v>
      </c>
      <c r="C172" t="str">
        <f t="shared" si="2"/>
        <v>H</v>
      </c>
      <c r="D172" s="383" t="s">
        <v>262</v>
      </c>
      <c r="E172" s="439">
        <f>+'q22'!$K$37</f>
        <v>1184.24</v>
      </c>
    </row>
    <row r="173" spans="1:5">
      <c r="A173">
        <f>+'q22'!$K$4</f>
        <v>2022</v>
      </c>
      <c r="B173" t="str">
        <f>+Aux!$A$22</f>
        <v>I - Aloj., rest. e sim.</v>
      </c>
      <c r="C173" t="str">
        <f t="shared" si="2"/>
        <v>I</v>
      </c>
      <c r="D173" s="383" t="s">
        <v>262</v>
      </c>
      <c r="E173" s="439">
        <f>+'q22'!$K$38</f>
        <v>872.72</v>
      </c>
    </row>
    <row r="174" spans="1:5">
      <c r="A174">
        <f>+'q22'!$K$4</f>
        <v>2022</v>
      </c>
      <c r="B174" t="str">
        <f>+Aux!$A$23</f>
        <v>J - Atividades de informação e de comunicação</v>
      </c>
      <c r="C174" t="str">
        <f t="shared" si="2"/>
        <v>J</v>
      </c>
      <c r="D174" s="383" t="s">
        <v>262</v>
      </c>
      <c r="E174" s="439">
        <f>+'q22'!$K$39</f>
        <v>1915.45</v>
      </c>
    </row>
    <row r="175" spans="1:5">
      <c r="A175">
        <f>+'q22'!$K$4</f>
        <v>2022</v>
      </c>
      <c r="B175" t="str">
        <f>+Aux!$A$24</f>
        <v>K - Atividades financeiras e de seguros</v>
      </c>
      <c r="C175" t="str">
        <f t="shared" si="2"/>
        <v>K</v>
      </c>
      <c r="D175" s="383" t="s">
        <v>262</v>
      </c>
      <c r="E175" s="439">
        <f>+'q22'!$K$40</f>
        <v>1705.23</v>
      </c>
    </row>
    <row r="176" spans="1:5">
      <c r="A176">
        <f>+'q22'!$K$4</f>
        <v>2022</v>
      </c>
      <c r="B176" t="str">
        <f>+Aux!$A$25</f>
        <v>L - Atividades imobiliárias</v>
      </c>
      <c r="C176" t="str">
        <f t="shared" si="2"/>
        <v>L</v>
      </c>
      <c r="D176" s="383" t="s">
        <v>262</v>
      </c>
      <c r="E176" s="439">
        <f>+'q22'!$K$41</f>
        <v>1185.33</v>
      </c>
    </row>
    <row r="177" spans="1:5">
      <c r="A177">
        <f>+'q22'!$K$4</f>
        <v>2022</v>
      </c>
      <c r="B177" t="str">
        <f>+Aux!$A$26</f>
        <v>M - Atividades de consultoria, científicas, técnicas e similares</v>
      </c>
      <c r="C177" t="str">
        <f t="shared" si="2"/>
        <v>M</v>
      </c>
      <c r="D177" s="383" t="s">
        <v>262</v>
      </c>
      <c r="E177" s="439">
        <f>+'q22'!$K$42</f>
        <v>1491.97</v>
      </c>
    </row>
    <row r="178" spans="1:5">
      <c r="A178">
        <f>+'q22'!$K$4</f>
        <v>2022</v>
      </c>
      <c r="B178" t="str">
        <f>+Aux!$A$27</f>
        <v>N - Ativ. Admin. e dos serv. apoio</v>
      </c>
      <c r="C178" t="str">
        <f t="shared" si="2"/>
        <v>N</v>
      </c>
      <c r="D178" s="383" t="s">
        <v>262</v>
      </c>
      <c r="E178" s="439">
        <f>+'q22'!$K$43</f>
        <v>970.39</v>
      </c>
    </row>
    <row r="179" spans="1:5">
      <c r="A179">
        <f>+'q22'!$K$4</f>
        <v>2022</v>
      </c>
      <c r="B179" t="str">
        <f>+Aux!$A$28</f>
        <v>O - Administração pública e defesa; segurança social obrigatória</v>
      </c>
      <c r="C179" t="str">
        <f t="shared" si="2"/>
        <v>O</v>
      </c>
      <c r="D179" s="383" t="s">
        <v>262</v>
      </c>
      <c r="E179" s="439">
        <f>+'q22'!$K$44</f>
        <v>1035.5</v>
      </c>
    </row>
    <row r="180" spans="1:5">
      <c r="A180">
        <f>+'q22'!$K$4</f>
        <v>2022</v>
      </c>
      <c r="B180" t="str">
        <f>+Aux!$A$29</f>
        <v>P - Educação</v>
      </c>
      <c r="C180" t="str">
        <f t="shared" si="2"/>
        <v>P</v>
      </c>
      <c r="D180" s="383" t="s">
        <v>262</v>
      </c>
      <c r="E180" s="439">
        <f>+'q22'!$K$45</f>
        <v>1348.73</v>
      </c>
    </row>
    <row r="181" spans="1:5">
      <c r="A181">
        <f>+'q22'!$K$4</f>
        <v>2022</v>
      </c>
      <c r="B181" t="str">
        <f>+Aux!$A$30</f>
        <v>Q - Ativ. de saúde humana e apoio social</v>
      </c>
      <c r="C181" t="str">
        <f t="shared" si="2"/>
        <v>Q</v>
      </c>
      <c r="D181" s="383" t="s">
        <v>262</v>
      </c>
      <c r="E181" s="439">
        <f>+'q22'!$K$46</f>
        <v>1004.81</v>
      </c>
    </row>
    <row r="182" spans="1:5">
      <c r="A182">
        <f>+'q22'!$K$4</f>
        <v>2022</v>
      </c>
      <c r="B182" t="str">
        <f>+Aux!$A$31</f>
        <v>R - Atividades artísticas, de espectáculos, desp. e recreativas</v>
      </c>
      <c r="C182" t="str">
        <f t="shared" si="2"/>
        <v>R</v>
      </c>
      <c r="D182" s="383" t="s">
        <v>262</v>
      </c>
      <c r="E182" s="439">
        <f>+'q22'!$K$47</f>
        <v>1789.86</v>
      </c>
    </row>
    <row r="183" spans="1:5">
      <c r="A183">
        <f>+'q22'!$K$4</f>
        <v>2022</v>
      </c>
      <c r="B183" t="str">
        <f>+Aux!$A$32</f>
        <v>S - Outras atividades de serviços</v>
      </c>
      <c r="C183" t="str">
        <f t="shared" si="2"/>
        <v>S</v>
      </c>
      <c r="D183" s="383" t="s">
        <v>262</v>
      </c>
      <c r="E183" s="439">
        <f>+'q22'!$K$48</f>
        <v>1053.43</v>
      </c>
    </row>
    <row r="184" spans="1:5">
      <c r="A184">
        <f>+'q22'!$K$4</f>
        <v>2022</v>
      </c>
      <c r="B184" t="str">
        <f>+Aux!$A$33</f>
        <v>U - Ativ. org. interna. e outras instituições extra-territoriais</v>
      </c>
      <c r="C184" t="str">
        <f t="shared" si="2"/>
        <v>U</v>
      </c>
      <c r="D184" s="383" t="s">
        <v>262</v>
      </c>
      <c r="E184" s="439">
        <f>+'q22'!$K$49</f>
        <v>3156.84</v>
      </c>
    </row>
    <row r="185" spans="1:5">
      <c r="A185">
        <f>+'q22'!$L$4</f>
        <v>2023</v>
      </c>
      <c r="B185" t="str">
        <f>+Aux!$A$14</f>
        <v xml:space="preserve">A - Agricultura, produção animal, caça, floresta e pesca </v>
      </c>
      <c r="C185" t="str">
        <f t="shared" si="2"/>
        <v>A</v>
      </c>
      <c r="D185" s="383" t="s">
        <v>262</v>
      </c>
      <c r="E185" s="439">
        <f>+'q22'!$L$6</f>
        <v>969.65</v>
      </c>
    </row>
    <row r="186" spans="1:5">
      <c r="A186">
        <f>+'q22'!$L$4</f>
        <v>2023</v>
      </c>
      <c r="B186" t="str">
        <f>+Aux!$A$15</f>
        <v>B - Indústrias extrativas</v>
      </c>
      <c r="C186" t="str">
        <f t="shared" si="2"/>
        <v>B</v>
      </c>
      <c r="D186" s="383" t="s">
        <v>262</v>
      </c>
      <c r="E186" s="439">
        <f>+'q22'!$L$7</f>
        <v>1316.39</v>
      </c>
    </row>
    <row r="187" spans="1:5">
      <c r="A187">
        <f>+'q22'!$L$4</f>
        <v>2023</v>
      </c>
      <c r="B187" t="str">
        <f>+Aux!$A$16</f>
        <v>C - Ind. transf.</v>
      </c>
      <c r="C187" t="str">
        <f t="shared" si="2"/>
        <v>C</v>
      </c>
      <c r="D187" s="383" t="s">
        <v>262</v>
      </c>
      <c r="E187" s="439">
        <f>+'q22'!$L$8</f>
        <v>1172.58</v>
      </c>
    </row>
    <row r="188" spans="1:5">
      <c r="A188">
        <f>+'q22'!$L$4</f>
        <v>2023</v>
      </c>
      <c r="B188" t="str">
        <f>+Aux!$A$17</f>
        <v>D - Eletricidade, gás, vapor, água quente e fria e ar frio</v>
      </c>
      <c r="C188" t="str">
        <f t="shared" si="2"/>
        <v>D</v>
      </c>
      <c r="D188" s="383" t="s">
        <v>262</v>
      </c>
      <c r="E188" s="439">
        <f>+'q22'!$L$33</f>
        <v>2384.1999999999998</v>
      </c>
    </row>
    <row r="189" spans="1:5">
      <c r="A189">
        <f>+'q22'!$L$4</f>
        <v>2023</v>
      </c>
      <c r="B189" t="str">
        <f>+Aux!$A$18</f>
        <v>E - Captação, trat. e dist. água; saneam., gest. resíduos e desp.</v>
      </c>
      <c r="C189" t="str">
        <f t="shared" si="2"/>
        <v>E</v>
      </c>
      <c r="D189" s="383" t="s">
        <v>262</v>
      </c>
      <c r="E189" s="439">
        <f>+'q22'!$L$34</f>
        <v>1116.05</v>
      </c>
    </row>
    <row r="190" spans="1:5">
      <c r="A190">
        <f>+'q22'!$L$4</f>
        <v>2023</v>
      </c>
      <c r="B190" t="str">
        <f>+Aux!$A$19</f>
        <v>F - Construção</v>
      </c>
      <c r="C190" t="str">
        <f t="shared" si="2"/>
        <v>F</v>
      </c>
      <c r="D190" s="383" t="s">
        <v>262</v>
      </c>
      <c r="E190" s="439">
        <f>+'q22'!$L$35</f>
        <v>1035.72</v>
      </c>
    </row>
    <row r="191" spans="1:5">
      <c r="A191">
        <f>+'q22'!$L$4</f>
        <v>2023</v>
      </c>
      <c r="B191" t="str">
        <f>+Aux!$A$20</f>
        <v>G - Com. por grosso e ret. (…)</v>
      </c>
      <c r="C191" t="str">
        <f t="shared" si="2"/>
        <v>G</v>
      </c>
      <c r="D191" s="383" t="s">
        <v>262</v>
      </c>
      <c r="E191" s="439">
        <f>+'q22'!$L$36</f>
        <v>1146.8499999999999</v>
      </c>
    </row>
    <row r="192" spans="1:5">
      <c r="A192">
        <f>+'q22'!$L$4</f>
        <v>2023</v>
      </c>
      <c r="B192" t="str">
        <f>+Aux!$A$21</f>
        <v>H - Transportes e armazenagem</v>
      </c>
      <c r="C192" t="str">
        <f t="shared" si="2"/>
        <v>H</v>
      </c>
      <c r="D192" s="383" t="s">
        <v>262</v>
      </c>
      <c r="E192" s="439">
        <f>+'q22'!$L$37</f>
        <v>1269.02</v>
      </c>
    </row>
    <row r="193" spans="1:5">
      <c r="A193">
        <f>+'q22'!$L$4</f>
        <v>2023</v>
      </c>
      <c r="B193" t="str">
        <f>+Aux!$A$22</f>
        <v>I - Aloj., rest. e sim.</v>
      </c>
      <c r="C193" t="str">
        <f t="shared" si="2"/>
        <v>I</v>
      </c>
      <c r="D193" s="383" t="s">
        <v>262</v>
      </c>
      <c r="E193" s="439">
        <f>+'q22'!$L$38</f>
        <v>929.8</v>
      </c>
    </row>
    <row r="194" spans="1:5">
      <c r="A194">
        <f>+'q22'!$L$4</f>
        <v>2023</v>
      </c>
      <c r="B194" t="str">
        <f>+Aux!$A$23</f>
        <v>J - Atividades de informação e de comunicação</v>
      </c>
      <c r="C194" t="str">
        <f t="shared" si="2"/>
        <v>J</v>
      </c>
      <c r="D194" s="383" t="s">
        <v>262</v>
      </c>
      <c r="E194" s="439">
        <f>+'q22'!$L$39</f>
        <v>2022.39</v>
      </c>
    </row>
    <row r="195" spans="1:5">
      <c r="A195">
        <f>+'q22'!$L$4</f>
        <v>2023</v>
      </c>
      <c r="B195" t="str">
        <f>+Aux!$A$24</f>
        <v>K - Atividades financeiras e de seguros</v>
      </c>
      <c r="C195" t="str">
        <f t="shared" si="2"/>
        <v>K</v>
      </c>
      <c r="D195" s="383" t="s">
        <v>262</v>
      </c>
      <c r="E195" s="439">
        <f>+'q22'!$L$40</f>
        <v>1801.31</v>
      </c>
    </row>
    <row r="196" spans="1:5">
      <c r="A196">
        <f>+'q22'!$L$4</f>
        <v>2023</v>
      </c>
      <c r="B196" t="str">
        <f>+Aux!$A$25</f>
        <v>L - Atividades imobiliárias</v>
      </c>
      <c r="C196" t="str">
        <f t="shared" si="2"/>
        <v>L</v>
      </c>
      <c r="D196" s="383" t="s">
        <v>262</v>
      </c>
      <c r="E196" s="439">
        <f>+'q22'!$L$41</f>
        <v>1267.8800000000001</v>
      </c>
    </row>
    <row r="197" spans="1:5">
      <c r="A197">
        <f>+'q22'!$L$4</f>
        <v>2023</v>
      </c>
      <c r="B197" t="str">
        <f>+Aux!$A$26</f>
        <v>M - Atividades de consultoria, científicas, técnicas e similares</v>
      </c>
      <c r="C197" t="str">
        <f t="shared" si="2"/>
        <v>M</v>
      </c>
      <c r="D197" s="383" t="s">
        <v>262</v>
      </c>
      <c r="E197" s="439">
        <f>+'q22'!$L$42</f>
        <v>1607.85</v>
      </c>
    </row>
    <row r="198" spans="1:5">
      <c r="A198">
        <f>+'q22'!$L$4</f>
        <v>2023</v>
      </c>
      <c r="B198" t="str">
        <f>+Aux!$A$27</f>
        <v>N - Ativ. Admin. e dos serv. apoio</v>
      </c>
      <c r="C198" t="str">
        <f t="shared" ref="C198:C261" si="3">+LEFT(B198,1)</f>
        <v>N</v>
      </c>
      <c r="D198" s="383" t="s">
        <v>262</v>
      </c>
      <c r="E198" s="439">
        <f>+'q22'!$L$43</f>
        <v>1056.28</v>
      </c>
    </row>
    <row r="199" spans="1:5">
      <c r="A199">
        <f>+'q22'!$L$4</f>
        <v>2023</v>
      </c>
      <c r="B199" t="str">
        <f>+Aux!$A$28</f>
        <v>O - Administração pública e defesa; segurança social obrigatória</v>
      </c>
      <c r="C199" t="str">
        <f t="shared" si="3"/>
        <v>O</v>
      </c>
      <c r="D199" s="383" t="s">
        <v>262</v>
      </c>
      <c r="E199" s="439">
        <f>+'q22'!$L$44</f>
        <v>1098.71</v>
      </c>
    </row>
    <row r="200" spans="1:5">
      <c r="A200">
        <f>+'q22'!$L$4</f>
        <v>2023</v>
      </c>
      <c r="B200" t="str">
        <f>+Aux!$A$29</f>
        <v>P - Educação</v>
      </c>
      <c r="C200" t="str">
        <f t="shared" si="3"/>
        <v>P</v>
      </c>
      <c r="D200" s="383" t="s">
        <v>262</v>
      </c>
      <c r="E200" s="439">
        <f>+'q22'!$L$45</f>
        <v>1435.78</v>
      </c>
    </row>
    <row r="201" spans="1:5">
      <c r="A201">
        <f>+'q22'!$L$4</f>
        <v>2023</v>
      </c>
      <c r="B201" t="str">
        <f>+Aux!$A$30</f>
        <v>Q - Ativ. de saúde humana e apoio social</v>
      </c>
      <c r="C201" t="str">
        <f t="shared" si="3"/>
        <v>Q</v>
      </c>
      <c r="D201" s="383" t="s">
        <v>262</v>
      </c>
      <c r="E201" s="439">
        <f>+'q22'!$L$46</f>
        <v>1055.5</v>
      </c>
    </row>
    <row r="202" spans="1:5">
      <c r="A202">
        <f>+'q22'!$L$4</f>
        <v>2023</v>
      </c>
      <c r="B202" t="str">
        <f>+Aux!$A$31</f>
        <v>R - Atividades artísticas, de espectáculos, desp. e recreativas</v>
      </c>
      <c r="C202" t="str">
        <f t="shared" si="3"/>
        <v>R</v>
      </c>
      <c r="D202" s="383" t="s">
        <v>262</v>
      </c>
      <c r="E202" s="439">
        <f>+'q22'!$L$47</f>
        <v>1903.38</v>
      </c>
    </row>
    <row r="203" spans="1:5">
      <c r="A203">
        <f>+'q22'!$L$4</f>
        <v>2023</v>
      </c>
      <c r="B203" t="str">
        <f>+Aux!$A$32</f>
        <v>S - Outras atividades de serviços</v>
      </c>
      <c r="C203" t="str">
        <f t="shared" si="3"/>
        <v>S</v>
      </c>
      <c r="D203" s="383" t="s">
        <v>262</v>
      </c>
      <c r="E203" s="439">
        <f>+'q22'!$L$48</f>
        <v>1105.46</v>
      </c>
    </row>
    <row r="204" spans="1:5">
      <c r="A204">
        <f>+'q22'!$L$4</f>
        <v>2023</v>
      </c>
      <c r="B204" t="str">
        <f>+Aux!$A$33</f>
        <v>U - Ativ. org. interna. e outras instituições extra-territoriais</v>
      </c>
      <c r="C204" t="str">
        <f t="shared" si="3"/>
        <v>U</v>
      </c>
      <c r="D204" s="383" t="s">
        <v>262</v>
      </c>
      <c r="E204" s="439">
        <f>+'q22'!$L$49</f>
        <v>3347.61</v>
      </c>
    </row>
    <row r="205" spans="1:5">
      <c r="A205">
        <f>+'q22'!$M$4</f>
        <v>2024</v>
      </c>
      <c r="B205" t="str">
        <f>+Aux!$A$14</f>
        <v xml:space="preserve">A - Agricultura, produção animal, caça, floresta e pesca </v>
      </c>
      <c r="C205" t="str">
        <f t="shared" si="3"/>
        <v>A</v>
      </c>
      <c r="D205" s="383" t="s">
        <v>262</v>
      </c>
      <c r="E205" s="439">
        <f>+'q22'!$M$6</f>
        <v>1041.6300000000001</v>
      </c>
    </row>
    <row r="206" spans="1:5">
      <c r="A206">
        <f>+'q22'!$M$4</f>
        <v>2024</v>
      </c>
      <c r="B206" t="str">
        <f>+Aux!$A$15</f>
        <v>B - Indústrias extrativas</v>
      </c>
      <c r="C206" t="str">
        <f t="shared" si="3"/>
        <v>B</v>
      </c>
      <c r="D206" s="383" t="s">
        <v>262</v>
      </c>
      <c r="E206" s="439">
        <f>+'q22'!$M$7</f>
        <v>1434.33</v>
      </c>
    </row>
    <row r="207" spans="1:5">
      <c r="A207">
        <f>+'q22'!$M$4</f>
        <v>2024</v>
      </c>
      <c r="B207" t="str">
        <f>+Aux!$A$16</f>
        <v>C - Ind. transf.</v>
      </c>
      <c r="C207" t="str">
        <f t="shared" si="3"/>
        <v>C</v>
      </c>
      <c r="D207" s="383" t="s">
        <v>262</v>
      </c>
      <c r="E207" s="439">
        <f>+'q22'!$M$8</f>
        <v>1262.53</v>
      </c>
    </row>
    <row r="208" spans="1:5">
      <c r="A208">
        <f>+'q22'!$M$4</f>
        <v>2024</v>
      </c>
      <c r="B208" t="str">
        <f>+Aux!$A$17</f>
        <v>D - Eletricidade, gás, vapor, água quente e fria e ar frio</v>
      </c>
      <c r="C208" t="str">
        <f t="shared" si="3"/>
        <v>D</v>
      </c>
      <c r="D208" s="383" t="s">
        <v>262</v>
      </c>
      <c r="E208" s="439">
        <f>+'q22'!$M$33</f>
        <v>2492.3000000000002</v>
      </c>
    </row>
    <row r="209" spans="1:5">
      <c r="A209">
        <f>+'q22'!$M$4</f>
        <v>2024</v>
      </c>
      <c r="B209" t="str">
        <f>+Aux!$A$18</f>
        <v>E - Captação, trat. e dist. água; saneam., gest. resíduos e desp.</v>
      </c>
      <c r="C209" t="str">
        <f t="shared" si="3"/>
        <v>E</v>
      </c>
      <c r="D209" s="383" t="s">
        <v>262</v>
      </c>
      <c r="E209" s="439">
        <f>+'q22'!$M$34</f>
        <v>1175.5899999999999</v>
      </c>
    </row>
    <row r="210" spans="1:5">
      <c r="A210">
        <f>+'q22'!$M$4</f>
        <v>2024</v>
      </c>
      <c r="B210" t="str">
        <f>+Aux!$A$19</f>
        <v>F - Construção</v>
      </c>
      <c r="C210" t="str">
        <f t="shared" si="3"/>
        <v>F</v>
      </c>
      <c r="D210" s="383" t="s">
        <v>262</v>
      </c>
      <c r="E210" s="439">
        <f>+'q22'!$M$35</f>
        <v>1114.46</v>
      </c>
    </row>
    <row r="211" spans="1:5">
      <c r="A211">
        <f>+'q22'!$M$4</f>
        <v>2024</v>
      </c>
      <c r="B211" t="str">
        <f>+Aux!$A$20</f>
        <v>G - Com. por grosso e ret. (…)</v>
      </c>
      <c r="C211" t="str">
        <f t="shared" si="3"/>
        <v>G</v>
      </c>
      <c r="D211" s="383" t="s">
        <v>262</v>
      </c>
      <c r="E211" s="439">
        <f>+'q22'!$M$36</f>
        <v>1222.95</v>
      </c>
    </row>
    <row r="212" spans="1:5">
      <c r="A212">
        <f>+'q22'!$M$4</f>
        <v>2024</v>
      </c>
      <c r="B212" t="str">
        <f>+Aux!$A$21</f>
        <v>H - Transportes e armazenagem</v>
      </c>
      <c r="C212" t="str">
        <f t="shared" si="3"/>
        <v>H</v>
      </c>
      <c r="D212" s="383" t="s">
        <v>262</v>
      </c>
      <c r="E212" s="439">
        <f>+'q22'!$M$37</f>
        <v>1347.49</v>
      </c>
    </row>
    <row r="213" spans="1:5">
      <c r="A213">
        <f>+'q22'!$M$4</f>
        <v>2024</v>
      </c>
      <c r="B213" t="str">
        <f>+Aux!$A$22</f>
        <v>I - Aloj., rest. e sim.</v>
      </c>
      <c r="C213" t="str">
        <f t="shared" si="3"/>
        <v>I</v>
      </c>
      <c r="D213" s="383" t="s">
        <v>262</v>
      </c>
      <c r="E213" s="439">
        <f>+'q22'!$M$38</f>
        <v>994.57</v>
      </c>
    </row>
    <row r="214" spans="1:5">
      <c r="A214">
        <f>+'q22'!$M$4</f>
        <v>2024</v>
      </c>
      <c r="B214" t="str">
        <f>+Aux!$A$23</f>
        <v>J - Atividades de informação e de comunicação</v>
      </c>
      <c r="C214" t="str">
        <f t="shared" si="3"/>
        <v>J</v>
      </c>
      <c r="D214" s="383" t="s">
        <v>262</v>
      </c>
      <c r="E214" s="439">
        <f>+'q22'!$M$39</f>
        <v>2199</v>
      </c>
    </row>
    <row r="215" spans="1:5">
      <c r="A215">
        <f>+'q22'!$M$4</f>
        <v>2024</v>
      </c>
      <c r="B215" t="str">
        <f>+Aux!$A$24</f>
        <v>K - Atividades financeiras e de seguros</v>
      </c>
      <c r="C215" t="str">
        <f t="shared" si="3"/>
        <v>K</v>
      </c>
      <c r="D215" s="383" t="s">
        <v>262</v>
      </c>
      <c r="E215" s="439">
        <f>+'q22'!$M$40</f>
        <v>1896.55</v>
      </c>
    </row>
    <row r="216" spans="1:5">
      <c r="A216">
        <f>+'q22'!$M$4</f>
        <v>2024</v>
      </c>
      <c r="B216" t="str">
        <f>+Aux!$A$25</f>
        <v>L - Atividades imobiliárias</v>
      </c>
      <c r="C216" t="str">
        <f t="shared" si="3"/>
        <v>L</v>
      </c>
      <c r="D216" s="383" t="s">
        <v>262</v>
      </c>
      <c r="E216" s="439">
        <f>+'q22'!$M$41</f>
        <v>1328.45</v>
      </c>
    </row>
    <row r="217" spans="1:5">
      <c r="A217">
        <f>+'q22'!$M$4</f>
        <v>2024</v>
      </c>
      <c r="B217" t="str">
        <f>+Aux!$A$26</f>
        <v>M - Atividades de consultoria, científicas, técnicas e similares</v>
      </c>
      <c r="C217" t="str">
        <f t="shared" si="3"/>
        <v>M</v>
      </c>
      <c r="D217" s="383" t="s">
        <v>262</v>
      </c>
      <c r="E217" s="439">
        <f>+'q22'!$M$42</f>
        <v>1707.41</v>
      </c>
    </row>
    <row r="218" spans="1:5">
      <c r="A218">
        <f>+'q22'!$M$4</f>
        <v>2024</v>
      </c>
      <c r="B218" t="str">
        <f>+Aux!$A$27</f>
        <v>N - Ativ. Admin. e dos serv. apoio</v>
      </c>
      <c r="C218" t="str">
        <f t="shared" si="3"/>
        <v>N</v>
      </c>
      <c r="D218" s="383" t="s">
        <v>262</v>
      </c>
      <c r="E218" s="439">
        <f>+'q22'!$M$43</f>
        <v>1139.6600000000001</v>
      </c>
    </row>
    <row r="219" spans="1:5">
      <c r="A219">
        <f>+'q22'!$M$4</f>
        <v>2024</v>
      </c>
      <c r="B219" t="str">
        <f>+Aux!$A$28</f>
        <v>O - Administração pública e defesa; segurança social obrigatória</v>
      </c>
      <c r="C219" t="str">
        <f t="shared" si="3"/>
        <v>O</v>
      </c>
      <c r="D219" s="383" t="s">
        <v>262</v>
      </c>
      <c r="E219" s="439">
        <f>+'q22'!$M$44</f>
        <v>1162.82</v>
      </c>
    </row>
    <row r="220" spans="1:5">
      <c r="A220">
        <f>+'q22'!$M$4</f>
        <v>2024</v>
      </c>
      <c r="B220" t="str">
        <f>+Aux!$A$29</f>
        <v>P - Educação</v>
      </c>
      <c r="C220" t="str">
        <f t="shared" si="3"/>
        <v>P</v>
      </c>
      <c r="D220" s="383" t="s">
        <v>262</v>
      </c>
      <c r="E220" s="439">
        <f>+'q22'!$M$45</f>
        <v>1511.69</v>
      </c>
    </row>
    <row r="221" spans="1:5">
      <c r="A221">
        <f>+'q22'!$M$4</f>
        <v>2024</v>
      </c>
      <c r="B221" t="str">
        <f>+Aux!$A$30</f>
        <v>Q - Ativ. de saúde humana e apoio social</v>
      </c>
      <c r="C221" t="str">
        <f t="shared" si="3"/>
        <v>Q</v>
      </c>
      <c r="D221" s="383" t="s">
        <v>262</v>
      </c>
      <c r="E221" s="439">
        <f>+'q22'!$M$46</f>
        <v>1145.81</v>
      </c>
    </row>
    <row r="222" spans="1:5">
      <c r="A222">
        <f>+'q22'!$M$4</f>
        <v>2024</v>
      </c>
      <c r="B222" t="str">
        <f>+Aux!$A$31</f>
        <v>R - Atividades artísticas, de espectáculos, desp. e recreativas</v>
      </c>
      <c r="C222" t="str">
        <f t="shared" si="3"/>
        <v>R</v>
      </c>
      <c r="D222" s="383" t="s">
        <v>262</v>
      </c>
      <c r="E222" s="439">
        <f>+'q22'!$M$47</f>
        <v>1963.43</v>
      </c>
    </row>
    <row r="223" spans="1:5">
      <c r="A223">
        <f>+'q22'!$M$4</f>
        <v>2024</v>
      </c>
      <c r="B223" t="str">
        <f>+Aux!$A$32</f>
        <v>S - Outras atividades de serviços</v>
      </c>
      <c r="C223" t="str">
        <f t="shared" si="3"/>
        <v>S</v>
      </c>
      <c r="D223" s="383" t="s">
        <v>262</v>
      </c>
      <c r="E223" s="439">
        <f>+'q22'!$M$48</f>
        <v>1180.2</v>
      </c>
    </row>
    <row r="224" spans="1:5">
      <c r="A224">
        <f>+'q22'!$M$4</f>
        <v>2024</v>
      </c>
      <c r="B224" t="str">
        <f>+Aux!$A$33</f>
        <v>U - Ativ. org. interna. e outras instituições extra-territoriais</v>
      </c>
      <c r="C224" t="str">
        <f t="shared" si="3"/>
        <v>U</v>
      </c>
      <c r="D224" s="383" t="s">
        <v>262</v>
      </c>
      <c r="E224" s="439">
        <f>+'q22'!$M$49</f>
        <v>3203.52</v>
      </c>
    </row>
    <row r="225" spans="1:5">
      <c r="A225">
        <f>+'q34'!$C$4</f>
        <v>2014</v>
      </c>
      <c r="B225" t="str">
        <f>+Aux!$A$14</f>
        <v xml:space="preserve">A - Agricultura, produção animal, caça, floresta e pesca </v>
      </c>
      <c r="C225" t="str">
        <f t="shared" si="3"/>
        <v>A</v>
      </c>
      <c r="D225" s="383" t="s">
        <v>263</v>
      </c>
      <c r="E225" s="439">
        <f>+'q34'!$C$6</f>
        <v>794.63</v>
      </c>
    </row>
    <row r="226" spans="1:5">
      <c r="A226">
        <f>+'q34'!$C$4</f>
        <v>2014</v>
      </c>
      <c r="B226" t="str">
        <f>+Aux!$A$15</f>
        <v>B - Indústrias extrativas</v>
      </c>
      <c r="C226" t="str">
        <f t="shared" si="3"/>
        <v>B</v>
      </c>
      <c r="D226" s="383" t="s">
        <v>263</v>
      </c>
      <c r="E226" s="439">
        <f>+'q34'!$C$7</f>
        <v>1253.19</v>
      </c>
    </row>
    <row r="227" spans="1:5">
      <c r="A227">
        <f>+'q34'!$C$4</f>
        <v>2014</v>
      </c>
      <c r="B227" t="str">
        <f>+Aux!$A$16</f>
        <v>C - Ind. transf.</v>
      </c>
      <c r="C227" t="str">
        <f t="shared" si="3"/>
        <v>C</v>
      </c>
      <c r="D227" s="383" t="s">
        <v>263</v>
      </c>
      <c r="E227" s="439">
        <f>+'q34'!$C$8</f>
        <v>1003.09</v>
      </c>
    </row>
    <row r="228" spans="1:5">
      <c r="A228">
        <f>+'q34'!$C$4</f>
        <v>2014</v>
      </c>
      <c r="B228" t="str">
        <f>+Aux!$A$17</f>
        <v>D - Eletricidade, gás, vapor, água quente e fria e ar frio</v>
      </c>
      <c r="C228" t="str">
        <f t="shared" si="3"/>
        <v>D</v>
      </c>
      <c r="D228" s="383" t="s">
        <v>263</v>
      </c>
      <c r="E228" s="439">
        <f>+'q34'!$C$33</f>
        <v>2899.03</v>
      </c>
    </row>
    <row r="229" spans="1:5">
      <c r="A229">
        <f>+'q34'!$C$4</f>
        <v>2014</v>
      </c>
      <c r="B229" t="str">
        <f>+Aux!$A$18</f>
        <v>E - Captação, trat. e dist. água; saneam., gest. resíduos e desp.</v>
      </c>
      <c r="C229" t="str">
        <f t="shared" si="3"/>
        <v>E</v>
      </c>
      <c r="D229" s="383" t="s">
        <v>263</v>
      </c>
      <c r="E229" s="439">
        <f>+'q34'!$C$34</f>
        <v>1091.92</v>
      </c>
    </row>
    <row r="230" spans="1:5">
      <c r="A230">
        <f>+'q34'!$C$4</f>
        <v>2014</v>
      </c>
      <c r="B230" t="str">
        <f>+Aux!$A$19</f>
        <v>F - Construção</v>
      </c>
      <c r="C230" t="str">
        <f t="shared" si="3"/>
        <v>F</v>
      </c>
      <c r="D230" s="383" t="s">
        <v>263</v>
      </c>
      <c r="E230" s="439">
        <f>+'q34'!$C$35</f>
        <v>962.23</v>
      </c>
    </row>
    <row r="231" spans="1:5">
      <c r="A231">
        <f>+'q34'!$C$4</f>
        <v>2014</v>
      </c>
      <c r="B231" t="str">
        <f>+Aux!$A$20</f>
        <v>G - Com. por grosso e ret. (…)</v>
      </c>
      <c r="C231" t="str">
        <f t="shared" si="3"/>
        <v>G</v>
      </c>
      <c r="D231" s="383" t="s">
        <v>263</v>
      </c>
      <c r="E231" s="439">
        <f>+'q34'!$C$36</f>
        <v>1014.14</v>
      </c>
    </row>
    <row r="232" spans="1:5">
      <c r="A232">
        <f>+'q34'!$C$4</f>
        <v>2014</v>
      </c>
      <c r="B232" t="str">
        <f>+Aux!$A$21</f>
        <v>H - Transportes e armazenagem</v>
      </c>
      <c r="C232" t="str">
        <f t="shared" si="3"/>
        <v>H</v>
      </c>
      <c r="D232" s="383" t="s">
        <v>263</v>
      </c>
      <c r="E232" s="439">
        <f>+'q34'!$C$37</f>
        <v>1335.45</v>
      </c>
    </row>
    <row r="233" spans="1:5">
      <c r="A233">
        <f>+'q34'!$C$4</f>
        <v>2014</v>
      </c>
      <c r="B233" t="str">
        <f>+Aux!$A$22</f>
        <v>I - Aloj., rest. e sim.</v>
      </c>
      <c r="C233" t="str">
        <f t="shared" si="3"/>
        <v>I</v>
      </c>
      <c r="D233" s="383" t="s">
        <v>263</v>
      </c>
      <c r="E233" s="439">
        <f>+'q34'!$C$38</f>
        <v>734.04</v>
      </c>
    </row>
    <row r="234" spans="1:5">
      <c r="A234">
        <f>+'q34'!$C$4</f>
        <v>2014</v>
      </c>
      <c r="B234" t="str">
        <f>+Aux!$A$23</f>
        <v>J - Atividades de informação e de comunicação</v>
      </c>
      <c r="C234" t="str">
        <f t="shared" si="3"/>
        <v>J</v>
      </c>
      <c r="D234" s="383" t="s">
        <v>263</v>
      </c>
      <c r="E234" s="439">
        <f>+'q34'!$C$39</f>
        <v>1779.88</v>
      </c>
    </row>
    <row r="235" spans="1:5">
      <c r="A235">
        <f>+'q34'!$C$4</f>
        <v>2014</v>
      </c>
      <c r="B235" t="str">
        <f>+Aux!$A$24</f>
        <v>K - Atividades financeiras e de seguros</v>
      </c>
      <c r="C235" t="str">
        <f t="shared" si="3"/>
        <v>K</v>
      </c>
      <c r="D235" s="383" t="s">
        <v>263</v>
      </c>
      <c r="E235" s="439">
        <f>+'q34'!$C$40</f>
        <v>2312.4899999999998</v>
      </c>
    </row>
    <row r="236" spans="1:5">
      <c r="A236">
        <f>+'q34'!$C$4</f>
        <v>2014</v>
      </c>
      <c r="B236" t="str">
        <f>+Aux!$A$25</f>
        <v>L - Atividades imobiliárias</v>
      </c>
      <c r="C236" t="str">
        <f t="shared" si="3"/>
        <v>L</v>
      </c>
      <c r="D236" s="383" t="s">
        <v>263</v>
      </c>
      <c r="E236" s="439">
        <f>+'q34'!$C$41</f>
        <v>1087.28</v>
      </c>
    </row>
    <row r="237" spans="1:5">
      <c r="A237">
        <f>+'q34'!$C$4</f>
        <v>2014</v>
      </c>
      <c r="B237" t="str">
        <f>+Aux!$A$26</f>
        <v>M - Atividades de consultoria, científicas, técnicas e similares</v>
      </c>
      <c r="C237" t="str">
        <f t="shared" si="3"/>
        <v>M</v>
      </c>
      <c r="D237" s="383" t="s">
        <v>263</v>
      </c>
      <c r="E237" s="439">
        <f>+'q34'!$C$42</f>
        <v>1347.85</v>
      </c>
    </row>
    <row r="238" spans="1:5">
      <c r="A238">
        <f>+'q34'!$C$4</f>
        <v>2014</v>
      </c>
      <c r="B238" t="str">
        <f>+Aux!$A$27</f>
        <v>N - Ativ. Admin. e dos serv. apoio</v>
      </c>
      <c r="C238" t="str">
        <f t="shared" si="3"/>
        <v>N</v>
      </c>
      <c r="D238" s="383" t="s">
        <v>263</v>
      </c>
      <c r="E238" s="439">
        <f>+'q34'!$C$43</f>
        <v>915.77</v>
      </c>
    </row>
    <row r="239" spans="1:5">
      <c r="A239">
        <f>+'q34'!$C$4</f>
        <v>2014</v>
      </c>
      <c r="B239" t="str">
        <f>+Aux!$A$28</f>
        <v>O - Administração pública e defesa; segurança social obrigatória</v>
      </c>
      <c r="C239" t="str">
        <f t="shared" si="3"/>
        <v>O</v>
      </c>
      <c r="D239" s="383" t="s">
        <v>263</v>
      </c>
      <c r="E239" s="439">
        <f>+'q34'!$C$44</f>
        <v>1049.32</v>
      </c>
    </row>
    <row r="240" spans="1:5">
      <c r="A240">
        <f>+'q34'!$C$4</f>
        <v>2014</v>
      </c>
      <c r="B240" t="str">
        <f>+Aux!$A$29</f>
        <v>P - Educação</v>
      </c>
      <c r="C240" t="str">
        <f t="shared" si="3"/>
        <v>P</v>
      </c>
      <c r="D240" s="383" t="s">
        <v>263</v>
      </c>
      <c r="E240" s="439">
        <f>+'q34'!$C$45</f>
        <v>1224.42</v>
      </c>
    </row>
    <row r="241" spans="1:5">
      <c r="A241">
        <f>+'q34'!$C$4</f>
        <v>2014</v>
      </c>
      <c r="B241" t="str">
        <f>+Aux!$A$30</f>
        <v>Q - Ativ. de saúde humana e apoio social</v>
      </c>
      <c r="C241" t="str">
        <f t="shared" si="3"/>
        <v>Q</v>
      </c>
      <c r="D241" s="383" t="s">
        <v>263</v>
      </c>
      <c r="E241" s="439">
        <f>+'q34'!$C$46</f>
        <v>941.14</v>
      </c>
    </row>
    <row r="242" spans="1:5">
      <c r="A242">
        <f>+'q34'!$C$4</f>
        <v>2014</v>
      </c>
      <c r="B242" t="str">
        <f>+Aux!$A$31</f>
        <v>R - Atividades artísticas, de espectáculos, desp. e recreativas</v>
      </c>
      <c r="C242" t="str">
        <f t="shared" si="3"/>
        <v>R</v>
      </c>
      <c r="D242" s="383" t="s">
        <v>263</v>
      </c>
      <c r="E242" s="439">
        <f>+'q34'!$C$47</f>
        <v>1556.9</v>
      </c>
    </row>
    <row r="243" spans="1:5">
      <c r="A243">
        <f>+'q34'!$C$4</f>
        <v>2014</v>
      </c>
      <c r="B243" t="str">
        <f>+Aux!$A$32</f>
        <v>S - Outras atividades de serviços</v>
      </c>
      <c r="C243" t="str">
        <f t="shared" si="3"/>
        <v>S</v>
      </c>
      <c r="D243" s="383" t="s">
        <v>263</v>
      </c>
      <c r="E243" s="439">
        <f>+'q34'!$C$48</f>
        <v>957.11</v>
      </c>
    </row>
    <row r="244" spans="1:5">
      <c r="A244">
        <f>+'q34'!$C$4</f>
        <v>2014</v>
      </c>
      <c r="B244" t="str">
        <f>+Aux!$A$33</f>
        <v>U - Ativ. org. interna. e outras instituições extra-territoriais</v>
      </c>
      <c r="C244" t="str">
        <f t="shared" si="3"/>
        <v>U</v>
      </c>
      <c r="D244" s="383" t="s">
        <v>263</v>
      </c>
      <c r="E244" s="439">
        <f>+'q34'!$C$49</f>
        <v>1860.19</v>
      </c>
    </row>
    <row r="245" spans="1:5">
      <c r="A245">
        <f>+'q34'!$D$4</f>
        <v>2015</v>
      </c>
      <c r="B245" t="str">
        <f>+Aux!$A$14</f>
        <v xml:space="preserve">A - Agricultura, produção animal, caça, floresta e pesca </v>
      </c>
      <c r="C245" t="str">
        <f t="shared" si="3"/>
        <v>A</v>
      </c>
      <c r="D245" s="383" t="s">
        <v>263</v>
      </c>
      <c r="E245" s="439">
        <f>+'q34'!$D$6</f>
        <v>802.68</v>
      </c>
    </row>
    <row r="246" spans="1:5">
      <c r="A246">
        <f>+'q34'!$D$4</f>
        <v>2015</v>
      </c>
      <c r="B246" t="str">
        <f>+Aux!$A$15</f>
        <v>B - Indústrias extrativas</v>
      </c>
      <c r="C246" t="str">
        <f t="shared" si="3"/>
        <v>B</v>
      </c>
      <c r="D246" s="383" t="s">
        <v>263</v>
      </c>
      <c r="E246" s="439">
        <f>+'q34'!$D$7</f>
        <v>1254.1099999999999</v>
      </c>
    </row>
    <row r="247" spans="1:5">
      <c r="A247">
        <f>+'q34'!$D$4</f>
        <v>2015</v>
      </c>
      <c r="B247" t="str">
        <f>+Aux!$A$16</f>
        <v>C - Ind. transf.</v>
      </c>
      <c r="C247" t="str">
        <f t="shared" si="3"/>
        <v>C</v>
      </c>
      <c r="D247" s="383" t="s">
        <v>263</v>
      </c>
      <c r="E247" s="439">
        <f>+'q34'!$D$8</f>
        <v>1015.82</v>
      </c>
    </row>
    <row r="248" spans="1:5">
      <c r="A248">
        <f>+'q34'!$D$4</f>
        <v>2015</v>
      </c>
      <c r="B248" t="str">
        <f>+Aux!$A$17</f>
        <v>D - Eletricidade, gás, vapor, água quente e fria e ar frio</v>
      </c>
      <c r="C248" t="str">
        <f t="shared" si="3"/>
        <v>D</v>
      </c>
      <c r="D248" s="383" t="s">
        <v>263</v>
      </c>
      <c r="E248" s="439">
        <f>+'q34'!$D$33</f>
        <v>2923.78</v>
      </c>
    </row>
    <row r="249" spans="1:5">
      <c r="A249">
        <f>+'q34'!$D$4</f>
        <v>2015</v>
      </c>
      <c r="B249" t="str">
        <f>+Aux!$A$18</f>
        <v>E - Captação, trat. e dist. água; saneam., gest. resíduos e desp.</v>
      </c>
      <c r="C249" t="str">
        <f t="shared" si="3"/>
        <v>E</v>
      </c>
      <c r="D249" s="383" t="s">
        <v>263</v>
      </c>
      <c r="E249" s="439">
        <f>+'q34'!$D$34</f>
        <v>1102.67</v>
      </c>
    </row>
    <row r="250" spans="1:5">
      <c r="A250">
        <f>+'q34'!$D$4</f>
        <v>2015</v>
      </c>
      <c r="B250" t="str">
        <f>+Aux!$A$19</f>
        <v>F - Construção</v>
      </c>
      <c r="C250" t="str">
        <f t="shared" si="3"/>
        <v>F</v>
      </c>
      <c r="D250" s="383" t="s">
        <v>263</v>
      </c>
      <c r="E250" s="439">
        <f>+'q34'!$D$35</f>
        <v>958.61</v>
      </c>
    </row>
    <row r="251" spans="1:5">
      <c r="A251">
        <f>+'q34'!$D$4</f>
        <v>2015</v>
      </c>
      <c r="B251" t="str">
        <f>+Aux!$A$20</f>
        <v>G - Com. por grosso e ret. (…)</v>
      </c>
      <c r="C251" t="str">
        <f t="shared" si="3"/>
        <v>G</v>
      </c>
      <c r="D251" s="383" t="s">
        <v>263</v>
      </c>
      <c r="E251" s="439">
        <f>+'q34'!$D$36</f>
        <v>1022.01</v>
      </c>
    </row>
    <row r="252" spans="1:5">
      <c r="A252">
        <f>+'q34'!$D$4</f>
        <v>2015</v>
      </c>
      <c r="B252" t="str">
        <f>+Aux!$A$21</f>
        <v>H - Transportes e armazenagem</v>
      </c>
      <c r="C252" t="str">
        <f t="shared" si="3"/>
        <v>H</v>
      </c>
      <c r="D252" s="383" t="s">
        <v>263</v>
      </c>
      <c r="E252" s="439">
        <f>+'q34'!$D$37</f>
        <v>1342.5</v>
      </c>
    </row>
    <row r="253" spans="1:5">
      <c r="A253">
        <f>+'q34'!$D$4</f>
        <v>2015</v>
      </c>
      <c r="B253" t="str">
        <f>+Aux!$A$22</f>
        <v>I - Aloj., rest. e sim.</v>
      </c>
      <c r="C253" t="str">
        <f t="shared" si="3"/>
        <v>I</v>
      </c>
      <c r="D253" s="383" t="s">
        <v>263</v>
      </c>
      <c r="E253" s="439">
        <f>+'q34'!$D$38</f>
        <v>736.8</v>
      </c>
    </row>
    <row r="254" spans="1:5">
      <c r="A254">
        <f>+'q34'!$D$4</f>
        <v>2015</v>
      </c>
      <c r="B254" t="str">
        <f>+Aux!$A$23</f>
        <v>J - Atividades de informação e de comunicação</v>
      </c>
      <c r="C254" t="str">
        <f t="shared" si="3"/>
        <v>J</v>
      </c>
      <c r="D254" s="383" t="s">
        <v>263</v>
      </c>
      <c r="E254" s="439">
        <f>+'q34'!$D$39</f>
        <v>1770.68</v>
      </c>
    </row>
    <row r="255" spans="1:5">
      <c r="A255">
        <f>+'q34'!$D$4</f>
        <v>2015</v>
      </c>
      <c r="B255" t="str">
        <f>+Aux!$A$24</f>
        <v>K - Atividades financeiras e de seguros</v>
      </c>
      <c r="C255" t="str">
        <f t="shared" si="3"/>
        <v>K</v>
      </c>
      <c r="D255" s="383" t="s">
        <v>263</v>
      </c>
      <c r="E255" s="439">
        <f>+'q34'!$D$40</f>
        <v>2302.13</v>
      </c>
    </row>
    <row r="256" spans="1:5">
      <c r="A256">
        <f>+'q34'!$D$4</f>
        <v>2015</v>
      </c>
      <c r="B256" t="str">
        <f>+Aux!$A$25</f>
        <v>L - Atividades imobiliárias</v>
      </c>
      <c r="C256" t="str">
        <f t="shared" si="3"/>
        <v>L</v>
      </c>
      <c r="D256" s="383" t="s">
        <v>263</v>
      </c>
      <c r="E256" s="439">
        <f>+'q34'!$D$41</f>
        <v>1080.53</v>
      </c>
    </row>
    <row r="257" spans="1:5">
      <c r="A257">
        <f>+'q34'!$D$4</f>
        <v>2015</v>
      </c>
      <c r="B257" t="str">
        <f>+Aux!$A$26</f>
        <v>M - Atividades de consultoria, científicas, técnicas e similares</v>
      </c>
      <c r="C257" t="str">
        <f t="shared" si="3"/>
        <v>M</v>
      </c>
      <c r="D257" s="383" t="s">
        <v>263</v>
      </c>
      <c r="E257" s="439">
        <f>+'q34'!$D$42</f>
        <v>1352.56</v>
      </c>
    </row>
    <row r="258" spans="1:5">
      <c r="A258">
        <f>+'q34'!$D$4</f>
        <v>2015</v>
      </c>
      <c r="B258" t="str">
        <f>+Aux!$A$27</f>
        <v>N - Ativ. Admin. e dos serv. apoio</v>
      </c>
      <c r="C258" t="str">
        <f t="shared" si="3"/>
        <v>N</v>
      </c>
      <c r="D258" s="383" t="s">
        <v>263</v>
      </c>
      <c r="E258" s="439">
        <f>+'q34'!$D$43</f>
        <v>909.36</v>
      </c>
    </row>
    <row r="259" spans="1:5">
      <c r="A259">
        <f>+'q34'!$D$4</f>
        <v>2015</v>
      </c>
      <c r="B259" t="str">
        <f>+Aux!$A$28</f>
        <v>O - Administração pública e defesa; segurança social obrigatória</v>
      </c>
      <c r="C259" t="str">
        <f t="shared" si="3"/>
        <v>O</v>
      </c>
      <c r="D259" s="383" t="s">
        <v>263</v>
      </c>
      <c r="E259" s="439">
        <f>+'q34'!$D$44</f>
        <v>1055.0899999999999</v>
      </c>
    </row>
    <row r="260" spans="1:5">
      <c r="A260">
        <f>+'q34'!$D$4</f>
        <v>2015</v>
      </c>
      <c r="B260" t="str">
        <f>+Aux!$A$29</f>
        <v>P - Educação</v>
      </c>
      <c r="C260" t="str">
        <f t="shared" si="3"/>
        <v>P</v>
      </c>
      <c r="D260" s="383" t="s">
        <v>263</v>
      </c>
      <c r="E260" s="439">
        <f>+'q34'!$D$45</f>
        <v>1215.92</v>
      </c>
    </row>
    <row r="261" spans="1:5">
      <c r="A261">
        <f>+'q34'!$D$4</f>
        <v>2015</v>
      </c>
      <c r="B261" t="str">
        <f>+Aux!$A$30</f>
        <v>Q - Ativ. de saúde humana e apoio social</v>
      </c>
      <c r="C261" t="str">
        <f t="shared" si="3"/>
        <v>Q</v>
      </c>
      <c r="D261" s="383" t="s">
        <v>263</v>
      </c>
      <c r="E261" s="439">
        <f>+'q34'!$D$46</f>
        <v>957.95</v>
      </c>
    </row>
    <row r="262" spans="1:5">
      <c r="A262">
        <f>+'q34'!$D$4</f>
        <v>2015</v>
      </c>
      <c r="B262" t="str">
        <f>+Aux!$A$31</f>
        <v>R - Atividades artísticas, de espectáculos, desp. e recreativas</v>
      </c>
      <c r="C262" t="str">
        <f t="shared" ref="C262:C325" si="4">+LEFT(B262,1)</f>
        <v>R</v>
      </c>
      <c r="D262" s="383" t="s">
        <v>263</v>
      </c>
      <c r="E262" s="439">
        <f>+'q34'!$D$47</f>
        <v>1683.9</v>
      </c>
    </row>
    <row r="263" spans="1:5">
      <c r="A263">
        <f>+'q34'!$D$4</f>
        <v>2015</v>
      </c>
      <c r="B263" t="str">
        <f>+Aux!$A$32</f>
        <v>S - Outras atividades de serviços</v>
      </c>
      <c r="C263" t="str">
        <f t="shared" si="4"/>
        <v>S</v>
      </c>
      <c r="D263" s="383" t="s">
        <v>263</v>
      </c>
      <c r="E263" s="439">
        <f>+'q34'!$D$48</f>
        <v>956.51</v>
      </c>
    </row>
    <row r="264" spans="1:5">
      <c r="A264">
        <f>+'q34'!$D$4</f>
        <v>2015</v>
      </c>
      <c r="B264" t="str">
        <f>+Aux!$A$33</f>
        <v>U - Ativ. org. interna. e outras instituições extra-territoriais</v>
      </c>
      <c r="C264" t="str">
        <f t="shared" si="4"/>
        <v>U</v>
      </c>
      <c r="D264" s="383" t="s">
        <v>263</v>
      </c>
      <c r="E264" s="439">
        <f>+'q34'!$D$49</f>
        <v>2012.88</v>
      </c>
    </row>
    <row r="265" spans="1:5">
      <c r="A265">
        <f>+'q34'!$E$4</f>
        <v>2016</v>
      </c>
      <c r="B265" t="str">
        <f>+Aux!$A$14</f>
        <v xml:space="preserve">A - Agricultura, produção animal, caça, floresta e pesca </v>
      </c>
      <c r="C265" t="str">
        <f t="shared" si="4"/>
        <v>A</v>
      </c>
      <c r="D265" s="383" t="s">
        <v>263</v>
      </c>
      <c r="E265" s="439">
        <f>+'q34'!$E$6</f>
        <v>832.8</v>
      </c>
    </row>
    <row r="266" spans="1:5">
      <c r="A266">
        <f>+'q34'!$E$4</f>
        <v>2016</v>
      </c>
      <c r="B266" t="str">
        <f>+Aux!$A$15</f>
        <v>B - Indústrias extrativas</v>
      </c>
      <c r="C266" t="str">
        <f t="shared" si="4"/>
        <v>B</v>
      </c>
      <c r="D266" s="383" t="s">
        <v>263</v>
      </c>
      <c r="E266" s="439">
        <f>+'q34'!$E$7</f>
        <v>1286.78</v>
      </c>
    </row>
    <row r="267" spans="1:5">
      <c r="A267">
        <f>+'q34'!$E$4</f>
        <v>2016</v>
      </c>
      <c r="B267" t="str">
        <f>+Aux!$A$16</f>
        <v>C - Ind. transf.</v>
      </c>
      <c r="C267" t="str">
        <f t="shared" si="4"/>
        <v>C</v>
      </c>
      <c r="D267" s="383" t="s">
        <v>263</v>
      </c>
      <c r="E267" s="439">
        <f>+'q34'!$E$8</f>
        <v>1031.5999999999999</v>
      </c>
    </row>
    <row r="268" spans="1:5">
      <c r="A268">
        <f>+'q34'!$E$4</f>
        <v>2016</v>
      </c>
      <c r="B268" t="str">
        <f>+Aux!$A$17</f>
        <v>D - Eletricidade, gás, vapor, água quente e fria e ar frio</v>
      </c>
      <c r="C268" t="str">
        <f t="shared" si="4"/>
        <v>D</v>
      </c>
      <c r="D268" s="383" t="s">
        <v>263</v>
      </c>
      <c r="E268" s="439">
        <f>+'q34'!$E$33</f>
        <v>2941.6</v>
      </c>
    </row>
    <row r="269" spans="1:5">
      <c r="A269">
        <f>+'q34'!$E$4</f>
        <v>2016</v>
      </c>
      <c r="B269" t="str">
        <f>+Aux!$A$18</f>
        <v>E - Captação, trat. e dist. água; saneam., gest. resíduos e desp.</v>
      </c>
      <c r="C269" t="str">
        <f t="shared" si="4"/>
        <v>E</v>
      </c>
      <c r="D269" s="383" t="s">
        <v>263</v>
      </c>
      <c r="E269" s="439">
        <f>+'q34'!$E$34</f>
        <v>1092.5</v>
      </c>
    </row>
    <row r="270" spans="1:5">
      <c r="A270">
        <f>+'q34'!$E$4</f>
        <v>2016</v>
      </c>
      <c r="B270" t="str">
        <f>+Aux!$A$19</f>
        <v>F - Construção</v>
      </c>
      <c r="C270" t="str">
        <f t="shared" si="4"/>
        <v>F</v>
      </c>
      <c r="D270" s="383" t="s">
        <v>263</v>
      </c>
      <c r="E270" s="439">
        <f>+'q34'!$E$35</f>
        <v>955.52</v>
      </c>
    </row>
    <row r="271" spans="1:5">
      <c r="A271">
        <f>+'q34'!$E$4</f>
        <v>2016</v>
      </c>
      <c r="B271" t="str">
        <f>+Aux!$A$20</f>
        <v>G - Com. por grosso e ret. (…)</v>
      </c>
      <c r="C271" t="str">
        <f t="shared" si="4"/>
        <v>G</v>
      </c>
      <c r="D271" s="383" t="s">
        <v>263</v>
      </c>
      <c r="E271" s="439">
        <f>+'q34'!$E$36</f>
        <v>1039.55</v>
      </c>
    </row>
    <row r="272" spans="1:5">
      <c r="A272">
        <f>+'q34'!$E$4</f>
        <v>2016</v>
      </c>
      <c r="B272" t="str">
        <f>+Aux!$A$21</f>
        <v>H - Transportes e armazenagem</v>
      </c>
      <c r="C272" t="str">
        <f t="shared" si="4"/>
        <v>H</v>
      </c>
      <c r="D272" s="383" t="s">
        <v>263</v>
      </c>
      <c r="E272" s="439">
        <f>+'q34'!$E$37</f>
        <v>1359.02</v>
      </c>
    </row>
    <row r="273" spans="1:5">
      <c r="A273">
        <f>+'q34'!$E$4</f>
        <v>2016</v>
      </c>
      <c r="B273" t="str">
        <f>+Aux!$A$22</f>
        <v>I - Aloj., rest. e sim.</v>
      </c>
      <c r="C273" t="str">
        <f t="shared" si="4"/>
        <v>I</v>
      </c>
      <c r="D273" s="383" t="s">
        <v>263</v>
      </c>
      <c r="E273" s="439">
        <f>+'q34'!$E$38</f>
        <v>758.99</v>
      </c>
    </row>
    <row r="274" spans="1:5">
      <c r="A274">
        <f>+'q34'!$E$4</f>
        <v>2016</v>
      </c>
      <c r="B274" t="str">
        <f>+Aux!$A$23</f>
        <v>J - Atividades de informação e de comunicação</v>
      </c>
      <c r="C274" t="str">
        <f t="shared" si="4"/>
        <v>J</v>
      </c>
      <c r="D274" s="383" t="s">
        <v>263</v>
      </c>
      <c r="E274" s="439">
        <f>+'q34'!$E$39</f>
        <v>1797.94</v>
      </c>
    </row>
    <row r="275" spans="1:5">
      <c r="A275">
        <f>+'q34'!$E$4</f>
        <v>2016</v>
      </c>
      <c r="B275" t="str">
        <f>+Aux!$A$24</f>
        <v>K - Atividades financeiras e de seguros</v>
      </c>
      <c r="C275" t="str">
        <f t="shared" si="4"/>
        <v>K</v>
      </c>
      <c r="D275" s="383" t="s">
        <v>263</v>
      </c>
      <c r="E275" s="439">
        <f>+'q34'!$E$40</f>
        <v>2313.46</v>
      </c>
    </row>
    <row r="276" spans="1:5">
      <c r="A276">
        <f>+'q34'!$E$4</f>
        <v>2016</v>
      </c>
      <c r="B276" t="str">
        <f>+Aux!$A$25</f>
        <v>L - Atividades imobiliárias</v>
      </c>
      <c r="C276" t="str">
        <f t="shared" si="4"/>
        <v>L</v>
      </c>
      <c r="D276" s="383" t="s">
        <v>263</v>
      </c>
      <c r="E276" s="439">
        <f>+'q34'!$E$41</f>
        <v>1101.57</v>
      </c>
    </row>
    <row r="277" spans="1:5">
      <c r="A277">
        <f>+'q34'!$E$4</f>
        <v>2016</v>
      </c>
      <c r="B277" t="str">
        <f>+Aux!$A$26</f>
        <v>M - Atividades de consultoria, científicas, técnicas e similares</v>
      </c>
      <c r="C277" t="str">
        <f t="shared" si="4"/>
        <v>M</v>
      </c>
      <c r="D277" s="383" t="s">
        <v>263</v>
      </c>
      <c r="E277" s="439">
        <f>+'q34'!$E$42</f>
        <v>1358.58</v>
      </c>
    </row>
    <row r="278" spans="1:5">
      <c r="A278">
        <f>+'q34'!$E$4</f>
        <v>2016</v>
      </c>
      <c r="B278" t="str">
        <f>+Aux!$A$27</f>
        <v>N - Ativ. Admin. e dos serv. apoio</v>
      </c>
      <c r="C278" t="str">
        <f t="shared" si="4"/>
        <v>N</v>
      </c>
      <c r="D278" s="383" t="s">
        <v>263</v>
      </c>
      <c r="E278" s="439">
        <f>+'q34'!$E$43</f>
        <v>915.81</v>
      </c>
    </row>
    <row r="279" spans="1:5">
      <c r="A279">
        <f>+'q34'!$E$4</f>
        <v>2016</v>
      </c>
      <c r="B279" t="str">
        <f>+Aux!$A$28</f>
        <v>O - Administração pública e defesa; segurança social obrigatória</v>
      </c>
      <c r="C279" t="str">
        <f t="shared" si="4"/>
        <v>O</v>
      </c>
      <c r="D279" s="383" t="s">
        <v>263</v>
      </c>
      <c r="E279" s="439">
        <f>+'q34'!$E$44</f>
        <v>1031.68</v>
      </c>
    </row>
    <row r="280" spans="1:5">
      <c r="A280">
        <f>+'q34'!$E$4</f>
        <v>2016</v>
      </c>
      <c r="B280" t="str">
        <f>+Aux!$A$29</f>
        <v>P - Educação</v>
      </c>
      <c r="C280" t="str">
        <f t="shared" si="4"/>
        <v>P</v>
      </c>
      <c r="D280" s="383" t="s">
        <v>263</v>
      </c>
      <c r="E280" s="439">
        <f>+'q34'!$E$45</f>
        <v>1218.18</v>
      </c>
    </row>
    <row r="281" spans="1:5">
      <c r="A281">
        <f>+'q34'!$E$4</f>
        <v>2016</v>
      </c>
      <c r="B281" t="str">
        <f>+Aux!$A$30</f>
        <v>Q - Ativ. de saúde humana e apoio social</v>
      </c>
      <c r="C281" t="str">
        <f t="shared" si="4"/>
        <v>Q</v>
      </c>
      <c r="D281" s="383" t="s">
        <v>263</v>
      </c>
      <c r="E281" s="439">
        <f>+'q34'!$E$46</f>
        <v>977.41</v>
      </c>
    </row>
    <row r="282" spans="1:5">
      <c r="A282">
        <f>+'q34'!$E$4</f>
        <v>2016</v>
      </c>
      <c r="B282" t="str">
        <f>+Aux!$A$31</f>
        <v>R - Atividades artísticas, de espectáculos, desp. e recreativas</v>
      </c>
      <c r="C282" t="str">
        <f t="shared" si="4"/>
        <v>R</v>
      </c>
      <c r="D282" s="383" t="s">
        <v>263</v>
      </c>
      <c r="E282" s="439">
        <f>+'q34'!$E$47</f>
        <v>1710.96</v>
      </c>
    </row>
    <row r="283" spans="1:5">
      <c r="A283">
        <f>+'q34'!$E$4</f>
        <v>2016</v>
      </c>
      <c r="B283" t="str">
        <f>+Aux!$A$32</f>
        <v>S - Outras atividades de serviços</v>
      </c>
      <c r="C283" t="str">
        <f t="shared" si="4"/>
        <v>S</v>
      </c>
      <c r="D283" s="383" t="s">
        <v>263</v>
      </c>
      <c r="E283" s="439">
        <f>+'q34'!$E$48</f>
        <v>964.7</v>
      </c>
    </row>
    <row r="284" spans="1:5">
      <c r="A284">
        <f>+'q34'!$E$4</f>
        <v>2016</v>
      </c>
      <c r="B284" t="str">
        <f>+Aux!$A$33</f>
        <v>U - Ativ. org. interna. e outras instituições extra-territoriais</v>
      </c>
      <c r="C284" t="str">
        <f t="shared" si="4"/>
        <v>U</v>
      </c>
      <c r="D284" s="383" t="s">
        <v>263</v>
      </c>
      <c r="E284" s="439">
        <f>+'q34'!$E$49</f>
        <v>2228.17</v>
      </c>
    </row>
    <row r="285" spans="1:5">
      <c r="A285">
        <f>+'q34'!$F$4</f>
        <v>2017</v>
      </c>
      <c r="B285" t="str">
        <f>+Aux!$A$14</f>
        <v xml:space="preserve">A - Agricultura, produção animal, caça, floresta e pesca </v>
      </c>
      <c r="C285" t="str">
        <f t="shared" si="4"/>
        <v>A</v>
      </c>
      <c r="D285" s="383" t="s">
        <v>263</v>
      </c>
      <c r="E285" s="439">
        <f>+'q34'!$F$6</f>
        <v>850.4</v>
      </c>
    </row>
    <row r="286" spans="1:5">
      <c r="A286">
        <f>+'q34'!$F$4</f>
        <v>2017</v>
      </c>
      <c r="B286" t="str">
        <f>+Aux!$A$15</f>
        <v>B - Indústrias extrativas</v>
      </c>
      <c r="C286" t="str">
        <f t="shared" si="4"/>
        <v>B</v>
      </c>
      <c r="D286" s="383" t="s">
        <v>263</v>
      </c>
      <c r="E286" s="439">
        <f>+'q34'!$F$7</f>
        <v>1296.04</v>
      </c>
    </row>
    <row r="287" spans="1:5">
      <c r="A287">
        <f>+'q34'!$F$4</f>
        <v>2017</v>
      </c>
      <c r="B287" t="str">
        <f>+Aux!$A$16</f>
        <v>C - Ind. transf.</v>
      </c>
      <c r="C287" t="str">
        <f t="shared" si="4"/>
        <v>C</v>
      </c>
      <c r="D287" s="383" t="s">
        <v>263</v>
      </c>
      <c r="E287" s="439">
        <f>+'q34'!$F$8</f>
        <v>1068.43</v>
      </c>
    </row>
    <row r="288" spans="1:5">
      <c r="A288">
        <f>+'q34'!$F$4</f>
        <v>2017</v>
      </c>
      <c r="B288" t="str">
        <f>+Aux!$A$17</f>
        <v>D - Eletricidade, gás, vapor, água quente e fria e ar frio</v>
      </c>
      <c r="C288" t="str">
        <f t="shared" si="4"/>
        <v>D</v>
      </c>
      <c r="D288" s="383" t="s">
        <v>263</v>
      </c>
      <c r="E288" s="439">
        <f>+'q34'!$F$33</f>
        <v>2914.67</v>
      </c>
    </row>
    <row r="289" spans="1:5">
      <c r="A289">
        <f>+'q34'!$F$4</f>
        <v>2017</v>
      </c>
      <c r="B289" t="str">
        <f>+Aux!$A$18</f>
        <v>E - Captação, trat. e dist. água; saneam., gest. resíduos e desp.</v>
      </c>
      <c r="C289" t="str">
        <f t="shared" si="4"/>
        <v>E</v>
      </c>
      <c r="D289" s="383" t="s">
        <v>263</v>
      </c>
      <c r="E289" s="439">
        <f>+'q34'!$F$34</f>
        <v>1108.54</v>
      </c>
    </row>
    <row r="290" spans="1:5">
      <c r="A290">
        <f>+'q34'!$F$4</f>
        <v>2017</v>
      </c>
      <c r="B290" t="str">
        <f>+Aux!$A$19</f>
        <v>F - Construção</v>
      </c>
      <c r="C290" t="str">
        <f t="shared" si="4"/>
        <v>F</v>
      </c>
      <c r="D290" s="383" t="s">
        <v>263</v>
      </c>
      <c r="E290" s="439">
        <f>+'q34'!$F$35</f>
        <v>967.03</v>
      </c>
    </row>
    <row r="291" spans="1:5">
      <c r="A291">
        <f>+'q34'!$F$4</f>
        <v>2017</v>
      </c>
      <c r="B291" t="str">
        <f>+Aux!$A$20</f>
        <v>G - Com. por grosso e ret. (…)</v>
      </c>
      <c r="C291" t="str">
        <f t="shared" si="4"/>
        <v>G</v>
      </c>
      <c r="D291" s="383" t="s">
        <v>263</v>
      </c>
      <c r="E291" s="439">
        <f>+'q34'!$F$36</f>
        <v>1066.6400000000001</v>
      </c>
    </row>
    <row r="292" spans="1:5">
      <c r="A292">
        <f>+'q34'!$F$4</f>
        <v>2017</v>
      </c>
      <c r="B292" t="str">
        <f>+Aux!$A$21</f>
        <v>H - Transportes e armazenagem</v>
      </c>
      <c r="C292" t="str">
        <f t="shared" si="4"/>
        <v>H</v>
      </c>
      <c r="D292" s="383" t="s">
        <v>263</v>
      </c>
      <c r="E292" s="439">
        <f>+'q34'!$F$37</f>
        <v>1384.77</v>
      </c>
    </row>
    <row r="293" spans="1:5">
      <c r="A293">
        <f>+'q34'!$F$4</f>
        <v>2017</v>
      </c>
      <c r="B293" t="str">
        <f>+Aux!$A$22</f>
        <v>I - Aloj., rest. e sim.</v>
      </c>
      <c r="C293" t="str">
        <f t="shared" si="4"/>
        <v>I</v>
      </c>
      <c r="D293" s="383" t="s">
        <v>263</v>
      </c>
      <c r="E293" s="439">
        <f>+'q34'!$F$38</f>
        <v>788.29</v>
      </c>
    </row>
    <row r="294" spans="1:5">
      <c r="A294">
        <f>+'q34'!$F$4</f>
        <v>2017</v>
      </c>
      <c r="B294" t="str">
        <f>+Aux!$A$23</f>
        <v>J - Atividades de informação e de comunicação</v>
      </c>
      <c r="C294" t="str">
        <f t="shared" si="4"/>
        <v>J</v>
      </c>
      <c r="D294" s="383" t="s">
        <v>263</v>
      </c>
      <c r="E294" s="439">
        <f>+'q34'!$F$39</f>
        <v>1808.57</v>
      </c>
    </row>
    <row r="295" spans="1:5">
      <c r="A295">
        <f>+'q34'!$F$4</f>
        <v>2017</v>
      </c>
      <c r="B295" t="str">
        <f>+Aux!$A$24</f>
        <v>K - Atividades financeiras e de seguros</v>
      </c>
      <c r="C295" t="str">
        <f t="shared" si="4"/>
        <v>K</v>
      </c>
      <c r="D295" s="383" t="s">
        <v>263</v>
      </c>
      <c r="E295" s="439">
        <f>+'q34'!$F$40</f>
        <v>2305.21</v>
      </c>
    </row>
    <row r="296" spans="1:5">
      <c r="A296">
        <f>+'q34'!$F$4</f>
        <v>2017</v>
      </c>
      <c r="B296" t="str">
        <f>+Aux!$A$25</f>
        <v>L - Atividades imobiliárias</v>
      </c>
      <c r="C296" t="str">
        <f t="shared" si="4"/>
        <v>L</v>
      </c>
      <c r="D296" s="383" t="s">
        <v>263</v>
      </c>
      <c r="E296" s="439">
        <f>+'q34'!$F$41</f>
        <v>1115</v>
      </c>
    </row>
    <row r="297" spans="1:5">
      <c r="A297">
        <f>+'q34'!$F$4</f>
        <v>2017</v>
      </c>
      <c r="B297" t="str">
        <f>+Aux!$A$26</f>
        <v>M - Atividades de consultoria, científicas, técnicas e similares</v>
      </c>
      <c r="C297" t="str">
        <f t="shared" si="4"/>
        <v>M</v>
      </c>
      <c r="D297" s="383" t="s">
        <v>263</v>
      </c>
      <c r="E297" s="439">
        <f>+'q34'!$F$42</f>
        <v>1414.09</v>
      </c>
    </row>
    <row r="298" spans="1:5">
      <c r="A298">
        <f>+'q34'!$F$4</f>
        <v>2017</v>
      </c>
      <c r="B298" t="str">
        <f>+Aux!$A$27</f>
        <v>N - Ativ. Admin. e dos serv. apoio</v>
      </c>
      <c r="C298" t="str">
        <f t="shared" si="4"/>
        <v>N</v>
      </c>
      <c r="D298" s="383" t="s">
        <v>263</v>
      </c>
      <c r="E298" s="439">
        <f>+'q34'!$F$43</f>
        <v>940.16</v>
      </c>
    </row>
    <row r="299" spans="1:5">
      <c r="A299">
        <f>+'q34'!$F$4</f>
        <v>2017</v>
      </c>
      <c r="B299" t="str">
        <f>+Aux!$A$28</f>
        <v>O - Administração pública e defesa; segurança social obrigatória</v>
      </c>
      <c r="C299" t="str">
        <f t="shared" si="4"/>
        <v>O</v>
      </c>
      <c r="D299" s="383" t="s">
        <v>263</v>
      </c>
      <c r="E299" s="439">
        <f>+'q34'!$F$44</f>
        <v>1056.22</v>
      </c>
    </row>
    <row r="300" spans="1:5">
      <c r="A300">
        <f>+'q34'!$F$4</f>
        <v>2017</v>
      </c>
      <c r="B300" t="str">
        <f>+Aux!$A$29</f>
        <v>P - Educação</v>
      </c>
      <c r="C300" t="str">
        <f t="shared" si="4"/>
        <v>P</v>
      </c>
      <c r="D300" s="383" t="s">
        <v>263</v>
      </c>
      <c r="E300" s="439">
        <f>+'q34'!$F$45</f>
        <v>1243.1300000000001</v>
      </c>
    </row>
    <row r="301" spans="1:5">
      <c r="A301">
        <f>+'q34'!$F$4</f>
        <v>2017</v>
      </c>
      <c r="B301" t="str">
        <f>+Aux!$A$30</f>
        <v>Q - Ativ. de saúde humana e apoio social</v>
      </c>
      <c r="C301" t="str">
        <f t="shared" si="4"/>
        <v>Q</v>
      </c>
      <c r="D301" s="383" t="s">
        <v>263</v>
      </c>
      <c r="E301" s="439">
        <f>+'q34'!$F$46</f>
        <v>1008.97</v>
      </c>
    </row>
    <row r="302" spans="1:5">
      <c r="A302">
        <f>+'q34'!$F$4</f>
        <v>2017</v>
      </c>
      <c r="B302" t="str">
        <f>+Aux!$A$31</f>
        <v>R - Atividades artísticas, de espectáculos, desp. e recreativas</v>
      </c>
      <c r="C302" t="str">
        <f t="shared" si="4"/>
        <v>R</v>
      </c>
      <c r="D302" s="383" t="s">
        <v>263</v>
      </c>
      <c r="E302" s="439">
        <f>+'q34'!$F$47</f>
        <v>1798.97</v>
      </c>
    </row>
    <row r="303" spans="1:5">
      <c r="A303">
        <f>+'q34'!$F$4</f>
        <v>2017</v>
      </c>
      <c r="B303" t="str">
        <f>+Aux!$A$32</f>
        <v>S - Outras atividades de serviços</v>
      </c>
      <c r="C303" t="str">
        <f t="shared" si="4"/>
        <v>S</v>
      </c>
      <c r="D303" s="383" t="s">
        <v>263</v>
      </c>
      <c r="E303" s="439">
        <f>+'q34'!$F$48</f>
        <v>994.49</v>
      </c>
    </row>
    <row r="304" spans="1:5">
      <c r="A304">
        <f>+'q34'!$F$4</f>
        <v>2017</v>
      </c>
      <c r="B304" t="str">
        <f>+Aux!$A$33</f>
        <v>U - Ativ. org. interna. e outras instituições extra-territoriais</v>
      </c>
      <c r="C304" t="str">
        <f t="shared" si="4"/>
        <v>U</v>
      </c>
      <c r="D304" s="383" t="s">
        <v>263</v>
      </c>
      <c r="E304" s="439">
        <f>+'q34'!$F$49</f>
        <v>2104.88</v>
      </c>
    </row>
    <row r="305" spans="1:5">
      <c r="A305">
        <f>+'q34'!$G$4</f>
        <v>2018</v>
      </c>
      <c r="B305" t="str">
        <f>+Aux!$A$14</f>
        <v xml:space="preserve">A - Agricultura, produção animal, caça, floresta e pesca </v>
      </c>
      <c r="C305" t="str">
        <f t="shared" si="4"/>
        <v>A</v>
      </c>
      <c r="D305" s="383" t="s">
        <v>263</v>
      </c>
      <c r="E305" s="439">
        <f>+'q34'!$G$6</f>
        <v>896.43</v>
      </c>
    </row>
    <row r="306" spans="1:5">
      <c r="A306">
        <f>+'q34'!$G$4</f>
        <v>2018</v>
      </c>
      <c r="B306" t="str">
        <f>+Aux!$A$15</f>
        <v>B - Indústrias extrativas</v>
      </c>
      <c r="C306" t="str">
        <f t="shared" si="4"/>
        <v>B</v>
      </c>
      <c r="D306" s="383" t="s">
        <v>263</v>
      </c>
      <c r="E306" s="439">
        <f>+'q34'!$G$7</f>
        <v>1403.23</v>
      </c>
    </row>
    <row r="307" spans="1:5">
      <c r="A307">
        <f>+'q34'!$G$4</f>
        <v>2018</v>
      </c>
      <c r="B307" t="str">
        <f>+Aux!$A$16</f>
        <v>C - Ind. transf.</v>
      </c>
      <c r="C307" t="str">
        <f t="shared" si="4"/>
        <v>C</v>
      </c>
      <c r="D307" s="383" t="s">
        <v>263</v>
      </c>
      <c r="E307" s="439">
        <f>+'q34'!$G$8</f>
        <v>1110.54</v>
      </c>
    </row>
    <row r="308" spans="1:5">
      <c r="A308">
        <f>+'q34'!$G$4</f>
        <v>2018</v>
      </c>
      <c r="B308" t="str">
        <f>+Aux!$A$17</f>
        <v>D - Eletricidade, gás, vapor, água quente e fria e ar frio</v>
      </c>
      <c r="C308" t="str">
        <f t="shared" si="4"/>
        <v>D</v>
      </c>
      <c r="D308" s="383" t="s">
        <v>263</v>
      </c>
      <c r="E308" s="439">
        <f>+'q34'!$G$33</f>
        <v>2948.55</v>
      </c>
    </row>
    <row r="309" spans="1:5">
      <c r="A309">
        <f>+'q34'!$G$4</f>
        <v>2018</v>
      </c>
      <c r="B309" t="str">
        <f>+Aux!$A$18</f>
        <v>E - Captação, trat. e dist. água; saneam., gest. resíduos e desp.</v>
      </c>
      <c r="C309" t="str">
        <f t="shared" si="4"/>
        <v>E</v>
      </c>
      <c r="D309" s="383" t="s">
        <v>263</v>
      </c>
      <c r="E309" s="439">
        <f>+'q34'!$G$34</f>
        <v>1150.68</v>
      </c>
    </row>
    <row r="310" spans="1:5">
      <c r="A310">
        <f>+'q34'!$G$4</f>
        <v>2018</v>
      </c>
      <c r="B310" t="str">
        <f>+Aux!$A$19</f>
        <v>F - Construção</v>
      </c>
      <c r="C310" t="str">
        <f t="shared" si="4"/>
        <v>F</v>
      </c>
      <c r="D310" s="383" t="s">
        <v>263</v>
      </c>
      <c r="E310" s="439">
        <f>+'q34'!$G$35</f>
        <v>993.18</v>
      </c>
    </row>
    <row r="311" spans="1:5">
      <c r="A311">
        <f>+'q34'!$G$4</f>
        <v>2018</v>
      </c>
      <c r="B311" t="str">
        <f>+Aux!$A$20</f>
        <v>G - Com. por grosso e ret. (…)</v>
      </c>
      <c r="C311" t="str">
        <f t="shared" si="4"/>
        <v>G</v>
      </c>
      <c r="D311" s="383" t="s">
        <v>263</v>
      </c>
      <c r="E311" s="439">
        <f>+'q34'!$G$36</f>
        <v>1099.03</v>
      </c>
    </row>
    <row r="312" spans="1:5">
      <c r="A312">
        <f>+'q34'!$G$4</f>
        <v>2018</v>
      </c>
      <c r="B312" t="str">
        <f>+Aux!$A$21</f>
        <v>H - Transportes e armazenagem</v>
      </c>
      <c r="C312" t="str">
        <f t="shared" si="4"/>
        <v>H</v>
      </c>
      <c r="D312" s="383" t="s">
        <v>263</v>
      </c>
      <c r="E312" s="439">
        <f>+'q34'!$G$37</f>
        <v>1425.95</v>
      </c>
    </row>
    <row r="313" spans="1:5">
      <c r="A313">
        <f>+'q34'!$G$4</f>
        <v>2018</v>
      </c>
      <c r="B313" t="str">
        <f>+Aux!$A$22</f>
        <v>I - Aloj., rest. e sim.</v>
      </c>
      <c r="C313" t="str">
        <f t="shared" si="4"/>
        <v>I</v>
      </c>
      <c r="D313" s="383" t="s">
        <v>263</v>
      </c>
      <c r="E313" s="439">
        <f>+'q34'!$G$38</f>
        <v>820.22</v>
      </c>
    </row>
    <row r="314" spans="1:5">
      <c r="A314">
        <f>+'q34'!$G$4</f>
        <v>2018</v>
      </c>
      <c r="B314" t="str">
        <f>+Aux!$A$23</f>
        <v>J - Atividades de informação e de comunicação</v>
      </c>
      <c r="C314" t="str">
        <f t="shared" si="4"/>
        <v>J</v>
      </c>
      <c r="D314" s="383" t="s">
        <v>263</v>
      </c>
      <c r="E314" s="439">
        <f>+'q34'!$G$39</f>
        <v>1867.06</v>
      </c>
    </row>
    <row r="315" spans="1:5">
      <c r="A315">
        <f>+'q34'!$G$4</f>
        <v>2018</v>
      </c>
      <c r="B315" t="str">
        <f>+Aux!$A$24</f>
        <v>K - Atividades financeiras e de seguros</v>
      </c>
      <c r="C315" t="str">
        <f t="shared" si="4"/>
        <v>K</v>
      </c>
      <c r="D315" s="383" t="s">
        <v>263</v>
      </c>
      <c r="E315" s="439">
        <f>+'q34'!$G$40</f>
        <v>2321.41</v>
      </c>
    </row>
    <row r="316" spans="1:5">
      <c r="A316">
        <f>+'q34'!$G$4</f>
        <v>2018</v>
      </c>
      <c r="B316" t="str">
        <f>+Aux!$A$25</f>
        <v>L - Atividades imobiliárias</v>
      </c>
      <c r="C316" t="str">
        <f t="shared" si="4"/>
        <v>L</v>
      </c>
      <c r="D316" s="383" t="s">
        <v>263</v>
      </c>
      <c r="E316" s="439">
        <f>+'q34'!$G$41</f>
        <v>1148.17</v>
      </c>
    </row>
    <row r="317" spans="1:5">
      <c r="A317">
        <f>+'q34'!$G$4</f>
        <v>2018</v>
      </c>
      <c r="B317" t="str">
        <f>+Aux!$A$26</f>
        <v>M - Atividades de consultoria, científicas, técnicas e similares</v>
      </c>
      <c r="C317" t="str">
        <f t="shared" si="4"/>
        <v>M</v>
      </c>
      <c r="D317" s="383" t="s">
        <v>263</v>
      </c>
      <c r="E317" s="439">
        <f>+'q34'!$G$42</f>
        <v>1446.18</v>
      </c>
    </row>
    <row r="318" spans="1:5">
      <c r="A318">
        <f>+'q34'!$G$4</f>
        <v>2018</v>
      </c>
      <c r="B318" t="str">
        <f>+Aux!$A$27</f>
        <v>N - Ativ. Admin. e dos serv. apoio</v>
      </c>
      <c r="C318" t="str">
        <f t="shared" si="4"/>
        <v>N</v>
      </c>
      <c r="D318" s="383" t="s">
        <v>263</v>
      </c>
      <c r="E318" s="439">
        <f>+'q34'!$G$43</f>
        <v>974.19</v>
      </c>
    </row>
    <row r="319" spans="1:5">
      <c r="A319">
        <f>+'q34'!$G$4</f>
        <v>2018</v>
      </c>
      <c r="B319" t="str">
        <f>+Aux!$A$28</f>
        <v>O - Administração pública e defesa; segurança social obrigatória</v>
      </c>
      <c r="C319" t="str">
        <f t="shared" si="4"/>
        <v>O</v>
      </c>
      <c r="D319" s="383" t="s">
        <v>263</v>
      </c>
      <c r="E319" s="439">
        <f>+'q34'!$G$44</f>
        <v>1099.5999999999999</v>
      </c>
    </row>
    <row r="320" spans="1:5">
      <c r="A320">
        <f>+'q34'!$G$4</f>
        <v>2018</v>
      </c>
      <c r="B320" t="str">
        <f>+Aux!$A$29</f>
        <v>P - Educação</v>
      </c>
      <c r="C320" t="str">
        <f t="shared" si="4"/>
        <v>P</v>
      </c>
      <c r="D320" s="383" t="s">
        <v>263</v>
      </c>
      <c r="E320" s="439">
        <f>+'q34'!$G$45</f>
        <v>1272.3900000000001</v>
      </c>
    </row>
    <row r="321" spans="1:5">
      <c r="A321">
        <f>+'q34'!$G$4</f>
        <v>2018</v>
      </c>
      <c r="B321" t="str">
        <f>+Aux!$A$30</f>
        <v>Q - Ativ. de saúde humana e apoio social</v>
      </c>
      <c r="C321" t="str">
        <f t="shared" si="4"/>
        <v>Q</v>
      </c>
      <c r="D321" s="383" t="s">
        <v>263</v>
      </c>
      <c r="E321" s="439">
        <f>+'q34'!$G$46</f>
        <v>1045.1199999999999</v>
      </c>
    </row>
    <row r="322" spans="1:5">
      <c r="A322">
        <f>+'q34'!$G$4</f>
        <v>2018</v>
      </c>
      <c r="B322" t="str">
        <f>+Aux!$A$31</f>
        <v>R - Atividades artísticas, de espectáculos, desp. e recreativas</v>
      </c>
      <c r="C322" t="str">
        <f t="shared" si="4"/>
        <v>R</v>
      </c>
      <c r="D322" s="383" t="s">
        <v>263</v>
      </c>
      <c r="E322" s="439">
        <f>+'q34'!$G$47</f>
        <v>1800.76</v>
      </c>
    </row>
    <row r="323" spans="1:5">
      <c r="A323">
        <f>+'q34'!$G$4</f>
        <v>2018</v>
      </c>
      <c r="B323" t="str">
        <f>+Aux!$A$32</f>
        <v>S - Outras atividades de serviços</v>
      </c>
      <c r="C323" t="str">
        <f t="shared" si="4"/>
        <v>S</v>
      </c>
      <c r="D323" s="383" t="s">
        <v>263</v>
      </c>
      <c r="E323" s="439">
        <f>+'q34'!$G$48</f>
        <v>1024</v>
      </c>
    </row>
    <row r="324" spans="1:5">
      <c r="A324">
        <f>+'q34'!$G$4</f>
        <v>2018</v>
      </c>
      <c r="B324" t="str">
        <f>+Aux!$A$33</f>
        <v>U - Ativ. org. interna. e outras instituições extra-territoriais</v>
      </c>
      <c r="C324" t="str">
        <f t="shared" si="4"/>
        <v>U</v>
      </c>
      <c r="D324" s="383" t="s">
        <v>263</v>
      </c>
      <c r="E324" s="439">
        <f>+'q34'!$G$49</f>
        <v>2323.9899999999998</v>
      </c>
    </row>
    <row r="325" spans="1:5">
      <c r="A325">
        <f>+'q34'!$H$4</f>
        <v>2019</v>
      </c>
      <c r="B325" t="str">
        <f>+Aux!$A$14</f>
        <v xml:space="preserve">A - Agricultura, produção animal, caça, floresta e pesca </v>
      </c>
      <c r="C325" t="str">
        <f t="shared" si="4"/>
        <v>A</v>
      </c>
      <c r="D325" s="383" t="s">
        <v>263</v>
      </c>
      <c r="E325" s="439">
        <f>+'q34'!$H$6</f>
        <v>945.56</v>
      </c>
    </row>
    <row r="326" spans="1:5">
      <c r="A326">
        <f>+'q34'!$H$4</f>
        <v>2019</v>
      </c>
      <c r="B326" t="str">
        <f>+Aux!$A$15</f>
        <v>B - Indústrias extrativas</v>
      </c>
      <c r="C326" t="str">
        <f t="shared" ref="C326:C389" si="5">+LEFT(B326,1)</f>
        <v>B</v>
      </c>
      <c r="D326" s="383" t="s">
        <v>263</v>
      </c>
      <c r="E326" s="439">
        <f>+'q34'!$H$7</f>
        <v>1459.11</v>
      </c>
    </row>
    <row r="327" spans="1:5">
      <c r="A327">
        <f>+'q34'!$H$4</f>
        <v>2019</v>
      </c>
      <c r="B327" t="str">
        <f>+Aux!$A$16</f>
        <v>C - Ind. transf.</v>
      </c>
      <c r="C327" t="str">
        <f t="shared" si="5"/>
        <v>C</v>
      </c>
      <c r="D327" s="383" t="s">
        <v>263</v>
      </c>
      <c r="E327" s="439">
        <f>+'q34'!$H$8</f>
        <v>1154.94</v>
      </c>
    </row>
    <row r="328" spans="1:5">
      <c r="A328">
        <f>+'q34'!$H$4</f>
        <v>2019</v>
      </c>
      <c r="B328" t="str">
        <f>+Aux!$A$17</f>
        <v>D - Eletricidade, gás, vapor, água quente e fria e ar frio</v>
      </c>
      <c r="C328" t="str">
        <f t="shared" si="5"/>
        <v>D</v>
      </c>
      <c r="D328" s="383" t="s">
        <v>263</v>
      </c>
      <c r="E328" s="439">
        <f>+'q34'!$H$33</f>
        <v>2904.2</v>
      </c>
    </row>
    <row r="329" spans="1:5">
      <c r="A329">
        <f>+'q34'!$H$4</f>
        <v>2019</v>
      </c>
      <c r="B329" t="str">
        <f>+Aux!$A$18</f>
        <v>E - Captação, trat. e dist. água; saneam., gest. resíduos e desp.</v>
      </c>
      <c r="C329" t="str">
        <f t="shared" si="5"/>
        <v>E</v>
      </c>
      <c r="D329" s="383" t="s">
        <v>263</v>
      </c>
      <c r="E329" s="439">
        <f>+'q34'!$H$34</f>
        <v>1174.83</v>
      </c>
    </row>
    <row r="330" spans="1:5">
      <c r="A330">
        <f>+'q34'!$H$4</f>
        <v>2019</v>
      </c>
      <c r="B330" t="str">
        <f>+Aux!$A$19</f>
        <v>F - Construção</v>
      </c>
      <c r="C330" t="str">
        <f t="shared" si="5"/>
        <v>F</v>
      </c>
      <c r="D330" s="383" t="s">
        <v>263</v>
      </c>
      <c r="E330" s="439">
        <f>+'q34'!$H$35</f>
        <v>1025</v>
      </c>
    </row>
    <row r="331" spans="1:5">
      <c r="A331">
        <f>+'q34'!$H$4</f>
        <v>2019</v>
      </c>
      <c r="B331" t="str">
        <f>+Aux!$A$20</f>
        <v>G - Com. por grosso e ret. (…)</v>
      </c>
      <c r="C331" t="str">
        <f t="shared" si="5"/>
        <v>G</v>
      </c>
      <c r="D331" s="383" t="s">
        <v>263</v>
      </c>
      <c r="E331" s="439">
        <f>+'q34'!$H$36</f>
        <v>1140.32</v>
      </c>
    </row>
    <row r="332" spans="1:5">
      <c r="A332">
        <f>+'q34'!$H$4</f>
        <v>2019</v>
      </c>
      <c r="B332" t="str">
        <f>+Aux!$A$21</f>
        <v>H - Transportes e armazenagem</v>
      </c>
      <c r="C332" t="str">
        <f t="shared" si="5"/>
        <v>H</v>
      </c>
      <c r="D332" s="383" t="s">
        <v>263</v>
      </c>
      <c r="E332" s="439">
        <f>+'q34'!$H$37</f>
        <v>1489.52</v>
      </c>
    </row>
    <row r="333" spans="1:5">
      <c r="A333">
        <f>+'q34'!$H$4</f>
        <v>2019</v>
      </c>
      <c r="B333" t="str">
        <f>+Aux!$A$22</f>
        <v>I - Aloj., rest. e sim.</v>
      </c>
      <c r="C333" t="str">
        <f t="shared" si="5"/>
        <v>I</v>
      </c>
      <c r="D333" s="383" t="s">
        <v>263</v>
      </c>
      <c r="E333" s="439">
        <f>+'q34'!$H$38</f>
        <v>851.31</v>
      </c>
    </row>
    <row r="334" spans="1:5">
      <c r="A334">
        <f>+'q34'!$H$4</f>
        <v>2019</v>
      </c>
      <c r="B334" t="str">
        <f>+Aux!$A$23</f>
        <v>J - Atividades de informação e de comunicação</v>
      </c>
      <c r="C334" t="str">
        <f t="shared" si="5"/>
        <v>J</v>
      </c>
      <c r="D334" s="383" t="s">
        <v>263</v>
      </c>
      <c r="E334" s="439">
        <f>+'q34'!$H$39</f>
        <v>1919.57</v>
      </c>
    </row>
    <row r="335" spans="1:5">
      <c r="A335">
        <f>+'q34'!$H$4</f>
        <v>2019</v>
      </c>
      <c r="B335" t="str">
        <f>+Aux!$A$24</f>
        <v>K - Atividades financeiras e de seguros</v>
      </c>
      <c r="C335" t="str">
        <f t="shared" si="5"/>
        <v>K</v>
      </c>
      <c r="D335" s="383" t="s">
        <v>263</v>
      </c>
      <c r="E335" s="439">
        <f>+'q34'!$H$40</f>
        <v>2330.36</v>
      </c>
    </row>
    <row r="336" spans="1:5">
      <c r="A336">
        <f>+'q34'!$H$4</f>
        <v>2019</v>
      </c>
      <c r="B336" t="str">
        <f>+Aux!$A$25</f>
        <v>L - Atividades imobiliárias</v>
      </c>
      <c r="C336" t="str">
        <f t="shared" si="5"/>
        <v>L</v>
      </c>
      <c r="D336" s="383" t="s">
        <v>263</v>
      </c>
      <c r="E336" s="439">
        <f>+'q34'!$H$41</f>
        <v>1193.98</v>
      </c>
    </row>
    <row r="337" spans="1:5">
      <c r="A337">
        <f>+'q34'!$H$4</f>
        <v>2019</v>
      </c>
      <c r="B337" t="str">
        <f>+Aux!$A$26</f>
        <v>M - Atividades de consultoria, científicas, técnicas e similares</v>
      </c>
      <c r="C337" t="str">
        <f t="shared" si="5"/>
        <v>M</v>
      </c>
      <c r="D337" s="383" t="s">
        <v>263</v>
      </c>
      <c r="E337" s="439">
        <f>+'q34'!$H$42</f>
        <v>1498.25</v>
      </c>
    </row>
    <row r="338" spans="1:5">
      <c r="A338">
        <f>+'q34'!$H$4</f>
        <v>2019</v>
      </c>
      <c r="B338" t="str">
        <f>+Aux!$A$27</f>
        <v>N - Ativ. Admin. e dos serv. apoio</v>
      </c>
      <c r="C338" t="str">
        <f t="shared" si="5"/>
        <v>N</v>
      </c>
      <c r="D338" s="383" t="s">
        <v>263</v>
      </c>
      <c r="E338" s="439">
        <f>+'q34'!$H$43</f>
        <v>1006.82</v>
      </c>
    </row>
    <row r="339" spans="1:5">
      <c r="A339">
        <f>+'q34'!$H$4</f>
        <v>2019</v>
      </c>
      <c r="B339" t="str">
        <f>+Aux!$A$28</f>
        <v>O - Administração pública e defesa; segurança social obrigatória</v>
      </c>
      <c r="C339" t="str">
        <f t="shared" si="5"/>
        <v>O</v>
      </c>
      <c r="D339" s="383" t="s">
        <v>263</v>
      </c>
      <c r="E339" s="439">
        <f>+'q34'!$H$44</f>
        <v>1161.46</v>
      </c>
    </row>
    <row r="340" spans="1:5">
      <c r="A340">
        <f>+'q34'!$H$4</f>
        <v>2019</v>
      </c>
      <c r="B340" t="str">
        <f>+Aux!$A$29</f>
        <v>P - Educação</v>
      </c>
      <c r="C340" t="str">
        <f t="shared" si="5"/>
        <v>P</v>
      </c>
      <c r="D340" s="383" t="s">
        <v>263</v>
      </c>
      <c r="E340" s="439">
        <f>+'q34'!$H$45</f>
        <v>1336.35</v>
      </c>
    </row>
    <row r="341" spans="1:5">
      <c r="A341">
        <f>+'q34'!$H$4</f>
        <v>2019</v>
      </c>
      <c r="B341" t="str">
        <f>+Aux!$A$30</f>
        <v>Q - Ativ. de saúde humana e apoio social</v>
      </c>
      <c r="C341" t="str">
        <f t="shared" si="5"/>
        <v>Q</v>
      </c>
      <c r="D341" s="383" t="s">
        <v>263</v>
      </c>
      <c r="E341" s="439">
        <f>+'q34'!$H$46</f>
        <v>1088.3399999999999</v>
      </c>
    </row>
    <row r="342" spans="1:5">
      <c r="A342">
        <f>+'q34'!$H$4</f>
        <v>2019</v>
      </c>
      <c r="B342" t="str">
        <f>+Aux!$A$31</f>
        <v>R - Atividades artísticas, de espectáculos, desp. e recreativas</v>
      </c>
      <c r="C342" t="str">
        <f t="shared" si="5"/>
        <v>R</v>
      </c>
      <c r="D342" s="383" t="s">
        <v>263</v>
      </c>
      <c r="E342" s="439">
        <f>+'q34'!$H$47</f>
        <v>1856.55</v>
      </c>
    </row>
    <row r="343" spans="1:5">
      <c r="A343">
        <f>+'q34'!$H$4</f>
        <v>2019</v>
      </c>
      <c r="B343" t="str">
        <f>+Aux!$A$32</f>
        <v>S - Outras atividades de serviços</v>
      </c>
      <c r="C343" t="str">
        <f t="shared" si="5"/>
        <v>S</v>
      </c>
      <c r="D343" s="383" t="s">
        <v>263</v>
      </c>
      <c r="E343" s="439">
        <f>+'q34'!$H$48</f>
        <v>1057.8699999999999</v>
      </c>
    </row>
    <row r="344" spans="1:5">
      <c r="A344">
        <f>+'q34'!$H$4</f>
        <v>2019</v>
      </c>
      <c r="B344" t="str">
        <f>+Aux!$A$33</f>
        <v>U - Ativ. org. interna. e outras instituições extra-territoriais</v>
      </c>
      <c r="C344" t="str">
        <f t="shared" si="5"/>
        <v>U</v>
      </c>
      <c r="D344" s="383" t="s">
        <v>263</v>
      </c>
      <c r="E344" s="439">
        <f>+'q34'!$H$49</f>
        <v>2299.36</v>
      </c>
    </row>
    <row r="345" spans="1:5">
      <c r="A345">
        <f>+'q34'!$I$4</f>
        <v>2020</v>
      </c>
      <c r="B345" t="str">
        <f>+Aux!$A$14</f>
        <v xml:space="preserve">A - Agricultura, produção animal, caça, floresta e pesca </v>
      </c>
      <c r="C345" t="str">
        <f t="shared" si="5"/>
        <v>A</v>
      </c>
      <c r="D345" s="383" t="s">
        <v>263</v>
      </c>
      <c r="E345" s="439">
        <f>+'q34'!$I$6</f>
        <v>949.69</v>
      </c>
    </row>
    <row r="346" spans="1:5">
      <c r="A346">
        <f>+'q34'!$I$4</f>
        <v>2020</v>
      </c>
      <c r="B346" t="str">
        <f>+Aux!$A$15</f>
        <v>B - Indústrias extrativas</v>
      </c>
      <c r="C346" t="str">
        <f t="shared" si="5"/>
        <v>B</v>
      </c>
      <c r="D346" s="383" t="s">
        <v>263</v>
      </c>
      <c r="E346" s="439">
        <f>+'q34'!$I$7</f>
        <v>1500.09</v>
      </c>
    </row>
    <row r="347" spans="1:5">
      <c r="A347">
        <f>+'q34'!$I$4</f>
        <v>2020</v>
      </c>
      <c r="B347" t="str">
        <f>+Aux!$A$16</f>
        <v>C - Ind. transf.</v>
      </c>
      <c r="C347" t="str">
        <f t="shared" si="5"/>
        <v>C</v>
      </c>
      <c r="D347" s="383" t="s">
        <v>263</v>
      </c>
      <c r="E347" s="439">
        <f>+'q34'!$I$8</f>
        <v>1198.04</v>
      </c>
    </row>
    <row r="348" spans="1:5">
      <c r="A348">
        <f>+'q34'!$I$4</f>
        <v>2020</v>
      </c>
      <c r="B348" t="str">
        <f>+Aux!$A$17</f>
        <v>D - Eletricidade, gás, vapor, água quente e fria e ar frio</v>
      </c>
      <c r="C348" t="str">
        <f t="shared" si="5"/>
        <v>D</v>
      </c>
      <c r="D348" s="383" t="s">
        <v>263</v>
      </c>
      <c r="E348" s="439">
        <f>+'q34'!$I$33</f>
        <v>2956.05</v>
      </c>
    </row>
    <row r="349" spans="1:5">
      <c r="A349">
        <f>+'q34'!$I$4</f>
        <v>2020</v>
      </c>
      <c r="B349" t="str">
        <f>+Aux!$A$18</f>
        <v>E - Captação, trat. e dist. água; saneam., gest. resíduos e desp.</v>
      </c>
      <c r="C349" t="str">
        <f t="shared" si="5"/>
        <v>E</v>
      </c>
      <c r="D349" s="383" t="s">
        <v>263</v>
      </c>
      <c r="E349" s="439">
        <f>+'q34'!$I$34</f>
        <v>1204.9000000000001</v>
      </c>
    </row>
    <row r="350" spans="1:5">
      <c r="A350">
        <f>+'q34'!$I$4</f>
        <v>2020</v>
      </c>
      <c r="B350" t="str">
        <f>+Aux!$A$19</f>
        <v>F - Construção</v>
      </c>
      <c r="C350" t="str">
        <f t="shared" si="5"/>
        <v>F</v>
      </c>
      <c r="D350" s="383" t="s">
        <v>263</v>
      </c>
      <c r="E350" s="439">
        <f>+'q34'!$I$35</f>
        <v>1042.3699999999999</v>
      </c>
    </row>
    <row r="351" spans="1:5">
      <c r="A351">
        <f>+'q34'!$I$4</f>
        <v>2020</v>
      </c>
      <c r="B351" t="str">
        <f>+Aux!$A$20</f>
        <v>G - Com. por grosso e ret. (…)</v>
      </c>
      <c r="C351" t="str">
        <f t="shared" si="5"/>
        <v>G</v>
      </c>
      <c r="D351" s="383" t="s">
        <v>263</v>
      </c>
      <c r="E351" s="439">
        <f>+'q34'!$I$36</f>
        <v>1176.33</v>
      </c>
    </row>
    <row r="352" spans="1:5">
      <c r="A352">
        <f>+'q34'!$I$4</f>
        <v>2020</v>
      </c>
      <c r="B352" t="str">
        <f>+Aux!$A$21</f>
        <v>H - Transportes e armazenagem</v>
      </c>
      <c r="C352" t="str">
        <f t="shared" si="5"/>
        <v>H</v>
      </c>
      <c r="D352" s="383" t="s">
        <v>263</v>
      </c>
      <c r="E352" s="439">
        <f>+'q34'!$I$37</f>
        <v>1418.68</v>
      </c>
    </row>
    <row r="353" spans="1:5">
      <c r="A353">
        <f>+'q34'!$I$4</f>
        <v>2020</v>
      </c>
      <c r="B353" t="str">
        <f>+Aux!$A$22</f>
        <v>I - Aloj., rest. e sim.</v>
      </c>
      <c r="C353" t="str">
        <f t="shared" si="5"/>
        <v>I</v>
      </c>
      <c r="D353" s="383" t="s">
        <v>263</v>
      </c>
      <c r="E353" s="439">
        <f>+'q34'!$I$38</f>
        <v>858.93</v>
      </c>
    </row>
    <row r="354" spans="1:5">
      <c r="A354">
        <f>+'q34'!$I$4</f>
        <v>2020</v>
      </c>
      <c r="B354" t="str">
        <f>+Aux!$A$23</f>
        <v>J - Atividades de informação e de comunicação</v>
      </c>
      <c r="C354" t="str">
        <f t="shared" si="5"/>
        <v>J</v>
      </c>
      <c r="D354" s="383" t="s">
        <v>263</v>
      </c>
      <c r="E354" s="439">
        <f>+'q34'!$I$39</f>
        <v>1970.06</v>
      </c>
    </row>
    <row r="355" spans="1:5">
      <c r="A355">
        <f>+'q34'!$I$4</f>
        <v>2020</v>
      </c>
      <c r="B355" t="str">
        <f>+Aux!$A$24</f>
        <v>K - Atividades financeiras e de seguros</v>
      </c>
      <c r="C355" t="str">
        <f t="shared" si="5"/>
        <v>K</v>
      </c>
      <c r="D355" s="383" t="s">
        <v>263</v>
      </c>
      <c r="E355" s="439">
        <f>+'q34'!$I$40</f>
        <v>2366.37</v>
      </c>
    </row>
    <row r="356" spans="1:5">
      <c r="A356">
        <f>+'q34'!$I$4</f>
        <v>2020</v>
      </c>
      <c r="B356" t="str">
        <f>+Aux!$A$25</f>
        <v>L - Atividades imobiliárias</v>
      </c>
      <c r="C356" t="str">
        <f t="shared" si="5"/>
        <v>L</v>
      </c>
      <c r="D356" s="383" t="s">
        <v>263</v>
      </c>
      <c r="E356" s="439">
        <f>+'q34'!$I$41</f>
        <v>1237.47</v>
      </c>
    </row>
    <row r="357" spans="1:5">
      <c r="A357">
        <f>+'q34'!$I$4</f>
        <v>2020</v>
      </c>
      <c r="B357" t="str">
        <f>+Aux!$A$26</f>
        <v>M - Atividades de consultoria, científicas, técnicas e similares</v>
      </c>
      <c r="C357" t="str">
        <f t="shared" si="5"/>
        <v>M</v>
      </c>
      <c r="D357" s="383" t="s">
        <v>263</v>
      </c>
      <c r="E357" s="439">
        <f>+'q34'!$I$42</f>
        <v>1543.35</v>
      </c>
    </row>
    <row r="358" spans="1:5">
      <c r="A358">
        <f>+'q34'!$I$4</f>
        <v>2020</v>
      </c>
      <c r="B358" t="str">
        <f>+Aux!$A$27</f>
        <v>N - Ativ. Admin. e dos serv. apoio</v>
      </c>
      <c r="C358" t="str">
        <f t="shared" si="5"/>
        <v>N</v>
      </c>
      <c r="D358" s="383" t="s">
        <v>263</v>
      </c>
      <c r="E358" s="439">
        <f>+'q34'!$I$43</f>
        <v>1032.8800000000001</v>
      </c>
    </row>
    <row r="359" spans="1:5">
      <c r="A359">
        <f>+'q34'!$I$4</f>
        <v>2020</v>
      </c>
      <c r="B359" t="str">
        <f>+Aux!$A$28</f>
        <v>O - Administração pública e defesa; segurança social obrigatória</v>
      </c>
      <c r="C359" t="str">
        <f t="shared" si="5"/>
        <v>O</v>
      </c>
      <c r="D359" s="383" t="s">
        <v>263</v>
      </c>
      <c r="E359" s="439">
        <f>+'q34'!$I$44</f>
        <v>1222.78</v>
      </c>
    </row>
    <row r="360" spans="1:5">
      <c r="A360">
        <f>+'q34'!$I$4</f>
        <v>2020</v>
      </c>
      <c r="B360" t="str">
        <f>+Aux!$A$29</f>
        <v>P - Educação</v>
      </c>
      <c r="C360" t="str">
        <f t="shared" si="5"/>
        <v>P</v>
      </c>
      <c r="D360" s="383" t="s">
        <v>263</v>
      </c>
      <c r="E360" s="439">
        <f>+'q34'!$I$45</f>
        <v>1375.08</v>
      </c>
    </row>
    <row r="361" spans="1:5">
      <c r="A361">
        <f>+'q34'!$I$4</f>
        <v>2020</v>
      </c>
      <c r="B361" t="str">
        <f>+Aux!$A$30</f>
        <v>Q - Ativ. de saúde humana e apoio social</v>
      </c>
      <c r="C361" t="str">
        <f t="shared" si="5"/>
        <v>Q</v>
      </c>
      <c r="D361" s="383" t="s">
        <v>263</v>
      </c>
      <c r="E361" s="439">
        <f>+'q34'!$I$46</f>
        <v>1112.49</v>
      </c>
    </row>
    <row r="362" spans="1:5">
      <c r="A362">
        <f>+'q34'!$I$4</f>
        <v>2020</v>
      </c>
      <c r="B362" t="str">
        <f>+Aux!$A$31</f>
        <v>R - Atividades artísticas, de espectáculos, desp. e recreativas</v>
      </c>
      <c r="C362" t="str">
        <f t="shared" si="5"/>
        <v>R</v>
      </c>
      <c r="D362" s="383" t="s">
        <v>263</v>
      </c>
      <c r="E362" s="439">
        <f>+'q34'!$I$47</f>
        <v>2043.82</v>
      </c>
    </row>
    <row r="363" spans="1:5">
      <c r="A363">
        <f>+'q34'!$I$4</f>
        <v>2020</v>
      </c>
      <c r="B363" t="str">
        <f>+Aux!$A$32</f>
        <v>S - Outras atividades de serviços</v>
      </c>
      <c r="C363" t="str">
        <f t="shared" si="5"/>
        <v>S</v>
      </c>
      <c r="D363" s="383" t="s">
        <v>263</v>
      </c>
      <c r="E363" s="439">
        <f>+'q34'!$I$48</f>
        <v>1115.8800000000001</v>
      </c>
    </row>
    <row r="364" spans="1:5">
      <c r="A364">
        <f>+'q34'!$I$4</f>
        <v>2020</v>
      </c>
      <c r="B364" t="str">
        <f>+Aux!$A$33</f>
        <v>U - Ativ. org. interna. e outras instituições extra-territoriais</v>
      </c>
      <c r="C364" t="str">
        <f t="shared" si="5"/>
        <v>U</v>
      </c>
      <c r="D364" s="383" t="s">
        <v>263</v>
      </c>
      <c r="E364" s="439">
        <f>+'q34'!$I$49</f>
        <v>2045.65</v>
      </c>
    </row>
    <row r="365" spans="1:5">
      <c r="A365">
        <f>+'q34'!$J$4</f>
        <v>2021</v>
      </c>
      <c r="B365" t="str">
        <f>+Aux!$A$14</f>
        <v xml:space="preserve">A - Agricultura, produção animal, caça, floresta e pesca </v>
      </c>
      <c r="C365" t="str">
        <f t="shared" si="5"/>
        <v>A</v>
      </c>
      <c r="D365" s="383" t="s">
        <v>263</v>
      </c>
      <c r="E365" s="439">
        <f>+'q34'!$J$6</f>
        <v>1011.43</v>
      </c>
    </row>
    <row r="366" spans="1:5">
      <c r="A366">
        <f>+'q34'!$J$4</f>
        <v>2021</v>
      </c>
      <c r="B366" t="str">
        <f>+Aux!$A$15</f>
        <v>B - Indústrias extrativas</v>
      </c>
      <c r="C366" t="str">
        <f t="shared" si="5"/>
        <v>B</v>
      </c>
      <c r="D366" s="383" t="s">
        <v>263</v>
      </c>
      <c r="E366" s="439">
        <f>+'q34'!$J$7</f>
        <v>1596.03</v>
      </c>
    </row>
    <row r="367" spans="1:5">
      <c r="A367">
        <f>+'q34'!$J$4</f>
        <v>2021</v>
      </c>
      <c r="B367" t="str">
        <f>+Aux!$A$16</f>
        <v>C - Ind. transf.</v>
      </c>
      <c r="C367" t="str">
        <f t="shared" si="5"/>
        <v>C</v>
      </c>
      <c r="D367" s="383" t="s">
        <v>263</v>
      </c>
      <c r="E367" s="439">
        <f>+'q34'!$J$8</f>
        <v>1224.79</v>
      </c>
    </row>
    <row r="368" spans="1:5">
      <c r="A368">
        <f>+'q34'!$J$4</f>
        <v>2021</v>
      </c>
      <c r="B368" t="str">
        <f>+Aux!$A$17</f>
        <v>D - Eletricidade, gás, vapor, água quente e fria e ar frio</v>
      </c>
      <c r="C368" t="str">
        <f t="shared" si="5"/>
        <v>D</v>
      </c>
      <c r="D368" s="383" t="s">
        <v>263</v>
      </c>
      <c r="E368" s="439">
        <f>+'q34'!$J$33</f>
        <v>2965.84</v>
      </c>
    </row>
    <row r="369" spans="1:5">
      <c r="A369">
        <f>+'q34'!$J$4</f>
        <v>2021</v>
      </c>
      <c r="B369" t="str">
        <f>+Aux!$A$18</f>
        <v>E - Captação, trat. e dist. água; saneam., gest. resíduos e desp.</v>
      </c>
      <c r="C369" t="str">
        <f t="shared" si="5"/>
        <v>E</v>
      </c>
      <c r="D369" s="383" t="s">
        <v>263</v>
      </c>
      <c r="E369" s="439">
        <f>+'q34'!$J$34</f>
        <v>1227.3</v>
      </c>
    </row>
    <row r="370" spans="1:5">
      <c r="A370">
        <f>+'q34'!$J$4</f>
        <v>2021</v>
      </c>
      <c r="B370" t="str">
        <f>+Aux!$A$19</f>
        <v>F - Construção</v>
      </c>
      <c r="C370" t="str">
        <f t="shared" si="5"/>
        <v>F</v>
      </c>
      <c r="D370" s="383" t="s">
        <v>263</v>
      </c>
      <c r="E370" s="439">
        <f>+'q34'!$J$35</f>
        <v>1103.17</v>
      </c>
    </row>
    <row r="371" spans="1:5">
      <c r="A371">
        <f>+'q34'!$J$4</f>
        <v>2021</v>
      </c>
      <c r="B371" t="str">
        <f>+Aux!$A$20</f>
        <v>G - Com. por grosso e ret. (…)</v>
      </c>
      <c r="C371" t="str">
        <f t="shared" si="5"/>
        <v>G</v>
      </c>
      <c r="D371" s="383" t="s">
        <v>263</v>
      </c>
      <c r="E371" s="439">
        <f>+'q34'!$J$36</f>
        <v>1224.17</v>
      </c>
    </row>
    <row r="372" spans="1:5">
      <c r="A372">
        <f>+'q34'!$J$4</f>
        <v>2021</v>
      </c>
      <c r="B372" t="str">
        <f>+Aux!$A$21</f>
        <v>H - Transportes e armazenagem</v>
      </c>
      <c r="C372" t="str">
        <f t="shared" si="5"/>
        <v>H</v>
      </c>
      <c r="D372" s="383" t="s">
        <v>263</v>
      </c>
      <c r="E372" s="439">
        <f>+'q34'!$J$37</f>
        <v>1463.67</v>
      </c>
    </row>
    <row r="373" spans="1:5">
      <c r="A373">
        <f>+'q34'!$J$4</f>
        <v>2021</v>
      </c>
      <c r="B373" t="str">
        <f>+Aux!$A$22</f>
        <v>I - Aloj., rest. e sim.</v>
      </c>
      <c r="C373" t="str">
        <f t="shared" si="5"/>
        <v>I</v>
      </c>
      <c r="D373" s="383" t="s">
        <v>263</v>
      </c>
      <c r="E373" s="439">
        <f>+'q34'!$J$38</f>
        <v>913.66</v>
      </c>
    </row>
    <row r="374" spans="1:5">
      <c r="A374">
        <f>+'q34'!$J$4</f>
        <v>2021</v>
      </c>
      <c r="B374" t="str">
        <f>+Aux!$A$23</f>
        <v>J - Atividades de informação e de comunicação</v>
      </c>
      <c r="C374" t="str">
        <f t="shared" si="5"/>
        <v>J</v>
      </c>
      <c r="D374" s="383" t="s">
        <v>263</v>
      </c>
      <c r="E374" s="439">
        <f>+'q34'!$J$39</f>
        <v>2046.09</v>
      </c>
    </row>
    <row r="375" spans="1:5">
      <c r="A375">
        <f>+'q34'!$J$4</f>
        <v>2021</v>
      </c>
      <c r="B375" t="str">
        <f>+Aux!$A$24</f>
        <v>K - Atividades financeiras e de seguros</v>
      </c>
      <c r="C375" t="str">
        <f t="shared" si="5"/>
        <v>K</v>
      </c>
      <c r="D375" s="383" t="s">
        <v>263</v>
      </c>
      <c r="E375" s="439">
        <f>+'q34'!$J$40</f>
        <v>2374.41</v>
      </c>
    </row>
    <row r="376" spans="1:5">
      <c r="A376">
        <f>+'q34'!$J$4</f>
        <v>2021</v>
      </c>
      <c r="B376" t="str">
        <f>+Aux!$A$25</f>
        <v>L - Atividades imobiliárias</v>
      </c>
      <c r="C376" t="str">
        <f t="shared" si="5"/>
        <v>L</v>
      </c>
      <c r="D376" s="383" t="s">
        <v>263</v>
      </c>
      <c r="E376" s="439">
        <f>+'q34'!$J$41</f>
        <v>1277.49</v>
      </c>
    </row>
    <row r="377" spans="1:5">
      <c r="A377">
        <f>+'q34'!$J$4</f>
        <v>2021</v>
      </c>
      <c r="B377" t="str">
        <f>+Aux!$A$26</f>
        <v>M - Atividades de consultoria, científicas, técnicas e similares</v>
      </c>
      <c r="C377" t="str">
        <f t="shared" si="5"/>
        <v>M</v>
      </c>
      <c r="D377" s="383" t="s">
        <v>263</v>
      </c>
      <c r="E377" s="439">
        <f>+'q34'!$J$42</f>
        <v>1612.77</v>
      </c>
    </row>
    <row r="378" spans="1:5">
      <c r="A378">
        <f>+'q34'!$J$4</f>
        <v>2021</v>
      </c>
      <c r="B378" t="str">
        <f>+Aux!$A$27</f>
        <v>N - Ativ. Admin. e dos serv. apoio</v>
      </c>
      <c r="C378" t="str">
        <f t="shared" si="5"/>
        <v>N</v>
      </c>
      <c r="D378" s="383" t="s">
        <v>263</v>
      </c>
      <c r="E378" s="439">
        <f>+'q34'!$J$43</f>
        <v>1086.1400000000001</v>
      </c>
    </row>
    <row r="379" spans="1:5">
      <c r="A379">
        <f>+'q34'!$J$4</f>
        <v>2021</v>
      </c>
      <c r="B379" t="str">
        <f>+Aux!$A$28</f>
        <v>O - Administração pública e defesa; segurança social obrigatória</v>
      </c>
      <c r="C379" t="str">
        <f t="shared" si="5"/>
        <v>O</v>
      </c>
      <c r="D379" s="383" t="s">
        <v>263</v>
      </c>
      <c r="E379" s="439">
        <f>+'q34'!$J$44</f>
        <v>1269.25</v>
      </c>
    </row>
    <row r="380" spans="1:5">
      <c r="A380">
        <f>+'q34'!$J$4</f>
        <v>2021</v>
      </c>
      <c r="B380" t="str">
        <f>+Aux!$A$29</f>
        <v>P - Educação</v>
      </c>
      <c r="C380" t="str">
        <f t="shared" si="5"/>
        <v>P</v>
      </c>
      <c r="D380" s="383" t="s">
        <v>263</v>
      </c>
      <c r="E380" s="439">
        <f>+'q34'!$J$45</f>
        <v>1415.08</v>
      </c>
    </row>
    <row r="381" spans="1:5">
      <c r="A381">
        <f>+'q34'!$J$4</f>
        <v>2021</v>
      </c>
      <c r="B381" t="str">
        <f>+Aux!$A$30</f>
        <v>Q - Ativ. de saúde humana e apoio social</v>
      </c>
      <c r="C381" t="str">
        <f t="shared" si="5"/>
        <v>Q</v>
      </c>
      <c r="D381" s="383" t="s">
        <v>263</v>
      </c>
      <c r="E381" s="439">
        <f>+'q34'!$J$46</f>
        <v>1148.8</v>
      </c>
    </row>
    <row r="382" spans="1:5">
      <c r="A382">
        <f>+'q34'!$J$4</f>
        <v>2021</v>
      </c>
      <c r="B382" t="str">
        <f>+Aux!$A$31</f>
        <v>R - Atividades artísticas, de espectáculos, desp. e recreativas</v>
      </c>
      <c r="C382" t="str">
        <f t="shared" si="5"/>
        <v>R</v>
      </c>
      <c r="D382" s="383" t="s">
        <v>263</v>
      </c>
      <c r="E382" s="439">
        <f>+'q34'!$J$47</f>
        <v>1981.67</v>
      </c>
    </row>
    <row r="383" spans="1:5">
      <c r="A383">
        <f>+'q34'!$J$4</f>
        <v>2021</v>
      </c>
      <c r="B383" t="str">
        <f>+Aux!$A$32</f>
        <v>S - Outras atividades de serviços</v>
      </c>
      <c r="C383" t="str">
        <f t="shared" si="5"/>
        <v>S</v>
      </c>
      <c r="D383" s="383" t="s">
        <v>263</v>
      </c>
      <c r="E383" s="439">
        <f>+'q34'!$J$48</f>
        <v>1140.2</v>
      </c>
    </row>
    <row r="384" spans="1:5">
      <c r="A384">
        <f>+'q34'!$J$4</f>
        <v>2021</v>
      </c>
      <c r="B384" t="str">
        <f>+Aux!$A$33</f>
        <v>U - Ativ. org. interna. e outras instituições extra-territoriais</v>
      </c>
      <c r="C384" t="str">
        <f t="shared" si="5"/>
        <v>U</v>
      </c>
      <c r="D384" s="383" t="s">
        <v>263</v>
      </c>
      <c r="E384" s="439">
        <f>+'q34'!$J$49</f>
        <v>1997.5</v>
      </c>
    </row>
    <row r="385" spans="1:5">
      <c r="A385">
        <f>+'q34'!$K$4</f>
        <v>2022</v>
      </c>
      <c r="B385" t="str">
        <f>+Aux!$A$14</f>
        <v xml:space="preserve">A - Agricultura, produção animal, caça, floresta e pesca </v>
      </c>
      <c r="C385" t="str">
        <f t="shared" si="5"/>
        <v>A</v>
      </c>
      <c r="D385" s="383" t="s">
        <v>263</v>
      </c>
      <c r="E385" s="439">
        <f>+'q34'!$K$6</f>
        <v>1058.3699999999999</v>
      </c>
    </row>
    <row r="386" spans="1:5">
      <c r="A386">
        <f>+'q34'!$K$4</f>
        <v>2022</v>
      </c>
      <c r="B386" t="str">
        <f>+Aux!$A$15</f>
        <v>B - Indústrias extrativas</v>
      </c>
      <c r="C386" t="str">
        <f t="shared" si="5"/>
        <v>B</v>
      </c>
      <c r="D386" s="383" t="s">
        <v>263</v>
      </c>
      <c r="E386" s="439">
        <f>+'q34'!$K$7</f>
        <v>1702.24</v>
      </c>
    </row>
    <row r="387" spans="1:5">
      <c r="A387">
        <f>+'q34'!$K$4</f>
        <v>2022</v>
      </c>
      <c r="B387" t="str">
        <f>+Aux!$A$16</f>
        <v>C - Ind. transf.</v>
      </c>
      <c r="C387" t="str">
        <f t="shared" si="5"/>
        <v>C</v>
      </c>
      <c r="D387" s="383" t="s">
        <v>263</v>
      </c>
      <c r="E387" s="439">
        <f>+'q34'!$K$8</f>
        <v>1302.5899999999999</v>
      </c>
    </row>
    <row r="388" spans="1:5">
      <c r="A388">
        <f>+'q34'!$K$4</f>
        <v>2022</v>
      </c>
      <c r="B388" t="str">
        <f>+Aux!$A$17</f>
        <v>D - Eletricidade, gás, vapor, água quente e fria e ar frio</v>
      </c>
      <c r="C388" t="str">
        <f t="shared" si="5"/>
        <v>D</v>
      </c>
      <c r="D388" s="383" t="s">
        <v>263</v>
      </c>
      <c r="E388" s="439">
        <f>+'q34'!$K$33</f>
        <v>3040.89</v>
      </c>
    </row>
    <row r="389" spans="1:5">
      <c r="A389">
        <f>+'q34'!$K$4</f>
        <v>2022</v>
      </c>
      <c r="B389" t="str">
        <f>+Aux!$A$18</f>
        <v>E - Captação, trat. e dist. água; saneam., gest. resíduos e desp.</v>
      </c>
      <c r="C389" t="str">
        <f t="shared" si="5"/>
        <v>E</v>
      </c>
      <c r="D389" s="383" t="s">
        <v>263</v>
      </c>
      <c r="E389" s="439">
        <f>+'q34'!$K$34</f>
        <v>1275.54</v>
      </c>
    </row>
    <row r="390" spans="1:5">
      <c r="A390">
        <f>+'q34'!$K$4</f>
        <v>2022</v>
      </c>
      <c r="B390" t="str">
        <f>+Aux!$A$19</f>
        <v>F - Construção</v>
      </c>
      <c r="C390" t="str">
        <f t="shared" ref="C390:C444" si="6">+LEFT(B390,1)</f>
        <v>F</v>
      </c>
      <c r="D390" s="383" t="s">
        <v>263</v>
      </c>
      <c r="E390" s="439">
        <f>+'q34'!$K$35</f>
        <v>1149.6099999999999</v>
      </c>
    </row>
    <row r="391" spans="1:5">
      <c r="A391">
        <f>+'q34'!$K$4</f>
        <v>2022</v>
      </c>
      <c r="B391" t="str">
        <f>+Aux!$A$20</f>
        <v>G - Com. por grosso e ret. (…)</v>
      </c>
      <c r="C391" t="str">
        <f t="shared" si="6"/>
        <v>G</v>
      </c>
      <c r="D391" s="383" t="s">
        <v>263</v>
      </c>
      <c r="E391" s="439">
        <f>+'q34'!$K$36</f>
        <v>1280.54</v>
      </c>
    </row>
    <row r="392" spans="1:5">
      <c r="A392">
        <f>+'q34'!$K$4</f>
        <v>2022</v>
      </c>
      <c r="B392" t="str">
        <f>+Aux!$A$21</f>
        <v>H - Transportes e armazenagem</v>
      </c>
      <c r="C392" t="str">
        <f t="shared" si="6"/>
        <v>H</v>
      </c>
      <c r="D392" s="383" t="s">
        <v>263</v>
      </c>
      <c r="E392" s="439">
        <f>+'q34'!$K$37</f>
        <v>1651.37</v>
      </c>
    </row>
    <row r="393" spans="1:5">
      <c r="A393">
        <f>+'q34'!$K$4</f>
        <v>2022</v>
      </c>
      <c r="B393" t="str">
        <f>+Aux!$A$22</f>
        <v>I - Aloj., rest. e sim.</v>
      </c>
      <c r="C393" t="str">
        <f t="shared" si="6"/>
        <v>I</v>
      </c>
      <c r="D393" s="383" t="s">
        <v>263</v>
      </c>
      <c r="E393" s="439">
        <f>+'q34'!$K$38</f>
        <v>977.82</v>
      </c>
    </row>
    <row r="394" spans="1:5">
      <c r="A394">
        <f>+'q34'!$K$4</f>
        <v>2022</v>
      </c>
      <c r="B394" t="str">
        <f>+Aux!$A$23</f>
        <v>J - Atividades de informação e de comunicação</v>
      </c>
      <c r="C394" t="str">
        <f t="shared" si="6"/>
        <v>J</v>
      </c>
      <c r="D394" s="383" t="s">
        <v>263</v>
      </c>
      <c r="E394" s="439">
        <f>+'q34'!$K$39</f>
        <v>2222.2600000000002</v>
      </c>
    </row>
    <row r="395" spans="1:5">
      <c r="A395">
        <f>+'q34'!$K$4</f>
        <v>2022</v>
      </c>
      <c r="B395" t="str">
        <f>+Aux!$A$24</f>
        <v>K - Atividades financeiras e de seguros</v>
      </c>
      <c r="C395" t="str">
        <f t="shared" si="6"/>
        <v>K</v>
      </c>
      <c r="D395" s="383" t="s">
        <v>263</v>
      </c>
      <c r="E395" s="439">
        <f>+'q34'!$K$40</f>
        <v>2429.02</v>
      </c>
    </row>
    <row r="396" spans="1:5">
      <c r="A396">
        <f>+'q34'!$K$4</f>
        <v>2022</v>
      </c>
      <c r="B396" t="str">
        <f>+Aux!$A$25</f>
        <v>L - Atividades imobiliárias</v>
      </c>
      <c r="C396" t="str">
        <f t="shared" si="6"/>
        <v>L</v>
      </c>
      <c r="D396" s="383" t="s">
        <v>263</v>
      </c>
      <c r="E396" s="439">
        <f>+'q34'!$K$41</f>
        <v>1343.29</v>
      </c>
    </row>
    <row r="397" spans="1:5">
      <c r="A397">
        <f>+'q34'!$K$4</f>
        <v>2022</v>
      </c>
      <c r="B397" t="str">
        <f>+Aux!$A$26</f>
        <v>M - Atividades de consultoria, científicas, técnicas e similares</v>
      </c>
      <c r="C397" t="str">
        <f t="shared" si="6"/>
        <v>M</v>
      </c>
      <c r="D397" s="383" t="s">
        <v>263</v>
      </c>
      <c r="E397" s="439">
        <f>+'q34'!$K$42</f>
        <v>1708.75</v>
      </c>
    </row>
    <row r="398" spans="1:5">
      <c r="A398">
        <f>+'q34'!$K$4</f>
        <v>2022</v>
      </c>
      <c r="B398" t="str">
        <f>+Aux!$A$27</f>
        <v>N - Ativ. Admin. e dos serv. apoio</v>
      </c>
      <c r="C398" t="str">
        <f t="shared" si="6"/>
        <v>N</v>
      </c>
      <c r="D398" s="383" t="s">
        <v>263</v>
      </c>
      <c r="E398" s="439">
        <f>+'q34'!$K$43</f>
        <v>1156.51</v>
      </c>
    </row>
    <row r="399" spans="1:5">
      <c r="A399">
        <f>+'q34'!$K$4</f>
        <v>2022</v>
      </c>
      <c r="B399" t="str">
        <f>+Aux!$A$28</f>
        <v>O - Administração pública e defesa; segurança social obrigatória</v>
      </c>
      <c r="C399" t="str">
        <f t="shared" si="6"/>
        <v>O</v>
      </c>
      <c r="D399" s="383" t="s">
        <v>263</v>
      </c>
      <c r="E399" s="439">
        <f>+'q34'!$K$44</f>
        <v>1293.6300000000001</v>
      </c>
    </row>
    <row r="400" spans="1:5">
      <c r="A400">
        <f>+'q34'!$K$4</f>
        <v>2022</v>
      </c>
      <c r="B400" t="str">
        <f>+Aux!$A$29</f>
        <v>P - Educação</v>
      </c>
      <c r="C400" t="str">
        <f t="shared" si="6"/>
        <v>P</v>
      </c>
      <c r="D400" s="383" t="s">
        <v>263</v>
      </c>
      <c r="E400" s="439">
        <f>+'q34'!$K$45</f>
        <v>1477.62</v>
      </c>
    </row>
    <row r="401" spans="1:5">
      <c r="A401">
        <f>+'q34'!$K$4</f>
        <v>2022</v>
      </c>
      <c r="B401" t="str">
        <f>+Aux!$A$30</f>
        <v>Q - Ativ. de saúde humana e apoio social</v>
      </c>
      <c r="C401" t="str">
        <f t="shared" si="6"/>
        <v>Q</v>
      </c>
      <c r="D401" s="383" t="s">
        <v>263</v>
      </c>
      <c r="E401" s="439">
        <f>+'q34'!$K$46</f>
        <v>1186.79</v>
      </c>
    </row>
    <row r="402" spans="1:5">
      <c r="A402">
        <f>+'q34'!$K$4</f>
        <v>2022</v>
      </c>
      <c r="B402" t="str">
        <f>+Aux!$A$31</f>
        <v>R - Atividades artísticas, de espectáculos, desp. e recreativas</v>
      </c>
      <c r="C402" t="str">
        <f t="shared" si="6"/>
        <v>R</v>
      </c>
      <c r="D402" s="383" t="s">
        <v>263</v>
      </c>
      <c r="E402" s="439">
        <f>+'q34'!$K$47</f>
        <v>2006.93</v>
      </c>
    </row>
    <row r="403" spans="1:5">
      <c r="A403">
        <f>+'q34'!$K$4</f>
        <v>2022</v>
      </c>
      <c r="B403" t="str">
        <f>+Aux!$A$32</f>
        <v>S - Outras atividades de serviços</v>
      </c>
      <c r="C403" t="str">
        <f t="shared" si="6"/>
        <v>S</v>
      </c>
      <c r="D403" s="383" t="s">
        <v>263</v>
      </c>
      <c r="E403" s="439">
        <f>+'q34'!$K$48</f>
        <v>1185.8599999999999</v>
      </c>
    </row>
    <row r="404" spans="1:5">
      <c r="A404">
        <f>+'q34'!$K$4</f>
        <v>2022</v>
      </c>
      <c r="B404" t="str">
        <f>+Aux!$A$33</f>
        <v>U - Ativ. org. interna. e outras instituições extra-territoriais</v>
      </c>
      <c r="C404" t="str">
        <f t="shared" si="6"/>
        <v>U</v>
      </c>
      <c r="D404" s="383" t="s">
        <v>263</v>
      </c>
      <c r="E404" s="439">
        <f>+'q34'!$K$49</f>
        <v>3245.89</v>
      </c>
    </row>
    <row r="405" spans="1:5">
      <c r="A405">
        <f>+'q34'!$L$4</f>
        <v>2023</v>
      </c>
      <c r="B405" t="str">
        <f>+Aux!$A$14</f>
        <v xml:space="preserve">A - Agricultura, produção animal, caça, floresta e pesca </v>
      </c>
      <c r="C405" t="str">
        <f t="shared" si="6"/>
        <v>A</v>
      </c>
      <c r="D405" s="383" t="s">
        <v>263</v>
      </c>
      <c r="E405" s="439">
        <f>+'q34'!$L$6</f>
        <v>1125.73</v>
      </c>
    </row>
    <row r="406" spans="1:5">
      <c r="A406">
        <f>+'q34'!$L$4</f>
        <v>2023</v>
      </c>
      <c r="B406" t="str">
        <f>+Aux!$A$15</f>
        <v>B - Indústrias extrativas</v>
      </c>
      <c r="C406" t="str">
        <f t="shared" si="6"/>
        <v>B</v>
      </c>
      <c r="D406" s="383" t="s">
        <v>263</v>
      </c>
      <c r="E406" s="439">
        <f>+'q34'!$L$7</f>
        <v>1969.8</v>
      </c>
    </row>
    <row r="407" spans="1:5">
      <c r="A407">
        <f>+'q34'!$L$4</f>
        <v>2023</v>
      </c>
      <c r="B407" t="str">
        <f>+Aux!$A$16</f>
        <v>C - Ind. transf.</v>
      </c>
      <c r="C407" t="str">
        <f t="shared" si="6"/>
        <v>C</v>
      </c>
      <c r="D407" s="383" t="s">
        <v>263</v>
      </c>
      <c r="E407" s="439">
        <f>+'q34'!$L$8</f>
        <v>1400.65</v>
      </c>
    </row>
    <row r="408" spans="1:5">
      <c r="A408">
        <f>+'q34'!$L$4</f>
        <v>2023</v>
      </c>
      <c r="B408" t="str">
        <f>+Aux!$A$17</f>
        <v>D - Eletricidade, gás, vapor, água quente e fria e ar frio</v>
      </c>
      <c r="C408" t="str">
        <f t="shared" si="6"/>
        <v>D</v>
      </c>
      <c r="D408" s="383" t="s">
        <v>263</v>
      </c>
      <c r="E408" s="439">
        <f>+'q34'!$L$33</f>
        <v>3171.51</v>
      </c>
    </row>
    <row r="409" spans="1:5">
      <c r="A409">
        <f>+'q34'!$L$4</f>
        <v>2023</v>
      </c>
      <c r="B409" t="str">
        <f>+Aux!$A$18</f>
        <v>E - Captação, trat. e dist. água; saneam., gest. resíduos e desp.</v>
      </c>
      <c r="C409" t="str">
        <f t="shared" si="6"/>
        <v>E</v>
      </c>
      <c r="D409" s="383" t="s">
        <v>263</v>
      </c>
      <c r="E409" s="439">
        <f>+'q34'!$L$34</f>
        <v>1387.57</v>
      </c>
    </row>
    <row r="410" spans="1:5">
      <c r="A410">
        <f>+'q34'!$L$4</f>
        <v>2023</v>
      </c>
      <c r="B410" t="str">
        <f>+Aux!$A$19</f>
        <v>F - Construção</v>
      </c>
      <c r="C410" t="str">
        <f t="shared" si="6"/>
        <v>F</v>
      </c>
      <c r="D410" s="383" t="s">
        <v>263</v>
      </c>
      <c r="E410" s="439">
        <f>+'q34'!$L$35</f>
        <v>1231.28</v>
      </c>
    </row>
    <row r="411" spans="1:5">
      <c r="A411">
        <f>+'q34'!$L$4</f>
        <v>2023</v>
      </c>
      <c r="B411" t="str">
        <f>+Aux!$A$20</f>
        <v>G - Com. por grosso e ret. (…)</v>
      </c>
      <c r="C411" t="str">
        <f t="shared" si="6"/>
        <v>G</v>
      </c>
      <c r="D411" s="383" t="s">
        <v>263</v>
      </c>
      <c r="E411" s="439">
        <f>+'q34'!$L$36</f>
        <v>1373.91</v>
      </c>
    </row>
    <row r="412" spans="1:5">
      <c r="A412">
        <f>+'q34'!$L$4</f>
        <v>2023</v>
      </c>
      <c r="B412" t="str">
        <f>+Aux!$A$21</f>
        <v>H - Transportes e armazenagem</v>
      </c>
      <c r="C412" t="str">
        <f t="shared" si="6"/>
        <v>H</v>
      </c>
      <c r="D412" s="383" t="s">
        <v>263</v>
      </c>
      <c r="E412" s="439">
        <f>+'q34'!$L$37</f>
        <v>1761.67</v>
      </c>
    </row>
    <row r="413" spans="1:5">
      <c r="A413">
        <f>+'q34'!$L$4</f>
        <v>2023</v>
      </c>
      <c r="B413" t="str">
        <f>+Aux!$A$22</f>
        <v>I - Aloj., rest. e sim.</v>
      </c>
      <c r="C413" t="str">
        <f t="shared" si="6"/>
        <v>I</v>
      </c>
      <c r="D413" s="383" t="s">
        <v>263</v>
      </c>
      <c r="E413" s="439">
        <f>+'q34'!$L$38</f>
        <v>1046.9100000000001</v>
      </c>
    </row>
    <row r="414" spans="1:5">
      <c r="A414">
        <f>+'q34'!$L$4</f>
        <v>2023</v>
      </c>
      <c r="B414" t="str">
        <f>+Aux!$A$23</f>
        <v>J - Atividades de informação e de comunicação</v>
      </c>
      <c r="C414" t="str">
        <f t="shared" si="6"/>
        <v>J</v>
      </c>
      <c r="D414" s="383" t="s">
        <v>263</v>
      </c>
      <c r="E414" s="439">
        <f>+'q34'!$L$39</f>
        <v>2360.1999999999998</v>
      </c>
    </row>
    <row r="415" spans="1:5">
      <c r="A415">
        <f>+'q34'!$L$4</f>
        <v>2023</v>
      </c>
      <c r="B415" t="str">
        <f>+Aux!$A$24</f>
        <v>K - Atividades financeiras e de seguros</v>
      </c>
      <c r="C415" t="str">
        <f t="shared" si="6"/>
        <v>K</v>
      </c>
      <c r="D415" s="383" t="s">
        <v>263</v>
      </c>
      <c r="E415" s="439">
        <f>+'q34'!$L$40</f>
        <v>2579.31</v>
      </c>
    </row>
    <row r="416" spans="1:5">
      <c r="A416">
        <f>+'q34'!$L$4</f>
        <v>2023</v>
      </c>
      <c r="B416" t="str">
        <f>+Aux!$A$25</f>
        <v>L - Atividades imobiliárias</v>
      </c>
      <c r="C416" t="str">
        <f t="shared" si="6"/>
        <v>L</v>
      </c>
      <c r="D416" s="383" t="s">
        <v>263</v>
      </c>
      <c r="E416" s="439">
        <f>+'q34'!$L$41</f>
        <v>1449.6</v>
      </c>
    </row>
    <row r="417" spans="1:5">
      <c r="A417">
        <f>+'q34'!$L$4</f>
        <v>2023</v>
      </c>
      <c r="B417" t="str">
        <f>+Aux!$A$26</f>
        <v>M - Atividades de consultoria, científicas, técnicas e similares</v>
      </c>
      <c r="C417" t="str">
        <f t="shared" si="6"/>
        <v>M</v>
      </c>
      <c r="D417" s="383" t="s">
        <v>263</v>
      </c>
      <c r="E417" s="439">
        <f>+'q34'!$L$42</f>
        <v>1854.12</v>
      </c>
    </row>
    <row r="418" spans="1:5">
      <c r="A418">
        <f>+'q34'!$L$4</f>
        <v>2023</v>
      </c>
      <c r="B418" t="str">
        <f>+Aux!$A$27</f>
        <v>N - Ativ. Admin. e dos serv. apoio</v>
      </c>
      <c r="C418" t="str">
        <f t="shared" si="6"/>
        <v>N</v>
      </c>
      <c r="D418" s="383" t="s">
        <v>263</v>
      </c>
      <c r="E418" s="439">
        <f>+'q34'!$L$43</f>
        <v>1263.92</v>
      </c>
    </row>
    <row r="419" spans="1:5">
      <c r="A419">
        <f>+'q34'!$L$4</f>
        <v>2023</v>
      </c>
      <c r="B419" t="str">
        <f>+Aux!$A$28</f>
        <v>O - Administração pública e defesa; segurança social obrigatória</v>
      </c>
      <c r="C419" t="str">
        <f t="shared" si="6"/>
        <v>O</v>
      </c>
      <c r="D419" s="383" t="s">
        <v>263</v>
      </c>
      <c r="E419" s="439">
        <f>+'q34'!$L$44</f>
        <v>1386.73</v>
      </c>
    </row>
    <row r="420" spans="1:5">
      <c r="A420">
        <f>+'q34'!$L$4</f>
        <v>2023</v>
      </c>
      <c r="B420" t="str">
        <f>+Aux!$A$29</f>
        <v>P - Educação</v>
      </c>
      <c r="C420" t="str">
        <f t="shared" si="6"/>
        <v>P</v>
      </c>
      <c r="D420" s="383" t="s">
        <v>263</v>
      </c>
      <c r="E420" s="439">
        <f>+'q34'!$L$45</f>
        <v>1587.99</v>
      </c>
    </row>
    <row r="421" spans="1:5">
      <c r="A421">
        <f>+'q34'!$L$4</f>
        <v>2023</v>
      </c>
      <c r="B421" t="str">
        <f>+Aux!$A$30</f>
        <v>Q - Ativ. de saúde humana e apoio social</v>
      </c>
      <c r="C421" t="str">
        <f t="shared" si="6"/>
        <v>Q</v>
      </c>
      <c r="D421" s="383" t="s">
        <v>263</v>
      </c>
      <c r="E421" s="439">
        <f>+'q34'!$L$46</f>
        <v>1250.5999999999999</v>
      </c>
    </row>
    <row r="422" spans="1:5">
      <c r="A422">
        <f>+'q34'!$L$4</f>
        <v>2023</v>
      </c>
      <c r="B422" t="str">
        <f>+Aux!$A$31</f>
        <v>R - Atividades artísticas, de espectáculos, desp. e recreativas</v>
      </c>
      <c r="C422" t="str">
        <f t="shared" si="6"/>
        <v>R</v>
      </c>
      <c r="D422" s="383" t="s">
        <v>263</v>
      </c>
      <c r="E422" s="439">
        <f>+'q34'!$L$47</f>
        <v>2131.9699999999998</v>
      </c>
    </row>
    <row r="423" spans="1:5">
      <c r="A423">
        <f>+'q34'!$L$4</f>
        <v>2023</v>
      </c>
      <c r="B423" t="str">
        <f>+Aux!$A$32</f>
        <v>S - Outras atividades de serviços</v>
      </c>
      <c r="C423" t="str">
        <f t="shared" si="6"/>
        <v>S</v>
      </c>
      <c r="D423" s="383" t="s">
        <v>263</v>
      </c>
      <c r="E423" s="439">
        <f>+'q34'!$L$48</f>
        <v>1259.4000000000001</v>
      </c>
    </row>
    <row r="424" spans="1:5">
      <c r="A424">
        <f>+'q34'!$L$4</f>
        <v>2023</v>
      </c>
      <c r="B424" t="str">
        <f>+Aux!$A$33</f>
        <v>U - Ativ. org. interna. e outras instituições extra-territoriais</v>
      </c>
      <c r="C424" t="str">
        <f t="shared" si="6"/>
        <v>U</v>
      </c>
      <c r="D424" s="383" t="s">
        <v>263</v>
      </c>
      <c r="E424" s="439">
        <f>+'q34'!$L$49</f>
        <v>3521.63</v>
      </c>
    </row>
    <row r="425" spans="1:5">
      <c r="A425">
        <f>+'q34'!$M$4</f>
        <v>2024</v>
      </c>
      <c r="B425" t="str">
        <f>+Aux!$A$14</f>
        <v xml:space="preserve">A - Agricultura, produção animal, caça, floresta e pesca </v>
      </c>
      <c r="C425" t="str">
        <f t="shared" si="6"/>
        <v>A</v>
      </c>
      <c r="D425" s="383" t="s">
        <v>263</v>
      </c>
      <c r="E425" s="439">
        <f>+'q34'!$M$6</f>
        <v>1210.1300000000001</v>
      </c>
    </row>
    <row r="426" spans="1:5">
      <c r="A426">
        <f>+'q34'!$M$4</f>
        <v>2024</v>
      </c>
      <c r="B426" t="str">
        <f>+Aux!$A$15</f>
        <v>B - Indústrias extrativas</v>
      </c>
      <c r="C426" t="str">
        <f t="shared" si="6"/>
        <v>B</v>
      </c>
      <c r="D426" s="383" t="s">
        <v>263</v>
      </c>
      <c r="E426" s="439">
        <f>+'q34'!$M$7</f>
        <v>2021.23</v>
      </c>
    </row>
    <row r="427" spans="1:5">
      <c r="A427">
        <f>+'q34'!$M$4</f>
        <v>2024</v>
      </c>
      <c r="B427" t="str">
        <f>+Aux!$A$16</f>
        <v>C - Ind. transf.</v>
      </c>
      <c r="C427" t="str">
        <f t="shared" si="6"/>
        <v>C</v>
      </c>
      <c r="D427" s="383" t="s">
        <v>263</v>
      </c>
      <c r="E427" s="439">
        <f>+'q34'!$M$8</f>
        <v>1521.41</v>
      </c>
    </row>
    <row r="428" spans="1:5">
      <c r="A428">
        <f>+'q34'!$M$4</f>
        <v>2024</v>
      </c>
      <c r="B428" t="str">
        <f>+Aux!$A$17</f>
        <v>D - Eletricidade, gás, vapor, água quente e fria e ar frio</v>
      </c>
      <c r="C428" t="str">
        <f t="shared" si="6"/>
        <v>D</v>
      </c>
      <c r="D428" s="383" t="s">
        <v>263</v>
      </c>
      <c r="E428" s="439">
        <f>+'q34'!$M$33</f>
        <v>3320.85</v>
      </c>
    </row>
    <row r="429" spans="1:5">
      <c r="A429">
        <f>+'q34'!$M$4</f>
        <v>2024</v>
      </c>
      <c r="B429" t="str">
        <f>+Aux!$A$18</f>
        <v>E - Captação, trat. e dist. água; saneam., gest. resíduos e desp.</v>
      </c>
      <c r="C429" t="str">
        <f t="shared" si="6"/>
        <v>E</v>
      </c>
      <c r="D429" s="383" t="s">
        <v>263</v>
      </c>
      <c r="E429" s="439">
        <f>+'q34'!$M$34</f>
        <v>1478.52</v>
      </c>
    </row>
    <row r="430" spans="1:5">
      <c r="A430">
        <f>+'q34'!$M$4</f>
        <v>2024</v>
      </c>
      <c r="B430" t="str">
        <f>+Aux!$A$19</f>
        <v>F - Construção</v>
      </c>
      <c r="C430" t="str">
        <f t="shared" si="6"/>
        <v>F</v>
      </c>
      <c r="D430" s="383" t="s">
        <v>263</v>
      </c>
      <c r="E430" s="439">
        <f>+'q34'!$M$35</f>
        <v>1336.73</v>
      </c>
    </row>
    <row r="431" spans="1:5">
      <c r="A431">
        <f>+'q34'!$M$4</f>
        <v>2024</v>
      </c>
      <c r="B431" t="str">
        <f>+Aux!$A$20</f>
        <v>G - Com. por grosso e ret. (…)</v>
      </c>
      <c r="C431" t="str">
        <f t="shared" si="6"/>
        <v>G</v>
      </c>
      <c r="D431" s="383" t="s">
        <v>263</v>
      </c>
      <c r="E431" s="439">
        <f>+'q34'!$M$36</f>
        <v>1471.31</v>
      </c>
    </row>
    <row r="432" spans="1:5">
      <c r="A432">
        <f>+'q34'!$M$4</f>
        <v>2024</v>
      </c>
      <c r="B432" t="str">
        <f>+Aux!$A$21</f>
        <v>H - Transportes e armazenagem</v>
      </c>
      <c r="C432" t="str">
        <f t="shared" si="6"/>
        <v>H</v>
      </c>
      <c r="D432" s="383" t="s">
        <v>263</v>
      </c>
      <c r="E432" s="439">
        <f>+'q34'!$M$37</f>
        <v>1856.48</v>
      </c>
    </row>
    <row r="433" spans="1:5">
      <c r="A433">
        <f>+'q34'!$M$4</f>
        <v>2024</v>
      </c>
      <c r="B433" t="str">
        <f>+Aux!$A$22</f>
        <v>I - Aloj., rest. e sim.</v>
      </c>
      <c r="C433" t="str">
        <f t="shared" si="6"/>
        <v>I</v>
      </c>
      <c r="D433" s="383" t="s">
        <v>263</v>
      </c>
      <c r="E433" s="439">
        <f>+'q34'!$M$38</f>
        <v>1125.3499999999999</v>
      </c>
    </row>
    <row r="434" spans="1:5">
      <c r="A434">
        <f>+'q34'!$M$4</f>
        <v>2024</v>
      </c>
      <c r="B434" t="str">
        <f>+Aux!$A$23</f>
        <v>J - Atividades de informação e de comunicação</v>
      </c>
      <c r="C434" t="str">
        <f t="shared" si="6"/>
        <v>J</v>
      </c>
      <c r="D434" s="383" t="s">
        <v>263</v>
      </c>
      <c r="E434" s="439">
        <f>+'q34'!$M$39</f>
        <v>2565.69</v>
      </c>
    </row>
    <row r="435" spans="1:5">
      <c r="A435">
        <f>+'q34'!$M$4</f>
        <v>2024</v>
      </c>
      <c r="B435" t="str">
        <f>+Aux!$A$24</f>
        <v>K - Atividades financeiras e de seguros</v>
      </c>
      <c r="C435" t="str">
        <f t="shared" si="6"/>
        <v>K</v>
      </c>
      <c r="D435" s="383" t="s">
        <v>263</v>
      </c>
      <c r="E435" s="439">
        <f>+'q34'!$M$40</f>
        <v>2718.01</v>
      </c>
    </row>
    <row r="436" spans="1:5">
      <c r="A436">
        <f>+'q34'!$M$4</f>
        <v>2024</v>
      </c>
      <c r="B436" t="str">
        <f>+Aux!$A$25</f>
        <v>L - Atividades imobiliárias</v>
      </c>
      <c r="C436" t="str">
        <f t="shared" si="6"/>
        <v>L</v>
      </c>
      <c r="D436" s="383" t="s">
        <v>263</v>
      </c>
      <c r="E436" s="439">
        <f>+'q34'!$M$41</f>
        <v>1535.49</v>
      </c>
    </row>
    <row r="437" spans="1:5">
      <c r="A437">
        <f>+'q34'!$M$4</f>
        <v>2024</v>
      </c>
      <c r="B437" t="str">
        <f>+Aux!$A$26</f>
        <v>M - Atividades de consultoria, científicas, técnicas e similares</v>
      </c>
      <c r="C437" t="str">
        <f t="shared" si="6"/>
        <v>M</v>
      </c>
      <c r="D437" s="383" t="s">
        <v>263</v>
      </c>
      <c r="E437" s="439">
        <f>+'q34'!$M$42</f>
        <v>1980.2</v>
      </c>
    </row>
    <row r="438" spans="1:5">
      <c r="A438">
        <f>+'q34'!$M$4</f>
        <v>2024</v>
      </c>
      <c r="B438" t="str">
        <f>+Aux!$A$27</f>
        <v>N - Ativ. Admin. e dos serv. apoio</v>
      </c>
      <c r="C438" t="str">
        <f t="shared" si="6"/>
        <v>N</v>
      </c>
      <c r="D438" s="383" t="s">
        <v>263</v>
      </c>
      <c r="E438" s="439">
        <f>+'q34'!$M$43</f>
        <v>1367.59</v>
      </c>
    </row>
    <row r="439" spans="1:5">
      <c r="A439">
        <f>+'q34'!$M$4</f>
        <v>2024</v>
      </c>
      <c r="B439" t="str">
        <f>+Aux!$A$28</f>
        <v>O - Administração pública e defesa; segurança social obrigatória</v>
      </c>
      <c r="C439" t="str">
        <f t="shared" si="6"/>
        <v>O</v>
      </c>
      <c r="D439" s="383" t="s">
        <v>263</v>
      </c>
      <c r="E439" s="439">
        <f>+'q34'!$M$44</f>
        <v>1479.67</v>
      </c>
    </row>
    <row r="440" spans="1:5">
      <c r="A440">
        <f>+'q34'!$M$4</f>
        <v>2024</v>
      </c>
      <c r="B440" t="str">
        <f>+Aux!$A$29</f>
        <v>P - Educação</v>
      </c>
      <c r="C440" t="str">
        <f t="shared" si="6"/>
        <v>P</v>
      </c>
      <c r="D440" s="383" t="s">
        <v>263</v>
      </c>
      <c r="E440" s="439">
        <f>+'q34'!$M$45</f>
        <v>1682.54</v>
      </c>
    </row>
    <row r="441" spans="1:5">
      <c r="A441">
        <f>+'q34'!$M$4</f>
        <v>2024</v>
      </c>
      <c r="B441" t="str">
        <f>+Aux!$A$30</f>
        <v>Q - Ativ. de saúde humana e apoio social</v>
      </c>
      <c r="C441" t="str">
        <f t="shared" si="6"/>
        <v>Q</v>
      </c>
      <c r="D441" s="383" t="s">
        <v>263</v>
      </c>
      <c r="E441" s="439">
        <f>+'q34'!$M$46</f>
        <v>1396.03</v>
      </c>
    </row>
    <row r="442" spans="1:5">
      <c r="A442">
        <f>+'q34'!$M$4</f>
        <v>2024</v>
      </c>
      <c r="B442" t="str">
        <f>+Aux!$A$31</f>
        <v>R - Atividades artísticas, de espectáculos, desp. e recreativas</v>
      </c>
      <c r="C442" t="str">
        <f t="shared" si="6"/>
        <v>R</v>
      </c>
      <c r="D442" s="383" t="s">
        <v>263</v>
      </c>
      <c r="E442" s="439">
        <f>+'q34'!$M$47</f>
        <v>2222.9899999999998</v>
      </c>
    </row>
    <row r="443" spans="1:5">
      <c r="A443">
        <f>+'q34'!$M$4</f>
        <v>2024</v>
      </c>
      <c r="B443" t="str">
        <f>+Aux!$A$32</f>
        <v>S - Outras atividades de serviços</v>
      </c>
      <c r="C443" t="str">
        <f t="shared" si="6"/>
        <v>S</v>
      </c>
      <c r="D443" s="383" t="s">
        <v>263</v>
      </c>
      <c r="E443" s="439">
        <f>+'q34'!$M$48</f>
        <v>1356.2</v>
      </c>
    </row>
    <row r="444" spans="1:5">
      <c r="A444">
        <f>+'q34'!$M$4</f>
        <v>2024</v>
      </c>
      <c r="B444" t="str">
        <f>+Aux!$A$33</f>
        <v>U - Ativ. org. interna. e outras instituições extra-territoriais</v>
      </c>
      <c r="C444" t="str">
        <f t="shared" si="6"/>
        <v>U</v>
      </c>
      <c r="D444" s="383" t="s">
        <v>263</v>
      </c>
      <c r="E444" s="439">
        <f>+'q34'!$M$49</f>
        <v>3420.75</v>
      </c>
    </row>
    <row r="447" spans="1:5">
      <c r="E447">
        <f>+LARGE(E5:E444,1)</f>
        <v>3521.63</v>
      </c>
    </row>
  </sheetData>
  <pageMargins left="0.7" right="0.7" top="0.75" bottom="0.75" header="0.3" footer="0.3"/>
  <pageSetup paperSize="9" orientation="portrait" horizontalDpi="1200" verticalDpi="1200" r:id="rId5"/>
  <drawing r:id="rId6"/>
  <extLst>
    <ext xmlns:x14="http://schemas.microsoft.com/office/spreadsheetml/2009/9/main" uri="{A8765BA9-456A-4dab-B4F3-ACF838C121DE}">
      <x14:slicerList>
        <x14:slicer r:id="rId7"/>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E6601-5AE3-449C-8519-74811208F932}">
  <sheetPr codeName="Folha81"/>
  <dimension ref="A2:O179"/>
  <sheetViews>
    <sheetView showGridLines="0" topLeftCell="A145" workbookViewId="0">
      <selection activeCell="Y70" sqref="Y70"/>
    </sheetView>
  </sheetViews>
  <sheetFormatPr defaultRowHeight="12.75"/>
  <cols>
    <col min="1" max="1" width="49.140625" customWidth="1"/>
    <col min="2" max="2" width="22.140625" customWidth="1"/>
    <col min="3" max="3" width="35.5703125" customWidth="1"/>
    <col min="4" max="4" width="57.28515625" bestFit="1" customWidth="1"/>
  </cols>
  <sheetData>
    <row r="2" spans="1:15">
      <c r="A2" s="383" t="s">
        <v>218</v>
      </c>
    </row>
    <row r="3" spans="1:15" s="384" customFormat="1">
      <c r="B3" s="384">
        <f>+'q1'!$C$4</f>
        <v>2014</v>
      </c>
      <c r="C3" s="384">
        <f>+'q1'!$D$4</f>
        <v>2015</v>
      </c>
      <c r="D3" s="384">
        <f>+'q1'!$E$4</f>
        <v>2016</v>
      </c>
      <c r="E3" s="384">
        <f>+'q1'!$F$4</f>
        <v>2017</v>
      </c>
      <c r="F3" s="384">
        <f>+'q1'!$G$4</f>
        <v>2018</v>
      </c>
      <c r="G3" s="384">
        <f>+'q1'!$H$4</f>
        <v>2019</v>
      </c>
      <c r="H3" s="384">
        <f>+'q1'!$I$4</f>
        <v>2020</v>
      </c>
      <c r="I3" s="384">
        <f>+'q1'!$J$4</f>
        <v>2021</v>
      </c>
      <c r="J3" s="384">
        <f>+'q1'!$K$4</f>
        <v>2022</v>
      </c>
      <c r="K3" s="384">
        <f>+'q1'!$L$4</f>
        <v>2023</v>
      </c>
      <c r="L3" s="384">
        <f>+'q1'!$M$4</f>
        <v>2024</v>
      </c>
    </row>
    <row r="4" spans="1:15">
      <c r="A4" s="383" t="s">
        <v>215</v>
      </c>
      <c r="B4">
        <f>+'q1'!$C$5</f>
        <v>270181</v>
      </c>
      <c r="C4">
        <f>+'q1'!$D$5</f>
        <v>273060</v>
      </c>
      <c r="D4">
        <f>+'q1'!$E$5</f>
        <v>276332</v>
      </c>
      <c r="E4">
        <f>+'q1'!$F$5</f>
        <v>279191</v>
      </c>
      <c r="F4">
        <f>+'q1'!$G$5</f>
        <v>282236</v>
      </c>
      <c r="G4">
        <f>+'q1'!$H$5</f>
        <v>275751</v>
      </c>
      <c r="H4">
        <f>+'q1'!$I$5</f>
        <v>277641</v>
      </c>
      <c r="I4">
        <f>+'q1'!$J$5</f>
        <v>271806</v>
      </c>
      <c r="J4">
        <f>+'q1'!$K$5</f>
        <v>284860</v>
      </c>
      <c r="K4">
        <f>+'q1'!$L$5</f>
        <v>291252</v>
      </c>
      <c r="L4">
        <f>+'q1'!$M$5</f>
        <v>288763</v>
      </c>
    </row>
    <row r="5" spans="1:15">
      <c r="A5" s="383" t="s">
        <v>216</v>
      </c>
      <c r="B5">
        <f>+'q5'!$C$5</f>
        <v>318886</v>
      </c>
      <c r="C5">
        <f>+'q5'!$D$5</f>
        <v>321500</v>
      </c>
      <c r="D5">
        <f>+'q5'!$E$5</f>
        <v>324933</v>
      </c>
      <c r="E5">
        <f>+'q5'!$F$5</f>
        <v>327295</v>
      </c>
      <c r="F5">
        <f>+'q5'!$G$5</f>
        <v>330668</v>
      </c>
      <c r="G5">
        <f>+'q5'!$H$5</f>
        <v>322978</v>
      </c>
      <c r="H5">
        <f>+'q5'!$I$5</f>
        <v>324959</v>
      </c>
      <c r="I5">
        <f>+'q5'!$J$5</f>
        <v>318254</v>
      </c>
      <c r="J5">
        <f>+'q5'!$K$5</f>
        <v>332683</v>
      </c>
      <c r="K5">
        <f>+'q5'!$L$5</f>
        <v>340364</v>
      </c>
      <c r="L5">
        <f>+'q5'!$M$5</f>
        <v>338026</v>
      </c>
    </row>
    <row r="6" spans="1:15">
      <c r="A6" s="383" t="s">
        <v>217</v>
      </c>
      <c r="B6">
        <f>+'q9'!$C$5</f>
        <v>2636881</v>
      </c>
      <c r="C6">
        <f>+'q9'!$D$5</f>
        <v>2716011</v>
      </c>
      <c r="D6">
        <f>+'q9'!$E$5</f>
        <v>2819978</v>
      </c>
      <c r="E6">
        <f>+'q9'!$F$5</f>
        <v>2946903</v>
      </c>
      <c r="F6">
        <f>+'q9'!$G$5</f>
        <v>3060489</v>
      </c>
      <c r="G6">
        <f>+'q9'!$H$5</f>
        <v>3110949</v>
      </c>
      <c r="H6">
        <f>+'q9'!$I$5</f>
        <v>3085566</v>
      </c>
      <c r="I6">
        <f>+'q9'!$J$5</f>
        <v>3102345</v>
      </c>
      <c r="J6">
        <f>+'q9'!$K$5</f>
        <v>3337082</v>
      </c>
      <c r="K6">
        <f>+'q9'!$L$5</f>
        <v>3489583</v>
      </c>
      <c r="L6">
        <f>+'q9'!$M$5</f>
        <v>3544955</v>
      </c>
    </row>
    <row r="7" spans="1:15">
      <c r="A7" s="383" t="s">
        <v>182</v>
      </c>
      <c r="B7">
        <f>+'q13'!$C$5</f>
        <v>2458163</v>
      </c>
      <c r="C7">
        <f>+'q13'!$D$5</f>
        <v>2537653</v>
      </c>
      <c r="D7">
        <f>+'q13'!$E$5</f>
        <v>2641919</v>
      </c>
      <c r="E7">
        <f>+'q13'!$F$5</f>
        <v>2767521</v>
      </c>
      <c r="F7">
        <f>+'q13'!$G$5</f>
        <v>2877918</v>
      </c>
      <c r="G7">
        <f>+'q13'!$H$5</f>
        <v>2930482</v>
      </c>
      <c r="H7">
        <f>+'q13'!$I$5</f>
        <v>2902825</v>
      </c>
      <c r="I7">
        <f>+'q13'!$J$5</f>
        <v>2922343</v>
      </c>
      <c r="J7">
        <f>+'q13'!$K$5</f>
        <v>3148147</v>
      </c>
      <c r="K7">
        <f>+'q13'!$L$5</f>
        <v>3296134</v>
      </c>
      <c r="L7">
        <f>+'q13'!$M$5</f>
        <v>3354136</v>
      </c>
    </row>
    <row r="9" spans="1:15">
      <c r="A9" s="384" t="s">
        <v>104</v>
      </c>
    </row>
    <row r="10" spans="1:15">
      <c r="A10" s="384" t="s">
        <v>565</v>
      </c>
    </row>
    <row r="11" spans="1:15">
      <c r="A11" s="384" t="s">
        <v>665</v>
      </c>
    </row>
    <row r="12" spans="1:15">
      <c r="A12" s="384" t="s">
        <v>575</v>
      </c>
    </row>
    <row r="13" spans="1:15">
      <c r="A13" s="384" t="s">
        <v>203</v>
      </c>
      <c r="E13" s="384"/>
      <c r="F13" s="384"/>
      <c r="G13" s="384"/>
      <c r="H13" s="384"/>
      <c r="I13" s="384"/>
      <c r="J13" s="384"/>
      <c r="K13" s="384"/>
      <c r="L13" s="384"/>
      <c r="M13" s="384"/>
      <c r="N13" s="384"/>
      <c r="O13" s="384"/>
    </row>
    <row r="14" spans="1:15">
      <c r="A14" t="str">
        <f>B14&amp;" - "&amp;Aux!D14</f>
        <v xml:space="preserve">A - Agricultura, produção animal, caça, floresta e pesca </v>
      </c>
      <c r="B14" t="str">
        <f>+'q1'!A6</f>
        <v>A</v>
      </c>
      <c r="C14" t="str">
        <f>+'q1'!B6</f>
        <v>Agr., pr. animal, caça, flor. pesca</v>
      </c>
      <c r="D14" t="s">
        <v>206</v>
      </c>
    </row>
    <row r="15" spans="1:15">
      <c r="A15" t="str">
        <f>B15&amp;" - "&amp;Aux!D15</f>
        <v>B - Indústrias extrativas</v>
      </c>
      <c r="B15" t="str">
        <f>+'q1'!A7</f>
        <v>B</v>
      </c>
      <c r="C15" t="str">
        <f>+'q1'!B7</f>
        <v>Indústrias extrativas</v>
      </c>
      <c r="D15" s="383" t="s">
        <v>101</v>
      </c>
    </row>
    <row r="16" spans="1:15">
      <c r="A16" t="str">
        <f>B16&amp;" - "&amp;Aux!D16</f>
        <v>C - Ind. transf.</v>
      </c>
      <c r="B16" t="str">
        <f>+'q1'!A8</f>
        <v>C</v>
      </c>
      <c r="C16" t="str">
        <f>+'q1'!B8</f>
        <v>Indústrias transformadoras</v>
      </c>
      <c r="D16" s="383" t="s">
        <v>724</v>
      </c>
    </row>
    <row r="17" spans="1:4">
      <c r="A17" t="str">
        <f>B17&amp;" - "&amp;Aux!D17</f>
        <v>D - Eletricidade, gás, vapor, água quente e fria e ar frio</v>
      </c>
      <c r="B17" t="str">
        <f>+'q1'!A33</f>
        <v>D</v>
      </c>
      <c r="C17" t="str">
        <f>+'q1'!B33</f>
        <v>Eletr., gás, ág. quente/fria e ar frio</v>
      </c>
      <c r="D17" s="383" t="s">
        <v>207</v>
      </c>
    </row>
    <row r="18" spans="1:4">
      <c r="A18" t="str">
        <f>B18&amp;" - "&amp;Aux!D18</f>
        <v>E - Captação, trat. e dist. água; saneam., gest. resíduos e desp.</v>
      </c>
      <c r="B18" t="str">
        <f>+'q1'!A34</f>
        <v>E</v>
      </c>
      <c r="C18" t="str">
        <f>+'q1'!B34</f>
        <v>Capt., trat. e d. água; san., resíd.</v>
      </c>
      <c r="D18" t="s">
        <v>208</v>
      </c>
    </row>
    <row r="19" spans="1:4">
      <c r="A19" t="str">
        <f>B19&amp;" - "&amp;Aux!D19</f>
        <v>F - Construção</v>
      </c>
      <c r="B19" t="str">
        <f>+'q1'!A35</f>
        <v>F</v>
      </c>
      <c r="C19" t="str">
        <f>+'q1'!B35</f>
        <v>Construção</v>
      </c>
      <c r="D19" t="s">
        <v>78</v>
      </c>
    </row>
    <row r="20" spans="1:4">
      <c r="A20" t="str">
        <f>B20&amp;" - "&amp;Aux!D20</f>
        <v>G - Com. por grosso e ret. (…)</v>
      </c>
      <c r="B20" t="str">
        <f>+'q1'!A36</f>
        <v>G</v>
      </c>
      <c r="C20" t="str">
        <f>+'q1'!B36</f>
        <v>Com. grosso e ret.; r.v.aut./moto.</v>
      </c>
      <c r="D20" s="383" t="s">
        <v>725</v>
      </c>
    </row>
    <row r="21" spans="1:4">
      <c r="A21" t="str">
        <f>B21&amp;" - "&amp;Aux!D21</f>
        <v>H - Transportes e armazenagem</v>
      </c>
      <c r="B21" t="str">
        <f>+'q1'!A37</f>
        <v>H</v>
      </c>
      <c r="C21" t="str">
        <f>+'q1'!B37</f>
        <v>Transportes e armazenagem</v>
      </c>
      <c r="D21" t="s">
        <v>92</v>
      </c>
    </row>
    <row r="22" spans="1:4">
      <c r="A22" t="str">
        <f>B22&amp;" - "&amp;Aux!D22</f>
        <v>I - Aloj., rest. e sim.</v>
      </c>
      <c r="B22" t="str">
        <f>+'q1'!A38</f>
        <v>I</v>
      </c>
      <c r="C22" t="str">
        <f>+'q1'!B38</f>
        <v>Alojamento, restauração e sim.</v>
      </c>
      <c r="D22" s="383" t="s">
        <v>913</v>
      </c>
    </row>
    <row r="23" spans="1:4">
      <c r="A23" t="str">
        <f>B23&amp;" - "&amp;Aux!D23</f>
        <v>J - Atividades de informação e de comunicação</v>
      </c>
      <c r="B23" t="str">
        <f>+'q1'!A39</f>
        <v>J</v>
      </c>
      <c r="C23" t="str">
        <f>+'q1'!B39</f>
        <v xml:space="preserve">Ativ. Inform. e de comunicação </v>
      </c>
      <c r="D23" t="s">
        <v>209</v>
      </c>
    </row>
    <row r="24" spans="1:4">
      <c r="A24" t="str">
        <f>B24&amp;" - "&amp;Aux!D24</f>
        <v>K - Atividades financeiras e de seguros</v>
      </c>
      <c r="B24" t="str">
        <f>+'q1'!A40</f>
        <v>K</v>
      </c>
      <c r="C24" t="str">
        <f>+'q1'!B40</f>
        <v>Ativ. financeiras e de seguros</v>
      </c>
      <c r="D24" s="383" t="s">
        <v>210</v>
      </c>
    </row>
    <row r="25" spans="1:4">
      <c r="A25" t="str">
        <f>B25&amp;" - "&amp;Aux!D25</f>
        <v>L - Atividades imobiliárias</v>
      </c>
      <c r="B25" t="str">
        <f>+'q1'!A41</f>
        <v>L</v>
      </c>
      <c r="C25" t="str">
        <f>+'q1'!B41</f>
        <v>Atividades imobiliárias</v>
      </c>
      <c r="D25" t="s">
        <v>102</v>
      </c>
    </row>
    <row r="26" spans="1:4">
      <c r="A26" t="str">
        <f>B26&amp;" - "&amp;Aux!D26</f>
        <v>M - Atividades de consultoria, científicas, técnicas e similares</v>
      </c>
      <c r="B26" t="str">
        <f>+'q1'!A42</f>
        <v>M</v>
      </c>
      <c r="C26" t="str">
        <f>+'q1'!B42</f>
        <v>Ativ. consultoria, cient.,téc. e sim.</v>
      </c>
      <c r="D26" t="s">
        <v>211</v>
      </c>
    </row>
    <row r="27" spans="1:4">
      <c r="A27" t="str">
        <f>B27&amp;" - "&amp;Aux!D27</f>
        <v>N - Ativ. Admin. e dos serv. apoio</v>
      </c>
      <c r="B27" t="str">
        <f>+'q1'!A43</f>
        <v>N</v>
      </c>
      <c r="C27" t="str">
        <f>+'q1'!B43</f>
        <v>Ativ. Adm. e serviços de apoio</v>
      </c>
      <c r="D27" s="383" t="s">
        <v>727</v>
      </c>
    </row>
    <row r="28" spans="1:4">
      <c r="A28" t="str">
        <f>B28&amp;" - "&amp;Aux!D28</f>
        <v>O - Administração pública e defesa; segurança social obrigatória</v>
      </c>
      <c r="B28" t="str">
        <f>+'q1'!A44</f>
        <v>O</v>
      </c>
      <c r="C28" t="str">
        <f>+'q1'!B44</f>
        <v xml:space="preserve">Adm. Púb. e defesa; seg. social </v>
      </c>
      <c r="D28" t="s">
        <v>212</v>
      </c>
    </row>
    <row r="29" spans="1:4">
      <c r="A29" t="str">
        <f>B29&amp;" - "&amp;Aux!D29</f>
        <v>P - Educação</v>
      </c>
      <c r="B29" t="str">
        <f>+'q1'!A45</f>
        <v>P</v>
      </c>
      <c r="C29" t="str">
        <f>+'q1'!B45</f>
        <v>Educação</v>
      </c>
      <c r="D29" t="s">
        <v>83</v>
      </c>
    </row>
    <row r="30" spans="1:4">
      <c r="A30" t="str">
        <f>B30&amp;" - "&amp;Aux!D30</f>
        <v>Q - Ativ. de saúde humana e apoio social</v>
      </c>
      <c r="B30" t="str">
        <f>+'q1'!A46</f>
        <v>Q</v>
      </c>
      <c r="C30" t="str">
        <f>+'q1'!B46</f>
        <v>Ativ. saúde humana e apoio social</v>
      </c>
      <c r="D30" s="383" t="s">
        <v>447</v>
      </c>
    </row>
    <row r="31" spans="1:4">
      <c r="A31" t="str">
        <f>B31&amp;" - "&amp;Aux!D31</f>
        <v>R - Atividades artísticas, de espectáculos, desp. e recreativas</v>
      </c>
      <c r="B31" t="str">
        <f>+'q1'!A47</f>
        <v>R</v>
      </c>
      <c r="C31" t="str">
        <f>+'q1'!B47</f>
        <v>Ativ. artíst., espet., desp. e recr.</v>
      </c>
      <c r="D31" t="s">
        <v>213</v>
      </c>
    </row>
    <row r="32" spans="1:4">
      <c r="A32" t="str">
        <f>B32&amp;" - "&amp;Aux!D32</f>
        <v>S - Outras atividades de serviços</v>
      </c>
      <c r="B32" t="str">
        <f>+'q1'!A48</f>
        <v>S</v>
      </c>
      <c r="C32" t="str">
        <f>+'q1'!B48</f>
        <v>Outras atividades de serviços</v>
      </c>
      <c r="D32" t="s">
        <v>103</v>
      </c>
    </row>
    <row r="33" spans="1:6">
      <c r="A33" t="str">
        <f>B33&amp;" - "&amp;Aux!D33</f>
        <v>U - Ativ. org. interna. e outras instituições extra-territoriais</v>
      </c>
      <c r="B33" t="str">
        <f>+'q1'!A49</f>
        <v>U</v>
      </c>
      <c r="C33" t="str">
        <f>+'q1'!B49</f>
        <v>Ativ. org. int. e o. inst. extra-territ.</v>
      </c>
      <c r="D33" t="s">
        <v>214</v>
      </c>
    </row>
    <row r="37" spans="1:6">
      <c r="A37" s="384" t="s">
        <v>189</v>
      </c>
    </row>
    <row r="38" spans="1:6">
      <c r="A38" s="384" t="s">
        <v>566</v>
      </c>
    </row>
    <row r="39" spans="1:6">
      <c r="A39" s="384" t="s">
        <v>572</v>
      </c>
    </row>
    <row r="40" spans="1:6">
      <c r="A40" s="384" t="s">
        <v>577</v>
      </c>
    </row>
    <row r="42" spans="1:6" ht="15">
      <c r="A42" s="385" t="s">
        <v>220</v>
      </c>
      <c r="B42" s="385" t="s">
        <v>221</v>
      </c>
      <c r="C42" s="387" t="s">
        <v>222</v>
      </c>
      <c r="D42" s="387" t="s">
        <v>241</v>
      </c>
      <c r="F42" s="386"/>
    </row>
    <row r="43" spans="1:6">
      <c r="A43" s="388" t="s">
        <v>223</v>
      </c>
      <c r="B43" s="389" t="s">
        <v>224</v>
      </c>
      <c r="C43" s="387" t="s">
        <v>225</v>
      </c>
      <c r="D43" s="387" t="s">
        <v>260</v>
      </c>
      <c r="F43" s="386"/>
    </row>
    <row r="44" spans="1:6">
      <c r="A44" s="388" t="s">
        <v>226</v>
      </c>
      <c r="B44" s="389" t="s">
        <v>227</v>
      </c>
      <c r="C44" s="387" t="s">
        <v>228</v>
      </c>
      <c r="D44" s="387" t="s">
        <v>242</v>
      </c>
      <c r="F44" s="386"/>
    </row>
    <row r="45" spans="1:6">
      <c r="A45" s="390" t="s">
        <v>229</v>
      </c>
      <c r="B45" s="389" t="s">
        <v>230</v>
      </c>
      <c r="C45" s="387" t="s">
        <v>231</v>
      </c>
      <c r="D45" s="387" t="s">
        <v>223</v>
      </c>
      <c r="F45" s="386"/>
    </row>
    <row r="46" spans="1:6">
      <c r="A46" s="390" t="s">
        <v>232</v>
      </c>
      <c r="B46" s="389" t="s">
        <v>233</v>
      </c>
      <c r="C46" s="387" t="s">
        <v>234</v>
      </c>
      <c r="D46" s="387" t="s">
        <v>234</v>
      </c>
      <c r="F46" s="386"/>
    </row>
    <row r="50" spans="1:2">
      <c r="A50" t="str">
        <f>+'q23'!B8</f>
        <v>T</v>
      </c>
      <c r="B50" s="384" t="str">
        <f>+A50&amp;"otal"</f>
        <v>Total</v>
      </c>
    </row>
    <row r="51" spans="1:2">
      <c r="A51" t="str">
        <f>+'q23'!B9</f>
        <v>H</v>
      </c>
      <c r="B51" s="384" t="str">
        <f>+A51&amp;"omens"</f>
        <v>Homens</v>
      </c>
    </row>
    <row r="52" spans="1:2">
      <c r="A52" t="str">
        <f>+'q23'!B10</f>
        <v>M</v>
      </c>
      <c r="B52" s="384" t="str">
        <f>+A52&amp;"ulheres"</f>
        <v>Mulheres</v>
      </c>
    </row>
    <row r="59" spans="1:2">
      <c r="A59" s="384" t="s">
        <v>191</v>
      </c>
    </row>
    <row r="60" spans="1:2">
      <c r="A60" s="384" t="s">
        <v>567</v>
      </c>
    </row>
    <row r="61" spans="1:2">
      <c r="A61" s="384" t="s">
        <v>573</v>
      </c>
    </row>
    <row r="62" spans="1:2">
      <c r="A62" s="384" t="s">
        <v>578</v>
      </c>
    </row>
    <row r="63" spans="1:2">
      <c r="A63" s="384" t="s">
        <v>235</v>
      </c>
    </row>
    <row r="64" spans="1:2">
      <c r="A64" t="str">
        <f>+'q3'!$A$6</f>
        <v>Aveiro</v>
      </c>
    </row>
    <row r="65" spans="1:1">
      <c r="A65" t="str">
        <f>+'q3'!$A$7</f>
        <v>Beja</v>
      </c>
    </row>
    <row r="66" spans="1:1">
      <c r="A66" t="str">
        <f>+'q3'!$A$8</f>
        <v>Braga</v>
      </c>
    </row>
    <row r="67" spans="1:1">
      <c r="A67" t="str">
        <f>+'q3'!$A$9</f>
        <v>Bragança</v>
      </c>
    </row>
    <row r="68" spans="1:1">
      <c r="A68" t="str">
        <f>+'q3'!$A$10</f>
        <v>Castelo Branco</v>
      </c>
    </row>
    <row r="69" spans="1:1">
      <c r="A69" t="str">
        <f>+'q3'!$A$11</f>
        <v>Coimbra</v>
      </c>
    </row>
    <row r="70" spans="1:1">
      <c r="A70" t="str">
        <f>+'q3'!$A$12</f>
        <v>Évora</v>
      </c>
    </row>
    <row r="71" spans="1:1">
      <c r="A71" t="str">
        <f>+'q3'!$A$13</f>
        <v>Faro</v>
      </c>
    </row>
    <row r="72" spans="1:1">
      <c r="A72" t="str">
        <f>+'q3'!$A$14</f>
        <v>Guarda</v>
      </c>
    </row>
    <row r="73" spans="1:1">
      <c r="A73" t="str">
        <f>+'q3'!$A$15</f>
        <v>Leiria</v>
      </c>
    </row>
    <row r="74" spans="1:1">
      <c r="A74" t="str">
        <f>+'q3'!$A$16</f>
        <v>Lisboa</v>
      </c>
    </row>
    <row r="75" spans="1:1">
      <c r="A75" t="str">
        <f>+'q3'!$A$17</f>
        <v>Portalegre</v>
      </c>
    </row>
    <row r="76" spans="1:1">
      <c r="A76" t="str">
        <f>+'q3'!$A$18</f>
        <v>Porto</v>
      </c>
    </row>
    <row r="77" spans="1:1">
      <c r="A77" t="str">
        <f>+'q3'!$A$19</f>
        <v>Santarém</v>
      </c>
    </row>
    <row r="78" spans="1:1">
      <c r="A78" t="str">
        <f>+'q3'!$A$20</f>
        <v>Setúbal</v>
      </c>
    </row>
    <row r="79" spans="1:1">
      <c r="A79" t="str">
        <f>+'q3'!$A$21</f>
        <v>Viana do Castelo</v>
      </c>
    </row>
    <row r="80" spans="1:1">
      <c r="A80" t="str">
        <f>+'q3'!$A$22</f>
        <v>Vila Real</v>
      </c>
    </row>
    <row r="81" spans="1:2">
      <c r="A81" t="str">
        <f>+'q3'!$A$23</f>
        <v>Viseu</v>
      </c>
    </row>
    <row r="84" spans="1:2">
      <c r="A84" s="384" t="s">
        <v>580</v>
      </c>
    </row>
    <row r="85" spans="1:2">
      <c r="A85" s="384" t="s">
        <v>641</v>
      </c>
    </row>
    <row r="86" spans="1:2">
      <c r="A86" s="384" t="s">
        <v>666</v>
      </c>
    </row>
    <row r="87" spans="1:2">
      <c r="A87" s="384" t="s">
        <v>337</v>
      </c>
    </row>
    <row r="88" spans="1:2">
      <c r="A88" s="383" t="str">
        <f>+'q17'!$A$8</f>
        <v>&lt; 18 anos</v>
      </c>
      <c r="B88" s="384" t="s">
        <v>54</v>
      </c>
    </row>
    <row r="89" spans="1:2">
      <c r="A89" s="383" t="str">
        <f>+'q17'!$A$11</f>
        <v>18-24 anos</v>
      </c>
      <c r="B89" s="384" t="s">
        <v>338</v>
      </c>
    </row>
    <row r="90" spans="1:2">
      <c r="A90" s="383" t="str">
        <f>+'q17'!$A$14</f>
        <v>25-29 anos</v>
      </c>
      <c r="B90" s="384" t="s">
        <v>339</v>
      </c>
    </row>
    <row r="91" spans="1:2">
      <c r="A91" s="383" t="str">
        <f>+'q17'!$A$17</f>
        <v>30-34 anos</v>
      </c>
      <c r="B91" s="384" t="s">
        <v>340</v>
      </c>
    </row>
    <row r="92" spans="1:2">
      <c r="A92" s="383" t="str">
        <f>+'q17'!$A$20</f>
        <v>35-39 anos</v>
      </c>
      <c r="B92" s="384" t="s">
        <v>341</v>
      </c>
    </row>
    <row r="93" spans="1:2">
      <c r="A93" s="383" t="str">
        <f>+'q17'!$A$23</f>
        <v>40-44 anos</v>
      </c>
      <c r="B93" s="384" t="s">
        <v>342</v>
      </c>
    </row>
    <row r="94" spans="1:2">
      <c r="A94" s="383" t="str">
        <f>+'q17'!$A$26</f>
        <v>45-49 anos</v>
      </c>
      <c r="B94" s="384" t="s">
        <v>64</v>
      </c>
    </row>
    <row r="95" spans="1:2">
      <c r="A95" s="383" t="str">
        <f>+'q17'!$A$29</f>
        <v>50-54 anos</v>
      </c>
      <c r="B95" s="384" t="s">
        <v>11</v>
      </c>
    </row>
    <row r="96" spans="1:2">
      <c r="A96" s="383" t="str">
        <f>+'q17'!$A$32</f>
        <v>55-59 anos</v>
      </c>
    </row>
    <row r="97" spans="1:3">
      <c r="A97" s="383" t="str">
        <f>+'q17'!$A$35</f>
        <v>60-64 anos</v>
      </c>
    </row>
    <row r="98" spans="1:3">
      <c r="A98" s="383" t="str">
        <f>+'q17'!$A$38</f>
        <v>65 e + anos</v>
      </c>
    </row>
    <row r="103" spans="1:3">
      <c r="A103" s="384" t="s">
        <v>581</v>
      </c>
    </row>
    <row r="104" spans="1:3">
      <c r="A104" s="384" t="s">
        <v>643</v>
      </c>
    </row>
    <row r="105" spans="1:3">
      <c r="A105" s="384" t="s">
        <v>652</v>
      </c>
    </row>
    <row r="107" spans="1:3">
      <c r="A107" s="38" t="str">
        <f>+'q18'!A8</f>
        <v>Quadros superiores</v>
      </c>
      <c r="B107" s="38" t="s">
        <v>47</v>
      </c>
      <c r="C107" t="str">
        <f>+A107</f>
        <v>Quadros superiores</v>
      </c>
    </row>
    <row r="108" spans="1:3">
      <c r="A108" s="38" t="str">
        <f>+'q18'!A11</f>
        <v>Quadros médios</v>
      </c>
      <c r="B108" s="38" t="s">
        <v>48</v>
      </c>
      <c r="C108" t="str">
        <f t="shared" ref="C108:C115" si="0">+A108</f>
        <v>Quadros médios</v>
      </c>
    </row>
    <row r="109" spans="1:3">
      <c r="A109" s="38" t="str">
        <f>+'q18'!A14</f>
        <v>Encar. contram. mest.e chefes</v>
      </c>
      <c r="B109" s="38" t="s">
        <v>352</v>
      </c>
      <c r="C109" t="str">
        <f t="shared" si="0"/>
        <v>Encar. contram. mest.e chefes</v>
      </c>
    </row>
    <row r="110" spans="1:3">
      <c r="A110" s="38" t="str">
        <f>+'q18'!A17</f>
        <v>Profis. altam. qualificados</v>
      </c>
      <c r="B110" s="38" t="s">
        <v>350</v>
      </c>
      <c r="C110" t="str">
        <f t="shared" si="0"/>
        <v>Profis. altam. qualificados</v>
      </c>
    </row>
    <row r="111" spans="1:3">
      <c r="A111" s="38" t="str">
        <f>+'q18'!A20</f>
        <v>Profissionais qualificados</v>
      </c>
      <c r="B111" s="38" t="s">
        <v>49</v>
      </c>
      <c r="C111" t="str">
        <f t="shared" si="0"/>
        <v>Profissionais qualificados</v>
      </c>
    </row>
    <row r="112" spans="1:3">
      <c r="A112" s="38" t="str">
        <f>+'q18'!A23</f>
        <v>Profis. semi-qualificados</v>
      </c>
      <c r="B112" s="38" t="s">
        <v>351</v>
      </c>
      <c r="C112" t="str">
        <f t="shared" si="0"/>
        <v>Profis. semi-qualificados</v>
      </c>
    </row>
    <row r="113" spans="1:3">
      <c r="A113" s="38" t="str">
        <f>+'q18'!A26</f>
        <v>Profissionais não qualificados</v>
      </c>
      <c r="B113" s="38" t="s">
        <v>50</v>
      </c>
      <c r="C113" t="str">
        <f t="shared" si="0"/>
        <v>Profissionais não qualificados</v>
      </c>
    </row>
    <row r="114" spans="1:3">
      <c r="A114" s="38" t="str">
        <f>+'q18'!A29</f>
        <v>Praticantes e aprendizes</v>
      </c>
      <c r="B114" s="38" t="s">
        <v>51</v>
      </c>
      <c r="C114" t="str">
        <f t="shared" si="0"/>
        <v>Praticantes e aprendizes</v>
      </c>
    </row>
    <row r="115" spans="1:3">
      <c r="A115" s="383" t="s">
        <v>11</v>
      </c>
      <c r="B115" s="38" t="s">
        <v>11</v>
      </c>
      <c r="C115" t="str">
        <f t="shared" si="0"/>
        <v>Total</v>
      </c>
    </row>
    <row r="119" spans="1:3">
      <c r="A119" s="384" t="s">
        <v>654</v>
      </c>
    </row>
    <row r="121" spans="1:3">
      <c r="A121" s="318" t="str">
        <f>+'q41'!$A$10</f>
        <v>&lt;1.º ciclo do ensino básico</v>
      </c>
      <c r="B121" s="466" t="s">
        <v>356</v>
      </c>
    </row>
    <row r="122" spans="1:3">
      <c r="A122" s="318" t="str">
        <f>+'q41'!$A$15</f>
        <v>Ensino básico</v>
      </c>
      <c r="B122" s="466" t="s">
        <v>188</v>
      </c>
    </row>
    <row r="123" spans="1:3">
      <c r="A123" s="318" t="str">
        <f>+'q41'!$A$20</f>
        <v>Ensino secundário + pós sec. não superior nível IV</v>
      </c>
      <c r="B123" s="466" t="s">
        <v>192</v>
      </c>
    </row>
    <row r="124" spans="1:3">
      <c r="A124" s="318" t="str">
        <f>+'q41'!$A$25</f>
        <v>Ensino superior (2)</v>
      </c>
      <c r="B124" s="466" t="s">
        <v>357</v>
      </c>
    </row>
    <row r="125" spans="1:3">
      <c r="A125" s="318" t="str">
        <f>+'q41'!$A$30</f>
        <v>Ignorado</v>
      </c>
      <c r="B125" s="466" t="s">
        <v>12</v>
      </c>
    </row>
    <row r="126" spans="1:3">
      <c r="A126" s="318" t="str">
        <f>+'q41'!$A$5</f>
        <v>Total</v>
      </c>
      <c r="B126" s="466" t="s">
        <v>11</v>
      </c>
    </row>
    <row r="130" spans="1:2">
      <c r="A130" s="384" t="s">
        <v>667</v>
      </c>
    </row>
    <row r="131" spans="1:2">
      <c r="A131" s="384" t="s">
        <v>651</v>
      </c>
    </row>
    <row r="133" spans="1:2">
      <c r="A133" t="str">
        <f>+'q21'!$A$6</f>
        <v>&lt; RMMG</v>
      </c>
      <c r="B133" s="423" t="s">
        <v>117</v>
      </c>
    </row>
    <row r="134" spans="1:2">
      <c r="A134" t="str">
        <f>+'q21'!$A$7</f>
        <v xml:space="preserve"> = RMMG</v>
      </c>
      <c r="B134" s="423" t="s">
        <v>118</v>
      </c>
    </row>
    <row r="135" spans="1:2">
      <c r="A135" s="472" t="str">
        <f>+'q21'!$A$8</f>
        <v>&gt;RMMG e &lt;= 999,99 €</v>
      </c>
      <c r="B135" s="423" t="s">
        <v>634</v>
      </c>
    </row>
    <row r="136" spans="1:2">
      <c r="A136" t="str">
        <f>+'q21'!$A$9</f>
        <v>1 000,00 - 1 499,99  €</v>
      </c>
      <c r="B136" s="423" t="s">
        <v>173</v>
      </c>
    </row>
    <row r="137" spans="1:2">
      <c r="A137" t="str">
        <f>+'q21'!$A$10</f>
        <v>1 500,00 - 2 499,99  €</v>
      </c>
      <c r="B137" s="423" t="s">
        <v>174</v>
      </c>
    </row>
    <row r="138" spans="1:2">
      <c r="A138" t="str">
        <f>+'q21'!$A$11</f>
        <v>2 500,00 - 3 749,99  €</v>
      </c>
      <c r="B138" s="423" t="s">
        <v>175</v>
      </c>
    </row>
    <row r="139" spans="1:2">
      <c r="A139" t="str">
        <f>+'q21'!$A$12</f>
        <v>3 750,00 - 4 999,99 €</v>
      </c>
      <c r="B139" s="423" t="s">
        <v>176</v>
      </c>
    </row>
    <row r="140" spans="1:2">
      <c r="A140" t="str">
        <f>+'q21'!$A$13</f>
        <v>5 000,00 e +  Euros</v>
      </c>
      <c r="B140" s="423" t="s">
        <v>177</v>
      </c>
    </row>
    <row r="146" spans="1:2">
      <c r="A146" s="384" t="s">
        <v>668</v>
      </c>
    </row>
    <row r="147" spans="1:2">
      <c r="A147" s="384" t="s">
        <v>669</v>
      </c>
    </row>
    <row r="148" spans="1:2">
      <c r="A148" s="384" t="s">
        <v>670</v>
      </c>
    </row>
    <row r="150" spans="1:2">
      <c r="A150" s="383" t="str">
        <f>+'q20'!$A$5</f>
        <v>Total</v>
      </c>
      <c r="B150" t="s">
        <v>11</v>
      </c>
    </row>
    <row r="151" spans="1:2">
      <c r="A151" s="383" t="str">
        <f>+'q20'!$A$6</f>
        <v>Contrato Coletivo de Trabalho (CCT)</v>
      </c>
      <c r="B151" t="s">
        <v>196</v>
      </c>
    </row>
    <row r="152" spans="1:2">
      <c r="A152" s="383" t="str">
        <f>+'q20'!$A$7</f>
        <v>Acordo Coletivo de Trabalho (ACT)</v>
      </c>
      <c r="B152" t="s">
        <v>197</v>
      </c>
    </row>
    <row r="153" spans="1:2">
      <c r="A153" s="383" t="str">
        <f>+'q20'!$A$8</f>
        <v>Portaria de Cond. de Trabalho (PCT)(2)</v>
      </c>
      <c r="B153" s="383" t="s">
        <v>377</v>
      </c>
    </row>
    <row r="154" spans="1:2">
      <c r="A154" s="383" t="str">
        <f>+'q20'!$A$9</f>
        <v>Acordo de Empresa (AE)</v>
      </c>
      <c r="B154" t="s">
        <v>43</v>
      </c>
    </row>
    <row r="155" spans="1:2">
      <c r="A155" s="383" t="str">
        <f>+'q20'!$A$10</f>
        <v>Não Abrangidos por Reg. Coletiva</v>
      </c>
      <c r="B155" t="s">
        <v>198</v>
      </c>
    </row>
    <row r="158" spans="1:2">
      <c r="A158" s="384" t="s">
        <v>582</v>
      </c>
    </row>
    <row r="159" spans="1:2">
      <c r="A159" s="384" t="s">
        <v>648</v>
      </c>
    </row>
    <row r="160" spans="1:2">
      <c r="A160" s="384" t="s">
        <v>649</v>
      </c>
    </row>
    <row r="161" spans="1:4">
      <c r="A161" s="384" t="s">
        <v>653</v>
      </c>
    </row>
    <row r="164" spans="1:4">
      <c r="A164" t="str">
        <f>B164&amp;" - "&amp;Aux!D164</f>
        <v>1 - Representantes do poder legislativo e de órgãos executivos, dirigentes, directores e gestores executivos</v>
      </c>
      <c r="B164">
        <f>+'q19'!$A$6</f>
        <v>1</v>
      </c>
      <c r="C164" t="str">
        <f>+'q19'!$B$6</f>
        <v>Repres. poder leg. e de órgãos exec., dirig., diret. e gestores executivos</v>
      </c>
      <c r="D164" t="s">
        <v>671</v>
      </c>
    </row>
    <row r="165" spans="1:4">
      <c r="A165" t="str">
        <f>B165&amp;" - "&amp;Aux!D165</f>
        <v>2 - Especialistas das actividades intelectuais e científicas</v>
      </c>
      <c r="B165">
        <f>+'q19'!$A$11</f>
        <v>2</v>
      </c>
      <c r="C165" t="str">
        <f>+'q19'!$B$11</f>
        <v>Especial.das ativ.intelet.e cientif.</v>
      </c>
      <c r="D165" t="s">
        <v>672</v>
      </c>
    </row>
    <row r="166" spans="1:4">
      <c r="A166" t="str">
        <f>B166&amp;" - "&amp;Aux!D166</f>
        <v>3 - Técnicos e profissões de nível intermédio</v>
      </c>
      <c r="B166">
        <f>+'q19'!$A$18</f>
        <v>3</v>
      </c>
      <c r="C166" t="str">
        <f>+'q19'!$B$18</f>
        <v>Técn. e prof. de nível intermédio</v>
      </c>
      <c r="D166" t="s">
        <v>673</v>
      </c>
    </row>
    <row r="167" spans="1:4">
      <c r="A167" t="str">
        <f>B167&amp;" - "&amp;Aux!D167</f>
        <v>4 - Pessoal administrativo</v>
      </c>
      <c r="B167">
        <f>+'q19'!$A$24</f>
        <v>4</v>
      </c>
      <c r="C167" t="str">
        <f>+'q19'!$B$24</f>
        <v>Pessoal administrativo</v>
      </c>
      <c r="D167" t="s">
        <v>602</v>
      </c>
    </row>
    <row r="168" spans="1:4">
      <c r="A168" t="str">
        <f>B168&amp;" - "&amp;Aux!D168</f>
        <v>5 - Trabalhadores dos serviços pessoais, de protecção e segurança e vendedores</v>
      </c>
      <c r="B168">
        <f>+'q19'!$A$29</f>
        <v>5</v>
      </c>
      <c r="C168" t="str">
        <f>+'q19'!$B$29</f>
        <v>Trab.dos serv.pessoais, de prot.e segur.e vendedores</v>
      </c>
      <c r="D168" t="s">
        <v>674</v>
      </c>
    </row>
    <row r="169" spans="1:4">
      <c r="A169" t="str">
        <f>B169&amp;" - "&amp;Aux!D169</f>
        <v>6 - Agricultores e trabalhadores qualificados da agricultura, da pesca e da floresta</v>
      </c>
      <c r="B169">
        <f>+'q19'!$A$34</f>
        <v>6</v>
      </c>
      <c r="C169" t="str">
        <f>+'q19'!$B$34</f>
        <v>Agric.e trab.qualif.da agric.,da pesca e da floresta</v>
      </c>
      <c r="D169" t="s">
        <v>675</v>
      </c>
    </row>
    <row r="170" spans="1:4">
      <c r="A170" t="str">
        <f>B170&amp;" - "&amp;Aux!D170</f>
        <v>7 - Trabalhadores qualificados da indústria, construção e artífices</v>
      </c>
      <c r="B170">
        <f>+'q19'!$A$37</f>
        <v>7</v>
      </c>
      <c r="C170" t="str">
        <f>+'q19'!$B$37</f>
        <v>Trab.qualif.da ind.,constr.e artific.</v>
      </c>
      <c r="D170" t="s">
        <v>676</v>
      </c>
    </row>
    <row r="171" spans="1:4">
      <c r="A171" t="str">
        <f>B171&amp;" - "&amp;Aux!D171</f>
        <v>8 - Operadores de instalações e máquinas e trabalhadores da montagem</v>
      </c>
      <c r="B171">
        <f>+'q19'!$A$43</f>
        <v>8</v>
      </c>
      <c r="C171" t="str">
        <f>+'q19'!$B$43</f>
        <v>Oper.de inst.e máq.e trab.mont.</v>
      </c>
      <c r="D171" t="s">
        <v>677</v>
      </c>
    </row>
    <row r="172" spans="1:4">
      <c r="A172" t="str">
        <f>B172&amp;" - "&amp;Aux!D172</f>
        <v xml:space="preserve">9 - Trabalhadores não qualificados </v>
      </c>
      <c r="B172">
        <f>+'q19'!$A$47</f>
        <v>9</v>
      </c>
      <c r="C172" t="str">
        <f>+'q19'!$B$47</f>
        <v>Trabalhadores não qualificados</v>
      </c>
      <c r="D172" t="s">
        <v>678</v>
      </c>
    </row>
    <row r="173" spans="1:4">
      <c r="A173" t="str">
        <f>Aux!D173</f>
        <v>Trabalhadores sem profissão atribuida</v>
      </c>
      <c r="C173" t="str">
        <f>+'q19'!$A$54</f>
        <v>Trabalhadores sem profissão atribuida</v>
      </c>
      <c r="D173" t="s">
        <v>632</v>
      </c>
    </row>
    <row r="179" spans="1:1">
      <c r="A179" s="383" t="str">
        <f>A164&amp;"; "&amp;A165&amp;"; "&amp;A166&amp;"; "&amp;A167&amp;"; "&amp;A168&amp;"; "&amp;A169&amp;"; "&amp;A170&amp;"; "&amp;A171&amp;"; "&amp;A172&amp;"; "&amp;A173</f>
        <v>1 - Representantes do poder legislativo e de órgãos executivos, dirigentes, directores e gestores executivos; 2 - Especialistas das actividades intelectuais e científicas; 3 - Técnicos e profissões de nível intermédio; 4 - Pessoal administrativo; 5 - Trabalhadores dos serviços pessoais, de protecção e segurança e vendedores; 6 - Agricultores e trabalhadores qualificados da agricultura, da pesca e da floresta; 7 - Trabalhadores qualificados da indústria, construção e artífices; 8 - Operadores de instalações e máquinas e trabalhadores da montagem; 9 - Trabalhadores não qualificados ; Trabalhadores sem profissão atribuida</v>
      </c>
    </row>
  </sheetData>
  <conditionalFormatting sqref="A107:A114">
    <cfRule type="cellIs" dxfId="2682" priority="2" operator="equal">
      <formula>0</formula>
    </cfRule>
  </conditionalFormatting>
  <conditionalFormatting sqref="B107:B115">
    <cfRule type="cellIs" dxfId="2681" priority="1" operator="equal">
      <formula>0</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2E1A9-1C42-4638-A334-826772A33512}">
  <sheetPr>
    <tabColor indexed="25"/>
    <pageSetUpPr fitToPage="1"/>
  </sheetPr>
  <dimension ref="A1:AB50"/>
  <sheetViews>
    <sheetView showGridLines="0" topLeftCell="D1" workbookViewId="0">
      <selection activeCell="Y70" sqref="Y70"/>
    </sheetView>
  </sheetViews>
  <sheetFormatPr defaultColWidth="9.140625" defaultRowHeight="11.25"/>
  <cols>
    <col min="1" max="1" width="14.7109375" style="59" customWidth="1"/>
    <col min="2" max="2" width="2.42578125" style="122" customWidth="1"/>
    <col min="3" max="3" width="7.5703125" style="204" customWidth="1"/>
    <col min="4" max="13" width="7.5703125" style="59" customWidth="1"/>
    <col min="14" max="15" width="5.85546875" style="59" bestFit="1" customWidth="1"/>
    <col min="16" max="20" width="16.7109375" style="59" customWidth="1"/>
    <col min="21" max="16384" width="9.140625" style="59"/>
  </cols>
  <sheetData>
    <row r="1" spans="1:28" s="61" customFormat="1" ht="53.45" customHeight="1">
      <c r="A1" s="947" t="s">
        <v>655</v>
      </c>
      <c r="B1" s="947"/>
      <c r="C1" s="947"/>
      <c r="D1" s="947"/>
      <c r="E1" s="947"/>
      <c r="F1" s="947"/>
      <c r="G1" s="947"/>
      <c r="H1" s="947"/>
      <c r="I1" s="947"/>
      <c r="J1" s="947"/>
      <c r="K1" s="947"/>
      <c r="L1" s="947"/>
      <c r="M1" s="947"/>
      <c r="P1" s="949" t="s">
        <v>569</v>
      </c>
      <c r="Q1" s="949"/>
      <c r="R1" s="949"/>
      <c r="S1" s="949"/>
      <c r="T1" s="949"/>
      <c r="V1" s="946" t="s">
        <v>834</v>
      </c>
      <c r="W1" s="946"/>
      <c r="X1" s="946"/>
      <c r="Y1" s="946"/>
      <c r="Z1" s="946"/>
      <c r="AA1" s="946"/>
    </row>
    <row r="2" spans="1:28" ht="12" customHeight="1">
      <c r="A2" s="63"/>
      <c r="B2" s="63"/>
      <c r="C2" s="64"/>
      <c r="D2" s="178"/>
      <c r="E2" s="178"/>
      <c r="F2" s="178"/>
      <c r="G2" s="178"/>
      <c r="H2" s="178"/>
      <c r="I2" s="178"/>
      <c r="J2" s="178"/>
      <c r="K2" s="178"/>
      <c r="L2" s="178"/>
      <c r="M2" s="178"/>
      <c r="P2" s="950" t="s">
        <v>570</v>
      </c>
      <c r="Q2" s="950"/>
      <c r="R2" s="950"/>
      <c r="S2" s="950"/>
      <c r="T2" s="950"/>
      <c r="V2" s="946"/>
      <c r="W2" s="946"/>
      <c r="X2" s="946"/>
      <c r="Y2" s="946"/>
      <c r="Z2" s="946"/>
      <c r="AA2" s="946"/>
    </row>
    <row r="3" spans="1:28" ht="15" customHeight="1">
      <c r="A3" s="65" t="s">
        <v>13</v>
      </c>
      <c r="B3" s="66"/>
      <c r="C3" s="64"/>
      <c r="D3" s="178"/>
      <c r="E3" s="178"/>
      <c r="F3" s="178"/>
      <c r="G3" s="178"/>
      <c r="H3" s="178"/>
      <c r="I3" s="178"/>
      <c r="J3" s="178"/>
      <c r="K3" s="178"/>
      <c r="L3" s="178"/>
      <c r="M3" s="178"/>
      <c r="P3" s="950"/>
      <c r="Q3" s="950"/>
      <c r="R3" s="950"/>
      <c r="S3" s="950"/>
      <c r="T3" s="950"/>
      <c r="V3" s="946"/>
      <c r="W3" s="946"/>
      <c r="X3" s="946"/>
      <c r="Y3" s="946"/>
      <c r="Z3" s="946"/>
      <c r="AA3" s="946"/>
    </row>
    <row r="4" spans="1:28" s="119" customFormat="1" ht="28.5" customHeight="1" thickBot="1">
      <c r="A4" s="67"/>
      <c r="B4" s="67"/>
      <c r="C4" s="41">
        <v>2014</v>
      </c>
      <c r="D4" s="41">
        <v>2015</v>
      </c>
      <c r="E4" s="41">
        <v>2016</v>
      </c>
      <c r="F4" s="41">
        <v>2017</v>
      </c>
      <c r="G4" s="41">
        <v>2018</v>
      </c>
      <c r="H4" s="41">
        <v>2019</v>
      </c>
      <c r="I4" s="41">
        <v>2020</v>
      </c>
      <c r="J4" s="41">
        <v>2021</v>
      </c>
      <c r="K4" s="41">
        <v>2022</v>
      </c>
      <c r="L4" s="41">
        <v>2023</v>
      </c>
      <c r="M4" s="41">
        <v>2024</v>
      </c>
      <c r="P4" s="950"/>
      <c r="Q4" s="950"/>
      <c r="R4" s="950"/>
      <c r="S4" s="950"/>
      <c r="T4" s="950"/>
      <c r="V4" s="946"/>
      <c r="W4" s="946"/>
      <c r="X4" s="946"/>
      <c r="Y4" s="946"/>
      <c r="Z4" s="946"/>
      <c r="AA4" s="946"/>
    </row>
    <row r="5" spans="1:28" s="69" customFormat="1" ht="16.5" customHeight="1" thickTop="1">
      <c r="A5" s="63" t="s">
        <v>11</v>
      </c>
      <c r="B5" s="368" t="s">
        <v>44</v>
      </c>
      <c r="C5" s="342">
        <v>1928307</v>
      </c>
      <c r="D5" s="342">
        <v>1991131</v>
      </c>
      <c r="E5" s="342">
        <v>2054911</v>
      </c>
      <c r="F5" s="342">
        <v>2131943</v>
      </c>
      <c r="G5" s="342">
        <v>2205449</v>
      </c>
      <c r="H5" s="342">
        <v>2232400</v>
      </c>
      <c r="I5" s="342">
        <v>2164118</v>
      </c>
      <c r="J5" s="342">
        <v>2200594</v>
      </c>
      <c r="K5" s="342">
        <v>2376115</v>
      </c>
      <c r="L5" s="342">
        <v>2467600</v>
      </c>
      <c r="M5" s="342">
        <v>2506911</v>
      </c>
      <c r="N5" s="119"/>
      <c r="O5" s="119"/>
      <c r="P5" s="951" t="s">
        <v>571</v>
      </c>
      <c r="Q5" s="951"/>
      <c r="R5" s="951"/>
      <c r="S5" s="951"/>
      <c r="T5" s="951"/>
    </row>
    <row r="6" spans="1:28" s="69" customFormat="1" ht="12.75" customHeight="1">
      <c r="A6" s="38"/>
      <c r="B6" s="368" t="s">
        <v>52</v>
      </c>
      <c r="C6" s="341">
        <v>1044369</v>
      </c>
      <c r="D6" s="341">
        <v>1072847</v>
      </c>
      <c r="E6" s="341">
        <v>1107485</v>
      </c>
      <c r="F6" s="341">
        <v>1154786</v>
      </c>
      <c r="G6" s="341">
        <v>1199385</v>
      </c>
      <c r="H6" s="341">
        <v>1217589</v>
      </c>
      <c r="I6" s="341">
        <v>1187469</v>
      </c>
      <c r="J6" s="341">
        <v>1200895</v>
      </c>
      <c r="K6" s="341">
        <v>1298876</v>
      </c>
      <c r="L6" s="341">
        <v>1354324</v>
      </c>
      <c r="M6" s="341">
        <v>1386681</v>
      </c>
      <c r="N6" s="119"/>
      <c r="O6" s="119"/>
      <c r="P6" s="951"/>
      <c r="Q6" s="951"/>
      <c r="R6" s="951"/>
      <c r="S6" s="951"/>
      <c r="T6" s="951"/>
    </row>
    <row r="7" spans="1:28" s="69" customFormat="1" ht="12.75" customHeight="1">
      <c r="A7" s="38"/>
      <c r="B7" s="368" t="s">
        <v>53</v>
      </c>
      <c r="C7" s="341">
        <v>883938</v>
      </c>
      <c r="D7" s="341">
        <v>918284</v>
      </c>
      <c r="E7" s="341">
        <v>947426</v>
      </c>
      <c r="F7" s="341">
        <v>977157</v>
      </c>
      <c r="G7" s="341">
        <v>1006064</v>
      </c>
      <c r="H7" s="341">
        <v>1014811</v>
      </c>
      <c r="I7" s="341">
        <v>976649</v>
      </c>
      <c r="J7" s="341">
        <v>999699</v>
      </c>
      <c r="K7" s="341">
        <v>1077239</v>
      </c>
      <c r="L7" s="341">
        <v>1113276</v>
      </c>
      <c r="M7" s="341">
        <v>1120230</v>
      </c>
      <c r="N7" s="119"/>
      <c r="O7" s="119"/>
      <c r="Q7" s="856" t="s">
        <v>837</v>
      </c>
      <c r="R7" s="675" t="s">
        <v>836</v>
      </c>
    </row>
    <row r="8" spans="1:28" s="69" customFormat="1" ht="16.5" customHeight="1">
      <c r="A8" s="70" t="s">
        <v>31</v>
      </c>
      <c r="B8" s="368" t="s">
        <v>44</v>
      </c>
      <c r="C8" s="341">
        <v>272423</v>
      </c>
      <c r="D8" s="341">
        <v>274922</v>
      </c>
      <c r="E8" s="341">
        <v>276343</v>
      </c>
      <c r="F8" s="341">
        <v>273974</v>
      </c>
      <c r="G8" s="341">
        <v>273667</v>
      </c>
      <c r="H8" s="341">
        <v>264172</v>
      </c>
      <c r="I8" s="341">
        <v>256573</v>
      </c>
      <c r="J8" s="341">
        <v>256301</v>
      </c>
      <c r="K8" s="341">
        <v>267486</v>
      </c>
      <c r="L8" s="341">
        <v>269695</v>
      </c>
      <c r="M8" s="341">
        <v>263892</v>
      </c>
      <c r="N8" s="119"/>
      <c r="Q8" s="69" t="s">
        <v>835</v>
      </c>
      <c r="R8" s="124">
        <f>+C4</f>
        <v>2014</v>
      </c>
      <c r="S8" s="124">
        <f t="shared" ref="S8:Y8" si="0">+D4</f>
        <v>2015</v>
      </c>
      <c r="T8" s="124">
        <f t="shared" si="0"/>
        <v>2016</v>
      </c>
      <c r="U8" s="124">
        <f t="shared" si="0"/>
        <v>2017</v>
      </c>
      <c r="V8" s="124">
        <f t="shared" si="0"/>
        <v>2018</v>
      </c>
      <c r="W8" s="124">
        <f t="shared" si="0"/>
        <v>2019</v>
      </c>
      <c r="X8" s="124">
        <f t="shared" si="0"/>
        <v>2020</v>
      </c>
      <c r="Y8" s="124">
        <f t="shared" si="0"/>
        <v>2021</v>
      </c>
      <c r="Z8" s="124">
        <f>+K4</f>
        <v>2022</v>
      </c>
      <c r="AA8" s="124">
        <f t="shared" ref="AA8" si="1">+L4</f>
        <v>2023</v>
      </c>
      <c r="AB8" s="124">
        <f>+M4</f>
        <v>2024</v>
      </c>
    </row>
    <row r="9" spans="1:28" s="69" customFormat="1" ht="12.75" customHeight="1">
      <c r="A9" s="64"/>
      <c r="B9" s="92" t="s">
        <v>52</v>
      </c>
      <c r="C9" s="343">
        <v>137250</v>
      </c>
      <c r="D9" s="343">
        <v>136771</v>
      </c>
      <c r="E9" s="343">
        <v>138485</v>
      </c>
      <c r="F9" s="343">
        <v>137401</v>
      </c>
      <c r="G9" s="343">
        <v>137579</v>
      </c>
      <c r="H9" s="343">
        <v>133221</v>
      </c>
      <c r="I9" s="343">
        <v>130883</v>
      </c>
      <c r="J9" s="343">
        <v>129989</v>
      </c>
      <c r="K9" s="343">
        <v>135352</v>
      </c>
      <c r="L9" s="343">
        <v>136451</v>
      </c>
      <c r="M9" s="343">
        <v>134574</v>
      </c>
      <c r="Q9" s="368" t="s">
        <v>44</v>
      </c>
      <c r="R9" s="857">
        <v>0</v>
      </c>
      <c r="S9" s="857">
        <v>0</v>
      </c>
      <c r="T9" s="857">
        <v>0</v>
      </c>
      <c r="U9" s="857">
        <v>0</v>
      </c>
      <c r="V9" s="857">
        <v>0</v>
      </c>
      <c r="W9" s="857">
        <v>0</v>
      </c>
      <c r="X9" s="857">
        <v>0</v>
      </c>
      <c r="Y9" s="857">
        <v>0</v>
      </c>
      <c r="Z9" s="857">
        <v>0</v>
      </c>
      <c r="AA9" s="857">
        <v>0</v>
      </c>
      <c r="AB9" s="857">
        <v>0</v>
      </c>
    </row>
    <row r="10" spans="1:28" s="69" customFormat="1" ht="12.75" customHeight="1">
      <c r="A10" s="64"/>
      <c r="B10" s="92" t="s">
        <v>53</v>
      </c>
      <c r="C10" s="343">
        <v>135173</v>
      </c>
      <c r="D10" s="343">
        <v>138151</v>
      </c>
      <c r="E10" s="343">
        <v>137858</v>
      </c>
      <c r="F10" s="343">
        <v>136573</v>
      </c>
      <c r="G10" s="343">
        <v>136088</v>
      </c>
      <c r="H10" s="343">
        <v>130951</v>
      </c>
      <c r="I10" s="343">
        <v>125690</v>
      </c>
      <c r="J10" s="343">
        <v>126312</v>
      </c>
      <c r="K10" s="343">
        <v>132134</v>
      </c>
      <c r="L10" s="343">
        <v>133244</v>
      </c>
      <c r="M10" s="343">
        <v>129318</v>
      </c>
      <c r="Q10" s="69" t="s">
        <v>838</v>
      </c>
    </row>
    <row r="11" spans="1:28" s="124" customFormat="1" ht="16.5" customHeight="1">
      <c r="A11" s="70" t="s">
        <v>32</v>
      </c>
      <c r="B11" s="368" t="s">
        <v>44</v>
      </c>
      <c r="C11" s="341">
        <v>265264</v>
      </c>
      <c r="D11" s="341">
        <v>271027</v>
      </c>
      <c r="E11" s="341">
        <v>278600</v>
      </c>
      <c r="F11" s="341">
        <v>283065</v>
      </c>
      <c r="G11" s="341">
        <v>289117</v>
      </c>
      <c r="H11" s="341">
        <v>287578</v>
      </c>
      <c r="I11" s="341">
        <v>276713</v>
      </c>
      <c r="J11" s="341">
        <v>278523</v>
      </c>
      <c r="K11" s="341">
        <v>293484</v>
      </c>
      <c r="L11" s="341">
        <v>301357</v>
      </c>
      <c r="M11" s="341">
        <v>299592</v>
      </c>
      <c r="Q11" s="858" t="s">
        <v>44</v>
      </c>
      <c r="R11" s="859">
        <f>+C5-(C8+C11+C14+C17+C20+C23+C26+C29+C32+C35+C38)</f>
        <v>0</v>
      </c>
      <c r="S11" s="859">
        <f t="shared" ref="S11:AB11" si="2">+D5-(D8+D11+D14+D17+D20+D23+D26+D29+D32+D35+D38)</f>
        <v>0</v>
      </c>
      <c r="T11" s="859">
        <f t="shared" si="2"/>
        <v>0</v>
      </c>
      <c r="U11" s="859">
        <f t="shared" si="2"/>
        <v>0</v>
      </c>
      <c r="V11" s="859">
        <f t="shared" si="2"/>
        <v>0</v>
      </c>
      <c r="W11" s="859">
        <f t="shared" si="2"/>
        <v>0</v>
      </c>
      <c r="X11" s="859">
        <f t="shared" si="2"/>
        <v>0</v>
      </c>
      <c r="Y11" s="859">
        <f t="shared" si="2"/>
        <v>0</v>
      </c>
      <c r="Z11" s="859">
        <f t="shared" si="2"/>
        <v>0</v>
      </c>
      <c r="AA11" s="859">
        <f t="shared" si="2"/>
        <v>0</v>
      </c>
      <c r="AB11" s="859">
        <f t="shared" si="2"/>
        <v>0</v>
      </c>
    </row>
    <row r="12" spans="1:28" s="69" customFormat="1" ht="12.75" customHeight="1">
      <c r="A12" s="64"/>
      <c r="B12" s="92" t="s">
        <v>52</v>
      </c>
      <c r="C12" s="343">
        <v>144148</v>
      </c>
      <c r="D12" s="343">
        <v>146510</v>
      </c>
      <c r="E12" s="343">
        <v>150982</v>
      </c>
      <c r="F12" s="343">
        <v>152706</v>
      </c>
      <c r="G12" s="343">
        <v>156236</v>
      </c>
      <c r="H12" s="343">
        <v>155849</v>
      </c>
      <c r="I12" s="343">
        <v>152050</v>
      </c>
      <c r="J12" s="343">
        <v>151897</v>
      </c>
      <c r="K12" s="343">
        <v>159499</v>
      </c>
      <c r="L12" s="343">
        <v>164126</v>
      </c>
      <c r="M12" s="343">
        <v>163474</v>
      </c>
      <c r="Q12" s="368" t="s">
        <v>52</v>
      </c>
      <c r="R12" s="859">
        <f>+C6-(C9+C12+C15+C18+C21+C24+C27+C30+C33+C36+C39)</f>
        <v>0</v>
      </c>
      <c r="S12" s="859">
        <f t="shared" ref="S12:AB13" si="3">+D6-(D9+D12+D15+D18+D21+D24+D27+D30+D33+D36+D39)</f>
        <v>0</v>
      </c>
      <c r="T12" s="859">
        <f t="shared" si="3"/>
        <v>0</v>
      </c>
      <c r="U12" s="859">
        <f t="shared" si="3"/>
        <v>0</v>
      </c>
      <c r="V12" s="859">
        <f t="shared" si="3"/>
        <v>0</v>
      </c>
      <c r="W12" s="859">
        <f t="shared" si="3"/>
        <v>0</v>
      </c>
      <c r="X12" s="859">
        <f t="shared" si="3"/>
        <v>0</v>
      </c>
      <c r="Y12" s="859">
        <f t="shared" si="3"/>
        <v>0</v>
      </c>
      <c r="Z12" s="859">
        <f t="shared" si="3"/>
        <v>0</v>
      </c>
      <c r="AA12" s="859">
        <f t="shared" si="3"/>
        <v>0</v>
      </c>
      <c r="AB12" s="859">
        <f t="shared" si="3"/>
        <v>0</v>
      </c>
    </row>
    <row r="13" spans="1:28" s="69" customFormat="1" ht="12.75" customHeight="1">
      <c r="A13" s="64"/>
      <c r="B13" s="92" t="s">
        <v>53</v>
      </c>
      <c r="C13" s="343">
        <v>121116</v>
      </c>
      <c r="D13" s="343">
        <v>124517</v>
      </c>
      <c r="E13" s="343">
        <v>127618</v>
      </c>
      <c r="F13" s="343">
        <v>130359</v>
      </c>
      <c r="G13" s="343">
        <v>132881</v>
      </c>
      <c r="H13" s="343">
        <v>131729</v>
      </c>
      <c r="I13" s="343">
        <v>124663</v>
      </c>
      <c r="J13" s="343">
        <v>126626</v>
      </c>
      <c r="K13" s="343">
        <v>133985</v>
      </c>
      <c r="L13" s="343">
        <v>137231</v>
      </c>
      <c r="M13" s="343">
        <v>136118</v>
      </c>
      <c r="Q13" s="368" t="s">
        <v>53</v>
      </c>
      <c r="R13" s="859">
        <f t="shared" ref="R13" si="4">+C7-(C10+C13+C16+C19+C22+C25+C28+C31+C34+C37+C40)</f>
        <v>0</v>
      </c>
      <c r="S13" s="859">
        <f t="shared" si="3"/>
        <v>0</v>
      </c>
      <c r="T13" s="859">
        <f t="shared" si="3"/>
        <v>0</v>
      </c>
      <c r="U13" s="859">
        <f t="shared" si="3"/>
        <v>0</v>
      </c>
      <c r="V13" s="859">
        <f t="shared" si="3"/>
        <v>0</v>
      </c>
      <c r="W13" s="859">
        <f t="shared" si="3"/>
        <v>0</v>
      </c>
      <c r="X13" s="859">
        <f t="shared" si="3"/>
        <v>0</v>
      </c>
      <c r="Y13" s="859">
        <f t="shared" si="3"/>
        <v>0</v>
      </c>
      <c r="Z13" s="859">
        <f t="shared" si="3"/>
        <v>0</v>
      </c>
      <c r="AA13" s="859">
        <f t="shared" si="3"/>
        <v>0</v>
      </c>
      <c r="AB13" s="859">
        <f t="shared" si="3"/>
        <v>0</v>
      </c>
    </row>
    <row r="14" spans="1:28" s="124" customFormat="1" ht="16.5" customHeight="1">
      <c r="A14" s="70" t="s">
        <v>33</v>
      </c>
      <c r="B14" s="368" t="s">
        <v>44</v>
      </c>
      <c r="C14" s="341">
        <v>262734</v>
      </c>
      <c r="D14" s="341">
        <v>271718</v>
      </c>
      <c r="E14" s="341">
        <v>278667</v>
      </c>
      <c r="F14" s="341">
        <v>289867</v>
      </c>
      <c r="G14" s="341">
        <v>301755</v>
      </c>
      <c r="H14" s="341">
        <v>305814</v>
      </c>
      <c r="I14" s="341">
        <v>290088</v>
      </c>
      <c r="J14" s="341">
        <v>294471</v>
      </c>
      <c r="K14" s="341">
        <v>315454</v>
      </c>
      <c r="L14" s="341">
        <v>327764</v>
      </c>
      <c r="M14" s="341">
        <v>332193</v>
      </c>
    </row>
    <row r="15" spans="1:28" s="69" customFormat="1" ht="12.75" customHeight="1">
      <c r="A15" s="64"/>
      <c r="B15" s="92" t="s">
        <v>52</v>
      </c>
      <c r="C15" s="343">
        <v>146576</v>
      </c>
      <c r="D15" s="343">
        <v>150518</v>
      </c>
      <c r="E15" s="343">
        <v>155014</v>
      </c>
      <c r="F15" s="343">
        <v>162164</v>
      </c>
      <c r="G15" s="343">
        <v>168669</v>
      </c>
      <c r="H15" s="343">
        <v>171761</v>
      </c>
      <c r="I15" s="343">
        <v>166532</v>
      </c>
      <c r="J15" s="343">
        <v>167070</v>
      </c>
      <c r="K15" s="343">
        <v>178296</v>
      </c>
      <c r="L15" s="343">
        <v>185166</v>
      </c>
      <c r="M15" s="343">
        <v>188471</v>
      </c>
    </row>
    <row r="16" spans="1:28" s="69" customFormat="1" ht="12.75" customHeight="1">
      <c r="A16" s="64"/>
      <c r="B16" s="92" t="s">
        <v>53</v>
      </c>
      <c r="C16" s="343">
        <v>116158</v>
      </c>
      <c r="D16" s="343">
        <v>121200</v>
      </c>
      <c r="E16" s="343">
        <v>123653</v>
      </c>
      <c r="F16" s="343">
        <v>127703</v>
      </c>
      <c r="G16" s="343">
        <v>133086</v>
      </c>
      <c r="H16" s="343">
        <v>134053</v>
      </c>
      <c r="I16" s="343">
        <v>123556</v>
      </c>
      <c r="J16" s="343">
        <v>127401</v>
      </c>
      <c r="K16" s="343">
        <v>137158</v>
      </c>
      <c r="L16" s="343">
        <v>142598</v>
      </c>
      <c r="M16" s="343">
        <v>143722</v>
      </c>
    </row>
    <row r="17" spans="1:13" s="124" customFormat="1" ht="16.5" customHeight="1">
      <c r="A17" s="70" t="s">
        <v>34</v>
      </c>
      <c r="B17" s="368" t="s">
        <v>44</v>
      </c>
      <c r="C17" s="341">
        <v>347011</v>
      </c>
      <c r="D17" s="341">
        <v>356304</v>
      </c>
      <c r="E17" s="341">
        <v>369632</v>
      </c>
      <c r="F17" s="341">
        <v>383591</v>
      </c>
      <c r="G17" s="341">
        <v>395483</v>
      </c>
      <c r="H17" s="341">
        <v>396438</v>
      </c>
      <c r="I17" s="341">
        <v>382958</v>
      </c>
      <c r="J17" s="341">
        <v>394430</v>
      </c>
      <c r="K17" s="341">
        <v>423288</v>
      </c>
      <c r="L17" s="341">
        <v>447053</v>
      </c>
      <c r="M17" s="341">
        <v>449914</v>
      </c>
    </row>
    <row r="18" spans="1:13" s="69" customFormat="1" ht="12.75" customHeight="1">
      <c r="A18" s="64"/>
      <c r="B18" s="92" t="s">
        <v>52</v>
      </c>
      <c r="C18" s="343">
        <v>185258</v>
      </c>
      <c r="D18" s="343">
        <v>191224</v>
      </c>
      <c r="E18" s="343">
        <v>198269</v>
      </c>
      <c r="F18" s="343">
        <v>206834</v>
      </c>
      <c r="G18" s="343">
        <v>214784</v>
      </c>
      <c r="H18" s="343">
        <v>218494</v>
      </c>
      <c r="I18" s="343">
        <v>212971</v>
      </c>
      <c r="J18" s="343">
        <v>218084</v>
      </c>
      <c r="K18" s="343">
        <v>234079</v>
      </c>
      <c r="L18" s="343">
        <v>248512</v>
      </c>
      <c r="M18" s="343">
        <v>252110</v>
      </c>
    </row>
    <row r="19" spans="1:13" s="69" customFormat="1" ht="12.75" customHeight="1">
      <c r="A19" s="64"/>
      <c r="B19" s="92" t="s">
        <v>53</v>
      </c>
      <c r="C19" s="343">
        <v>161753</v>
      </c>
      <c r="D19" s="343">
        <v>165080</v>
      </c>
      <c r="E19" s="343">
        <v>171363</v>
      </c>
      <c r="F19" s="343">
        <v>176757</v>
      </c>
      <c r="G19" s="343">
        <v>180699</v>
      </c>
      <c r="H19" s="343">
        <v>177944</v>
      </c>
      <c r="I19" s="343">
        <v>169987</v>
      </c>
      <c r="J19" s="343">
        <v>176346</v>
      </c>
      <c r="K19" s="343">
        <v>189209</v>
      </c>
      <c r="L19" s="343">
        <v>198541</v>
      </c>
      <c r="M19" s="343">
        <v>197804</v>
      </c>
    </row>
    <row r="20" spans="1:13" s="124" customFormat="1" ht="16.5" customHeight="1">
      <c r="A20" s="70" t="s">
        <v>35</v>
      </c>
      <c r="B20" s="368" t="s">
        <v>44</v>
      </c>
      <c r="C20" s="341">
        <v>225745</v>
      </c>
      <c r="D20" s="341">
        <v>239900</v>
      </c>
      <c r="E20" s="341">
        <v>247490</v>
      </c>
      <c r="F20" s="341">
        <v>254994</v>
      </c>
      <c r="G20" s="341">
        <v>267696</v>
      </c>
      <c r="H20" s="341">
        <v>271322</v>
      </c>
      <c r="I20" s="341">
        <v>263498</v>
      </c>
      <c r="J20" s="341">
        <v>271005</v>
      </c>
      <c r="K20" s="341">
        <v>293408</v>
      </c>
      <c r="L20" s="341">
        <v>307036</v>
      </c>
      <c r="M20" s="341">
        <v>312905</v>
      </c>
    </row>
    <row r="21" spans="1:13" s="69" customFormat="1" ht="12.75" customHeight="1">
      <c r="A21" s="64"/>
      <c r="B21" s="92" t="s">
        <v>52</v>
      </c>
      <c r="C21" s="343">
        <v>118452</v>
      </c>
      <c r="D21" s="343">
        <v>124864</v>
      </c>
      <c r="E21" s="343">
        <v>129044</v>
      </c>
      <c r="F21" s="343">
        <v>135307</v>
      </c>
      <c r="G21" s="343">
        <v>141797</v>
      </c>
      <c r="H21" s="343">
        <v>143979</v>
      </c>
      <c r="I21" s="343">
        <v>140975</v>
      </c>
      <c r="J21" s="343">
        <v>144975</v>
      </c>
      <c r="K21" s="343">
        <v>157107</v>
      </c>
      <c r="L21" s="343">
        <v>166018</v>
      </c>
      <c r="M21" s="343">
        <v>168753</v>
      </c>
    </row>
    <row r="22" spans="1:13" s="69" customFormat="1" ht="12.75" customHeight="1">
      <c r="A22" s="64"/>
      <c r="B22" s="92" t="s">
        <v>53</v>
      </c>
      <c r="C22" s="343">
        <v>107293</v>
      </c>
      <c r="D22" s="343">
        <v>115036</v>
      </c>
      <c r="E22" s="343">
        <v>118446</v>
      </c>
      <c r="F22" s="343">
        <v>119687</v>
      </c>
      <c r="G22" s="343">
        <v>125899</v>
      </c>
      <c r="H22" s="343">
        <v>127343</v>
      </c>
      <c r="I22" s="343">
        <v>122523</v>
      </c>
      <c r="J22" s="343">
        <v>126030</v>
      </c>
      <c r="K22" s="343">
        <v>136301</v>
      </c>
      <c r="L22" s="343">
        <v>141018</v>
      </c>
      <c r="M22" s="343">
        <v>144152</v>
      </c>
    </row>
    <row r="23" spans="1:13" s="124" customFormat="1" ht="16.5" customHeight="1">
      <c r="A23" s="70" t="s">
        <v>36</v>
      </c>
      <c r="B23" s="368" t="s">
        <v>44</v>
      </c>
      <c r="C23" s="341">
        <v>119592</v>
      </c>
      <c r="D23" s="341">
        <v>114252</v>
      </c>
      <c r="E23" s="341">
        <v>120726</v>
      </c>
      <c r="F23" s="341">
        <v>122779</v>
      </c>
      <c r="G23" s="341">
        <v>127097</v>
      </c>
      <c r="H23" s="341">
        <v>130106</v>
      </c>
      <c r="I23" s="341">
        <v>121431</v>
      </c>
      <c r="J23" s="341">
        <v>129159</v>
      </c>
      <c r="K23" s="341">
        <v>138002</v>
      </c>
      <c r="L23" s="341">
        <v>146855</v>
      </c>
      <c r="M23" s="341">
        <v>155445</v>
      </c>
    </row>
    <row r="24" spans="1:13" s="69" customFormat="1" ht="12.75" customHeight="1">
      <c r="A24" s="64"/>
      <c r="B24" s="92" t="s">
        <v>52</v>
      </c>
      <c r="C24" s="343">
        <v>67569</v>
      </c>
      <c r="D24" s="343">
        <v>63851</v>
      </c>
      <c r="E24" s="343">
        <v>67300</v>
      </c>
      <c r="F24" s="343">
        <v>68778</v>
      </c>
      <c r="G24" s="343">
        <v>71561</v>
      </c>
      <c r="H24" s="343">
        <v>73409</v>
      </c>
      <c r="I24" s="343">
        <v>68679</v>
      </c>
      <c r="J24" s="343">
        <v>72267</v>
      </c>
      <c r="K24" s="343">
        <v>77685</v>
      </c>
      <c r="L24" s="343">
        <v>82767</v>
      </c>
      <c r="M24" s="343">
        <v>89013</v>
      </c>
    </row>
    <row r="25" spans="1:13" s="69" customFormat="1" ht="12.75" customHeight="1">
      <c r="A25" s="64"/>
      <c r="B25" s="92" t="s">
        <v>53</v>
      </c>
      <c r="C25" s="343">
        <v>52023</v>
      </c>
      <c r="D25" s="343">
        <v>50401</v>
      </c>
      <c r="E25" s="343">
        <v>53426</v>
      </c>
      <c r="F25" s="343">
        <v>54001</v>
      </c>
      <c r="G25" s="343">
        <v>55536</v>
      </c>
      <c r="H25" s="343">
        <v>56697</v>
      </c>
      <c r="I25" s="343">
        <v>52752</v>
      </c>
      <c r="J25" s="343">
        <v>56892</v>
      </c>
      <c r="K25" s="343">
        <v>60317</v>
      </c>
      <c r="L25" s="343">
        <v>64088</v>
      </c>
      <c r="M25" s="343">
        <v>66432</v>
      </c>
    </row>
    <row r="26" spans="1:13" s="123" customFormat="1" ht="16.5" customHeight="1">
      <c r="A26" s="70" t="s">
        <v>37</v>
      </c>
      <c r="B26" s="368" t="s">
        <v>44</v>
      </c>
      <c r="C26" s="341">
        <v>70439</v>
      </c>
      <c r="D26" s="341">
        <v>74997</v>
      </c>
      <c r="E26" s="341">
        <v>75806</v>
      </c>
      <c r="F26" s="341">
        <v>81262</v>
      </c>
      <c r="G26" s="341">
        <v>85070</v>
      </c>
      <c r="H26" s="341">
        <v>84251</v>
      </c>
      <c r="I26" s="341">
        <v>82304</v>
      </c>
      <c r="J26" s="341">
        <v>84337</v>
      </c>
      <c r="K26" s="341">
        <v>95105</v>
      </c>
      <c r="L26" s="341">
        <v>100607</v>
      </c>
      <c r="M26" s="341">
        <v>99903</v>
      </c>
    </row>
    <row r="27" spans="1:13" s="204" customFormat="1" ht="12.75" customHeight="1">
      <c r="A27" s="64"/>
      <c r="B27" s="92" t="s">
        <v>52</v>
      </c>
      <c r="C27" s="343">
        <v>40634</v>
      </c>
      <c r="D27" s="343">
        <v>44764</v>
      </c>
      <c r="E27" s="343">
        <v>43785</v>
      </c>
      <c r="F27" s="343">
        <v>45245</v>
      </c>
      <c r="G27" s="343">
        <v>48194</v>
      </c>
      <c r="H27" s="343">
        <v>48131</v>
      </c>
      <c r="I27" s="343">
        <v>47783</v>
      </c>
      <c r="J27" s="343">
        <v>47468</v>
      </c>
      <c r="K27" s="343">
        <v>54031</v>
      </c>
      <c r="L27" s="343">
        <v>58278</v>
      </c>
      <c r="M27" s="343">
        <v>57473</v>
      </c>
    </row>
    <row r="28" spans="1:13" s="204" customFormat="1" ht="12.75" customHeight="1">
      <c r="A28" s="64"/>
      <c r="B28" s="92" t="s">
        <v>53</v>
      </c>
      <c r="C28" s="343">
        <v>29805</v>
      </c>
      <c r="D28" s="343">
        <v>30233</v>
      </c>
      <c r="E28" s="343">
        <v>32021</v>
      </c>
      <c r="F28" s="343">
        <v>36017</v>
      </c>
      <c r="G28" s="343">
        <v>36876</v>
      </c>
      <c r="H28" s="343">
        <v>36120</v>
      </c>
      <c r="I28" s="343">
        <v>34521</v>
      </c>
      <c r="J28" s="343">
        <v>36869</v>
      </c>
      <c r="K28" s="343">
        <v>41074</v>
      </c>
      <c r="L28" s="343">
        <v>42329</v>
      </c>
      <c r="M28" s="343">
        <v>42430</v>
      </c>
    </row>
    <row r="29" spans="1:13" s="123" customFormat="1" ht="16.5" customHeight="1">
      <c r="A29" s="70" t="s">
        <v>38</v>
      </c>
      <c r="B29" s="368" t="s">
        <v>44</v>
      </c>
      <c r="C29" s="341">
        <v>52058</v>
      </c>
      <c r="D29" s="341">
        <v>52870</v>
      </c>
      <c r="E29" s="341">
        <v>56892</v>
      </c>
      <c r="F29" s="341">
        <v>60352</v>
      </c>
      <c r="G29" s="341">
        <v>63952</v>
      </c>
      <c r="H29" s="341">
        <v>64196</v>
      </c>
      <c r="I29" s="341">
        <v>63350</v>
      </c>
      <c r="J29" s="341">
        <v>65802</v>
      </c>
      <c r="K29" s="341">
        <v>74528</v>
      </c>
      <c r="L29" s="341">
        <v>75297</v>
      </c>
      <c r="M29" s="341">
        <v>73701</v>
      </c>
    </row>
    <row r="30" spans="1:13" s="204" customFormat="1" ht="12.75" customHeight="1">
      <c r="A30" s="64"/>
      <c r="B30" s="92" t="s">
        <v>52</v>
      </c>
      <c r="C30" s="343">
        <v>30429</v>
      </c>
      <c r="D30" s="343">
        <v>30802</v>
      </c>
      <c r="E30" s="343">
        <v>33799</v>
      </c>
      <c r="F30" s="343">
        <v>35843</v>
      </c>
      <c r="G30" s="343">
        <v>38518</v>
      </c>
      <c r="H30" s="343">
        <v>38383</v>
      </c>
      <c r="I30" s="343">
        <v>37376</v>
      </c>
      <c r="J30" s="343">
        <v>38400</v>
      </c>
      <c r="K30" s="343">
        <v>43352</v>
      </c>
      <c r="L30" s="343">
        <v>42227</v>
      </c>
      <c r="M30" s="343">
        <v>41698</v>
      </c>
    </row>
    <row r="31" spans="1:13" s="204" customFormat="1" ht="12.75" customHeight="1">
      <c r="A31" s="64"/>
      <c r="B31" s="92" t="s">
        <v>53</v>
      </c>
      <c r="C31" s="343">
        <v>21629</v>
      </c>
      <c r="D31" s="343">
        <v>22068</v>
      </c>
      <c r="E31" s="343">
        <v>23093</v>
      </c>
      <c r="F31" s="343">
        <v>24509</v>
      </c>
      <c r="G31" s="343">
        <v>25434</v>
      </c>
      <c r="H31" s="343">
        <v>25813</v>
      </c>
      <c r="I31" s="343">
        <v>25974</v>
      </c>
      <c r="J31" s="343">
        <v>27402</v>
      </c>
      <c r="K31" s="343">
        <v>31176</v>
      </c>
      <c r="L31" s="343">
        <v>33070</v>
      </c>
      <c r="M31" s="343">
        <v>32003</v>
      </c>
    </row>
    <row r="32" spans="1:13" s="123" customFormat="1" ht="16.5" customHeight="1">
      <c r="A32" s="70" t="s">
        <v>39</v>
      </c>
      <c r="B32" s="368" t="s">
        <v>44</v>
      </c>
      <c r="C32" s="341">
        <v>121578</v>
      </c>
      <c r="D32" s="341">
        <v>131701</v>
      </c>
      <c r="E32" s="341">
        <v>139579</v>
      </c>
      <c r="F32" s="341">
        <v>151477</v>
      </c>
      <c r="G32" s="341">
        <v>156484</v>
      </c>
      <c r="H32" s="341">
        <v>160122</v>
      </c>
      <c r="I32" s="341">
        <v>154294</v>
      </c>
      <c r="J32" s="341">
        <v>154381</v>
      </c>
      <c r="K32" s="341">
        <v>164829</v>
      </c>
      <c r="L32" s="341">
        <v>176642</v>
      </c>
      <c r="M32" s="341">
        <v>187550</v>
      </c>
    </row>
    <row r="33" spans="1:13" s="204" customFormat="1" ht="12.75" customHeight="1">
      <c r="A33" s="64"/>
      <c r="B33" s="92" t="s">
        <v>52</v>
      </c>
      <c r="C33" s="343">
        <v>72195</v>
      </c>
      <c r="D33" s="343">
        <v>76785</v>
      </c>
      <c r="E33" s="343">
        <v>81559</v>
      </c>
      <c r="F33" s="343">
        <v>90015</v>
      </c>
      <c r="G33" s="343">
        <v>93318</v>
      </c>
      <c r="H33" s="343">
        <v>95274</v>
      </c>
      <c r="I33" s="343">
        <v>91777</v>
      </c>
      <c r="J33" s="343">
        <v>91973</v>
      </c>
      <c r="K33" s="343">
        <v>97999</v>
      </c>
      <c r="L33" s="343">
        <v>104485</v>
      </c>
      <c r="M33" s="343">
        <v>111526</v>
      </c>
    </row>
    <row r="34" spans="1:13" s="204" customFormat="1" ht="12.75" customHeight="1">
      <c r="A34" s="64"/>
      <c r="B34" s="92" t="s">
        <v>53</v>
      </c>
      <c r="C34" s="343">
        <v>49383</v>
      </c>
      <c r="D34" s="343">
        <v>54916</v>
      </c>
      <c r="E34" s="343">
        <v>58020</v>
      </c>
      <c r="F34" s="343">
        <v>61462</v>
      </c>
      <c r="G34" s="343">
        <v>63166</v>
      </c>
      <c r="H34" s="343">
        <v>64848</v>
      </c>
      <c r="I34" s="343">
        <v>62517</v>
      </c>
      <c r="J34" s="343">
        <v>62408</v>
      </c>
      <c r="K34" s="343">
        <v>66830</v>
      </c>
      <c r="L34" s="343">
        <v>72157</v>
      </c>
      <c r="M34" s="343">
        <v>76024</v>
      </c>
    </row>
    <row r="35" spans="1:13" s="123" customFormat="1" ht="16.5" customHeight="1">
      <c r="A35" s="70" t="s">
        <v>40</v>
      </c>
      <c r="B35" s="368" t="s">
        <v>44</v>
      </c>
      <c r="C35" s="341">
        <v>86141</v>
      </c>
      <c r="D35" s="341">
        <v>92512</v>
      </c>
      <c r="E35" s="341">
        <v>87217</v>
      </c>
      <c r="F35" s="341">
        <v>96190</v>
      </c>
      <c r="G35" s="341">
        <v>100748</v>
      </c>
      <c r="H35" s="341">
        <v>109438</v>
      </c>
      <c r="I35" s="341">
        <v>116716</v>
      </c>
      <c r="J35" s="341">
        <v>112080</v>
      </c>
      <c r="K35" s="341">
        <v>131699</v>
      </c>
      <c r="L35" s="341">
        <v>140516</v>
      </c>
      <c r="M35" s="341">
        <v>140492</v>
      </c>
    </row>
    <row r="36" spans="1:13" s="204" customFormat="1" ht="12.75" customHeight="1">
      <c r="A36" s="64"/>
      <c r="B36" s="92" t="s">
        <v>52</v>
      </c>
      <c r="C36" s="343">
        <v>47924</v>
      </c>
      <c r="D36" s="343">
        <v>51518</v>
      </c>
      <c r="E36" s="343">
        <v>49327</v>
      </c>
      <c r="F36" s="343">
        <v>51835</v>
      </c>
      <c r="G36" s="343">
        <v>54544</v>
      </c>
      <c r="H36" s="343">
        <v>59360</v>
      </c>
      <c r="I36" s="343">
        <v>64879</v>
      </c>
      <c r="J36" s="343">
        <v>62193</v>
      </c>
      <c r="K36" s="343">
        <v>73823</v>
      </c>
      <c r="L36" s="343">
        <v>80965</v>
      </c>
      <c r="M36" s="343">
        <v>84220</v>
      </c>
    </row>
    <row r="37" spans="1:13" s="204" customFormat="1" ht="12.75" customHeight="1">
      <c r="A37" s="72"/>
      <c r="B37" s="92" t="s">
        <v>53</v>
      </c>
      <c r="C37" s="343">
        <v>38217</v>
      </c>
      <c r="D37" s="343">
        <v>40994</v>
      </c>
      <c r="E37" s="343">
        <v>37890</v>
      </c>
      <c r="F37" s="343">
        <v>44355</v>
      </c>
      <c r="G37" s="343">
        <v>46204</v>
      </c>
      <c r="H37" s="343">
        <v>50078</v>
      </c>
      <c r="I37" s="343">
        <v>51837</v>
      </c>
      <c r="J37" s="343">
        <v>49887</v>
      </c>
      <c r="K37" s="343">
        <v>57876</v>
      </c>
      <c r="L37" s="343">
        <v>59551</v>
      </c>
      <c r="M37" s="343">
        <v>56272</v>
      </c>
    </row>
    <row r="38" spans="1:13" s="123" customFormat="1" ht="16.5" customHeight="1">
      <c r="A38" s="73" t="s">
        <v>71</v>
      </c>
      <c r="B38" s="368" t="s">
        <v>44</v>
      </c>
      <c r="C38" s="341">
        <v>105322</v>
      </c>
      <c r="D38" s="341">
        <v>110928</v>
      </c>
      <c r="E38" s="341">
        <v>123959</v>
      </c>
      <c r="F38" s="341">
        <v>134392</v>
      </c>
      <c r="G38" s="341">
        <v>144380</v>
      </c>
      <c r="H38" s="341">
        <v>158963</v>
      </c>
      <c r="I38" s="341">
        <v>156193</v>
      </c>
      <c r="J38" s="341">
        <v>160105</v>
      </c>
      <c r="K38" s="341">
        <v>178832</v>
      </c>
      <c r="L38" s="341">
        <v>174778</v>
      </c>
      <c r="M38" s="341">
        <v>191324</v>
      </c>
    </row>
    <row r="39" spans="1:13" s="204" customFormat="1" ht="12.75" customHeight="1">
      <c r="A39" s="72"/>
      <c r="B39" s="92" t="s">
        <v>52</v>
      </c>
      <c r="C39" s="343">
        <v>53934</v>
      </c>
      <c r="D39" s="343">
        <v>55240</v>
      </c>
      <c r="E39" s="343">
        <v>59921</v>
      </c>
      <c r="F39" s="343">
        <v>68658</v>
      </c>
      <c r="G39" s="343">
        <v>74185</v>
      </c>
      <c r="H39" s="343">
        <v>79728</v>
      </c>
      <c r="I39" s="343">
        <v>73564</v>
      </c>
      <c r="J39" s="343">
        <v>76579</v>
      </c>
      <c r="K39" s="343">
        <v>87653</v>
      </c>
      <c r="L39" s="343">
        <v>85329</v>
      </c>
      <c r="M39" s="343">
        <v>95369</v>
      </c>
    </row>
    <row r="40" spans="1:13" s="204" customFormat="1" ht="12.75" customHeight="1">
      <c r="A40" s="72"/>
      <c r="B40" s="75" t="s">
        <v>53</v>
      </c>
      <c r="C40" s="344">
        <v>51388</v>
      </c>
      <c r="D40" s="344">
        <v>55688</v>
      </c>
      <c r="E40" s="344">
        <v>64038</v>
      </c>
      <c r="F40" s="344">
        <v>65734</v>
      </c>
      <c r="G40" s="344">
        <v>70195</v>
      </c>
      <c r="H40" s="344">
        <v>79235</v>
      </c>
      <c r="I40" s="344">
        <v>82629</v>
      </c>
      <c r="J40" s="344">
        <v>83526</v>
      </c>
      <c r="K40" s="344">
        <v>91179</v>
      </c>
      <c r="L40" s="344">
        <v>89449</v>
      </c>
      <c r="M40" s="344">
        <v>95955</v>
      </c>
    </row>
    <row r="41" spans="1:13" s="204" customFormat="1" ht="14.25" customHeight="1">
      <c r="A41" s="948"/>
      <c r="B41" s="948"/>
      <c r="C41" s="948"/>
      <c r="D41" s="948"/>
      <c r="E41" s="948"/>
      <c r="F41" s="948"/>
      <c r="G41" s="948"/>
      <c r="H41" s="948"/>
      <c r="I41" s="948"/>
      <c r="J41" s="68"/>
      <c r="K41" s="68"/>
      <c r="L41" s="68"/>
      <c r="M41" s="68"/>
    </row>
    <row r="42" spans="1:13" ht="15" customHeight="1">
      <c r="A42" s="19" t="s">
        <v>137</v>
      </c>
      <c r="B42" s="33"/>
      <c r="C42" s="68"/>
      <c r="D42" s="68"/>
      <c r="E42" s="68"/>
      <c r="F42" s="68"/>
      <c r="G42" s="68"/>
      <c r="H42" s="68"/>
      <c r="I42" s="68"/>
      <c r="J42" s="68"/>
      <c r="K42" s="68"/>
      <c r="L42" s="68"/>
      <c r="M42" s="68"/>
    </row>
    <row r="43" spans="1:13" ht="15" customHeight="1"/>
    <row r="50" spans="2:2">
      <c r="B50" s="125"/>
    </row>
  </sheetData>
  <mergeCells count="6">
    <mergeCell ref="V1:AA4"/>
    <mergeCell ref="A1:M1"/>
    <mergeCell ref="A41:I41"/>
    <mergeCell ref="P1:T1"/>
    <mergeCell ref="P2:T4"/>
    <mergeCell ref="P5:T6"/>
  </mergeCells>
  <conditionalFormatting sqref="A1 A41 A42:F1048576 A2:F4 A5:J40 N1:O8 U5:XFD7 U1:U4 AB1:XFD4 AC8:XFD9 Q9 Q12:Q13 N10:P12 R10:XFD10 N14:XFD1048576 N13:Q13 AC11:XFD13">
    <cfRule type="cellIs" dxfId="2680" priority="6" operator="equal">
      <formula>0</formula>
    </cfRule>
  </conditionalFormatting>
  <conditionalFormatting sqref="N5:O7">
    <cfRule type="containsText" dxfId="2679" priority="5" operator="containsText" text="FALSO">
      <formula>NOT(ISERROR(SEARCH("FALSO",N5)))</formula>
    </cfRule>
  </conditionalFormatting>
  <conditionalFormatting sqref="P5 P1">
    <cfRule type="cellIs" dxfId="2678" priority="4" operator="equal">
      <formula>0</formula>
    </cfRule>
  </conditionalFormatting>
  <conditionalFormatting sqref="P5">
    <cfRule type="containsText" dxfId="2677" priority="3" operator="containsText" text="FALSO">
      <formula>NOT(ISERROR(SEARCH("FALSO",P5)))</formula>
    </cfRule>
  </conditionalFormatting>
  <conditionalFormatting sqref="Q7">
    <cfRule type="cellIs" dxfId="2676" priority="1" operator="equal">
      <formula>0</formula>
    </cfRule>
  </conditionalFormatting>
  <hyperlinks>
    <hyperlink ref="R7" r:id="rId1" xr:uid="{C9837B90-7931-490F-AA41-85DD89EFBA75}"/>
  </hyperlinks>
  <printOptions horizontalCentered="1"/>
  <pageMargins left="0.27559055118110237" right="0.27559055118110237" top="1.7716535433070868" bottom="0.47244094488188981" header="0.19685039370078741" footer="0.19685039370078741"/>
  <pageSetup paperSize="9" orientation="portrait" r:id="rId2"/>
  <headerFooter>
    <oddHeader>&amp;C&amp;G</oddHeader>
  </headerFooter>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E2162-3D49-4ED9-99F6-D048C3D926D1}">
  <sheetPr>
    <tabColor rgb="FFFFFF00"/>
  </sheetPr>
  <dimension ref="A1:U20"/>
  <sheetViews>
    <sheetView showGridLines="0" showRowColHeaders="0" zoomScaleNormal="100" workbookViewId="0">
      <selection sqref="A1:XFD1048576"/>
    </sheetView>
  </sheetViews>
  <sheetFormatPr defaultColWidth="0" defaultRowHeight="12.75" zeroHeight="1"/>
  <cols>
    <col min="1" max="21" width="9.140625" style="908" customWidth="1"/>
    <col min="22" max="16384" width="9.140625" style="908" hidden="1"/>
  </cols>
  <sheetData>
    <row r="1" spans="1:21">
      <c r="A1" s="911"/>
      <c r="B1" s="911"/>
      <c r="C1" s="911"/>
      <c r="D1" s="911"/>
      <c r="E1" s="911"/>
      <c r="F1" s="911"/>
      <c r="G1" s="911"/>
      <c r="H1" s="911"/>
      <c r="I1" s="911"/>
      <c r="J1" s="911"/>
      <c r="K1" s="911"/>
      <c r="L1" s="911"/>
      <c r="M1" s="911"/>
      <c r="N1" s="911"/>
      <c r="O1" s="911"/>
      <c r="P1" s="911"/>
      <c r="Q1" s="911"/>
      <c r="R1" s="911"/>
      <c r="S1" s="911"/>
      <c r="T1" s="911"/>
      <c r="U1" s="911"/>
    </row>
    <row r="2" spans="1:21">
      <c r="A2" s="911"/>
      <c r="B2" s="911"/>
      <c r="C2" s="911"/>
      <c r="D2" s="911"/>
      <c r="E2" s="911"/>
      <c r="F2" s="911"/>
      <c r="G2" s="911"/>
      <c r="H2" s="911"/>
      <c r="I2" s="911"/>
      <c r="J2" s="911"/>
      <c r="K2" s="911"/>
      <c r="L2" s="911"/>
      <c r="M2" s="911"/>
      <c r="N2" s="911"/>
      <c r="O2" s="911"/>
      <c r="P2" s="911"/>
      <c r="Q2" s="911"/>
      <c r="R2" s="911"/>
      <c r="S2" s="911"/>
      <c r="T2" s="911"/>
      <c r="U2" s="911"/>
    </row>
    <row r="3" spans="1:21">
      <c r="A3" s="911"/>
      <c r="B3" s="911"/>
      <c r="C3" s="911"/>
      <c r="D3" s="911"/>
      <c r="E3" s="911"/>
      <c r="F3" s="911"/>
      <c r="G3" s="911"/>
      <c r="H3" s="911"/>
      <c r="I3" s="911"/>
      <c r="J3" s="911"/>
      <c r="K3" s="911"/>
      <c r="L3" s="911"/>
      <c r="M3" s="911"/>
      <c r="N3" s="911"/>
      <c r="O3" s="911"/>
      <c r="P3" s="911"/>
      <c r="Q3" s="911"/>
      <c r="R3" s="911"/>
      <c r="S3" s="911"/>
      <c r="T3" s="911"/>
      <c r="U3" s="911"/>
    </row>
    <row r="4" spans="1:21" ht="6.75" customHeight="1">
      <c r="A4" s="911"/>
      <c r="B4" s="911"/>
      <c r="C4" s="911"/>
      <c r="D4" s="911"/>
      <c r="E4" s="911"/>
      <c r="F4" s="911"/>
      <c r="G4" s="911"/>
      <c r="H4" s="911"/>
      <c r="I4" s="911"/>
      <c r="J4" s="911"/>
      <c r="K4" s="911"/>
      <c r="L4" s="911"/>
      <c r="M4" s="911"/>
      <c r="N4" s="911"/>
      <c r="O4" s="911"/>
      <c r="P4" s="911"/>
      <c r="Q4" s="911"/>
      <c r="R4" s="911"/>
      <c r="S4" s="911"/>
      <c r="T4" s="911"/>
      <c r="U4" s="911"/>
    </row>
    <row r="5" spans="1:21" ht="174" customHeight="1">
      <c r="A5" s="934" t="s">
        <v>955</v>
      </c>
      <c r="B5" s="934"/>
      <c r="C5" s="934"/>
      <c r="D5" s="934"/>
      <c r="E5" s="934"/>
      <c r="F5" s="934"/>
      <c r="G5" s="934"/>
      <c r="H5" s="934"/>
      <c r="I5" s="934"/>
      <c r="J5" s="934"/>
      <c r="K5" s="934"/>
      <c r="L5" s="934"/>
      <c r="M5" s="934"/>
      <c r="N5" s="934"/>
      <c r="O5" s="934"/>
      <c r="P5" s="934"/>
      <c r="Q5" s="934"/>
      <c r="R5" s="934"/>
      <c r="S5" s="934"/>
      <c r="T5" s="934"/>
      <c r="U5" s="934"/>
    </row>
    <row r="6" spans="1:21" ht="228.6" customHeight="1">
      <c r="A6" s="935" t="s">
        <v>760</v>
      </c>
      <c r="B6" s="935"/>
      <c r="C6" s="935"/>
      <c r="D6" s="935"/>
      <c r="E6" s="935"/>
      <c r="F6" s="935"/>
      <c r="G6" s="935"/>
      <c r="H6" s="935"/>
      <c r="I6" s="935"/>
      <c r="J6" s="935"/>
      <c r="K6" s="935"/>
      <c r="L6" s="935"/>
      <c r="M6" s="935"/>
      <c r="N6" s="935"/>
      <c r="O6" s="935"/>
      <c r="P6" s="935"/>
      <c r="Q6" s="935"/>
      <c r="R6" s="935"/>
      <c r="S6" s="935"/>
      <c r="T6" s="935"/>
      <c r="U6" s="935"/>
    </row>
    <row r="7" spans="1:21" ht="129" customHeight="1">
      <c r="A7" s="935" t="s">
        <v>761</v>
      </c>
      <c r="B7" s="935"/>
      <c r="C7" s="935"/>
      <c r="D7" s="935"/>
      <c r="E7" s="935"/>
      <c r="F7" s="935"/>
      <c r="G7" s="935"/>
      <c r="H7" s="935"/>
      <c r="I7" s="935"/>
      <c r="J7" s="935"/>
      <c r="K7" s="935"/>
      <c r="L7" s="935"/>
      <c r="M7" s="935"/>
      <c r="N7" s="935"/>
      <c r="O7" s="935"/>
      <c r="P7" s="935"/>
      <c r="Q7" s="935"/>
      <c r="R7" s="935"/>
      <c r="S7" s="935"/>
      <c r="T7" s="935"/>
      <c r="U7" s="935"/>
    </row>
    <row r="8" spans="1:21" ht="88.5" customHeight="1">
      <c r="A8" s="935" t="s">
        <v>762</v>
      </c>
      <c r="B8" s="935"/>
      <c r="C8" s="935"/>
      <c r="D8" s="935"/>
      <c r="E8" s="935"/>
      <c r="F8" s="935"/>
      <c r="G8" s="935"/>
      <c r="H8" s="935"/>
      <c r="I8" s="935"/>
      <c r="J8" s="935"/>
      <c r="K8" s="935"/>
      <c r="L8" s="935"/>
      <c r="M8" s="935"/>
      <c r="N8" s="935"/>
      <c r="O8" s="935"/>
      <c r="P8" s="935"/>
      <c r="Q8" s="935"/>
      <c r="R8" s="935"/>
      <c r="S8" s="935"/>
      <c r="T8" s="935"/>
      <c r="U8" s="935"/>
    </row>
    <row r="9" spans="1:21" ht="11.25" customHeight="1">
      <c r="A9" s="936" t="s">
        <v>763</v>
      </c>
      <c r="B9" s="936"/>
      <c r="C9" s="936"/>
      <c r="D9" s="936"/>
      <c r="E9" s="936"/>
      <c r="F9" s="936"/>
      <c r="G9" s="936"/>
      <c r="H9" s="936"/>
      <c r="I9" s="936"/>
      <c r="J9" s="936"/>
      <c r="K9" s="936"/>
      <c r="L9" s="936"/>
      <c r="M9" s="936"/>
      <c r="N9" s="936"/>
      <c r="O9" s="936"/>
      <c r="P9" s="936"/>
      <c r="Q9" s="936"/>
      <c r="R9" s="936"/>
      <c r="S9" s="936"/>
      <c r="T9" s="936"/>
      <c r="U9" s="936"/>
    </row>
    <row r="10" spans="1:21" ht="40.5" customHeight="1">
      <c r="A10" s="935" t="s">
        <v>764</v>
      </c>
      <c r="B10" s="935"/>
      <c r="C10" s="935"/>
      <c r="D10" s="935"/>
      <c r="E10" s="935"/>
      <c r="F10" s="935"/>
      <c r="G10" s="935"/>
      <c r="H10" s="935"/>
      <c r="I10" s="935"/>
      <c r="J10" s="935"/>
      <c r="K10" s="935"/>
      <c r="L10" s="935"/>
      <c r="M10" s="935"/>
      <c r="N10" s="935"/>
      <c r="O10" s="935"/>
      <c r="P10" s="935"/>
      <c r="Q10" s="935"/>
      <c r="R10" s="935"/>
      <c r="S10" s="935"/>
      <c r="T10" s="935"/>
      <c r="U10" s="935"/>
    </row>
    <row r="11" spans="1:21" ht="25.5" customHeight="1">
      <c r="A11" s="931" t="s">
        <v>956</v>
      </c>
      <c r="B11" s="931"/>
      <c r="C11" s="931"/>
      <c r="D11" s="931"/>
      <c r="E11" s="931"/>
      <c r="F11" s="931"/>
      <c r="G11" s="931"/>
      <c r="H11" s="931"/>
      <c r="I11" s="931"/>
      <c r="J11" s="931"/>
      <c r="K11" s="931"/>
      <c r="L11" s="931"/>
      <c r="M11" s="931"/>
      <c r="N11" s="931"/>
      <c r="O11" s="931"/>
      <c r="P11" s="931"/>
      <c r="Q11" s="931"/>
      <c r="R11" s="931"/>
      <c r="S11" s="931"/>
      <c r="T11" s="931"/>
      <c r="U11" s="931"/>
    </row>
    <row r="12" spans="1:21">
      <c r="A12" s="932" t="s">
        <v>765</v>
      </c>
      <c r="B12" s="932"/>
      <c r="C12" s="932"/>
      <c r="D12" s="932"/>
      <c r="E12" s="932"/>
      <c r="F12" s="932"/>
      <c r="G12" s="932"/>
      <c r="H12" s="932"/>
      <c r="I12" s="932"/>
      <c r="J12" s="932"/>
      <c r="K12" s="932"/>
      <c r="L12" s="932"/>
      <c r="M12" s="932"/>
      <c r="N12" s="932"/>
      <c r="O12" s="932"/>
      <c r="P12" s="932"/>
      <c r="Q12" s="932"/>
      <c r="R12" s="932"/>
      <c r="S12" s="932"/>
      <c r="T12" s="932"/>
      <c r="U12" s="932"/>
    </row>
    <row r="13" spans="1:21" ht="10.5" customHeight="1">
      <c r="A13" s="933" t="s">
        <v>766</v>
      </c>
      <c r="B13" s="933"/>
      <c r="C13" s="933"/>
      <c r="D13" s="933"/>
      <c r="E13" s="933"/>
      <c r="F13" s="933"/>
      <c r="G13" s="933"/>
      <c r="H13" s="933"/>
      <c r="I13" s="933"/>
      <c r="J13" s="933"/>
      <c r="K13" s="933"/>
      <c r="L13" s="933"/>
      <c r="M13" s="933"/>
      <c r="N13" s="933"/>
      <c r="O13" s="933"/>
      <c r="P13" s="933"/>
      <c r="Q13" s="933"/>
      <c r="R13" s="933"/>
      <c r="S13" s="933"/>
      <c r="T13" s="933"/>
      <c r="U13" s="933"/>
    </row>
    <row r="14" spans="1:21" ht="5.25" customHeight="1">
      <c r="A14" s="911"/>
      <c r="B14" s="911"/>
      <c r="C14" s="911"/>
      <c r="D14" s="911"/>
      <c r="E14" s="911"/>
      <c r="F14" s="911"/>
      <c r="G14" s="911"/>
      <c r="H14" s="911"/>
      <c r="I14" s="911"/>
      <c r="J14" s="911"/>
      <c r="K14" s="911"/>
      <c r="L14" s="911"/>
      <c r="M14" s="911"/>
      <c r="N14" s="911"/>
      <c r="O14" s="911"/>
      <c r="P14" s="911"/>
      <c r="Q14" s="911"/>
      <c r="R14" s="911"/>
      <c r="S14" s="911"/>
      <c r="T14" s="911"/>
      <c r="U14" s="911"/>
    </row>
    <row r="15" spans="1:21" hidden="1"/>
    <row r="16" spans="1:21" hidden="1"/>
    <row r="17" spans="4:4" hidden="1"/>
    <row r="18" spans="4:4" hidden="1"/>
    <row r="19" spans="4:4" hidden="1"/>
    <row r="20" spans="4:4" hidden="1">
      <c r="D20" s="909"/>
    </row>
  </sheetData>
  <sheetProtection algorithmName="SHA-512" hashValue="nOZ/qiiT8xOFo9rz9cEaW4HCTV1yTBAS2OxZAAge5dWVZc2/6jJcCDT4EMjbeIXc6LMJ4K7FErjGJa+26RuHjw==" saltValue="u+zRyZe35pHoIi8WEBtgqA==" spinCount="100000" sheet="1" objects="1" scenarios="1" selectLockedCells="1" selectUnlockedCells="1"/>
  <mergeCells count="9">
    <mergeCell ref="A11:U11"/>
    <mergeCell ref="A12:U12"/>
    <mergeCell ref="A13:U13"/>
    <mergeCell ref="A5:U5"/>
    <mergeCell ref="A6:U6"/>
    <mergeCell ref="A7:U7"/>
    <mergeCell ref="A8:U8"/>
    <mergeCell ref="A9:U9"/>
    <mergeCell ref="A10:U10"/>
  </mergeCells>
  <hyperlinks>
    <hyperlink ref="A12:U12" r:id="rId1" display="Mais informação disponível em: Classificação Portuguesa das Profissões : 2010. Lisboa : INE, 2011" xr:uid="{6A99C6A1-509B-492A-9B56-976A51AA2ACA}"/>
    <hyperlink ref="A13:U13" r:id="rId2" display="Estrutura dos Níveis de Qualificação disponível em: Decreto-Lei n.º 121/78, de 2 de junho." xr:uid="{A5DEA4F8-B54E-489A-B156-AAAB55A9AEB7}"/>
    <hyperlink ref="A9:U9" r:id="rId3" display="Mais informação disponível em : Classificação Portuguesa das Actividades Económicas, Revisão 3. Lisboa : INE, 2007. " xr:uid="{07F9DD5E-4F22-44F3-AB09-D5895C01CE41}"/>
  </hyperlinks>
  <printOptions horizontalCentered="1" verticalCentered="1"/>
  <pageMargins left="0.19685039370078741" right="0.19685039370078741" top="0.19685039370078741" bottom="0.19685039370078741" header="0.19685039370078741" footer="0.19685039370078741"/>
  <pageSetup paperSize="9" scale="75" fitToWidth="0" fitToHeight="0" orientation="landscape" horizontalDpi="1200" verticalDpi="1200"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A3396-7776-4D2D-AD5B-3C42D4A77E23}">
  <sheetPr>
    <tabColor rgb="FFFFFF00"/>
    <pageSetUpPr fitToPage="1"/>
  </sheetPr>
  <dimension ref="A1:GB43"/>
  <sheetViews>
    <sheetView showGridLines="0" workbookViewId="0">
      <selection activeCell="Y70" sqref="Y70"/>
    </sheetView>
  </sheetViews>
  <sheetFormatPr defaultColWidth="9.140625" defaultRowHeight="17.25" customHeight="1"/>
  <cols>
    <col min="1" max="1" width="14.7109375" style="129" customWidth="1"/>
    <col min="2" max="2" width="2.42578125" style="129" customWidth="1"/>
    <col min="3" max="13" width="6.42578125" style="129" customWidth="1"/>
    <col min="14" max="14" width="9.140625" style="133"/>
    <col min="15" max="17" width="9.140625" style="129"/>
    <col min="18" max="18" width="11.85546875" style="129" bestFit="1" customWidth="1"/>
    <col min="19" max="19" width="10.85546875" style="129" bestFit="1" customWidth="1"/>
    <col min="20" max="28" width="10.140625" style="129" bestFit="1" customWidth="1"/>
    <col min="29" max="184" width="9.140625" style="129"/>
    <col min="185" max="16384" width="9.140625" style="27"/>
  </cols>
  <sheetData>
    <row r="1" spans="1:40" s="134" customFormat="1" ht="28.5" customHeight="1">
      <c r="A1" s="952" t="str">
        <f>+'q23'!A1:M1</f>
        <v>Quadro 23- Remuneração média mensal base(1) por dimensão do estabelecimento e sexo</v>
      </c>
      <c r="B1" s="952"/>
      <c r="C1" s="952"/>
      <c r="D1" s="952"/>
      <c r="E1" s="952"/>
      <c r="F1" s="952"/>
      <c r="G1" s="952"/>
      <c r="H1" s="952"/>
      <c r="I1" s="952"/>
      <c r="J1" s="952"/>
      <c r="K1" s="952"/>
      <c r="L1" s="952"/>
      <c r="M1" s="952"/>
      <c r="N1" s="241"/>
      <c r="P1" s="408" t="s">
        <v>245</v>
      </c>
    </row>
    <row r="2" spans="1:40" s="135" customFormat="1" ht="15" customHeight="1">
      <c r="A2" s="275"/>
      <c r="B2" s="275"/>
      <c r="C2" s="276"/>
      <c r="D2" s="276"/>
      <c r="E2" s="276"/>
      <c r="F2" s="276"/>
      <c r="G2" s="276"/>
      <c r="H2" s="276"/>
      <c r="I2" s="276"/>
      <c r="J2" s="276"/>
      <c r="K2" s="276"/>
      <c r="L2" s="276"/>
      <c r="M2" s="276"/>
      <c r="N2" s="137"/>
      <c r="P2" s="129" t="s">
        <v>246</v>
      </c>
    </row>
    <row r="3" spans="1:40" s="237" customFormat="1" ht="15" customHeight="1">
      <c r="A3" s="242" t="s">
        <v>13</v>
      </c>
      <c r="B3" s="243"/>
      <c r="C3" s="360"/>
      <c r="D3" s="360"/>
      <c r="E3" s="313"/>
      <c r="F3" s="313"/>
      <c r="G3" s="313"/>
      <c r="H3" s="313"/>
      <c r="I3" s="313"/>
      <c r="J3" s="313"/>
      <c r="K3" s="313"/>
      <c r="L3" s="313"/>
      <c r="M3" s="313" t="s">
        <v>67</v>
      </c>
      <c r="N3" s="239"/>
      <c r="P3" s="262" t="s">
        <v>247</v>
      </c>
      <c r="AD3" s="571" t="s">
        <v>491</v>
      </c>
    </row>
    <row r="4" spans="1:40" s="248" customFormat="1" ht="28.5" customHeight="1" thickBot="1">
      <c r="A4" s="246"/>
      <c r="B4" s="246"/>
      <c r="C4" s="229">
        <f>+'q23'!C4</f>
        <v>2014</v>
      </c>
      <c r="D4" s="229">
        <f>+'q23'!D4</f>
        <v>2015</v>
      </c>
      <c r="E4" s="229">
        <f>+'q23'!E4</f>
        <v>2016</v>
      </c>
      <c r="F4" s="229">
        <f>+'q23'!F4</f>
        <v>2017</v>
      </c>
      <c r="G4" s="229">
        <f>+'q23'!G4</f>
        <v>2018</v>
      </c>
      <c r="H4" s="229">
        <f>+'q23'!H4</f>
        <v>2019</v>
      </c>
      <c r="I4" s="229">
        <f>+'q23'!I4</f>
        <v>2020</v>
      </c>
      <c r="J4" s="229">
        <f>+'q23'!J4</f>
        <v>2021</v>
      </c>
      <c r="K4" s="229">
        <f>+'q23'!K4</f>
        <v>2022</v>
      </c>
      <c r="L4" s="229">
        <f>+'q23'!L4</f>
        <v>2023</v>
      </c>
      <c r="M4" s="229">
        <f>+'q23'!M4</f>
        <v>2024</v>
      </c>
      <c r="N4" s="247"/>
      <c r="P4" s="246"/>
      <c r="Q4" s="246"/>
      <c r="R4" s="229">
        <f>+C4</f>
        <v>2014</v>
      </c>
      <c r="S4" s="229">
        <f t="shared" ref="S4:AB4" si="0">+D4</f>
        <v>2015</v>
      </c>
      <c r="T4" s="229">
        <f t="shared" si="0"/>
        <v>2016</v>
      </c>
      <c r="U4" s="229">
        <f t="shared" si="0"/>
        <v>2017</v>
      </c>
      <c r="V4" s="229">
        <f t="shared" si="0"/>
        <v>2018</v>
      </c>
      <c r="W4" s="229">
        <f t="shared" si="0"/>
        <v>2019</v>
      </c>
      <c r="X4" s="229">
        <f t="shared" si="0"/>
        <v>2020</v>
      </c>
      <c r="Y4" s="229">
        <f t="shared" si="0"/>
        <v>2021</v>
      </c>
      <c r="Z4" s="229">
        <f t="shared" si="0"/>
        <v>2022</v>
      </c>
      <c r="AA4" s="229">
        <f t="shared" si="0"/>
        <v>2023</v>
      </c>
      <c r="AB4" s="229">
        <f t="shared" si="0"/>
        <v>2024</v>
      </c>
      <c r="AD4" s="248">
        <f>+C4</f>
        <v>2014</v>
      </c>
      <c r="AE4" s="248">
        <f t="shared" ref="AE4:AL4" si="1">+D4</f>
        <v>2015</v>
      </c>
      <c r="AF4" s="248">
        <f t="shared" si="1"/>
        <v>2016</v>
      </c>
      <c r="AG4" s="248">
        <f t="shared" si="1"/>
        <v>2017</v>
      </c>
      <c r="AH4" s="248">
        <f t="shared" si="1"/>
        <v>2018</v>
      </c>
      <c r="AI4" s="248">
        <f t="shared" si="1"/>
        <v>2019</v>
      </c>
      <c r="AJ4" s="248">
        <f t="shared" si="1"/>
        <v>2020</v>
      </c>
      <c r="AK4" s="248">
        <f t="shared" si="1"/>
        <v>2021</v>
      </c>
      <c r="AL4" s="248">
        <f t="shared" si="1"/>
        <v>2022</v>
      </c>
      <c r="AM4" s="248">
        <f>+L4</f>
        <v>2023</v>
      </c>
      <c r="AN4" s="248">
        <f>+M4</f>
        <v>2024</v>
      </c>
    </row>
    <row r="5" spans="1:40" s="250" customFormat="1" ht="16.5" customHeight="1" thickTop="1">
      <c r="A5" s="236" t="str">
        <f>+'q23'!A5</f>
        <v>Total</v>
      </c>
      <c r="B5" s="236" t="str">
        <f>+'q23'!B5</f>
        <v>T</v>
      </c>
      <c r="C5" s="354">
        <f>+'q23'!C5</f>
        <v>909.49</v>
      </c>
      <c r="D5" s="354">
        <f>+'q23'!D5</f>
        <v>913.93</v>
      </c>
      <c r="E5" s="354">
        <f>+'q23'!E5</f>
        <v>924.94</v>
      </c>
      <c r="F5" s="354">
        <f>+'q23'!F5</f>
        <v>943</v>
      </c>
      <c r="G5" s="354">
        <f>+'q23'!G5</f>
        <v>970.42</v>
      </c>
      <c r="H5" s="354">
        <f>+'q23'!H5</f>
        <v>1005.09</v>
      </c>
      <c r="I5" s="354">
        <f>+'q23'!I5</f>
        <v>1041.99</v>
      </c>
      <c r="J5" s="354">
        <f>+'q23'!J5</f>
        <v>1082.77</v>
      </c>
      <c r="K5" s="354">
        <f>+'q23'!K5</f>
        <v>1143.45</v>
      </c>
      <c r="L5" s="354">
        <f>+'q23'!L5</f>
        <v>1219.8699999999999</v>
      </c>
      <c r="M5" s="354">
        <f>+'q23'!M5</f>
        <v>1308.96</v>
      </c>
      <c r="N5" s="249"/>
      <c r="P5" s="236" t="s">
        <v>11</v>
      </c>
      <c r="Q5" s="372" t="s">
        <v>44</v>
      </c>
      <c r="R5" s="409">
        <f>+(R8+R11+R14+R17+R20+R23+R26+R29+R32+R35+R38)/q14a!C5</f>
        <v>909.49060227443044</v>
      </c>
      <c r="S5" s="409">
        <f>+(S8+S11+S14+S17+S20+S23+S26+S29+S32+S35+S38)/q14a!D5</f>
        <v>913.92485896206733</v>
      </c>
      <c r="T5" s="409">
        <f>+(T8+T11+T14+T17+T20+T23+T26+T29+T32+T35+T38)/q14a!E5</f>
        <v>924.94001896432496</v>
      </c>
      <c r="U5" s="409">
        <f>+(U8+U11+U14+U17+U20+U23+U26+U29+U32+U35+U38)/q14a!F5</f>
        <v>943.00084905647088</v>
      </c>
      <c r="V5" s="409">
        <f>+(V8+V11+V14+V17+V20+V23+V26+V29+V32+V35+V38)/q14a!G5</f>
        <v>970.4175903183434</v>
      </c>
      <c r="W5" s="409">
        <f>+(W8+W11+W14+W17+W20+W23+W26+W29+W32+W35+W38)/q14a!H5</f>
        <v>1005.0868982306039</v>
      </c>
      <c r="X5" s="409">
        <f>+(X8+X11+X14+X17+X20+X23+X26+X29+X32+X35+X38)/q14a!I5</f>
        <v>1041.9954434092781</v>
      </c>
      <c r="Y5" s="409">
        <f>+(Y8+Y11+Y14+Y17+Y20+Y23+Y26+Y29+Y32+Y35+Y38)/q14a!J5</f>
        <v>1082.7721282662772</v>
      </c>
      <c r="Z5" s="409">
        <f>+(Z8+Z11+Z14+Z17+Z20+Z23+Z26+Z29+Z32+Z35+Z38)/q14a!K5</f>
        <v>1143.4449741994808</v>
      </c>
      <c r="AA5" s="409">
        <f>+(AA8+AA11+AA14+AA17+AA20+AA23+AA26+AA29+AA32+AA35+AA38)/q14a!L5</f>
        <v>1219.8676861849569</v>
      </c>
      <c r="AB5" s="409">
        <f>+(AB8+AB11+AB14+AB17+AB20+AB23+AB26+AB29+AB32+AB35+AB38)/q14a!M5</f>
        <v>1308.961710950249</v>
      </c>
      <c r="AD5" s="570">
        <f>+R5-C5</f>
        <v>6.0227443043459061E-4</v>
      </c>
      <c r="AE5" s="570">
        <f t="shared" ref="AE5:AN5" si="2">+S5-D5</f>
        <v>-5.1410379326171096E-3</v>
      </c>
      <c r="AF5" s="570">
        <f t="shared" si="2"/>
        <v>1.8964324908665731E-5</v>
      </c>
      <c r="AG5" s="570">
        <f t="shared" si="2"/>
        <v>8.4905647088362457E-4</v>
      </c>
      <c r="AH5" s="570">
        <f t="shared" si="2"/>
        <v>-2.4096816565588597E-3</v>
      </c>
      <c r="AI5" s="570">
        <f t="shared" si="2"/>
        <v>-3.1017693961530313E-3</v>
      </c>
      <c r="AJ5" s="570">
        <f t="shared" si="2"/>
        <v>5.4434092780866195E-3</v>
      </c>
      <c r="AK5" s="570">
        <f t="shared" si="2"/>
        <v>2.1282662771682226E-3</v>
      </c>
      <c r="AL5" s="570">
        <f t="shared" si="2"/>
        <v>-5.0258005192063138E-3</v>
      </c>
      <c r="AM5" s="570">
        <f t="shared" si="2"/>
        <v>-2.3138150429531379E-3</v>
      </c>
      <c r="AN5" s="570">
        <f t="shared" si="2"/>
        <v>1.7109502489347506E-3</v>
      </c>
    </row>
    <row r="6" spans="1:40" s="250" customFormat="1" ht="12.75" customHeight="1">
      <c r="A6" s="226"/>
      <c r="B6" s="372" t="str">
        <f>+'q23'!B6</f>
        <v>H</v>
      </c>
      <c r="C6" s="355">
        <f>+'q23'!C6</f>
        <v>985.02</v>
      </c>
      <c r="D6" s="355">
        <f>+'q23'!D6</f>
        <v>990.05</v>
      </c>
      <c r="E6" s="355">
        <f>+'q23'!E6</f>
        <v>997.38</v>
      </c>
      <c r="F6" s="355">
        <f>+'q23'!F6</f>
        <v>1012.25</v>
      </c>
      <c r="G6" s="355">
        <f>+'q23'!G6</f>
        <v>1039.08</v>
      </c>
      <c r="H6" s="355">
        <f>+'q23'!H6</f>
        <v>1073.82</v>
      </c>
      <c r="I6" s="355">
        <f>+'q23'!I6</f>
        <v>1109.21</v>
      </c>
      <c r="J6" s="355">
        <f>+'q23'!J6</f>
        <v>1152.24</v>
      </c>
      <c r="K6" s="355">
        <f>+'q23'!K6</f>
        <v>1217.33</v>
      </c>
      <c r="L6" s="355">
        <f>+'q23'!L6</f>
        <v>1294.03</v>
      </c>
      <c r="M6" s="355">
        <f>+'q23'!M6</f>
        <v>1383.38</v>
      </c>
      <c r="P6" s="226"/>
      <c r="Q6" s="372" t="s">
        <v>52</v>
      </c>
      <c r="R6" s="409">
        <f>+(R9+R12+R15+R18+R21+R24+R27+R30+R33+R36+R39)/q14a!C6</f>
        <v>985.02073673194047</v>
      </c>
      <c r="S6" s="409">
        <f>+(S9+S12+S15+S18+S21+S24+S27+S30+S33+S36+S39)/q14a!D6</f>
        <v>990.0476899688399</v>
      </c>
      <c r="T6" s="409">
        <f>+(T9+T12+T15+T18+T21+T24+T27+T30+T33+T36+T39)/q14a!E6</f>
        <v>997.37962456376385</v>
      </c>
      <c r="U6" s="409">
        <f>+(U9+U12+U15+U18+U21+U24+U27+U30+U33+U36+U39)/q14a!F6</f>
        <v>1012.2485981904874</v>
      </c>
      <c r="V6" s="409">
        <f>+(V9+V12+V15+V18+V21+V24+V27+V30+V33+V36+V39)/q14a!G6</f>
        <v>1039.0804202570484</v>
      </c>
      <c r="W6" s="409">
        <f>+(W9+W12+W15+W18+W21+W24+W27+W30+W33+W36+W39)/q14a!H6</f>
        <v>1073.819239250683</v>
      </c>
      <c r="X6" s="409">
        <f>+(X9+X12+X15+X18+X21+X24+X27+X30+X33+X36+X39)/q14a!I6</f>
        <v>1109.212818380943</v>
      </c>
      <c r="Y6" s="409">
        <f>+(Y9+Y12+Y15+Y18+Y21+Y24+Y27+Y30+Y33+Y36+Y39)/q14a!J6</f>
        <v>1152.2393276514599</v>
      </c>
      <c r="Z6" s="409">
        <f>+(Z9+Z12+Z15+Z18+Z21+Z24+Z27+Z30+Z33+Z36+Z39)/q14a!K6</f>
        <v>1217.3278873964875</v>
      </c>
      <c r="AA6" s="409">
        <f>+(AA9+AA12+AA15+AA18+AA21+AA24+AA27+AA30+AA33+AA36+AA39)/q14a!L6</f>
        <v>1294.0325328724884</v>
      </c>
      <c r="AB6" s="409">
        <f>+(AB9+AB12+AB15+AB18+AB21+AB24+AB27+AB30+AB33+AB36+AB39)/q14a!M6</f>
        <v>1383.3788437643552</v>
      </c>
      <c r="AD6" s="570">
        <f t="shared" ref="AD6:AD7" si="3">+R6-C6</f>
        <v>7.3673194049206359E-4</v>
      </c>
      <c r="AE6" s="570">
        <f t="shared" ref="AE6:AE7" si="4">+S6-D6</f>
        <v>-2.31003116005013E-3</v>
      </c>
      <c r="AF6" s="570">
        <f t="shared" ref="AF6:AF7" si="5">+T6-E6</f>
        <v>-3.7543623614055832E-4</v>
      </c>
      <c r="AG6" s="570">
        <f t="shared" ref="AG6:AG7" si="6">+U6-F6</f>
        <v>-1.401809512572072E-3</v>
      </c>
      <c r="AH6" s="570">
        <f t="shared" ref="AH6:AH7" si="7">+V6-G6</f>
        <v>4.2025704851766932E-4</v>
      </c>
      <c r="AI6" s="570">
        <f t="shared" ref="AI6:AI7" si="8">+W6-H6</f>
        <v>-7.6074931689618097E-4</v>
      </c>
      <c r="AJ6" s="570">
        <f t="shared" ref="AJ6:AJ7" si="9">+X6-I6</f>
        <v>2.8183809429265239E-3</v>
      </c>
      <c r="AK6" s="570">
        <f t="shared" ref="AK6:AK7" si="10">+Y6-J6</f>
        <v>-6.7234854009257106E-4</v>
      </c>
      <c r="AL6" s="570">
        <f t="shared" ref="AL6:AL7" si="11">+Z6-K6</f>
        <v>-2.1126035123870679E-3</v>
      </c>
      <c r="AM6" s="570">
        <f t="shared" ref="AM6:AM7" si="12">+AA6-L6</f>
        <v>2.5328724884730036E-3</v>
      </c>
      <c r="AN6" s="570">
        <f t="shared" ref="AN6:AN7" si="13">+AB6-M6</f>
        <v>-1.1562356448848732E-3</v>
      </c>
    </row>
    <row r="7" spans="1:40" s="250" customFormat="1" ht="12.75" customHeight="1">
      <c r="A7" s="226"/>
      <c r="B7" s="372" t="str">
        <f>+'q23'!B7</f>
        <v>M</v>
      </c>
      <c r="C7" s="355">
        <f>+'q23'!C7</f>
        <v>820.25</v>
      </c>
      <c r="D7" s="355">
        <f>+'q23'!D7</f>
        <v>824.99</v>
      </c>
      <c r="E7" s="355">
        <f>+'q23'!E7</f>
        <v>840.26</v>
      </c>
      <c r="F7" s="355">
        <f>+'q23'!F7</f>
        <v>861.17</v>
      </c>
      <c r="G7" s="355">
        <f>+'q23'!G7</f>
        <v>888.56</v>
      </c>
      <c r="H7" s="355">
        <f>+'q23'!H7</f>
        <v>922.63</v>
      </c>
      <c r="I7" s="355">
        <f>+'q23'!I7</f>
        <v>960.27</v>
      </c>
      <c r="J7" s="355">
        <f>+'q23'!J7</f>
        <v>999.33</v>
      </c>
      <c r="K7" s="355">
        <f>+'q23'!K7</f>
        <v>1054.3599999999999</v>
      </c>
      <c r="L7" s="355">
        <f>+'q23'!L7</f>
        <v>1129.6400000000001</v>
      </c>
      <c r="M7" s="355">
        <f>+'q23'!M7</f>
        <v>1216.8499999999999</v>
      </c>
      <c r="P7" s="226"/>
      <c r="Q7" s="372" t="s">
        <v>53</v>
      </c>
      <c r="R7" s="409">
        <f>+(R10+R13+R16+R19+R22+R25+R28+R31+R34+R37+R40)/q14a!C7</f>
        <v>820.25218501750123</v>
      </c>
      <c r="S7" s="409">
        <f>+(S10+S13+S16+S19+S22+S25+S28+S31+S34+S37+S40)/q14a!D7</f>
        <v>824.99256731033108</v>
      </c>
      <c r="T7" s="409">
        <f>+(T10+T13+T16+T19+T22+T25+T28+T31+T34+T37+T40)/q14a!E7</f>
        <v>840.26165338506678</v>
      </c>
      <c r="U7" s="409">
        <f>+(U10+U13+U16+U19+U22+U25+U28+U31+U34+U37+U40)/q14a!F7</f>
        <v>861.16557264595144</v>
      </c>
      <c r="V7" s="409">
        <f>+(V10+V13+V16+V19+V22+V25+V28+V31+V34+V37+V40)/q14a!G7</f>
        <v>888.55783785126982</v>
      </c>
      <c r="W7" s="409">
        <f>+(W10+W13+W16+W19+W22+W25+W28+W31+W34+W37+W40)/q14a!H7</f>
        <v>922.625328401052</v>
      </c>
      <c r="X7" s="409">
        <f>+(X10+X13+X16+X19+X22+X25+X28+X31+X34+X37+X40)/q14a!I7</f>
        <v>960.26715988036653</v>
      </c>
      <c r="Y7" s="409">
        <f>+(Y10+Y13+Y16+Y19+Y22+Y25+Y28+Y31+Y34+Y37+Y40)/q14a!J7</f>
        <v>999.3239305430933</v>
      </c>
      <c r="Z7" s="409">
        <f>+(Z10+Z13+Z16+Z19+Z22+Z25+Z28+Z31+Z34+Z37+Z40)/q14a!K7</f>
        <v>1054.3626929957047</v>
      </c>
      <c r="AA7" s="409">
        <f>+(AA10+AA13+AA16+AA19+AA22+AA25+AA28+AA31+AA34+AA37+AA40)/q14a!L7</f>
        <v>1129.6436430588642</v>
      </c>
      <c r="AB7" s="409">
        <f>+(AB10+AB13+AB16+AB19+AB22+AB25+AB28+AB31+AB34+AB37+AB40)/q14a!M7</f>
        <v>1216.8454295100112</v>
      </c>
      <c r="AD7" s="570">
        <f t="shared" si="3"/>
        <v>2.1850175012332329E-3</v>
      </c>
      <c r="AE7" s="570">
        <f t="shared" si="4"/>
        <v>2.5673103310737133E-3</v>
      </c>
      <c r="AF7" s="570">
        <f t="shared" si="5"/>
        <v>1.6533850667883598E-3</v>
      </c>
      <c r="AG7" s="570">
        <f t="shared" si="6"/>
        <v>-4.4273540485164631E-3</v>
      </c>
      <c r="AH7" s="570">
        <f t="shared" si="7"/>
        <v>-2.1621487301217712E-3</v>
      </c>
      <c r="AI7" s="570">
        <f t="shared" si="8"/>
        <v>-4.671598947993516E-3</v>
      </c>
      <c r="AJ7" s="570">
        <f t="shared" si="9"/>
        <v>-2.8401196334471024E-3</v>
      </c>
      <c r="AK7" s="570">
        <f t="shared" si="10"/>
        <v>-6.0694569067436532E-3</v>
      </c>
      <c r="AL7" s="570">
        <f t="shared" si="11"/>
        <v>2.6929957048196229E-3</v>
      </c>
      <c r="AM7" s="570">
        <f t="shared" si="12"/>
        <v>3.6430588640996575E-3</v>
      </c>
      <c r="AN7" s="570">
        <f t="shared" si="13"/>
        <v>-4.5704899887368811E-3</v>
      </c>
    </row>
    <row r="8" spans="1:40" s="250" customFormat="1" ht="16.5" customHeight="1">
      <c r="A8" s="251" t="str">
        <f>+'q23'!A8</f>
        <v>1-4 pessoas</v>
      </c>
      <c r="B8" s="372" t="str">
        <f>+'q23'!B8</f>
        <v>T</v>
      </c>
      <c r="C8" s="355">
        <f>+'q23'!C8</f>
        <v>696.74</v>
      </c>
      <c r="D8" s="355">
        <f>+'q23'!D8</f>
        <v>695.43</v>
      </c>
      <c r="E8" s="355">
        <f>+'q23'!E8</f>
        <v>713.56</v>
      </c>
      <c r="F8" s="355">
        <f>+'q23'!F8</f>
        <v>735.67</v>
      </c>
      <c r="G8" s="355">
        <f>+'q23'!G8</f>
        <v>760.35</v>
      </c>
      <c r="H8" s="355">
        <f>+'q23'!H8</f>
        <v>790.84</v>
      </c>
      <c r="I8" s="355">
        <f>+'q23'!I8</f>
        <v>826.78</v>
      </c>
      <c r="J8" s="355">
        <f>+'q23'!J8</f>
        <v>864.27</v>
      </c>
      <c r="K8" s="355">
        <f>+'q23'!K8</f>
        <v>911.82</v>
      </c>
      <c r="L8" s="355">
        <f>+'q23'!L8</f>
        <v>979.57</v>
      </c>
      <c r="M8" s="355">
        <f>+'q23'!M8</f>
        <v>1053.02</v>
      </c>
      <c r="P8" s="251" t="s">
        <v>31</v>
      </c>
      <c r="Q8" s="372" t="s">
        <v>44</v>
      </c>
      <c r="R8" s="409">
        <f>+$C$8*q14a!$C$8</f>
        <v>189808001.02000001</v>
      </c>
      <c r="S8" s="409">
        <f>+$D$8*q14a!$D$8</f>
        <v>191189006.45999998</v>
      </c>
      <c r="T8" s="409">
        <f>+$E$8*q14a!$E$8</f>
        <v>197187311.07999998</v>
      </c>
      <c r="U8" s="409">
        <f>+$F$8*q14a!$F$8</f>
        <v>201554452.57999998</v>
      </c>
      <c r="V8" s="409">
        <f>+$G$8*q14a!$G$8</f>
        <v>208082703.45000002</v>
      </c>
      <c r="W8" s="409">
        <f>+$H$8*q14a!$H$8</f>
        <v>208917784.48000002</v>
      </c>
      <c r="X8" s="409">
        <f>+$I$8*q14a!$I$8</f>
        <v>212129424.94</v>
      </c>
      <c r="Y8" s="409">
        <f>+$J$8*q14a!$J$8</f>
        <v>221513265.26999998</v>
      </c>
      <c r="Z8" s="409">
        <f>+$K$8*q14a!$K$8</f>
        <v>243899084.52000001</v>
      </c>
      <c r="AA8" s="409">
        <f>+$L$8*q14a!$L$8</f>
        <v>264185131.15000001</v>
      </c>
      <c r="AB8" s="409">
        <f>+$M$8*q14a!$M$8</f>
        <v>277883553.83999997</v>
      </c>
    </row>
    <row r="9" spans="1:40" s="250" customFormat="1" ht="12.75" customHeight="1">
      <c r="A9" s="244"/>
      <c r="B9" s="258" t="str">
        <f>+'q23'!B9</f>
        <v>H</v>
      </c>
      <c r="C9" s="356">
        <f>+'q23'!C9</f>
        <v>734.19</v>
      </c>
      <c r="D9" s="356">
        <f>+'q23'!D9</f>
        <v>733.24</v>
      </c>
      <c r="E9" s="356">
        <f>+'q23'!E9</f>
        <v>748.98</v>
      </c>
      <c r="F9" s="356">
        <f>+'q23'!F9</f>
        <v>771.32</v>
      </c>
      <c r="G9" s="356">
        <f>+'q23'!G9</f>
        <v>796.38</v>
      </c>
      <c r="H9" s="356">
        <f>+'q23'!H9</f>
        <v>828.72</v>
      </c>
      <c r="I9" s="356">
        <f>+'q23'!I9</f>
        <v>865.07</v>
      </c>
      <c r="J9" s="356">
        <f>+'q23'!J9</f>
        <v>905.46</v>
      </c>
      <c r="K9" s="356">
        <f>+'q23'!K9</f>
        <v>955.23</v>
      </c>
      <c r="L9" s="356">
        <f>+'q23'!L9</f>
        <v>1022.88</v>
      </c>
      <c r="M9" s="356">
        <f>+'q23'!M9</f>
        <v>1100.01</v>
      </c>
      <c r="P9" s="244"/>
      <c r="Q9" s="258" t="s">
        <v>52</v>
      </c>
      <c r="R9" s="409">
        <f>+$C$9*q14a!$C$9</f>
        <v>100767577.50000001</v>
      </c>
      <c r="S9" s="409">
        <f>+$D$9*q14a!$D$9</f>
        <v>100285968.04000001</v>
      </c>
      <c r="T9" s="409">
        <f>+$E$9*q14a!$E$9</f>
        <v>103722495.3</v>
      </c>
      <c r="U9" s="409">
        <f>+$F$9*q14a!$F$9</f>
        <v>105980139.32000001</v>
      </c>
      <c r="V9" s="409">
        <f>+$G$9*q14a!$G$9</f>
        <v>109565164.02</v>
      </c>
      <c r="W9" s="409">
        <f>+$H$9*q14a!$H$9</f>
        <v>110402907.12</v>
      </c>
      <c r="X9" s="409">
        <f>+$I$9*q14a!$I$9</f>
        <v>113222956.81</v>
      </c>
      <c r="Y9" s="409">
        <f>+$J$9*q14a!$J$9</f>
        <v>117699839.94</v>
      </c>
      <c r="Z9" s="409">
        <f>+$K$9*q14a!$K$9</f>
        <v>129292290.96000001</v>
      </c>
      <c r="AA9" s="409">
        <f>+$L$9*q14a!$L$9</f>
        <v>139572998.88</v>
      </c>
      <c r="AB9" s="409">
        <f>+$M$9*q14a!$M$9</f>
        <v>148032745.74000001</v>
      </c>
    </row>
    <row r="10" spans="1:40" s="250" customFormat="1" ht="12.75" customHeight="1">
      <c r="A10" s="244"/>
      <c r="B10" s="258" t="str">
        <f>+'q23'!B10</f>
        <v>M</v>
      </c>
      <c r="C10" s="356">
        <f>+'q23'!C10</f>
        <v>658.71</v>
      </c>
      <c r="D10" s="356">
        <f>+'q23'!D10</f>
        <v>658.01</v>
      </c>
      <c r="E10" s="356">
        <f>+'q23'!E10</f>
        <v>677.99</v>
      </c>
      <c r="F10" s="356">
        <f>+'q23'!F10</f>
        <v>699.8</v>
      </c>
      <c r="G10" s="356">
        <f>+'q23'!G10</f>
        <v>723.93</v>
      </c>
      <c r="H10" s="356">
        <f>+'q23'!H10</f>
        <v>752.31</v>
      </c>
      <c r="I10" s="356">
        <f>+'q23'!I10</f>
        <v>786.91</v>
      </c>
      <c r="J10" s="356">
        <f>+'q23'!J10</f>
        <v>821.89</v>
      </c>
      <c r="K10" s="356">
        <f>+'q23'!K10</f>
        <v>867.35</v>
      </c>
      <c r="L10" s="356">
        <f>+'q23'!L10</f>
        <v>935.22</v>
      </c>
      <c r="M10" s="356">
        <f>+'q23'!M10</f>
        <v>1004.12</v>
      </c>
      <c r="P10" s="244"/>
      <c r="Q10" s="258" t="s">
        <v>53</v>
      </c>
      <c r="R10" s="409">
        <f>+$C$10*q14a!$C$10</f>
        <v>89039806.829999998</v>
      </c>
      <c r="S10" s="409">
        <f>+$D$10*q14a!$D$10</f>
        <v>90904739.510000005</v>
      </c>
      <c r="T10" s="409">
        <f>+$E$10*q14a!$E$10</f>
        <v>93466345.420000002</v>
      </c>
      <c r="U10" s="409">
        <f>+$F$10*q14a!$F$10</f>
        <v>95573785.399999991</v>
      </c>
      <c r="V10" s="409">
        <f>+$G$10*q14a!$G$10</f>
        <v>98518185.839999989</v>
      </c>
      <c r="W10" s="409">
        <f>+$H$10*q14a!$H$10</f>
        <v>98515746.809999987</v>
      </c>
      <c r="X10" s="409">
        <f>+$I$10*q14a!$I$10</f>
        <v>98906717.899999991</v>
      </c>
      <c r="Y10" s="409">
        <f>+$J$10*q14a!$J$10</f>
        <v>103814569.67999999</v>
      </c>
      <c r="Z10" s="409">
        <f>+$K$10*q14a!$K$10</f>
        <v>114606424.90000001</v>
      </c>
      <c r="AA10" s="409">
        <f>+$L$10*q14a!$L$10</f>
        <v>124612453.68000001</v>
      </c>
      <c r="AB10" s="409">
        <f>+$M$10*q14a!$M$10</f>
        <v>129850790.16</v>
      </c>
    </row>
    <row r="11" spans="1:40" s="252" customFormat="1" ht="16.5" customHeight="1">
      <c r="A11" s="251" t="str">
        <f>+'q23'!A11</f>
        <v>5-9 pessoas</v>
      </c>
      <c r="B11" s="372" t="str">
        <f>+'q23'!B11</f>
        <v>T</v>
      </c>
      <c r="C11" s="355">
        <f>+'q23'!C11</f>
        <v>790.93</v>
      </c>
      <c r="D11" s="355">
        <f>+'q23'!D11</f>
        <v>788.81</v>
      </c>
      <c r="E11" s="355">
        <f>+'q23'!E11</f>
        <v>797.98</v>
      </c>
      <c r="F11" s="355">
        <f>+'q23'!F11</f>
        <v>812.39</v>
      </c>
      <c r="G11" s="355">
        <f>+'q23'!G11</f>
        <v>834.91</v>
      </c>
      <c r="H11" s="355">
        <f>+'q23'!H11</f>
        <v>857.51</v>
      </c>
      <c r="I11" s="355">
        <f>+'q23'!I11</f>
        <v>895.07</v>
      </c>
      <c r="J11" s="355">
        <f>+'q23'!J11</f>
        <v>929.09</v>
      </c>
      <c r="K11" s="355">
        <f>+'q23'!K11</f>
        <v>974.65</v>
      </c>
      <c r="L11" s="355">
        <f>+'q23'!L11</f>
        <v>1038.05</v>
      </c>
      <c r="M11" s="355">
        <f>+'q23'!M11</f>
        <v>1103.8499999999999</v>
      </c>
      <c r="P11" s="251" t="s">
        <v>32</v>
      </c>
      <c r="Q11" s="372" t="s">
        <v>44</v>
      </c>
      <c r="R11" s="409">
        <f>+$C$11*q14a!$C$11</f>
        <v>209805255.51999998</v>
      </c>
      <c r="S11" s="409">
        <f>+$D$11*q14a!$D$11</f>
        <v>213788807.86999997</v>
      </c>
      <c r="T11" s="409">
        <f>+$E$11*q14a!$E$11</f>
        <v>222317228</v>
      </c>
      <c r="U11" s="409">
        <f>+$F$11*q14a!$F$11</f>
        <v>229959175.34999999</v>
      </c>
      <c r="V11" s="409">
        <f>+$G$11*q14a!$G$11</f>
        <v>241386674.47</v>
      </c>
      <c r="W11" s="409">
        <f>+$H$11*q14a!$H$11</f>
        <v>246601010.78</v>
      </c>
      <c r="X11" s="409">
        <f>+$I$11*q14a!$I$11</f>
        <v>247677504.91000003</v>
      </c>
      <c r="Y11" s="409">
        <f>+$J$11*q14a!$J$11</f>
        <v>258772934.07000002</v>
      </c>
      <c r="Z11" s="409">
        <f>+$K$11*q14a!$K$11</f>
        <v>286044180.59999996</v>
      </c>
      <c r="AA11" s="409">
        <f>+$L$11*q14a!$L$11</f>
        <v>312823633.84999996</v>
      </c>
      <c r="AB11" s="409">
        <f>+$M$11*q14a!$M$11</f>
        <v>330704629.19999999</v>
      </c>
    </row>
    <row r="12" spans="1:40" s="250" customFormat="1" ht="12.75" customHeight="1">
      <c r="A12" s="244"/>
      <c r="B12" s="258" t="str">
        <f>+'q23'!B12</f>
        <v>H</v>
      </c>
      <c r="C12" s="356">
        <f>+'q23'!C12</f>
        <v>825.8</v>
      </c>
      <c r="D12" s="356">
        <f>+'q23'!D12</f>
        <v>821.42</v>
      </c>
      <c r="E12" s="356">
        <f>+'q23'!E12</f>
        <v>829.27</v>
      </c>
      <c r="F12" s="356">
        <f>+'q23'!F12</f>
        <v>841.69</v>
      </c>
      <c r="G12" s="356">
        <f>+'q23'!G12</f>
        <v>865.63</v>
      </c>
      <c r="H12" s="356">
        <f>+'q23'!H12</f>
        <v>887.47</v>
      </c>
      <c r="I12" s="356">
        <f>+'q23'!I12</f>
        <v>923.87</v>
      </c>
      <c r="J12" s="356">
        <f>+'q23'!J12</f>
        <v>958.76</v>
      </c>
      <c r="K12" s="356">
        <f>+'q23'!K12</f>
        <v>1007.55</v>
      </c>
      <c r="L12" s="356">
        <f>+'q23'!L12</f>
        <v>1071.22</v>
      </c>
      <c r="M12" s="356">
        <f>+'q23'!M12</f>
        <v>1137.44</v>
      </c>
      <c r="P12" s="244"/>
      <c r="Q12" s="258" t="s">
        <v>52</v>
      </c>
      <c r="R12" s="409">
        <f>+$C$12*q14a!$C$12</f>
        <v>119037418.39999999</v>
      </c>
      <c r="S12" s="409">
        <f>+$D$12*q14a!$D$12</f>
        <v>120346244.19999999</v>
      </c>
      <c r="T12" s="409">
        <f>+$E$12*q14a!$E$12</f>
        <v>125204843.14</v>
      </c>
      <c r="U12" s="409">
        <f>+$F$12*q14a!$F$12</f>
        <v>128531113.14000002</v>
      </c>
      <c r="V12" s="409">
        <f>+$G$12*q14a!$G$12</f>
        <v>135242568.68000001</v>
      </c>
      <c r="W12" s="409">
        <f>+$H$12*q14a!$H$12</f>
        <v>138311312.03</v>
      </c>
      <c r="X12" s="409">
        <f>+$I$12*q14a!$I$12</f>
        <v>140474433.5</v>
      </c>
      <c r="Y12" s="409">
        <f>+$J$12*q14a!$J$12</f>
        <v>145632767.72</v>
      </c>
      <c r="Z12" s="409">
        <f>+$K$12*q14a!$K$12</f>
        <v>160703217.44999999</v>
      </c>
      <c r="AA12" s="409">
        <f>+$L$12*q14a!$L$12</f>
        <v>175815053.72</v>
      </c>
      <c r="AB12" s="409">
        <f>+$M$12*q14a!$M$12</f>
        <v>185941866.56</v>
      </c>
    </row>
    <row r="13" spans="1:40" s="250" customFormat="1" ht="12.75" customHeight="1">
      <c r="A13" s="244"/>
      <c r="B13" s="258" t="str">
        <f>+'q23'!B13</f>
        <v>M</v>
      </c>
      <c r="C13" s="356">
        <f>+'q23'!C13</f>
        <v>749.43</v>
      </c>
      <c r="D13" s="356">
        <f>+'q23'!D13</f>
        <v>750.43</v>
      </c>
      <c r="E13" s="356">
        <f>+'q23'!E13</f>
        <v>760.95</v>
      </c>
      <c r="F13" s="356">
        <f>+'q23'!F13</f>
        <v>778.07</v>
      </c>
      <c r="G13" s="356">
        <f>+'q23'!G13</f>
        <v>798.79</v>
      </c>
      <c r="H13" s="356">
        <f>+'q23'!H13</f>
        <v>822.06</v>
      </c>
      <c r="I13" s="356">
        <f>+'q23'!I13</f>
        <v>859.95</v>
      </c>
      <c r="J13" s="356">
        <f>+'q23'!J13</f>
        <v>893.49</v>
      </c>
      <c r="K13" s="356">
        <f>+'q23'!K13</f>
        <v>935.49</v>
      </c>
      <c r="L13" s="356">
        <f>+'q23'!L13</f>
        <v>998.37</v>
      </c>
      <c r="M13" s="356">
        <f>+'q23'!M13</f>
        <v>1063.52</v>
      </c>
      <c r="P13" s="244"/>
      <c r="Q13" s="258" t="s">
        <v>53</v>
      </c>
      <c r="R13" s="409">
        <f>+$C$13*q14a!$C$13</f>
        <v>90767963.879999995</v>
      </c>
      <c r="S13" s="409">
        <f>+$D$13*q14a!$D$13</f>
        <v>93441292.309999987</v>
      </c>
      <c r="T13" s="409">
        <f>+$E$13*q14a!$E$13</f>
        <v>97110917.100000009</v>
      </c>
      <c r="U13" s="409">
        <f>+$F$13*q14a!$F$13</f>
        <v>101428427.13000001</v>
      </c>
      <c r="V13" s="409">
        <f>+$G$13*q14a!$G$13</f>
        <v>106144013.98999999</v>
      </c>
      <c r="W13" s="409">
        <f>+$H$13*q14a!$H$13</f>
        <v>108289141.73999999</v>
      </c>
      <c r="X13" s="409">
        <f>+$I$13*q14a!$I$13</f>
        <v>107203946.85000001</v>
      </c>
      <c r="Y13" s="409">
        <f>+$J$13*q14a!$J$13</f>
        <v>113139064.73999999</v>
      </c>
      <c r="Z13" s="409">
        <f>+$K$13*q14a!$K$13</f>
        <v>125341627.65000001</v>
      </c>
      <c r="AA13" s="409">
        <f>+$L$13*q14a!$L$13</f>
        <v>137007313.47</v>
      </c>
      <c r="AB13" s="409">
        <f>+$M$13*q14a!$M$13</f>
        <v>144764215.35999998</v>
      </c>
    </row>
    <row r="14" spans="1:40" s="252" customFormat="1" ht="16.5" customHeight="1">
      <c r="A14" s="251" t="str">
        <f>+'q23'!A14</f>
        <v>10-19 pessoas</v>
      </c>
      <c r="B14" s="372" t="str">
        <f>+'q23'!B14</f>
        <v>T</v>
      </c>
      <c r="C14" s="355">
        <f>+'q23'!C14</f>
        <v>837.94</v>
      </c>
      <c r="D14" s="355">
        <f>+'q23'!D14</f>
        <v>837.01</v>
      </c>
      <c r="E14" s="355">
        <f>+'q23'!E14</f>
        <v>844.79</v>
      </c>
      <c r="F14" s="355">
        <f>+'q23'!F14</f>
        <v>861.51</v>
      </c>
      <c r="G14" s="355">
        <f>+'q23'!G14</f>
        <v>883.23</v>
      </c>
      <c r="H14" s="355">
        <f>+'q23'!H14</f>
        <v>908.83</v>
      </c>
      <c r="I14" s="355">
        <f>+'q23'!I14</f>
        <v>952.08</v>
      </c>
      <c r="J14" s="355">
        <f>+'q23'!J14</f>
        <v>983.94</v>
      </c>
      <c r="K14" s="355">
        <f>+'q23'!K14</f>
        <v>1031.22</v>
      </c>
      <c r="L14" s="355">
        <f>+'q23'!L14</f>
        <v>1095.53</v>
      </c>
      <c r="M14" s="355">
        <f>+'q23'!M14</f>
        <v>1167.53</v>
      </c>
      <c r="P14" s="251" t="s">
        <v>33</v>
      </c>
      <c r="Q14" s="372" t="s">
        <v>44</v>
      </c>
      <c r="R14" s="409">
        <f>+$C$14*q14a!$C$14</f>
        <v>220155327.96000001</v>
      </c>
      <c r="S14" s="409">
        <f>+$D$14*q14a!$D$14</f>
        <v>227430683.18000001</v>
      </c>
      <c r="T14" s="409">
        <f>+$E$14*q14a!$E$14</f>
        <v>235415094.92999998</v>
      </c>
      <c r="U14" s="409">
        <f>+$F$14*q14a!$F$14</f>
        <v>249723319.16999999</v>
      </c>
      <c r="V14" s="409">
        <f>+$G$14*q14a!$G$14</f>
        <v>266519068.65000001</v>
      </c>
      <c r="W14" s="409">
        <f>+$H$14*q14a!$H$14</f>
        <v>277932937.62</v>
      </c>
      <c r="X14" s="409">
        <f>+$I$14*q14a!$I$14</f>
        <v>276186983.04000002</v>
      </c>
      <c r="Y14" s="409">
        <f>+$J$14*q14a!$J$14</f>
        <v>289741795.74000001</v>
      </c>
      <c r="Z14" s="409">
        <f>+$K$14*q14a!$K$14</f>
        <v>325302473.88</v>
      </c>
      <c r="AA14" s="409">
        <f>+$L$14*q14a!$L$14</f>
        <v>359075294.92000002</v>
      </c>
      <c r="AB14" s="409">
        <f>+$M$14*q14a!$M$14</f>
        <v>387845293.28999996</v>
      </c>
    </row>
    <row r="15" spans="1:40" s="250" customFormat="1" ht="12.75" customHeight="1">
      <c r="A15" s="244"/>
      <c r="B15" s="258" t="str">
        <f>+'q23'!B15</f>
        <v>H</v>
      </c>
      <c r="C15" s="356">
        <f>+'q23'!C15</f>
        <v>888.5</v>
      </c>
      <c r="D15" s="356">
        <f>+'q23'!D15</f>
        <v>888.6</v>
      </c>
      <c r="E15" s="356">
        <f>+'q23'!E15</f>
        <v>891.34</v>
      </c>
      <c r="F15" s="356">
        <f>+'q23'!F15</f>
        <v>905.07</v>
      </c>
      <c r="G15" s="356">
        <f>+'q23'!G15</f>
        <v>925.08</v>
      </c>
      <c r="H15" s="356">
        <f>+'q23'!H15</f>
        <v>952.55</v>
      </c>
      <c r="I15" s="356">
        <f>+'q23'!I15</f>
        <v>992.62</v>
      </c>
      <c r="J15" s="356">
        <f>+'q23'!J15</f>
        <v>1026.97</v>
      </c>
      <c r="K15" s="356">
        <f>+'q23'!K15</f>
        <v>1075.83</v>
      </c>
      <c r="L15" s="356">
        <f>+'q23'!L15</f>
        <v>1137.3900000000001</v>
      </c>
      <c r="M15" s="356">
        <f>+'q23'!M15</f>
        <v>1210.95</v>
      </c>
      <c r="P15" s="244"/>
      <c r="Q15" s="258" t="s">
        <v>52</v>
      </c>
      <c r="R15" s="409">
        <f>+$C$15*q14a!$C$15</f>
        <v>130232776</v>
      </c>
      <c r="S15" s="409">
        <f>+$D$15*q14a!$D$15</f>
        <v>133750294.8</v>
      </c>
      <c r="T15" s="409">
        <f>+$E$15*q14a!$E$15</f>
        <v>138170178.75999999</v>
      </c>
      <c r="U15" s="409">
        <f>+$F$15*q14a!$F$15</f>
        <v>146769771.48000002</v>
      </c>
      <c r="V15" s="409">
        <f>+$G$15*q14a!$G$15</f>
        <v>156032318.52000001</v>
      </c>
      <c r="W15" s="409">
        <f>+$H$15*q14a!$H$15</f>
        <v>163610940.54999998</v>
      </c>
      <c r="X15" s="409">
        <f>+$I$15*q14a!$I$15</f>
        <v>165302993.84</v>
      </c>
      <c r="Y15" s="409">
        <f>+$J$15*q14a!$J$15</f>
        <v>171575877.90000001</v>
      </c>
      <c r="Z15" s="409">
        <f>+$K$15*q14a!$K$15</f>
        <v>191816185.67999998</v>
      </c>
      <c r="AA15" s="409">
        <f>+$L$15*q14a!$L$15</f>
        <v>210605956.74000001</v>
      </c>
      <c r="AB15" s="409">
        <f>+$M$15*q14a!$M$15</f>
        <v>228228957.45000002</v>
      </c>
    </row>
    <row r="16" spans="1:40" s="250" customFormat="1" ht="12.75" customHeight="1">
      <c r="A16" s="244"/>
      <c r="B16" s="258" t="str">
        <f>+'q23'!B16</f>
        <v>M</v>
      </c>
      <c r="C16" s="356">
        <f>+'q23'!C16</f>
        <v>774.14</v>
      </c>
      <c r="D16" s="356">
        <f>+'q23'!D16</f>
        <v>772.94</v>
      </c>
      <c r="E16" s="356">
        <f>+'q23'!E16</f>
        <v>786.44</v>
      </c>
      <c r="F16" s="356">
        <f>+'q23'!F16</f>
        <v>806.2</v>
      </c>
      <c r="G16" s="356">
        <f>+'q23'!G16</f>
        <v>830.19</v>
      </c>
      <c r="H16" s="356">
        <f>+'q23'!H16</f>
        <v>852.82</v>
      </c>
      <c r="I16" s="356">
        <f>+'q23'!I16</f>
        <v>897.43</v>
      </c>
      <c r="J16" s="356">
        <f>+'q23'!J16</f>
        <v>927.52</v>
      </c>
      <c r="K16" s="356">
        <f>+'q23'!K16</f>
        <v>973.23</v>
      </c>
      <c r="L16" s="356">
        <f>+'q23'!L16</f>
        <v>1041.17</v>
      </c>
      <c r="M16" s="356">
        <f>+'q23'!M16</f>
        <v>1110.58</v>
      </c>
      <c r="P16" s="244"/>
      <c r="Q16" s="258" t="s">
        <v>53</v>
      </c>
      <c r="R16" s="409">
        <f>+$C$16*q14a!$C$16</f>
        <v>89922554.120000005</v>
      </c>
      <c r="S16" s="409">
        <f>+$D$16*q14a!$D$16</f>
        <v>93680328</v>
      </c>
      <c r="T16" s="409">
        <f>+$E$16*q14a!$E$16</f>
        <v>97245665.320000008</v>
      </c>
      <c r="U16" s="409">
        <f>+$F$16*q14a!$F$16</f>
        <v>102954158.60000001</v>
      </c>
      <c r="V16" s="409">
        <f>+$G$16*q14a!$G$16</f>
        <v>110486666.34</v>
      </c>
      <c r="W16" s="409">
        <f>+$H$16*q14a!$H$16</f>
        <v>114323079.46000001</v>
      </c>
      <c r="X16" s="409">
        <f>+$I$16*q14a!$I$16</f>
        <v>110882861.08</v>
      </c>
      <c r="Y16" s="409">
        <f>+$J$16*q14a!$J$16</f>
        <v>118166975.52</v>
      </c>
      <c r="Z16" s="409">
        <f>+$K$16*q14a!$K$16</f>
        <v>133486280.34</v>
      </c>
      <c r="AA16" s="409">
        <f>+$L$16*q14a!$L$16</f>
        <v>148468759.66</v>
      </c>
      <c r="AB16" s="409">
        <f>+$M$16*q14a!$M$16</f>
        <v>159614778.75999999</v>
      </c>
    </row>
    <row r="17" spans="1:28" s="252" customFormat="1" ht="16.5" customHeight="1">
      <c r="A17" s="251" t="str">
        <f>+'q23'!A17</f>
        <v>20-49 pessoas</v>
      </c>
      <c r="B17" s="372" t="str">
        <f>+'q23'!B17</f>
        <v>T</v>
      </c>
      <c r="C17" s="355">
        <f>+'q23'!C17</f>
        <v>902.52</v>
      </c>
      <c r="D17" s="355">
        <f>+'q23'!D17</f>
        <v>903.57</v>
      </c>
      <c r="E17" s="355">
        <f>+'q23'!E17</f>
        <v>909.77</v>
      </c>
      <c r="F17" s="355">
        <f>+'q23'!F17</f>
        <v>922.03</v>
      </c>
      <c r="G17" s="355">
        <f>+'q23'!G17</f>
        <v>946.48</v>
      </c>
      <c r="H17" s="355">
        <f>+'q23'!H17</f>
        <v>976.82</v>
      </c>
      <c r="I17" s="355">
        <f>+'q23'!I17</f>
        <v>1017.48</v>
      </c>
      <c r="J17" s="355">
        <f>+'q23'!J17</f>
        <v>1053.24</v>
      </c>
      <c r="K17" s="355">
        <f>+'q23'!K17</f>
        <v>1097.82</v>
      </c>
      <c r="L17" s="355">
        <f>+'q23'!L17</f>
        <v>1175.05</v>
      </c>
      <c r="M17" s="355">
        <f>+'q23'!M17</f>
        <v>1246.21</v>
      </c>
      <c r="P17" s="251" t="s">
        <v>34</v>
      </c>
      <c r="Q17" s="372" t="s">
        <v>44</v>
      </c>
      <c r="R17" s="409">
        <f>+$C$17*q14a!$C$17</f>
        <v>313184367.71999997</v>
      </c>
      <c r="S17" s="409">
        <f>+$D$17*q14a!$D$17</f>
        <v>321945605.28000003</v>
      </c>
      <c r="T17" s="409">
        <f>+$E$17*q14a!$E$17</f>
        <v>336280104.63999999</v>
      </c>
      <c r="U17" s="409">
        <f>+$F$17*q14a!$F$17</f>
        <v>353682409.73000002</v>
      </c>
      <c r="V17" s="409">
        <f>+$G$17*q14a!$G$17</f>
        <v>374316749.84000003</v>
      </c>
      <c r="W17" s="409">
        <f>+$H$17*q14a!$H$17</f>
        <v>387248567.16000003</v>
      </c>
      <c r="X17" s="409">
        <f>+$I$17*q14a!$I$17</f>
        <v>389652105.84000003</v>
      </c>
      <c r="Y17" s="409">
        <f>+$J$17*q14a!$J$17</f>
        <v>415429453.19999999</v>
      </c>
      <c r="Z17" s="409">
        <f>+$K$17*q14a!$K$17</f>
        <v>464694032.15999997</v>
      </c>
      <c r="AA17" s="409">
        <f>+$L$17*q14a!$L$17</f>
        <v>525309627.64999998</v>
      </c>
      <c r="AB17" s="409">
        <f>+$M$17*q14a!$M$17</f>
        <v>560687325.94000006</v>
      </c>
    </row>
    <row r="18" spans="1:28" s="250" customFormat="1" ht="12.75" customHeight="1">
      <c r="A18" s="244"/>
      <c r="B18" s="258" t="str">
        <f>+'q23'!B18</f>
        <v>H</v>
      </c>
      <c r="C18" s="356">
        <f>+'q23'!C18</f>
        <v>989.39</v>
      </c>
      <c r="D18" s="356">
        <f>+'q23'!D18</f>
        <v>985.06</v>
      </c>
      <c r="E18" s="356">
        <f>+'q23'!E18</f>
        <v>987.49</v>
      </c>
      <c r="F18" s="356">
        <f>+'q23'!F18</f>
        <v>994.57</v>
      </c>
      <c r="G18" s="356">
        <f>+'q23'!G18</f>
        <v>1014.74</v>
      </c>
      <c r="H18" s="356">
        <f>+'q23'!H18</f>
        <v>1044.2</v>
      </c>
      <c r="I18" s="356">
        <f>+'q23'!I18</f>
        <v>1086.75</v>
      </c>
      <c r="J18" s="356">
        <f>+'q23'!J18</f>
        <v>1124.78</v>
      </c>
      <c r="K18" s="356">
        <f>+'q23'!K18</f>
        <v>1169.52</v>
      </c>
      <c r="L18" s="356">
        <f>+'q23'!L18</f>
        <v>1247.47</v>
      </c>
      <c r="M18" s="356">
        <f>+'q23'!M18</f>
        <v>1317.27</v>
      </c>
      <c r="P18" s="244"/>
      <c r="Q18" s="258" t="s">
        <v>52</v>
      </c>
      <c r="R18" s="409">
        <f>+$C$18*q14a!$C$18</f>
        <v>183292412.62</v>
      </c>
      <c r="S18" s="409">
        <f>+$D$18*q14a!$D$18</f>
        <v>188367113.44</v>
      </c>
      <c r="T18" s="409">
        <f>+$E$18*q14a!$E$18</f>
        <v>195788654.81</v>
      </c>
      <c r="U18" s="409">
        <f>+$F$18*q14a!$F$18</f>
        <v>205710891.38000003</v>
      </c>
      <c r="V18" s="409">
        <f>+$G$18*q14a!$G$18</f>
        <v>217949916.16</v>
      </c>
      <c r="W18" s="409">
        <f>+$H$18*q14a!$H$18</f>
        <v>228151434.80000001</v>
      </c>
      <c r="X18" s="409">
        <f>+$I$18*q14a!$I$18</f>
        <v>231446234.25</v>
      </c>
      <c r="Y18" s="409">
        <f>+$J$18*q14a!$J$18</f>
        <v>245296521.51999998</v>
      </c>
      <c r="Z18" s="409">
        <f>+$K$18*q14a!$K$18</f>
        <v>273760072.07999998</v>
      </c>
      <c r="AA18" s="409">
        <f>+$L$18*q14a!$L$18</f>
        <v>310011264.63999999</v>
      </c>
      <c r="AB18" s="409">
        <f>+$M$18*q14a!$M$18</f>
        <v>332096939.69999999</v>
      </c>
    </row>
    <row r="19" spans="1:28" s="250" customFormat="1" ht="12.75" customHeight="1">
      <c r="A19" s="244"/>
      <c r="B19" s="258" t="str">
        <f>+'q23'!B19</f>
        <v>M</v>
      </c>
      <c r="C19" s="356">
        <f>+'q23'!C19</f>
        <v>803.03</v>
      </c>
      <c r="D19" s="356">
        <f>+'q23'!D19</f>
        <v>809.18</v>
      </c>
      <c r="E19" s="356">
        <f>+'q23'!E19</f>
        <v>819.84</v>
      </c>
      <c r="F19" s="356">
        <f>+'q23'!F19</f>
        <v>837.14</v>
      </c>
      <c r="G19" s="356">
        <f>+'q23'!G19</f>
        <v>865.33</v>
      </c>
      <c r="H19" s="356">
        <f>+'q23'!H19</f>
        <v>894.09</v>
      </c>
      <c r="I19" s="356">
        <f>+'q23'!I19</f>
        <v>930.69</v>
      </c>
      <c r="J19" s="356">
        <f>+'q23'!J19</f>
        <v>964.76</v>
      </c>
      <c r="K19" s="356">
        <f>+'q23'!K19</f>
        <v>1009.12</v>
      </c>
      <c r="L19" s="356">
        <f>+'q23'!L19</f>
        <v>1084.4000000000001</v>
      </c>
      <c r="M19" s="356">
        <f>+'q23'!M19</f>
        <v>1155.6500000000001</v>
      </c>
      <c r="P19" s="244"/>
      <c r="Q19" s="258" t="s">
        <v>53</v>
      </c>
      <c r="R19" s="409">
        <f>+$C$19*q14a!$C$19</f>
        <v>129892511.58999999</v>
      </c>
      <c r="S19" s="409">
        <f>+$D$19*q14a!$D$19</f>
        <v>133579434.39999999</v>
      </c>
      <c r="T19" s="409">
        <f>+$E$19*q14a!$E$19</f>
        <v>140490241.92000002</v>
      </c>
      <c r="U19" s="409">
        <f>+$F$19*q14a!$F$19</f>
        <v>147970354.97999999</v>
      </c>
      <c r="V19" s="409">
        <f>+$G$19*q14a!$G$19</f>
        <v>156364265.67000002</v>
      </c>
      <c r="W19" s="409">
        <f>+$H$19*q14a!$H$19</f>
        <v>159097950.96000001</v>
      </c>
      <c r="X19" s="409">
        <f>+$I$19*q14a!$I$19</f>
        <v>158205201.03</v>
      </c>
      <c r="Y19" s="409">
        <f>+$J$19*q14a!$J$19</f>
        <v>170131566.96000001</v>
      </c>
      <c r="Z19" s="409">
        <f>+$K$19*q14a!$K$19</f>
        <v>190934586.08000001</v>
      </c>
      <c r="AA19" s="409">
        <f>+$L$19*q14a!$L$19</f>
        <v>215297860.40000001</v>
      </c>
      <c r="AB19" s="409">
        <f>+$M$19*q14a!$M$19</f>
        <v>228592192.60000002</v>
      </c>
    </row>
    <row r="20" spans="1:28" s="252" customFormat="1" ht="16.5" customHeight="1">
      <c r="A20" s="251" t="str">
        <f>+'q23'!A20</f>
        <v>50-99 pessoas</v>
      </c>
      <c r="B20" s="372" t="str">
        <f>+'q23'!B20</f>
        <v>T</v>
      </c>
      <c r="C20" s="355">
        <f>+'q23'!C20</f>
        <v>951.36</v>
      </c>
      <c r="D20" s="355">
        <f>+'q23'!D20</f>
        <v>956.59</v>
      </c>
      <c r="E20" s="355">
        <f>+'q23'!E20</f>
        <v>961.1</v>
      </c>
      <c r="F20" s="355">
        <f>+'q23'!F20</f>
        <v>983.11</v>
      </c>
      <c r="G20" s="355">
        <f>+'q23'!G20</f>
        <v>1008.03</v>
      </c>
      <c r="H20" s="355">
        <f>+'q23'!H20</f>
        <v>1039.8599999999999</v>
      </c>
      <c r="I20" s="355">
        <f>+'q23'!I20</f>
        <v>1078.0899999999999</v>
      </c>
      <c r="J20" s="355">
        <f>+'q23'!J20</f>
        <v>1129.73</v>
      </c>
      <c r="K20" s="355">
        <f>+'q23'!K20</f>
        <v>1176.08</v>
      </c>
      <c r="L20" s="355">
        <f>+'q23'!L20</f>
        <v>1252.82</v>
      </c>
      <c r="M20" s="355">
        <f>+'q23'!M20</f>
        <v>1334.17</v>
      </c>
      <c r="P20" s="251" t="s">
        <v>35</v>
      </c>
      <c r="Q20" s="372" t="s">
        <v>44</v>
      </c>
      <c r="R20" s="409">
        <f>+$C$20*q14a!$C$20</f>
        <v>214764763.20000002</v>
      </c>
      <c r="S20" s="409">
        <f>+$D$20*q14a!$D$20</f>
        <v>229485941</v>
      </c>
      <c r="T20" s="409">
        <f>+$E$20*q14a!$E$20</f>
        <v>237862639</v>
      </c>
      <c r="U20" s="409">
        <f>+$F$20*q14a!$F$20</f>
        <v>250687151.34</v>
      </c>
      <c r="V20" s="409">
        <f>+$G$20*q14a!$G$20</f>
        <v>269845598.88</v>
      </c>
      <c r="W20" s="409">
        <f>+$H$20*q14a!$H$20</f>
        <v>282136894.91999996</v>
      </c>
      <c r="X20" s="409">
        <f>+$I$20*q14a!$I$20</f>
        <v>284074558.81999999</v>
      </c>
      <c r="Y20" s="409">
        <f>+$J$20*q14a!$J$20</f>
        <v>306162478.64999998</v>
      </c>
      <c r="Z20" s="409">
        <f>+$K$20*q14a!$K$20</f>
        <v>345071280.63999999</v>
      </c>
      <c r="AA20" s="409">
        <f>+$L$20*q14a!$L$20</f>
        <v>384660841.51999998</v>
      </c>
      <c r="AB20" s="409">
        <f>+$M$20*q14a!$M$20</f>
        <v>417468463.85000002</v>
      </c>
    </row>
    <row r="21" spans="1:28" s="250" customFormat="1" ht="12.75" customHeight="1">
      <c r="A21" s="244"/>
      <c r="B21" s="258" t="str">
        <f>+'q23'!B21</f>
        <v>H</v>
      </c>
      <c r="C21" s="356">
        <f>+'q23'!C21</f>
        <v>1060.06</v>
      </c>
      <c r="D21" s="356">
        <f>+'q23'!D21</f>
        <v>1064.98</v>
      </c>
      <c r="E21" s="356">
        <f>+'q23'!E21</f>
        <v>1062.98</v>
      </c>
      <c r="F21" s="356">
        <f>+'q23'!F21</f>
        <v>1080.4100000000001</v>
      </c>
      <c r="G21" s="356">
        <f>+'q23'!G21</f>
        <v>1106.8900000000001</v>
      </c>
      <c r="H21" s="356">
        <f>+'q23'!H21</f>
        <v>1136.51</v>
      </c>
      <c r="I21" s="356">
        <f>+'q23'!I21</f>
        <v>1173.3800000000001</v>
      </c>
      <c r="J21" s="356">
        <f>+'q23'!J21</f>
        <v>1231.8699999999999</v>
      </c>
      <c r="K21" s="356">
        <f>+'q23'!K21</f>
        <v>1276.74</v>
      </c>
      <c r="L21" s="356">
        <f>+'q23'!L21</f>
        <v>1348.73</v>
      </c>
      <c r="M21" s="356">
        <f>+'q23'!M21</f>
        <v>1432.91</v>
      </c>
      <c r="P21" s="244"/>
      <c r="Q21" s="258" t="s">
        <v>52</v>
      </c>
      <c r="R21" s="409">
        <f>+$C$21*q14a!$C$21</f>
        <v>125566227.11999999</v>
      </c>
      <c r="S21" s="409">
        <f>+$D$21*q14a!$D$21</f>
        <v>132977662.72</v>
      </c>
      <c r="T21" s="409">
        <f>+$E$21*q14a!$E$21</f>
        <v>137171191.12</v>
      </c>
      <c r="U21" s="409">
        <f>+$F$21*q14a!$F$21</f>
        <v>146187035.87</v>
      </c>
      <c r="V21" s="409">
        <f>+$G$21*q14a!$G$21</f>
        <v>156953681.33000001</v>
      </c>
      <c r="W21" s="409">
        <f>+$H$21*q14a!$H$21</f>
        <v>163633573.28999999</v>
      </c>
      <c r="X21" s="409">
        <f>+$I$21*q14a!$I$21</f>
        <v>165417245.50000003</v>
      </c>
      <c r="Y21" s="409">
        <f>+$J$21*q14a!$J$21</f>
        <v>178590353.24999997</v>
      </c>
      <c r="Z21" s="409">
        <f>+$K$21*q14a!$K$21</f>
        <v>200584791.18000001</v>
      </c>
      <c r="AA21" s="409">
        <f>+$L$21*q14a!$L$21</f>
        <v>223913457.14000002</v>
      </c>
      <c r="AB21" s="409">
        <f>+$M$21*q14a!$M$21</f>
        <v>241807861.23000002</v>
      </c>
    </row>
    <row r="22" spans="1:28" s="250" customFormat="1" ht="12.75" customHeight="1">
      <c r="A22" s="244"/>
      <c r="B22" s="258" t="str">
        <f>+'q23'!B22</f>
        <v>M</v>
      </c>
      <c r="C22" s="356">
        <f>+'q23'!C22</f>
        <v>831.36</v>
      </c>
      <c r="D22" s="356">
        <f>+'q23'!D22</f>
        <v>838.95</v>
      </c>
      <c r="E22" s="356">
        <f>+'q23'!E22</f>
        <v>850.09</v>
      </c>
      <c r="F22" s="356">
        <f>+'q23'!F22</f>
        <v>873.11</v>
      </c>
      <c r="G22" s="356">
        <f>+'q23'!G22</f>
        <v>896.68</v>
      </c>
      <c r="H22" s="356">
        <f>+'q23'!H22</f>
        <v>930.59</v>
      </c>
      <c r="I22" s="356">
        <f>+'q23'!I22</f>
        <v>968.45</v>
      </c>
      <c r="J22" s="356">
        <f>+'q23'!J22</f>
        <v>1012.22</v>
      </c>
      <c r="K22" s="356">
        <f>+'q23'!K22</f>
        <v>1060.06</v>
      </c>
      <c r="L22" s="356">
        <f>+'q23'!L22</f>
        <v>1139.9000000000001</v>
      </c>
      <c r="M22" s="356">
        <f>+'q23'!M22</f>
        <v>1218.57</v>
      </c>
      <c r="P22" s="244"/>
      <c r="Q22" s="258" t="s">
        <v>53</v>
      </c>
      <c r="R22" s="409">
        <f>+$C$22*q14a!$C$22</f>
        <v>89199108.480000004</v>
      </c>
      <c r="S22" s="409">
        <f>+$D$22*q14a!$D$22</f>
        <v>96509452.200000003</v>
      </c>
      <c r="T22" s="409">
        <f>+$E$22*q14a!$E$22</f>
        <v>100689760.14</v>
      </c>
      <c r="U22" s="409">
        <f>+$F$22*q14a!$F$22</f>
        <v>104499916.57000001</v>
      </c>
      <c r="V22" s="409">
        <f>+$G$22*q14a!$G$22</f>
        <v>112891115.31999999</v>
      </c>
      <c r="W22" s="409">
        <f>+$H$22*q14a!$H$22</f>
        <v>118504122.37</v>
      </c>
      <c r="X22" s="409">
        <f>+$I$22*q14a!$I$22</f>
        <v>118657399.35000001</v>
      </c>
      <c r="Y22" s="409">
        <f>+$J$22*q14a!$J$22</f>
        <v>127570086.60000001</v>
      </c>
      <c r="Z22" s="409">
        <f>+$K$22*q14a!$K$22</f>
        <v>144487238.06</v>
      </c>
      <c r="AA22" s="409">
        <f>+$L$22*q14a!$L$22</f>
        <v>160746418.20000002</v>
      </c>
      <c r="AB22" s="409">
        <f>+$M$22*q14a!$M$22</f>
        <v>175659302.63999999</v>
      </c>
    </row>
    <row r="23" spans="1:28" s="252" customFormat="1" ht="16.5" customHeight="1">
      <c r="A23" s="251" t="str">
        <f>+'q23'!A23</f>
        <v>100-149 pessoas</v>
      </c>
      <c r="B23" s="372" t="str">
        <f>+'q23'!B23</f>
        <v>T</v>
      </c>
      <c r="C23" s="355">
        <f>+'q23'!C23</f>
        <v>1065.22</v>
      </c>
      <c r="D23" s="355">
        <f>+'q23'!D23</f>
        <v>1065.9100000000001</v>
      </c>
      <c r="E23" s="355">
        <f>+'q23'!E23</f>
        <v>1076.5999999999999</v>
      </c>
      <c r="F23" s="355">
        <f>+'q23'!F23</f>
        <v>1057.27</v>
      </c>
      <c r="G23" s="355">
        <f>+'q23'!G23</f>
        <v>1089.54</v>
      </c>
      <c r="H23" s="355">
        <f>+'q23'!H23</f>
        <v>1131.8800000000001</v>
      </c>
      <c r="I23" s="355">
        <f>+'q23'!I23</f>
        <v>1160.8399999999999</v>
      </c>
      <c r="J23" s="355">
        <f>+'q23'!J23</f>
        <v>1199.01</v>
      </c>
      <c r="K23" s="355">
        <f>+'q23'!K23</f>
        <v>1283.57</v>
      </c>
      <c r="L23" s="355">
        <f>+'q23'!L23</f>
        <v>1364.01</v>
      </c>
      <c r="M23" s="355">
        <f>+'q23'!M23</f>
        <v>1446.62</v>
      </c>
      <c r="P23" s="251" t="s">
        <v>36</v>
      </c>
      <c r="Q23" s="372" t="s">
        <v>44</v>
      </c>
      <c r="R23" s="409">
        <f>+$C$23*q14a!$C$23</f>
        <v>127391790.24000001</v>
      </c>
      <c r="S23" s="409">
        <f>+$D$23*q14a!$D$23</f>
        <v>121782349.32000001</v>
      </c>
      <c r="T23" s="409">
        <f>+$E$23*q14a!$E$23</f>
        <v>129973611.59999999</v>
      </c>
      <c r="U23" s="409">
        <f>+$F$23*q14a!$F$23</f>
        <v>129810553.33</v>
      </c>
      <c r="V23" s="409">
        <f>+$G$23*q14a!$G$23</f>
        <v>138477265.38</v>
      </c>
      <c r="W23" s="409">
        <f>+$H$23*q14a!$H$23</f>
        <v>147264379.28</v>
      </c>
      <c r="X23" s="409">
        <f>+$I$23*q14a!$I$23</f>
        <v>140961962.03999999</v>
      </c>
      <c r="Y23" s="409">
        <f>+$J$23*q14a!$J$23</f>
        <v>154862932.59</v>
      </c>
      <c r="Z23" s="409">
        <f>+$K$23*q14a!$K$23</f>
        <v>177135227.13999999</v>
      </c>
      <c r="AA23" s="409">
        <f>+$L$23*q14a!$L$23</f>
        <v>200311688.55000001</v>
      </c>
      <c r="AB23" s="409">
        <f>+$M$23*q14a!$M$23</f>
        <v>224869845.89999998</v>
      </c>
    </row>
    <row r="24" spans="1:28" s="250" customFormat="1" ht="12.75" customHeight="1">
      <c r="A24" s="244"/>
      <c r="B24" s="258" t="str">
        <f>+'q23'!B24</f>
        <v>H</v>
      </c>
      <c r="C24" s="356">
        <f>+'q23'!C24</f>
        <v>1163.1099999999999</v>
      </c>
      <c r="D24" s="356">
        <f>+'q23'!D24</f>
        <v>1167.3900000000001</v>
      </c>
      <c r="E24" s="356">
        <f>+'q23'!E24</f>
        <v>1179.1600000000001</v>
      </c>
      <c r="F24" s="356">
        <f>+'q23'!F24</f>
        <v>1137.29</v>
      </c>
      <c r="G24" s="356">
        <f>+'q23'!G24</f>
        <v>1162.06</v>
      </c>
      <c r="H24" s="356">
        <f>+'q23'!H24</f>
        <v>1203.04</v>
      </c>
      <c r="I24" s="356">
        <f>+'q23'!I24</f>
        <v>1233.1400000000001</v>
      </c>
      <c r="J24" s="356">
        <f>+'q23'!J24</f>
        <v>1275.3399999999999</v>
      </c>
      <c r="K24" s="356">
        <f>+'q23'!K24</f>
        <v>1365.35</v>
      </c>
      <c r="L24" s="356">
        <f>+'q23'!L24</f>
        <v>1452.46</v>
      </c>
      <c r="M24" s="356">
        <f>+'q23'!M24</f>
        <v>1528.26</v>
      </c>
      <c r="P24" s="244"/>
      <c r="Q24" s="258" t="s">
        <v>52</v>
      </c>
      <c r="R24" s="409">
        <f>+$C$24*q14a!$C$24</f>
        <v>78590179.589999989</v>
      </c>
      <c r="S24" s="409">
        <f>+$D$24*q14a!$D$24</f>
        <v>74539018.890000001</v>
      </c>
      <c r="T24" s="409">
        <f>+$E$24*q14a!$E$24</f>
        <v>79357468</v>
      </c>
      <c r="U24" s="409">
        <f>+$F$24*q14a!$F$24</f>
        <v>78220531.620000005</v>
      </c>
      <c r="V24" s="409">
        <f>+$G$24*q14a!$G$24</f>
        <v>83158175.659999996</v>
      </c>
      <c r="W24" s="409">
        <f>+$H$24*q14a!$H$24</f>
        <v>88313963.359999999</v>
      </c>
      <c r="X24" s="409">
        <f>+$I$24*q14a!$I$24</f>
        <v>84690822.060000002</v>
      </c>
      <c r="Y24" s="409">
        <f>+$J$24*q14a!$J$24</f>
        <v>92164995.780000001</v>
      </c>
      <c r="Z24" s="409">
        <f>+$K$24*q14a!$K$24</f>
        <v>106067214.75</v>
      </c>
      <c r="AA24" s="409">
        <f>+$L$24*q14a!$L$24</f>
        <v>120215756.82000001</v>
      </c>
      <c r="AB24" s="409">
        <f>+$M$24*q14a!$M$24</f>
        <v>136035007.38</v>
      </c>
    </row>
    <row r="25" spans="1:28" s="250" customFormat="1" ht="12.75" customHeight="1">
      <c r="A25" s="244"/>
      <c r="B25" s="258" t="str">
        <f>+'q23'!B25</f>
        <v>M</v>
      </c>
      <c r="C25" s="356">
        <f>+'q23'!C25</f>
        <v>938.07</v>
      </c>
      <c r="D25" s="356">
        <f>+'q23'!D25</f>
        <v>937.35</v>
      </c>
      <c r="E25" s="356">
        <f>+'q23'!E25</f>
        <v>947.41</v>
      </c>
      <c r="F25" s="356">
        <f>+'q23'!F25</f>
        <v>955.36</v>
      </c>
      <c r="G25" s="356">
        <f>+'q23'!G25</f>
        <v>996.1</v>
      </c>
      <c r="H25" s="356">
        <f>+'q23'!H25</f>
        <v>1039.75</v>
      </c>
      <c r="I25" s="356">
        <f>+'q23'!I25</f>
        <v>1066.71</v>
      </c>
      <c r="J25" s="356">
        <f>+'q23'!J25</f>
        <v>1102.06</v>
      </c>
      <c r="K25" s="356">
        <f>+'q23'!K25</f>
        <v>1178.24</v>
      </c>
      <c r="L25" s="356">
        <f>+'q23'!L25</f>
        <v>1249.79</v>
      </c>
      <c r="M25" s="356">
        <f>+'q23'!M25</f>
        <v>1337.23</v>
      </c>
      <c r="P25" s="244"/>
      <c r="Q25" s="258" t="s">
        <v>53</v>
      </c>
      <c r="R25" s="409">
        <f>+$C$25*q14a!$C$25</f>
        <v>48801215.609999999</v>
      </c>
      <c r="S25" s="409">
        <f>+$D$25*q14a!$D$25</f>
        <v>47243377.350000001</v>
      </c>
      <c r="T25" s="409">
        <f>+$E$25*q14a!$E$25</f>
        <v>50616326.659999996</v>
      </c>
      <c r="U25" s="409">
        <f>+$F$25*q14a!$F$25</f>
        <v>51590395.359999999</v>
      </c>
      <c r="V25" s="409">
        <f>+$G$25*q14a!$G$25</f>
        <v>55319409.600000001</v>
      </c>
      <c r="W25" s="409">
        <f>+$H$25*q14a!$H$25</f>
        <v>58950705.75</v>
      </c>
      <c r="X25" s="409">
        <f>+$I$25*q14a!$I$25</f>
        <v>56271085.920000002</v>
      </c>
      <c r="Y25" s="409">
        <f>+$J$25*q14a!$J$25</f>
        <v>62698397.519999996</v>
      </c>
      <c r="Z25" s="409">
        <f>+$K$25*q14a!$K$25</f>
        <v>71067902.079999998</v>
      </c>
      <c r="AA25" s="409">
        <f>+$L$25*q14a!$L$25</f>
        <v>80096541.519999996</v>
      </c>
      <c r="AB25" s="409">
        <f>+$M$25*q14a!$M$25</f>
        <v>88834863.359999999</v>
      </c>
    </row>
    <row r="26" spans="1:28" s="253" customFormat="1" ht="16.5" customHeight="1">
      <c r="A26" s="251" t="str">
        <f>+'q23'!A26</f>
        <v>150-199 pessoas</v>
      </c>
      <c r="B26" s="372" t="str">
        <f>+'q23'!B26</f>
        <v>T</v>
      </c>
      <c r="C26" s="355">
        <f>+'q23'!C26</f>
        <v>1150.77</v>
      </c>
      <c r="D26" s="355">
        <f>+'q23'!D26</f>
        <v>1113.17</v>
      </c>
      <c r="E26" s="355">
        <f>+'q23'!E26</f>
        <v>1181.73</v>
      </c>
      <c r="F26" s="355">
        <f>+'q23'!F26</f>
        <v>1143.67</v>
      </c>
      <c r="G26" s="355">
        <f>+'q23'!G26</f>
        <v>1167.72</v>
      </c>
      <c r="H26" s="355">
        <f>+'q23'!H26</f>
        <v>1132.98</v>
      </c>
      <c r="I26" s="355">
        <f>+'q23'!I26</f>
        <v>1203.42</v>
      </c>
      <c r="J26" s="355">
        <f>+'q23'!J26</f>
        <v>1223.83</v>
      </c>
      <c r="K26" s="355">
        <f>+'q23'!K26</f>
        <v>1297.98</v>
      </c>
      <c r="L26" s="355">
        <f>+'q23'!L26</f>
        <v>1399.26</v>
      </c>
      <c r="M26" s="355">
        <f>+'q23'!M26</f>
        <v>1479.62</v>
      </c>
      <c r="N26" s="252"/>
      <c r="P26" s="251" t="s">
        <v>37</v>
      </c>
      <c r="Q26" s="372" t="s">
        <v>44</v>
      </c>
      <c r="R26" s="409">
        <f>+$C$26*q14a!$C$26</f>
        <v>81059088.030000001</v>
      </c>
      <c r="S26" s="409">
        <f>+$D$26*q14a!$D$26</f>
        <v>83484410.49000001</v>
      </c>
      <c r="T26" s="409">
        <f>+$E$26*q14a!$E$26</f>
        <v>89582224.379999995</v>
      </c>
      <c r="U26" s="409">
        <f>+$F$26*q14a!$F$26</f>
        <v>92936911.540000007</v>
      </c>
      <c r="V26" s="409">
        <f>+$G$26*q14a!$G$26</f>
        <v>99337940.400000006</v>
      </c>
      <c r="W26" s="409">
        <f>+$H$26*q14a!$H$26</f>
        <v>95454697.980000004</v>
      </c>
      <c r="X26" s="409">
        <f>+$I$26*q14a!$I$26</f>
        <v>99046279.680000007</v>
      </c>
      <c r="Y26" s="409">
        <f>+$J$26*q14a!$J$26</f>
        <v>103214150.70999999</v>
      </c>
      <c r="Z26" s="409">
        <f>+$K$26*q14a!$K$26</f>
        <v>123444387.90000001</v>
      </c>
      <c r="AA26" s="409">
        <f>+$L$26*q14a!$L$26</f>
        <v>140775350.81999999</v>
      </c>
      <c r="AB26" s="409">
        <f>+$M$26*q14a!$M$26</f>
        <v>147818476.85999998</v>
      </c>
    </row>
    <row r="27" spans="1:28" s="240" customFormat="1" ht="12.75" customHeight="1">
      <c r="A27" s="244"/>
      <c r="B27" s="258" t="str">
        <f>+'q23'!B27</f>
        <v>H</v>
      </c>
      <c r="C27" s="356">
        <f>+'q23'!C27</f>
        <v>1269.47</v>
      </c>
      <c r="D27" s="356">
        <f>+'q23'!D27</f>
        <v>1202.9100000000001</v>
      </c>
      <c r="E27" s="356">
        <f>+'q23'!E27</f>
        <v>1320.46</v>
      </c>
      <c r="F27" s="356">
        <f>+'q23'!F27</f>
        <v>1263.27</v>
      </c>
      <c r="G27" s="356">
        <f>+'q23'!G27</f>
        <v>1272.71</v>
      </c>
      <c r="H27" s="356">
        <f>+'q23'!H27</f>
        <v>1200</v>
      </c>
      <c r="I27" s="356">
        <f>+'q23'!I27</f>
        <v>1252.3699999999999</v>
      </c>
      <c r="J27" s="356">
        <f>+'q23'!J27</f>
        <v>1287.6099999999999</v>
      </c>
      <c r="K27" s="356">
        <f>+'q23'!K27</f>
        <v>1367.03</v>
      </c>
      <c r="L27" s="356">
        <f>+'q23'!L27</f>
        <v>1465.63</v>
      </c>
      <c r="M27" s="356">
        <f>+'q23'!M27</f>
        <v>1541.31</v>
      </c>
      <c r="N27" s="250"/>
      <c r="P27" s="244"/>
      <c r="Q27" s="258" t="s">
        <v>52</v>
      </c>
      <c r="R27" s="409">
        <f>+$C$27*q14a!$C$27</f>
        <v>51583643.980000004</v>
      </c>
      <c r="S27" s="409">
        <f>+$D$27*q14a!$D$27</f>
        <v>53847063.240000002</v>
      </c>
      <c r="T27" s="409">
        <f>+$E$27*q14a!$E$27</f>
        <v>57816341.100000001</v>
      </c>
      <c r="U27" s="409">
        <f>+$F$27*q14a!$F$27</f>
        <v>57156651.149999999</v>
      </c>
      <c r="V27" s="409">
        <f>+$G$27*q14a!$G$27</f>
        <v>61336985.740000002</v>
      </c>
      <c r="W27" s="409">
        <f>+$H$27*q14a!$H$27</f>
        <v>57757200</v>
      </c>
      <c r="X27" s="409">
        <f>+$I$27*q14a!$I$27</f>
        <v>59841995.709999993</v>
      </c>
      <c r="Y27" s="409">
        <f>+$J$27*q14a!$J$27</f>
        <v>61120271.479999997</v>
      </c>
      <c r="Z27" s="409">
        <f>+$K$27*q14a!$K$27</f>
        <v>73861997.929999992</v>
      </c>
      <c r="AA27" s="409">
        <f>+$L$27*q14a!$L$27</f>
        <v>85413985.140000001</v>
      </c>
      <c r="AB27" s="409">
        <f>+$M$27*q14a!$M$27</f>
        <v>88583709.629999995</v>
      </c>
    </row>
    <row r="28" spans="1:28" s="240" customFormat="1" ht="12.75" customHeight="1">
      <c r="A28" s="244"/>
      <c r="B28" s="258" t="str">
        <f>+'q23'!B28</f>
        <v>M</v>
      </c>
      <c r="C28" s="356">
        <f>+'q23'!C28</f>
        <v>988.94</v>
      </c>
      <c r="D28" s="356">
        <f>+'q23'!D28</f>
        <v>980.29</v>
      </c>
      <c r="E28" s="356">
        <f>+'q23'!E28</f>
        <v>992.04</v>
      </c>
      <c r="F28" s="356">
        <f>+'q23'!F28</f>
        <v>993.43</v>
      </c>
      <c r="G28" s="356">
        <f>+'q23'!G28</f>
        <v>1030.51</v>
      </c>
      <c r="H28" s="356">
        <f>+'q23'!H28</f>
        <v>1043.67</v>
      </c>
      <c r="I28" s="356">
        <f>+'q23'!I28</f>
        <v>1135.6600000000001</v>
      </c>
      <c r="J28" s="356">
        <f>+'q23'!J28</f>
        <v>1141.72</v>
      </c>
      <c r="K28" s="356">
        <f>+'q23'!K28</f>
        <v>1207.1500000000001</v>
      </c>
      <c r="L28" s="356">
        <f>+'q23'!L28</f>
        <v>1307.8800000000001</v>
      </c>
      <c r="M28" s="356">
        <f>+'q23'!M28</f>
        <v>1396.05</v>
      </c>
      <c r="N28" s="250"/>
      <c r="P28" s="244"/>
      <c r="Q28" s="258" t="s">
        <v>53</v>
      </c>
      <c r="R28" s="409">
        <f>+$C$28*q14a!$C$28</f>
        <v>29475356.700000003</v>
      </c>
      <c r="S28" s="409">
        <f>+$D$28*q14a!$D$28</f>
        <v>29637107.57</v>
      </c>
      <c r="T28" s="409">
        <f>+$E$28*q14a!$E$28</f>
        <v>31766112.84</v>
      </c>
      <c r="U28" s="409">
        <f>+$F$28*q14a!$F$28</f>
        <v>35780368.309999995</v>
      </c>
      <c r="V28" s="409">
        <f>+$G$28*q14a!$G$28</f>
        <v>38001086.759999998</v>
      </c>
      <c r="W28" s="409">
        <f>+$H$28*q14a!$H$28</f>
        <v>37697360.400000006</v>
      </c>
      <c r="X28" s="409">
        <f>+$I$28*q14a!$I$28</f>
        <v>39204118.859999999</v>
      </c>
      <c r="Y28" s="409">
        <f>+$J$28*q14a!$J$28</f>
        <v>42094074.68</v>
      </c>
      <c r="Z28" s="409">
        <f>+$K$28*q14a!$K$28</f>
        <v>49582479.100000001</v>
      </c>
      <c r="AA28" s="409">
        <f>+$L$28*q14a!$L$28</f>
        <v>55361252.520000003</v>
      </c>
      <c r="AB28" s="409">
        <f>+$M$28*q14a!$M$28</f>
        <v>59234401.5</v>
      </c>
    </row>
    <row r="29" spans="1:28" s="253" customFormat="1" ht="16.5" customHeight="1">
      <c r="A29" s="251" t="str">
        <f>+'q23'!A29</f>
        <v>200-249 pessoas</v>
      </c>
      <c r="B29" s="372" t="str">
        <f>+'q23'!B29</f>
        <v>T</v>
      </c>
      <c r="C29" s="355">
        <f>+'q23'!C29</f>
        <v>1129.4000000000001</v>
      </c>
      <c r="D29" s="355">
        <f>+'q23'!D29</f>
        <v>1238.4000000000001</v>
      </c>
      <c r="E29" s="355">
        <f>+'q23'!E29</f>
        <v>1141.8</v>
      </c>
      <c r="F29" s="355">
        <f>+'q23'!F29</f>
        <v>1242.6400000000001</v>
      </c>
      <c r="G29" s="355">
        <f>+'q23'!G29</f>
        <v>1279.05</v>
      </c>
      <c r="H29" s="355">
        <f>+'q23'!H29</f>
        <v>1355.47</v>
      </c>
      <c r="I29" s="355">
        <f>+'q23'!I29</f>
        <v>1417.19</v>
      </c>
      <c r="J29" s="355">
        <f>+'q23'!J29</f>
        <v>1368.96</v>
      </c>
      <c r="K29" s="355">
        <f>+'q23'!K29</f>
        <v>1387.29</v>
      </c>
      <c r="L29" s="355">
        <f>+'q23'!L29</f>
        <v>1417.91</v>
      </c>
      <c r="M29" s="355">
        <f>+'q23'!M29</f>
        <v>1463.16</v>
      </c>
      <c r="N29" s="252"/>
      <c r="P29" s="251" t="s">
        <v>38</v>
      </c>
      <c r="Q29" s="372" t="s">
        <v>44</v>
      </c>
      <c r="R29" s="409">
        <f>+$C$29*q14a!$C$29</f>
        <v>58794305.200000003</v>
      </c>
      <c r="S29" s="409">
        <f>+$D$29*q14a!$D$29</f>
        <v>65474208.000000007</v>
      </c>
      <c r="T29" s="409">
        <f>+$E$29*q14a!$E$29</f>
        <v>64959285.599999994</v>
      </c>
      <c r="U29" s="409">
        <f>+$F$29*q14a!$F$29</f>
        <v>74995809.280000001</v>
      </c>
      <c r="V29" s="409">
        <f>+$G$29*q14a!$G$29</f>
        <v>81797805.599999994</v>
      </c>
      <c r="W29" s="409">
        <f>+$H$29*q14a!$H$29</f>
        <v>87015752.120000005</v>
      </c>
      <c r="X29" s="409">
        <f>+$I$29*q14a!$I$29</f>
        <v>89778986.5</v>
      </c>
      <c r="Y29" s="409">
        <f>+$J$29*q14a!$J$29</f>
        <v>90080305.920000002</v>
      </c>
      <c r="Z29" s="409">
        <f>+$K$29*q14a!$K$29</f>
        <v>103391949.11999999</v>
      </c>
      <c r="AA29" s="409">
        <f>+$L$29*q14a!$L$29</f>
        <v>106764369.27000001</v>
      </c>
      <c r="AB29" s="409">
        <f>+$M$29*q14a!$M$29</f>
        <v>107836355.16000001</v>
      </c>
    </row>
    <row r="30" spans="1:28" s="240" customFormat="1" ht="12.75" customHeight="1">
      <c r="A30" s="244"/>
      <c r="B30" s="258" t="str">
        <f>+'q23'!B30</f>
        <v>H</v>
      </c>
      <c r="C30" s="356">
        <f>+'q23'!C30</f>
        <v>1221.75</v>
      </c>
      <c r="D30" s="356">
        <f>+'q23'!D30</f>
        <v>1374.84</v>
      </c>
      <c r="E30" s="356">
        <f>+'q23'!E30</f>
        <v>1219.8499999999999</v>
      </c>
      <c r="F30" s="356">
        <f>+'q23'!F30</f>
        <v>1410.31</v>
      </c>
      <c r="G30" s="356">
        <f>+'q23'!G30</f>
        <v>1442.88</v>
      </c>
      <c r="H30" s="356">
        <f>+'q23'!H30</f>
        <v>1542.57</v>
      </c>
      <c r="I30" s="356">
        <f>+'q23'!I30</f>
        <v>1617.74</v>
      </c>
      <c r="J30" s="356">
        <f>+'q23'!J30</f>
        <v>1495.84</v>
      </c>
      <c r="K30" s="356">
        <f>+'q23'!K30</f>
        <v>1497.44</v>
      </c>
      <c r="L30" s="356">
        <f>+'q23'!L30</f>
        <v>1531.7</v>
      </c>
      <c r="M30" s="356">
        <f>+'q23'!M30</f>
        <v>1526.34</v>
      </c>
      <c r="N30" s="250"/>
      <c r="P30" s="244"/>
      <c r="Q30" s="258" t="s">
        <v>52</v>
      </c>
      <c r="R30" s="409">
        <f>+$C$30*q14a!$C$30</f>
        <v>37176630.75</v>
      </c>
      <c r="S30" s="409">
        <f>+$D$30*q14a!$D$30</f>
        <v>42347821.68</v>
      </c>
      <c r="T30" s="409">
        <f>+$E$30*q14a!$E$30</f>
        <v>41229710.149999999</v>
      </c>
      <c r="U30" s="409">
        <f>+$F$30*q14a!$F$30</f>
        <v>50549741.329999998</v>
      </c>
      <c r="V30" s="409">
        <f>+$G$30*q14a!$G$30</f>
        <v>55576851.840000004</v>
      </c>
      <c r="W30" s="409">
        <f>+$H$30*q14a!$H$30</f>
        <v>59208464.309999995</v>
      </c>
      <c r="X30" s="409">
        <f>+$I$30*q14a!$I$30</f>
        <v>60464650.240000002</v>
      </c>
      <c r="Y30" s="409">
        <f>+$J$30*q14a!$J$30</f>
        <v>57440256</v>
      </c>
      <c r="Z30" s="409">
        <f>+$K$30*q14a!$K$30</f>
        <v>64917018.880000003</v>
      </c>
      <c r="AA30" s="409">
        <f>+$L$30*q14a!$L$30</f>
        <v>64679095.899999999</v>
      </c>
      <c r="AB30" s="409">
        <f>+$M$30*q14a!$M$30</f>
        <v>63645325.32</v>
      </c>
    </row>
    <row r="31" spans="1:28" s="240" customFormat="1" ht="12.75" customHeight="1">
      <c r="A31" s="244"/>
      <c r="B31" s="258" t="str">
        <f>+'q23'!B31</f>
        <v>M</v>
      </c>
      <c r="C31" s="356">
        <f>+'q23'!C31</f>
        <v>999.46</v>
      </c>
      <c r="D31" s="356">
        <f>+'q23'!D31</f>
        <v>1047.96</v>
      </c>
      <c r="E31" s="356">
        <f>+'q23'!E31</f>
        <v>1027.58</v>
      </c>
      <c r="F31" s="356">
        <f>+'q23'!F31</f>
        <v>997.44</v>
      </c>
      <c r="G31" s="356">
        <f>+'q23'!G31</f>
        <v>1030.94</v>
      </c>
      <c r="H31" s="356">
        <f>+'q23'!H31</f>
        <v>1077.26</v>
      </c>
      <c r="I31" s="356">
        <f>+'q23'!I31</f>
        <v>1128.5999999999999</v>
      </c>
      <c r="J31" s="356">
        <f>+'q23'!J31</f>
        <v>1191.1500000000001</v>
      </c>
      <c r="K31" s="356">
        <f>+'q23'!K31</f>
        <v>1234.1099999999999</v>
      </c>
      <c r="L31" s="356">
        <f>+'q23'!L31</f>
        <v>1272.6099999999999</v>
      </c>
      <c r="M31" s="356">
        <f>+'q23'!M31</f>
        <v>1380.85</v>
      </c>
      <c r="N31" s="250"/>
      <c r="P31" s="244"/>
      <c r="Q31" s="258" t="s">
        <v>53</v>
      </c>
      <c r="R31" s="409">
        <f>+$C$31*q14a!$C$31</f>
        <v>21617320.34</v>
      </c>
      <c r="S31" s="409">
        <f>+$D$31*q14a!$D$31</f>
        <v>23126381.280000001</v>
      </c>
      <c r="T31" s="409">
        <f>+$E$31*q14a!$E$31</f>
        <v>23729904.939999998</v>
      </c>
      <c r="U31" s="409">
        <f>+$F$31*q14a!$F$31</f>
        <v>24446256.960000001</v>
      </c>
      <c r="V31" s="409">
        <f>+$G$31*q14a!$G$31</f>
        <v>26220927.960000001</v>
      </c>
      <c r="W31" s="409">
        <f>+$H$31*q14a!$H$31</f>
        <v>27807312.379999999</v>
      </c>
      <c r="X31" s="409">
        <f>+$I$31*q14a!$I$31</f>
        <v>29314256.399999999</v>
      </c>
      <c r="Y31" s="409">
        <f>+$J$31*q14a!$J$31</f>
        <v>32639892.300000001</v>
      </c>
      <c r="Z31" s="409">
        <f>+$K$31*q14a!$K$31</f>
        <v>38474613.359999999</v>
      </c>
      <c r="AA31" s="409">
        <f>+$L$31*q14a!$L$31</f>
        <v>42085212.699999996</v>
      </c>
      <c r="AB31" s="409">
        <f>+$M$31*q14a!$M$31</f>
        <v>44191342.549999997</v>
      </c>
    </row>
    <row r="32" spans="1:28" s="253" customFormat="1" ht="16.5" customHeight="1">
      <c r="A32" s="251" t="str">
        <f>+'q23'!A32</f>
        <v>250-499 pessoas</v>
      </c>
      <c r="B32" s="372" t="str">
        <f>+'q23'!B32</f>
        <v>T</v>
      </c>
      <c r="C32" s="355">
        <f>+'q23'!C32</f>
        <v>1107.1600000000001</v>
      </c>
      <c r="D32" s="355">
        <f>+'q23'!D32</f>
        <v>1110.6300000000001</v>
      </c>
      <c r="E32" s="355">
        <f>+'q23'!E32</f>
        <v>1147.77</v>
      </c>
      <c r="F32" s="355">
        <f>+'q23'!F32</f>
        <v>1183.8599999999999</v>
      </c>
      <c r="G32" s="355">
        <f>+'q23'!G32</f>
        <v>1191.1300000000001</v>
      </c>
      <c r="H32" s="355">
        <f>+'q23'!H32</f>
        <v>1200.06</v>
      </c>
      <c r="I32" s="355">
        <f>+'q23'!I32</f>
        <v>1260.1400000000001</v>
      </c>
      <c r="J32" s="355">
        <f>+'q23'!J32</f>
        <v>1325.88</v>
      </c>
      <c r="K32" s="355">
        <f>+'q23'!K32</f>
        <v>1379.27</v>
      </c>
      <c r="L32" s="355">
        <f>+'q23'!L32</f>
        <v>1496.23</v>
      </c>
      <c r="M32" s="355">
        <f>+'q23'!M32</f>
        <v>1619.04</v>
      </c>
      <c r="N32" s="252"/>
      <c r="P32" s="251" t="s">
        <v>39</v>
      </c>
      <c r="Q32" s="372" t="s">
        <v>44</v>
      </c>
      <c r="R32" s="409">
        <f>+$C$32*q14a!$C$32</f>
        <v>134606298.48000002</v>
      </c>
      <c r="S32" s="409">
        <f>+$D$32*q14a!$D$32</f>
        <v>146271081.63000003</v>
      </c>
      <c r="T32" s="409">
        <f>+$E$32*q14a!$E$32</f>
        <v>160204588.82999998</v>
      </c>
      <c r="U32" s="409">
        <f>+$F$32*q14a!$F$32</f>
        <v>179327561.22</v>
      </c>
      <c r="V32" s="409">
        <f>+$G$32*q14a!$G$32</f>
        <v>186392786.92000002</v>
      </c>
      <c r="W32" s="409">
        <f>+$H$32*q14a!$H$32</f>
        <v>192156007.31999999</v>
      </c>
      <c r="X32" s="409">
        <f>+$I$32*q14a!$I$32</f>
        <v>194432041.16000003</v>
      </c>
      <c r="Y32" s="409">
        <f>+$J$32*q14a!$J$32</f>
        <v>204690680.28000003</v>
      </c>
      <c r="Z32" s="409">
        <f>+$K$32*q14a!$K$32</f>
        <v>227343694.82999998</v>
      </c>
      <c r="AA32" s="409">
        <f>+$L$32*q14a!$L$32</f>
        <v>264297059.66</v>
      </c>
      <c r="AB32" s="409">
        <f>+$M$32*q14a!$M$32</f>
        <v>303650952</v>
      </c>
    </row>
    <row r="33" spans="1:28" s="240" customFormat="1" ht="12.75" customHeight="1">
      <c r="A33" s="244"/>
      <c r="B33" s="258" t="str">
        <f>+'q23'!B33</f>
        <v>H</v>
      </c>
      <c r="C33" s="356">
        <f>+'q23'!C33</f>
        <v>1181.6400000000001</v>
      </c>
      <c r="D33" s="356">
        <f>+'q23'!D33</f>
        <v>1193.47</v>
      </c>
      <c r="E33" s="356">
        <f>+'q23'!E33</f>
        <v>1223.47</v>
      </c>
      <c r="F33" s="356">
        <f>+'q23'!F33</f>
        <v>1248.28</v>
      </c>
      <c r="G33" s="356">
        <f>+'q23'!G33</f>
        <v>1247.98</v>
      </c>
      <c r="H33" s="356">
        <f>+'q23'!H33</f>
        <v>1263.1199999999999</v>
      </c>
      <c r="I33" s="356">
        <f>+'q23'!I33</f>
        <v>1329.87</v>
      </c>
      <c r="J33" s="356">
        <f>+'q23'!J33</f>
        <v>1416.71</v>
      </c>
      <c r="K33" s="356">
        <f>+'q23'!K33</f>
        <v>1473.34</v>
      </c>
      <c r="L33" s="356">
        <f>+'q23'!L33</f>
        <v>1596.8</v>
      </c>
      <c r="M33" s="356">
        <f>+'q23'!M33</f>
        <v>1734.07</v>
      </c>
      <c r="N33" s="250"/>
      <c r="P33" s="244"/>
      <c r="Q33" s="258" t="s">
        <v>52</v>
      </c>
      <c r="R33" s="409">
        <f>+$C$33*q14a!$C$33</f>
        <v>85308499.800000012</v>
      </c>
      <c r="S33" s="409">
        <f>+$D$33*q14a!$D$33</f>
        <v>91640593.950000003</v>
      </c>
      <c r="T33" s="409">
        <f>+$E$33*q14a!$E$33</f>
        <v>99784989.730000004</v>
      </c>
      <c r="U33" s="409">
        <f>+$F$33*q14a!$F$33</f>
        <v>112363924.2</v>
      </c>
      <c r="V33" s="409">
        <f>+$G$33*q14a!$G$33</f>
        <v>116458997.64</v>
      </c>
      <c r="W33" s="409">
        <f>+$H$33*q14a!$H$33</f>
        <v>120342494.88</v>
      </c>
      <c r="X33" s="409">
        <f>+$I$33*q14a!$I$33</f>
        <v>122051478.98999999</v>
      </c>
      <c r="Y33" s="409">
        <f>+$J$33*q14a!$J$33</f>
        <v>130299068.83</v>
      </c>
      <c r="Z33" s="409">
        <f>+$K$33*q14a!$K$33</f>
        <v>144385846.66</v>
      </c>
      <c r="AA33" s="409">
        <f>+$L$33*q14a!$L$33</f>
        <v>166841648</v>
      </c>
      <c r="AB33" s="409">
        <f>+$M$33*q14a!$M$33</f>
        <v>193393890.81999999</v>
      </c>
    </row>
    <row r="34" spans="1:28" s="240" customFormat="1" ht="12.75" customHeight="1">
      <c r="A34" s="244"/>
      <c r="B34" s="258" t="str">
        <f>+'q23'!B34</f>
        <v>M</v>
      </c>
      <c r="C34" s="356">
        <f>+'q23'!C34</f>
        <v>998.27</v>
      </c>
      <c r="D34" s="356">
        <f>+'q23'!D34</f>
        <v>994.81</v>
      </c>
      <c r="E34" s="356">
        <f>+'q23'!E34</f>
        <v>1041.3599999999999</v>
      </c>
      <c r="F34" s="356">
        <f>+'q23'!F34</f>
        <v>1089.52</v>
      </c>
      <c r="G34" s="356">
        <f>+'q23'!G34</f>
        <v>1107.1500000000001</v>
      </c>
      <c r="H34" s="356">
        <f>+'q23'!H34</f>
        <v>1107.43</v>
      </c>
      <c r="I34" s="356">
        <f>+'q23'!I34</f>
        <v>1157.77</v>
      </c>
      <c r="J34" s="356">
        <f>+'q23'!J34</f>
        <v>1192.02</v>
      </c>
      <c r="K34" s="356">
        <f>+'q23'!K34</f>
        <v>1241.33</v>
      </c>
      <c r="L34" s="356">
        <f>+'q23'!L34</f>
        <v>1350.62</v>
      </c>
      <c r="M34" s="356">
        <f>+'q23'!M34</f>
        <v>1450.31</v>
      </c>
      <c r="N34" s="250"/>
      <c r="P34" s="244"/>
      <c r="Q34" s="258" t="s">
        <v>53</v>
      </c>
      <c r="R34" s="409">
        <f>+$C$34*q14a!$C$34</f>
        <v>49297567.409999996</v>
      </c>
      <c r="S34" s="409">
        <f>+$D$34*q14a!$D$34</f>
        <v>54630985.959999993</v>
      </c>
      <c r="T34" s="409">
        <f>+$E$34*q14a!$E$34</f>
        <v>60419707.199999996</v>
      </c>
      <c r="U34" s="409">
        <f>+$F$34*q14a!$F$34</f>
        <v>66964078.240000002</v>
      </c>
      <c r="V34" s="409">
        <f>+$G$34*q14a!$G$34</f>
        <v>69934236.900000006</v>
      </c>
      <c r="W34" s="409">
        <f>+$H$34*q14a!$H$34</f>
        <v>71814620.640000001</v>
      </c>
      <c r="X34" s="409">
        <f>+$I$34*q14a!$I$34</f>
        <v>72380307.090000004</v>
      </c>
      <c r="Y34" s="409">
        <f>+$J$34*q14a!$J$34</f>
        <v>74391584.159999996</v>
      </c>
      <c r="Z34" s="409">
        <f>+$K$34*q14a!$K$34</f>
        <v>82958083.899999991</v>
      </c>
      <c r="AA34" s="409">
        <f>+$L$34*q14a!$L$34</f>
        <v>97456687.339999989</v>
      </c>
      <c r="AB34" s="409">
        <f>+$M$34*q14a!$M$34</f>
        <v>110258367.44</v>
      </c>
    </row>
    <row r="35" spans="1:28" s="253" customFormat="1" ht="16.5" customHeight="1">
      <c r="A35" s="251" t="str">
        <f>+'q23'!A35</f>
        <v>500-999 pessoas</v>
      </c>
      <c r="B35" s="372" t="str">
        <f>+'q23'!B35</f>
        <v>T</v>
      </c>
      <c r="C35" s="355">
        <f>+'q23'!C35</f>
        <v>1158.53</v>
      </c>
      <c r="D35" s="355">
        <f>+'q23'!D35</f>
        <v>1150.6600000000001</v>
      </c>
      <c r="E35" s="355">
        <f>+'q23'!E35</f>
        <v>1151.6300000000001</v>
      </c>
      <c r="F35" s="355">
        <f>+'q23'!F35</f>
        <v>1117.5999999999999</v>
      </c>
      <c r="G35" s="355">
        <f>+'q23'!G35</f>
        <v>1159.3699999999999</v>
      </c>
      <c r="H35" s="355">
        <f>+'q23'!H35</f>
        <v>1254.9100000000001</v>
      </c>
      <c r="I35" s="355">
        <f>+'q23'!I35</f>
        <v>1260.71</v>
      </c>
      <c r="J35" s="355">
        <f>+'q23'!J35</f>
        <v>1306.3599999999999</v>
      </c>
      <c r="K35" s="355">
        <f>+'q23'!K35</f>
        <v>1407.92</v>
      </c>
      <c r="L35" s="355">
        <f>+'q23'!L35</f>
        <v>1494</v>
      </c>
      <c r="M35" s="355">
        <f>+'q23'!M35</f>
        <v>1611.87</v>
      </c>
      <c r="N35" s="252"/>
      <c r="P35" s="251" t="s">
        <v>40</v>
      </c>
      <c r="Q35" s="372" t="s">
        <v>44</v>
      </c>
      <c r="R35" s="409">
        <f>+$C$35*q14a!$C$35</f>
        <v>99796932.730000004</v>
      </c>
      <c r="S35" s="409">
        <f>+$D$35*q14a!$D$35</f>
        <v>106449857.92</v>
      </c>
      <c r="T35" s="409">
        <f>+$E$35*q14a!$E$35</f>
        <v>100441713.71000001</v>
      </c>
      <c r="U35" s="409">
        <f>+$F$35*q14a!$F$35</f>
        <v>107501943.99999999</v>
      </c>
      <c r="V35" s="409">
        <f>+$G$35*q14a!$G$35</f>
        <v>116804208.75999999</v>
      </c>
      <c r="W35" s="409">
        <f>+$H$35*q14a!$H$35</f>
        <v>137334840.58000001</v>
      </c>
      <c r="X35" s="409">
        <f>+$I$35*q14a!$I$35</f>
        <v>147145028.36000001</v>
      </c>
      <c r="Y35" s="409">
        <f>+$J$35*q14a!$J$35</f>
        <v>146416828.79999998</v>
      </c>
      <c r="Z35" s="409">
        <f>+$K$35*q14a!$K$35</f>
        <v>185421656.08000001</v>
      </c>
      <c r="AA35" s="409">
        <f>+$L$35*q14a!$L$35</f>
        <v>209930904</v>
      </c>
      <c r="AB35" s="409">
        <f>+$M$35*q14a!$M$35</f>
        <v>226454840.03999999</v>
      </c>
    </row>
    <row r="36" spans="1:28" s="240" customFormat="1" ht="12.75" customHeight="1">
      <c r="A36" s="244"/>
      <c r="B36" s="258" t="str">
        <f>+'q23'!B36</f>
        <v>H</v>
      </c>
      <c r="C36" s="356">
        <f>+'q23'!C36</f>
        <v>1234.33</v>
      </c>
      <c r="D36" s="356">
        <f>+'q23'!D36</f>
        <v>1221.46</v>
      </c>
      <c r="E36" s="356">
        <f>+'q23'!E36</f>
        <v>1215.42</v>
      </c>
      <c r="F36" s="356">
        <f>+'q23'!F36</f>
        <v>1177.68</v>
      </c>
      <c r="G36" s="356">
        <f>+'q23'!G36</f>
        <v>1237.74</v>
      </c>
      <c r="H36" s="356">
        <f>+'q23'!H36</f>
        <v>1338.61</v>
      </c>
      <c r="I36" s="356">
        <f>+'q23'!I36</f>
        <v>1346.59</v>
      </c>
      <c r="J36" s="356">
        <f>+'q23'!J36</f>
        <v>1386.46</v>
      </c>
      <c r="K36" s="356">
        <f>+'q23'!K36</f>
        <v>1477.34</v>
      </c>
      <c r="L36" s="356">
        <f>+'q23'!L36</f>
        <v>1551.09</v>
      </c>
      <c r="M36" s="356">
        <f>+'q23'!M36</f>
        <v>1657.29</v>
      </c>
      <c r="N36" s="250"/>
      <c r="P36" s="244"/>
      <c r="Q36" s="258" t="s">
        <v>52</v>
      </c>
      <c r="R36" s="409">
        <f>+$C$36*q14a!$C$36</f>
        <v>59154030.919999994</v>
      </c>
      <c r="S36" s="409">
        <f>+$D$36*q14a!$D$36</f>
        <v>62927176.280000001</v>
      </c>
      <c r="T36" s="409">
        <f>+$E$36*q14a!$E$36</f>
        <v>59953022.340000004</v>
      </c>
      <c r="U36" s="409">
        <f>+$F$36*q14a!$F$36</f>
        <v>61045042.800000004</v>
      </c>
      <c r="V36" s="409">
        <f>+$G$36*q14a!$G$36</f>
        <v>67511290.560000002</v>
      </c>
      <c r="W36" s="409">
        <f>+$H$36*q14a!$H$36</f>
        <v>79459889.599999994</v>
      </c>
      <c r="X36" s="409">
        <f>+$I$36*q14a!$I$36</f>
        <v>87365412.609999999</v>
      </c>
      <c r="Y36" s="409">
        <f>+$J$36*q14a!$J$36</f>
        <v>86228106.780000001</v>
      </c>
      <c r="Z36" s="409">
        <f>+$K$36*q14a!$K$36</f>
        <v>109061670.81999999</v>
      </c>
      <c r="AA36" s="409">
        <f>+$L$36*q14a!$L$36</f>
        <v>125584001.84999999</v>
      </c>
      <c r="AB36" s="409">
        <f>+$M$36*q14a!$M$36</f>
        <v>139576963.79999998</v>
      </c>
    </row>
    <row r="37" spans="1:28" s="240" customFormat="1" ht="12.75" customHeight="1">
      <c r="A37" s="254"/>
      <c r="B37" s="258" t="str">
        <f>+'q23'!B37</f>
        <v>M</v>
      </c>
      <c r="C37" s="356">
        <f>+'q23'!C37</f>
        <v>1063.48</v>
      </c>
      <c r="D37" s="356">
        <f>+'q23'!D37</f>
        <v>1061.69</v>
      </c>
      <c r="E37" s="356">
        <f>+'q23'!E37</f>
        <v>1068.5899999999999</v>
      </c>
      <c r="F37" s="356">
        <f>+'q23'!F37</f>
        <v>1047.3800000000001</v>
      </c>
      <c r="G37" s="356">
        <f>+'q23'!G37</f>
        <v>1066.8499999999999</v>
      </c>
      <c r="H37" s="356">
        <f>+'q23'!H37</f>
        <v>1155.71</v>
      </c>
      <c r="I37" s="356">
        <f>+'q23'!I37</f>
        <v>1153.23</v>
      </c>
      <c r="J37" s="356">
        <f>+'q23'!J37</f>
        <v>1206.52</v>
      </c>
      <c r="K37" s="356">
        <f>+'q23'!K37</f>
        <v>1319.36</v>
      </c>
      <c r="L37" s="356">
        <f>+'q23'!L37</f>
        <v>1416.39</v>
      </c>
      <c r="M37" s="356">
        <f>+'q23'!M37</f>
        <v>1543.89</v>
      </c>
      <c r="N37" s="250"/>
      <c r="P37" s="254"/>
      <c r="Q37" s="258" t="s">
        <v>53</v>
      </c>
      <c r="R37" s="409">
        <f>+$C$37*q14a!$C$37</f>
        <v>40643015.160000004</v>
      </c>
      <c r="S37" s="409">
        <f>+$D$37*q14a!$D$37</f>
        <v>43522919.859999999</v>
      </c>
      <c r="T37" s="409">
        <f>+$E$37*q14a!$E$37</f>
        <v>40488875.099999994</v>
      </c>
      <c r="U37" s="409">
        <f>+$F$37*q14a!$F$37</f>
        <v>46456539.900000006</v>
      </c>
      <c r="V37" s="409">
        <f>+$G$37*q14a!$G$37</f>
        <v>49292737.399999999</v>
      </c>
      <c r="W37" s="409">
        <f>+$H$37*q14a!$H$37</f>
        <v>57875645.380000003</v>
      </c>
      <c r="X37" s="409">
        <f>+$I$37*q14a!$I$37</f>
        <v>59779983.509999998</v>
      </c>
      <c r="Y37" s="409">
        <f>+$J$37*q14a!$J$37</f>
        <v>60189663.240000002</v>
      </c>
      <c r="Z37" s="409">
        <f>+$K$37*q14a!$K$37</f>
        <v>76359279.359999999</v>
      </c>
      <c r="AA37" s="409">
        <f>+$L$37*q14a!$L$37</f>
        <v>84347440.890000001</v>
      </c>
      <c r="AB37" s="409">
        <f>+$M$37*q14a!$M$37</f>
        <v>86877778.079999998</v>
      </c>
    </row>
    <row r="38" spans="1:28" s="253" customFormat="1" ht="16.5" customHeight="1">
      <c r="A38" s="255" t="str">
        <f>+'q23'!A38</f>
        <v>1 000 e + pessoas</v>
      </c>
      <c r="B38" s="372" t="str">
        <f>+'q23'!B38</f>
        <v>T</v>
      </c>
      <c r="C38" s="355">
        <f>+'q23'!C38</f>
        <v>991.35</v>
      </c>
      <c r="D38" s="355">
        <f>+'q23'!D38</f>
        <v>1013.65</v>
      </c>
      <c r="E38" s="355">
        <f>+'q23'!E38</f>
        <v>1020.06</v>
      </c>
      <c r="F38" s="355">
        <f>+'q23'!F38</f>
        <v>1043.55</v>
      </c>
      <c r="G38" s="355">
        <f>+'q23'!G38</f>
        <v>1089.1099999999999</v>
      </c>
      <c r="H38" s="355">
        <f>+'q23'!H38</f>
        <v>1142.99</v>
      </c>
      <c r="I38" s="355">
        <f>+'q23'!I38</f>
        <v>1113.47</v>
      </c>
      <c r="J38" s="355">
        <f>+'q23'!J38</f>
        <v>1198.32</v>
      </c>
      <c r="K38" s="355">
        <f>+'q23'!K38</f>
        <v>1315.25</v>
      </c>
      <c r="L38" s="355">
        <f>+'q23'!L38</f>
        <v>1384.68</v>
      </c>
      <c r="M38" s="355">
        <f>+'q23'!M38</f>
        <v>1548.32</v>
      </c>
      <c r="N38" s="252"/>
      <c r="P38" s="255" t="s">
        <v>71</v>
      </c>
      <c r="Q38" s="372" t="s">
        <v>44</v>
      </c>
      <c r="R38" s="409">
        <f>+$C$38*q14a!$C$38</f>
        <v>104410964.7</v>
      </c>
      <c r="S38" s="409">
        <f>+$D$38*q14a!$D$38</f>
        <v>112442167.2</v>
      </c>
      <c r="T38" s="409">
        <f>+$E$38*q14a!$E$38</f>
        <v>126445617.53999999</v>
      </c>
      <c r="U38" s="409">
        <f>+$F$38*q14a!$F$38</f>
        <v>140244771.59999999</v>
      </c>
      <c r="V38" s="409">
        <f>+$G$38*q14a!$G$38</f>
        <v>157245701.79999998</v>
      </c>
      <c r="W38" s="409">
        <f>+$H$38*q14a!$H$38</f>
        <v>181693119.37</v>
      </c>
      <c r="X38" s="409">
        <f>+$I$38*q14a!$I$38</f>
        <v>173916219.71000001</v>
      </c>
      <c r="Y38" s="409">
        <f>+$J$38*q14a!$J$38</f>
        <v>191857023.59999999</v>
      </c>
      <c r="Z38" s="409">
        <f>+$K$38*q14a!$K$38</f>
        <v>235208788</v>
      </c>
      <c r="AA38" s="409">
        <f>+$L$38*q14a!$L$38</f>
        <v>242011601.04000002</v>
      </c>
      <c r="AB38" s="409">
        <f>+$M$38*q14a!$M$38</f>
        <v>296230775.68000001</v>
      </c>
    </row>
    <row r="39" spans="1:28" s="240" customFormat="1" ht="12.75" customHeight="1">
      <c r="A39" s="254"/>
      <c r="B39" s="258" t="str">
        <f>+'q23'!B39</f>
        <v>H</v>
      </c>
      <c r="C39" s="356">
        <f>+'q23'!C39</f>
        <v>1075.68</v>
      </c>
      <c r="D39" s="356">
        <f>+'q23'!D39</f>
        <v>1106.82</v>
      </c>
      <c r="E39" s="356">
        <f>+'q23'!E39</f>
        <v>1107.8599999999999</v>
      </c>
      <c r="F39" s="356">
        <f>+'q23'!F39</f>
        <v>1112.99</v>
      </c>
      <c r="G39" s="356">
        <f>+'q23'!G39</f>
        <v>1165.6199999999999</v>
      </c>
      <c r="H39" s="356">
        <f>+'q23'!H39</f>
        <v>1232.67</v>
      </c>
      <c r="I39" s="356">
        <f>+'q23'!I39</f>
        <v>1180.98</v>
      </c>
      <c r="J39" s="356">
        <f>+'q23'!J39</f>
        <v>1275.42</v>
      </c>
      <c r="K39" s="356">
        <f>+'q23'!K39</f>
        <v>1445.56</v>
      </c>
      <c r="L39" s="356">
        <f>+'q23'!L39</f>
        <v>1522.18</v>
      </c>
      <c r="M39" s="356">
        <f>+'q23'!M39</f>
        <v>1687.78</v>
      </c>
      <c r="N39" s="250"/>
      <c r="P39" s="254"/>
      <c r="Q39" s="258" t="s">
        <v>52</v>
      </c>
      <c r="R39" s="409">
        <f>+$C$39*q14a!$C$39</f>
        <v>58015725.120000005</v>
      </c>
      <c r="S39" s="409">
        <f>+$D$39*q14a!$D$39</f>
        <v>61140736.799999997</v>
      </c>
      <c r="T39" s="409">
        <f>+$E$39*q14a!$E$39</f>
        <v>66384079.059999995</v>
      </c>
      <c r="U39" s="409">
        <f>+$F$39*q14a!$F$39</f>
        <v>76415667.420000002</v>
      </c>
      <c r="V39" s="409">
        <f>+$G$39*q14a!$G$39</f>
        <v>86471519.699999988</v>
      </c>
      <c r="W39" s="409">
        <f>+$H$39*q14a!$H$39</f>
        <v>98278313.760000005</v>
      </c>
      <c r="X39" s="409">
        <f>+$I$39*q14a!$I$39</f>
        <v>86877612.719999999</v>
      </c>
      <c r="Y39" s="409">
        <f>+$J$39*q14a!$J$39</f>
        <v>97670388.180000007</v>
      </c>
      <c r="Z39" s="409">
        <f>+$K$39*q14a!$K$39</f>
        <v>126707670.67999999</v>
      </c>
      <c r="AA39" s="409">
        <f>+$L$39*q14a!$L$39</f>
        <v>129886097.22</v>
      </c>
      <c r="AB39" s="409">
        <f>+$M$39*q14a!$M$39</f>
        <v>160961890.81999999</v>
      </c>
    </row>
    <row r="40" spans="1:28" s="240" customFormat="1" ht="12.75" customHeight="1">
      <c r="A40" s="256"/>
      <c r="B40" s="257" t="str">
        <f>+'q23'!B40</f>
        <v>M</v>
      </c>
      <c r="C40" s="357">
        <f>+'q23'!C40</f>
        <v>902.85</v>
      </c>
      <c r="D40" s="357">
        <f>+'q23'!D40</f>
        <v>921.23</v>
      </c>
      <c r="E40" s="357">
        <f>+'q23'!E40</f>
        <v>937.91</v>
      </c>
      <c r="F40" s="357">
        <f>+'q23'!F40</f>
        <v>971.03</v>
      </c>
      <c r="G40" s="357">
        <f>+'q23'!G40</f>
        <v>1008.24</v>
      </c>
      <c r="H40" s="357">
        <f>+'q23'!H40</f>
        <v>1052.75</v>
      </c>
      <c r="I40" s="357">
        <f>+'q23'!I40</f>
        <v>1053.3599999999999</v>
      </c>
      <c r="J40" s="357">
        <f>+'q23'!J40</f>
        <v>1127.6400000000001</v>
      </c>
      <c r="K40" s="357">
        <f>+'q23'!K40</f>
        <v>1189.99</v>
      </c>
      <c r="L40" s="357">
        <f>+'q23'!L40</f>
        <v>1253.51</v>
      </c>
      <c r="M40" s="357">
        <f>+'q23'!M40</f>
        <v>1409.71</v>
      </c>
      <c r="N40" s="250"/>
      <c r="P40" s="256"/>
      <c r="Q40" s="257" t="s">
        <v>53</v>
      </c>
      <c r="R40" s="409">
        <f>+$C$40*q14a!$C$40</f>
        <v>46395655.800000004</v>
      </c>
      <c r="S40" s="409">
        <f>+$D$40*q14a!$D$40</f>
        <v>51301456.240000002</v>
      </c>
      <c r="T40" s="409">
        <f>+$E$40*q14a!$E$40</f>
        <v>60061880.579999998</v>
      </c>
      <c r="U40" s="409">
        <f>+$F$40*q14a!$F$40</f>
        <v>63829686.019999996</v>
      </c>
      <c r="V40" s="409">
        <f>+$G$40*q14a!$G$40</f>
        <v>70773406.799999997</v>
      </c>
      <c r="W40" s="409">
        <f>+$H$40*q14a!$H$40</f>
        <v>83414646.25</v>
      </c>
      <c r="X40" s="409">
        <f>+$I$40*q14a!$I$40</f>
        <v>87038083.439999998</v>
      </c>
      <c r="Y40" s="409">
        <f>+$J$40*q14a!$J$40</f>
        <v>94187258.640000015</v>
      </c>
      <c r="Z40" s="409">
        <f>+$K$40*q14a!$K$40</f>
        <v>108502098.20999999</v>
      </c>
      <c r="AA40" s="409">
        <f>+$L$40*q14a!$L$40</f>
        <v>112125215.98999999</v>
      </c>
      <c r="AB40" s="409">
        <f>+$M$40*q14a!$M$40</f>
        <v>135268723.05000001</v>
      </c>
    </row>
    <row r="41" spans="1:28" s="237" customFormat="1" ht="14.25" customHeight="1">
      <c r="A41" s="19" t="str">
        <f>+'q23'!A41</f>
        <v>Fonte: DGCP/MTSSS, Quadros de Pessoal.</v>
      </c>
      <c r="B41" s="258"/>
      <c r="C41" s="259"/>
      <c r="D41" s="249"/>
      <c r="E41" s="249"/>
      <c r="G41" s="249"/>
      <c r="H41" s="249"/>
      <c r="I41" s="249"/>
      <c r="J41" s="249"/>
      <c r="K41" s="249"/>
      <c r="L41" s="249"/>
      <c r="M41" s="249"/>
      <c r="N41" s="239"/>
    </row>
    <row r="42" spans="1:28" s="237" customFormat="1" ht="29.25" customHeight="1">
      <c r="A42" s="953" t="str">
        <f>+'q23'!A42:M42</f>
        <v xml:space="preserve">      (1) dos trabalhadores por conta de outrem a tempo completo, que auferiram remuneração completa no período de referência.</v>
      </c>
      <c r="B42" s="953"/>
      <c r="C42" s="953"/>
      <c r="D42" s="953"/>
      <c r="E42" s="953"/>
      <c r="F42" s="953"/>
      <c r="G42" s="953"/>
      <c r="H42" s="953"/>
      <c r="I42" s="953"/>
      <c r="J42" s="953"/>
      <c r="K42" s="953"/>
      <c r="L42" s="953"/>
      <c r="M42" s="953"/>
      <c r="N42" s="239"/>
    </row>
    <row r="43" spans="1:28" s="135" customFormat="1" ht="17.25" customHeight="1">
      <c r="A43" s="136"/>
      <c r="B43" s="136"/>
      <c r="N43" s="137"/>
    </row>
  </sheetData>
  <mergeCells count="2">
    <mergeCell ref="A1:M1"/>
    <mergeCell ref="A42:M42"/>
  </mergeCells>
  <conditionalFormatting sqref="A42 F2 E3 A1 F43:F1048576 G41 N6:N16 A2:D3 A43:D1048576 B41:D41 N41:XFD1048576 O5:O16 N17:O40 N3:XFD3 N2:O2 Q2:XFD2 N1:XFD1 A4:O4 A5:I40 AC4:XFD4 R5:XFD40">
    <cfRule type="cellIs" dxfId="2675" priority="41" operator="equal">
      <formula>0</formula>
    </cfRule>
  </conditionalFormatting>
  <conditionalFormatting sqref="E2 E43:E1048576 E41">
    <cfRule type="cellIs" dxfId="2674" priority="40" operator="equal">
      <formula>0</formula>
    </cfRule>
  </conditionalFormatting>
  <conditionalFormatting sqref="A41">
    <cfRule type="cellIs" dxfId="2673" priority="39" operator="equal">
      <formula>0</formula>
    </cfRule>
  </conditionalFormatting>
  <conditionalFormatting sqref="G2 G43:G1048576">
    <cfRule type="cellIs" dxfId="2672" priority="38" operator="equal">
      <formula>0</formula>
    </cfRule>
  </conditionalFormatting>
  <conditionalFormatting sqref="I41">
    <cfRule type="cellIs" dxfId="2671" priority="36" operator="equal">
      <formula>0</formula>
    </cfRule>
  </conditionalFormatting>
  <conditionalFormatting sqref="I2 I43:I1048576">
    <cfRule type="cellIs" dxfId="2670" priority="35" operator="equal">
      <formula>0</formula>
    </cfRule>
  </conditionalFormatting>
  <conditionalFormatting sqref="N5">
    <cfRule type="cellIs" dxfId="2669" priority="34" operator="equal">
      <formula>0</formula>
    </cfRule>
  </conditionalFormatting>
  <conditionalFormatting sqref="H41">
    <cfRule type="cellIs" dxfId="2668" priority="33" operator="equal">
      <formula>0</formula>
    </cfRule>
  </conditionalFormatting>
  <conditionalFormatting sqref="H2 H43:H1048576">
    <cfRule type="cellIs" dxfId="2667" priority="32" operator="equal">
      <formula>0</formula>
    </cfRule>
  </conditionalFormatting>
  <conditionalFormatting sqref="J8:J40">
    <cfRule type="cellIs" dxfId="2666" priority="31" operator="equal">
      <formula>0</formula>
    </cfRule>
  </conditionalFormatting>
  <conditionalFormatting sqref="J5:J7">
    <cfRule type="cellIs" dxfId="2665" priority="29" operator="equal">
      <formula>0</formula>
    </cfRule>
  </conditionalFormatting>
  <conditionalFormatting sqref="J41">
    <cfRule type="cellIs" dxfId="2664" priority="28" operator="equal">
      <formula>0</formula>
    </cfRule>
  </conditionalFormatting>
  <conditionalFormatting sqref="J2 J43:J1048576">
    <cfRule type="cellIs" dxfId="2663" priority="27" operator="equal">
      <formula>0</formula>
    </cfRule>
  </conditionalFormatting>
  <conditionalFormatting sqref="K8:K40">
    <cfRule type="cellIs" dxfId="2662" priority="26" operator="equal">
      <formula>0</formula>
    </cfRule>
  </conditionalFormatting>
  <conditionalFormatting sqref="K5:K7">
    <cfRule type="cellIs" dxfId="2661" priority="24" operator="equal">
      <formula>0</formula>
    </cfRule>
  </conditionalFormatting>
  <conditionalFormatting sqref="K41">
    <cfRule type="cellIs" dxfId="2660" priority="23" operator="equal">
      <formula>0</formula>
    </cfRule>
  </conditionalFormatting>
  <conditionalFormatting sqref="K2 K43:K1048576">
    <cfRule type="cellIs" dxfId="2659" priority="22" operator="equal">
      <formula>0</formula>
    </cfRule>
  </conditionalFormatting>
  <conditionalFormatting sqref="L8:L40">
    <cfRule type="cellIs" dxfId="2658" priority="21" operator="equal">
      <formula>0</formula>
    </cfRule>
  </conditionalFormatting>
  <conditionalFormatting sqref="L5:L7">
    <cfRule type="cellIs" dxfId="2657" priority="19" operator="equal">
      <formula>0</formula>
    </cfRule>
  </conditionalFormatting>
  <conditionalFormatting sqref="L41">
    <cfRule type="cellIs" dxfId="2656" priority="18" operator="equal">
      <formula>0</formula>
    </cfRule>
  </conditionalFormatting>
  <conditionalFormatting sqref="L2 L43:L1048576">
    <cfRule type="cellIs" dxfId="2655" priority="17" operator="equal">
      <formula>0</formula>
    </cfRule>
  </conditionalFormatting>
  <conditionalFormatting sqref="K3">
    <cfRule type="cellIs" dxfId="2654" priority="16" operator="equal">
      <formula>0</formula>
    </cfRule>
  </conditionalFormatting>
  <conditionalFormatting sqref="L3">
    <cfRule type="cellIs" dxfId="2653" priority="15" operator="equal">
      <formula>0</formula>
    </cfRule>
  </conditionalFormatting>
  <conditionalFormatting sqref="M8:M40">
    <cfRule type="cellIs" dxfId="2652" priority="14" operator="equal">
      <formula>0</formula>
    </cfRule>
  </conditionalFormatting>
  <conditionalFormatting sqref="M5:M7">
    <cfRule type="cellIs" dxfId="2651" priority="12" operator="equal">
      <formula>0</formula>
    </cfRule>
  </conditionalFormatting>
  <conditionalFormatting sqref="M41">
    <cfRule type="cellIs" dxfId="2650" priority="11" operator="equal">
      <formula>0</formula>
    </cfRule>
  </conditionalFormatting>
  <conditionalFormatting sqref="M2 M43:M1048576">
    <cfRule type="cellIs" dxfId="2649" priority="10" operator="equal">
      <formula>0</formula>
    </cfRule>
  </conditionalFormatting>
  <conditionalFormatting sqref="M3">
    <cfRule type="cellIs" dxfId="2648" priority="9" operator="equal">
      <formula>0</formula>
    </cfRule>
  </conditionalFormatting>
  <conditionalFormatting sqref="P4:AB4">
    <cfRule type="cellIs" dxfId="2647" priority="8" operator="equal">
      <formula>0</formula>
    </cfRule>
  </conditionalFormatting>
  <conditionalFormatting sqref="P5:Q40">
    <cfRule type="cellIs" dxfId="2646"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BBB64-87A2-4A60-AABF-F6A0CAF9033C}">
  <sheetPr>
    <tabColor rgb="FFFFFF00"/>
    <pageSetUpPr fitToPage="1"/>
  </sheetPr>
  <dimension ref="A1:GP50"/>
  <sheetViews>
    <sheetView showGridLines="0" workbookViewId="0">
      <selection activeCell="Y70" sqref="Y70"/>
    </sheetView>
  </sheetViews>
  <sheetFormatPr defaultColWidth="9.140625" defaultRowHeight="11.25"/>
  <cols>
    <col min="1" max="1" width="14.7109375" style="129" customWidth="1"/>
    <col min="2" max="2" width="2.42578125" style="129" customWidth="1"/>
    <col min="3" max="13" width="6.42578125" style="129" customWidth="1"/>
    <col min="14" max="17" width="9.140625" style="129"/>
    <col min="18" max="28" width="10.140625" style="129" bestFit="1" customWidth="1"/>
    <col min="29" max="198" width="9.140625" style="129"/>
    <col min="199" max="16384" width="9.140625" style="27"/>
  </cols>
  <sheetData>
    <row r="1" spans="1:40" s="134" customFormat="1" ht="28.5" customHeight="1">
      <c r="A1" s="954" t="str">
        <f>+'q35'!A1:M1</f>
        <v>Quadro 35 - Remuneração média mensal ganho(1) por dimensão do estabelecimento e sexo</v>
      </c>
      <c r="B1" s="954"/>
      <c r="C1" s="954"/>
      <c r="D1" s="954"/>
      <c r="E1" s="954"/>
      <c r="F1" s="954"/>
      <c r="G1" s="954"/>
      <c r="H1" s="954"/>
      <c r="I1" s="954"/>
      <c r="J1" s="954"/>
      <c r="K1" s="954"/>
      <c r="L1" s="954"/>
      <c r="M1" s="954"/>
      <c r="P1" s="408" t="s">
        <v>245</v>
      </c>
    </row>
    <row r="2" spans="1:40" s="135" customFormat="1" ht="15" customHeight="1">
      <c r="A2" s="88"/>
      <c r="B2" s="88"/>
      <c r="C2" s="89"/>
      <c r="D2" s="89"/>
      <c r="E2" s="89"/>
      <c r="F2" s="89"/>
      <c r="G2" s="89"/>
      <c r="H2" s="89"/>
      <c r="I2" s="89"/>
      <c r="J2" s="89"/>
      <c r="K2" s="89"/>
      <c r="L2" s="89"/>
      <c r="M2" s="89"/>
      <c r="P2" s="129" t="s">
        <v>249</v>
      </c>
    </row>
    <row r="3" spans="1:40" s="59" customFormat="1" ht="15" customHeight="1">
      <c r="A3" s="65" t="s">
        <v>13</v>
      </c>
      <c r="B3" s="66"/>
      <c r="C3" s="360"/>
      <c r="E3" s="360"/>
      <c r="F3" s="360"/>
      <c r="G3" s="360"/>
      <c r="H3" s="360"/>
      <c r="I3" s="360"/>
      <c r="J3" s="360"/>
      <c r="K3" s="360"/>
      <c r="L3" s="360"/>
      <c r="M3" s="360" t="s">
        <v>67</v>
      </c>
      <c r="P3" s="262" t="s">
        <v>248</v>
      </c>
      <c r="Q3" s="237"/>
      <c r="R3" s="237"/>
      <c r="S3" s="237"/>
      <c r="T3" s="237"/>
      <c r="U3" s="237"/>
      <c r="V3" s="237"/>
      <c r="W3" s="237"/>
      <c r="X3" s="237"/>
      <c r="Y3" s="237"/>
      <c r="Z3" s="237"/>
      <c r="AA3" s="237"/>
      <c r="AB3" s="237"/>
      <c r="AD3" s="571" t="s">
        <v>491</v>
      </c>
      <c r="AE3" s="237"/>
      <c r="AF3" s="237"/>
      <c r="AG3" s="237"/>
      <c r="AH3" s="237"/>
      <c r="AI3" s="237"/>
      <c r="AJ3" s="237"/>
      <c r="AK3" s="237"/>
      <c r="AL3" s="237"/>
      <c r="AM3" s="237"/>
      <c r="AN3" s="237"/>
    </row>
    <row r="4" spans="1:40" s="119" customFormat="1" ht="29.25" customHeight="1" thickBot="1">
      <c r="A4" s="67"/>
      <c r="B4" s="67"/>
      <c r="C4" s="67">
        <f>+'q35'!C4</f>
        <v>2014</v>
      </c>
      <c r="D4" s="67">
        <f>+'q35'!D4</f>
        <v>2015</v>
      </c>
      <c r="E4" s="67">
        <f>+'q35'!E4</f>
        <v>2016</v>
      </c>
      <c r="F4" s="67">
        <f>+'q35'!F4</f>
        <v>2017</v>
      </c>
      <c r="G4" s="67">
        <f>+'q35'!G4</f>
        <v>2018</v>
      </c>
      <c r="H4" s="67">
        <f>+'q35'!H4</f>
        <v>2019</v>
      </c>
      <c r="I4" s="67">
        <f>+'q35'!I4</f>
        <v>2020</v>
      </c>
      <c r="J4" s="67">
        <f>+'q35'!J4</f>
        <v>2021</v>
      </c>
      <c r="K4" s="67">
        <f>+'q35'!K4</f>
        <v>2022</v>
      </c>
      <c r="L4" s="67">
        <f>+'q35'!L4</f>
        <v>2023</v>
      </c>
      <c r="M4" s="67">
        <f>+'q35'!M4</f>
        <v>2024</v>
      </c>
      <c r="P4" s="246"/>
      <c r="Q4" s="246"/>
      <c r="R4" s="229">
        <v>2011</v>
      </c>
      <c r="S4" s="229">
        <v>2012</v>
      </c>
      <c r="T4" s="229">
        <v>2013</v>
      </c>
      <c r="U4" s="229">
        <v>2014</v>
      </c>
      <c r="V4" s="229">
        <v>2015</v>
      </c>
      <c r="W4" s="229">
        <v>2016</v>
      </c>
      <c r="X4" s="229">
        <v>2017</v>
      </c>
      <c r="Y4" s="229">
        <v>2018</v>
      </c>
      <c r="Z4" s="229">
        <v>2019</v>
      </c>
      <c r="AA4" s="229">
        <v>2020</v>
      </c>
      <c r="AB4" s="229">
        <v>2021</v>
      </c>
      <c r="AD4" s="248">
        <f>+C4</f>
        <v>2014</v>
      </c>
      <c r="AE4" s="248">
        <f t="shared" ref="AE4:AL4" si="0">+D4</f>
        <v>2015</v>
      </c>
      <c r="AF4" s="248">
        <f t="shared" si="0"/>
        <v>2016</v>
      </c>
      <c r="AG4" s="248">
        <f t="shared" si="0"/>
        <v>2017</v>
      </c>
      <c r="AH4" s="248">
        <f t="shared" si="0"/>
        <v>2018</v>
      </c>
      <c r="AI4" s="248">
        <f t="shared" si="0"/>
        <v>2019</v>
      </c>
      <c r="AJ4" s="248">
        <f t="shared" si="0"/>
        <v>2020</v>
      </c>
      <c r="AK4" s="248">
        <f t="shared" si="0"/>
        <v>2021</v>
      </c>
      <c r="AL4" s="248">
        <f t="shared" si="0"/>
        <v>2022</v>
      </c>
      <c r="AM4" s="248">
        <f>+L4</f>
        <v>2023</v>
      </c>
      <c r="AN4" s="248">
        <f>+M4</f>
        <v>2024</v>
      </c>
    </row>
    <row r="5" spans="1:40" s="69" customFormat="1" ht="16.5" customHeight="1" thickTop="1">
      <c r="A5" s="63" t="str">
        <f>+'q35'!A5</f>
        <v>Total</v>
      </c>
      <c r="B5" s="66" t="str">
        <f>+'q35'!B5</f>
        <v>T</v>
      </c>
      <c r="C5" s="820">
        <f>+'q35'!C5</f>
        <v>1093.21</v>
      </c>
      <c r="D5" s="820">
        <f>+'q35'!D5</f>
        <v>1096.6600000000001</v>
      </c>
      <c r="E5" s="820">
        <f>+'q35'!E5</f>
        <v>1107.8599999999999</v>
      </c>
      <c r="F5" s="820">
        <f>+'q35'!F5</f>
        <v>1133.3399999999999</v>
      </c>
      <c r="G5" s="820">
        <f>+'q35'!G5</f>
        <v>1170.25</v>
      </c>
      <c r="H5" s="820">
        <f>+'q35'!H5</f>
        <v>1209.94</v>
      </c>
      <c r="I5" s="820">
        <f>+'q35'!I5</f>
        <v>1250.75</v>
      </c>
      <c r="J5" s="820">
        <f>+'q35'!J5</f>
        <v>1294.1099999999999</v>
      </c>
      <c r="K5" s="820">
        <f>+'q35'!K5</f>
        <v>1368</v>
      </c>
      <c r="L5" s="820">
        <f>+'q35'!L5</f>
        <v>1466.66</v>
      </c>
      <c r="M5" s="820">
        <f>+'q35'!M5</f>
        <v>1582.75</v>
      </c>
      <c r="O5" s="362"/>
      <c r="P5" s="236" t="s">
        <v>11</v>
      </c>
      <c r="Q5" s="372" t="s">
        <v>44</v>
      </c>
      <c r="R5" s="409">
        <f>+(R8+R11+R14+R17+R20+R23+R26+R29+R32+R35+R38)/q14a!C5</f>
        <v>1093.2096948826093</v>
      </c>
      <c r="S5" s="409">
        <f>+(S8+S11+S14+S17+S20+S23+S26+S29+S32+S35+S38)/q14a!D5</f>
        <v>1096.6558326147299</v>
      </c>
      <c r="T5" s="409">
        <f>+(T8+T11+T14+T17+T20+T23+T26+T29+T32+T35+T38)/q14a!E5</f>
        <v>1107.8566339223451</v>
      </c>
      <c r="U5" s="409">
        <f>+(U8+U11+U14+U17+U20+U23+U26+U29+U32+U35+U38)/q14a!F5</f>
        <v>1133.3442045026534</v>
      </c>
      <c r="V5" s="409">
        <f>+(V8+V11+V14+V17+V20+V23+V26+V29+V32+V35+V38)/q14a!G5</f>
        <v>1170.2522525617233</v>
      </c>
      <c r="W5" s="409">
        <f>+(W8+W11+W14+W17+W20+W23+W26+W29+W32+W35+W38)/q14a!H5</f>
        <v>1209.9385714836051</v>
      </c>
      <c r="X5" s="409">
        <f>+(X8+X11+X14+X17+X20+X23+X26+X29+X32+X35+X38)/q14a!I5</f>
        <v>1250.7528398220429</v>
      </c>
      <c r="Y5" s="409">
        <f>+(Y8+Y11+Y14+Y17+Y20+Y23+Y26+Y29+Y32+Y35+Y38)/q14a!J5</f>
        <v>1294.1093360156394</v>
      </c>
      <c r="Z5" s="409">
        <f>+(Z8+Z11+Z14+Z17+Z20+Z23+Z26+Z29+Z32+Z35+Z38)/q14a!K5</f>
        <v>1367.9943070810968</v>
      </c>
      <c r="AA5" s="409">
        <f>+(AA8+AA11+AA14+AA17+AA20+AA23+AA26+AA29+AA32+AA35+AA38)/q14a!L5</f>
        <v>1466.6561927338307</v>
      </c>
      <c r="AB5" s="409">
        <f>+(AB8+AB11+AB14+AB17+AB20+AB23+AB26+AB29+AB32+AB35+AB38)/q14a!M5</f>
        <v>1582.7462730068996</v>
      </c>
      <c r="AD5" s="570">
        <f>+R5-C5</f>
        <v>-3.0511739078065148E-4</v>
      </c>
      <c r="AE5" s="570">
        <f t="shared" ref="AE5:AN7" si="1">+S5-D5</f>
        <v>-4.1673852701933356E-3</v>
      </c>
      <c r="AF5" s="570">
        <f t="shared" si="1"/>
        <v>-3.3660776548458671E-3</v>
      </c>
      <c r="AG5" s="570">
        <f t="shared" si="1"/>
        <v>4.2045026534651697E-3</v>
      </c>
      <c r="AH5" s="570">
        <f t="shared" si="1"/>
        <v>2.2525617232531658E-3</v>
      </c>
      <c r="AI5" s="570">
        <f t="shared" si="1"/>
        <v>-1.4285163949807611E-3</v>
      </c>
      <c r="AJ5" s="570">
        <f t="shared" si="1"/>
        <v>2.8398220429153298E-3</v>
      </c>
      <c r="AK5" s="570">
        <f t="shared" si="1"/>
        <v>-6.6398436047165887E-4</v>
      </c>
      <c r="AL5" s="570">
        <f t="shared" si="1"/>
        <v>-5.6929189031507121E-3</v>
      </c>
      <c r="AM5" s="570">
        <f t="shared" si="1"/>
        <v>-3.8072661693604459E-3</v>
      </c>
      <c r="AN5" s="570">
        <f t="shared" si="1"/>
        <v>-3.7269931003720558E-3</v>
      </c>
    </row>
    <row r="6" spans="1:40" s="69" customFormat="1" ht="12.75" customHeight="1">
      <c r="A6" s="38"/>
      <c r="B6" s="66" t="str">
        <f>+'q35'!B6</f>
        <v>H</v>
      </c>
      <c r="C6" s="90">
        <f>+'q35'!C6</f>
        <v>1203.32</v>
      </c>
      <c r="D6" s="90">
        <f>+'q35'!D6</f>
        <v>1207.76</v>
      </c>
      <c r="E6" s="90">
        <f>+'q35'!E6</f>
        <v>1215.1099999999999</v>
      </c>
      <c r="F6" s="90">
        <f>+'q35'!F6</f>
        <v>1236.8499999999999</v>
      </c>
      <c r="G6" s="90">
        <f>+'q35'!G6</f>
        <v>1273.99</v>
      </c>
      <c r="H6" s="90">
        <f>+'q35'!H6</f>
        <v>1312.43</v>
      </c>
      <c r="I6" s="90">
        <f>+'q35'!I6</f>
        <v>1349.35</v>
      </c>
      <c r="J6" s="90">
        <f>+'q35'!J6</f>
        <v>1395.7</v>
      </c>
      <c r="K6" s="90">
        <f>+'q35'!K6</f>
        <v>1476.2</v>
      </c>
      <c r="L6" s="90">
        <f>+'q35'!L6</f>
        <v>1577.33</v>
      </c>
      <c r="M6" s="90">
        <f>+'q35'!M6</f>
        <v>1693.55</v>
      </c>
      <c r="O6" s="362"/>
      <c r="P6" s="226"/>
      <c r="Q6" s="372" t="s">
        <v>52</v>
      </c>
      <c r="R6" s="409">
        <f>+(R9+R12+R15+R18+R21+R24+R27+R30+R33+R36+R39)/q14a!C6</f>
        <v>1203.3164111439537</v>
      </c>
      <c r="S6" s="409">
        <f>+(S9+S12+S15+S18+S21+S24+S27+S30+S33+S36+S39)/q14a!D6</f>
        <v>1207.7633447639785</v>
      </c>
      <c r="T6" s="409">
        <f>+(T9+T12+T15+T18+T21+T24+T27+T30+T33+T36+T39)/q14a!E6</f>
        <v>1215.1070683666144</v>
      </c>
      <c r="U6" s="409">
        <f>+(U9+U12+U15+U18+U21+U24+U27+U30+U33+U36+U39)/q14a!F6</f>
        <v>1236.8507479567643</v>
      </c>
      <c r="V6" s="409">
        <f>+(V9+V12+V15+V18+V21+V24+V27+V30+V33+V36+V39)/q14a!G6</f>
        <v>1273.9848473759469</v>
      </c>
      <c r="W6" s="409">
        <f>+(W9+W12+W15+W18+W21+W24+W27+W30+W33+W36+W39)/q14a!H6</f>
        <v>1312.4266092006417</v>
      </c>
      <c r="X6" s="409">
        <f>+(X9+X12+X15+X18+X21+X24+X27+X30+X33+X36+X39)/q14a!I6</f>
        <v>1349.3512878399354</v>
      </c>
      <c r="Y6" s="409">
        <f>+(Y9+Y12+Y15+Y18+Y21+Y24+Y27+Y30+Y33+Y36+Y39)/q14a!J6</f>
        <v>1395.6923652692365</v>
      </c>
      <c r="Z6" s="409">
        <f>+(Z9+Z12+Z15+Z18+Z21+Z24+Z27+Z30+Z33+Z36+Z39)/q14a!K6</f>
        <v>1476.2045555464877</v>
      </c>
      <c r="AA6" s="409">
        <f>+(AA9+AA12+AA15+AA18+AA21+AA24+AA27+AA30+AA33+AA36+AA39)/q14a!L6</f>
        <v>1577.326143699735</v>
      </c>
      <c r="AB6" s="409">
        <f>+(AB9+AB12+AB15+AB18+AB21+AB24+AB27+AB30+AB33+AB36+AB39)/q14a!M6</f>
        <v>1693.5479137018535</v>
      </c>
      <c r="AD6" s="570">
        <f t="shared" ref="AD6:AD7" si="2">+R6-C6</f>
        <v>-3.588856046235378E-3</v>
      </c>
      <c r="AE6" s="570">
        <f t="shared" si="1"/>
        <v>3.3447639784753846E-3</v>
      </c>
      <c r="AF6" s="570">
        <f t="shared" si="1"/>
        <v>-2.9316333855149423E-3</v>
      </c>
      <c r="AG6" s="570">
        <f t="shared" si="1"/>
        <v>7.4795676437133807E-4</v>
      </c>
      <c r="AH6" s="570">
        <f t="shared" si="1"/>
        <v>-5.1526240531529766E-3</v>
      </c>
      <c r="AI6" s="570">
        <f t="shared" si="1"/>
        <v>-3.3907993583852658E-3</v>
      </c>
      <c r="AJ6" s="570">
        <f t="shared" si="1"/>
        <v>1.2878399354576686E-3</v>
      </c>
      <c r="AK6" s="570">
        <f t="shared" si="1"/>
        <v>-7.6347307635842299E-3</v>
      </c>
      <c r="AL6" s="570">
        <f t="shared" si="1"/>
        <v>4.5555464876088081E-3</v>
      </c>
      <c r="AM6" s="570">
        <f t="shared" si="1"/>
        <v>-3.8563002649425471E-3</v>
      </c>
      <c r="AN6" s="570">
        <f t="shared" si="1"/>
        <v>-2.0862981464233599E-3</v>
      </c>
    </row>
    <row r="7" spans="1:40" s="69" customFormat="1" ht="12.75" customHeight="1">
      <c r="A7" s="38"/>
      <c r="B7" s="66" t="str">
        <f>+'q35'!B7</f>
        <v>M</v>
      </c>
      <c r="C7" s="90">
        <f>+'q35'!C7</f>
        <v>963.12</v>
      </c>
      <c r="D7" s="90">
        <f>+'q35'!D7</f>
        <v>966.85</v>
      </c>
      <c r="E7" s="90">
        <f>+'q35'!E7</f>
        <v>982.49</v>
      </c>
      <c r="F7" s="90">
        <f>+'q35'!F7</f>
        <v>1011.02</v>
      </c>
      <c r="G7" s="90">
        <f>+'q35'!G7</f>
        <v>1046.5899999999999</v>
      </c>
      <c r="H7" s="90">
        <f>+'q35'!H7</f>
        <v>1086.97</v>
      </c>
      <c r="I7" s="90">
        <f>+'q35'!I7</f>
        <v>1130.8699999999999</v>
      </c>
      <c r="J7" s="90">
        <f>+'q35'!J7</f>
        <v>1172.08</v>
      </c>
      <c r="K7" s="90">
        <f>+'q35'!K7</f>
        <v>1237.52</v>
      </c>
      <c r="L7" s="90">
        <f>+'q35'!L7</f>
        <v>1332.02</v>
      </c>
      <c r="M7" s="90">
        <f>+'q35'!M7</f>
        <v>1445.59</v>
      </c>
      <c r="O7" s="362"/>
      <c r="P7" s="226"/>
      <c r="Q7" s="372" t="s">
        <v>53</v>
      </c>
      <c r="R7" s="409">
        <f>+(R10+R13+R16+R19+R22+R25+R28+R31+R34+R37+R40)/q14a!C7</f>
        <v>963.11650224337029</v>
      </c>
      <c r="S7" s="409">
        <f>+(S10+S13+S16+S19+S22+S25+S28+S31+S34+S37+S40)/q14a!D7</f>
        <v>966.85326377242791</v>
      </c>
      <c r="T7" s="409">
        <f>+(T10+T13+T16+T19+T22+T25+T28+T31+T34+T37+T40)/q14a!E7</f>
        <v>982.48617392809558</v>
      </c>
      <c r="U7" s="409">
        <f>+(U10+U13+U16+U19+U22+U25+U28+U31+U34+U37+U40)/q14a!F7</f>
        <v>1011.0182509361341</v>
      </c>
      <c r="V7" s="409">
        <f>+(V10+V13+V16+V19+V22+V25+V28+V31+V34+V37+V40)/q14a!G7</f>
        <v>1046.5867748970245</v>
      </c>
      <c r="W7" s="409">
        <f>+(W10+W13+W16+W19+W22+W25+W28+W31+W34+W37+W40)/q14a!H7</f>
        <v>1086.9720702869795</v>
      </c>
      <c r="X7" s="409">
        <f>+(X10+X13+X16+X19+X22+X25+X28+X31+X34+X37+X40)/q14a!I7</f>
        <v>1130.86718930752</v>
      </c>
      <c r="Y7" s="409">
        <f>+(Y10+Y13+Y16+Y19+Y22+Y25+Y28+Y31+Y34+Y37+Y40)/q14a!J7</f>
        <v>1172.0774605656302</v>
      </c>
      <c r="Z7" s="409">
        <f>+(Z10+Z13+Z16+Z19+Z22+Z25+Z28+Z31+Z34+Z37+Z40)/q14a!K7</f>
        <v>1237.5242409066141</v>
      </c>
      <c r="AA7" s="409">
        <f>+(AA10+AA13+AA16+AA19+AA22+AA25+AA28+AA31+AA34+AA37+AA40)/q14a!L7</f>
        <v>1332.0245536147372</v>
      </c>
      <c r="AB7" s="409">
        <f>+(AB10+AB13+AB16+AB19+AB22+AB25+AB28+AB31+AB34+AB37+AB40)/q14a!M7</f>
        <v>1445.5930781714469</v>
      </c>
      <c r="AD7" s="570">
        <f t="shared" si="2"/>
        <v>-3.497756629712967E-3</v>
      </c>
      <c r="AE7" s="570">
        <f t="shared" si="1"/>
        <v>3.2637724278856695E-3</v>
      </c>
      <c r="AF7" s="570">
        <f t="shared" si="1"/>
        <v>-3.8260719044274083E-3</v>
      </c>
      <c r="AG7" s="570">
        <f t="shared" si="1"/>
        <v>-1.749063865872813E-3</v>
      </c>
      <c r="AH7" s="570">
        <f t="shared" si="1"/>
        <v>-3.2251029754206684E-3</v>
      </c>
      <c r="AI7" s="570">
        <f t="shared" si="1"/>
        <v>2.0702869794604339E-3</v>
      </c>
      <c r="AJ7" s="570">
        <f t="shared" si="1"/>
        <v>-2.8106924798976252E-3</v>
      </c>
      <c r="AK7" s="570">
        <f t="shared" si="1"/>
        <v>-2.5394343697371369E-3</v>
      </c>
      <c r="AL7" s="570">
        <f t="shared" si="1"/>
        <v>4.2409066140862706E-3</v>
      </c>
      <c r="AM7" s="570">
        <f t="shared" si="1"/>
        <v>4.553614737233147E-3</v>
      </c>
      <c r="AN7" s="570">
        <f t="shared" si="1"/>
        <v>3.0781714469867438E-3</v>
      </c>
    </row>
    <row r="8" spans="1:40" s="69" customFormat="1" ht="16.5" customHeight="1">
      <c r="A8" s="70" t="str">
        <f>+'q35'!A8</f>
        <v>1-4 pessoas</v>
      </c>
      <c r="B8" s="66" t="str">
        <f>+'q35'!B8</f>
        <v>T</v>
      </c>
      <c r="C8" s="90">
        <f>+'q35'!C8</f>
        <v>806.53</v>
      </c>
      <c r="D8" s="90">
        <f>+'q35'!D8</f>
        <v>800.62</v>
      </c>
      <c r="E8" s="90">
        <f>+'q35'!E8</f>
        <v>818.42</v>
      </c>
      <c r="F8" s="90">
        <f>+'q35'!F8</f>
        <v>843.26</v>
      </c>
      <c r="G8" s="90">
        <f>+'q35'!G8</f>
        <v>872.71</v>
      </c>
      <c r="H8" s="90">
        <f>+'q35'!H8</f>
        <v>909.21</v>
      </c>
      <c r="I8" s="90">
        <f>+'q35'!I8</f>
        <v>943.65</v>
      </c>
      <c r="J8" s="90">
        <f>+'q35'!J8</f>
        <v>982.14</v>
      </c>
      <c r="K8" s="90">
        <f>+'q35'!K8</f>
        <v>1033.82</v>
      </c>
      <c r="L8" s="90">
        <f>+'q35'!L8</f>
        <v>1118.21</v>
      </c>
      <c r="M8" s="90">
        <f>+'q35'!M8</f>
        <v>1209.51</v>
      </c>
      <c r="P8" s="251" t="s">
        <v>31</v>
      </c>
      <c r="Q8" s="372" t="s">
        <v>44</v>
      </c>
      <c r="R8" s="409">
        <f>+q35_Aux!C8*q14a!C8</f>
        <v>219717322.19</v>
      </c>
      <c r="S8" s="409">
        <f>+q35_Aux!D8*q14a!D8</f>
        <v>220108051.64000002</v>
      </c>
      <c r="T8" s="409">
        <f>+q35_Aux!E8*q14a!E8</f>
        <v>226164638.06</v>
      </c>
      <c r="U8" s="409">
        <f>+q35_Aux!F8*q14a!F8</f>
        <v>231031315.24000001</v>
      </c>
      <c r="V8" s="409">
        <f>+q35_Aux!G8*q14a!G8</f>
        <v>238831927.57000002</v>
      </c>
      <c r="W8" s="409">
        <f>+q35_Aux!H8*q14a!H8</f>
        <v>240187824.12</v>
      </c>
      <c r="X8" s="409">
        <f>+q35_Aux!I8*q14a!I8</f>
        <v>242115111.44999999</v>
      </c>
      <c r="Y8" s="409">
        <f>+q35_Aux!J8*q14a!J8</f>
        <v>251723464.13999999</v>
      </c>
      <c r="Z8" s="409">
        <f>+q35_Aux!K8*q14a!K8</f>
        <v>276532376.51999998</v>
      </c>
      <c r="AA8" s="409">
        <f>+q35_Aux!L8*q14a!L8</f>
        <v>301575645.94999999</v>
      </c>
      <c r="AB8" s="409">
        <f>+q35_Aux!M8*q14a!M8</f>
        <v>319180012.92000002</v>
      </c>
    </row>
    <row r="9" spans="1:40" s="69" customFormat="1" ht="12.75" customHeight="1">
      <c r="A9" s="64"/>
      <c r="B9" s="71" t="str">
        <f>+'q35'!B9</f>
        <v>H</v>
      </c>
      <c r="C9" s="91">
        <f>+'q35'!C9</f>
        <v>854.92</v>
      </c>
      <c r="D9" s="91">
        <f>+'q35'!D9</f>
        <v>849.34</v>
      </c>
      <c r="E9" s="91">
        <f>+'q35'!E9</f>
        <v>864.49</v>
      </c>
      <c r="F9" s="91">
        <f>+'q35'!F9</f>
        <v>888.52</v>
      </c>
      <c r="G9" s="91">
        <f>+'q35'!G9</f>
        <v>918.11</v>
      </c>
      <c r="H9" s="91">
        <f>+'q35'!H9</f>
        <v>956.37</v>
      </c>
      <c r="I9" s="91">
        <f>+'q35'!I9</f>
        <v>991</v>
      </c>
      <c r="J9" s="91">
        <f>+'q35'!J9</f>
        <v>1032.23</v>
      </c>
      <c r="K9" s="91">
        <f>+'q35'!K9</f>
        <v>1086.3599999999999</v>
      </c>
      <c r="L9" s="91">
        <f>+'q35'!L9</f>
        <v>1170.48</v>
      </c>
      <c r="M9" s="91">
        <f>+'q35'!M9</f>
        <v>1266.1400000000001</v>
      </c>
      <c r="P9" s="244"/>
      <c r="Q9" s="258" t="s">
        <v>52</v>
      </c>
      <c r="R9" s="409">
        <f>+q35_Aux!C9*q14a!C9</f>
        <v>117337770</v>
      </c>
      <c r="S9" s="409">
        <f>+q35_Aux!D9*q14a!D9</f>
        <v>116165081.14</v>
      </c>
      <c r="T9" s="409">
        <f>+q35_Aux!E9*q14a!E9</f>
        <v>119718897.65000001</v>
      </c>
      <c r="U9" s="409">
        <f>+q35_Aux!F9*q14a!F9</f>
        <v>122083536.52</v>
      </c>
      <c r="V9" s="409">
        <f>+q35_Aux!G9*q14a!G9</f>
        <v>126312655.69</v>
      </c>
      <c r="W9" s="409">
        <f>+q35_Aux!H9*q14a!H9</f>
        <v>127408567.77</v>
      </c>
      <c r="X9" s="409">
        <f>+q35_Aux!I9*q14a!I9</f>
        <v>129705053</v>
      </c>
      <c r="Y9" s="409">
        <f>+q35_Aux!J9*q14a!J9</f>
        <v>134178545.47</v>
      </c>
      <c r="Z9" s="409">
        <f>+q35_Aux!K9*q14a!K9</f>
        <v>147040998.72</v>
      </c>
      <c r="AA9" s="409">
        <f>+q35_Aux!L9*q14a!L9</f>
        <v>159713166.47999999</v>
      </c>
      <c r="AB9" s="409">
        <f>+q35_Aux!M9*q14a!M9</f>
        <v>170389524.36000001</v>
      </c>
    </row>
    <row r="10" spans="1:40" s="69" customFormat="1" ht="12.75" customHeight="1">
      <c r="A10" s="64"/>
      <c r="B10" s="71" t="str">
        <f>+'q35'!B10</f>
        <v>M</v>
      </c>
      <c r="C10" s="91">
        <f>+'q35'!C10</f>
        <v>757.38</v>
      </c>
      <c r="D10" s="91">
        <f>+'q35'!D10</f>
        <v>752.39</v>
      </c>
      <c r="E10" s="91">
        <f>+'q35'!E10</f>
        <v>772.14</v>
      </c>
      <c r="F10" s="91">
        <f>+'q35'!F10</f>
        <v>797.72</v>
      </c>
      <c r="G10" s="91">
        <f>+'q35'!G10</f>
        <v>826.82</v>
      </c>
      <c r="H10" s="91">
        <f>+'q35'!H10</f>
        <v>861.22</v>
      </c>
      <c r="I10" s="91">
        <f>+'q35'!I10</f>
        <v>894.34</v>
      </c>
      <c r="J10" s="91">
        <f>+'q35'!J10</f>
        <v>930.58</v>
      </c>
      <c r="K10" s="91">
        <f>+'q35'!K10</f>
        <v>980</v>
      </c>
      <c r="L10" s="91">
        <f>+'q35'!L10</f>
        <v>1064.69</v>
      </c>
      <c r="M10" s="91">
        <f>+'q35'!M10</f>
        <v>1150.5899999999999</v>
      </c>
      <c r="P10" s="244"/>
      <c r="Q10" s="258" t="s">
        <v>53</v>
      </c>
      <c r="R10" s="409">
        <f>+q35_Aux!C10*q14a!C10</f>
        <v>102377326.73999999</v>
      </c>
      <c r="S10" s="409">
        <f>+q35_Aux!D10*q14a!D10</f>
        <v>103943430.89</v>
      </c>
      <c r="T10" s="409">
        <f>+q35_Aux!E10*q14a!E10</f>
        <v>106445676.12</v>
      </c>
      <c r="U10" s="409">
        <f>+q35_Aux!F10*q14a!F10</f>
        <v>108947013.56</v>
      </c>
      <c r="V10" s="409">
        <f>+q35_Aux!G10*q14a!G10</f>
        <v>112520280.16000001</v>
      </c>
      <c r="W10" s="409">
        <f>+q35_Aux!H10*q14a!H10</f>
        <v>112777620.22</v>
      </c>
      <c r="X10" s="409">
        <f>+q35_Aux!I10*q14a!I10</f>
        <v>112409594.60000001</v>
      </c>
      <c r="Y10" s="409">
        <f>+q35_Aux!J10*q14a!J10</f>
        <v>117543420.96000001</v>
      </c>
      <c r="Z10" s="409">
        <f>+q35_Aux!K10*q14a!K10</f>
        <v>129491320</v>
      </c>
      <c r="AA10" s="409">
        <f>+q35_Aux!L10*q14a!L10</f>
        <v>141863554.36000001</v>
      </c>
      <c r="AB10" s="409">
        <f>+q35_Aux!M10*q14a!M10</f>
        <v>148791997.61999997</v>
      </c>
    </row>
    <row r="11" spans="1:40" s="124" customFormat="1" ht="16.5" customHeight="1">
      <c r="A11" s="70" t="str">
        <f>+'q35'!A11</f>
        <v>5-9 pessoas</v>
      </c>
      <c r="B11" s="66" t="str">
        <f>+'q35'!B11</f>
        <v>T</v>
      </c>
      <c r="C11" s="90">
        <f>+'q35'!C11</f>
        <v>944.07</v>
      </c>
      <c r="D11" s="90">
        <f>+'q35'!D11</f>
        <v>938.61</v>
      </c>
      <c r="E11" s="90">
        <f>+'q35'!E11</f>
        <v>943.88</v>
      </c>
      <c r="F11" s="90">
        <f>+'q35'!F11</f>
        <v>962.67</v>
      </c>
      <c r="G11" s="90">
        <f>+'q35'!G11</f>
        <v>989.72</v>
      </c>
      <c r="H11" s="90">
        <f>+'q35'!H11</f>
        <v>1016.06</v>
      </c>
      <c r="I11" s="90">
        <f>+'q35'!I11</f>
        <v>1054.57</v>
      </c>
      <c r="J11" s="90">
        <f>+'q35'!J11</f>
        <v>1089.75</v>
      </c>
      <c r="K11" s="90">
        <f>+'q35'!K11</f>
        <v>1139.81</v>
      </c>
      <c r="L11" s="90">
        <f>+'q35'!L11</f>
        <v>1220.3900000000001</v>
      </c>
      <c r="M11" s="90">
        <f>+'q35'!M11</f>
        <v>1305.19</v>
      </c>
      <c r="P11" s="251" t="s">
        <v>32</v>
      </c>
      <c r="Q11" s="372" t="s">
        <v>44</v>
      </c>
      <c r="R11" s="409">
        <f>+q35_Aux!C11*q14a!C11</f>
        <v>250427784.48000002</v>
      </c>
      <c r="S11" s="409">
        <f>+q35_Aux!D11*q14a!D11</f>
        <v>254388652.47</v>
      </c>
      <c r="T11" s="409">
        <f>+q35_Aux!E11*q14a!E11</f>
        <v>262964968</v>
      </c>
      <c r="U11" s="409">
        <f>+q35_Aux!F11*q14a!F11</f>
        <v>272498183.55000001</v>
      </c>
      <c r="V11" s="409">
        <f>+q35_Aux!G11*q14a!G11</f>
        <v>286144877.24000001</v>
      </c>
      <c r="W11" s="409">
        <f>+q35_Aux!H11*q14a!H11</f>
        <v>292196502.68000001</v>
      </c>
      <c r="X11" s="409">
        <f>+q35_Aux!I11*q14a!I11</f>
        <v>291813228.40999997</v>
      </c>
      <c r="Y11" s="409">
        <f>+q35_Aux!J11*q14a!J11</f>
        <v>303520439.25</v>
      </c>
      <c r="Z11" s="409">
        <f>+q35_Aux!K11*q14a!K11</f>
        <v>334515998.03999996</v>
      </c>
      <c r="AA11" s="409">
        <f>+q35_Aux!L11*q14a!L11</f>
        <v>367773069.23000002</v>
      </c>
      <c r="AB11" s="409">
        <f>+q35_Aux!M11*q14a!M11</f>
        <v>391024482.48000002</v>
      </c>
    </row>
    <row r="12" spans="1:40" s="69" customFormat="1" ht="12.75" customHeight="1">
      <c r="A12" s="64"/>
      <c r="B12" s="71" t="str">
        <f>+'q35'!B12</f>
        <v>H</v>
      </c>
      <c r="C12" s="91">
        <f>+'q35'!C12</f>
        <v>991.81</v>
      </c>
      <c r="D12" s="91">
        <f>+'q35'!D12</f>
        <v>983.06</v>
      </c>
      <c r="E12" s="91">
        <f>+'q35'!E12</f>
        <v>985.78</v>
      </c>
      <c r="F12" s="91">
        <f>+'q35'!F12</f>
        <v>1001.49</v>
      </c>
      <c r="G12" s="91">
        <f>+'q35'!G12</f>
        <v>1029.73</v>
      </c>
      <c r="H12" s="91">
        <f>+'q35'!H12</f>
        <v>1054.73</v>
      </c>
      <c r="I12" s="91">
        <f>+'q35'!I12</f>
        <v>1092.3699999999999</v>
      </c>
      <c r="J12" s="91">
        <f>+'q35'!J12</f>
        <v>1128.8</v>
      </c>
      <c r="K12" s="91">
        <f>+'q35'!K12</f>
        <v>1182.05</v>
      </c>
      <c r="L12" s="91">
        <f>+'q35'!L12</f>
        <v>1262.93</v>
      </c>
      <c r="M12" s="91">
        <f>+'q35'!M12</f>
        <v>1348.54</v>
      </c>
      <c r="P12" s="244"/>
      <c r="Q12" s="258" t="s">
        <v>52</v>
      </c>
      <c r="R12" s="409">
        <f>+q35_Aux!C12*q14a!C12</f>
        <v>142967427.88</v>
      </c>
      <c r="S12" s="409">
        <f>+q35_Aux!D12*q14a!D12</f>
        <v>144028120.59999999</v>
      </c>
      <c r="T12" s="409">
        <f>+q35_Aux!E12*q14a!E12</f>
        <v>148835035.96000001</v>
      </c>
      <c r="U12" s="409">
        <f>+q35_Aux!F12*q14a!F12</f>
        <v>152933531.94</v>
      </c>
      <c r="V12" s="409">
        <f>+q35_Aux!G12*q14a!G12</f>
        <v>160880896.28</v>
      </c>
      <c r="W12" s="409">
        <f>+q35_Aux!H12*q14a!H12</f>
        <v>164378615.77000001</v>
      </c>
      <c r="X12" s="409">
        <f>+q35_Aux!I12*q14a!I12</f>
        <v>166094858.49999997</v>
      </c>
      <c r="Y12" s="409">
        <f>+q35_Aux!J12*q14a!J12</f>
        <v>171461333.59999999</v>
      </c>
      <c r="Z12" s="409">
        <f>+q35_Aux!K12*q14a!K12</f>
        <v>188535792.94999999</v>
      </c>
      <c r="AA12" s="409">
        <f>+q35_Aux!L12*q14a!L12</f>
        <v>207279649.18000001</v>
      </c>
      <c r="AB12" s="409">
        <f>+q35_Aux!M12*q14a!M12</f>
        <v>220451227.96000001</v>
      </c>
    </row>
    <row r="13" spans="1:40" s="69" customFormat="1" ht="12.75" customHeight="1">
      <c r="A13" s="64"/>
      <c r="B13" s="71" t="str">
        <f>+'q35'!B13</f>
        <v>M</v>
      </c>
      <c r="C13" s="91">
        <f>+'q35'!C13</f>
        <v>887.26</v>
      </c>
      <c r="D13" s="91">
        <f>+'q35'!D13</f>
        <v>886.32</v>
      </c>
      <c r="E13" s="91">
        <f>+'q35'!E13</f>
        <v>894.31</v>
      </c>
      <c r="F13" s="91">
        <f>+'q35'!F13</f>
        <v>917.19</v>
      </c>
      <c r="G13" s="91">
        <f>+'q35'!G13</f>
        <v>942.68</v>
      </c>
      <c r="H13" s="91">
        <f>+'q35'!H13</f>
        <v>970.3</v>
      </c>
      <c r="I13" s="91">
        <f>+'q35'!I13</f>
        <v>1008.46</v>
      </c>
      <c r="J13" s="91">
        <f>+'q35'!J13</f>
        <v>1042.9000000000001</v>
      </c>
      <c r="K13" s="91">
        <f>+'q35'!K13</f>
        <v>1089.54</v>
      </c>
      <c r="L13" s="91">
        <f>+'q35'!L13</f>
        <v>1169.51</v>
      </c>
      <c r="M13" s="91">
        <f>+'q35'!M13</f>
        <v>1253.1400000000001</v>
      </c>
      <c r="P13" s="244"/>
      <c r="Q13" s="258" t="s">
        <v>53</v>
      </c>
      <c r="R13" s="409">
        <f>+q35_Aux!C13*q14a!C13</f>
        <v>107461382.16</v>
      </c>
      <c r="S13" s="409">
        <f>+q35_Aux!D13*q14a!D13</f>
        <v>110361907.44000001</v>
      </c>
      <c r="T13" s="409">
        <f>+q35_Aux!E13*q14a!E13</f>
        <v>114130053.58</v>
      </c>
      <c r="U13" s="409">
        <f>+q35_Aux!F13*q14a!F13</f>
        <v>119563971.21000001</v>
      </c>
      <c r="V13" s="409">
        <f>+q35_Aux!G13*q14a!G13</f>
        <v>125264261.08</v>
      </c>
      <c r="W13" s="409">
        <f>+q35_Aux!H13*q14a!H13</f>
        <v>127816648.69999999</v>
      </c>
      <c r="X13" s="409">
        <f>+q35_Aux!I13*q14a!I13</f>
        <v>125717648.98</v>
      </c>
      <c r="Y13" s="409">
        <f>+q35_Aux!J13*q14a!J13</f>
        <v>132058255.40000001</v>
      </c>
      <c r="Z13" s="409">
        <f>+q35_Aux!K13*q14a!K13</f>
        <v>145982016.90000001</v>
      </c>
      <c r="AA13" s="409">
        <f>+q35_Aux!L13*q14a!L13</f>
        <v>160493026.81</v>
      </c>
      <c r="AB13" s="409">
        <f>+q35_Aux!M13*q14a!M13</f>
        <v>170574910.52000001</v>
      </c>
    </row>
    <row r="14" spans="1:40" s="124" customFormat="1" ht="16.5" customHeight="1">
      <c r="A14" s="70" t="str">
        <f>+'q35'!A14</f>
        <v>10-19 pessoas</v>
      </c>
      <c r="B14" s="66" t="str">
        <f>+'q35'!B14</f>
        <v>T</v>
      </c>
      <c r="C14" s="90">
        <f>+'q35'!C14</f>
        <v>991.85</v>
      </c>
      <c r="D14" s="90">
        <f>+'q35'!D14</f>
        <v>988.29</v>
      </c>
      <c r="E14" s="90">
        <f>+'q35'!E14</f>
        <v>992.69</v>
      </c>
      <c r="F14" s="90">
        <f>+'q35'!F14</f>
        <v>1017.14</v>
      </c>
      <c r="G14" s="90">
        <f>+'q35'!G14</f>
        <v>1046.0999999999999</v>
      </c>
      <c r="H14" s="90">
        <f>+'q35'!H14</f>
        <v>1074.45</v>
      </c>
      <c r="I14" s="90">
        <f>+'q35'!I14</f>
        <v>1122.26</v>
      </c>
      <c r="J14" s="90">
        <f>+'q35'!J14</f>
        <v>1154.1400000000001</v>
      </c>
      <c r="K14" s="90">
        <f>+'q35'!K14</f>
        <v>1208.67</v>
      </c>
      <c r="L14" s="90">
        <f>+'q35'!L14</f>
        <v>1291.75</v>
      </c>
      <c r="M14" s="90">
        <f>+'q35'!M14</f>
        <v>1384.52</v>
      </c>
      <c r="P14" s="251" t="s">
        <v>33</v>
      </c>
      <c r="Q14" s="372" t="s">
        <v>44</v>
      </c>
      <c r="R14" s="409">
        <f>+q35_Aux!C14*q14a!C14</f>
        <v>260592717.90000001</v>
      </c>
      <c r="S14" s="409">
        <f>+q35_Aux!D14*q14a!D14</f>
        <v>268536182.21999997</v>
      </c>
      <c r="T14" s="409">
        <f>+q35_Aux!E14*q14a!E14</f>
        <v>276629944.23000002</v>
      </c>
      <c r="U14" s="409">
        <f>+q35_Aux!F14*q14a!F14</f>
        <v>294835320.38</v>
      </c>
      <c r="V14" s="409">
        <f>+q35_Aux!G14*q14a!G14</f>
        <v>315665905.5</v>
      </c>
      <c r="W14" s="409">
        <f>+q35_Aux!H14*q14a!H14</f>
        <v>328581852.30000001</v>
      </c>
      <c r="X14" s="409">
        <f>+q35_Aux!I14*q14a!I14</f>
        <v>325554158.88</v>
      </c>
      <c r="Y14" s="409">
        <f>+q35_Aux!J14*q14a!J14</f>
        <v>339860759.94000006</v>
      </c>
      <c r="Z14" s="409">
        <f>+q35_Aux!K14*q14a!K14</f>
        <v>381279786.18000001</v>
      </c>
      <c r="AA14" s="409">
        <f>+q35_Aux!L14*q14a!L14</f>
        <v>423389147</v>
      </c>
      <c r="AB14" s="409">
        <f>+q35_Aux!M14*q14a!M14</f>
        <v>459927852.36000001</v>
      </c>
    </row>
    <row r="15" spans="1:40" s="69" customFormat="1" ht="12.75" customHeight="1">
      <c r="A15" s="64"/>
      <c r="B15" s="71" t="str">
        <f>+'q35'!B15</f>
        <v>H</v>
      </c>
      <c r="C15" s="91">
        <f>+'q35'!C15</f>
        <v>1062.94</v>
      </c>
      <c r="D15" s="91">
        <f>+'q35'!D15</f>
        <v>1060.06</v>
      </c>
      <c r="E15" s="91">
        <f>+'q35'!E15</f>
        <v>1057.23</v>
      </c>
      <c r="F15" s="91">
        <f>+'q35'!F15</f>
        <v>1078.6600000000001</v>
      </c>
      <c r="G15" s="91">
        <f>+'q35'!G15</f>
        <v>1107.01</v>
      </c>
      <c r="H15" s="91">
        <f>+'q35'!H15</f>
        <v>1136.01</v>
      </c>
      <c r="I15" s="91">
        <f>+'q35'!I15</f>
        <v>1181.3</v>
      </c>
      <c r="J15" s="91">
        <f>+'q35'!J15</f>
        <v>1216.0899999999999</v>
      </c>
      <c r="K15" s="91">
        <f>+'q35'!K15</f>
        <v>1272.03</v>
      </c>
      <c r="L15" s="91">
        <f>+'q35'!L15</f>
        <v>1353.43</v>
      </c>
      <c r="M15" s="91">
        <f>+'q35'!M15</f>
        <v>1448.98</v>
      </c>
      <c r="P15" s="244"/>
      <c r="Q15" s="258" t="s">
        <v>52</v>
      </c>
      <c r="R15" s="409">
        <f>+q35_Aux!C15*q14a!C15</f>
        <v>155801493.44</v>
      </c>
      <c r="S15" s="409">
        <f>+q35_Aux!D15*q14a!D15</f>
        <v>159558111.07999998</v>
      </c>
      <c r="T15" s="409">
        <f>+q35_Aux!E15*q14a!E15</f>
        <v>163885451.22</v>
      </c>
      <c r="U15" s="409">
        <f>+q35_Aux!F15*q14a!F15</f>
        <v>174919820.24000001</v>
      </c>
      <c r="V15" s="409">
        <f>+q35_Aux!G15*q14a!G15</f>
        <v>186718269.69</v>
      </c>
      <c r="W15" s="409">
        <f>+q35_Aux!H15*q14a!H15</f>
        <v>195122213.60999998</v>
      </c>
      <c r="X15" s="409">
        <f>+q35_Aux!I15*q14a!I15</f>
        <v>196724251.59999999</v>
      </c>
      <c r="Y15" s="409">
        <f>+q35_Aux!J15*q14a!J15</f>
        <v>203172156.29999998</v>
      </c>
      <c r="Z15" s="409">
        <f>+q35_Aux!K15*q14a!K15</f>
        <v>226797860.88</v>
      </c>
      <c r="AA15" s="409">
        <f>+q35_Aux!L15*q14a!L15</f>
        <v>250609219.38000003</v>
      </c>
      <c r="AB15" s="409">
        <f>+q35_Aux!M15*q14a!M15</f>
        <v>273090709.57999998</v>
      </c>
    </row>
    <row r="16" spans="1:40" s="69" customFormat="1" ht="12.75" customHeight="1">
      <c r="A16" s="64"/>
      <c r="B16" s="71" t="str">
        <f>+'q35'!B16</f>
        <v>M</v>
      </c>
      <c r="C16" s="91">
        <f>+'q35'!C16</f>
        <v>902.14</v>
      </c>
      <c r="D16" s="91">
        <f>+'q35'!D16</f>
        <v>899.17</v>
      </c>
      <c r="E16" s="91">
        <f>+'q35'!E16</f>
        <v>911.78</v>
      </c>
      <c r="F16" s="91">
        <f>+'q35'!F16</f>
        <v>939.01</v>
      </c>
      <c r="G16" s="91">
        <f>+'q35'!G16</f>
        <v>968.9</v>
      </c>
      <c r="H16" s="91">
        <f>+'q35'!H16</f>
        <v>995.58</v>
      </c>
      <c r="I16" s="91">
        <f>+'q35'!I16</f>
        <v>1042.68</v>
      </c>
      <c r="J16" s="91">
        <f>+'q35'!J16</f>
        <v>1072.9000000000001</v>
      </c>
      <c r="K16" s="91">
        <f>+'q35'!K16</f>
        <v>1126.32</v>
      </c>
      <c r="L16" s="91">
        <f>+'q35'!L16</f>
        <v>1211.6500000000001</v>
      </c>
      <c r="M16" s="91">
        <f>+'q35'!M16</f>
        <v>1299.99</v>
      </c>
      <c r="P16" s="244"/>
      <c r="Q16" s="258" t="s">
        <v>53</v>
      </c>
      <c r="R16" s="409">
        <f>+q35_Aux!C16*q14a!C16</f>
        <v>104790778.12</v>
      </c>
      <c r="S16" s="409">
        <f>+q35_Aux!D16*q14a!D16</f>
        <v>108979404</v>
      </c>
      <c r="T16" s="409">
        <f>+q35_Aux!E16*q14a!E16</f>
        <v>112744332.34</v>
      </c>
      <c r="U16" s="409">
        <f>+q35_Aux!F16*q14a!F16</f>
        <v>119914394.03</v>
      </c>
      <c r="V16" s="409">
        <f>+q35_Aux!G16*q14a!G16</f>
        <v>128947025.39999999</v>
      </c>
      <c r="W16" s="409">
        <f>+q35_Aux!H16*q14a!H16</f>
        <v>133460485.74000001</v>
      </c>
      <c r="X16" s="409">
        <f>+q35_Aux!I16*q14a!I16</f>
        <v>128829370.08000001</v>
      </c>
      <c r="Y16" s="409">
        <f>+q35_Aux!J16*q14a!J16</f>
        <v>136688532.90000001</v>
      </c>
      <c r="Z16" s="409">
        <f>+q35_Aux!K16*q14a!K16</f>
        <v>154483798.56</v>
      </c>
      <c r="AA16" s="409">
        <f>+q35_Aux!L16*q14a!L16</f>
        <v>172778866.70000002</v>
      </c>
      <c r="AB16" s="409">
        <f>+q35_Aux!M16*q14a!M16</f>
        <v>186837162.78</v>
      </c>
    </row>
    <row r="17" spans="1:28" s="124" customFormat="1" ht="16.5" customHeight="1">
      <c r="A17" s="70" t="str">
        <f>+'q35'!A17</f>
        <v>20-49 pessoas</v>
      </c>
      <c r="B17" s="66" t="str">
        <f>+'q35'!B17</f>
        <v>T</v>
      </c>
      <c r="C17" s="90">
        <f>+'q35'!C17</f>
        <v>1072.24</v>
      </c>
      <c r="D17" s="90">
        <f>+'q35'!D17</f>
        <v>1070.95</v>
      </c>
      <c r="E17" s="90">
        <f>+'q35'!E17</f>
        <v>1076.6199999999999</v>
      </c>
      <c r="F17" s="90">
        <f>+'q35'!F17</f>
        <v>1096.01</v>
      </c>
      <c r="G17" s="90">
        <f>+'q35'!G17</f>
        <v>1127.46</v>
      </c>
      <c r="H17" s="90">
        <f>+'q35'!H17</f>
        <v>1167.28</v>
      </c>
      <c r="I17" s="90">
        <f>+'q35'!I17</f>
        <v>1210.42</v>
      </c>
      <c r="J17" s="90">
        <f>+'q35'!J17</f>
        <v>1249.07</v>
      </c>
      <c r="K17" s="90">
        <f>+'q35'!K17</f>
        <v>1301.43</v>
      </c>
      <c r="L17" s="90">
        <f>+'q35'!L17</f>
        <v>1399.52</v>
      </c>
      <c r="M17" s="90">
        <f>+'q35'!M17</f>
        <v>1495.04</v>
      </c>
      <c r="P17" s="251" t="s">
        <v>34</v>
      </c>
      <c r="Q17" s="372" t="s">
        <v>44</v>
      </c>
      <c r="R17" s="409">
        <f>+q35_Aux!C17*q14a!C17</f>
        <v>372079074.63999999</v>
      </c>
      <c r="S17" s="409">
        <f>+q35_Aux!D17*q14a!D17</f>
        <v>381583768.80000001</v>
      </c>
      <c r="T17" s="409">
        <f>+q35_Aux!E17*q14a!E17</f>
        <v>397953203.83999997</v>
      </c>
      <c r="U17" s="409">
        <f>+q35_Aux!F17*q14a!F17</f>
        <v>420419571.91000003</v>
      </c>
      <c r="V17" s="409">
        <f>+q35_Aux!G17*q14a!G17</f>
        <v>445891263.18000001</v>
      </c>
      <c r="W17" s="409">
        <f>+q35_Aux!H17*q14a!H17</f>
        <v>462754148.63999999</v>
      </c>
      <c r="X17" s="409">
        <f>+q35_Aux!I17*q14a!I17</f>
        <v>463540022.36000001</v>
      </c>
      <c r="Y17" s="409">
        <f>+q35_Aux!J17*q14a!J17</f>
        <v>492670680.09999996</v>
      </c>
      <c r="Z17" s="409">
        <f>+q35_Aux!K17*q14a!K17</f>
        <v>550879701.84000003</v>
      </c>
      <c r="AA17" s="409">
        <f>+q35_Aux!L17*q14a!L17</f>
        <v>625659614.55999994</v>
      </c>
      <c r="AB17" s="409">
        <f>+q35_Aux!M17*q14a!M17</f>
        <v>672639426.55999994</v>
      </c>
    </row>
    <row r="18" spans="1:28" s="69" customFormat="1" ht="12.75" customHeight="1">
      <c r="A18" s="64"/>
      <c r="B18" s="71" t="str">
        <f>+'q35'!B18</f>
        <v>H</v>
      </c>
      <c r="C18" s="91">
        <f>+'q35'!C18</f>
        <v>1198.45</v>
      </c>
      <c r="D18" s="91">
        <f>+'q35'!D18</f>
        <v>1189.81</v>
      </c>
      <c r="E18" s="91">
        <f>+'q35'!E18</f>
        <v>1190.76</v>
      </c>
      <c r="F18" s="91">
        <f>+'q35'!F18</f>
        <v>1204.67</v>
      </c>
      <c r="G18" s="91">
        <f>+'q35'!G18</f>
        <v>1232.08</v>
      </c>
      <c r="H18" s="91">
        <f>+'q35'!H18</f>
        <v>1271.3399999999999</v>
      </c>
      <c r="I18" s="91">
        <f>+'q35'!I18</f>
        <v>1314.84</v>
      </c>
      <c r="J18" s="91">
        <f>+'q35'!J18</f>
        <v>1357.16</v>
      </c>
      <c r="K18" s="91">
        <f>+'q35'!K18</f>
        <v>1409.3</v>
      </c>
      <c r="L18" s="91">
        <f>+'q35'!L18</f>
        <v>1509.6</v>
      </c>
      <c r="M18" s="91">
        <f>+'q35'!M18</f>
        <v>1605.39</v>
      </c>
      <c r="P18" s="244"/>
      <c r="Q18" s="258" t="s">
        <v>52</v>
      </c>
      <c r="R18" s="409">
        <f>+q35_Aux!C18*q14a!C18</f>
        <v>222022450.09999999</v>
      </c>
      <c r="S18" s="409">
        <f>+q35_Aux!D18*q14a!D18</f>
        <v>227520227.44</v>
      </c>
      <c r="T18" s="409">
        <f>+q35_Aux!E18*q14a!E18</f>
        <v>236090794.44</v>
      </c>
      <c r="U18" s="409">
        <f>+q35_Aux!F18*q14a!F18</f>
        <v>249166714.78</v>
      </c>
      <c r="V18" s="409">
        <f>+q35_Aux!G18*q14a!G18</f>
        <v>264631070.72</v>
      </c>
      <c r="W18" s="409">
        <f>+q35_Aux!H18*q14a!H18</f>
        <v>277780161.95999998</v>
      </c>
      <c r="X18" s="409">
        <f>+q35_Aux!I18*q14a!I18</f>
        <v>280022789.63999999</v>
      </c>
      <c r="Y18" s="409">
        <f>+q35_Aux!J18*q14a!J18</f>
        <v>295974881.44</v>
      </c>
      <c r="Z18" s="409">
        <f>+q35_Aux!K18*q14a!K18</f>
        <v>329887534.69999999</v>
      </c>
      <c r="AA18" s="409">
        <f>+q35_Aux!L18*q14a!L18</f>
        <v>375153715.19999999</v>
      </c>
      <c r="AB18" s="409">
        <f>+q35_Aux!M18*q14a!M18</f>
        <v>404734872.90000004</v>
      </c>
    </row>
    <row r="19" spans="1:28" s="69" customFormat="1" ht="12.75" customHeight="1">
      <c r="A19" s="64"/>
      <c r="B19" s="71" t="str">
        <f>+'q35'!B19</f>
        <v>M</v>
      </c>
      <c r="C19" s="91">
        <f>+'q35'!C19</f>
        <v>927.7</v>
      </c>
      <c r="D19" s="91">
        <f>+'q35'!D19</f>
        <v>933.28</v>
      </c>
      <c r="E19" s="91">
        <f>+'q35'!E19</f>
        <v>944.55</v>
      </c>
      <c r="F19" s="91">
        <f>+'q35'!F19</f>
        <v>968.85</v>
      </c>
      <c r="G19" s="91">
        <f>+'q35'!G19</f>
        <v>1003.1</v>
      </c>
      <c r="H19" s="91">
        <f>+'q35'!H19</f>
        <v>1039.51</v>
      </c>
      <c r="I19" s="91">
        <f>+'q35'!I19</f>
        <v>1079.5899999999999</v>
      </c>
      <c r="J19" s="91">
        <f>+'q35'!J19</f>
        <v>1115.3900000000001</v>
      </c>
      <c r="K19" s="91">
        <f>+'q35'!K19</f>
        <v>1167.98</v>
      </c>
      <c r="L19" s="91">
        <f>+'q35'!L19</f>
        <v>1261.73</v>
      </c>
      <c r="M19" s="91">
        <f>+'q35'!M19</f>
        <v>1354.4</v>
      </c>
      <c r="P19" s="244"/>
      <c r="Q19" s="258" t="s">
        <v>53</v>
      </c>
      <c r="R19" s="409">
        <f>+q35_Aux!C19*q14a!C19</f>
        <v>150058258.09999999</v>
      </c>
      <c r="S19" s="409">
        <f>+q35_Aux!D19*q14a!D19</f>
        <v>154065862.40000001</v>
      </c>
      <c r="T19" s="409">
        <f>+q35_Aux!E19*q14a!E19</f>
        <v>161860921.65000001</v>
      </c>
      <c r="U19" s="409">
        <f>+q35_Aux!F19*q14a!F19</f>
        <v>171251019.45000002</v>
      </c>
      <c r="V19" s="409">
        <f>+q35_Aux!G19*q14a!G19</f>
        <v>181259166.90000001</v>
      </c>
      <c r="W19" s="409">
        <f>+q35_Aux!H19*q14a!H19</f>
        <v>184974567.44</v>
      </c>
      <c r="X19" s="409">
        <f>+q35_Aux!I19*q14a!I19</f>
        <v>183516265.32999998</v>
      </c>
      <c r="Y19" s="409">
        <f>+q35_Aux!J19*q14a!J19</f>
        <v>196694564.94000003</v>
      </c>
      <c r="Z19" s="409">
        <f>+q35_Aux!K19*q14a!K19</f>
        <v>220992327.81999999</v>
      </c>
      <c r="AA19" s="409">
        <f>+q35_Aux!L19*q14a!L19</f>
        <v>250505135.93000001</v>
      </c>
      <c r="AB19" s="409">
        <f>+q35_Aux!M19*q14a!M19</f>
        <v>267905737.60000002</v>
      </c>
    </row>
    <row r="20" spans="1:28" s="124" customFormat="1" ht="16.5" customHeight="1">
      <c r="A20" s="70" t="str">
        <f>+'q35'!A20</f>
        <v>50-99 pessoas</v>
      </c>
      <c r="B20" s="66" t="str">
        <f>+'q35'!B20</f>
        <v>T</v>
      </c>
      <c r="C20" s="90">
        <f>+'q35'!C20</f>
        <v>1140.33</v>
      </c>
      <c r="D20" s="90">
        <f>+'q35'!D20</f>
        <v>1148.49</v>
      </c>
      <c r="E20" s="90">
        <f>+'q35'!E20</f>
        <v>1153.07</v>
      </c>
      <c r="F20" s="90">
        <f>+'q35'!F20</f>
        <v>1184.83</v>
      </c>
      <c r="G20" s="90">
        <f>+'q35'!G20</f>
        <v>1219.22</v>
      </c>
      <c r="H20" s="90">
        <f>+'q35'!H20</f>
        <v>1253.82</v>
      </c>
      <c r="I20" s="90">
        <f>+'q35'!I20</f>
        <v>1289.1600000000001</v>
      </c>
      <c r="J20" s="90">
        <f>+'q35'!J20</f>
        <v>1348.27</v>
      </c>
      <c r="K20" s="90">
        <f>+'q35'!K20</f>
        <v>1409.53</v>
      </c>
      <c r="L20" s="90">
        <f>+'q35'!L20</f>
        <v>1509.32</v>
      </c>
      <c r="M20" s="90">
        <f>+'q35'!M20</f>
        <v>1612.97</v>
      </c>
      <c r="P20" s="251" t="s">
        <v>35</v>
      </c>
      <c r="Q20" s="372" t="s">
        <v>44</v>
      </c>
      <c r="R20" s="409">
        <f>+q35_Aux!C20*q14a!C20</f>
        <v>257423795.84999999</v>
      </c>
      <c r="S20" s="409">
        <f>+q35_Aux!D20*q14a!D20</f>
        <v>275522751</v>
      </c>
      <c r="T20" s="409">
        <f>+q35_Aux!E20*q14a!E20</f>
        <v>285373294.30000001</v>
      </c>
      <c r="U20" s="409">
        <f>+q35_Aux!F20*q14a!F20</f>
        <v>302124541.01999998</v>
      </c>
      <c r="V20" s="409">
        <f>+q35_Aux!G20*q14a!G20</f>
        <v>326380317.12</v>
      </c>
      <c r="W20" s="409">
        <f>+q35_Aux!H20*q14a!H20</f>
        <v>340188950.03999996</v>
      </c>
      <c r="X20" s="409">
        <f>+q35_Aux!I20*q14a!I20</f>
        <v>339691081.68000001</v>
      </c>
      <c r="Y20" s="409">
        <f>+q35_Aux!J20*q14a!J20</f>
        <v>365387911.35000002</v>
      </c>
      <c r="Z20" s="409">
        <f>+q35_Aux!K20*q14a!K20</f>
        <v>413567378.24000001</v>
      </c>
      <c r="AA20" s="409">
        <f>+q35_Aux!L20*q14a!L20</f>
        <v>463415575.51999998</v>
      </c>
      <c r="AB20" s="409">
        <f>+q35_Aux!M20*q14a!M20</f>
        <v>504706377.85000002</v>
      </c>
    </row>
    <row r="21" spans="1:28" s="69" customFormat="1" ht="12.75" customHeight="1">
      <c r="A21" s="64"/>
      <c r="B21" s="71" t="str">
        <f>+'q35'!B21</f>
        <v>H</v>
      </c>
      <c r="C21" s="91">
        <f>+'q35'!C21</f>
        <v>1293.32</v>
      </c>
      <c r="D21" s="91">
        <f>+'q35'!D21</f>
        <v>1303.08</v>
      </c>
      <c r="E21" s="91">
        <f>+'q35'!E21</f>
        <v>1301.04</v>
      </c>
      <c r="F21" s="91">
        <f>+'q35'!F21</f>
        <v>1329.25</v>
      </c>
      <c r="G21" s="91">
        <f>+'q35'!G21</f>
        <v>1366.92</v>
      </c>
      <c r="H21" s="91">
        <f>+'q35'!H21</f>
        <v>1395.04</v>
      </c>
      <c r="I21" s="91">
        <f>+'q35'!I21</f>
        <v>1425.24</v>
      </c>
      <c r="J21" s="91">
        <f>+'q35'!J21</f>
        <v>1492.3</v>
      </c>
      <c r="K21" s="91">
        <f>+'q35'!K21</f>
        <v>1555.02</v>
      </c>
      <c r="L21" s="91">
        <f>+'q35'!L21</f>
        <v>1651.18</v>
      </c>
      <c r="M21" s="91">
        <f>+'q35'!M21</f>
        <v>1758.3</v>
      </c>
      <c r="P21" s="244"/>
      <c r="Q21" s="258" t="s">
        <v>52</v>
      </c>
      <c r="R21" s="409">
        <f>+q35_Aux!C21*q14a!C21</f>
        <v>153196340.63999999</v>
      </c>
      <c r="S21" s="409">
        <f>+q35_Aux!D21*q14a!D21</f>
        <v>162707781.12</v>
      </c>
      <c r="T21" s="409">
        <f>+q35_Aux!E21*q14a!E21</f>
        <v>167891405.75999999</v>
      </c>
      <c r="U21" s="409">
        <f>+q35_Aux!F21*q14a!F21</f>
        <v>179856829.75</v>
      </c>
      <c r="V21" s="409">
        <f>+q35_Aux!G21*q14a!G21</f>
        <v>193825155.24000001</v>
      </c>
      <c r="W21" s="409">
        <f>+q35_Aux!H21*q14a!H21</f>
        <v>200856464.16</v>
      </c>
      <c r="X21" s="409">
        <f>+q35_Aux!I21*q14a!I21</f>
        <v>200923209</v>
      </c>
      <c r="Y21" s="409">
        <f>+q35_Aux!J21*q14a!J21</f>
        <v>216346192.5</v>
      </c>
      <c r="Z21" s="409">
        <f>+q35_Aux!K21*q14a!K21</f>
        <v>244304527.13999999</v>
      </c>
      <c r="AA21" s="409">
        <f>+q35_Aux!L21*q14a!L21</f>
        <v>274125601.24000001</v>
      </c>
      <c r="AB21" s="409">
        <f>+q35_Aux!M21*q14a!M21</f>
        <v>296718399.89999998</v>
      </c>
    </row>
    <row r="22" spans="1:28" s="69" customFormat="1" ht="12.75" customHeight="1">
      <c r="A22" s="64"/>
      <c r="B22" s="71" t="str">
        <f>+'q35'!B22</f>
        <v>M</v>
      </c>
      <c r="C22" s="91">
        <f>+'q35'!C22</f>
        <v>971.42</v>
      </c>
      <c r="D22" s="91">
        <f>+'q35'!D22</f>
        <v>980.7</v>
      </c>
      <c r="E22" s="91">
        <f>+'q35'!E22</f>
        <v>991.86</v>
      </c>
      <c r="F22" s="91">
        <f>+'q35'!F22</f>
        <v>1021.55</v>
      </c>
      <c r="G22" s="91">
        <f>+'q35'!G22</f>
        <v>1052.8699999999999</v>
      </c>
      <c r="H22" s="91">
        <f>+'q35'!H22</f>
        <v>1094.1600000000001</v>
      </c>
      <c r="I22" s="91">
        <f>+'q35'!I22</f>
        <v>1132.58</v>
      </c>
      <c r="J22" s="91">
        <f>+'q35'!J22</f>
        <v>1182.58</v>
      </c>
      <c r="K22" s="91">
        <f>+'q35'!K22</f>
        <v>1241.83</v>
      </c>
      <c r="L22" s="91">
        <f>+'q35'!L22</f>
        <v>1342.32</v>
      </c>
      <c r="M22" s="91">
        <f>+'q35'!M22</f>
        <v>1442.83</v>
      </c>
      <c r="P22" s="244"/>
      <c r="Q22" s="258" t="s">
        <v>53</v>
      </c>
      <c r="R22" s="409">
        <f>+q35_Aux!C22*q14a!C22</f>
        <v>104226566.06</v>
      </c>
      <c r="S22" s="409">
        <f>+q35_Aux!D22*q14a!D22</f>
        <v>112815805.2</v>
      </c>
      <c r="T22" s="409">
        <f>+q35_Aux!E22*q14a!E22</f>
        <v>117481849.56</v>
      </c>
      <c r="U22" s="409">
        <f>+q35_Aux!F22*q14a!F22</f>
        <v>122266254.84999999</v>
      </c>
      <c r="V22" s="409">
        <f>+q35_Aux!G22*q14a!G22</f>
        <v>132555280.12999998</v>
      </c>
      <c r="W22" s="409">
        <f>+q35_Aux!H22*q14a!H22</f>
        <v>139333616.88000003</v>
      </c>
      <c r="X22" s="409">
        <f>+q35_Aux!I22*q14a!I22</f>
        <v>138767099.34</v>
      </c>
      <c r="Y22" s="409">
        <f>+q35_Aux!J22*q14a!J22</f>
        <v>149040557.39999998</v>
      </c>
      <c r="Z22" s="409">
        <f>+q35_Aux!K22*q14a!K22</f>
        <v>169262670.82999998</v>
      </c>
      <c r="AA22" s="409">
        <f>+q35_Aux!L22*q14a!L22</f>
        <v>189291281.75999999</v>
      </c>
      <c r="AB22" s="409">
        <f>+q35_Aux!M22*q14a!M22</f>
        <v>207986830.16</v>
      </c>
    </row>
    <row r="23" spans="1:28" s="124" customFormat="1" ht="16.5" customHeight="1">
      <c r="A23" s="70" t="str">
        <f>+'q35'!A23</f>
        <v>100-149 pessoas</v>
      </c>
      <c r="B23" s="66" t="str">
        <f>+'q35'!B23</f>
        <v>T</v>
      </c>
      <c r="C23" s="90">
        <f>+'q35'!C23</f>
        <v>1296.58</v>
      </c>
      <c r="D23" s="90">
        <f>+'q35'!D23</f>
        <v>1300.02</v>
      </c>
      <c r="E23" s="90">
        <f>+'q35'!E23</f>
        <v>1297.18</v>
      </c>
      <c r="F23" s="90">
        <f>+'q35'!F23</f>
        <v>1297.67</v>
      </c>
      <c r="G23" s="90">
        <f>+'q35'!G23</f>
        <v>1336.31</v>
      </c>
      <c r="H23" s="90">
        <f>+'q35'!H23</f>
        <v>1376.38</v>
      </c>
      <c r="I23" s="90">
        <f>+'q35'!I23</f>
        <v>1422.36</v>
      </c>
      <c r="J23" s="90">
        <f>+'q35'!J23</f>
        <v>1455.98</v>
      </c>
      <c r="K23" s="90">
        <f>+'q35'!K23</f>
        <v>1550.32</v>
      </c>
      <c r="L23" s="90">
        <f>+'q35'!L23</f>
        <v>1654.56</v>
      </c>
      <c r="M23" s="90">
        <f>+'q35'!M23</f>
        <v>1759.57</v>
      </c>
      <c r="P23" s="251" t="s">
        <v>36</v>
      </c>
      <c r="Q23" s="372" t="s">
        <v>44</v>
      </c>
      <c r="R23" s="409">
        <f>+q35_Aux!C23*q14a!C23</f>
        <v>155060595.35999998</v>
      </c>
      <c r="S23" s="409">
        <f>+q35_Aux!D23*q14a!D23</f>
        <v>148529885.03999999</v>
      </c>
      <c r="T23" s="409">
        <f>+q35_Aux!E23*q14a!E23</f>
        <v>156603352.68000001</v>
      </c>
      <c r="U23" s="409">
        <f>+q35_Aux!F23*q14a!F23</f>
        <v>159326624.93000001</v>
      </c>
      <c r="V23" s="409">
        <f>+q35_Aux!G23*q14a!G23</f>
        <v>169840992.06999999</v>
      </c>
      <c r="W23" s="409">
        <f>+q35_Aux!H23*q14a!H23</f>
        <v>179075296.28</v>
      </c>
      <c r="X23" s="409">
        <f>+q35_Aux!I23*q14a!I23</f>
        <v>172718597.16</v>
      </c>
      <c r="Y23" s="409">
        <f>+q35_Aux!J23*q14a!J23</f>
        <v>188052920.81999999</v>
      </c>
      <c r="Z23" s="409">
        <f>+q35_Aux!K23*q14a!K23</f>
        <v>213947260.63999999</v>
      </c>
      <c r="AA23" s="409">
        <f>+q35_Aux!L23*q14a!L23</f>
        <v>242980408.79999998</v>
      </c>
      <c r="AB23" s="409">
        <f>+q35_Aux!M23*q14a!M23</f>
        <v>273516358.64999998</v>
      </c>
    </row>
    <row r="24" spans="1:28" s="69" customFormat="1" ht="12.75" customHeight="1">
      <c r="A24" s="64"/>
      <c r="B24" s="71" t="str">
        <f>+'q35'!B24</f>
        <v>H</v>
      </c>
      <c r="C24" s="91">
        <f>+'q35'!C24</f>
        <v>1443.92</v>
      </c>
      <c r="D24" s="91">
        <f>+'q35'!D24</f>
        <v>1456.57</v>
      </c>
      <c r="E24" s="91">
        <f>+'q35'!E24</f>
        <v>1449.96</v>
      </c>
      <c r="F24" s="91">
        <f>+'q35'!F24</f>
        <v>1434.15</v>
      </c>
      <c r="G24" s="91">
        <f>+'q35'!G24</f>
        <v>1460.24</v>
      </c>
      <c r="H24" s="91">
        <f>+'q35'!H24</f>
        <v>1496.81</v>
      </c>
      <c r="I24" s="91">
        <f>+'q35'!I24</f>
        <v>1547.2</v>
      </c>
      <c r="J24" s="91">
        <f>+'q35'!J24</f>
        <v>1582.43</v>
      </c>
      <c r="K24" s="91">
        <f>+'q35'!K24</f>
        <v>1685.08</v>
      </c>
      <c r="L24" s="91">
        <f>+'q35'!L24</f>
        <v>1794.97</v>
      </c>
      <c r="M24" s="91">
        <f>+'q35'!M24</f>
        <v>1890.8</v>
      </c>
      <c r="P24" s="244"/>
      <c r="Q24" s="258" t="s">
        <v>52</v>
      </c>
      <c r="R24" s="409">
        <f>+q35_Aux!C24*q14a!C24</f>
        <v>97564230.480000004</v>
      </c>
      <c r="S24" s="409">
        <f>+q35_Aux!D24*q14a!D24</f>
        <v>93003451.069999993</v>
      </c>
      <c r="T24" s="409">
        <f>+q35_Aux!E24*q14a!E24</f>
        <v>97582308</v>
      </c>
      <c r="U24" s="409">
        <f>+q35_Aux!F24*q14a!F24</f>
        <v>98637968.700000003</v>
      </c>
      <c r="V24" s="409">
        <f>+q35_Aux!G24*q14a!G24</f>
        <v>104496234.64</v>
      </c>
      <c r="W24" s="409">
        <f>+q35_Aux!H24*q14a!H24</f>
        <v>109879325.28999999</v>
      </c>
      <c r="X24" s="409">
        <f>+q35_Aux!I24*q14a!I24</f>
        <v>106260148.8</v>
      </c>
      <c r="Y24" s="409">
        <f>+q35_Aux!J24*q14a!J24</f>
        <v>114357468.81</v>
      </c>
      <c r="Z24" s="409">
        <f>+q35_Aux!K24*q14a!K24</f>
        <v>130905439.8</v>
      </c>
      <c r="AA24" s="409">
        <f>+q35_Aux!L24*q14a!L24</f>
        <v>148564281.99000001</v>
      </c>
      <c r="AB24" s="409">
        <f>+q35_Aux!M24*q14a!M24</f>
        <v>168305780.40000001</v>
      </c>
    </row>
    <row r="25" spans="1:28" s="69" customFormat="1" ht="12.75" customHeight="1">
      <c r="A25" s="64"/>
      <c r="B25" s="71" t="str">
        <f>+'q35'!B25</f>
        <v>M</v>
      </c>
      <c r="C25" s="91">
        <f>+'q35'!C25</f>
        <v>1105.21</v>
      </c>
      <c r="D25" s="91">
        <f>+'q35'!D25</f>
        <v>1101.69</v>
      </c>
      <c r="E25" s="91">
        <f>+'q35'!E25</f>
        <v>1104.73</v>
      </c>
      <c r="F25" s="91">
        <f>+'q35'!F25</f>
        <v>1123.8499999999999</v>
      </c>
      <c r="G25" s="91">
        <f>+'q35'!G25</f>
        <v>1176.6099999999999</v>
      </c>
      <c r="H25" s="91">
        <f>+'q35'!H25</f>
        <v>1220.45</v>
      </c>
      <c r="I25" s="91">
        <f>+'q35'!I25</f>
        <v>1259.83</v>
      </c>
      <c r="J25" s="91">
        <f>+'q35'!J25</f>
        <v>1295.3699999999999</v>
      </c>
      <c r="K25" s="91">
        <f>+'q35'!K25</f>
        <v>1376.76</v>
      </c>
      <c r="L25" s="91">
        <f>+'q35'!L25</f>
        <v>1473.22</v>
      </c>
      <c r="M25" s="91">
        <f>+'q35'!M25</f>
        <v>1583.73</v>
      </c>
      <c r="P25" s="244"/>
      <c r="Q25" s="258" t="s">
        <v>53</v>
      </c>
      <c r="R25" s="409">
        <f>+q35_Aux!C25*q14a!C25</f>
        <v>57496339.829999998</v>
      </c>
      <c r="S25" s="409">
        <f>+q35_Aux!D25*q14a!D25</f>
        <v>55526277.690000005</v>
      </c>
      <c r="T25" s="409">
        <f>+q35_Aux!E25*q14a!E25</f>
        <v>59021304.980000004</v>
      </c>
      <c r="U25" s="409">
        <f>+q35_Aux!F25*q14a!F25</f>
        <v>60689023.849999994</v>
      </c>
      <c r="V25" s="409">
        <f>+q35_Aux!G25*q14a!G25</f>
        <v>65344212.959999993</v>
      </c>
      <c r="W25" s="409">
        <f>+q35_Aux!H25*q14a!H25</f>
        <v>69195853.650000006</v>
      </c>
      <c r="X25" s="409">
        <f>+q35_Aux!I25*q14a!I25</f>
        <v>66458552.159999996</v>
      </c>
      <c r="Y25" s="409">
        <f>+q35_Aux!J25*q14a!J25</f>
        <v>73696190.039999992</v>
      </c>
      <c r="Z25" s="409">
        <f>+q35_Aux!K25*q14a!K25</f>
        <v>83042032.920000002</v>
      </c>
      <c r="AA25" s="409">
        <f>+q35_Aux!L25*q14a!L25</f>
        <v>94415723.359999999</v>
      </c>
      <c r="AB25" s="409">
        <f>+q35_Aux!M25*q14a!M25</f>
        <v>105210351.36</v>
      </c>
    </row>
    <row r="26" spans="1:28" s="123" customFormat="1" ht="16.5" customHeight="1">
      <c r="A26" s="70" t="str">
        <f>+'q35'!A26</f>
        <v>150-199 pessoas</v>
      </c>
      <c r="B26" s="66" t="str">
        <f>+'q35'!B26</f>
        <v>T</v>
      </c>
      <c r="C26" s="90">
        <f>+'q35'!C26</f>
        <v>1396.69</v>
      </c>
      <c r="D26" s="90">
        <f>+'q35'!D26</f>
        <v>1353.64</v>
      </c>
      <c r="E26" s="90">
        <f>+'q35'!E26</f>
        <v>1443.61</v>
      </c>
      <c r="F26" s="90">
        <f>+'q35'!F26</f>
        <v>1379.49</v>
      </c>
      <c r="G26" s="90">
        <f>+'q35'!G26</f>
        <v>1417.78</v>
      </c>
      <c r="H26" s="90">
        <f>+'q35'!H26</f>
        <v>1398.66</v>
      </c>
      <c r="I26" s="90">
        <f>+'q35'!I26</f>
        <v>1463.38</v>
      </c>
      <c r="J26" s="90">
        <f>+'q35'!J26</f>
        <v>1499.33</v>
      </c>
      <c r="K26" s="90">
        <f>+'q35'!K26</f>
        <v>1584.94</v>
      </c>
      <c r="L26" s="90">
        <f>+'q35'!L26</f>
        <v>1698.84</v>
      </c>
      <c r="M26" s="90">
        <f>+'q35'!M26</f>
        <v>1813.77</v>
      </c>
      <c r="P26" s="251" t="s">
        <v>37</v>
      </c>
      <c r="Q26" s="372" t="s">
        <v>44</v>
      </c>
      <c r="R26" s="409">
        <f>+q35_Aux!C26*q14a!C26</f>
        <v>98381446.909999996</v>
      </c>
      <c r="S26" s="409">
        <f>+q35_Aux!D26*q14a!D26</f>
        <v>101518939.08000001</v>
      </c>
      <c r="T26" s="409">
        <f>+q35_Aux!E26*q14a!E26</f>
        <v>109434299.66</v>
      </c>
      <c r="U26" s="409">
        <f>+q35_Aux!F26*q14a!F26</f>
        <v>112100116.38</v>
      </c>
      <c r="V26" s="409">
        <f>+q35_Aux!G26*q14a!G26</f>
        <v>120610544.59999999</v>
      </c>
      <c r="W26" s="409">
        <f>+q35_Aux!H26*q14a!H26</f>
        <v>117838503.66000001</v>
      </c>
      <c r="X26" s="409">
        <f>+q35_Aux!I26*q14a!I26</f>
        <v>120442027.52000001</v>
      </c>
      <c r="Y26" s="409">
        <f>+q35_Aux!J26*q14a!J26</f>
        <v>126448994.20999999</v>
      </c>
      <c r="Z26" s="409">
        <f>+q35_Aux!K26*q14a!K26</f>
        <v>150735718.70000002</v>
      </c>
      <c r="AA26" s="409">
        <f>+q35_Aux!L26*q14a!L26</f>
        <v>170915195.88</v>
      </c>
      <c r="AB26" s="409">
        <f>+q35_Aux!M26*q14a!M26</f>
        <v>181201064.31</v>
      </c>
    </row>
    <row r="27" spans="1:28" s="204" customFormat="1" ht="12.75" customHeight="1">
      <c r="A27" s="64"/>
      <c r="B27" s="71" t="str">
        <f>+'q35'!B27</f>
        <v>H</v>
      </c>
      <c r="C27" s="91">
        <f>+'q35'!C27</f>
        <v>1562.2</v>
      </c>
      <c r="D27" s="91">
        <f>+'q35'!D27</f>
        <v>1480.07</v>
      </c>
      <c r="E27" s="91">
        <f>+'q35'!E27</f>
        <v>1633.41</v>
      </c>
      <c r="F27" s="91">
        <f>+'q35'!F27</f>
        <v>1540.65</v>
      </c>
      <c r="G27" s="91">
        <f>+'q35'!G27</f>
        <v>1568.29</v>
      </c>
      <c r="H27" s="91">
        <f>+'q35'!H27</f>
        <v>1512.26</v>
      </c>
      <c r="I27" s="91">
        <f>+'q35'!I27</f>
        <v>1547.83</v>
      </c>
      <c r="J27" s="91">
        <f>+'q35'!J27</f>
        <v>1613.43</v>
      </c>
      <c r="K27" s="91">
        <f>+'q35'!K27</f>
        <v>1699.9</v>
      </c>
      <c r="L27" s="91">
        <f>+'q35'!L27</f>
        <v>1807.63</v>
      </c>
      <c r="M27" s="91">
        <f>+'q35'!M27</f>
        <v>1925.98</v>
      </c>
      <c r="P27" s="244"/>
      <c r="Q27" s="258" t="s">
        <v>52</v>
      </c>
      <c r="R27" s="409">
        <f>+q35_Aux!C27*q14a!C27</f>
        <v>63478434.800000004</v>
      </c>
      <c r="S27" s="409">
        <f>+q35_Aux!D27*q14a!D27</f>
        <v>66253853.479999997</v>
      </c>
      <c r="T27" s="409">
        <f>+q35_Aux!E27*q14a!E27</f>
        <v>71518856.850000009</v>
      </c>
      <c r="U27" s="409">
        <f>+q35_Aux!F27*q14a!F27</f>
        <v>69706709.25</v>
      </c>
      <c r="V27" s="409">
        <f>+q35_Aux!G27*q14a!G27</f>
        <v>75582168.260000005</v>
      </c>
      <c r="W27" s="409">
        <f>+q35_Aux!H27*q14a!H27</f>
        <v>72786586.060000002</v>
      </c>
      <c r="X27" s="409">
        <f>+q35_Aux!I27*q14a!I27</f>
        <v>73959960.890000001</v>
      </c>
      <c r="Y27" s="409">
        <f>+q35_Aux!J27*q14a!J27</f>
        <v>76586295.24000001</v>
      </c>
      <c r="Z27" s="409">
        <f>+q35_Aux!K27*q14a!K27</f>
        <v>91847296.900000006</v>
      </c>
      <c r="AA27" s="409">
        <f>+q35_Aux!L27*q14a!L27</f>
        <v>105345061.14</v>
      </c>
      <c r="AB27" s="409">
        <f>+q35_Aux!M27*q14a!M27</f>
        <v>110691848.54000001</v>
      </c>
    </row>
    <row r="28" spans="1:28" s="204" customFormat="1" ht="12.75" customHeight="1">
      <c r="A28" s="64"/>
      <c r="B28" s="71" t="str">
        <f>+'q35'!B28</f>
        <v>M</v>
      </c>
      <c r="C28" s="91">
        <f>+'q35'!C28</f>
        <v>1171.04</v>
      </c>
      <c r="D28" s="91">
        <f>+'q35'!D28</f>
        <v>1166.45</v>
      </c>
      <c r="E28" s="91">
        <f>+'q35'!E28</f>
        <v>1184.08</v>
      </c>
      <c r="F28" s="91">
        <f>+'q35'!F28</f>
        <v>1177.04</v>
      </c>
      <c r="G28" s="91">
        <f>+'q35'!G28</f>
        <v>1221.0899999999999</v>
      </c>
      <c r="H28" s="91">
        <f>+'q35'!H28</f>
        <v>1247.28</v>
      </c>
      <c r="I28" s="91">
        <f>+'q35'!I28</f>
        <v>1346.5</v>
      </c>
      <c r="J28" s="91">
        <f>+'q35'!J28</f>
        <v>1352.44</v>
      </c>
      <c r="K28" s="91">
        <f>+'q35'!K28</f>
        <v>1433.72</v>
      </c>
      <c r="L28" s="91">
        <f>+'q35'!L28</f>
        <v>1549.07</v>
      </c>
      <c r="M28" s="91">
        <f>+'q35'!M28</f>
        <v>1661.78</v>
      </c>
      <c r="P28" s="244"/>
      <c r="Q28" s="258" t="s">
        <v>53</v>
      </c>
      <c r="R28" s="409">
        <f>+q35_Aux!C28*q14a!C28</f>
        <v>34902847.199999996</v>
      </c>
      <c r="S28" s="409">
        <f>+q35_Aux!D28*q14a!D28</f>
        <v>35265282.850000001</v>
      </c>
      <c r="T28" s="409">
        <f>+q35_Aux!E28*q14a!E28</f>
        <v>37915425.68</v>
      </c>
      <c r="U28" s="409">
        <f>+q35_Aux!F28*q14a!F28</f>
        <v>42393449.68</v>
      </c>
      <c r="V28" s="409">
        <f>+q35_Aux!G28*q14a!G28</f>
        <v>45028914.839999996</v>
      </c>
      <c r="W28" s="409">
        <f>+q35_Aux!H28*q14a!H28</f>
        <v>45051753.600000001</v>
      </c>
      <c r="X28" s="409">
        <f>+q35_Aux!I28*q14a!I28</f>
        <v>46482526.5</v>
      </c>
      <c r="Y28" s="409">
        <f>+q35_Aux!J28*q14a!J28</f>
        <v>49863110.359999999</v>
      </c>
      <c r="Z28" s="409">
        <f>+q35_Aux!K28*q14a!K28</f>
        <v>58888615.280000001</v>
      </c>
      <c r="AA28" s="409">
        <f>+q35_Aux!L28*q14a!L28</f>
        <v>65570584.029999994</v>
      </c>
      <c r="AB28" s="409">
        <f>+q35_Aux!M28*q14a!M28</f>
        <v>70509325.400000006</v>
      </c>
    </row>
    <row r="29" spans="1:28" s="123" customFormat="1" ht="16.5" customHeight="1">
      <c r="A29" s="70" t="str">
        <f>+'q35'!A29</f>
        <v>200-249 pessoas</v>
      </c>
      <c r="B29" s="66" t="str">
        <f>+'q35'!B29</f>
        <v>T</v>
      </c>
      <c r="C29" s="90">
        <f>+'q35'!C29</f>
        <v>1408.23</v>
      </c>
      <c r="D29" s="90">
        <f>+'q35'!D29</f>
        <v>1513.13</v>
      </c>
      <c r="E29" s="90">
        <f>+'q35'!E29</f>
        <v>1410.28</v>
      </c>
      <c r="F29" s="90">
        <f>+'q35'!F29</f>
        <v>1513.38</v>
      </c>
      <c r="G29" s="90">
        <f>+'q35'!G29</f>
        <v>1565</v>
      </c>
      <c r="H29" s="90">
        <f>+'q35'!H29</f>
        <v>1613.12</v>
      </c>
      <c r="I29" s="90">
        <f>+'q35'!I29</f>
        <v>1720.84</v>
      </c>
      <c r="J29" s="90">
        <f>+'q35'!J29</f>
        <v>1657.67</v>
      </c>
      <c r="K29" s="90">
        <f>+'q35'!K29</f>
        <v>1689.85</v>
      </c>
      <c r="L29" s="90">
        <f>+'q35'!L29</f>
        <v>1744.47</v>
      </c>
      <c r="M29" s="90">
        <f>+'q35'!M29</f>
        <v>1801.2</v>
      </c>
      <c r="P29" s="251" t="s">
        <v>38</v>
      </c>
      <c r="Q29" s="372" t="s">
        <v>44</v>
      </c>
      <c r="R29" s="409">
        <f>+q35_Aux!C29*q14a!C29</f>
        <v>73309637.340000004</v>
      </c>
      <c r="S29" s="409">
        <f>+q35_Aux!D29*q14a!D29</f>
        <v>79999183.100000009</v>
      </c>
      <c r="T29" s="409">
        <f>+q35_Aux!E29*q14a!E29</f>
        <v>80233649.760000005</v>
      </c>
      <c r="U29" s="409">
        <f>+q35_Aux!F29*q14a!F29</f>
        <v>91335509.760000005</v>
      </c>
      <c r="V29" s="409">
        <f>+q35_Aux!G29*q14a!G29</f>
        <v>100084880</v>
      </c>
      <c r="W29" s="409">
        <f>+q35_Aux!H29*q14a!H29</f>
        <v>103555851.52</v>
      </c>
      <c r="X29" s="409">
        <f>+q35_Aux!I29*q14a!I29</f>
        <v>109015214</v>
      </c>
      <c r="Y29" s="409">
        <f>+q35_Aux!J29*q14a!J29</f>
        <v>109078001.34</v>
      </c>
      <c r="Z29" s="409">
        <f>+q35_Aux!K29*q14a!K29</f>
        <v>125941140.8</v>
      </c>
      <c r="AA29" s="409">
        <f>+q35_Aux!L29*q14a!L29</f>
        <v>131353357.59</v>
      </c>
      <c r="AB29" s="409">
        <f>+q35_Aux!M29*q14a!M29</f>
        <v>132750241.2</v>
      </c>
    </row>
    <row r="30" spans="1:28" s="204" customFormat="1" ht="12.75" customHeight="1">
      <c r="A30" s="64"/>
      <c r="B30" s="71" t="str">
        <f>+'q35'!B30</f>
        <v>H</v>
      </c>
      <c r="C30" s="91">
        <f>+'q35'!C30</f>
        <v>1553.64</v>
      </c>
      <c r="D30" s="91">
        <f>+'q35'!D30</f>
        <v>1698.44</v>
      </c>
      <c r="E30" s="91">
        <f>+'q35'!E30</f>
        <v>1533.37</v>
      </c>
      <c r="F30" s="91">
        <f>+'q35'!F30</f>
        <v>1731.77</v>
      </c>
      <c r="G30" s="91">
        <f>+'q35'!G30</f>
        <v>1782.54</v>
      </c>
      <c r="H30" s="91">
        <f>+'q35'!H30</f>
        <v>1840.75</v>
      </c>
      <c r="I30" s="91">
        <f>+'q35'!I30</f>
        <v>1972.17</v>
      </c>
      <c r="J30" s="91">
        <f>+'q35'!J30</f>
        <v>1828.16</v>
      </c>
      <c r="K30" s="91">
        <f>+'q35'!K30</f>
        <v>1845.51</v>
      </c>
      <c r="L30" s="91">
        <f>+'q35'!L30</f>
        <v>1918.11</v>
      </c>
      <c r="M30" s="91">
        <f>+'q35'!M30</f>
        <v>1912.5</v>
      </c>
      <c r="P30" s="244"/>
      <c r="Q30" s="258" t="s">
        <v>52</v>
      </c>
      <c r="R30" s="409">
        <f>+q35_Aux!C30*q14a!C30</f>
        <v>47275711.560000002</v>
      </c>
      <c r="S30" s="409">
        <f>+q35_Aux!D30*q14a!D30</f>
        <v>52315348.880000003</v>
      </c>
      <c r="T30" s="409">
        <f>+q35_Aux!E30*q14a!E30</f>
        <v>51826372.629999995</v>
      </c>
      <c r="U30" s="409">
        <f>+q35_Aux!F30*q14a!F30</f>
        <v>62071832.109999999</v>
      </c>
      <c r="V30" s="409">
        <f>+q35_Aux!G30*q14a!G30</f>
        <v>68659875.719999999</v>
      </c>
      <c r="W30" s="409">
        <f>+q35_Aux!H30*q14a!H30</f>
        <v>70653507.25</v>
      </c>
      <c r="X30" s="409">
        <f>+q35_Aux!I30*q14a!I30</f>
        <v>73711825.920000002</v>
      </c>
      <c r="Y30" s="409">
        <f>+q35_Aux!J30*q14a!J30</f>
        <v>70201344</v>
      </c>
      <c r="Z30" s="409">
        <f>+q35_Aux!K30*q14a!K30</f>
        <v>80006549.519999996</v>
      </c>
      <c r="AA30" s="409">
        <f>+q35_Aux!L30*q14a!L30</f>
        <v>80996030.969999999</v>
      </c>
      <c r="AB30" s="409">
        <f>+q35_Aux!M30*q14a!M30</f>
        <v>79747425</v>
      </c>
    </row>
    <row r="31" spans="1:28" s="204" customFormat="1" ht="12.75" customHeight="1">
      <c r="A31" s="64"/>
      <c r="B31" s="71" t="str">
        <f>+'q35'!B31</f>
        <v>M</v>
      </c>
      <c r="C31" s="91">
        <f>+'q35'!C31</f>
        <v>1203.6500000000001</v>
      </c>
      <c r="D31" s="91">
        <f>+'q35'!D31</f>
        <v>1254.48</v>
      </c>
      <c r="E31" s="91">
        <f>+'q35'!E31</f>
        <v>1230.1300000000001</v>
      </c>
      <c r="F31" s="91">
        <f>+'q35'!F31</f>
        <v>1194</v>
      </c>
      <c r="G31" s="91">
        <f>+'q35'!G31</f>
        <v>1235.55</v>
      </c>
      <c r="H31" s="91">
        <f>+'q35'!H31</f>
        <v>1274.6600000000001</v>
      </c>
      <c r="I31" s="91">
        <f>+'q35'!I31</f>
        <v>1359.18</v>
      </c>
      <c r="J31" s="91">
        <f>+'q35'!J31</f>
        <v>1418.74</v>
      </c>
      <c r="K31" s="91">
        <f>+'q35'!K31</f>
        <v>1473.4</v>
      </c>
      <c r="L31" s="91">
        <f>+'q35'!L31</f>
        <v>1522.76</v>
      </c>
      <c r="M31" s="91">
        <f>+'q35'!M31</f>
        <v>1656.2</v>
      </c>
      <c r="P31" s="244"/>
      <c r="Q31" s="258" t="s">
        <v>53</v>
      </c>
      <c r="R31" s="409">
        <f>+q35_Aux!C31*q14a!C31</f>
        <v>26033745.850000001</v>
      </c>
      <c r="S31" s="409">
        <f>+q35_Aux!D31*q14a!D31</f>
        <v>27683864.640000001</v>
      </c>
      <c r="T31" s="409">
        <f>+q35_Aux!E31*q14a!E31</f>
        <v>28407392.090000004</v>
      </c>
      <c r="U31" s="409">
        <f>+q35_Aux!F31*q14a!F31</f>
        <v>29263746</v>
      </c>
      <c r="V31" s="409">
        <f>+q35_Aux!G31*q14a!G31</f>
        <v>31424978.699999999</v>
      </c>
      <c r="W31" s="409">
        <f>+q35_Aux!H31*q14a!H31</f>
        <v>32902798.580000002</v>
      </c>
      <c r="X31" s="409">
        <f>+q35_Aux!I31*q14a!I31</f>
        <v>35303341.32</v>
      </c>
      <c r="Y31" s="409">
        <f>+q35_Aux!J31*q14a!J31</f>
        <v>38876313.479999997</v>
      </c>
      <c r="Z31" s="409">
        <f>+q35_Aux!K31*q14a!K31</f>
        <v>45934718.400000006</v>
      </c>
      <c r="AA31" s="409">
        <f>+q35_Aux!L31*q14a!L31</f>
        <v>50357673.200000003</v>
      </c>
      <c r="AB31" s="409">
        <f>+q35_Aux!M31*q14a!M31</f>
        <v>53003368.600000001</v>
      </c>
    </row>
    <row r="32" spans="1:28" s="123" customFormat="1" ht="16.5" customHeight="1">
      <c r="A32" s="70" t="str">
        <f>+'q35'!A32</f>
        <v>250-499 pessoas</v>
      </c>
      <c r="B32" s="66" t="str">
        <f>+'q35'!B32</f>
        <v>T</v>
      </c>
      <c r="C32" s="90">
        <f>+'q35'!C32</f>
        <v>1368.03</v>
      </c>
      <c r="D32" s="90">
        <f>+'q35'!D32</f>
        <v>1377.46</v>
      </c>
      <c r="E32" s="90">
        <f>+'q35'!E32</f>
        <v>1432.02</v>
      </c>
      <c r="F32" s="90">
        <f>+'q35'!F32</f>
        <v>1470.09</v>
      </c>
      <c r="G32" s="90">
        <f>+'q35'!G32</f>
        <v>1495.07</v>
      </c>
      <c r="H32" s="90">
        <f>+'q35'!H32</f>
        <v>1495.93</v>
      </c>
      <c r="I32" s="90">
        <f>+'q35'!I32</f>
        <v>1574.23</v>
      </c>
      <c r="J32" s="90">
        <f>+'q35'!J32</f>
        <v>1640.68</v>
      </c>
      <c r="K32" s="90">
        <f>+'q35'!K32</f>
        <v>1702.96</v>
      </c>
      <c r="L32" s="90">
        <f>+'q35'!L32</f>
        <v>1844.74</v>
      </c>
      <c r="M32" s="90">
        <f>+'q35'!M32</f>
        <v>1997.32</v>
      </c>
      <c r="P32" s="251" t="s">
        <v>39</v>
      </c>
      <c r="Q32" s="372" t="s">
        <v>44</v>
      </c>
      <c r="R32" s="409">
        <f>+q35_Aux!C32*q14a!C32</f>
        <v>166322351.34</v>
      </c>
      <c r="S32" s="409">
        <f>+q35_Aux!D32*q14a!D32</f>
        <v>181412859.46000001</v>
      </c>
      <c r="T32" s="409">
        <f>+q35_Aux!E32*q14a!E32</f>
        <v>199879919.57999998</v>
      </c>
      <c r="U32" s="409">
        <f>+q35_Aux!F32*q14a!F32</f>
        <v>222684822.92999998</v>
      </c>
      <c r="V32" s="409">
        <f>+q35_Aux!G32*q14a!G32</f>
        <v>233954533.88</v>
      </c>
      <c r="W32" s="409">
        <f>+q35_Aux!H32*q14a!H32</f>
        <v>239531303.46000001</v>
      </c>
      <c r="X32" s="409">
        <f>+q35_Aux!I32*q14a!I32</f>
        <v>242894243.62</v>
      </c>
      <c r="Y32" s="409">
        <f>+q35_Aux!J32*q14a!J32</f>
        <v>253289819.08000001</v>
      </c>
      <c r="Z32" s="409">
        <f>+q35_Aux!K32*q14a!K32</f>
        <v>280697193.84000003</v>
      </c>
      <c r="AA32" s="409">
        <f>+q35_Aux!L32*q14a!L32</f>
        <v>325858563.07999998</v>
      </c>
      <c r="AB32" s="409">
        <f>+q35_Aux!M32*q14a!M32</f>
        <v>374597366</v>
      </c>
    </row>
    <row r="33" spans="1:28" s="204" customFormat="1" ht="12.75" customHeight="1">
      <c r="A33" s="64"/>
      <c r="B33" s="71" t="str">
        <f>+'q35'!B33</f>
        <v>H</v>
      </c>
      <c r="C33" s="91">
        <f>+'q35'!C33</f>
        <v>1482.67</v>
      </c>
      <c r="D33" s="91">
        <f>+'q35'!D33</f>
        <v>1505.39</v>
      </c>
      <c r="E33" s="91">
        <f>+'q35'!E33</f>
        <v>1555.54</v>
      </c>
      <c r="F33" s="91">
        <f>+'q35'!F33</f>
        <v>1578.34</v>
      </c>
      <c r="G33" s="91">
        <f>+'q35'!G33</f>
        <v>1598.94</v>
      </c>
      <c r="H33" s="91">
        <f>+'q35'!H33</f>
        <v>1604.08</v>
      </c>
      <c r="I33" s="91">
        <f>+'q35'!I33</f>
        <v>1686.07</v>
      </c>
      <c r="J33" s="91">
        <f>+'q35'!J33</f>
        <v>1774.56</v>
      </c>
      <c r="K33" s="91">
        <f>+'q35'!K33</f>
        <v>1841.49</v>
      </c>
      <c r="L33" s="91">
        <f>+'q35'!L33</f>
        <v>1987.57</v>
      </c>
      <c r="M33" s="91">
        <f>+'q35'!M33</f>
        <v>2160.08</v>
      </c>
      <c r="P33" s="244"/>
      <c r="Q33" s="258" t="s">
        <v>52</v>
      </c>
      <c r="R33" s="409">
        <f>+q35_Aux!C33*q14a!C33</f>
        <v>107041360.65000001</v>
      </c>
      <c r="S33" s="409">
        <f>+q35_Aux!D33*q14a!D33</f>
        <v>115591371.15000001</v>
      </c>
      <c r="T33" s="409">
        <f>+q35_Aux!E33*q14a!E33</f>
        <v>126868286.86</v>
      </c>
      <c r="U33" s="409">
        <f>+q35_Aux!F33*q14a!F33</f>
        <v>142074275.09999999</v>
      </c>
      <c r="V33" s="409">
        <f>+q35_Aux!G33*q14a!G33</f>
        <v>149209882.92000002</v>
      </c>
      <c r="W33" s="409">
        <f>+q35_Aux!H33*q14a!H33</f>
        <v>152827117.91999999</v>
      </c>
      <c r="X33" s="409">
        <f>+q35_Aux!I33*q14a!I33</f>
        <v>154742446.38999999</v>
      </c>
      <c r="Y33" s="409">
        <f>+q35_Aux!J33*q14a!J33</f>
        <v>163211606.88</v>
      </c>
      <c r="Z33" s="409">
        <f>+q35_Aux!K33*q14a!K33</f>
        <v>180464178.50999999</v>
      </c>
      <c r="AA33" s="409">
        <f>+q35_Aux!L33*q14a!L33</f>
        <v>207671251.44999999</v>
      </c>
      <c r="AB33" s="409">
        <f>+q35_Aux!M33*q14a!M33</f>
        <v>240905082.07999998</v>
      </c>
    </row>
    <row r="34" spans="1:28" s="204" customFormat="1" ht="12.75" customHeight="1">
      <c r="A34" s="64"/>
      <c r="B34" s="71" t="str">
        <f>+'q35'!B34</f>
        <v>M</v>
      </c>
      <c r="C34" s="91">
        <f>+'q35'!C34</f>
        <v>1200.42</v>
      </c>
      <c r="D34" s="91">
        <f>+'q35'!D34</f>
        <v>1198.58</v>
      </c>
      <c r="E34" s="91">
        <f>+'q35'!E34</f>
        <v>1258.3800000000001</v>
      </c>
      <c r="F34" s="91">
        <f>+'q35'!F34</f>
        <v>1311.56</v>
      </c>
      <c r="G34" s="91">
        <f>+'q35'!G34</f>
        <v>1341.62</v>
      </c>
      <c r="H34" s="91">
        <f>+'q35'!H34</f>
        <v>1337.04</v>
      </c>
      <c r="I34" s="91">
        <f>+'q35'!I34</f>
        <v>1410.05</v>
      </c>
      <c r="J34" s="91">
        <f>+'q35'!J34</f>
        <v>1443.38</v>
      </c>
      <c r="K34" s="91">
        <f>+'q35'!K34</f>
        <v>1499.83</v>
      </c>
      <c r="L34" s="91">
        <f>+'q35'!L34</f>
        <v>1637.92</v>
      </c>
      <c r="M34" s="91">
        <f>+'q35'!M34</f>
        <v>1758.55</v>
      </c>
      <c r="P34" s="244"/>
      <c r="Q34" s="258" t="s">
        <v>53</v>
      </c>
      <c r="R34" s="409">
        <f>+q35_Aux!C34*q14a!C34</f>
        <v>59280340.860000007</v>
      </c>
      <c r="S34" s="409">
        <f>+q35_Aux!D34*q14a!D34</f>
        <v>65821219.279999994</v>
      </c>
      <c r="T34" s="409">
        <f>+q35_Aux!E34*q14a!E34</f>
        <v>73011207.600000009</v>
      </c>
      <c r="U34" s="409">
        <f>+q35_Aux!F34*q14a!F34</f>
        <v>80611100.719999999</v>
      </c>
      <c r="V34" s="409">
        <f>+q35_Aux!G34*q14a!G34</f>
        <v>84744768.919999987</v>
      </c>
      <c r="W34" s="409">
        <f>+q35_Aux!H34*q14a!H34</f>
        <v>86704369.920000002</v>
      </c>
      <c r="X34" s="409">
        <f>+q35_Aux!I34*q14a!I34</f>
        <v>88152095.849999994</v>
      </c>
      <c r="Y34" s="409">
        <f>+q35_Aux!J34*q14a!J34</f>
        <v>90078459.040000007</v>
      </c>
      <c r="Z34" s="409">
        <f>+q35_Aux!K34*q14a!K34</f>
        <v>100233638.89999999</v>
      </c>
      <c r="AA34" s="409">
        <f>+q35_Aux!L34*q14a!L34</f>
        <v>118187393.44000001</v>
      </c>
      <c r="AB34" s="409">
        <f>+q35_Aux!M34*q14a!M34</f>
        <v>133692005.2</v>
      </c>
    </row>
    <row r="35" spans="1:28" s="123" customFormat="1" ht="16.5" customHeight="1">
      <c r="A35" s="70" t="str">
        <f>+'q35'!A35</f>
        <v>500-999 pessoas</v>
      </c>
      <c r="B35" s="66" t="str">
        <f>+'q35'!B35</f>
        <v>T</v>
      </c>
      <c r="C35" s="90">
        <f>+'q35'!C35</f>
        <v>1451.56</v>
      </c>
      <c r="D35" s="90">
        <f>+'q35'!D35</f>
        <v>1436.07</v>
      </c>
      <c r="E35" s="90">
        <f>+'q35'!E35</f>
        <v>1432.18</v>
      </c>
      <c r="F35" s="90">
        <f>+'q35'!F35</f>
        <v>1403.12</v>
      </c>
      <c r="G35" s="90">
        <f>+'q35'!G35</f>
        <v>1456.8</v>
      </c>
      <c r="H35" s="90">
        <f>+'q35'!H35</f>
        <v>1569.21</v>
      </c>
      <c r="I35" s="90">
        <f>+'q35'!I35</f>
        <v>1574.72</v>
      </c>
      <c r="J35" s="90">
        <f>+'q35'!J35</f>
        <v>1629.39</v>
      </c>
      <c r="K35" s="90">
        <f>+'q35'!K35</f>
        <v>1759.55</v>
      </c>
      <c r="L35" s="90">
        <f>+'q35'!L35</f>
        <v>1876.18</v>
      </c>
      <c r="M35" s="90">
        <f>+'q35'!M35</f>
        <v>2009.31</v>
      </c>
      <c r="P35" s="251" t="s">
        <v>40</v>
      </c>
      <c r="Q35" s="372" t="s">
        <v>44</v>
      </c>
      <c r="R35" s="409">
        <f>+q35_Aux!C35*q14a!C35</f>
        <v>125038829.95999999</v>
      </c>
      <c r="S35" s="409">
        <f>+q35_Aux!D35*q14a!D35</f>
        <v>132853707.83999999</v>
      </c>
      <c r="T35" s="409">
        <f>+q35_Aux!E35*q14a!E35</f>
        <v>124910443.06</v>
      </c>
      <c r="U35" s="409">
        <f>+q35_Aux!F35*q14a!F35</f>
        <v>134966112.79999998</v>
      </c>
      <c r="V35" s="409">
        <f>+q35_Aux!G35*q14a!G35</f>
        <v>146769686.40000001</v>
      </c>
      <c r="W35" s="409">
        <f>+q35_Aux!H35*q14a!H35</f>
        <v>171731203.97999999</v>
      </c>
      <c r="X35" s="409">
        <f>+q35_Aux!I35*q14a!I35</f>
        <v>183795019.52000001</v>
      </c>
      <c r="Y35" s="409">
        <f>+q35_Aux!J35*q14a!J35</f>
        <v>182622031.20000002</v>
      </c>
      <c r="Z35" s="409">
        <f>+q35_Aux!K35*q14a!K35</f>
        <v>231730975.44999999</v>
      </c>
      <c r="AA35" s="409">
        <f>+q35_Aux!L35*q14a!L35</f>
        <v>263633308.88</v>
      </c>
      <c r="AB35" s="409">
        <f>+q35_Aux!M35*q14a!M35</f>
        <v>282291980.51999998</v>
      </c>
    </row>
    <row r="36" spans="1:28" s="204" customFormat="1" ht="12.75" customHeight="1">
      <c r="A36" s="64"/>
      <c r="B36" s="71" t="str">
        <f>+'q35'!B36</f>
        <v>H</v>
      </c>
      <c r="C36" s="91">
        <f>+'q35'!C36</f>
        <v>1583.39</v>
      </c>
      <c r="D36" s="91">
        <f>+'q35'!D36</f>
        <v>1563.21</v>
      </c>
      <c r="E36" s="91">
        <f>+'q35'!E36</f>
        <v>1549.33</v>
      </c>
      <c r="F36" s="91">
        <f>+'q35'!F36</f>
        <v>1518.44</v>
      </c>
      <c r="G36" s="91">
        <f>+'q35'!G36</f>
        <v>1591.24</v>
      </c>
      <c r="H36" s="91">
        <f>+'q35'!H36</f>
        <v>1715.02</v>
      </c>
      <c r="I36" s="91">
        <f>+'q35'!I36</f>
        <v>1711.32</v>
      </c>
      <c r="J36" s="91">
        <f>+'q35'!J36</f>
        <v>1764.57</v>
      </c>
      <c r="K36" s="91">
        <f>+'q35'!K36</f>
        <v>1882.96</v>
      </c>
      <c r="L36" s="91">
        <f>+'q35'!L36</f>
        <v>1990.54</v>
      </c>
      <c r="M36" s="91">
        <f>+'q35'!M36</f>
        <v>2085.98</v>
      </c>
      <c r="P36" s="244"/>
      <c r="Q36" s="258" t="s">
        <v>52</v>
      </c>
      <c r="R36" s="409">
        <f>+q35_Aux!C36*q14a!C36</f>
        <v>75882382.359999999</v>
      </c>
      <c r="S36" s="409">
        <f>+q35_Aux!D36*q14a!D36</f>
        <v>80533452.780000001</v>
      </c>
      <c r="T36" s="409">
        <f>+q35_Aux!E36*q14a!E36</f>
        <v>76423800.909999996</v>
      </c>
      <c r="U36" s="409">
        <f>+q35_Aux!F36*q14a!F36</f>
        <v>78708337.400000006</v>
      </c>
      <c r="V36" s="409">
        <f>+q35_Aux!G36*q14a!G36</f>
        <v>86792594.560000002</v>
      </c>
      <c r="W36" s="409">
        <f>+q35_Aux!H36*q14a!H36</f>
        <v>101803587.2</v>
      </c>
      <c r="X36" s="409">
        <f>+q35_Aux!I36*q14a!I36</f>
        <v>111028730.28</v>
      </c>
      <c r="Y36" s="409">
        <f>+q35_Aux!J36*q14a!J36</f>
        <v>109743902.00999999</v>
      </c>
      <c r="Z36" s="409">
        <f>+q35_Aux!K36*q14a!K36</f>
        <v>139005756.08000001</v>
      </c>
      <c r="AA36" s="409">
        <f>+q35_Aux!L36*q14a!L36</f>
        <v>161164071.09999999</v>
      </c>
      <c r="AB36" s="409">
        <f>+q35_Aux!M36*q14a!M36</f>
        <v>175681235.59999999</v>
      </c>
    </row>
    <row r="37" spans="1:28" s="204" customFormat="1" ht="12.75" customHeight="1">
      <c r="A37" s="72"/>
      <c r="B37" s="71" t="str">
        <f>+'q35'!B37</f>
        <v>M</v>
      </c>
      <c r="C37" s="91">
        <f>+'q35'!C37</f>
        <v>1286.24</v>
      </c>
      <c r="D37" s="91">
        <f>+'q35'!D37</f>
        <v>1276.28</v>
      </c>
      <c r="E37" s="91">
        <f>+'q35'!E37</f>
        <v>1279.67</v>
      </c>
      <c r="F37" s="91">
        <f>+'q35'!F37</f>
        <v>1268.3599999999999</v>
      </c>
      <c r="G37" s="91">
        <f>+'q35'!G37</f>
        <v>1298.0899999999999</v>
      </c>
      <c r="H37" s="91">
        <f>+'q35'!H37</f>
        <v>1396.38</v>
      </c>
      <c r="I37" s="91">
        <f>+'q35'!I37</f>
        <v>1403.75</v>
      </c>
      <c r="J37" s="91">
        <f>+'q35'!J37</f>
        <v>1460.85</v>
      </c>
      <c r="K37" s="91">
        <f>+'q35'!K37</f>
        <v>1602.14</v>
      </c>
      <c r="L37" s="91">
        <f>+'q35'!L37</f>
        <v>1720.71</v>
      </c>
      <c r="M37" s="91">
        <f>+'q35'!M37</f>
        <v>1894.56</v>
      </c>
      <c r="P37" s="254"/>
      <c r="Q37" s="258" t="s">
        <v>53</v>
      </c>
      <c r="R37" s="409">
        <f>+q35_Aux!C37*q14a!C37</f>
        <v>49156234.079999998</v>
      </c>
      <c r="S37" s="409">
        <f>+q35_Aux!D37*q14a!D37</f>
        <v>52319822.32</v>
      </c>
      <c r="T37" s="409">
        <f>+q35_Aux!E37*q14a!E37</f>
        <v>48486696.300000004</v>
      </c>
      <c r="U37" s="409">
        <f>+q35_Aux!F37*q14a!F37</f>
        <v>56258107.799999997</v>
      </c>
      <c r="V37" s="409">
        <f>+q35_Aux!G37*q14a!G37</f>
        <v>59976950.359999999</v>
      </c>
      <c r="W37" s="409">
        <f>+q35_Aux!H37*q14a!H37</f>
        <v>69927917.640000001</v>
      </c>
      <c r="X37" s="409">
        <f>+q35_Aux!I37*q14a!I37</f>
        <v>72766188.75</v>
      </c>
      <c r="Y37" s="409">
        <f>+q35_Aux!J37*q14a!J37</f>
        <v>72877423.949999988</v>
      </c>
      <c r="Z37" s="409">
        <f>+q35_Aux!K37*q14a!K37</f>
        <v>92725454.640000001</v>
      </c>
      <c r="AA37" s="409">
        <f>+q35_Aux!L37*q14a!L37</f>
        <v>102470001.21000001</v>
      </c>
      <c r="AB37" s="409">
        <f>+q35_Aux!M37*q14a!M37</f>
        <v>106610680.31999999</v>
      </c>
    </row>
    <row r="38" spans="1:28" s="123" customFormat="1" ht="16.5" customHeight="1">
      <c r="A38" s="73" t="str">
        <f>+'q35'!A38</f>
        <v>1 000 e + pessoas</v>
      </c>
      <c r="B38" s="66" t="str">
        <f>+'q35'!B38</f>
        <v>T</v>
      </c>
      <c r="C38" s="90">
        <f>+'q35'!C38</f>
        <v>1231.3699999999999</v>
      </c>
      <c r="D38" s="90">
        <f>+'q35'!D38</f>
        <v>1254.25</v>
      </c>
      <c r="E38" s="90">
        <f>+'q35'!E38</f>
        <v>1261.7</v>
      </c>
      <c r="F38" s="90">
        <f>+'q35'!F38</f>
        <v>1301.44</v>
      </c>
      <c r="G38" s="90">
        <f>+'q35'!G38</f>
        <v>1362.77</v>
      </c>
      <c r="H38" s="90">
        <f>+'q35'!H38</f>
        <v>1418.1</v>
      </c>
      <c r="I38" s="90">
        <f>+'q35'!I38</f>
        <v>1377.77</v>
      </c>
      <c r="J38" s="90">
        <f>+'q35'!J38</f>
        <v>1468.75</v>
      </c>
      <c r="K38" s="90">
        <f>+'q35'!K38</f>
        <v>1625.46</v>
      </c>
      <c r="L38" s="90">
        <f>+'q35'!L38</f>
        <v>1731.15</v>
      </c>
      <c r="M38" s="90">
        <f>+'q35'!M38</f>
        <v>1965.09</v>
      </c>
      <c r="P38" s="255" t="s">
        <v>71</v>
      </c>
      <c r="Q38" s="372" t="s">
        <v>44</v>
      </c>
      <c r="R38" s="409">
        <f>+q35_Aux!C38*q14a!C38</f>
        <v>129690351.13999999</v>
      </c>
      <c r="S38" s="409">
        <f>+q35_Aux!D38*q14a!D38</f>
        <v>139131444</v>
      </c>
      <c r="T38" s="409">
        <f>+q35_Aux!E38*q14a!E38</f>
        <v>156399070.30000001</v>
      </c>
      <c r="U38" s="409">
        <f>+q35_Aux!F38*q14a!F38</f>
        <v>174903124.48000002</v>
      </c>
      <c r="V38" s="409">
        <f>+q35_Aux!G38*q14a!G38</f>
        <v>196756732.59999999</v>
      </c>
      <c r="W38" s="409">
        <f>+q35_Aux!H38*q14a!H38</f>
        <v>225425430.29999998</v>
      </c>
      <c r="X38" s="409">
        <f>+q35_Aux!I38*q14a!I38</f>
        <v>215198029.60999998</v>
      </c>
      <c r="Y38" s="409">
        <f>+q35_Aux!J38*q14a!J38</f>
        <v>235154218.75</v>
      </c>
      <c r="Z38" s="409">
        <f>+q35_Aux!K38*q14a!K38</f>
        <v>290684262.72000003</v>
      </c>
      <c r="AA38" s="409">
        <f>+q35_Aux!L38*q14a!L38</f>
        <v>302566934.69999999</v>
      </c>
      <c r="AB38" s="409">
        <f>+q35_Aux!M38*q14a!M38</f>
        <v>375968879.15999997</v>
      </c>
    </row>
    <row r="39" spans="1:28" s="204" customFormat="1" ht="12.75" customHeight="1">
      <c r="A39" s="72"/>
      <c r="B39" s="71" t="str">
        <f>+'q35'!B39</f>
        <v>H</v>
      </c>
      <c r="C39" s="91">
        <f>+'q35'!C39</f>
        <v>1374.62</v>
      </c>
      <c r="D39" s="91">
        <f>+'q35'!D39</f>
        <v>1413.26</v>
      </c>
      <c r="E39" s="91">
        <f>+'q35'!E39</f>
        <v>1419.73</v>
      </c>
      <c r="F39" s="91">
        <f>+'q35'!F39</f>
        <v>1429.38</v>
      </c>
      <c r="G39" s="91">
        <f>+'q35'!G39</f>
        <v>1494.77</v>
      </c>
      <c r="H39" s="91">
        <f>+'q35'!H39</f>
        <v>1561.56</v>
      </c>
      <c r="I39" s="91">
        <f>+'q35'!I39</f>
        <v>1483.6</v>
      </c>
      <c r="J39" s="91">
        <f>+'q35'!J39</f>
        <v>1578.06</v>
      </c>
      <c r="K39" s="91">
        <f>+'q35'!K39</f>
        <v>1809.53</v>
      </c>
      <c r="L39" s="91">
        <f>+'q35'!L39</f>
        <v>1940.59</v>
      </c>
      <c r="M39" s="91">
        <f>+'q35'!M39</f>
        <v>2177.8000000000002</v>
      </c>
      <c r="P39" s="254"/>
      <c r="Q39" s="258" t="s">
        <v>52</v>
      </c>
      <c r="R39" s="409">
        <f>+q35_Aux!C39*q14a!C39</f>
        <v>74138755.079999998</v>
      </c>
      <c r="S39" s="409">
        <f>+q35_Aux!D39*q14a!D39</f>
        <v>78068482.400000006</v>
      </c>
      <c r="T39" s="409">
        <f>+q35_Aux!E39*q14a!E39</f>
        <v>85071641.329999998</v>
      </c>
      <c r="U39" s="409">
        <f>+q35_Aux!F39*q14a!F39</f>
        <v>98138372.040000007</v>
      </c>
      <c r="V39" s="409">
        <f>+q35_Aux!G39*q14a!G39</f>
        <v>110889512.45</v>
      </c>
      <c r="W39" s="409">
        <f>+q35_Aux!H39*q14a!H39</f>
        <v>124500055.67999999</v>
      </c>
      <c r="X39" s="409">
        <f>+q35_Aux!I39*q14a!I39</f>
        <v>109139550.39999999</v>
      </c>
      <c r="Y39" s="409">
        <f>+q35_Aux!J39*q14a!J39</f>
        <v>120846256.73999999</v>
      </c>
      <c r="Z39" s="409">
        <f>+q35_Aux!K39*q14a!K39</f>
        <v>158610733.09</v>
      </c>
      <c r="AA39" s="409">
        <f>+q35_Aux!L39*q14a!L39</f>
        <v>165588604.10999998</v>
      </c>
      <c r="AB39" s="409">
        <f>+q35_Aux!M39*q14a!M39</f>
        <v>207694608.20000002</v>
      </c>
    </row>
    <row r="40" spans="1:28" s="204" customFormat="1" ht="12.75" customHeight="1">
      <c r="A40" s="74"/>
      <c r="B40" s="75" t="str">
        <f>+'q35'!B40</f>
        <v>M</v>
      </c>
      <c r="C40" s="821">
        <f>+'q35'!C40</f>
        <v>1081.02</v>
      </c>
      <c r="D40" s="821">
        <f>+'q35'!D40</f>
        <v>1096.52</v>
      </c>
      <c r="E40" s="821">
        <f>+'q35'!E40</f>
        <v>1113.8399999999999</v>
      </c>
      <c r="F40" s="821">
        <f>+'q35'!F40</f>
        <v>1167.82</v>
      </c>
      <c r="G40" s="821">
        <f>+'q35'!G40</f>
        <v>1223.27</v>
      </c>
      <c r="H40" s="821">
        <f>+'q35'!H40</f>
        <v>1273.75</v>
      </c>
      <c r="I40" s="821">
        <f>+'q35'!I40</f>
        <v>1283.54</v>
      </c>
      <c r="J40" s="821">
        <f>+'q35'!J40</f>
        <v>1368.53</v>
      </c>
      <c r="K40" s="821">
        <f>+'q35'!K40</f>
        <v>1448.5</v>
      </c>
      <c r="L40" s="821">
        <f>+'q35'!L40</f>
        <v>1531.35</v>
      </c>
      <c r="M40" s="821">
        <f>+'q35'!M40</f>
        <v>1753.68</v>
      </c>
      <c r="P40" s="256"/>
      <c r="Q40" s="257" t="s">
        <v>53</v>
      </c>
      <c r="R40" s="409">
        <f>+q35_Aux!C40*q14a!C40</f>
        <v>55551455.759999998</v>
      </c>
      <c r="S40" s="409">
        <f>+q35_Aux!D40*q14a!D40</f>
        <v>61063005.759999998</v>
      </c>
      <c r="T40" s="409">
        <f>+q35_Aux!E40*q14a!E40</f>
        <v>71328085.920000002</v>
      </c>
      <c r="U40" s="409">
        <f>+q35_Aux!F40*q14a!F40</f>
        <v>76765479.879999995</v>
      </c>
      <c r="V40" s="409">
        <f>+q35_Aux!G40*q14a!G40</f>
        <v>85867437.650000006</v>
      </c>
      <c r="W40" s="409">
        <f>+q35_Aux!H40*q14a!H40</f>
        <v>100925581.25</v>
      </c>
      <c r="X40" s="409">
        <f>+q35_Aux!I40*q14a!I40</f>
        <v>106057626.66</v>
      </c>
      <c r="Y40" s="409">
        <f>+q35_Aux!J40*q14a!J40</f>
        <v>114307836.78</v>
      </c>
      <c r="Z40" s="409">
        <f>+q35_Aux!K40*q14a!K40</f>
        <v>132072781.5</v>
      </c>
      <c r="AA40" s="409">
        <f>+q35_Aux!L40*q14a!L40</f>
        <v>136977726.15000001</v>
      </c>
      <c r="AB40" s="409">
        <f>+q35_Aux!M40*q14a!M40</f>
        <v>168274364.40000001</v>
      </c>
    </row>
    <row r="41" spans="1:28" s="59" customFormat="1" ht="15" customHeight="1">
      <c r="A41" s="19" t="str">
        <f>+'q35'!A41</f>
        <v>Fonte: DGCP/MTSSS, Quadros de Pessoal.</v>
      </c>
      <c r="B41" s="66"/>
      <c r="C41" s="91"/>
      <c r="D41" s="90"/>
      <c r="E41" s="90"/>
      <c r="F41" s="90"/>
      <c r="G41" s="90"/>
      <c r="H41" s="90"/>
      <c r="I41" s="90"/>
      <c r="J41" s="90"/>
      <c r="K41" s="90"/>
      <c r="L41" s="90"/>
      <c r="M41" s="90"/>
    </row>
    <row r="42" spans="1:28" s="59" customFormat="1" ht="23.25" customHeight="1">
      <c r="A42" s="955" t="s">
        <v>5</v>
      </c>
      <c r="B42" s="955"/>
      <c r="C42" s="955"/>
      <c r="D42" s="955"/>
      <c r="E42" s="955"/>
      <c r="F42" s="955"/>
      <c r="G42" s="955"/>
      <c r="H42" s="955"/>
      <c r="I42" s="955"/>
      <c r="J42" s="955"/>
      <c r="K42" s="955"/>
      <c r="L42" s="955"/>
      <c r="M42" s="955"/>
    </row>
    <row r="43" spans="1:28">
      <c r="P43" s="59"/>
      <c r="Q43" s="59"/>
      <c r="R43" s="59"/>
      <c r="S43" s="59"/>
      <c r="T43" s="59"/>
      <c r="U43" s="59"/>
      <c r="V43" s="59"/>
      <c r="W43" s="59"/>
      <c r="X43" s="59"/>
      <c r="Y43" s="59"/>
      <c r="Z43" s="59"/>
      <c r="AA43" s="59"/>
      <c r="AB43" s="59"/>
    </row>
    <row r="44" spans="1:28">
      <c r="P44" s="59"/>
      <c r="Q44" s="59"/>
      <c r="R44" s="59"/>
      <c r="S44" s="59"/>
      <c r="T44" s="59"/>
      <c r="U44" s="59"/>
      <c r="V44" s="59"/>
      <c r="W44" s="59"/>
      <c r="X44" s="59"/>
      <c r="Y44" s="59"/>
      <c r="Z44" s="59"/>
      <c r="AA44" s="59"/>
      <c r="AB44" s="59"/>
    </row>
    <row r="45" spans="1:28">
      <c r="P45" s="59"/>
      <c r="Q45" s="59"/>
      <c r="R45" s="59"/>
      <c r="S45" s="59"/>
      <c r="T45" s="59"/>
      <c r="U45" s="59"/>
      <c r="V45" s="59"/>
      <c r="W45" s="59"/>
      <c r="X45" s="59"/>
      <c r="Y45" s="59"/>
      <c r="Z45" s="59"/>
      <c r="AA45" s="59"/>
      <c r="AB45" s="59"/>
    </row>
    <row r="46" spans="1:28">
      <c r="P46" s="59"/>
      <c r="Q46" s="59"/>
      <c r="R46" s="59"/>
      <c r="S46" s="59"/>
      <c r="T46" s="59"/>
      <c r="U46" s="59"/>
      <c r="V46" s="59"/>
      <c r="W46" s="59"/>
      <c r="X46" s="59"/>
      <c r="Y46" s="59"/>
      <c r="Z46" s="59"/>
      <c r="AA46" s="59"/>
      <c r="AB46" s="59"/>
    </row>
    <row r="47" spans="1:28">
      <c r="P47" s="59"/>
      <c r="Q47" s="59"/>
      <c r="R47" s="59"/>
      <c r="S47" s="59"/>
      <c r="T47" s="59"/>
      <c r="U47" s="59"/>
      <c r="V47" s="59"/>
      <c r="W47" s="59"/>
      <c r="X47" s="59"/>
      <c r="Y47" s="59"/>
      <c r="Z47" s="59"/>
      <c r="AA47" s="59"/>
      <c r="AB47" s="59"/>
    </row>
    <row r="48" spans="1:28">
      <c r="P48" s="59"/>
      <c r="Q48" s="59"/>
      <c r="R48" s="59"/>
      <c r="S48" s="59"/>
      <c r="T48" s="59"/>
      <c r="U48" s="59"/>
      <c r="V48" s="59"/>
      <c r="W48" s="59"/>
      <c r="X48" s="59"/>
      <c r="Y48" s="59"/>
      <c r="Z48" s="59"/>
      <c r="AA48" s="59"/>
      <c r="AB48" s="59"/>
    </row>
    <row r="49" spans="16:28">
      <c r="P49" s="59"/>
      <c r="Q49" s="59"/>
      <c r="R49" s="59"/>
      <c r="S49" s="59"/>
      <c r="T49" s="59"/>
      <c r="U49" s="59"/>
      <c r="V49" s="59"/>
      <c r="W49" s="59"/>
      <c r="X49" s="59"/>
      <c r="Y49" s="59"/>
      <c r="Z49" s="59"/>
      <c r="AA49" s="59"/>
      <c r="AB49" s="59"/>
    </row>
    <row r="50" spans="16:28">
      <c r="P50" s="59"/>
      <c r="Q50" s="59"/>
      <c r="R50" s="59"/>
      <c r="S50" s="59"/>
      <c r="T50" s="59"/>
      <c r="U50" s="59"/>
      <c r="V50" s="59"/>
      <c r="W50" s="59"/>
      <c r="X50" s="59"/>
      <c r="Y50" s="59"/>
      <c r="Z50" s="59"/>
      <c r="AA50" s="59"/>
      <c r="AB50" s="59"/>
    </row>
  </sheetData>
  <mergeCells count="2">
    <mergeCell ref="A1:M1"/>
    <mergeCell ref="A42:M42"/>
  </mergeCells>
  <conditionalFormatting sqref="E3 A1 G41 A42 A2:E2 A3:C3 A43:E1048576 B41:E41 A5:I40 N1:O1048576 AC1:XFD2 A4:M4 AC8:XFD1048576 AC3:AC7 AO3:XFD7">
    <cfRule type="cellIs" dxfId="2645" priority="41" operator="equal">
      <formula>0</formula>
    </cfRule>
  </conditionalFormatting>
  <conditionalFormatting sqref="A41">
    <cfRule type="cellIs" dxfId="2644" priority="40" operator="equal">
      <formula>0</formula>
    </cfRule>
  </conditionalFormatting>
  <conditionalFormatting sqref="G2:G3 G43:G1048576">
    <cfRule type="cellIs" dxfId="2643" priority="39" operator="equal">
      <formula>0</formula>
    </cfRule>
  </conditionalFormatting>
  <conditionalFormatting sqref="F2:F3 F43:F1048576">
    <cfRule type="cellIs" dxfId="2642" priority="38" operator="equal">
      <formula>0</formula>
    </cfRule>
  </conditionalFormatting>
  <conditionalFormatting sqref="F41">
    <cfRule type="cellIs" dxfId="2641" priority="37" operator="equal">
      <formula>0</formula>
    </cfRule>
  </conditionalFormatting>
  <conditionalFormatting sqref="I41">
    <cfRule type="cellIs" dxfId="2640" priority="36" operator="equal">
      <formula>0</formula>
    </cfRule>
  </conditionalFormatting>
  <conditionalFormatting sqref="I2:I3 I43:I1048576">
    <cfRule type="cellIs" dxfId="2639" priority="35" operator="equal">
      <formula>0</formula>
    </cfRule>
  </conditionalFormatting>
  <conditionalFormatting sqref="H41">
    <cfRule type="cellIs" dxfId="2638" priority="34" operator="equal">
      <formula>0</formula>
    </cfRule>
  </conditionalFormatting>
  <conditionalFormatting sqref="H2:H3 H43:H1048576">
    <cfRule type="cellIs" dxfId="2637" priority="33" operator="equal">
      <formula>0</formula>
    </cfRule>
  </conditionalFormatting>
  <conditionalFormatting sqref="J8:J40">
    <cfRule type="cellIs" dxfId="2636" priority="32" operator="equal">
      <formula>0</formula>
    </cfRule>
  </conditionalFormatting>
  <conditionalFormatting sqref="J5:J7">
    <cfRule type="cellIs" dxfId="2635" priority="30" operator="equal">
      <formula>0</formula>
    </cfRule>
  </conditionalFormatting>
  <conditionalFormatting sqref="J41">
    <cfRule type="cellIs" dxfId="2634" priority="29" operator="equal">
      <formula>0</formula>
    </cfRule>
  </conditionalFormatting>
  <conditionalFormatting sqref="J2:J3 J43:J1048576">
    <cfRule type="cellIs" dxfId="2633" priority="28" operator="equal">
      <formula>0</formula>
    </cfRule>
  </conditionalFormatting>
  <conditionalFormatting sqref="K8:K40">
    <cfRule type="cellIs" dxfId="2632" priority="27" operator="equal">
      <formula>0</formula>
    </cfRule>
  </conditionalFormatting>
  <conditionalFormatting sqref="K5:K7">
    <cfRule type="cellIs" dxfId="2631" priority="25" operator="equal">
      <formula>0</formula>
    </cfRule>
  </conditionalFormatting>
  <conditionalFormatting sqref="K41">
    <cfRule type="cellIs" dxfId="2630" priority="24" operator="equal">
      <formula>0</formula>
    </cfRule>
  </conditionalFormatting>
  <conditionalFormatting sqref="K2:K3 K43:K1048576">
    <cfRule type="cellIs" dxfId="2629" priority="23" operator="equal">
      <formula>0</formula>
    </cfRule>
  </conditionalFormatting>
  <conditionalFormatting sqref="L8:L40">
    <cfRule type="cellIs" dxfId="2628" priority="22" operator="equal">
      <formula>0</formula>
    </cfRule>
  </conditionalFormatting>
  <conditionalFormatting sqref="L5:L7">
    <cfRule type="cellIs" dxfId="2627" priority="20" operator="equal">
      <formula>0</formula>
    </cfRule>
  </conditionalFormatting>
  <conditionalFormatting sqref="L41">
    <cfRule type="cellIs" dxfId="2626" priority="19" operator="equal">
      <formula>0</formula>
    </cfRule>
  </conditionalFormatting>
  <conditionalFormatting sqref="L2:L3 L43:L1048576">
    <cfRule type="cellIs" dxfId="2625" priority="18" operator="equal">
      <formula>0</formula>
    </cfRule>
  </conditionalFormatting>
  <conditionalFormatting sqref="M8:M40">
    <cfRule type="cellIs" dxfId="2624" priority="17" operator="equal">
      <formula>0</formula>
    </cfRule>
  </conditionalFormatting>
  <conditionalFormatting sqref="M5:M7">
    <cfRule type="cellIs" dxfId="2623" priority="15" operator="equal">
      <formula>0</formula>
    </cfRule>
  </conditionalFormatting>
  <conditionalFormatting sqref="M41">
    <cfRule type="cellIs" dxfId="2622" priority="14" operator="equal">
      <formula>0</formula>
    </cfRule>
  </conditionalFormatting>
  <conditionalFormatting sqref="M2:M3 M43:M1048576">
    <cfRule type="cellIs" dxfId="2621" priority="13" operator="equal">
      <formula>0</formula>
    </cfRule>
  </conditionalFormatting>
  <conditionalFormatting sqref="P41:AB1048576">
    <cfRule type="cellIs" dxfId="2620" priority="12" operator="equal">
      <formula>0</formula>
    </cfRule>
  </conditionalFormatting>
  <conditionalFormatting sqref="P3:AB3 Q2:AB2 P1:AB1 R8:AB40">
    <cfRule type="cellIs" dxfId="2619" priority="11" operator="equal">
      <formula>0</formula>
    </cfRule>
  </conditionalFormatting>
  <conditionalFormatting sqref="P4:S4">
    <cfRule type="cellIs" dxfId="2618" priority="10" operator="equal">
      <formula>0</formula>
    </cfRule>
  </conditionalFormatting>
  <conditionalFormatting sqref="T4:U4">
    <cfRule type="cellIs" dxfId="2617" priority="9" operator="equal">
      <formula>0</formula>
    </cfRule>
  </conditionalFormatting>
  <conditionalFormatting sqref="V4:X4">
    <cfRule type="cellIs" dxfId="2616" priority="8" operator="equal">
      <formula>0</formula>
    </cfRule>
  </conditionalFormatting>
  <conditionalFormatting sqref="Y4">
    <cfRule type="cellIs" dxfId="2615" priority="7" operator="equal">
      <formula>0</formula>
    </cfRule>
  </conditionalFormatting>
  <conditionalFormatting sqref="Z4">
    <cfRule type="cellIs" dxfId="2614" priority="6" operator="equal">
      <formula>0</formula>
    </cfRule>
  </conditionalFormatting>
  <conditionalFormatting sqref="AA4">
    <cfRule type="cellIs" dxfId="2613" priority="5" operator="equal">
      <formula>0</formula>
    </cfRule>
  </conditionalFormatting>
  <conditionalFormatting sqref="AB4">
    <cfRule type="cellIs" dxfId="2612" priority="4" operator="equal">
      <formula>0</formula>
    </cfRule>
  </conditionalFormatting>
  <conditionalFormatting sqref="P5:Q40">
    <cfRule type="cellIs" dxfId="2611" priority="3" operator="equal">
      <formula>0</formula>
    </cfRule>
  </conditionalFormatting>
  <conditionalFormatting sqref="R5:AB7">
    <cfRule type="cellIs" dxfId="2610" priority="2" operator="equal">
      <formula>0</formula>
    </cfRule>
  </conditionalFormatting>
  <conditionalFormatting sqref="AD3:AN7">
    <cfRule type="cellIs" dxfId="2609"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54790-05D9-4620-B516-B940A16569A7}">
  <sheetPr codeName="Folha1"/>
  <dimension ref="A1:CX140"/>
  <sheetViews>
    <sheetView topLeftCell="AG13" zoomScale="120" zoomScaleNormal="120" workbookViewId="0">
      <selection activeCell="Y70" sqref="Y70"/>
    </sheetView>
  </sheetViews>
  <sheetFormatPr defaultColWidth="9.140625" defaultRowHeight="12.75"/>
  <cols>
    <col min="1" max="1" width="17.28515625" style="421" customWidth="1"/>
    <col min="2" max="19" width="9.140625" style="421"/>
    <col min="20" max="26" width="10.85546875" style="421" bestFit="1" customWidth="1"/>
    <col min="27" max="27" width="15.42578125" style="421" bestFit="1" customWidth="1"/>
    <col min="28" max="30" width="10.85546875" style="421" bestFit="1" customWidth="1"/>
    <col min="31" max="31" width="9.140625" style="421"/>
    <col min="32" max="33" width="18.28515625" style="421" bestFit="1" customWidth="1"/>
    <col min="34" max="52" width="9.140625" style="421"/>
    <col min="53" max="54" width="9.42578125" style="421" bestFit="1" customWidth="1"/>
    <col min="55" max="55" width="9.140625" style="421"/>
    <col min="56" max="56" width="9.5703125" style="421" customWidth="1"/>
    <col min="57" max="57" width="9.28515625" style="421" customWidth="1"/>
    <col min="58" max="92" width="9.140625" style="421"/>
    <col min="93" max="93" width="9.42578125" style="421" bestFit="1" customWidth="1"/>
    <col min="94" max="16384" width="9.140625" style="421"/>
  </cols>
  <sheetData>
    <row r="1" spans="1:98">
      <c r="A1" s="424" t="s">
        <v>264</v>
      </c>
      <c r="D1" s="430" t="s">
        <v>265</v>
      </c>
      <c r="AI1" s="442" t="s">
        <v>310</v>
      </c>
      <c r="AJ1" s="442"/>
      <c r="AK1" s="442"/>
      <c r="AL1" s="442"/>
      <c r="AM1" s="442"/>
      <c r="AO1" s="451" t="s">
        <v>334</v>
      </c>
      <c r="AY1" s="533" t="s">
        <v>460</v>
      </c>
      <c r="BL1" s="533" t="s">
        <v>461</v>
      </c>
      <c r="BT1" s="435"/>
    </row>
    <row r="2" spans="1:98" ht="12.95" customHeight="1">
      <c r="A2" s="423" t="s">
        <v>14</v>
      </c>
      <c r="B2" s="421">
        <v>1</v>
      </c>
      <c r="D2" s="431">
        <f>+C21</f>
        <v>2014</v>
      </c>
      <c r="E2" s="421">
        <v>1</v>
      </c>
      <c r="Q2" s="421">
        <v>11</v>
      </c>
      <c r="AV2" s="421" t="s">
        <v>318</v>
      </c>
      <c r="AW2" s="421">
        <f>+AS18</f>
        <v>2024</v>
      </c>
      <c r="AX2" s="421" t="s">
        <v>398</v>
      </c>
      <c r="AY2" s="958" t="str">
        <f>CONCATENATE(AS18,AX2,CHAR(10),AV3,S20,AV5,AW6,AV7,AW8,AV9,AV10,AV11,AW12," ",AV13,AW14,AV15,AV16,AV17)</f>
        <v>2024:
As empresas do distrito de Lisboa tinham ao seu serviço 1.068.615 pessoas (30,1% do Continente, ocupando a 1º posição entre 18 distritos) e  1.024.115 TCO ( 30,5% do Continente, sendo o 1º de 18 distritos).</v>
      </c>
      <c r="AZ2" s="958"/>
      <c r="BA2" s="958"/>
      <c r="BB2" s="958"/>
      <c r="BC2" s="958"/>
      <c r="BD2" s="958"/>
      <c r="BH2" s="421" t="s">
        <v>330</v>
      </c>
      <c r="BI2" s="421">
        <f>+AZ18</f>
        <v>2024</v>
      </c>
      <c r="BJ2" s="421" t="s">
        <v>398</v>
      </c>
      <c r="BL2" s="956" t="str">
        <f>CONCATENATE(AZ18,BJ2,CHAR(10),BH3,S20,BH5,BI6,BH7,BI8,BH9,BH10,BH11,BI12,BH13,BI14,BH15,BH16,BH17)</f>
        <v>2024:
No distrito de Lisboa a remuneração média mensal base era de 1.567,8 euros (+19,8% que no Continente, sendo o 1º de 18 distritos) e  1.896,5 euros a remuneração média mensal ganho (+19,8% que no Continente, sendo o 1º de 18 distritos).</v>
      </c>
      <c r="BM2" s="956"/>
      <c r="BN2" s="956"/>
      <c r="BO2" s="956"/>
      <c r="BP2" s="956"/>
    </row>
    <row r="3" spans="1:98" ht="12.95" customHeight="1">
      <c r="A3" s="423" t="s">
        <v>15</v>
      </c>
      <c r="B3" s="421">
        <v>2</v>
      </c>
      <c r="D3" s="431">
        <f>+D21</f>
        <v>2015</v>
      </c>
      <c r="E3" s="421">
        <v>2</v>
      </c>
      <c r="AI3" s="421" t="s">
        <v>311</v>
      </c>
      <c r="AJ3" s="421">
        <f>+AL18</f>
        <v>2024</v>
      </c>
      <c r="AK3" s="421" t="s">
        <v>398</v>
      </c>
      <c r="AL3" s="533" t="s">
        <v>459</v>
      </c>
      <c r="AM3" s="447"/>
      <c r="AN3" s="447"/>
      <c r="AO3" s="447"/>
      <c r="AP3" s="447"/>
      <c r="AV3" s="421" t="s">
        <v>406</v>
      </c>
      <c r="AY3" s="958"/>
      <c r="AZ3" s="958"/>
      <c r="BA3" s="958"/>
      <c r="BB3" s="958"/>
      <c r="BC3" s="958"/>
      <c r="BD3" s="958"/>
      <c r="BH3" s="421" t="s">
        <v>412</v>
      </c>
      <c r="BL3" s="956"/>
      <c r="BM3" s="956"/>
      <c r="BN3" s="956"/>
      <c r="BO3" s="956"/>
      <c r="BP3" s="956"/>
    </row>
    <row r="4" spans="1:98" ht="12.95" customHeight="1">
      <c r="A4" s="423" t="s">
        <v>65</v>
      </c>
      <c r="B4" s="421">
        <v>3</v>
      </c>
      <c r="D4" s="431">
        <f>+E21</f>
        <v>2016</v>
      </c>
      <c r="E4" s="421">
        <v>3</v>
      </c>
      <c r="AI4" s="421" t="s">
        <v>404</v>
      </c>
      <c r="AL4" s="958" t="str">
        <f>CONCATENATE(AL18,AK3,CHAR(10),AI4,S20," ",AI6,AJ7,AI8,AJ9,AI10,AI11,AI12,CHAR(10),AK12,AJ13,AI14,AJ15,AI16,AI17,AI18)</f>
        <v>2024:
O distrito de Lisboa era a sede de 65.461 empresas (equivalendo a 22,7% do Continente, sendo o 1º de 18 distritos);
Era também a localização de 77.003 estabelecimentos (constituindo 22,8% do Continente, sendo o 1º de 18 distritos).</v>
      </c>
      <c r="AM4" s="958"/>
      <c r="AN4" s="958"/>
      <c r="AO4" s="958"/>
      <c r="AP4" s="958"/>
      <c r="AQ4" s="958"/>
      <c r="AV4" s="421" t="s">
        <v>274</v>
      </c>
      <c r="AW4" s="421" t="str">
        <f>+S20</f>
        <v>Lisboa</v>
      </c>
      <c r="AY4" s="958"/>
      <c r="AZ4" s="958"/>
      <c r="BA4" s="958"/>
      <c r="BB4" s="958"/>
      <c r="BC4" s="958"/>
      <c r="BD4" s="958"/>
      <c r="BH4" s="421" t="s">
        <v>274</v>
      </c>
      <c r="BI4" s="421" t="str">
        <f>+S20</f>
        <v>Lisboa</v>
      </c>
      <c r="BL4" s="956"/>
      <c r="BM4" s="956"/>
      <c r="BN4" s="956"/>
      <c r="BO4" s="956"/>
      <c r="BP4" s="956"/>
      <c r="BX4" s="436"/>
      <c r="CC4" s="436"/>
      <c r="CH4" s="436"/>
      <c r="CM4" s="436"/>
      <c r="CO4" s="426"/>
      <c r="CR4" s="436"/>
      <c r="CT4" s="426"/>
    </row>
    <row r="5" spans="1:98">
      <c r="A5" s="423" t="s">
        <v>16</v>
      </c>
      <c r="B5" s="421">
        <v>4</v>
      </c>
      <c r="D5" s="431">
        <f>+F21</f>
        <v>2017</v>
      </c>
      <c r="E5" s="421">
        <v>4</v>
      </c>
      <c r="AI5" s="421" t="s">
        <v>274</v>
      </c>
      <c r="AJ5" s="421" t="str">
        <f>+S20</f>
        <v>Lisboa</v>
      </c>
      <c r="AL5" s="958"/>
      <c r="AM5" s="958"/>
      <c r="AN5" s="958"/>
      <c r="AO5" s="958"/>
      <c r="AP5" s="958"/>
      <c r="AQ5" s="958"/>
      <c r="AV5" s="421" t="s">
        <v>297</v>
      </c>
      <c r="AY5" s="958"/>
      <c r="AZ5" s="958"/>
      <c r="BA5" s="958"/>
      <c r="BB5" s="958"/>
      <c r="BC5" s="958"/>
      <c r="BD5" s="958"/>
      <c r="BH5" s="421" t="s">
        <v>304</v>
      </c>
      <c r="BL5" s="956"/>
      <c r="BM5" s="956"/>
      <c r="BN5" s="956"/>
      <c r="BO5" s="956"/>
      <c r="BP5" s="956"/>
      <c r="CO5" s="426"/>
      <c r="CT5" s="426"/>
    </row>
    <row r="6" spans="1:98">
      <c r="A6" s="423" t="s">
        <v>17</v>
      </c>
      <c r="B6" s="421">
        <v>5</v>
      </c>
      <c r="D6" s="431">
        <f>+G21</f>
        <v>2018</v>
      </c>
      <c r="E6" s="421">
        <v>5</v>
      </c>
      <c r="AI6" s="421" t="s">
        <v>408</v>
      </c>
      <c r="AL6" s="958"/>
      <c r="AM6" s="958"/>
      <c r="AN6" s="958"/>
      <c r="AO6" s="958"/>
      <c r="AP6" s="958"/>
      <c r="AQ6" s="958"/>
      <c r="AV6" s="421">
        <f>INDEX($AS$20:$AY$37,MATCH($AJ$5,$AS$20:$AS$37,0),2)</f>
        <v>1068615</v>
      </c>
      <c r="AW6" s="421" t="str">
        <f>TEXT(AV6,"##.###")</f>
        <v>1.068.615</v>
      </c>
      <c r="AY6" s="958"/>
      <c r="AZ6" s="958"/>
      <c r="BA6" s="958"/>
      <c r="BB6" s="958"/>
      <c r="BC6" s="958"/>
      <c r="BD6" s="958"/>
      <c r="BH6" s="446">
        <f>INDEX($AZ$20:$BF$37,MATCH($AJ$5,$AZ$20:$AZ$37,0),2)</f>
        <v>1567.76</v>
      </c>
      <c r="BI6" s="421" t="str">
        <f>TEXT(BH6,"##.###,0")</f>
        <v>1.567,8</v>
      </c>
      <c r="BL6" s="956"/>
      <c r="BM6" s="956"/>
      <c r="BN6" s="956"/>
      <c r="BO6" s="956"/>
      <c r="BP6" s="956"/>
      <c r="CO6" s="426"/>
      <c r="CT6" s="426"/>
    </row>
    <row r="7" spans="1:98">
      <c r="A7" s="423" t="s">
        <v>18</v>
      </c>
      <c r="B7" s="421">
        <v>6</v>
      </c>
      <c r="D7" s="431">
        <f>+H21</f>
        <v>2019</v>
      </c>
      <c r="E7" s="421">
        <v>6</v>
      </c>
      <c r="AI7" s="421">
        <f>INDEX($AL$20:$AR$37,MATCH($AJ$5,$AL$20:$AL$37,0),2)</f>
        <v>65461</v>
      </c>
      <c r="AJ7" s="421" t="str">
        <f>TEXT(AI7,"##.###")</f>
        <v>65.461</v>
      </c>
      <c r="AL7" s="958"/>
      <c r="AM7" s="958"/>
      <c r="AN7" s="958"/>
      <c r="AO7" s="958"/>
      <c r="AP7" s="958"/>
      <c r="AQ7" s="958"/>
      <c r="AV7" s="421" t="s">
        <v>289</v>
      </c>
      <c r="BH7" s="421" t="s">
        <v>300</v>
      </c>
      <c r="BL7" s="956"/>
      <c r="BM7" s="956"/>
      <c r="BN7" s="956"/>
      <c r="BO7" s="956"/>
      <c r="BP7" s="956"/>
      <c r="BX7" s="436"/>
      <c r="CC7" s="436"/>
      <c r="CH7" s="436"/>
      <c r="CM7" s="436"/>
      <c r="CO7" s="426"/>
      <c r="CR7" s="436"/>
      <c r="CT7" s="426"/>
    </row>
    <row r="8" spans="1:98">
      <c r="A8" s="423" t="s">
        <v>19</v>
      </c>
      <c r="B8" s="421">
        <v>7</v>
      </c>
      <c r="D8" s="431">
        <f>+I21</f>
        <v>2020</v>
      </c>
      <c r="E8" s="421">
        <v>7</v>
      </c>
      <c r="AI8" s="421" t="s">
        <v>336</v>
      </c>
      <c r="AL8" s="958"/>
      <c r="AM8" s="958"/>
      <c r="AN8" s="958"/>
      <c r="AO8" s="958"/>
      <c r="AP8" s="958"/>
      <c r="AQ8" s="958"/>
      <c r="AV8" s="421">
        <f>INDEX($AS$20:$AY$37,MATCH($AJ$5,$AS$20:$AS$37,0),4)</f>
        <v>30.144670383686112</v>
      </c>
      <c r="AW8" s="421" t="str">
        <f>TEXT(AV8,"##.##0,0")</f>
        <v>30,1</v>
      </c>
      <c r="AY8" s="451" t="s">
        <v>334</v>
      </c>
      <c r="BH8" s="421">
        <f>INDEX($AZ$20:$BF$37,MATCH($AJ$5,$AZ$20:$AZ$37,0),4)</f>
        <v>19.7714215866031</v>
      </c>
      <c r="BI8" s="421" t="str">
        <f>IF(BH8&gt;0,"+"&amp;TEXT(BH8,"##.##0,0"),TEXT(BH8,"##.##0,0"))</f>
        <v>+19,8</v>
      </c>
      <c r="BL8" s="956"/>
      <c r="BM8" s="956"/>
      <c r="BN8" s="956"/>
      <c r="BO8" s="956"/>
      <c r="BP8" s="956"/>
      <c r="CO8" s="426"/>
      <c r="CT8" s="426"/>
    </row>
    <row r="9" spans="1:98">
      <c r="A9" s="423" t="s">
        <v>20</v>
      </c>
      <c r="B9" s="421">
        <v>8</v>
      </c>
      <c r="D9" s="431">
        <f>+J21</f>
        <v>2021</v>
      </c>
      <c r="E9" s="421">
        <v>8</v>
      </c>
      <c r="AI9" s="421">
        <f>INDEX($AL$20:$AR$37,MATCH($AJ$5,$AL$20:$AL$37,0),4)</f>
        <v>22.669455574294492</v>
      </c>
      <c r="AJ9" s="421" t="str">
        <f>TEXT(AI9,"##.##0,0")</f>
        <v>22,7</v>
      </c>
      <c r="AL9" s="958"/>
      <c r="AM9" s="958"/>
      <c r="AN9" s="958"/>
      <c r="AO9" s="958"/>
      <c r="AP9" s="958"/>
      <c r="AQ9" s="958"/>
      <c r="AV9" s="421" t="s">
        <v>324</v>
      </c>
      <c r="BH9" s="421" t="s">
        <v>333</v>
      </c>
      <c r="BL9" s="452"/>
      <c r="BM9" s="452"/>
      <c r="BN9" s="452"/>
      <c r="BO9" s="452"/>
      <c r="BP9" s="452"/>
      <c r="CO9" s="426"/>
      <c r="CT9" s="426"/>
    </row>
    <row r="10" spans="1:98">
      <c r="A10" s="423" t="s">
        <v>21</v>
      </c>
      <c r="B10" s="421">
        <v>9</v>
      </c>
      <c r="D10" s="431">
        <f>+K21</f>
        <v>2022</v>
      </c>
      <c r="E10" s="421">
        <v>9</v>
      </c>
      <c r="AI10" s="421" t="s">
        <v>317</v>
      </c>
      <c r="AL10" s="958"/>
      <c r="AM10" s="958"/>
      <c r="AN10" s="958"/>
      <c r="AO10" s="958"/>
      <c r="AP10" s="958"/>
      <c r="AQ10" s="958"/>
      <c r="AV10" s="421">
        <f>INDEX($AS$20:$AY$37,MATCH($AJ$5,$AS$20:$AS$37,0),6)</f>
        <v>1</v>
      </c>
      <c r="BH10" s="421">
        <f>INDEX($AZ$20:$BF$37,MATCH($AJ$5,$AZ$20:$AZ$37,0),6)</f>
        <v>1</v>
      </c>
      <c r="BX10" s="436"/>
      <c r="CC10" s="436"/>
      <c r="CH10" s="436"/>
      <c r="CM10" s="436"/>
      <c r="CO10" s="426"/>
      <c r="CR10" s="436"/>
      <c r="CT10" s="426"/>
    </row>
    <row r="11" spans="1:98">
      <c r="A11" s="423" t="s">
        <v>22</v>
      </c>
      <c r="B11" s="421">
        <v>10</v>
      </c>
      <c r="D11" s="431">
        <f>+L21</f>
        <v>2023</v>
      </c>
      <c r="E11" s="421">
        <v>10</v>
      </c>
      <c r="AI11" s="421">
        <f>INDEX($AL$20:$AR$37,MATCH($AJ$5,$AL$20:$AL$37,0),6)</f>
        <v>1</v>
      </c>
      <c r="AV11" s="421" t="s">
        <v>325</v>
      </c>
      <c r="BH11" s="421" t="s">
        <v>335</v>
      </c>
      <c r="BL11" s="451"/>
      <c r="CO11" s="426"/>
      <c r="CT11" s="426"/>
    </row>
    <row r="12" spans="1:98">
      <c r="A12" s="423" t="s">
        <v>23</v>
      </c>
      <c r="B12" s="421">
        <v>11</v>
      </c>
      <c r="D12" s="431">
        <f>+M21</f>
        <v>2024</v>
      </c>
      <c r="E12" s="421">
        <v>11</v>
      </c>
      <c r="AI12" s="421" t="s">
        <v>410</v>
      </c>
      <c r="AK12" s="421" t="s">
        <v>409</v>
      </c>
      <c r="AV12" s="421">
        <f>INDEX($AS$20:$AY$37,MATCH($AJ$5,$AS$20:$AS$37,0),3)</f>
        <v>1024115</v>
      </c>
      <c r="AW12" s="421" t="str">
        <f>TEXT(AV12,"##.###")</f>
        <v>1.024.115</v>
      </c>
      <c r="BH12" s="421">
        <f>INDEX($AZ$20:$BF$37,MATCH($AJ$5,$AZ$20:$AZ$37,0),3)</f>
        <v>1896.51</v>
      </c>
      <c r="BI12" s="421" t="str">
        <f>TEXT(BH12,"##.###,0")</f>
        <v>1.896,5</v>
      </c>
      <c r="BM12" s="451"/>
      <c r="CO12" s="426"/>
      <c r="CT12" s="426"/>
    </row>
    <row r="13" spans="1:98">
      <c r="A13" s="423" t="s">
        <v>24</v>
      </c>
      <c r="B13" s="421">
        <v>12</v>
      </c>
      <c r="D13" s="432"/>
      <c r="AI13" s="421">
        <f>INDEX($AL$20:$AR$37,MATCH($AJ$5,$AL$20:$AL$37,0),3)</f>
        <v>77003</v>
      </c>
      <c r="AJ13" s="421" t="str">
        <f>TEXT(AI13,"##.###")</f>
        <v>77.003</v>
      </c>
      <c r="AV13" s="421" t="s">
        <v>411</v>
      </c>
      <c r="BH13" s="421" t="s">
        <v>309</v>
      </c>
      <c r="BX13" s="436"/>
      <c r="CC13" s="436"/>
      <c r="CH13" s="436"/>
      <c r="CM13" s="436"/>
      <c r="CO13" s="426"/>
      <c r="CR13" s="436"/>
      <c r="CT13" s="426"/>
    </row>
    <row r="14" spans="1:98">
      <c r="A14" s="423" t="s">
        <v>25</v>
      </c>
      <c r="B14" s="421">
        <v>13</v>
      </c>
      <c r="AI14" s="421" t="s">
        <v>323</v>
      </c>
      <c r="AV14" s="421">
        <f>INDEX($AS$20:$AY$37,MATCH($AJ$5,$AS$20:$AS$37,0),5)</f>
        <v>30.532900275957804</v>
      </c>
      <c r="AW14" s="421" t="str">
        <f>TEXT(AV14,"##.##0,0")</f>
        <v>30,5</v>
      </c>
      <c r="BH14" s="421">
        <f>INDEX($AZ$20:$BF$37,MATCH($AJ$5,$AZ$20:$AZ$37,0),5)</f>
        <v>19.823724530090026</v>
      </c>
      <c r="BI14" s="421" t="str">
        <f>IF(BH14&gt;0,"+"&amp;TEXT(BH14,"##.##0,0"),TEXT(BH14,"##.##0,0"))</f>
        <v>+19,8</v>
      </c>
      <c r="CO14" s="426"/>
      <c r="CT14" s="426"/>
    </row>
    <row r="15" spans="1:98">
      <c r="A15" s="423" t="s">
        <v>26</v>
      </c>
      <c r="B15" s="421">
        <v>14</v>
      </c>
      <c r="AI15" s="421">
        <f>INDEX($AL$20:$AR$37,MATCH($AJ$5,$AL$20:$AL$37,0),5)</f>
        <v>22.780200339618844</v>
      </c>
      <c r="AJ15" s="421" t="str">
        <f>TEXT(AI15,"##.##0,0")</f>
        <v>22,8</v>
      </c>
      <c r="AV15" s="421" t="s">
        <v>317</v>
      </c>
      <c r="BH15" s="421" t="s">
        <v>333</v>
      </c>
      <c r="CO15" s="426"/>
      <c r="CT15" s="426"/>
    </row>
    <row r="16" spans="1:98">
      <c r="A16" s="423" t="s">
        <v>27</v>
      </c>
      <c r="B16" s="421">
        <v>15</v>
      </c>
      <c r="AI16" s="421" t="s">
        <v>317</v>
      </c>
      <c r="AL16" s="421">
        <v>11</v>
      </c>
      <c r="AS16" s="421">
        <v>11</v>
      </c>
      <c r="AV16" s="421">
        <f>INDEX($AS$20:$AY$37,MATCH($AJ$5,$AS$20:$AS$37,0),7)</f>
        <v>1</v>
      </c>
      <c r="AZ16" s="421">
        <v>11</v>
      </c>
      <c r="BH16" s="421">
        <f>INDEX($AZ$20:$BF$37,MATCH($AJ$5,$AZ$20:$AZ$37,0),7)</f>
        <v>1</v>
      </c>
      <c r="BX16" s="436"/>
      <c r="CC16" s="436"/>
      <c r="CH16" s="436"/>
      <c r="CM16" s="436"/>
      <c r="CO16" s="426"/>
      <c r="CR16" s="436"/>
      <c r="CT16" s="426"/>
    </row>
    <row r="17" spans="1:102">
      <c r="A17" s="423" t="s">
        <v>28</v>
      </c>
      <c r="B17" s="421">
        <v>16</v>
      </c>
      <c r="AI17" s="421">
        <f>INDEX($AL$20:$AR$37,MATCH($AJ$5,$AL$20:$AL$37,0),7)</f>
        <v>1</v>
      </c>
      <c r="AV17" s="421" t="s">
        <v>316</v>
      </c>
      <c r="BH17" s="421" t="s">
        <v>316</v>
      </c>
      <c r="CO17" s="426"/>
      <c r="CT17" s="426"/>
    </row>
    <row r="18" spans="1:102">
      <c r="A18" s="423" t="s">
        <v>29</v>
      </c>
      <c r="B18" s="421">
        <v>17</v>
      </c>
      <c r="AI18" s="421" t="s">
        <v>316</v>
      </c>
      <c r="AL18" s="421">
        <f>INDEX($D$2:$D$12,$AL$16)</f>
        <v>2024</v>
      </c>
      <c r="AS18" s="421">
        <f>INDEX($D$2:$D$12,$AS$16)</f>
        <v>2024</v>
      </c>
      <c r="AZ18" s="421">
        <f>INDEX($D$2:$D$12,$AZ$16)</f>
        <v>2024</v>
      </c>
      <c r="BC18" s="451"/>
      <c r="CO18" s="426"/>
      <c r="CT18" s="426"/>
    </row>
    <row r="19" spans="1:102" ht="33.75">
      <c r="A19" s="423" t="s">
        <v>30</v>
      </c>
      <c r="B19" s="421">
        <v>18</v>
      </c>
      <c r="AM19" s="423" t="s">
        <v>219</v>
      </c>
      <c r="AN19" s="437" t="s">
        <v>266</v>
      </c>
      <c r="AO19" s="449" t="s">
        <v>314</v>
      </c>
      <c r="AP19" s="449" t="s">
        <v>315</v>
      </c>
      <c r="AQ19" s="449" t="s">
        <v>312</v>
      </c>
      <c r="AR19" s="449" t="s">
        <v>313</v>
      </c>
      <c r="AT19" s="423" t="s">
        <v>205</v>
      </c>
      <c r="AU19" s="423" t="s">
        <v>182</v>
      </c>
      <c r="AV19" s="449" t="s">
        <v>319</v>
      </c>
      <c r="AW19" s="449" t="s">
        <v>320</v>
      </c>
      <c r="AX19" s="449" t="s">
        <v>321</v>
      </c>
      <c r="AY19" s="449" t="s">
        <v>322</v>
      </c>
      <c r="BA19" s="423" t="s">
        <v>262</v>
      </c>
      <c r="BB19" s="423" t="s">
        <v>263</v>
      </c>
      <c r="BC19" s="450" t="s">
        <v>326</v>
      </c>
      <c r="BD19" s="450" t="s">
        <v>327</v>
      </c>
      <c r="BE19" s="450" t="s">
        <v>328</v>
      </c>
      <c r="BF19" s="450" t="s">
        <v>329</v>
      </c>
      <c r="BG19" s="421" t="s">
        <v>331</v>
      </c>
      <c r="BH19" s="421" t="s">
        <v>332</v>
      </c>
      <c r="BX19" s="436"/>
      <c r="CC19" s="436"/>
      <c r="CH19" s="436"/>
      <c r="CM19" s="436"/>
      <c r="CO19" s="426"/>
      <c r="CR19" s="436"/>
      <c r="CT19" s="426"/>
    </row>
    <row r="20" spans="1:102">
      <c r="S20" s="421" t="str">
        <f>INDEX($A$2:$A$19,$Q$2)</f>
        <v>Lisboa</v>
      </c>
      <c r="AL20" s="423" t="s">
        <v>14</v>
      </c>
      <c r="AM20" s="433">
        <f>INDEX($B$21:$M$40,MATCH($AL$20:$AL$38,$B$21:$B$40,0),MATCH($AL$18,$B$21:$M$21,0))</f>
        <v>19732</v>
      </c>
      <c r="AN20" s="433">
        <f>INDEX($B$41:$M$60,MATCH($AL$20:$AL$38,$B$41:$B$60,0),MATCH($AL$18,$B$41:$M$41,0))</f>
        <v>22673</v>
      </c>
      <c r="AO20" s="446">
        <f>+AM20/$AM$38*100</f>
        <v>6.8332854278422106</v>
      </c>
      <c r="AP20" s="446">
        <f>+AN20/$AN$38*100</f>
        <v>6.7074722062799905</v>
      </c>
      <c r="AQ20" s="436">
        <f>RANK(AM20,$AM$20:$AM$37,0)</f>
        <v>4</v>
      </c>
      <c r="AR20" s="436">
        <f>RANK(AN20,$AN$20:$AN$37,0)</f>
        <v>4</v>
      </c>
      <c r="AS20" s="423" t="s">
        <v>14</v>
      </c>
      <c r="AT20" s="433">
        <f>INDEX($B$61:$M$80,MATCH($AS$20:$AS$38,$B$61:$B$80,0),MATCH($AS$18,$B$61:$M$61,0))</f>
        <v>252468</v>
      </c>
      <c r="AU20" s="433">
        <f>INDEX($B$81:$M$100,MATCH($AS$20:$AS$38,$B$81:$B$100,0),MATCH($AS$18,$B$81:$M$81,0))</f>
        <v>237311</v>
      </c>
      <c r="AV20" s="446">
        <f>+AT20/$AT$38*100</f>
        <v>7.1218957645442602</v>
      </c>
      <c r="AW20" s="446">
        <f>+AU20/$AU$38*100</f>
        <v>7.0751752463227486</v>
      </c>
      <c r="AX20" s="436">
        <f>RANK(AT20,$AT$20:$AT$37,0)</f>
        <v>4</v>
      </c>
      <c r="AY20" s="436">
        <f>RANK(AU20,$AU$20:$AU$37,0)</f>
        <v>4</v>
      </c>
      <c r="AZ20" s="423" t="s">
        <v>14</v>
      </c>
      <c r="BA20" s="434">
        <f>INDEX($B$101:$M$120,MATCH($AZ$20:$AZ$38,$B$101:$B$120,0),MATCH($AZ$18,$B$101:$M$101,0))</f>
        <v>1204.6300000000001</v>
      </c>
      <c r="BB20" s="434">
        <f>INDEX($B$121:$M$140,MATCH($AZ$20:$AZ$38,$B$121:$B$140,0),MATCH($AZ$18,$B$121:$M$121,0))</f>
        <v>1454.71</v>
      </c>
      <c r="BC20" s="446">
        <f>+(BA20/$BA$38-1)*100</f>
        <v>-7.9704498227600507</v>
      </c>
      <c r="BD20" s="446">
        <f>+(BB20/$BB$38-1)*100</f>
        <v>-8.0897172642552473</v>
      </c>
      <c r="BE20" s="436">
        <f>RANK(BA20,$BA$20:$BA$37,0)</f>
        <v>4</v>
      </c>
      <c r="BF20" s="436">
        <f>RANK(BB20,$BB$20:$BB$37,0)</f>
        <v>4</v>
      </c>
      <c r="BG20" s="434">
        <f>+BA20-$BA$38</f>
        <v>-104.32999999999993</v>
      </c>
      <c r="BH20" s="434">
        <f>+BB20-$BB$38</f>
        <v>-128.03999999999996</v>
      </c>
      <c r="CO20" s="426"/>
      <c r="CP20" s="423"/>
      <c r="CT20" s="426"/>
    </row>
    <row r="21" spans="1:102" ht="13.5" thickBot="1">
      <c r="A21" s="423" t="s">
        <v>219</v>
      </c>
      <c r="C21" s="423">
        <f>+'q3'!$B$4</f>
        <v>2014</v>
      </c>
      <c r="D21" s="423">
        <f>+'q3'!$C$4</f>
        <v>2015</v>
      </c>
      <c r="E21" s="423">
        <f>+'q3'!$D$4</f>
        <v>2016</v>
      </c>
      <c r="F21" s="423">
        <f>+'q3'!$E$4</f>
        <v>2017</v>
      </c>
      <c r="G21" s="423">
        <f>+'q3'!$F$4</f>
        <v>2018</v>
      </c>
      <c r="H21" s="423">
        <f>+'q3'!$G$4</f>
        <v>2019</v>
      </c>
      <c r="I21" s="423">
        <f>+'q3'!$H$4</f>
        <v>2020</v>
      </c>
      <c r="J21" s="423">
        <f>+'q3'!$I$4</f>
        <v>2021</v>
      </c>
      <c r="K21" s="423">
        <f>+'q3'!$J$4</f>
        <v>2022</v>
      </c>
      <c r="L21" s="423">
        <f>+'q3'!$K$4</f>
        <v>2023</v>
      </c>
      <c r="M21" s="423">
        <f>+'q3'!$L$4</f>
        <v>2024</v>
      </c>
      <c r="T21" s="4">
        <f>+'q3'!B$4</f>
        <v>2014</v>
      </c>
      <c r="U21" s="4">
        <f>+'q3'!C$4</f>
        <v>2015</v>
      </c>
      <c r="V21" s="4">
        <f>+'q3'!D$4</f>
        <v>2016</v>
      </c>
      <c r="W21" s="4">
        <f>+'q3'!E$4</f>
        <v>2017</v>
      </c>
      <c r="X21" s="4">
        <f>+'q3'!F$4</f>
        <v>2018</v>
      </c>
      <c r="Y21" s="4">
        <f>+'q3'!G$4</f>
        <v>2019</v>
      </c>
      <c r="Z21" s="4">
        <f>+'q3'!H$4</f>
        <v>2020</v>
      </c>
      <c r="AA21" s="4">
        <f>+'q3'!I$4</f>
        <v>2021</v>
      </c>
      <c r="AB21" s="4">
        <f>+'q3'!J$4</f>
        <v>2022</v>
      </c>
      <c r="AC21" s="4">
        <f>+'q3'!K$4</f>
        <v>2023</v>
      </c>
      <c r="AD21" s="4">
        <f>+'q3'!L$4</f>
        <v>2024</v>
      </c>
      <c r="AF21" s="391" t="s">
        <v>731</v>
      </c>
      <c r="AG21" s="391" t="s">
        <v>732</v>
      </c>
      <c r="AL21" s="423" t="s">
        <v>15</v>
      </c>
      <c r="AM21" s="433">
        <f t="shared" ref="AM21:AM38" si="0">INDEX($B$21:$M$40,MATCH($AL$20:$AL$38,$B$21:$B$40,0),MATCH($AL$18,$B$21:$M$21,0))</f>
        <v>4889</v>
      </c>
      <c r="AN21" s="433">
        <f t="shared" ref="AN21:AN38" si="1">INDEX($B$41:$M$60,MATCH($AL$20:$AL$38,$B$41:$B$60,0),MATCH($AL$18,$B$41:$M$41,0))</f>
        <v>5657</v>
      </c>
      <c r="AO21" s="446">
        <f t="shared" ref="AO21:AO37" si="2">+AM21/$AM$38*100</f>
        <v>1.6930839477356863</v>
      </c>
      <c r="AP21" s="446">
        <f t="shared" ref="AP21:AP37" si="3">+AN21/$AN$38*100</f>
        <v>1.673539905214392</v>
      </c>
      <c r="AQ21" s="436">
        <f t="shared" ref="AQ21:AQ37" si="4">RANK(AM21,$AM$20:$AM$37,0)</f>
        <v>14</v>
      </c>
      <c r="AR21" s="436">
        <f t="shared" ref="AR21:AR37" si="5">RANK(AN21,$AN$20:$AN$37,0)</f>
        <v>14</v>
      </c>
      <c r="AS21" s="423" t="s">
        <v>15</v>
      </c>
      <c r="AT21" s="433">
        <f t="shared" ref="AT21:AT38" si="6">INDEX($B$61:$M$80,MATCH($AS$20:$AS$38,$B$61:$B$80,0),MATCH($AS$18,$B$61:$M$61,0))</f>
        <v>47842</v>
      </c>
      <c r="AU21" s="433">
        <f t="shared" ref="AU21:AU38" si="7">INDEX($B$81:$M$100,MATCH($AS$20:$AS$38,$B$81:$B$100,0),MATCH($AS$18,$B$81:$M$81,0))</f>
        <v>45650</v>
      </c>
      <c r="AV21" s="446">
        <f t="shared" ref="AV21:AV37" si="8">+AT21/$AT$38*100</f>
        <v>1.3495798959366196</v>
      </c>
      <c r="AW21" s="446">
        <f t="shared" ref="AW21:AW37" si="9">+AU21/$AU$38*100</f>
        <v>1.3610062323054282</v>
      </c>
      <c r="AX21" s="436">
        <f t="shared" ref="AX21:AX37" si="10">RANK(AT21,$AT$20:$AT$37,0)</f>
        <v>12</v>
      </c>
      <c r="AY21" s="436">
        <f t="shared" ref="AY21:AY37" si="11">RANK(AU21,$AU$20:$AU$37,0)</f>
        <v>12</v>
      </c>
      <c r="AZ21" s="423" t="s">
        <v>15</v>
      </c>
      <c r="BA21" s="434">
        <f t="shared" ref="BA21:BA38" si="12">INDEX($B$101:$M$120,MATCH($AZ$20:$AZ$38,$B$101:$B$120,0),MATCH($AZ$18,$B$101:$M$101,0))</f>
        <v>1076.04</v>
      </c>
      <c r="BB21" s="434">
        <f t="shared" ref="BB21:BB38" si="13">INDEX($B$121:$M$140,MATCH($AZ$20:$AZ$38,$B$121:$B$140,0),MATCH($AZ$18,$B$121:$M$121,0))</f>
        <v>1376.09</v>
      </c>
      <c r="BC21" s="446">
        <f t="shared" ref="BC21:BC37" si="14">+(BA21/$BA$38-1)*100</f>
        <v>-17.794279427942794</v>
      </c>
      <c r="BD21" s="446">
        <f t="shared" ref="BD21:BD37" si="15">+(BB21/$BB$38-1)*100</f>
        <v>-13.057021007739699</v>
      </c>
      <c r="BE21" s="436">
        <f t="shared" ref="BE21:BE37" si="16">RANK(BA21,$BA$20:$BA$37,0)</f>
        <v>12</v>
      </c>
      <c r="BF21" s="436">
        <f t="shared" ref="BF21:BF37" si="17">RANK(BB21,$BB$20:$BB$37,0)</f>
        <v>7</v>
      </c>
      <c r="BG21" s="434">
        <f t="shared" ref="BG21:BG37" si="18">+BA21-$BA$38</f>
        <v>-232.92000000000007</v>
      </c>
      <c r="BH21" s="434">
        <f t="shared" ref="BH21:BH37" si="19">+BB21-$BB$38</f>
        <v>-206.66000000000008</v>
      </c>
      <c r="BI21" s="423"/>
      <c r="BJ21" s="423"/>
      <c r="BK21" s="423"/>
      <c r="BL21" s="423"/>
      <c r="BM21" s="423"/>
      <c r="BN21" s="423"/>
      <c r="BO21" s="423"/>
      <c r="BP21" s="423"/>
      <c r="BQ21" s="423"/>
      <c r="BS21" s="423"/>
      <c r="BX21" s="423"/>
      <c r="CC21" s="423"/>
      <c r="CH21" s="423"/>
      <c r="CM21" s="423"/>
      <c r="CO21" s="426"/>
      <c r="CR21" s="423"/>
      <c r="CT21" s="426"/>
    </row>
    <row r="22" spans="1:102" ht="13.5" thickTop="1">
      <c r="B22" s="423" t="str">
        <f>+'q3'!$A$6</f>
        <v>Aveiro</v>
      </c>
      <c r="C22" s="421">
        <f>+'q3'!$B$6</f>
        <v>19346</v>
      </c>
      <c r="D22" s="421">
        <f>+'q3'!$C$6</f>
        <v>19511</v>
      </c>
      <c r="E22" s="421">
        <f>+'q3'!$D$6</f>
        <v>19753</v>
      </c>
      <c r="F22" s="421">
        <f>+'q3'!$E$6</f>
        <v>19926</v>
      </c>
      <c r="G22" s="421">
        <f>+'q3'!$F$6</f>
        <v>20182</v>
      </c>
      <c r="H22" s="421">
        <f>+'q3'!$G$6</f>
        <v>19828</v>
      </c>
      <c r="I22" s="421">
        <f>+'q3'!$H$6</f>
        <v>19735</v>
      </c>
      <c r="J22" s="421">
        <f>+'q3'!$I$6</f>
        <v>19227</v>
      </c>
      <c r="K22" s="421">
        <f>+'q3'!$J$6</f>
        <v>19850</v>
      </c>
      <c r="L22" s="421">
        <f>+'q3'!$K$6</f>
        <v>19949</v>
      </c>
      <c r="M22" s="421">
        <f>+'q3'!$L$6</f>
        <v>19732</v>
      </c>
      <c r="N22" s="421">
        <f>+M22-C22</f>
        <v>386</v>
      </c>
      <c r="S22" s="395" t="s">
        <v>219</v>
      </c>
      <c r="T22" s="396">
        <f>VLOOKUP($S$20,$B$21:$M$39,COLUMN(C22)-1,0)</f>
        <v>59911</v>
      </c>
      <c r="U22" s="396">
        <f t="shared" ref="U22:AD22" si="20">VLOOKUP($S$20,$B$21:$M$39,COLUMN(D22)-1,0)</f>
        <v>60537</v>
      </c>
      <c r="V22" s="396">
        <f t="shared" si="20"/>
        <v>60939</v>
      </c>
      <c r="W22" s="396">
        <f t="shared" si="20"/>
        <v>61816</v>
      </c>
      <c r="X22" s="396">
        <f t="shared" si="20"/>
        <v>62991</v>
      </c>
      <c r="Y22" s="396">
        <f t="shared" si="20"/>
        <v>61257</v>
      </c>
      <c r="Z22" s="396">
        <f t="shared" si="20"/>
        <v>62466</v>
      </c>
      <c r="AA22" s="396">
        <f t="shared" si="20"/>
        <v>60609</v>
      </c>
      <c r="AB22" s="396">
        <f t="shared" si="20"/>
        <v>63924</v>
      </c>
      <c r="AC22" s="396">
        <f t="shared" si="20"/>
        <v>65753</v>
      </c>
      <c r="AD22" s="445">
        <f t="shared" si="20"/>
        <v>65461</v>
      </c>
      <c r="AE22" s="433" t="str">
        <f>TEXT(AD22,"##.###")</f>
        <v>65.461</v>
      </c>
      <c r="AF22" s="397">
        <f>+(AD22/AC22-1)</f>
        <v>-4.4408620139004817E-3</v>
      </c>
      <c r="AG22" s="397">
        <f>+(AD22/T22-1)</f>
        <v>9.2637412161372668E-2</v>
      </c>
      <c r="AH22" s="443">
        <f>+AD22-T22</f>
        <v>5550</v>
      </c>
      <c r="AI22" s="421" t="str">
        <f>IF(AH22&gt;0,", mais",", menos")</f>
        <v>, mais</v>
      </c>
      <c r="AJ22" s="421">
        <f>IF(AH22&gt;0,AH22,AH22*-1)</f>
        <v>5550</v>
      </c>
      <c r="AL22" s="423" t="s">
        <v>65</v>
      </c>
      <c r="AM22" s="433">
        <f t="shared" si="0"/>
        <v>29000</v>
      </c>
      <c r="AN22" s="433">
        <f t="shared" si="1"/>
        <v>32426</v>
      </c>
      <c r="AO22" s="446">
        <f t="shared" si="2"/>
        <v>10.04283789820718</v>
      </c>
      <c r="AP22" s="446">
        <f t="shared" si="3"/>
        <v>9.5927532201664967</v>
      </c>
      <c r="AQ22" s="436">
        <f t="shared" si="4"/>
        <v>3</v>
      </c>
      <c r="AR22" s="436">
        <f t="shared" si="5"/>
        <v>3</v>
      </c>
      <c r="AS22" s="423" t="s">
        <v>65</v>
      </c>
      <c r="AT22" s="433">
        <f t="shared" si="6"/>
        <v>312404</v>
      </c>
      <c r="AU22" s="433">
        <f t="shared" si="7"/>
        <v>293085</v>
      </c>
      <c r="AV22" s="446">
        <f t="shared" si="8"/>
        <v>8.812636549688218</v>
      </c>
      <c r="AW22" s="446">
        <f t="shared" si="9"/>
        <v>8.7380177786470199</v>
      </c>
      <c r="AX22" s="436">
        <f t="shared" si="10"/>
        <v>3</v>
      </c>
      <c r="AY22" s="436">
        <f t="shared" si="11"/>
        <v>3</v>
      </c>
      <c r="AZ22" s="423" t="s">
        <v>65</v>
      </c>
      <c r="BA22" s="434">
        <f t="shared" si="12"/>
        <v>1146.02</v>
      </c>
      <c r="BB22" s="434">
        <f t="shared" si="13"/>
        <v>1361.73</v>
      </c>
      <c r="BC22" s="446">
        <f t="shared" si="14"/>
        <v>-12.448050360591623</v>
      </c>
      <c r="BD22" s="446">
        <f t="shared" si="15"/>
        <v>-13.96430263781393</v>
      </c>
      <c r="BE22" s="436">
        <f t="shared" si="16"/>
        <v>6</v>
      </c>
      <c r="BF22" s="436">
        <f t="shared" si="17"/>
        <v>10</v>
      </c>
      <c r="BG22" s="434">
        <f t="shared" si="18"/>
        <v>-162.94000000000005</v>
      </c>
      <c r="BH22" s="434">
        <f t="shared" si="19"/>
        <v>-221.01999999999998</v>
      </c>
      <c r="BX22" s="436"/>
      <c r="CC22" s="436"/>
      <c r="CH22" s="436"/>
      <c r="CM22" s="436"/>
      <c r="CO22" s="426"/>
      <c r="CR22" s="436"/>
      <c r="CT22" s="426"/>
    </row>
    <row r="23" spans="1:102">
      <c r="B23" s="423" t="str">
        <f>+'q3'!$A$7</f>
        <v>Beja</v>
      </c>
      <c r="C23" s="421">
        <f>+'q3'!$B$7</f>
        <v>4126</v>
      </c>
      <c r="D23" s="421">
        <f>+'q3'!$C$7</f>
        <v>4182</v>
      </c>
      <c r="E23" s="421">
        <f>+'q3'!$D$7</f>
        <v>4271</v>
      </c>
      <c r="F23" s="421">
        <f>+'q3'!$E$7</f>
        <v>4352</v>
      </c>
      <c r="G23" s="421">
        <f>+'q3'!$F$7</f>
        <v>4398</v>
      </c>
      <c r="H23" s="421">
        <f>+'q3'!$G$7</f>
        <v>4357</v>
      </c>
      <c r="I23" s="421">
        <f>+'q3'!$H$7</f>
        <v>4387</v>
      </c>
      <c r="J23" s="421">
        <f>+'q3'!$I$7</f>
        <v>4403</v>
      </c>
      <c r="K23" s="421">
        <f>+'q3'!$J$7</f>
        <v>4593</v>
      </c>
      <c r="L23" s="421">
        <f>+'q3'!$K$7</f>
        <v>4837</v>
      </c>
      <c r="M23" s="421">
        <f>+'q3'!$L$7</f>
        <v>4889</v>
      </c>
      <c r="N23" s="421">
        <f t="shared" ref="N23:N86" si="21">+M23-C23</f>
        <v>763</v>
      </c>
      <c r="S23" s="395" t="s">
        <v>204</v>
      </c>
      <c r="T23" s="394">
        <f t="shared" ref="T23:AD23" si="22">VLOOKUP($S$20,$B$41:$M$59,COLUMN(C42)-1,0)</f>
        <v>71690</v>
      </c>
      <c r="U23" s="394">
        <f t="shared" si="22"/>
        <v>72246</v>
      </c>
      <c r="V23" s="394">
        <f t="shared" si="22"/>
        <v>72756</v>
      </c>
      <c r="W23" s="394">
        <f t="shared" si="22"/>
        <v>73389</v>
      </c>
      <c r="X23" s="394">
        <f t="shared" si="22"/>
        <v>74689</v>
      </c>
      <c r="Y23" s="394">
        <f t="shared" si="22"/>
        <v>72677</v>
      </c>
      <c r="Z23" s="394">
        <f t="shared" si="22"/>
        <v>73809</v>
      </c>
      <c r="AA23" s="394">
        <f t="shared" si="22"/>
        <v>71616</v>
      </c>
      <c r="AB23" s="394">
        <f t="shared" si="22"/>
        <v>75266</v>
      </c>
      <c r="AC23" s="394">
        <f t="shared" si="22"/>
        <v>77253</v>
      </c>
      <c r="AD23" s="394">
        <f t="shared" si="22"/>
        <v>77003</v>
      </c>
      <c r="AE23" s="433" t="str">
        <f>TEXT(AD23,"##.###")</f>
        <v>77.003</v>
      </c>
      <c r="AF23" s="397">
        <f>+(AD23/AC23-1)</f>
        <v>-3.2361202801185485E-3</v>
      </c>
      <c r="AG23" s="397">
        <f>+(AD23/T23-1)</f>
        <v>7.4110754638024856E-2</v>
      </c>
      <c r="AH23" s="443">
        <f>+AD23-T23</f>
        <v>5313</v>
      </c>
      <c r="AI23" s="421" t="str">
        <f>IF(AH23&gt;0,", mais",", menos")</f>
        <v>, mais</v>
      </c>
      <c r="AJ23" s="421">
        <f>IF(AH23&gt;0,AH23,AH23*-1)</f>
        <v>5313</v>
      </c>
      <c r="AL23" s="423" t="s">
        <v>16</v>
      </c>
      <c r="AM23" s="433">
        <f t="shared" si="0"/>
        <v>3589</v>
      </c>
      <c r="AN23" s="433">
        <f t="shared" si="1"/>
        <v>4180</v>
      </c>
      <c r="AO23" s="446">
        <f t="shared" si="2"/>
        <v>1.2428877660919162</v>
      </c>
      <c r="AP23" s="446">
        <f t="shared" si="3"/>
        <v>1.2365912681273037</v>
      </c>
      <c r="AQ23" s="436">
        <f t="shared" si="4"/>
        <v>17</v>
      </c>
      <c r="AR23" s="436">
        <f t="shared" si="5"/>
        <v>17</v>
      </c>
      <c r="AS23" s="423" t="s">
        <v>16</v>
      </c>
      <c r="AT23" s="433">
        <f t="shared" si="6"/>
        <v>24098</v>
      </c>
      <c r="AU23" s="433">
        <f t="shared" si="7"/>
        <v>22075</v>
      </c>
      <c r="AV23" s="446">
        <f t="shared" si="8"/>
        <v>0.67978295916309228</v>
      </c>
      <c r="AW23" s="446">
        <f t="shared" si="9"/>
        <v>0.65814266326708282</v>
      </c>
      <c r="AX23" s="436">
        <f t="shared" si="10"/>
        <v>17</v>
      </c>
      <c r="AY23" s="436">
        <f t="shared" si="11"/>
        <v>18</v>
      </c>
      <c r="AZ23" s="423" t="s">
        <v>16</v>
      </c>
      <c r="BA23" s="434">
        <f t="shared" si="12"/>
        <v>1026.18</v>
      </c>
      <c r="BB23" s="434">
        <f t="shared" si="13"/>
        <v>1251.51</v>
      </c>
      <c r="BC23" s="446">
        <f t="shared" si="14"/>
        <v>-21.603410341034103</v>
      </c>
      <c r="BD23" s="446">
        <f t="shared" si="15"/>
        <v>-20.928131416837779</v>
      </c>
      <c r="BE23" s="436">
        <f t="shared" si="16"/>
        <v>18</v>
      </c>
      <c r="BF23" s="436">
        <f t="shared" si="17"/>
        <v>18</v>
      </c>
      <c r="BG23" s="434">
        <f t="shared" si="18"/>
        <v>-282.77999999999997</v>
      </c>
      <c r="BH23" s="434">
        <f t="shared" si="19"/>
        <v>-331.24</v>
      </c>
      <c r="CO23" s="426"/>
      <c r="CT23" s="426"/>
    </row>
    <row r="24" spans="1:102">
      <c r="B24" s="423" t="str">
        <f>+'q3'!$A$8</f>
        <v>Braga</v>
      </c>
      <c r="C24" s="421">
        <f>+'q3'!$B$8</f>
        <v>26240</v>
      </c>
      <c r="D24" s="421">
        <f>+'q3'!$C$8</f>
        <v>26600</v>
      </c>
      <c r="E24" s="421">
        <f>+'q3'!$D$8</f>
        <v>27141</v>
      </c>
      <c r="F24" s="421">
        <f>+'q3'!$E$8</f>
        <v>27607</v>
      </c>
      <c r="G24" s="421">
        <f>+'q3'!$F$8</f>
        <v>27722</v>
      </c>
      <c r="H24" s="421">
        <f>+'q3'!$G$8</f>
        <v>26943</v>
      </c>
      <c r="I24" s="421">
        <f>+'q3'!$H$8</f>
        <v>27215</v>
      </c>
      <c r="J24" s="421">
        <f>+'q3'!$I$8</f>
        <v>26761</v>
      </c>
      <c r="K24" s="421">
        <f>+'q3'!$J$8</f>
        <v>28579</v>
      </c>
      <c r="L24" s="421">
        <f>+'q3'!$K$8</f>
        <v>29169</v>
      </c>
      <c r="M24" s="421">
        <f>+'q3'!$L$8</f>
        <v>29000</v>
      </c>
      <c r="N24" s="421">
        <f t="shared" si="21"/>
        <v>2760</v>
      </c>
      <c r="AL24" s="423" t="s">
        <v>17</v>
      </c>
      <c r="AM24" s="433">
        <f t="shared" si="0"/>
        <v>4621</v>
      </c>
      <c r="AN24" s="433">
        <f t="shared" si="1"/>
        <v>5527</v>
      </c>
      <c r="AO24" s="446">
        <f t="shared" si="2"/>
        <v>1.6002742733660476</v>
      </c>
      <c r="AP24" s="446">
        <f t="shared" si="3"/>
        <v>1.6350813251051695</v>
      </c>
      <c r="AQ24" s="436">
        <f t="shared" si="4"/>
        <v>15</v>
      </c>
      <c r="AR24" s="436">
        <f t="shared" si="5"/>
        <v>15</v>
      </c>
      <c r="AS24" s="423" t="s">
        <v>17</v>
      </c>
      <c r="AT24" s="433">
        <f t="shared" si="6"/>
        <v>44890</v>
      </c>
      <c r="AU24" s="433">
        <f t="shared" si="7"/>
        <v>42077</v>
      </c>
      <c r="AV24" s="446">
        <f t="shared" si="8"/>
        <v>1.266306624484655</v>
      </c>
      <c r="AW24" s="446">
        <f t="shared" si="9"/>
        <v>1.2544810347582804</v>
      </c>
      <c r="AX24" s="436">
        <f t="shared" si="10"/>
        <v>13</v>
      </c>
      <c r="AY24" s="436">
        <f t="shared" si="11"/>
        <v>14</v>
      </c>
      <c r="AZ24" s="423" t="s">
        <v>17</v>
      </c>
      <c r="BA24" s="434">
        <f t="shared" si="12"/>
        <v>1066.6099999999999</v>
      </c>
      <c r="BB24" s="434">
        <f t="shared" si="13"/>
        <v>1279.54</v>
      </c>
      <c r="BC24" s="446">
        <f t="shared" si="14"/>
        <v>-18.514698692091436</v>
      </c>
      <c r="BD24" s="446">
        <f t="shared" si="15"/>
        <v>-19.157163165376723</v>
      </c>
      <c r="BE24" s="436">
        <f t="shared" si="16"/>
        <v>14</v>
      </c>
      <c r="BF24" s="436">
        <f t="shared" si="17"/>
        <v>16</v>
      </c>
      <c r="BG24" s="434">
        <f t="shared" si="18"/>
        <v>-242.35000000000014</v>
      </c>
      <c r="BH24" s="434">
        <f t="shared" si="19"/>
        <v>-303.21000000000004</v>
      </c>
      <c r="CO24" s="426"/>
      <c r="CT24" s="426"/>
    </row>
    <row r="25" spans="1:102">
      <c r="B25" s="423" t="str">
        <f>+'q3'!$A$9</f>
        <v>Bragança</v>
      </c>
      <c r="C25" s="421">
        <f>+'q3'!$B$9</f>
        <v>3603</v>
      </c>
      <c r="D25" s="421">
        <f>+'q3'!$C$9</f>
        <v>3624</v>
      </c>
      <c r="E25" s="421">
        <f>+'q3'!$D$9</f>
        <v>3653</v>
      </c>
      <c r="F25" s="421">
        <f>+'q3'!$E$9</f>
        <v>3691</v>
      </c>
      <c r="G25" s="421">
        <f>+'q3'!$F$9</f>
        <v>3714</v>
      </c>
      <c r="H25" s="421">
        <f>+'q3'!$G$9</f>
        <v>3441</v>
      </c>
      <c r="I25" s="421">
        <f>+'q3'!$H$9</f>
        <v>3474</v>
      </c>
      <c r="J25" s="421">
        <f>+'q3'!$I$9</f>
        <v>3568</v>
      </c>
      <c r="K25" s="421">
        <f>+'q3'!$J$9</f>
        <v>3640</v>
      </c>
      <c r="L25" s="421">
        <f>+'q3'!$K$9</f>
        <v>3729</v>
      </c>
      <c r="M25" s="421">
        <f>+'q3'!$L$9</f>
        <v>3589</v>
      </c>
      <c r="N25" s="421">
        <f t="shared" si="21"/>
        <v>-14</v>
      </c>
      <c r="AE25" s="444"/>
      <c r="AG25" s="446">
        <f>+(AD22/T22-1)*100</f>
        <v>9.2637412161372659</v>
      </c>
      <c r="AL25" s="423" t="s">
        <v>18</v>
      </c>
      <c r="AM25" s="433">
        <f t="shared" si="0"/>
        <v>10168</v>
      </c>
      <c r="AN25" s="433">
        <f t="shared" si="1"/>
        <v>12400</v>
      </c>
      <c r="AO25" s="446">
        <f t="shared" si="2"/>
        <v>3.5212267499645038</v>
      </c>
      <c r="AP25" s="446">
        <f t="shared" si="3"/>
        <v>3.6683568719565947</v>
      </c>
      <c r="AQ25" s="436">
        <f t="shared" si="4"/>
        <v>10</v>
      </c>
      <c r="AR25" s="436">
        <f t="shared" si="5"/>
        <v>9</v>
      </c>
      <c r="AS25" s="423" t="s">
        <v>18</v>
      </c>
      <c r="AT25" s="433">
        <f t="shared" si="6"/>
        <v>114805</v>
      </c>
      <c r="AU25" s="433">
        <f t="shared" si="7"/>
        <v>107638</v>
      </c>
      <c r="AV25" s="446">
        <f t="shared" si="8"/>
        <v>3.2385460464237203</v>
      </c>
      <c r="AW25" s="446">
        <f t="shared" si="9"/>
        <v>3.2091125702714502</v>
      </c>
      <c r="AX25" s="436">
        <f t="shared" si="10"/>
        <v>9</v>
      </c>
      <c r="AY25" s="436">
        <f t="shared" si="11"/>
        <v>9</v>
      </c>
      <c r="AZ25" s="423" t="s">
        <v>18</v>
      </c>
      <c r="BA25" s="434">
        <f t="shared" si="12"/>
        <v>1158.92</v>
      </c>
      <c r="BB25" s="434">
        <f t="shared" si="13"/>
        <v>1422.04</v>
      </c>
      <c r="BC25" s="446">
        <f t="shared" si="14"/>
        <v>-11.46253514240313</v>
      </c>
      <c r="BD25" s="446">
        <f t="shared" si="15"/>
        <v>-10.153846153846157</v>
      </c>
      <c r="BE25" s="436">
        <f t="shared" si="16"/>
        <v>5</v>
      </c>
      <c r="BF25" s="436">
        <f t="shared" si="17"/>
        <v>5</v>
      </c>
      <c r="BG25" s="434">
        <f t="shared" si="18"/>
        <v>-150.03999999999996</v>
      </c>
      <c r="BH25" s="434">
        <f t="shared" si="19"/>
        <v>-160.71000000000004</v>
      </c>
      <c r="BX25" s="436"/>
      <c r="CC25" s="436"/>
      <c r="CH25" s="436"/>
      <c r="CM25" s="436"/>
      <c r="CO25" s="426"/>
      <c r="CR25" s="436"/>
      <c r="CT25" s="426"/>
    </row>
    <row r="26" spans="1:102">
      <c r="B26" s="423" t="str">
        <f>+'q3'!$A$10</f>
        <v>Castelo Branco</v>
      </c>
      <c r="C26" s="421">
        <f>+'q3'!$B$10</f>
        <v>4726</v>
      </c>
      <c r="D26" s="421">
        <f>+'q3'!$C$10</f>
        <v>4738</v>
      </c>
      <c r="E26" s="421">
        <f>+'q3'!$D$10</f>
        <v>4744</v>
      </c>
      <c r="F26" s="421">
        <f>+'q3'!$E$10</f>
        <v>4692</v>
      </c>
      <c r="G26" s="421">
        <f>+'q3'!$F$10</f>
        <v>4696</v>
      </c>
      <c r="H26" s="421">
        <f>+'q3'!$G$10</f>
        <v>4527</v>
      </c>
      <c r="I26" s="421">
        <f>+'q3'!$H$10</f>
        <v>4500</v>
      </c>
      <c r="J26" s="421">
        <f>+'q3'!$I$10</f>
        <v>4479</v>
      </c>
      <c r="K26" s="421">
        <f>+'q3'!$J$10</f>
        <v>4718</v>
      </c>
      <c r="L26" s="421">
        <f>+'q3'!$K$10</f>
        <v>4717</v>
      </c>
      <c r="M26" s="421">
        <f>+'q3'!$L$10</f>
        <v>4621</v>
      </c>
      <c r="N26" s="421">
        <f t="shared" si="21"/>
        <v>-105</v>
      </c>
      <c r="AA26" s="442" t="s">
        <v>279</v>
      </c>
      <c r="AB26" s="442"/>
      <c r="AC26" s="442"/>
      <c r="AG26" s="446">
        <f>+(AD23/T23-1)*100</f>
        <v>7.4110754638024856</v>
      </c>
      <c r="AL26" s="423" t="s">
        <v>19</v>
      </c>
      <c r="AM26" s="433">
        <f t="shared" si="0"/>
        <v>5030</v>
      </c>
      <c r="AN26" s="433">
        <f t="shared" si="1"/>
        <v>6058</v>
      </c>
      <c r="AO26" s="446">
        <f t="shared" si="2"/>
        <v>1.7419129182062798</v>
      </c>
      <c r="AP26" s="446">
        <f t="shared" si="3"/>
        <v>1.7921698330897622</v>
      </c>
      <c r="AQ26" s="436">
        <f t="shared" si="4"/>
        <v>13</v>
      </c>
      <c r="AR26" s="436">
        <f t="shared" si="5"/>
        <v>13</v>
      </c>
      <c r="AS26" s="423" t="s">
        <v>19</v>
      </c>
      <c r="AT26" s="433">
        <f t="shared" si="6"/>
        <v>44873</v>
      </c>
      <c r="AU26" s="433">
        <f t="shared" si="7"/>
        <v>42150</v>
      </c>
      <c r="AV26" s="446">
        <f t="shared" si="8"/>
        <v>1.2658270697371334</v>
      </c>
      <c r="AW26" s="446">
        <f t="shared" si="9"/>
        <v>1.256657452172482</v>
      </c>
      <c r="AX26" s="436">
        <f t="shared" si="10"/>
        <v>14</v>
      </c>
      <c r="AY26" s="436">
        <f t="shared" si="11"/>
        <v>13</v>
      </c>
      <c r="AZ26" s="423" t="s">
        <v>19</v>
      </c>
      <c r="BA26" s="434">
        <f t="shared" si="12"/>
        <v>1125.55</v>
      </c>
      <c r="BB26" s="434">
        <f t="shared" si="13"/>
        <v>1371.98</v>
      </c>
      <c r="BC26" s="446">
        <f t="shared" si="14"/>
        <v>-14.011887299841097</v>
      </c>
      <c r="BD26" s="446">
        <f t="shared" si="15"/>
        <v>-13.316695624703833</v>
      </c>
      <c r="BE26" s="436">
        <f t="shared" si="16"/>
        <v>8</v>
      </c>
      <c r="BF26" s="436">
        <f t="shared" si="17"/>
        <v>8</v>
      </c>
      <c r="BG26" s="434">
        <f t="shared" si="18"/>
        <v>-183.41000000000008</v>
      </c>
      <c r="BH26" s="434">
        <f t="shared" si="19"/>
        <v>-210.76999999999998</v>
      </c>
      <c r="CO26" s="426"/>
      <c r="CT26" s="426"/>
    </row>
    <row r="27" spans="1:102">
      <c r="B27" s="423" t="str">
        <f>+'q3'!$A$11</f>
        <v>Coimbra</v>
      </c>
      <c r="C27" s="421">
        <f>+'q3'!$B$11</f>
        <v>10077</v>
      </c>
      <c r="D27" s="421">
        <f>+'q3'!$C$11</f>
        <v>10100</v>
      </c>
      <c r="E27" s="421">
        <f>+'q3'!$D$11</f>
        <v>10154</v>
      </c>
      <c r="F27" s="421">
        <f>+'q3'!$E$11</f>
        <v>10202</v>
      </c>
      <c r="G27" s="421">
        <f>+'q3'!$F$11</f>
        <v>10207</v>
      </c>
      <c r="H27" s="421">
        <f>+'q3'!$G$11</f>
        <v>9886</v>
      </c>
      <c r="I27" s="421">
        <f>+'q3'!$H$11</f>
        <v>9993</v>
      </c>
      <c r="J27" s="421">
        <f>+'q3'!$I$11</f>
        <v>9818</v>
      </c>
      <c r="K27" s="421">
        <f>+'q3'!$J$11</f>
        <v>10273</v>
      </c>
      <c r="L27" s="421">
        <f>+'q3'!$K$11</f>
        <v>10326</v>
      </c>
      <c r="M27" s="421">
        <f>+'q3'!$L$11</f>
        <v>10168</v>
      </c>
      <c r="N27" s="421">
        <f t="shared" si="21"/>
        <v>91</v>
      </c>
      <c r="AL27" s="423" t="s">
        <v>20</v>
      </c>
      <c r="AM27" s="433">
        <f t="shared" si="0"/>
        <v>18174</v>
      </c>
      <c r="AN27" s="433">
        <f t="shared" si="1"/>
        <v>21959</v>
      </c>
      <c r="AO27" s="446">
        <f t="shared" si="2"/>
        <v>6.2937426193799064</v>
      </c>
      <c r="AP27" s="446">
        <f t="shared" si="3"/>
        <v>6.4962458509108769</v>
      </c>
      <c r="AQ27" s="436">
        <f t="shared" si="4"/>
        <v>5</v>
      </c>
      <c r="AR27" s="436">
        <f t="shared" si="5"/>
        <v>5</v>
      </c>
      <c r="AS27" s="423" t="s">
        <v>20</v>
      </c>
      <c r="AT27" s="433">
        <f t="shared" si="6"/>
        <v>184099</v>
      </c>
      <c r="AU27" s="433">
        <f t="shared" si="7"/>
        <v>172373</v>
      </c>
      <c r="AV27" s="446">
        <f t="shared" si="8"/>
        <v>5.1932676155268549</v>
      </c>
      <c r="AW27" s="446">
        <f t="shared" si="9"/>
        <v>5.1391177936732442</v>
      </c>
      <c r="AX27" s="436">
        <f t="shared" si="10"/>
        <v>6</v>
      </c>
      <c r="AY27" s="436">
        <f t="shared" si="11"/>
        <v>6</v>
      </c>
      <c r="AZ27" s="423" t="s">
        <v>20</v>
      </c>
      <c r="BA27" s="434">
        <f t="shared" si="12"/>
        <v>1095.01</v>
      </c>
      <c r="BB27" s="434">
        <f t="shared" si="13"/>
        <v>1320.22</v>
      </c>
      <c r="BC27" s="446">
        <f t="shared" si="14"/>
        <v>-16.345037281505938</v>
      </c>
      <c r="BD27" s="446">
        <f t="shared" si="15"/>
        <v>-16.586953087979783</v>
      </c>
      <c r="BE27" s="436">
        <f t="shared" si="16"/>
        <v>11</v>
      </c>
      <c r="BF27" s="436">
        <f t="shared" si="17"/>
        <v>12</v>
      </c>
      <c r="BG27" s="434">
        <f t="shared" si="18"/>
        <v>-213.95000000000005</v>
      </c>
      <c r="BH27" s="434">
        <f t="shared" si="19"/>
        <v>-262.52999999999997</v>
      </c>
      <c r="CO27" s="426"/>
      <c r="CT27" s="426"/>
    </row>
    <row r="28" spans="1:102">
      <c r="B28" s="423" t="str">
        <f>+'q3'!$A$12</f>
        <v>Évora</v>
      </c>
      <c r="C28" s="421">
        <f>+'q3'!$B$12</f>
        <v>5026</v>
      </c>
      <c r="D28" s="421">
        <f>+'q3'!$C$12</f>
        <v>5065</v>
      </c>
      <c r="E28" s="421">
        <f>+'q3'!$D$12</f>
        <v>5038</v>
      </c>
      <c r="F28" s="421">
        <f>+'q3'!$E$12</f>
        <v>5034</v>
      </c>
      <c r="G28" s="421">
        <f>+'q3'!$F$12</f>
        <v>4966</v>
      </c>
      <c r="H28" s="421">
        <f>+'q3'!$G$12</f>
        <v>4869</v>
      </c>
      <c r="I28" s="421">
        <f>+'q3'!$H$12</f>
        <v>4904</v>
      </c>
      <c r="J28" s="421">
        <f>+'q3'!$I$12</f>
        <v>4640</v>
      </c>
      <c r="K28" s="421">
        <f>+'q3'!$J$12</f>
        <v>5048</v>
      </c>
      <c r="L28" s="421">
        <f>+'q3'!$K$12</f>
        <v>5107</v>
      </c>
      <c r="M28" s="421">
        <f>+'q3'!$L$12</f>
        <v>5030</v>
      </c>
      <c r="N28" s="421">
        <f t="shared" si="21"/>
        <v>4</v>
      </c>
      <c r="AA28" s="421">
        <f>+AD21</f>
        <v>2024</v>
      </c>
      <c r="AB28" s="421" t="s">
        <v>398</v>
      </c>
      <c r="AC28" s="421" t="s">
        <v>404</v>
      </c>
      <c r="AL28" s="423" t="s">
        <v>21</v>
      </c>
      <c r="AM28" s="433">
        <f t="shared" si="0"/>
        <v>4165</v>
      </c>
      <c r="AN28" s="433">
        <f t="shared" si="1"/>
        <v>4818</v>
      </c>
      <c r="AO28" s="446">
        <f t="shared" si="2"/>
        <v>1.4423593050356174</v>
      </c>
      <c r="AP28" s="446">
        <f t="shared" si="3"/>
        <v>1.4253341458941029</v>
      </c>
      <c r="AQ28" s="436">
        <f t="shared" si="4"/>
        <v>16</v>
      </c>
      <c r="AR28" s="436">
        <f t="shared" si="5"/>
        <v>16</v>
      </c>
      <c r="AS28" s="423" t="s">
        <v>21</v>
      </c>
      <c r="AT28" s="433">
        <f t="shared" si="6"/>
        <v>33014</v>
      </c>
      <c r="AU28" s="433">
        <f t="shared" si="7"/>
        <v>30941</v>
      </c>
      <c r="AV28" s="446">
        <f t="shared" si="8"/>
        <v>0.93129531968670975</v>
      </c>
      <c r="AW28" s="446">
        <f t="shared" si="9"/>
        <v>0.92247303031242622</v>
      </c>
      <c r="AX28" s="436">
        <f t="shared" si="10"/>
        <v>16</v>
      </c>
      <c r="AY28" s="436">
        <f t="shared" si="11"/>
        <v>16</v>
      </c>
      <c r="AZ28" s="423" t="s">
        <v>21</v>
      </c>
      <c r="BA28" s="434">
        <f t="shared" si="12"/>
        <v>1045.71</v>
      </c>
      <c r="BB28" s="434">
        <f t="shared" si="13"/>
        <v>1289.44</v>
      </c>
      <c r="BC28" s="446">
        <f t="shared" si="14"/>
        <v>-20.111386138613863</v>
      </c>
      <c r="BD28" s="446">
        <f t="shared" si="15"/>
        <v>-18.531669562470377</v>
      </c>
      <c r="BE28" s="436">
        <f t="shared" si="16"/>
        <v>17</v>
      </c>
      <c r="BF28" s="436">
        <f t="shared" si="17"/>
        <v>15</v>
      </c>
      <c r="BG28" s="434">
        <f t="shared" si="18"/>
        <v>-263.25</v>
      </c>
      <c r="BH28" s="434">
        <f t="shared" si="19"/>
        <v>-293.30999999999995</v>
      </c>
      <c r="BX28" s="436"/>
      <c r="CC28" s="436"/>
      <c r="CH28" s="436"/>
      <c r="CM28" s="436"/>
      <c r="CO28" s="426"/>
      <c r="CR28" s="436"/>
      <c r="CT28" s="426"/>
    </row>
    <row r="29" spans="1:102" ht="12.95" customHeight="1">
      <c r="B29" s="423" t="str">
        <f>+'q3'!$A$13</f>
        <v>Faro</v>
      </c>
      <c r="C29" s="421">
        <f>+'q3'!$B$13</f>
        <v>15485</v>
      </c>
      <c r="D29" s="421">
        <f>+'q3'!$C$13</f>
        <v>15831</v>
      </c>
      <c r="E29" s="421">
        <f>+'q3'!$D$13</f>
        <v>16300</v>
      </c>
      <c r="F29" s="421">
        <f>+'q3'!$E$13</f>
        <v>16481</v>
      </c>
      <c r="G29" s="421">
        <f>+'q3'!$F$13</f>
        <v>17081</v>
      </c>
      <c r="H29" s="421">
        <f>+'q3'!$G$13</f>
        <v>17191</v>
      </c>
      <c r="I29" s="421">
        <f>+'q3'!$H$13</f>
        <v>16775</v>
      </c>
      <c r="J29" s="421">
        <f>+'q3'!$I$13</f>
        <v>16329</v>
      </c>
      <c r="K29" s="421">
        <f>+'q3'!$J$13</f>
        <v>17066</v>
      </c>
      <c r="L29" s="421">
        <f>+'q3'!$K$13</f>
        <v>18237</v>
      </c>
      <c r="M29" s="421">
        <f>+'q3'!$L$13</f>
        <v>18174</v>
      </c>
      <c r="N29" s="421">
        <f t="shared" si="21"/>
        <v>2689</v>
      </c>
      <c r="AA29" s="421" t="s">
        <v>274</v>
      </c>
      <c r="AB29" s="421" t="str">
        <f>+S20</f>
        <v>Lisboa</v>
      </c>
      <c r="AE29" s="447"/>
      <c r="AF29" s="447"/>
      <c r="AG29" s="447"/>
      <c r="AH29" s="447"/>
      <c r="AL29" s="423" t="s">
        <v>22</v>
      </c>
      <c r="AM29" s="433">
        <f t="shared" si="0"/>
        <v>16047</v>
      </c>
      <c r="AN29" s="433">
        <f t="shared" si="1"/>
        <v>18700</v>
      </c>
      <c r="AO29" s="446">
        <f t="shared" si="2"/>
        <v>5.5571524052596768</v>
      </c>
      <c r="AP29" s="446">
        <f t="shared" si="3"/>
        <v>5.5321188310958327</v>
      </c>
      <c r="AQ29" s="436">
        <f t="shared" si="4"/>
        <v>7</v>
      </c>
      <c r="AR29" s="436">
        <f t="shared" si="5"/>
        <v>7</v>
      </c>
      <c r="AS29" s="423" t="s">
        <v>22</v>
      </c>
      <c r="AT29" s="433">
        <f t="shared" si="6"/>
        <v>165799</v>
      </c>
      <c r="AU29" s="433">
        <f t="shared" si="7"/>
        <v>154444</v>
      </c>
      <c r="AV29" s="446">
        <f t="shared" si="8"/>
        <v>4.6770410343713813</v>
      </c>
      <c r="AW29" s="446">
        <f t="shared" si="9"/>
        <v>4.6045837139579309</v>
      </c>
      <c r="AX29" s="436">
        <f t="shared" si="10"/>
        <v>7</v>
      </c>
      <c r="AY29" s="436">
        <f t="shared" si="11"/>
        <v>7</v>
      </c>
      <c r="AZ29" s="423" t="s">
        <v>22</v>
      </c>
      <c r="BA29" s="434">
        <f t="shared" si="12"/>
        <v>1144.0999999999999</v>
      </c>
      <c r="BB29" s="434">
        <f t="shared" si="13"/>
        <v>1392.79</v>
      </c>
      <c r="BC29" s="446">
        <f t="shared" si="14"/>
        <v>-12.59473169539177</v>
      </c>
      <c r="BD29" s="446">
        <f t="shared" si="15"/>
        <v>-12.001895435160325</v>
      </c>
      <c r="BE29" s="436">
        <f t="shared" si="16"/>
        <v>7</v>
      </c>
      <c r="BF29" s="436">
        <f t="shared" si="17"/>
        <v>6</v>
      </c>
      <c r="BG29" s="434">
        <f t="shared" si="18"/>
        <v>-164.86000000000013</v>
      </c>
      <c r="BH29" s="434">
        <f t="shared" si="19"/>
        <v>-189.96000000000004</v>
      </c>
      <c r="CO29" s="426"/>
      <c r="CT29" s="426"/>
    </row>
    <row r="30" spans="1:102">
      <c r="B30" s="423" t="str">
        <f>+'q3'!$A$14</f>
        <v>Guarda</v>
      </c>
      <c r="C30" s="421">
        <f>+'q3'!$B$14</f>
        <v>4352</v>
      </c>
      <c r="D30" s="421">
        <f>+'q3'!$C$14</f>
        <v>4323</v>
      </c>
      <c r="E30" s="421">
        <f>+'q3'!$D$14</f>
        <v>4348</v>
      </c>
      <c r="F30" s="421">
        <f>+'q3'!$E$14</f>
        <v>4380</v>
      </c>
      <c r="G30" s="421">
        <f>+'q3'!$F$14</f>
        <v>4347</v>
      </c>
      <c r="H30" s="421">
        <f>+'q3'!$G$14</f>
        <v>4183</v>
      </c>
      <c r="I30" s="421">
        <f>+'q3'!$H$14</f>
        <v>4178</v>
      </c>
      <c r="J30" s="421">
        <f>+'q3'!$I$14</f>
        <v>4076</v>
      </c>
      <c r="K30" s="421">
        <f>+'q3'!$J$14</f>
        <v>4127</v>
      </c>
      <c r="L30" s="421">
        <f>+'q3'!$K$14</f>
        <v>4169</v>
      </c>
      <c r="M30" s="421">
        <f>+'q3'!$L$14</f>
        <v>4165</v>
      </c>
      <c r="N30" s="421">
        <f t="shared" si="21"/>
        <v>-187</v>
      </c>
      <c r="AA30" s="421" t="s">
        <v>405</v>
      </c>
      <c r="AE30" s="447"/>
      <c r="AF30" s="447"/>
      <c r="AG30" s="447"/>
      <c r="AH30" s="447"/>
      <c r="AL30" s="423" t="s">
        <v>23</v>
      </c>
      <c r="AM30" s="433">
        <f t="shared" si="0"/>
        <v>65461</v>
      </c>
      <c r="AN30" s="433">
        <f t="shared" si="1"/>
        <v>77003</v>
      </c>
      <c r="AO30" s="446">
        <f t="shared" si="2"/>
        <v>22.669455574294492</v>
      </c>
      <c r="AP30" s="446">
        <f t="shared" si="3"/>
        <v>22.780200339618844</v>
      </c>
      <c r="AQ30" s="436">
        <f t="shared" si="4"/>
        <v>1</v>
      </c>
      <c r="AR30" s="436">
        <f t="shared" si="5"/>
        <v>1</v>
      </c>
      <c r="AS30" s="423" t="s">
        <v>23</v>
      </c>
      <c r="AT30" s="433">
        <f t="shared" si="6"/>
        <v>1068615</v>
      </c>
      <c r="AU30" s="433">
        <f t="shared" si="7"/>
        <v>1024115</v>
      </c>
      <c r="AV30" s="446">
        <f t="shared" si="8"/>
        <v>30.144670383686112</v>
      </c>
      <c r="AW30" s="446">
        <f t="shared" si="9"/>
        <v>30.532900275957804</v>
      </c>
      <c r="AX30" s="436">
        <f t="shared" si="10"/>
        <v>1</v>
      </c>
      <c r="AY30" s="436">
        <f t="shared" si="11"/>
        <v>1</v>
      </c>
      <c r="AZ30" s="423" t="s">
        <v>23</v>
      </c>
      <c r="BA30" s="434">
        <f t="shared" si="12"/>
        <v>1567.76</v>
      </c>
      <c r="BB30" s="434">
        <f t="shared" si="13"/>
        <v>1896.51</v>
      </c>
      <c r="BC30" s="446">
        <f t="shared" si="14"/>
        <v>19.7714215866031</v>
      </c>
      <c r="BD30" s="446">
        <f t="shared" si="15"/>
        <v>19.823724530090026</v>
      </c>
      <c r="BE30" s="436">
        <f t="shared" si="16"/>
        <v>1</v>
      </c>
      <c r="BF30" s="436">
        <f t="shared" si="17"/>
        <v>1</v>
      </c>
      <c r="BG30" s="434">
        <f t="shared" si="18"/>
        <v>258.79999999999995</v>
      </c>
      <c r="BH30" s="434">
        <f t="shared" si="19"/>
        <v>313.76</v>
      </c>
      <c r="CO30" s="426"/>
      <c r="CP30" s="426"/>
      <c r="CT30" s="426"/>
      <c r="CU30" s="426"/>
      <c r="CV30" s="426"/>
      <c r="CW30" s="426"/>
      <c r="CX30" s="426"/>
    </row>
    <row r="31" spans="1:102">
      <c r="B31" s="423" t="str">
        <f>+'q3'!$A$15</f>
        <v>Leiria</v>
      </c>
      <c r="C31" s="421">
        <f>+'q3'!$B$15</f>
        <v>15521</v>
      </c>
      <c r="D31" s="421">
        <f>+'q3'!$C$15</f>
        <v>15665</v>
      </c>
      <c r="E31" s="421">
        <f>+'q3'!$D$15</f>
        <v>15801</v>
      </c>
      <c r="F31" s="421">
        <f>+'q3'!$E$15</f>
        <v>15981</v>
      </c>
      <c r="G31" s="421">
        <f>+'q3'!$F$15</f>
        <v>15931</v>
      </c>
      <c r="H31" s="421">
        <f>+'q3'!$G$15</f>
        <v>15567</v>
      </c>
      <c r="I31" s="421">
        <f>+'q3'!$H$15</f>
        <v>15528</v>
      </c>
      <c r="J31" s="421">
        <f>+'q3'!$I$15</f>
        <v>15232</v>
      </c>
      <c r="K31" s="421">
        <f>+'q3'!$J$15</f>
        <v>15824</v>
      </c>
      <c r="L31" s="421">
        <f>+'q3'!$K$15</f>
        <v>16175</v>
      </c>
      <c r="M31" s="421">
        <f>+'q3'!$L$15</f>
        <v>16047</v>
      </c>
      <c r="N31" s="421">
        <f t="shared" si="21"/>
        <v>526</v>
      </c>
      <c r="AA31" s="421" t="s">
        <v>282</v>
      </c>
      <c r="AB31" s="443" t="str">
        <f>+AE22</f>
        <v>65.461</v>
      </c>
      <c r="AE31" s="447"/>
      <c r="AF31" s="447"/>
      <c r="AG31" s="447"/>
      <c r="AH31" s="447"/>
      <c r="AL31" s="423" t="s">
        <v>24</v>
      </c>
      <c r="AM31" s="433">
        <f t="shared" si="0"/>
        <v>2787</v>
      </c>
      <c r="AN31" s="433">
        <f t="shared" si="1"/>
        <v>3351</v>
      </c>
      <c r="AO31" s="446">
        <f t="shared" si="2"/>
        <v>0.96515135249322115</v>
      </c>
      <c r="AP31" s="446">
        <f t="shared" si="3"/>
        <v>0.99134386112310879</v>
      </c>
      <c r="AQ31" s="436">
        <f t="shared" si="4"/>
        <v>18</v>
      </c>
      <c r="AR31" s="436">
        <f t="shared" si="5"/>
        <v>18</v>
      </c>
      <c r="AS31" s="423" t="s">
        <v>24</v>
      </c>
      <c r="AT31" s="433">
        <f t="shared" si="6"/>
        <v>23830</v>
      </c>
      <c r="AU31" s="433">
        <f t="shared" si="7"/>
        <v>22423</v>
      </c>
      <c r="AV31" s="446">
        <f t="shared" si="8"/>
        <v>0.67222291961393021</v>
      </c>
      <c r="AW31" s="446">
        <f t="shared" si="9"/>
        <v>0.66851791340601574</v>
      </c>
      <c r="AX31" s="436">
        <f t="shared" si="10"/>
        <v>18</v>
      </c>
      <c r="AY31" s="436">
        <f t="shared" si="11"/>
        <v>17</v>
      </c>
      <c r="AZ31" s="423" t="s">
        <v>24</v>
      </c>
      <c r="BA31" s="434">
        <f t="shared" si="12"/>
        <v>1064.08</v>
      </c>
      <c r="BB31" s="434">
        <f t="shared" si="13"/>
        <v>1295.3599999999999</v>
      </c>
      <c r="BC31" s="446">
        <f t="shared" si="14"/>
        <v>-18.707981909302053</v>
      </c>
      <c r="BD31" s="446">
        <f t="shared" si="15"/>
        <v>-18.157637024166807</v>
      </c>
      <c r="BE31" s="436">
        <f t="shared" si="16"/>
        <v>16</v>
      </c>
      <c r="BF31" s="436">
        <f t="shared" si="17"/>
        <v>14</v>
      </c>
      <c r="BG31" s="434">
        <f t="shared" si="18"/>
        <v>-244.88000000000011</v>
      </c>
      <c r="BH31" s="434">
        <f t="shared" si="19"/>
        <v>-287.3900000000001</v>
      </c>
      <c r="BX31" s="436"/>
      <c r="CC31" s="436"/>
      <c r="CH31" s="436"/>
      <c r="CM31" s="436"/>
      <c r="CO31" s="426"/>
      <c r="CP31" s="426"/>
      <c r="CR31" s="436"/>
      <c r="CT31" s="426"/>
      <c r="CU31" s="426"/>
      <c r="CV31" s="426"/>
      <c r="CW31" s="426"/>
      <c r="CX31" s="426"/>
    </row>
    <row r="32" spans="1:102">
      <c r="B32" s="423" t="str">
        <f>+'q3'!$A$16</f>
        <v>Lisboa</v>
      </c>
      <c r="C32" s="421">
        <f>+'q3'!$B$16</f>
        <v>59911</v>
      </c>
      <c r="D32" s="421">
        <f>+'q3'!$C$16</f>
        <v>60537</v>
      </c>
      <c r="E32" s="421">
        <f>+'q3'!$D$16</f>
        <v>60939</v>
      </c>
      <c r="F32" s="421">
        <f>+'q3'!$E$16</f>
        <v>61816</v>
      </c>
      <c r="G32" s="421">
        <f>+'q3'!$F$16</f>
        <v>62991</v>
      </c>
      <c r="H32" s="421">
        <f>+'q3'!$G$16</f>
        <v>61257</v>
      </c>
      <c r="I32" s="421">
        <f>+'q3'!$H$16</f>
        <v>62466</v>
      </c>
      <c r="J32" s="421">
        <f>+'q3'!$I$16</f>
        <v>60609</v>
      </c>
      <c r="K32" s="421">
        <f>+'q3'!$J$16</f>
        <v>63924</v>
      </c>
      <c r="L32" s="421">
        <f>+'q3'!$K$16</f>
        <v>65753</v>
      </c>
      <c r="M32" s="421">
        <f>+'q3'!$L$16</f>
        <v>65461</v>
      </c>
      <c r="N32" s="421">
        <f t="shared" si="21"/>
        <v>5550</v>
      </c>
      <c r="AA32" s="421" t="s">
        <v>280</v>
      </c>
      <c r="AB32" s="421" t="s">
        <v>733</v>
      </c>
      <c r="AE32" s="447"/>
      <c r="AF32" s="447"/>
      <c r="AG32" s="447"/>
      <c r="AH32" s="447"/>
      <c r="AL32" s="423" t="s">
        <v>25</v>
      </c>
      <c r="AM32" s="433">
        <f t="shared" si="0"/>
        <v>53824</v>
      </c>
      <c r="AN32" s="433">
        <f t="shared" si="1"/>
        <v>62369</v>
      </c>
      <c r="AO32" s="446">
        <f t="shared" si="2"/>
        <v>18.639507139072524</v>
      </c>
      <c r="AP32" s="446">
        <f t="shared" si="3"/>
        <v>18.450947560246846</v>
      </c>
      <c r="AQ32" s="436">
        <f t="shared" si="4"/>
        <v>2</v>
      </c>
      <c r="AR32" s="436">
        <f t="shared" si="5"/>
        <v>2</v>
      </c>
      <c r="AS32" s="423" t="s">
        <v>25</v>
      </c>
      <c r="AT32" s="433">
        <f t="shared" si="6"/>
        <v>685481</v>
      </c>
      <c r="AU32" s="433">
        <f t="shared" si="7"/>
        <v>649672</v>
      </c>
      <c r="AV32" s="446">
        <f t="shared" si="8"/>
        <v>19.33680399328059</v>
      </c>
      <c r="AW32" s="446">
        <f t="shared" si="9"/>
        <v>19.369280196151855</v>
      </c>
      <c r="AX32" s="436">
        <f t="shared" si="10"/>
        <v>2</v>
      </c>
      <c r="AY32" s="436">
        <f t="shared" si="11"/>
        <v>2</v>
      </c>
      <c r="AZ32" s="423" t="s">
        <v>25</v>
      </c>
      <c r="BA32" s="434">
        <f t="shared" si="12"/>
        <v>1321.62</v>
      </c>
      <c r="BB32" s="434">
        <f t="shared" si="13"/>
        <v>1583.93</v>
      </c>
      <c r="BC32" s="446">
        <f t="shared" si="14"/>
        <v>0.96718005133844542</v>
      </c>
      <c r="BD32" s="446">
        <f t="shared" si="15"/>
        <v>7.4553782972675009E-2</v>
      </c>
      <c r="BE32" s="436">
        <f t="shared" si="16"/>
        <v>2</v>
      </c>
      <c r="BF32" s="436">
        <f t="shared" si="17"/>
        <v>2</v>
      </c>
      <c r="BG32" s="434">
        <f t="shared" si="18"/>
        <v>12.659999999999854</v>
      </c>
      <c r="BH32" s="434">
        <f t="shared" si="19"/>
        <v>1.1800000000000637</v>
      </c>
      <c r="CO32" s="426"/>
      <c r="CP32" s="426"/>
      <c r="CT32" s="426"/>
      <c r="CU32" s="426"/>
      <c r="CV32" s="426"/>
      <c r="CW32" s="426"/>
      <c r="CX32" s="426"/>
    </row>
    <row r="33" spans="1:102">
      <c r="B33" s="423" t="str">
        <f>+'q3'!$A$17</f>
        <v>Portalegre</v>
      </c>
      <c r="C33" s="421">
        <f>+'q3'!$B$17</f>
        <v>2917</v>
      </c>
      <c r="D33" s="421">
        <f>+'q3'!$C$17</f>
        <v>2906</v>
      </c>
      <c r="E33" s="421">
        <f>+'q3'!$D$17</f>
        <v>2929</v>
      </c>
      <c r="F33" s="421">
        <f>+'q3'!$E$17</f>
        <v>2901</v>
      </c>
      <c r="G33" s="421">
        <f>+'q3'!$F$17</f>
        <v>2878</v>
      </c>
      <c r="H33" s="421">
        <f>+'q3'!$G$17</f>
        <v>2783</v>
      </c>
      <c r="I33" s="421">
        <f>+'q3'!$H$17</f>
        <v>2770</v>
      </c>
      <c r="J33" s="421">
        <f>+'q3'!$I$17</f>
        <v>2634</v>
      </c>
      <c r="K33" s="421">
        <f>+'q3'!$J$17</f>
        <v>2877</v>
      </c>
      <c r="L33" s="421">
        <f>+'q3'!$K$17</f>
        <v>2865</v>
      </c>
      <c r="M33" s="421">
        <f>+'q3'!$L$17</f>
        <v>2787</v>
      </c>
      <c r="N33" s="421">
        <f t="shared" si="21"/>
        <v>-130</v>
      </c>
      <c r="AA33" s="421" t="s">
        <v>283</v>
      </c>
      <c r="AB33" s="446">
        <f>(ROUND(AG25,1))</f>
        <v>9.3000000000000007</v>
      </c>
      <c r="AC33" s="421" t="str">
        <f>+TEXT(AB33,"##.##0,0")</f>
        <v>9,3</v>
      </c>
      <c r="AE33" s="447"/>
      <c r="AF33" s="447"/>
      <c r="AG33" s="447"/>
      <c r="AH33" s="447"/>
      <c r="AL33" s="423" t="s">
        <v>26</v>
      </c>
      <c r="AM33" s="433">
        <f t="shared" si="0"/>
        <v>11741</v>
      </c>
      <c r="AN33" s="433">
        <f t="shared" si="1"/>
        <v>13985</v>
      </c>
      <c r="AO33" s="446">
        <f t="shared" si="2"/>
        <v>4.065964129753465</v>
      </c>
      <c r="AP33" s="446">
        <f t="shared" si="3"/>
        <v>4.137255714057499</v>
      </c>
      <c r="AQ33" s="436">
        <f t="shared" si="4"/>
        <v>8</v>
      </c>
      <c r="AR33" s="436">
        <f t="shared" si="5"/>
        <v>8</v>
      </c>
      <c r="AS33" s="423" t="s">
        <v>26</v>
      </c>
      <c r="AT33" s="433">
        <f t="shared" si="6"/>
        <v>122205</v>
      </c>
      <c r="AU33" s="433">
        <f t="shared" si="7"/>
        <v>114293</v>
      </c>
      <c r="AV33" s="446">
        <f t="shared" si="8"/>
        <v>3.4472934071095405</v>
      </c>
      <c r="AW33" s="446">
        <f t="shared" si="9"/>
        <v>3.4075243222099525</v>
      </c>
      <c r="AX33" s="436">
        <f t="shared" si="10"/>
        <v>8</v>
      </c>
      <c r="AY33" s="436">
        <f t="shared" si="11"/>
        <v>8</v>
      </c>
      <c r="AZ33" s="423" t="s">
        <v>26</v>
      </c>
      <c r="BA33" s="434">
        <f t="shared" si="12"/>
        <v>1107.74</v>
      </c>
      <c r="BB33" s="434">
        <f t="shared" si="13"/>
        <v>1369.46</v>
      </c>
      <c r="BC33" s="446">
        <f t="shared" si="14"/>
        <v>-15.372509473169538</v>
      </c>
      <c r="BD33" s="446">
        <f t="shared" si="15"/>
        <v>-13.475912178170901</v>
      </c>
      <c r="BE33" s="436">
        <f t="shared" si="16"/>
        <v>9</v>
      </c>
      <c r="BF33" s="436">
        <f t="shared" si="17"/>
        <v>9</v>
      </c>
      <c r="BG33" s="434">
        <f t="shared" si="18"/>
        <v>-201.22000000000003</v>
      </c>
      <c r="BH33" s="434">
        <f t="shared" si="19"/>
        <v>-213.28999999999996</v>
      </c>
      <c r="CO33" s="426"/>
      <c r="CT33" s="426"/>
    </row>
    <row r="34" spans="1:102">
      <c r="B34" s="423" t="str">
        <f>+'q3'!$A$18</f>
        <v>Porto</v>
      </c>
      <c r="C34" s="421">
        <f>+'q3'!$B$18</f>
        <v>50528</v>
      </c>
      <c r="D34" s="421">
        <f>+'q3'!$C$18</f>
        <v>51144</v>
      </c>
      <c r="E34" s="421">
        <f>+'q3'!$D$18</f>
        <v>51885</v>
      </c>
      <c r="F34" s="421">
        <f>+'q3'!$E$18</f>
        <v>52500</v>
      </c>
      <c r="G34" s="421">
        <f>+'q3'!$F$18</f>
        <v>53324</v>
      </c>
      <c r="H34" s="421">
        <f>+'q3'!$G$18</f>
        <v>52245</v>
      </c>
      <c r="I34" s="421">
        <f>+'q3'!$H$18</f>
        <v>52499</v>
      </c>
      <c r="J34" s="421">
        <f>+'q3'!$I$18</f>
        <v>51434</v>
      </c>
      <c r="K34" s="421">
        <f>+'q3'!$J$18</f>
        <v>53630</v>
      </c>
      <c r="L34" s="421">
        <f>+'q3'!$K$18</f>
        <v>54733</v>
      </c>
      <c r="M34" s="421">
        <f>+'q3'!$L$18</f>
        <v>53824</v>
      </c>
      <c r="N34" s="421">
        <f t="shared" si="21"/>
        <v>3296</v>
      </c>
      <c r="AA34" s="421" t="s">
        <v>285</v>
      </c>
      <c r="AB34" s="421" t="s">
        <v>897</v>
      </c>
      <c r="AC34" s="421" t="s">
        <v>734</v>
      </c>
      <c r="AE34" s="447"/>
      <c r="AF34" s="447"/>
      <c r="AG34" s="447"/>
      <c r="AH34" s="447"/>
      <c r="AL34" s="423" t="s">
        <v>27</v>
      </c>
      <c r="AM34" s="433">
        <f t="shared" si="0"/>
        <v>16745</v>
      </c>
      <c r="AN34" s="433">
        <f t="shared" si="1"/>
        <v>20414</v>
      </c>
      <c r="AO34" s="446">
        <f t="shared" si="2"/>
        <v>5.7988731243268701</v>
      </c>
      <c r="AP34" s="446">
        <f t="shared" si="3"/>
        <v>6.0391804180743494</v>
      </c>
      <c r="AQ34" s="436">
        <f t="shared" si="4"/>
        <v>6</v>
      </c>
      <c r="AR34" s="436">
        <f t="shared" si="5"/>
        <v>6</v>
      </c>
      <c r="AS34" s="423" t="s">
        <v>27</v>
      </c>
      <c r="AT34" s="433">
        <f t="shared" si="6"/>
        <v>198848</v>
      </c>
      <c r="AU34" s="433">
        <f t="shared" si="7"/>
        <v>187786</v>
      </c>
      <c r="AV34" s="446">
        <f t="shared" si="8"/>
        <v>5.6093236726559299</v>
      </c>
      <c r="AW34" s="446">
        <f t="shared" si="9"/>
        <v>5.598640007441559</v>
      </c>
      <c r="AX34" s="436">
        <f t="shared" si="10"/>
        <v>5</v>
      </c>
      <c r="AY34" s="436">
        <f t="shared" si="11"/>
        <v>5</v>
      </c>
      <c r="AZ34" s="423" t="s">
        <v>27</v>
      </c>
      <c r="BA34" s="434">
        <f t="shared" si="12"/>
        <v>1278.47</v>
      </c>
      <c r="BB34" s="434">
        <f t="shared" si="13"/>
        <v>1560.37</v>
      </c>
      <c r="BC34" s="446">
        <f t="shared" si="14"/>
        <v>-2.3293301552377521</v>
      </c>
      <c r="BD34" s="446">
        <f t="shared" si="15"/>
        <v>-1.4139946296003902</v>
      </c>
      <c r="BE34" s="436">
        <f t="shared" si="16"/>
        <v>3</v>
      </c>
      <c r="BF34" s="436">
        <f t="shared" si="17"/>
        <v>3</v>
      </c>
      <c r="BG34" s="434">
        <f t="shared" si="18"/>
        <v>-30.490000000000009</v>
      </c>
      <c r="BH34" s="434">
        <f t="shared" si="19"/>
        <v>-22.380000000000109</v>
      </c>
      <c r="BX34" s="436"/>
      <c r="CC34" s="436"/>
      <c r="CH34" s="436"/>
      <c r="CM34" s="436"/>
      <c r="CO34" s="426"/>
      <c r="CR34" s="436"/>
      <c r="CT34" s="426"/>
    </row>
    <row r="35" spans="1:102">
      <c r="B35" s="423" t="str">
        <f>+'q3'!$A$19</f>
        <v>Santarém</v>
      </c>
      <c r="C35" s="421">
        <f>+'q3'!$B$19</f>
        <v>11954</v>
      </c>
      <c r="D35" s="421">
        <f>+'q3'!$C$19</f>
        <v>12046</v>
      </c>
      <c r="E35" s="421">
        <f>+'q3'!$D$19</f>
        <v>12047</v>
      </c>
      <c r="F35" s="421">
        <f>+'q3'!$E$19</f>
        <v>12029</v>
      </c>
      <c r="G35" s="421">
        <f>+'q3'!$F$19</f>
        <v>11936</v>
      </c>
      <c r="H35" s="421">
        <f>+'q3'!$G$19</f>
        <v>11616</v>
      </c>
      <c r="I35" s="421">
        <f>+'q3'!$H$19</f>
        <v>11534</v>
      </c>
      <c r="J35" s="421">
        <f>+'q3'!$I$19</f>
        <v>11335</v>
      </c>
      <c r="K35" s="421">
        <f>+'q3'!$J$19</f>
        <v>11687</v>
      </c>
      <c r="L35" s="421">
        <f>+'q3'!$K$19</f>
        <v>11869</v>
      </c>
      <c r="M35" s="421">
        <f>+'q3'!$L$19</f>
        <v>11741</v>
      </c>
      <c r="N35" s="421">
        <f t="shared" si="21"/>
        <v>-213</v>
      </c>
      <c r="AA35" s="421" t="s">
        <v>275</v>
      </c>
      <c r="AB35" s="421" t="str">
        <f>+AI22</f>
        <v>, mais</v>
      </c>
      <c r="AE35" s="447"/>
      <c r="AF35" s="447"/>
      <c r="AG35" s="447"/>
      <c r="AH35" s="447"/>
      <c r="AL35" s="423" t="s">
        <v>28</v>
      </c>
      <c r="AM35" s="433">
        <f t="shared" si="0"/>
        <v>7328</v>
      </c>
      <c r="AN35" s="433">
        <f t="shared" si="1"/>
        <v>8424</v>
      </c>
      <c r="AO35" s="446">
        <f t="shared" si="2"/>
        <v>2.5377212454504212</v>
      </c>
      <c r="AP35" s="446">
        <f t="shared" si="3"/>
        <v>2.4921159910776094</v>
      </c>
      <c r="AQ35" s="436">
        <f t="shared" si="4"/>
        <v>11</v>
      </c>
      <c r="AR35" s="436">
        <f t="shared" si="5"/>
        <v>11</v>
      </c>
      <c r="AS35" s="423" t="s">
        <v>28</v>
      </c>
      <c r="AT35" s="433">
        <f t="shared" si="6"/>
        <v>73222</v>
      </c>
      <c r="AU35" s="433">
        <f t="shared" si="7"/>
        <v>68763</v>
      </c>
      <c r="AV35" s="446">
        <f t="shared" si="8"/>
        <v>2.0655269248833905</v>
      </c>
      <c r="AW35" s="446">
        <f t="shared" si="9"/>
        <v>2.0500957623662246</v>
      </c>
      <c r="AX35" s="436">
        <f t="shared" si="10"/>
        <v>11</v>
      </c>
      <c r="AY35" s="436">
        <f t="shared" si="11"/>
        <v>11</v>
      </c>
      <c r="AZ35" s="423" t="s">
        <v>28</v>
      </c>
      <c r="BA35" s="434">
        <f t="shared" si="12"/>
        <v>1098.82</v>
      </c>
      <c r="BB35" s="434">
        <f t="shared" si="13"/>
        <v>1340.14</v>
      </c>
      <c r="BC35" s="446">
        <f t="shared" si="14"/>
        <v>-16.053966507761896</v>
      </c>
      <c r="BD35" s="446">
        <f t="shared" si="15"/>
        <v>-15.32838414152582</v>
      </c>
      <c r="BE35" s="436">
        <f t="shared" si="16"/>
        <v>10</v>
      </c>
      <c r="BF35" s="436">
        <f t="shared" si="17"/>
        <v>11</v>
      </c>
      <c r="BG35" s="434">
        <f t="shared" si="18"/>
        <v>-210.1400000000001</v>
      </c>
      <c r="BH35" s="434">
        <f t="shared" si="19"/>
        <v>-242.6099999999999</v>
      </c>
      <c r="CO35" s="426"/>
      <c r="CT35" s="426"/>
    </row>
    <row r="36" spans="1:102">
      <c r="B36" s="423" t="str">
        <f>+'q3'!$A$20</f>
        <v>Setúbal</v>
      </c>
      <c r="C36" s="421">
        <f>+'q3'!$B$20</f>
        <v>14912</v>
      </c>
      <c r="D36" s="421">
        <f>+'q3'!$C$20</f>
        <v>15034</v>
      </c>
      <c r="E36" s="421">
        <f>+'q3'!$D$20</f>
        <v>15272</v>
      </c>
      <c r="F36" s="421">
        <f>+'q3'!$E$20</f>
        <v>15474</v>
      </c>
      <c r="G36" s="421">
        <f>+'q3'!$F$20</f>
        <v>15628</v>
      </c>
      <c r="H36" s="421">
        <f>+'q3'!$G$20</f>
        <v>15397</v>
      </c>
      <c r="I36" s="421">
        <f>+'q3'!$H$20</f>
        <v>15843</v>
      </c>
      <c r="J36" s="421">
        <f>+'q3'!$I$20</f>
        <v>15594</v>
      </c>
      <c r="K36" s="421">
        <f>+'q3'!$J$20</f>
        <v>16564</v>
      </c>
      <c r="L36" s="421">
        <f>+'q3'!$K$20</f>
        <v>16783</v>
      </c>
      <c r="M36" s="421">
        <f>+'q3'!$L$20</f>
        <v>16745</v>
      </c>
      <c r="N36" s="421">
        <f t="shared" si="21"/>
        <v>1833</v>
      </c>
      <c r="AA36" s="421" t="s">
        <v>277</v>
      </c>
      <c r="AB36" s="443" t="str">
        <f>TEXT(AJ22,"##.###")</f>
        <v>5.550</v>
      </c>
      <c r="AE36" s="447"/>
      <c r="AF36" s="447"/>
      <c r="AG36" s="447"/>
      <c r="AH36" s="447"/>
      <c r="AL36" s="423" t="s">
        <v>29</v>
      </c>
      <c r="AM36" s="433">
        <f t="shared" si="0"/>
        <v>5212</v>
      </c>
      <c r="AN36" s="433">
        <f t="shared" si="1"/>
        <v>6174</v>
      </c>
      <c r="AO36" s="446">
        <f t="shared" si="2"/>
        <v>1.8049403836364077</v>
      </c>
      <c r="AP36" s="446">
        <f t="shared" si="3"/>
        <v>1.8264867199564532</v>
      </c>
      <c r="AQ36" s="436">
        <f t="shared" si="4"/>
        <v>12</v>
      </c>
      <c r="AR36" s="436">
        <f t="shared" si="5"/>
        <v>12</v>
      </c>
      <c r="AS36" s="423" t="s">
        <v>29</v>
      </c>
      <c r="AT36" s="433">
        <f t="shared" si="6"/>
        <v>41070</v>
      </c>
      <c r="AU36" s="433">
        <f t="shared" si="7"/>
        <v>38288</v>
      </c>
      <c r="AV36" s="446">
        <f t="shared" si="8"/>
        <v>1.1585478518062993</v>
      </c>
      <c r="AW36" s="446">
        <f t="shared" si="9"/>
        <v>1.141516026780071</v>
      </c>
      <c r="AX36" s="436">
        <f t="shared" si="10"/>
        <v>15</v>
      </c>
      <c r="AY36" s="436">
        <f t="shared" si="11"/>
        <v>15</v>
      </c>
      <c r="AZ36" s="423" t="s">
        <v>29</v>
      </c>
      <c r="BA36" s="434">
        <f t="shared" si="12"/>
        <v>1064.3399999999999</v>
      </c>
      <c r="BB36" s="434">
        <f t="shared" si="13"/>
        <v>1278.46</v>
      </c>
      <c r="BC36" s="446">
        <f t="shared" si="14"/>
        <v>-18.688118811881193</v>
      </c>
      <c r="BD36" s="446">
        <f t="shared" si="15"/>
        <v>-19.225398831148311</v>
      </c>
      <c r="BE36" s="436">
        <f t="shared" si="16"/>
        <v>15</v>
      </c>
      <c r="BF36" s="436">
        <f t="shared" si="17"/>
        <v>17</v>
      </c>
      <c r="BG36" s="434">
        <f t="shared" si="18"/>
        <v>-244.62000000000012</v>
      </c>
      <c r="BH36" s="434">
        <f t="shared" si="19"/>
        <v>-304.28999999999996</v>
      </c>
      <c r="CO36" s="426"/>
      <c r="CT36" s="426"/>
    </row>
    <row r="37" spans="1:102">
      <c r="B37" s="423" t="str">
        <f>+'q3'!$A$21</f>
        <v>Viana do Castelo</v>
      </c>
      <c r="C37" s="421">
        <f>+'q3'!$B$21</f>
        <v>7129</v>
      </c>
      <c r="D37" s="421">
        <f>+'q3'!$C$21</f>
        <v>7173</v>
      </c>
      <c r="E37" s="421">
        <f>+'q3'!$D$21</f>
        <v>7291</v>
      </c>
      <c r="F37" s="421">
        <f>+'q3'!$E$21</f>
        <v>7270</v>
      </c>
      <c r="G37" s="421">
        <f>+'q3'!$F$21</f>
        <v>7341</v>
      </c>
      <c r="H37" s="421">
        <f>+'q3'!$G$21</f>
        <v>7045</v>
      </c>
      <c r="I37" s="421">
        <f>+'q3'!$H$21</f>
        <v>7037</v>
      </c>
      <c r="J37" s="421">
        <f>+'q3'!$I$21</f>
        <v>6974</v>
      </c>
      <c r="K37" s="421">
        <f>+'q3'!$J$21</f>
        <v>7227</v>
      </c>
      <c r="L37" s="421">
        <f>+'q3'!$K$21</f>
        <v>7381</v>
      </c>
      <c r="M37" s="421">
        <f>+'q3'!$L$21</f>
        <v>7328</v>
      </c>
      <c r="N37" s="421">
        <f t="shared" si="21"/>
        <v>199</v>
      </c>
      <c r="AC37" s="421" t="s">
        <v>657</v>
      </c>
      <c r="AL37" s="423" t="s">
        <v>30</v>
      </c>
      <c r="AM37" s="433">
        <f t="shared" si="0"/>
        <v>10250</v>
      </c>
      <c r="AN37" s="433">
        <f t="shared" si="1"/>
        <v>11908</v>
      </c>
      <c r="AO37" s="446">
        <f t="shared" si="2"/>
        <v>3.5496237398835722</v>
      </c>
      <c r="AP37" s="446">
        <f t="shared" si="3"/>
        <v>3.5228059380047685</v>
      </c>
      <c r="AQ37" s="436">
        <f t="shared" si="4"/>
        <v>9</v>
      </c>
      <c r="AR37" s="436">
        <f t="shared" si="5"/>
        <v>10</v>
      </c>
      <c r="AS37" s="423" t="s">
        <v>30</v>
      </c>
      <c r="AT37" s="433">
        <f t="shared" si="6"/>
        <v>107392</v>
      </c>
      <c r="AU37" s="433">
        <f t="shared" si="7"/>
        <v>101052</v>
      </c>
      <c r="AV37" s="446">
        <f t="shared" si="8"/>
        <v>3.0294319674015608</v>
      </c>
      <c r="AW37" s="446">
        <f t="shared" si="9"/>
        <v>3.0127579799984257</v>
      </c>
      <c r="AX37" s="436">
        <f t="shared" si="10"/>
        <v>10</v>
      </c>
      <c r="AY37" s="436">
        <f t="shared" si="11"/>
        <v>10</v>
      </c>
      <c r="AZ37" s="423" t="s">
        <v>30</v>
      </c>
      <c r="BA37" s="434">
        <f t="shared" si="12"/>
        <v>1067.4100000000001</v>
      </c>
      <c r="BB37" s="434">
        <f t="shared" si="13"/>
        <v>1307.67</v>
      </c>
      <c r="BC37" s="446">
        <f t="shared" si="14"/>
        <v>-18.45358146925803</v>
      </c>
      <c r="BD37" s="446">
        <f t="shared" si="15"/>
        <v>-17.379876796714576</v>
      </c>
      <c r="BE37" s="436">
        <f t="shared" si="16"/>
        <v>13</v>
      </c>
      <c r="BF37" s="436">
        <f t="shared" si="17"/>
        <v>13</v>
      </c>
      <c r="BG37" s="434">
        <f t="shared" si="18"/>
        <v>-241.54999999999995</v>
      </c>
      <c r="BH37" s="434">
        <f t="shared" si="19"/>
        <v>-275.07999999999993</v>
      </c>
      <c r="BX37" s="436"/>
      <c r="CC37" s="436"/>
      <c r="CH37" s="436"/>
      <c r="CM37" s="436"/>
      <c r="CO37" s="426"/>
      <c r="CP37" s="426"/>
      <c r="CR37" s="436"/>
      <c r="CT37" s="426"/>
      <c r="CU37" s="426"/>
      <c r="CV37" s="426"/>
      <c r="CW37" s="426"/>
      <c r="CX37" s="426"/>
    </row>
    <row r="38" spans="1:102">
      <c r="B38" s="423" t="str">
        <f>+'q3'!$A$22</f>
        <v>Vila Real</v>
      </c>
      <c r="C38" s="421">
        <f>+'q3'!$B$22</f>
        <v>4930</v>
      </c>
      <c r="D38" s="421">
        <f>+'q3'!$C$22</f>
        <v>4976</v>
      </c>
      <c r="E38" s="421">
        <f>+'q3'!$D$22</f>
        <v>5034</v>
      </c>
      <c r="F38" s="421">
        <f>+'q3'!$E$22</f>
        <v>5076</v>
      </c>
      <c r="G38" s="421">
        <f>+'q3'!$F$22</f>
        <v>5093</v>
      </c>
      <c r="H38" s="421">
        <f>+'q3'!$G$22</f>
        <v>5005</v>
      </c>
      <c r="I38" s="421">
        <f>+'q3'!$H$22</f>
        <v>5085</v>
      </c>
      <c r="J38" s="421">
        <f>+'q3'!$I$22</f>
        <v>5019</v>
      </c>
      <c r="K38" s="421">
        <f>+'q3'!$J$22</f>
        <v>5152</v>
      </c>
      <c r="L38" s="421">
        <f>+'q3'!$K$22</f>
        <v>5186</v>
      </c>
      <c r="M38" s="421">
        <f>+'q3'!$L$22</f>
        <v>5212</v>
      </c>
      <c r="N38" s="421">
        <f t="shared" si="21"/>
        <v>282</v>
      </c>
      <c r="AA38" s="421" t="s">
        <v>286</v>
      </c>
      <c r="AB38" s="443" t="str">
        <f>+AE23</f>
        <v>77.003</v>
      </c>
      <c r="AL38" s="423" t="s">
        <v>13</v>
      </c>
      <c r="AM38" s="433">
        <f t="shared" si="0"/>
        <v>288763</v>
      </c>
      <c r="AN38" s="433">
        <f t="shared" si="1"/>
        <v>338026</v>
      </c>
      <c r="AS38" s="423" t="s">
        <v>13</v>
      </c>
      <c r="AT38" s="433">
        <f t="shared" si="6"/>
        <v>3544955</v>
      </c>
      <c r="AU38" s="433">
        <f t="shared" si="7"/>
        <v>3354136</v>
      </c>
      <c r="AV38" s="433"/>
      <c r="AW38" s="433"/>
      <c r="AZ38" s="423" t="s">
        <v>13</v>
      </c>
      <c r="BA38" s="434">
        <f t="shared" si="12"/>
        <v>1308.96</v>
      </c>
      <c r="BB38" s="434">
        <f t="shared" si="13"/>
        <v>1582.75</v>
      </c>
      <c r="CO38" s="426"/>
      <c r="CP38" s="426"/>
      <c r="CT38" s="426"/>
      <c r="CU38" s="426"/>
      <c r="CV38" s="426"/>
      <c r="CW38" s="426"/>
      <c r="CX38" s="426"/>
    </row>
    <row r="39" spans="1:102">
      <c r="B39" s="423" t="str">
        <f>+'q3'!$A$23</f>
        <v>Viseu</v>
      </c>
      <c r="C39" s="421">
        <f>+'q3'!$B$23</f>
        <v>9398</v>
      </c>
      <c r="D39" s="421">
        <f>+'q3'!$C$23</f>
        <v>9605</v>
      </c>
      <c r="E39" s="421">
        <f>+'q3'!$D$23</f>
        <v>9732</v>
      </c>
      <c r="F39" s="421">
        <f>+'q3'!$E$23</f>
        <v>9779</v>
      </c>
      <c r="G39" s="421">
        <f>+'q3'!$F$23</f>
        <v>9801</v>
      </c>
      <c r="H39" s="421">
        <f>+'q3'!$G$23</f>
        <v>9611</v>
      </c>
      <c r="I39" s="421">
        <f>+'q3'!$H$23</f>
        <v>9718</v>
      </c>
      <c r="J39" s="421">
        <f>+'q3'!$I$23</f>
        <v>9674</v>
      </c>
      <c r="K39" s="421">
        <f>+'q3'!$J$23</f>
        <v>10081</v>
      </c>
      <c r="L39" s="421">
        <f>+'q3'!$K$23</f>
        <v>10267</v>
      </c>
      <c r="M39" s="421">
        <f>+'q3'!$L$23</f>
        <v>10250</v>
      </c>
      <c r="N39" s="421">
        <f t="shared" si="21"/>
        <v>852</v>
      </c>
      <c r="AA39" s="421" t="s">
        <v>281</v>
      </c>
      <c r="AB39" s="421" t="s">
        <v>733</v>
      </c>
      <c r="CO39" s="426"/>
      <c r="CP39" s="426"/>
      <c r="CT39" s="426"/>
      <c r="CU39" s="426"/>
      <c r="CV39" s="426"/>
      <c r="CW39" s="426"/>
      <c r="CX39" s="426"/>
    </row>
    <row r="40" spans="1:102">
      <c r="B40" s="423" t="s">
        <v>13</v>
      </c>
      <c r="C40" s="421">
        <f>+'q3'!$B$5</f>
        <v>270181</v>
      </c>
      <c r="D40" s="421">
        <f>+'q3'!$C$5</f>
        <v>273060</v>
      </c>
      <c r="E40" s="421">
        <f>+'q3'!$D$5</f>
        <v>276332</v>
      </c>
      <c r="F40" s="421">
        <f>+'q3'!$E$5</f>
        <v>279191</v>
      </c>
      <c r="G40" s="421">
        <f>+'q3'!$F$5</f>
        <v>282236</v>
      </c>
      <c r="H40" s="421">
        <f>+'q3'!$G$5</f>
        <v>275751</v>
      </c>
      <c r="I40" s="421">
        <f>+'q3'!$H$5</f>
        <v>277641</v>
      </c>
      <c r="J40" s="421">
        <f>+'q3'!$I$5</f>
        <v>271806</v>
      </c>
      <c r="K40" s="421">
        <f>+'q3'!$J$5</f>
        <v>284860</v>
      </c>
      <c r="L40" s="421">
        <f>+'q3'!$K$5</f>
        <v>291252</v>
      </c>
      <c r="M40" s="421">
        <f>+'q3'!$L$5</f>
        <v>288763</v>
      </c>
      <c r="N40" s="421">
        <f t="shared" si="21"/>
        <v>18582</v>
      </c>
      <c r="AA40" s="421" t="s">
        <v>284</v>
      </c>
      <c r="AB40" s="446">
        <f>ROUND(AG26,1)</f>
        <v>7.4</v>
      </c>
      <c r="AC40" s="421" t="str">
        <f>+TEXT(AB40,"##.##0,0")</f>
        <v>7,4</v>
      </c>
      <c r="BX40" s="436"/>
      <c r="CC40" s="436"/>
      <c r="CH40" s="436"/>
      <c r="CM40" s="436"/>
      <c r="CO40" s="426"/>
      <c r="CR40" s="436"/>
      <c r="CT40" s="426"/>
    </row>
    <row r="41" spans="1:102">
      <c r="A41" s="423" t="s">
        <v>204</v>
      </c>
      <c r="C41" s="425">
        <f>+'q7'!$B$4</f>
        <v>2014</v>
      </c>
      <c r="D41" s="425">
        <f>+'q7'!$C$4</f>
        <v>2015</v>
      </c>
      <c r="E41" s="425">
        <f>+'q7'!$D$4</f>
        <v>2016</v>
      </c>
      <c r="F41" s="425">
        <f>+'q7'!$E$4</f>
        <v>2017</v>
      </c>
      <c r="G41" s="425">
        <f>+'q7'!$F$4</f>
        <v>2018</v>
      </c>
      <c r="H41" s="425">
        <f>+'q7'!$G$4</f>
        <v>2019</v>
      </c>
      <c r="I41" s="425">
        <f>+'q7'!$H$4</f>
        <v>2020</v>
      </c>
      <c r="J41" s="425">
        <f>+'q7'!$I$4</f>
        <v>2021</v>
      </c>
      <c r="K41" s="425">
        <f>+'q7'!$J$4</f>
        <v>2022</v>
      </c>
      <c r="L41" s="425">
        <f>+'q7'!$K$4</f>
        <v>2023</v>
      </c>
      <c r="M41" s="425">
        <f>+'q7'!$L$4</f>
        <v>2024</v>
      </c>
      <c r="N41" s="421">
        <f t="shared" si="21"/>
        <v>10</v>
      </c>
      <c r="AA41" s="421" t="s">
        <v>898</v>
      </c>
      <c r="AB41" s="421" t="s">
        <v>730</v>
      </c>
      <c r="CO41" s="426"/>
      <c r="CT41" s="426"/>
    </row>
    <row r="42" spans="1:102">
      <c r="B42" s="423" t="str">
        <f>+'q7'!$A$6</f>
        <v>Aveiro</v>
      </c>
      <c r="C42" s="421">
        <f>+'q7'!$B$6</f>
        <v>21970</v>
      </c>
      <c r="D42" s="421">
        <f>+'q7'!$C$6</f>
        <v>22127</v>
      </c>
      <c r="E42" s="421">
        <f>+'q7'!$D$6</f>
        <v>22400</v>
      </c>
      <c r="F42" s="421">
        <f>+'q7'!$E$6</f>
        <v>22594</v>
      </c>
      <c r="G42" s="421">
        <f>+'q7'!$F$6</f>
        <v>22863</v>
      </c>
      <c r="H42" s="421">
        <f>+'q7'!$G$6</f>
        <v>22490</v>
      </c>
      <c r="I42" s="421">
        <f>+'q7'!$H$6</f>
        <v>22462</v>
      </c>
      <c r="J42" s="421">
        <f>+'q7'!$I$6</f>
        <v>21931</v>
      </c>
      <c r="K42" s="421">
        <f>+'q7'!$J$6</f>
        <v>22628</v>
      </c>
      <c r="L42" s="421">
        <f>+'q7'!$K$6</f>
        <v>22840</v>
      </c>
      <c r="M42" s="421">
        <f>+'q7'!$L$6</f>
        <v>22673</v>
      </c>
      <c r="N42" s="421">
        <f t="shared" si="21"/>
        <v>703</v>
      </c>
      <c r="AA42" s="421" t="s">
        <v>276</v>
      </c>
      <c r="AB42" s="421" t="str">
        <f>+AI23</f>
        <v>, mais</v>
      </c>
      <c r="CO42" s="426"/>
      <c r="CT42" s="426"/>
    </row>
    <row r="43" spans="1:102">
      <c r="B43" s="423" t="str">
        <f>+'q7'!$A$7</f>
        <v>Beja</v>
      </c>
      <c r="C43" s="421">
        <f>+'q7'!$B$7</f>
        <v>4897</v>
      </c>
      <c r="D43" s="421">
        <f>+'q7'!$C$7</f>
        <v>4930</v>
      </c>
      <c r="E43" s="421">
        <f>+'q7'!$D$7</f>
        <v>5018</v>
      </c>
      <c r="F43" s="421">
        <f>+'q7'!$E$7</f>
        <v>5102</v>
      </c>
      <c r="G43" s="421">
        <f>+'q7'!$F$7</f>
        <v>5142</v>
      </c>
      <c r="H43" s="421">
        <f>+'q7'!$G$7</f>
        <v>5061</v>
      </c>
      <c r="I43" s="421">
        <f>+'q7'!$H$7</f>
        <v>5111</v>
      </c>
      <c r="J43" s="421">
        <f>+'q7'!$I$7</f>
        <v>5088</v>
      </c>
      <c r="K43" s="421">
        <f>+'q7'!$J$7</f>
        <v>5312</v>
      </c>
      <c r="L43" s="421">
        <f>+'q7'!$K$7</f>
        <v>5600</v>
      </c>
      <c r="M43" s="421">
        <f>+'q7'!$L$7</f>
        <v>5657</v>
      </c>
      <c r="N43" s="421">
        <f t="shared" si="21"/>
        <v>760</v>
      </c>
      <c r="AA43" s="421" t="s">
        <v>278</v>
      </c>
      <c r="AB43" s="443" t="str">
        <f>TEXT(AJ23,"##.###")</f>
        <v>5.313</v>
      </c>
      <c r="BX43" s="436"/>
      <c r="CC43" s="436"/>
      <c r="CH43" s="436"/>
      <c r="CM43" s="436"/>
      <c r="CO43" s="426"/>
      <c r="CR43" s="436"/>
      <c r="CT43" s="426"/>
    </row>
    <row r="44" spans="1:102">
      <c r="B44" s="423" t="str">
        <f>+'q7'!$A$8</f>
        <v>Braga</v>
      </c>
      <c r="C44" s="421">
        <f>+'q7'!$B$8</f>
        <v>29605</v>
      </c>
      <c r="D44" s="421">
        <f>+'q7'!$C$8</f>
        <v>29920</v>
      </c>
      <c r="E44" s="421">
        <f>+'q7'!$D$8</f>
        <v>30520</v>
      </c>
      <c r="F44" s="421">
        <f>+'q7'!$E$8</f>
        <v>30960</v>
      </c>
      <c r="G44" s="421">
        <f>+'q7'!$F$8</f>
        <v>31136</v>
      </c>
      <c r="H44" s="421">
        <f>+'q7'!$G$8</f>
        <v>30216</v>
      </c>
      <c r="I44" s="421">
        <f>+'q7'!$H$8</f>
        <v>30496</v>
      </c>
      <c r="J44" s="421">
        <f>+'q7'!$I$8</f>
        <v>29956</v>
      </c>
      <c r="K44" s="421">
        <f>+'q7'!$J$8</f>
        <v>31910</v>
      </c>
      <c r="L44" s="421">
        <f>+'q7'!$K$8</f>
        <v>32582</v>
      </c>
      <c r="M44" s="421">
        <f>+'q7'!$L$8</f>
        <v>32426</v>
      </c>
      <c r="N44" s="421">
        <f t="shared" si="21"/>
        <v>2821</v>
      </c>
      <c r="AC44" s="421" t="s">
        <v>397</v>
      </c>
      <c r="CO44" s="426"/>
      <c r="CT44" s="426"/>
    </row>
    <row r="45" spans="1:102">
      <c r="B45" s="423" t="str">
        <f>+'q7'!$A$9</f>
        <v>Bragança</v>
      </c>
      <c r="C45" s="421">
        <f>+'q7'!$B$9</f>
        <v>4203</v>
      </c>
      <c r="D45" s="421">
        <f>+'q7'!$C$9</f>
        <v>4211</v>
      </c>
      <c r="E45" s="421">
        <f>+'q7'!$D$9</f>
        <v>4240</v>
      </c>
      <c r="F45" s="421">
        <f>+'q7'!$E$9</f>
        <v>4267</v>
      </c>
      <c r="G45" s="421">
        <f>+'q7'!$F$9</f>
        <v>4280</v>
      </c>
      <c r="H45" s="421">
        <f>+'q7'!$G$9</f>
        <v>3997</v>
      </c>
      <c r="I45" s="421">
        <f>+'q7'!$H$9</f>
        <v>4025</v>
      </c>
      <c r="J45" s="421">
        <f>+'q7'!$I$9</f>
        <v>4148</v>
      </c>
      <c r="K45" s="421">
        <f>+'q7'!$J$9</f>
        <v>4210</v>
      </c>
      <c r="L45" s="421">
        <f>+'q7'!$K$9</f>
        <v>4314</v>
      </c>
      <c r="M45" s="421">
        <f>+'q7'!$L$9</f>
        <v>4180</v>
      </c>
      <c r="N45" s="421">
        <f t="shared" si="21"/>
        <v>-23</v>
      </c>
      <c r="CO45" s="426"/>
      <c r="CT45" s="426"/>
    </row>
    <row r="46" spans="1:102">
      <c r="B46" s="423" t="str">
        <f>+'q7'!$A$10</f>
        <v>Castelo Branco</v>
      </c>
      <c r="C46" s="421">
        <f>+'q7'!$B$10</f>
        <v>5698</v>
      </c>
      <c r="D46" s="421">
        <f>+'q7'!$C$10</f>
        <v>5686</v>
      </c>
      <c r="E46" s="421">
        <f>+'q7'!$D$10</f>
        <v>5691</v>
      </c>
      <c r="F46" s="421">
        <f>+'q7'!$E$10</f>
        <v>5612</v>
      </c>
      <c r="G46" s="421">
        <f>+'q7'!$F$10</f>
        <v>5626</v>
      </c>
      <c r="H46" s="421">
        <f>+'q7'!$G$10</f>
        <v>5451</v>
      </c>
      <c r="I46" s="421">
        <f>+'q7'!$H$10</f>
        <v>5400</v>
      </c>
      <c r="J46" s="421">
        <f>+'q7'!$I$10</f>
        <v>5369</v>
      </c>
      <c r="K46" s="421">
        <f>+'q7'!$J$10</f>
        <v>5592</v>
      </c>
      <c r="L46" s="421">
        <f>+'q7'!$K$10</f>
        <v>5606</v>
      </c>
      <c r="M46" s="421">
        <f>+'q7'!$L$10</f>
        <v>5527</v>
      </c>
      <c r="N46" s="421">
        <f t="shared" si="21"/>
        <v>-171</v>
      </c>
      <c r="AE46" s="421" t="str">
        <f>+AA28&amp;AB28&amp;CHAR(10)&amp;AC28&amp;AB29&amp;AA30&amp;AB31&amp;AA32&amp;AB32&amp;AC33&amp;AA34&amp;AB34&amp;AC34&amp;AB35&amp;" "&amp;AB36&amp;AC37&amp;AB38&amp;AA39&amp;AB39&amp;AC40&amp;AA41&amp;AB41&amp;AB42&amp;" "&amp;AB43&amp;AC44</f>
        <v>2024:
O distrito de Lisboa era a sede de 65.461 empresas (variação de 9,3% face a 2014, ou seja, mais 5.550) e era a localização de 77.003 estabelecimentos (variação de 7,4% face a 2014, ou seja, mais 5.313).</v>
      </c>
      <c r="BX46" s="436"/>
      <c r="CC46" s="436"/>
      <c r="CH46" s="436"/>
      <c r="CM46" s="436"/>
      <c r="CO46" s="426"/>
      <c r="CR46" s="436"/>
      <c r="CT46" s="426"/>
    </row>
    <row r="47" spans="1:102">
      <c r="B47" s="423" t="str">
        <f>+'q7'!$A$11</f>
        <v>Coimbra</v>
      </c>
      <c r="C47" s="421">
        <f>+'q7'!$B$11</f>
        <v>12323</v>
      </c>
      <c r="D47" s="421">
        <f>+'q7'!$C$11</f>
        <v>12342</v>
      </c>
      <c r="E47" s="421">
        <f>+'q7'!$D$11</f>
        <v>12392</v>
      </c>
      <c r="F47" s="421">
        <f>+'q7'!$E$11</f>
        <v>12407</v>
      </c>
      <c r="G47" s="421">
        <f>+'q7'!$F$11</f>
        <v>12372</v>
      </c>
      <c r="H47" s="421">
        <f>+'q7'!$G$11</f>
        <v>11967</v>
      </c>
      <c r="I47" s="421">
        <f>+'q7'!$H$11</f>
        <v>12128</v>
      </c>
      <c r="J47" s="421">
        <f>+'q7'!$I$11</f>
        <v>11961</v>
      </c>
      <c r="K47" s="421">
        <f>+'q7'!$J$11</f>
        <v>12457</v>
      </c>
      <c r="L47" s="421">
        <f>+'q7'!$K$11</f>
        <v>12571</v>
      </c>
      <c r="M47" s="421">
        <f>+'q7'!$L$11</f>
        <v>12400</v>
      </c>
      <c r="N47" s="421">
        <f t="shared" si="21"/>
        <v>77</v>
      </c>
      <c r="CO47" s="426"/>
      <c r="CT47" s="426"/>
    </row>
    <row r="48" spans="1:102">
      <c r="B48" s="423" t="str">
        <f>+'q7'!$A$12</f>
        <v>Évora</v>
      </c>
      <c r="C48" s="421">
        <f>+'q7'!$B$12</f>
        <v>6131</v>
      </c>
      <c r="D48" s="421">
        <f>+'q7'!$C$12</f>
        <v>6132</v>
      </c>
      <c r="E48" s="421">
        <f>+'q7'!$D$12</f>
        <v>6087</v>
      </c>
      <c r="F48" s="421">
        <f>+'q7'!$E$12</f>
        <v>6073</v>
      </c>
      <c r="G48" s="421">
        <f>+'q7'!$F$12</f>
        <v>6029</v>
      </c>
      <c r="H48" s="421">
        <f>+'q7'!$G$12</f>
        <v>5879</v>
      </c>
      <c r="I48" s="421">
        <f>+'q7'!$H$12</f>
        <v>5902</v>
      </c>
      <c r="J48" s="421">
        <f>+'q7'!$I$12</f>
        <v>5608</v>
      </c>
      <c r="K48" s="421">
        <f>+'q7'!$J$12</f>
        <v>6051</v>
      </c>
      <c r="L48" s="421">
        <f>+'q7'!$K$12</f>
        <v>6137</v>
      </c>
      <c r="M48" s="421">
        <f>+'q7'!$L$12</f>
        <v>6058</v>
      </c>
      <c r="N48" s="421">
        <f t="shared" si="21"/>
        <v>-73</v>
      </c>
      <c r="CO48" s="426"/>
      <c r="CT48" s="426"/>
    </row>
    <row r="49" spans="1:98">
      <c r="B49" s="423" t="str">
        <f>+'q7'!$A$13</f>
        <v>Faro</v>
      </c>
      <c r="C49" s="421">
        <f>+'q7'!$B$13</f>
        <v>19056</v>
      </c>
      <c r="D49" s="421">
        <f>+'q7'!$C$13</f>
        <v>19415</v>
      </c>
      <c r="E49" s="421">
        <f>+'q7'!$D$13</f>
        <v>19902</v>
      </c>
      <c r="F49" s="421">
        <f>+'q7'!$E$13</f>
        <v>20073</v>
      </c>
      <c r="G49" s="421">
        <f>+'q7'!$F$13</f>
        <v>20768</v>
      </c>
      <c r="H49" s="421">
        <f>+'q7'!$G$13</f>
        <v>20888</v>
      </c>
      <c r="I49" s="421">
        <f>+'q7'!$H$13</f>
        <v>20366</v>
      </c>
      <c r="J49" s="421">
        <f>+'q7'!$I$13</f>
        <v>19836</v>
      </c>
      <c r="K49" s="421">
        <f>+'q7'!$J$13</f>
        <v>20699</v>
      </c>
      <c r="L49" s="421">
        <f>+'q7'!$K$13</f>
        <v>22034</v>
      </c>
      <c r="M49" s="421">
        <f>+'q7'!$L$13</f>
        <v>21959</v>
      </c>
      <c r="N49" s="421">
        <f t="shared" si="21"/>
        <v>2903</v>
      </c>
      <c r="BX49" s="436"/>
      <c r="CC49" s="436"/>
      <c r="CH49" s="436"/>
      <c r="CM49" s="436"/>
      <c r="CO49" s="426"/>
      <c r="CR49" s="436"/>
      <c r="CT49" s="426"/>
    </row>
    <row r="50" spans="1:98">
      <c r="B50" s="423" t="str">
        <f>+'q7'!$A$14</f>
        <v>Guarda</v>
      </c>
      <c r="C50" s="421">
        <f>+'q7'!$B$14</f>
        <v>5076</v>
      </c>
      <c r="D50" s="421">
        <f>+'q7'!$C$14</f>
        <v>5042</v>
      </c>
      <c r="E50" s="421">
        <f>+'q7'!$D$14</f>
        <v>5051</v>
      </c>
      <c r="F50" s="421">
        <f>+'q7'!$E$14</f>
        <v>5078</v>
      </c>
      <c r="G50" s="421">
        <f>+'q7'!$F$14</f>
        <v>5030</v>
      </c>
      <c r="H50" s="421">
        <f>+'q7'!$G$14</f>
        <v>4836</v>
      </c>
      <c r="I50" s="421">
        <f>+'q7'!$H$14</f>
        <v>4831</v>
      </c>
      <c r="J50" s="421">
        <f>+'q7'!$I$14</f>
        <v>4694</v>
      </c>
      <c r="K50" s="421">
        <f>+'q7'!$J$14</f>
        <v>4760</v>
      </c>
      <c r="L50" s="421">
        <f>+'q7'!$K$14</f>
        <v>4814</v>
      </c>
      <c r="M50" s="421">
        <f>+'q7'!$L$14</f>
        <v>4818</v>
      </c>
      <c r="N50" s="421">
        <f t="shared" si="21"/>
        <v>-258</v>
      </c>
      <c r="CO50" s="426"/>
      <c r="CT50" s="426"/>
    </row>
    <row r="51" spans="1:98">
      <c r="B51" s="423" t="str">
        <f>+'q7'!$A$15</f>
        <v>Leiria</v>
      </c>
      <c r="C51" s="421">
        <f>+'q7'!$B$15</f>
        <v>17991</v>
      </c>
      <c r="D51" s="421">
        <f>+'q7'!$C$15</f>
        <v>18146</v>
      </c>
      <c r="E51" s="421">
        <f>+'q7'!$D$15</f>
        <v>18317</v>
      </c>
      <c r="F51" s="421">
        <f>+'q7'!$E$15</f>
        <v>18481</v>
      </c>
      <c r="G51" s="421">
        <f>+'q7'!$F$15</f>
        <v>18423</v>
      </c>
      <c r="H51" s="421">
        <f>+'q7'!$G$15</f>
        <v>18034</v>
      </c>
      <c r="I51" s="421">
        <f>+'q7'!$H$15</f>
        <v>18042</v>
      </c>
      <c r="J51" s="421">
        <f>+'q7'!$I$15</f>
        <v>17743</v>
      </c>
      <c r="K51" s="421">
        <f>+'q7'!$J$15</f>
        <v>18449</v>
      </c>
      <c r="L51" s="421">
        <f>+'q7'!$K$15</f>
        <v>18854</v>
      </c>
      <c r="M51" s="421">
        <f>+'q7'!$L$15</f>
        <v>18700</v>
      </c>
      <c r="N51" s="421">
        <f t="shared" si="21"/>
        <v>709</v>
      </c>
      <c r="CO51" s="426"/>
      <c r="CT51" s="426"/>
    </row>
    <row r="52" spans="1:98">
      <c r="B52" s="423" t="str">
        <f>+'q7'!$A$16</f>
        <v>Lisboa</v>
      </c>
      <c r="C52" s="421">
        <f>+'q7'!$B$16</f>
        <v>71690</v>
      </c>
      <c r="D52" s="421">
        <f>+'q7'!$C$16</f>
        <v>72246</v>
      </c>
      <c r="E52" s="421">
        <f>+'q7'!$D$16</f>
        <v>72756</v>
      </c>
      <c r="F52" s="421">
        <f>+'q7'!$E$16</f>
        <v>73389</v>
      </c>
      <c r="G52" s="421">
        <f>+'q7'!$F$16</f>
        <v>74689</v>
      </c>
      <c r="H52" s="421">
        <f>+'q7'!$G$16</f>
        <v>72677</v>
      </c>
      <c r="I52" s="421">
        <f>+'q7'!$H$16</f>
        <v>73809</v>
      </c>
      <c r="J52" s="421">
        <f>+'q7'!$I$16</f>
        <v>71616</v>
      </c>
      <c r="K52" s="421">
        <f>+'q7'!$J$16</f>
        <v>75266</v>
      </c>
      <c r="L52" s="421">
        <f>+'q7'!$K$16</f>
        <v>77253</v>
      </c>
      <c r="M52" s="421">
        <f>+'q7'!$L$16</f>
        <v>77003</v>
      </c>
      <c r="N52" s="421">
        <f t="shared" si="21"/>
        <v>5313</v>
      </c>
      <c r="BX52" s="436"/>
      <c r="CC52" s="436"/>
      <c r="CH52" s="436"/>
      <c r="CM52" s="436"/>
      <c r="CO52" s="426"/>
      <c r="CR52" s="436"/>
      <c r="CT52" s="426"/>
    </row>
    <row r="53" spans="1:98">
      <c r="B53" s="423" t="str">
        <f>+'q7'!$A$17</f>
        <v>Portalegre</v>
      </c>
      <c r="C53" s="421">
        <f>+'q7'!$B$17</f>
        <v>3518</v>
      </c>
      <c r="D53" s="421">
        <f>+'q7'!$C$17</f>
        <v>3504</v>
      </c>
      <c r="E53" s="421">
        <f>+'q7'!$D$17</f>
        <v>3523</v>
      </c>
      <c r="F53" s="421">
        <f>+'q7'!$E$17</f>
        <v>3473</v>
      </c>
      <c r="G53" s="421">
        <f>+'q7'!$F$17</f>
        <v>3444</v>
      </c>
      <c r="H53" s="421">
        <f>+'q7'!$G$17</f>
        <v>3298</v>
      </c>
      <c r="I53" s="421">
        <f>+'q7'!$H$17</f>
        <v>3302</v>
      </c>
      <c r="J53" s="421">
        <f>+'q7'!$I$17</f>
        <v>3192</v>
      </c>
      <c r="K53" s="421">
        <f>+'q7'!$J$17</f>
        <v>3433</v>
      </c>
      <c r="L53" s="421">
        <f>+'q7'!$K$17</f>
        <v>3430</v>
      </c>
      <c r="M53" s="421">
        <f>+'q7'!$L$17</f>
        <v>3351</v>
      </c>
      <c r="N53" s="421">
        <f t="shared" si="21"/>
        <v>-167</v>
      </c>
      <c r="CO53" s="426"/>
      <c r="CT53" s="426"/>
    </row>
    <row r="54" spans="1:98">
      <c r="B54" s="423" t="str">
        <f>+'q7'!$A$18</f>
        <v>Porto</v>
      </c>
      <c r="C54" s="421">
        <f>+'q7'!$B$18</f>
        <v>58698</v>
      </c>
      <c r="D54" s="421">
        <f>+'q7'!$C$18</f>
        <v>59308</v>
      </c>
      <c r="E54" s="421">
        <f>+'q7'!$D$18</f>
        <v>60064</v>
      </c>
      <c r="F54" s="421">
        <f>+'q7'!$E$18</f>
        <v>60629</v>
      </c>
      <c r="G54" s="421">
        <f>+'q7'!$F$18</f>
        <v>61580</v>
      </c>
      <c r="H54" s="421">
        <f>+'q7'!$G$18</f>
        <v>60330</v>
      </c>
      <c r="I54" s="421">
        <f>+'q7'!$H$18</f>
        <v>60643</v>
      </c>
      <c r="J54" s="421">
        <f>+'q7'!$I$18</f>
        <v>59433</v>
      </c>
      <c r="K54" s="421">
        <f>+'q7'!$J$18</f>
        <v>61907</v>
      </c>
      <c r="L54" s="421">
        <f>+'q7'!$K$18</f>
        <v>63252</v>
      </c>
      <c r="M54" s="421">
        <f>+'q7'!$L$18</f>
        <v>62369</v>
      </c>
      <c r="N54" s="421">
        <f t="shared" si="21"/>
        <v>3671</v>
      </c>
      <c r="BS54" s="423"/>
      <c r="BX54" s="423"/>
      <c r="CC54" s="423"/>
      <c r="CH54" s="423"/>
      <c r="CM54" s="423"/>
      <c r="CO54" s="426"/>
      <c r="CR54" s="423"/>
      <c r="CT54" s="426"/>
    </row>
    <row r="55" spans="1:98">
      <c r="B55" s="423" t="str">
        <f>+'q7'!$A$19</f>
        <v>Santarém</v>
      </c>
      <c r="C55" s="421">
        <f>+'q7'!$B$19</f>
        <v>14316</v>
      </c>
      <c r="D55" s="421">
        <f>+'q7'!$C$19</f>
        <v>14410</v>
      </c>
      <c r="E55" s="421">
        <f>+'q7'!$D$19</f>
        <v>14376</v>
      </c>
      <c r="F55" s="421">
        <f>+'q7'!$E$19</f>
        <v>14353</v>
      </c>
      <c r="G55" s="421">
        <f>+'q7'!$F$19</f>
        <v>14254</v>
      </c>
      <c r="H55" s="421">
        <f>+'q7'!$G$19</f>
        <v>13858</v>
      </c>
      <c r="I55" s="421">
        <f>+'q7'!$H$19</f>
        <v>13738</v>
      </c>
      <c r="J55" s="421">
        <f>+'q7'!$I$19</f>
        <v>13511</v>
      </c>
      <c r="K55" s="421">
        <f>+'q7'!$J$19</f>
        <v>13899</v>
      </c>
      <c r="L55" s="421">
        <f>+'q7'!$K$19</f>
        <v>14124</v>
      </c>
      <c r="M55" s="421">
        <f>+'q7'!$L$19</f>
        <v>13985</v>
      </c>
      <c r="N55" s="421">
        <f t="shared" si="21"/>
        <v>-331</v>
      </c>
      <c r="BX55" s="436"/>
      <c r="CC55" s="436"/>
      <c r="CH55" s="436"/>
      <c r="CM55" s="436"/>
      <c r="CO55" s="426"/>
      <c r="CR55" s="436"/>
      <c r="CT55" s="426"/>
    </row>
    <row r="56" spans="1:98">
      <c r="B56" s="423" t="str">
        <f>+'q7'!$A$20</f>
        <v>Setúbal</v>
      </c>
      <c r="C56" s="421">
        <f>+'q7'!$B$20</f>
        <v>18689</v>
      </c>
      <c r="D56" s="421">
        <f>+'q7'!$C$20</f>
        <v>18787</v>
      </c>
      <c r="E56" s="421">
        <f>+'q7'!$D$20</f>
        <v>18918</v>
      </c>
      <c r="F56" s="421">
        <f>+'q7'!$E$20</f>
        <v>19094</v>
      </c>
      <c r="G56" s="421">
        <f>+'q7'!$F$20</f>
        <v>19213</v>
      </c>
      <c r="H56" s="421">
        <f>+'q7'!$G$20</f>
        <v>18872</v>
      </c>
      <c r="I56" s="421">
        <f>+'q7'!$H$20</f>
        <v>19347</v>
      </c>
      <c r="J56" s="421">
        <f>+'q7'!$I$20</f>
        <v>19056</v>
      </c>
      <c r="K56" s="421">
        <f>+'q7'!$J$20</f>
        <v>20105</v>
      </c>
      <c r="L56" s="421">
        <f>+'q7'!$K$20</f>
        <v>20429</v>
      </c>
      <c r="M56" s="421">
        <f>+'q7'!$L$20</f>
        <v>20414</v>
      </c>
      <c r="N56" s="421">
        <f t="shared" si="21"/>
        <v>1725</v>
      </c>
      <c r="CO56" s="426"/>
      <c r="CT56" s="426"/>
    </row>
    <row r="57" spans="1:98">
      <c r="B57" s="423" t="str">
        <f>+'q7'!$A$21</f>
        <v>Viana do Castelo</v>
      </c>
      <c r="C57" s="421">
        <f>+'q7'!$B$21</f>
        <v>8188</v>
      </c>
      <c r="D57" s="421">
        <f>+'q7'!$C$21</f>
        <v>8233</v>
      </c>
      <c r="E57" s="421">
        <f>+'q7'!$D$21</f>
        <v>8364</v>
      </c>
      <c r="F57" s="421">
        <f>+'q7'!$E$21</f>
        <v>8315</v>
      </c>
      <c r="G57" s="421">
        <f>+'q7'!$F$21</f>
        <v>8400</v>
      </c>
      <c r="H57" s="421">
        <f>+'q7'!$G$21</f>
        <v>8045</v>
      </c>
      <c r="I57" s="421">
        <f>+'q7'!$H$21</f>
        <v>8065</v>
      </c>
      <c r="J57" s="421">
        <f>+'q7'!$I$21</f>
        <v>7974</v>
      </c>
      <c r="K57" s="421">
        <f>+'q7'!$J$21</f>
        <v>8261</v>
      </c>
      <c r="L57" s="421">
        <f>+'q7'!$K$21</f>
        <v>8480</v>
      </c>
      <c r="M57" s="421">
        <f>+'q7'!$L$21</f>
        <v>8424</v>
      </c>
      <c r="N57" s="421">
        <f t="shared" si="21"/>
        <v>236</v>
      </c>
      <c r="CO57" s="426"/>
      <c r="CT57" s="426"/>
    </row>
    <row r="58" spans="1:98">
      <c r="B58" s="423" t="str">
        <f>+'q7'!$A$22</f>
        <v>Vila Real</v>
      </c>
      <c r="C58" s="421">
        <f>+'q7'!$B$22</f>
        <v>5912</v>
      </c>
      <c r="D58" s="421">
        <f>+'q7'!$C$22</f>
        <v>5937</v>
      </c>
      <c r="E58" s="421">
        <f>+'q7'!$D$22</f>
        <v>6002</v>
      </c>
      <c r="F58" s="421">
        <f>+'q7'!$E$22</f>
        <v>6020</v>
      </c>
      <c r="G58" s="421">
        <f>+'q7'!$F$22</f>
        <v>6022</v>
      </c>
      <c r="H58" s="421">
        <f>+'q7'!$G$22</f>
        <v>5921</v>
      </c>
      <c r="I58" s="421">
        <f>+'q7'!$H$22</f>
        <v>5994</v>
      </c>
      <c r="J58" s="421">
        <f>+'q7'!$I$22</f>
        <v>5922</v>
      </c>
      <c r="K58" s="421">
        <f>+'q7'!$J$22</f>
        <v>6063</v>
      </c>
      <c r="L58" s="421">
        <f>+'q7'!$K$22</f>
        <v>6133</v>
      </c>
      <c r="M58" s="421">
        <f>+'q7'!$L$22</f>
        <v>6174</v>
      </c>
      <c r="N58" s="421">
        <f t="shared" si="21"/>
        <v>262</v>
      </c>
      <c r="BX58" s="436"/>
      <c r="CC58" s="436"/>
      <c r="CH58" s="436"/>
      <c r="CM58" s="436"/>
      <c r="CO58" s="426"/>
      <c r="CR58" s="436"/>
      <c r="CT58" s="426"/>
    </row>
    <row r="59" spans="1:98">
      <c r="B59" s="423" t="str">
        <f>+'q7'!$A$23</f>
        <v>Viseu</v>
      </c>
      <c r="C59" s="421">
        <f>+'q7'!$B$23</f>
        <v>10925</v>
      </c>
      <c r="D59" s="421">
        <f>+'q7'!$C$23</f>
        <v>11124</v>
      </c>
      <c r="E59" s="421">
        <f>+'q7'!$D$23</f>
        <v>11312</v>
      </c>
      <c r="F59" s="421">
        <f>+'q7'!$E$23</f>
        <v>11375</v>
      </c>
      <c r="G59" s="421">
        <f>+'q7'!$F$23</f>
        <v>11397</v>
      </c>
      <c r="H59" s="421">
        <f>+'q7'!$G$23</f>
        <v>11158</v>
      </c>
      <c r="I59" s="421">
        <f>+'q7'!$H$23</f>
        <v>11298</v>
      </c>
      <c r="J59" s="421">
        <f>+'q7'!$I$23</f>
        <v>11216</v>
      </c>
      <c r="K59" s="421">
        <f>+'q7'!$J$23</f>
        <v>11681</v>
      </c>
      <c r="L59" s="421">
        <f>+'q7'!$K$23</f>
        <v>11911</v>
      </c>
      <c r="M59" s="421">
        <f>+'q7'!$L$23</f>
        <v>11908</v>
      </c>
      <c r="N59" s="421">
        <f t="shared" si="21"/>
        <v>983</v>
      </c>
      <c r="CO59" s="426"/>
      <c r="CT59" s="426"/>
    </row>
    <row r="60" spans="1:98">
      <c r="B60" s="423" t="s">
        <v>13</v>
      </c>
      <c r="C60" s="421">
        <f>+'q7'!$B$5</f>
        <v>318886</v>
      </c>
      <c r="D60" s="421">
        <f>+'q7'!$C$5</f>
        <v>321500</v>
      </c>
      <c r="E60" s="421">
        <f>+'q7'!$D$5</f>
        <v>324933</v>
      </c>
      <c r="F60" s="421">
        <f>+'q7'!$E$5</f>
        <v>327295</v>
      </c>
      <c r="G60" s="421">
        <f>+'q7'!$F$5</f>
        <v>330668</v>
      </c>
      <c r="H60" s="421">
        <f>+'q7'!$G$5</f>
        <v>322978</v>
      </c>
      <c r="I60" s="421">
        <f>+'q7'!$H$5</f>
        <v>324959</v>
      </c>
      <c r="J60" s="421">
        <f>+'q7'!$I$5</f>
        <v>318254</v>
      </c>
      <c r="K60" s="421">
        <f>+'q7'!$J$5</f>
        <v>332683</v>
      </c>
      <c r="L60" s="421">
        <f>+'q7'!$K$5</f>
        <v>340364</v>
      </c>
      <c r="M60" s="421">
        <f>+'q7'!$L$5</f>
        <v>338026</v>
      </c>
      <c r="N60" s="421">
        <f t="shared" si="21"/>
        <v>19140</v>
      </c>
      <c r="S60" s="421" t="str">
        <f>INDEX($A$2:$A$19,$Q$2)</f>
        <v>Lisboa</v>
      </c>
      <c r="CO60" s="426"/>
      <c r="CT60" s="426"/>
    </row>
    <row r="61" spans="1:98" ht="13.5" thickBot="1">
      <c r="A61" s="423" t="s">
        <v>205</v>
      </c>
      <c r="C61" s="425">
        <f>+'q11'!$B$4</f>
        <v>2014</v>
      </c>
      <c r="D61" s="425">
        <f>+'q11'!$C$4</f>
        <v>2015</v>
      </c>
      <c r="E61" s="425">
        <f>+'q11'!$D$4</f>
        <v>2016</v>
      </c>
      <c r="F61" s="425">
        <f>+'q11'!$E$4</f>
        <v>2017</v>
      </c>
      <c r="G61" s="425">
        <f>+'q11'!$F$4</f>
        <v>2018</v>
      </c>
      <c r="H61" s="425">
        <f>+'q11'!$G$4</f>
        <v>2019</v>
      </c>
      <c r="I61" s="425">
        <f>+'q11'!$H$4</f>
        <v>2020</v>
      </c>
      <c r="J61" s="425">
        <f>+'q11'!$I$4</f>
        <v>2021</v>
      </c>
      <c r="K61" s="425">
        <f>+'q11'!$J$4</f>
        <v>2022</v>
      </c>
      <c r="L61" s="425">
        <f>+'q11'!$K$4</f>
        <v>2023</v>
      </c>
      <c r="M61" s="425">
        <f>+'q11'!$L$4</f>
        <v>2024</v>
      </c>
      <c r="N61" s="421">
        <f t="shared" si="21"/>
        <v>10</v>
      </c>
      <c r="T61" s="4">
        <f>+'q11'!B$4</f>
        <v>2014</v>
      </c>
      <c r="U61" s="4">
        <f>+'q11'!C$4</f>
        <v>2015</v>
      </c>
      <c r="V61" s="4">
        <f>+'q11'!D$4</f>
        <v>2016</v>
      </c>
      <c r="W61" s="4">
        <f>+'q11'!E$4</f>
        <v>2017</v>
      </c>
      <c r="X61" s="4">
        <f>+'q11'!F$4</f>
        <v>2018</v>
      </c>
      <c r="Y61" s="4">
        <f>+'q11'!G$4</f>
        <v>2019</v>
      </c>
      <c r="Z61" s="4">
        <f>+'q11'!H$4</f>
        <v>2020</v>
      </c>
      <c r="AA61" s="4">
        <f>+'q11'!I$4</f>
        <v>2021</v>
      </c>
      <c r="AB61" s="4">
        <f>+'q11'!J$4</f>
        <v>2022</v>
      </c>
      <c r="AC61" s="4">
        <f>+'q11'!K$4</f>
        <v>2023</v>
      </c>
      <c r="AD61" s="4">
        <f>+'q11'!L$4</f>
        <v>2024</v>
      </c>
      <c r="AF61" s="391" t="s">
        <v>731</v>
      </c>
      <c r="AG61" s="391" t="s">
        <v>732</v>
      </c>
      <c r="BX61" s="436"/>
      <c r="CC61" s="436"/>
      <c r="CH61" s="436"/>
      <c r="CM61" s="436"/>
      <c r="CO61" s="426"/>
      <c r="CR61" s="436"/>
      <c r="CT61" s="426"/>
    </row>
    <row r="62" spans="1:98" ht="13.5" thickTop="1">
      <c r="B62" s="423" t="str">
        <f>+'q11'!$A$6</f>
        <v>Aveiro</v>
      </c>
      <c r="C62" s="421">
        <f>+'q11'!$B$6</f>
        <v>203446</v>
      </c>
      <c r="D62" s="421">
        <f>+'q11'!$C$6</f>
        <v>208145</v>
      </c>
      <c r="E62" s="421">
        <f>+'q11'!$D$6</f>
        <v>216490</v>
      </c>
      <c r="F62" s="421">
        <f>+'q11'!$E$6</f>
        <v>226181</v>
      </c>
      <c r="G62" s="421">
        <f>+'q11'!$F$6</f>
        <v>234445</v>
      </c>
      <c r="H62" s="421">
        <f>+'q11'!$G$6</f>
        <v>236315</v>
      </c>
      <c r="I62" s="421">
        <f>+'q11'!$H$6</f>
        <v>234063</v>
      </c>
      <c r="J62" s="421">
        <f>+'q11'!$I$6</f>
        <v>234211</v>
      </c>
      <c r="K62" s="421">
        <f>+'q11'!$J$6</f>
        <v>250317</v>
      </c>
      <c r="L62" s="421">
        <f>+'q11'!$K$6</f>
        <v>255866</v>
      </c>
      <c r="M62" s="421">
        <f>+'q11'!$L$6</f>
        <v>252468</v>
      </c>
      <c r="N62" s="421">
        <f t="shared" si="21"/>
        <v>49022</v>
      </c>
      <c r="S62" s="395" t="s">
        <v>205</v>
      </c>
      <c r="T62" s="396">
        <f t="shared" ref="T62:AD62" si="23">VLOOKUP($S$60,$B$61:$M$79,COLUMN(C62)-1,0)</f>
        <v>764524</v>
      </c>
      <c r="U62" s="396">
        <f t="shared" si="23"/>
        <v>780947</v>
      </c>
      <c r="V62" s="396">
        <f t="shared" si="23"/>
        <v>817508</v>
      </c>
      <c r="W62" s="396">
        <f t="shared" si="23"/>
        <v>847011</v>
      </c>
      <c r="X62" s="396">
        <f t="shared" si="23"/>
        <v>886123</v>
      </c>
      <c r="Y62" s="396">
        <f t="shared" si="23"/>
        <v>905022</v>
      </c>
      <c r="Z62" s="396">
        <f t="shared" si="23"/>
        <v>895425</v>
      </c>
      <c r="AA62" s="396">
        <f t="shared" si="23"/>
        <v>900307</v>
      </c>
      <c r="AB62" s="396">
        <f t="shared" si="23"/>
        <v>981424</v>
      </c>
      <c r="AC62" s="396">
        <f t="shared" si="23"/>
        <v>1039751</v>
      </c>
      <c r="AD62" s="396">
        <f t="shared" si="23"/>
        <v>1068615</v>
      </c>
      <c r="AE62" s="433" t="str">
        <f>TEXT(AD62,"##.###")</f>
        <v>1.068.615</v>
      </c>
      <c r="AF62" s="397">
        <f>+(AD62/AC62-1)</f>
        <v>2.7760492656414781E-2</v>
      </c>
      <c r="AG62" s="397">
        <f>+(AD62/T62-1)</f>
        <v>0.3977520653373865</v>
      </c>
      <c r="AH62" s="443">
        <f>+AD62-T62</f>
        <v>304091</v>
      </c>
      <c r="AI62" s="421" t="str">
        <f>IF(AH62&gt;0,", mais",", menos")</f>
        <v>, mais</v>
      </c>
      <c r="AJ62" s="421">
        <f>IF(AH62&gt;0,AH62,AH62*-1)</f>
        <v>304091</v>
      </c>
      <c r="CO62" s="426"/>
      <c r="CT62" s="426"/>
    </row>
    <row r="63" spans="1:98">
      <c r="B63" s="423" t="str">
        <f>+'q11'!$A$7</f>
        <v>Beja</v>
      </c>
      <c r="C63" s="421">
        <f>+'q11'!$B$7</f>
        <v>30159</v>
      </c>
      <c r="D63" s="421">
        <f>+'q11'!$C$7</f>
        <v>32039</v>
      </c>
      <c r="E63" s="421">
        <f>+'q11'!$D$7</f>
        <v>33160</v>
      </c>
      <c r="F63" s="421">
        <f>+'q11'!$E$7</f>
        <v>35441</v>
      </c>
      <c r="G63" s="421">
        <f>+'q11'!$F$7</f>
        <v>36806</v>
      </c>
      <c r="H63" s="421">
        <f>+'q11'!$G$7</f>
        <v>38732</v>
      </c>
      <c r="I63" s="421">
        <f>+'q11'!$H$7</f>
        <v>41050</v>
      </c>
      <c r="J63" s="421">
        <f>+'q11'!$I$7</f>
        <v>41359</v>
      </c>
      <c r="K63" s="421">
        <f>+'q11'!$J$7</f>
        <v>45331</v>
      </c>
      <c r="L63" s="421">
        <f>+'q11'!$K$7</f>
        <v>47376</v>
      </c>
      <c r="M63" s="421">
        <f>+'q11'!$L$7</f>
        <v>47842</v>
      </c>
      <c r="N63" s="421">
        <f t="shared" si="21"/>
        <v>17683</v>
      </c>
      <c r="S63" s="395" t="s">
        <v>182</v>
      </c>
      <c r="T63" s="394">
        <f t="shared" ref="T63:AD63" si="24">VLOOKUP($S$60,$B$81:$M$99,COLUMN(C82)-1,0)</f>
        <v>722854</v>
      </c>
      <c r="U63" s="394">
        <f t="shared" si="24"/>
        <v>739126</v>
      </c>
      <c r="V63" s="394">
        <f t="shared" si="24"/>
        <v>776535</v>
      </c>
      <c r="W63" s="394">
        <f t="shared" si="24"/>
        <v>805619</v>
      </c>
      <c r="X63" s="394">
        <f t="shared" si="24"/>
        <v>843599</v>
      </c>
      <c r="Y63" s="394">
        <f t="shared" si="24"/>
        <v>863493</v>
      </c>
      <c r="Z63" s="394">
        <f t="shared" si="24"/>
        <v>853268</v>
      </c>
      <c r="AA63" s="394">
        <f t="shared" si="24"/>
        <v>859051</v>
      </c>
      <c r="AB63" s="394">
        <f t="shared" si="24"/>
        <v>937531</v>
      </c>
      <c r="AC63" s="394">
        <f t="shared" si="24"/>
        <v>994831</v>
      </c>
      <c r="AD63" s="394">
        <f t="shared" si="24"/>
        <v>1024115</v>
      </c>
      <c r="AE63" s="433" t="str">
        <f>TEXT(AD63,"##.###")</f>
        <v>1.024.115</v>
      </c>
      <c r="AF63" s="397">
        <f>+(AD63/AC63-1)</f>
        <v>2.9436155487716054E-2</v>
      </c>
      <c r="AG63" s="397">
        <f>+(AD63/T63-1)</f>
        <v>0.41676604127527828</v>
      </c>
      <c r="AH63" s="443">
        <f>+AD63-T63</f>
        <v>301261</v>
      </c>
      <c r="AI63" s="421" t="str">
        <f>IF(AH63&gt;0,", mais",", menos")</f>
        <v>, mais</v>
      </c>
      <c r="AJ63" s="421">
        <f>IF(AH63&gt;0,AH63,AH63*-1)</f>
        <v>301261</v>
      </c>
      <c r="CO63" s="426"/>
      <c r="CT63" s="426"/>
    </row>
    <row r="64" spans="1:98">
      <c r="B64" s="423" t="str">
        <f>+'q11'!$A$8</f>
        <v>Braga</v>
      </c>
      <c r="C64" s="421">
        <f>+'q11'!$B$8</f>
        <v>240842</v>
      </c>
      <c r="D64" s="421">
        <f>+'q11'!$C$8</f>
        <v>249721</v>
      </c>
      <c r="E64" s="421">
        <f>+'q11'!$D$8</f>
        <v>261360</v>
      </c>
      <c r="F64" s="421">
        <f>+'q11'!$E$8</f>
        <v>273109</v>
      </c>
      <c r="G64" s="421">
        <f>+'q11'!$F$8</f>
        <v>282974</v>
      </c>
      <c r="H64" s="421">
        <f>+'q11'!$G$8</f>
        <v>279950</v>
      </c>
      <c r="I64" s="421">
        <f>+'q11'!$H$8</f>
        <v>281810</v>
      </c>
      <c r="J64" s="421">
        <f>+'q11'!$I$8</f>
        <v>284569</v>
      </c>
      <c r="K64" s="421">
        <f>+'q11'!$J$8</f>
        <v>304660</v>
      </c>
      <c r="L64" s="421">
        <f>+'q11'!$K$8</f>
        <v>312788</v>
      </c>
      <c r="M64" s="421">
        <f>+'q11'!$L$8</f>
        <v>312404</v>
      </c>
      <c r="N64" s="421">
        <f t="shared" si="21"/>
        <v>71562</v>
      </c>
      <c r="BX64" s="436"/>
      <c r="CC64" s="436"/>
      <c r="CH64" s="436"/>
      <c r="CM64" s="436"/>
      <c r="CO64" s="426"/>
      <c r="CR64" s="436"/>
      <c r="CT64" s="426"/>
    </row>
    <row r="65" spans="2:98">
      <c r="B65" s="423" t="str">
        <f>+'q11'!$A$9</f>
        <v>Bragança</v>
      </c>
      <c r="C65" s="421">
        <f>+'q11'!$B$9</f>
        <v>19925</v>
      </c>
      <c r="D65" s="421">
        <f>+'q11'!$C$9</f>
        <v>20381</v>
      </c>
      <c r="E65" s="421">
        <f>+'q11'!$D$9</f>
        <v>20798</v>
      </c>
      <c r="F65" s="421">
        <f>+'q11'!$E$9</f>
        <v>21150</v>
      </c>
      <c r="G65" s="421">
        <f>+'q11'!$F$9</f>
        <v>21768</v>
      </c>
      <c r="H65" s="421">
        <f>+'q11'!$G$9</f>
        <v>21436</v>
      </c>
      <c r="I65" s="421">
        <f>+'q11'!$H$9</f>
        <v>22299</v>
      </c>
      <c r="J65" s="421">
        <f>+'q11'!$I$9</f>
        <v>22605</v>
      </c>
      <c r="K65" s="421">
        <f>+'q11'!$J$9</f>
        <v>23249</v>
      </c>
      <c r="L65" s="421">
        <f>+'q11'!$K$9</f>
        <v>24160</v>
      </c>
      <c r="M65" s="421">
        <f>+'q11'!$L$9</f>
        <v>24098</v>
      </c>
      <c r="N65" s="421">
        <f t="shared" si="21"/>
        <v>4173</v>
      </c>
      <c r="AG65" s="446">
        <f>+(AD62/T62-1)*100</f>
        <v>39.775206533738647</v>
      </c>
      <c r="CO65" s="426"/>
      <c r="CT65" s="426"/>
    </row>
    <row r="66" spans="2:98">
      <c r="B66" s="423" t="str">
        <f>+'q11'!$A$10</f>
        <v>Castelo Branco</v>
      </c>
      <c r="C66" s="421">
        <f>+'q11'!$B$10</f>
        <v>38714</v>
      </c>
      <c r="D66" s="421">
        <f>+'q11'!$C$10</f>
        <v>38487</v>
      </c>
      <c r="E66" s="421">
        <f>+'q11'!$D$10</f>
        <v>38942</v>
      </c>
      <c r="F66" s="421">
        <f>+'q11'!$E$10</f>
        <v>39544</v>
      </c>
      <c r="G66" s="421">
        <f>+'q11'!$F$10</f>
        <v>41834</v>
      </c>
      <c r="H66" s="421">
        <f>+'q11'!$G$10</f>
        <v>40763</v>
      </c>
      <c r="I66" s="421">
        <f>+'q11'!$H$10</f>
        <v>40114</v>
      </c>
      <c r="J66" s="421">
        <f>+'q11'!$I$10</f>
        <v>40323</v>
      </c>
      <c r="K66" s="421">
        <f>+'q11'!$J$10</f>
        <v>42765</v>
      </c>
      <c r="L66" s="421">
        <f>+'q11'!$K$10</f>
        <v>45470</v>
      </c>
      <c r="M66" s="421">
        <f>+'q11'!$L$10</f>
        <v>44890</v>
      </c>
      <c r="N66" s="421">
        <f t="shared" si="21"/>
        <v>6176</v>
      </c>
      <c r="AA66" s="442" t="s">
        <v>279</v>
      </c>
      <c r="AG66" s="446">
        <f>+(AD63/T63-1)*100</f>
        <v>41.676604127527824</v>
      </c>
      <c r="CO66" s="426"/>
      <c r="CT66" s="426"/>
    </row>
    <row r="67" spans="2:98">
      <c r="B67" s="423" t="str">
        <f>+'q11'!$A$11</f>
        <v>Coimbra</v>
      </c>
      <c r="C67" s="421">
        <f>+'q11'!$B$11</f>
        <v>91625</v>
      </c>
      <c r="D67" s="421">
        <f>+'q11'!$C$11</f>
        <v>94165</v>
      </c>
      <c r="E67" s="421">
        <f>+'q11'!$D$11</f>
        <v>95440</v>
      </c>
      <c r="F67" s="421">
        <f>+'q11'!$E$11</f>
        <v>99946</v>
      </c>
      <c r="G67" s="421">
        <f>+'q11'!$F$11</f>
        <v>100811</v>
      </c>
      <c r="H67" s="421">
        <f>+'q11'!$G$11</f>
        <v>101713</v>
      </c>
      <c r="I67" s="421">
        <f>+'q11'!$H$11</f>
        <v>102994</v>
      </c>
      <c r="J67" s="421">
        <f>+'q11'!$I$11</f>
        <v>102989</v>
      </c>
      <c r="K67" s="421">
        <f>+'q11'!$J$11</f>
        <v>109304</v>
      </c>
      <c r="L67" s="421">
        <f>+'q11'!$K$11</f>
        <v>112151</v>
      </c>
      <c r="M67" s="421">
        <f>+'q11'!$L$11</f>
        <v>114805</v>
      </c>
      <c r="N67" s="421">
        <f t="shared" si="21"/>
        <v>23180</v>
      </c>
      <c r="BX67" s="436"/>
      <c r="CC67" s="436"/>
      <c r="CH67" s="436"/>
      <c r="CM67" s="436"/>
      <c r="CO67" s="426"/>
      <c r="CR67" s="436"/>
      <c r="CT67" s="426"/>
    </row>
    <row r="68" spans="2:98">
      <c r="B68" s="423" t="str">
        <f>+'q11'!$A$12</f>
        <v>Évora</v>
      </c>
      <c r="C68" s="421">
        <f>+'q11'!$B$12</f>
        <v>35478</v>
      </c>
      <c r="D68" s="421">
        <f>+'q11'!$C$12</f>
        <v>36817</v>
      </c>
      <c r="E68" s="421">
        <f>+'q11'!$D$12</f>
        <v>38198</v>
      </c>
      <c r="F68" s="421">
        <f>+'q11'!$E$12</f>
        <v>39029</v>
      </c>
      <c r="G68" s="421">
        <f>+'q11'!$F$12</f>
        <v>40741</v>
      </c>
      <c r="H68" s="421">
        <f>+'q11'!$G$12</f>
        <v>40944</v>
      </c>
      <c r="I68" s="421">
        <f>+'q11'!$H$12</f>
        <v>40465</v>
      </c>
      <c r="J68" s="421">
        <f>+'q11'!$I$12</f>
        <v>40725</v>
      </c>
      <c r="K68" s="421">
        <f>+'q11'!$J$12</f>
        <v>43523</v>
      </c>
      <c r="L68" s="421">
        <f>+'q11'!$K$12</f>
        <v>45228</v>
      </c>
      <c r="M68" s="421">
        <f>+'q11'!$L$12</f>
        <v>44873</v>
      </c>
      <c r="N68" s="421">
        <f t="shared" si="21"/>
        <v>9395</v>
      </c>
      <c r="AA68" s="501">
        <f>+AD61</f>
        <v>2024</v>
      </c>
      <c r="AB68" s="421" t="s">
        <v>398</v>
      </c>
      <c r="AC68" s="421" t="s">
        <v>406</v>
      </c>
      <c r="CO68" s="426"/>
      <c r="CT68" s="426"/>
    </row>
    <row r="69" spans="2:98" ht="12.95" customHeight="1">
      <c r="B69" s="423" t="str">
        <f>+'q11'!$A$13</f>
        <v>Faro</v>
      </c>
      <c r="C69" s="421">
        <f>+'q11'!$B$13</f>
        <v>119459</v>
      </c>
      <c r="D69" s="421">
        <f>+'q11'!$C$13</f>
        <v>126980</v>
      </c>
      <c r="E69" s="421">
        <f>+'q11'!$D$13</f>
        <v>135848</v>
      </c>
      <c r="F69" s="421">
        <f>+'q11'!$E$13</f>
        <v>145770</v>
      </c>
      <c r="G69" s="421">
        <f>+'q11'!$F$13</f>
        <v>154417</v>
      </c>
      <c r="H69" s="421">
        <f>+'q11'!$G$13</f>
        <v>160288</v>
      </c>
      <c r="I69" s="421">
        <f>+'q11'!$H$13</f>
        <v>144668</v>
      </c>
      <c r="J69" s="421">
        <f>+'q11'!$I$13</f>
        <v>148406</v>
      </c>
      <c r="K69" s="421">
        <f>+'q11'!$J$13</f>
        <v>165503</v>
      </c>
      <c r="L69" s="421">
        <f>+'q11'!$K$13</f>
        <v>178434</v>
      </c>
      <c r="M69" s="421">
        <f>+'q11'!$L$13</f>
        <v>184099</v>
      </c>
      <c r="N69" s="421">
        <f t="shared" si="21"/>
        <v>64640</v>
      </c>
      <c r="AA69" s="421" t="s">
        <v>287</v>
      </c>
      <c r="AB69" s="421" t="str">
        <f>+S60</f>
        <v>Lisboa</v>
      </c>
      <c r="AE69" s="959" t="str">
        <f>CONCATENATE(AA68,AB68,CHAR(10),AC68,AB69,AA70,AB71,AA72,AB72,AC73,AA74,AB75," ",AB76,AC77,AB78,AA79,AB79,AC80,AA81,AB82," ",AB83,AC84)</f>
        <v>2024:
As empresas do distrito de Lisboa tinham ao seu serviço 1.068.615 pessoas (variação de 39,8% face a 2014, ou seja, mais 304.091) e tinham 1.024.115 TCO (variação de 41,7% face a 2014, ou seja, mais 301.261).</v>
      </c>
      <c r="AF69" s="959"/>
      <c r="AG69" s="959"/>
      <c r="AH69" s="959"/>
      <c r="CO69" s="426"/>
      <c r="CT69" s="426"/>
    </row>
    <row r="70" spans="2:98">
      <c r="B70" s="423" t="str">
        <f>+'q11'!$A$14</f>
        <v>Guarda</v>
      </c>
      <c r="C70" s="421">
        <f>+'q11'!$B$14</f>
        <v>28347</v>
      </c>
      <c r="D70" s="421">
        <f>+'q11'!$C$14</f>
        <v>28671</v>
      </c>
      <c r="E70" s="421">
        <f>+'q11'!$D$14</f>
        <v>28979</v>
      </c>
      <c r="F70" s="421">
        <f>+'q11'!$E$14</f>
        <v>29930</v>
      </c>
      <c r="G70" s="421">
        <f>+'q11'!$F$14</f>
        <v>30579</v>
      </c>
      <c r="H70" s="421">
        <f>+'q11'!$G$14</f>
        <v>30148</v>
      </c>
      <c r="I70" s="421">
        <f>+'q11'!$H$14</f>
        <v>30772</v>
      </c>
      <c r="J70" s="421">
        <f>+'q11'!$I$14</f>
        <v>30792</v>
      </c>
      <c r="K70" s="421">
        <f>+'q11'!$J$14</f>
        <v>31779</v>
      </c>
      <c r="L70" s="421">
        <f>+'q11'!$K$14</f>
        <v>32928</v>
      </c>
      <c r="M70" s="421">
        <f>+'q11'!$L$14</f>
        <v>33014</v>
      </c>
      <c r="N70" s="421">
        <f t="shared" si="21"/>
        <v>4667</v>
      </c>
      <c r="AA70" s="421" t="s">
        <v>297</v>
      </c>
      <c r="AE70" s="959"/>
      <c r="AF70" s="959"/>
      <c r="AG70" s="959"/>
      <c r="AH70" s="959"/>
    </row>
    <row r="71" spans="2:98">
      <c r="B71" s="423" t="str">
        <f>+'q11'!$A$15</f>
        <v>Leiria</v>
      </c>
      <c r="C71" s="421">
        <f>+'q11'!$B$15</f>
        <v>128192</v>
      </c>
      <c r="D71" s="421">
        <f>+'q11'!$C$15</f>
        <v>131409</v>
      </c>
      <c r="E71" s="421">
        <f>+'q11'!$D$15</f>
        <v>135744</v>
      </c>
      <c r="F71" s="421">
        <f>+'q11'!$E$15</f>
        <v>142737</v>
      </c>
      <c r="G71" s="421">
        <f>+'q11'!$F$15</f>
        <v>150327</v>
      </c>
      <c r="H71" s="421">
        <f>+'q11'!$G$15</f>
        <v>152235</v>
      </c>
      <c r="I71" s="421">
        <f>+'q11'!$H$15</f>
        <v>151214</v>
      </c>
      <c r="J71" s="421">
        <f>+'q11'!$I$15</f>
        <v>150268</v>
      </c>
      <c r="K71" s="421">
        <f>+'q11'!$J$15</f>
        <v>157094</v>
      </c>
      <c r="L71" s="421">
        <f>+'q11'!$K$15</f>
        <v>163957</v>
      </c>
      <c r="M71" s="421">
        <f>+'q11'!$L$15</f>
        <v>165799</v>
      </c>
      <c r="N71" s="421">
        <f t="shared" si="21"/>
        <v>37607</v>
      </c>
      <c r="AA71" s="421" t="s">
        <v>288</v>
      </c>
      <c r="AB71" s="443" t="str">
        <f>+AE62</f>
        <v>1.068.615</v>
      </c>
      <c r="AE71" s="959"/>
      <c r="AF71" s="959"/>
      <c r="AG71" s="959"/>
      <c r="AH71" s="959"/>
    </row>
    <row r="72" spans="2:98">
      <c r="B72" s="423" t="str">
        <f>+'q11'!$A$16</f>
        <v>Lisboa</v>
      </c>
      <c r="C72" s="421">
        <f>+'q11'!$B$16</f>
        <v>764524</v>
      </c>
      <c r="D72" s="421">
        <f>+'q11'!$C$16</f>
        <v>780947</v>
      </c>
      <c r="E72" s="421">
        <f>+'q11'!$D$16</f>
        <v>817508</v>
      </c>
      <c r="F72" s="421">
        <f>+'q11'!$E$16</f>
        <v>847011</v>
      </c>
      <c r="G72" s="421">
        <f>+'q11'!$F$16</f>
        <v>886123</v>
      </c>
      <c r="H72" s="421">
        <f>+'q11'!$G$16</f>
        <v>905022</v>
      </c>
      <c r="I72" s="421">
        <f>+'q11'!$H$16</f>
        <v>895425</v>
      </c>
      <c r="J72" s="421">
        <f>+'q11'!$I$16</f>
        <v>900307</v>
      </c>
      <c r="K72" s="421">
        <f>+'q11'!$J$16</f>
        <v>981424</v>
      </c>
      <c r="L72" s="421">
        <f>+'q11'!$K$16</f>
        <v>1039751</v>
      </c>
      <c r="M72" s="421">
        <f>+'q11'!$L$16</f>
        <v>1068615</v>
      </c>
      <c r="N72" s="421">
        <f t="shared" si="21"/>
        <v>304091</v>
      </c>
      <c r="AA72" s="421" t="s">
        <v>289</v>
      </c>
      <c r="AB72" s="421" t="s">
        <v>733</v>
      </c>
      <c r="AE72" s="959"/>
      <c r="AF72" s="959"/>
      <c r="AG72" s="959"/>
      <c r="AH72" s="959"/>
    </row>
    <row r="73" spans="2:98">
      <c r="B73" s="423" t="str">
        <f>+'q11'!$A$17</f>
        <v>Portalegre</v>
      </c>
      <c r="C73" s="421">
        <f>+'q11'!$B$17</f>
        <v>20497</v>
      </c>
      <c r="D73" s="421">
        <f>+'q11'!$C$17</f>
        <v>20704</v>
      </c>
      <c r="E73" s="421">
        <f>+'q11'!$D$17</f>
        <v>21614</v>
      </c>
      <c r="F73" s="421">
        <f>+'q11'!$E$17</f>
        <v>22068</v>
      </c>
      <c r="G73" s="421">
        <f>+'q11'!$F$17</f>
        <v>22056</v>
      </c>
      <c r="H73" s="421">
        <f>+'q11'!$G$17</f>
        <v>22201</v>
      </c>
      <c r="I73" s="421">
        <f>+'q11'!$H$17</f>
        <v>22475</v>
      </c>
      <c r="J73" s="421">
        <f>+'q11'!$I$17</f>
        <v>21854</v>
      </c>
      <c r="K73" s="421">
        <f>+'q11'!$J$17</f>
        <v>23056</v>
      </c>
      <c r="L73" s="421">
        <f>+'q11'!$K$17</f>
        <v>24444</v>
      </c>
      <c r="M73" s="421">
        <f>+'q11'!$L$17</f>
        <v>23830</v>
      </c>
      <c r="N73" s="421">
        <f t="shared" si="21"/>
        <v>3333</v>
      </c>
      <c r="AA73" s="421" t="s">
        <v>290</v>
      </c>
      <c r="AB73" s="446">
        <f>ROUND(AG65,1)</f>
        <v>39.799999999999997</v>
      </c>
      <c r="AC73" s="421" t="str">
        <f>+TEXT(AB73,"##.##0,0")</f>
        <v>39,8</v>
      </c>
      <c r="AE73" s="959"/>
      <c r="AF73" s="959"/>
      <c r="AG73" s="959"/>
      <c r="AH73" s="959"/>
    </row>
    <row r="74" spans="2:98">
      <c r="B74" s="423" t="str">
        <f>+'q11'!$A$18</f>
        <v>Porto</v>
      </c>
      <c r="C74" s="421">
        <f>+'q11'!$B$18</f>
        <v>511719</v>
      </c>
      <c r="D74" s="421">
        <f>+'q11'!$C$18</f>
        <v>532550</v>
      </c>
      <c r="E74" s="421">
        <f>+'q11'!$D$18</f>
        <v>551277</v>
      </c>
      <c r="F74" s="421">
        <f>+'q11'!$E$18</f>
        <v>580272</v>
      </c>
      <c r="G74" s="421">
        <f>+'q11'!$F$18</f>
        <v>593048</v>
      </c>
      <c r="H74" s="421">
        <f>+'q11'!$G$18</f>
        <v>607009</v>
      </c>
      <c r="I74" s="421">
        <f>+'q11'!$H$18</f>
        <v>599969</v>
      </c>
      <c r="J74" s="421">
        <f>+'q11'!$I$18</f>
        <v>603391</v>
      </c>
      <c r="K74" s="421">
        <f>+'q11'!$J$18</f>
        <v>647496</v>
      </c>
      <c r="L74" s="421">
        <f>+'q11'!$K$18</f>
        <v>675046</v>
      </c>
      <c r="M74" s="421">
        <f>+'q11'!$L$18</f>
        <v>685481</v>
      </c>
      <c r="N74" s="421">
        <f t="shared" si="21"/>
        <v>173762</v>
      </c>
      <c r="AA74" s="421" t="s">
        <v>895</v>
      </c>
      <c r="AE74" s="959"/>
      <c r="AF74" s="959"/>
      <c r="AG74" s="959"/>
      <c r="AH74" s="959"/>
    </row>
    <row r="75" spans="2:98">
      <c r="B75" s="423" t="str">
        <f>+'q11'!$A$19</f>
        <v>Santarém</v>
      </c>
      <c r="C75" s="421">
        <f>+'q11'!$B$19</f>
        <v>97672</v>
      </c>
      <c r="D75" s="421">
        <f>+'q11'!$C$19</f>
        <v>99795</v>
      </c>
      <c r="E75" s="421">
        <f>+'q11'!$D$19</f>
        <v>101230</v>
      </c>
      <c r="F75" s="421">
        <f>+'q11'!$E$19</f>
        <v>104902</v>
      </c>
      <c r="G75" s="421">
        <f>+'q11'!$F$19</f>
        <v>107738</v>
      </c>
      <c r="H75" s="421">
        <f>+'q11'!$G$19</f>
        <v>110106</v>
      </c>
      <c r="I75" s="421">
        <f>+'q11'!$H$19</f>
        <v>110997</v>
      </c>
      <c r="J75" s="421">
        <f>+'q11'!$I$19</f>
        <v>110211</v>
      </c>
      <c r="K75" s="421">
        <f>+'q11'!$J$19</f>
        <v>116005</v>
      </c>
      <c r="L75" s="421">
        <f>+'q11'!$K$19</f>
        <v>120066</v>
      </c>
      <c r="M75" s="421">
        <f>+'q11'!$L$19</f>
        <v>122205</v>
      </c>
      <c r="N75" s="421">
        <f t="shared" si="21"/>
        <v>24533</v>
      </c>
      <c r="AA75" s="421" t="s">
        <v>291</v>
      </c>
      <c r="AB75" s="421" t="str">
        <f>+AI62</f>
        <v>, mais</v>
      </c>
    </row>
    <row r="76" spans="2:98">
      <c r="B76" s="423" t="str">
        <f>+'q11'!$A$20</f>
        <v>Setúbal</v>
      </c>
      <c r="C76" s="421">
        <f>+'q11'!$B$20</f>
        <v>145403</v>
      </c>
      <c r="D76" s="421">
        <f>+'q11'!$C$20</f>
        <v>148477</v>
      </c>
      <c r="E76" s="421">
        <f>+'q11'!$D$20</f>
        <v>152690</v>
      </c>
      <c r="F76" s="421">
        <f>+'q11'!$E$20</f>
        <v>161083</v>
      </c>
      <c r="G76" s="421">
        <f>+'q11'!$F$20</f>
        <v>170243</v>
      </c>
      <c r="H76" s="421">
        <f>+'q11'!$G$20</f>
        <v>173740</v>
      </c>
      <c r="I76" s="421">
        <f>+'q11'!$H$20</f>
        <v>174949</v>
      </c>
      <c r="J76" s="421">
        <f>+'q11'!$I$20</f>
        <v>176465</v>
      </c>
      <c r="K76" s="421">
        <f>+'q11'!$J$20</f>
        <v>189206</v>
      </c>
      <c r="L76" s="421">
        <f>+'q11'!$K$20</f>
        <v>195528</v>
      </c>
      <c r="M76" s="421">
        <f>+'q11'!$L$20</f>
        <v>198848</v>
      </c>
      <c r="N76" s="421">
        <f t="shared" si="21"/>
        <v>53445</v>
      </c>
      <c r="AA76" s="421" t="s">
        <v>292</v>
      </c>
      <c r="AB76" s="443" t="str">
        <f>TEXT(AJ62,"##.###")</f>
        <v>304.091</v>
      </c>
    </row>
    <row r="77" spans="2:98">
      <c r="B77" s="423" t="str">
        <f>+'q11'!$A$21</f>
        <v>Viana do Castelo</v>
      </c>
      <c r="C77" s="421">
        <f>+'q11'!$B$21</f>
        <v>54568</v>
      </c>
      <c r="D77" s="421">
        <f>+'q11'!$C$21</f>
        <v>56865</v>
      </c>
      <c r="E77" s="421">
        <f>+'q11'!$D$21</f>
        <v>57001</v>
      </c>
      <c r="F77" s="421">
        <f>+'q11'!$E$21</f>
        <v>59646</v>
      </c>
      <c r="G77" s="421">
        <f>+'q11'!$F$21</f>
        <v>62987</v>
      </c>
      <c r="H77" s="421">
        <f>+'q11'!$G$21</f>
        <v>63449</v>
      </c>
      <c r="I77" s="421">
        <f>+'q11'!$H$21</f>
        <v>64864</v>
      </c>
      <c r="J77" s="421">
        <f>+'q11'!$I$21</f>
        <v>65112</v>
      </c>
      <c r="K77" s="421">
        <f>+'q11'!$J$21</f>
        <v>68558</v>
      </c>
      <c r="L77" s="421">
        <f>+'q11'!$K$21</f>
        <v>72633</v>
      </c>
      <c r="M77" s="421">
        <f>+'q11'!$L$21</f>
        <v>73222</v>
      </c>
      <c r="N77" s="421">
        <f t="shared" si="21"/>
        <v>18654</v>
      </c>
      <c r="AC77" s="421" t="s">
        <v>658</v>
      </c>
    </row>
    <row r="78" spans="2:98">
      <c r="B78" s="423" t="str">
        <f>+'q11'!$A$22</f>
        <v>Vila Real</v>
      </c>
      <c r="C78" s="421">
        <f>+'q11'!$B$22</f>
        <v>31502</v>
      </c>
      <c r="D78" s="421">
        <f>+'q11'!$C$22</f>
        <v>32630</v>
      </c>
      <c r="E78" s="421">
        <f>+'q11'!$D$22</f>
        <v>33121</v>
      </c>
      <c r="F78" s="421">
        <f>+'q11'!$E$22</f>
        <v>34749</v>
      </c>
      <c r="G78" s="421">
        <f>+'q11'!$F$22</f>
        <v>35689</v>
      </c>
      <c r="H78" s="421">
        <f>+'q11'!$G$22</f>
        <v>36501</v>
      </c>
      <c r="I78" s="421">
        <f>+'q11'!$H$22</f>
        <v>36381</v>
      </c>
      <c r="J78" s="421">
        <f>+'q11'!$I$22</f>
        <v>36810</v>
      </c>
      <c r="K78" s="421">
        <f>+'q11'!$J$22</f>
        <v>38651</v>
      </c>
      <c r="L78" s="421">
        <f>+'q11'!$K$22</f>
        <v>40275</v>
      </c>
      <c r="M78" s="421">
        <f>+'q11'!$L$22</f>
        <v>41070</v>
      </c>
      <c r="N78" s="421">
        <f t="shared" si="21"/>
        <v>9568</v>
      </c>
      <c r="AA78" s="421" t="s">
        <v>293</v>
      </c>
      <c r="AB78" s="443" t="str">
        <f>+AE63</f>
        <v>1.024.115</v>
      </c>
    </row>
    <row r="79" spans="2:98">
      <c r="B79" s="423" t="str">
        <f>+'q11'!$A$23</f>
        <v>Viseu</v>
      </c>
      <c r="C79" s="421">
        <f>+'q11'!$B$23</f>
        <v>74809</v>
      </c>
      <c r="D79" s="421">
        <f>+'q11'!$C$23</f>
        <v>77228</v>
      </c>
      <c r="E79" s="421">
        <f>+'q11'!$D$23</f>
        <v>80578</v>
      </c>
      <c r="F79" s="421">
        <f>+'q11'!$E$23</f>
        <v>84335</v>
      </c>
      <c r="G79" s="421">
        <f>+'q11'!$F$23</f>
        <v>87903</v>
      </c>
      <c r="H79" s="421">
        <f>+'q11'!$G$23</f>
        <v>90397</v>
      </c>
      <c r="I79" s="421">
        <f>+'q11'!$H$23</f>
        <v>91057</v>
      </c>
      <c r="J79" s="421">
        <f>+'q11'!$I$23</f>
        <v>91948</v>
      </c>
      <c r="K79" s="421">
        <f>+'q11'!$J$23</f>
        <v>99161</v>
      </c>
      <c r="L79" s="421">
        <f>+'q11'!$K$23</f>
        <v>103482</v>
      </c>
      <c r="M79" s="421">
        <f>+'q11'!$L$23</f>
        <v>107392</v>
      </c>
      <c r="N79" s="421">
        <f t="shared" si="21"/>
        <v>32583</v>
      </c>
      <c r="AA79" s="421" t="s">
        <v>735</v>
      </c>
      <c r="AB79" s="421" t="s">
        <v>733</v>
      </c>
    </row>
    <row r="80" spans="2:98">
      <c r="B80" s="423" t="s">
        <v>13</v>
      </c>
      <c r="C80" s="421">
        <f>+'q11'!$B$5</f>
        <v>2636881</v>
      </c>
      <c r="D80" s="421">
        <f>+'q11'!$C$5</f>
        <v>2716011</v>
      </c>
      <c r="E80" s="421">
        <f>+'q11'!$D$5</f>
        <v>2819978</v>
      </c>
      <c r="F80" s="421">
        <f>+'q11'!$E$5</f>
        <v>2946903</v>
      </c>
      <c r="G80" s="421">
        <f>+'q11'!$F$5</f>
        <v>3060489</v>
      </c>
      <c r="H80" s="421">
        <f>+'q11'!$G$5</f>
        <v>3110949</v>
      </c>
      <c r="I80" s="421">
        <f>+'q11'!$H$5</f>
        <v>3085566</v>
      </c>
      <c r="J80" s="421">
        <f>+'q11'!$I$5</f>
        <v>3102345</v>
      </c>
      <c r="K80" s="421">
        <f>+'q11'!$J$5</f>
        <v>3337082</v>
      </c>
      <c r="L80" s="421">
        <f>+'q11'!$K$5</f>
        <v>3489583</v>
      </c>
      <c r="M80" s="421">
        <f>+'q11'!$L$5</f>
        <v>3544955</v>
      </c>
      <c r="N80" s="421">
        <f t="shared" si="21"/>
        <v>908074</v>
      </c>
      <c r="AA80" s="421" t="s">
        <v>294</v>
      </c>
      <c r="AB80" s="446">
        <f>ROUND(AG66,1)</f>
        <v>41.7</v>
      </c>
      <c r="AC80" s="421" t="str">
        <f>+TEXT(AB80,"##.##0,0")</f>
        <v>41,7</v>
      </c>
    </row>
    <row r="81" spans="1:29">
      <c r="A81" s="423" t="s">
        <v>182</v>
      </c>
      <c r="C81" s="425">
        <f>+'q15'!$B$4</f>
        <v>2014</v>
      </c>
      <c r="D81" s="425">
        <f>+'q15'!$C$4</f>
        <v>2015</v>
      </c>
      <c r="E81" s="425">
        <f>+'q15'!$D$4</f>
        <v>2016</v>
      </c>
      <c r="F81" s="425">
        <f>+'q15'!$E$4</f>
        <v>2017</v>
      </c>
      <c r="G81" s="425">
        <f>+'q15'!$F$4</f>
        <v>2018</v>
      </c>
      <c r="H81" s="425">
        <f>+'q15'!$G$4</f>
        <v>2019</v>
      </c>
      <c r="I81" s="425">
        <f>+'q15'!$H$4</f>
        <v>2020</v>
      </c>
      <c r="J81" s="425">
        <f>+'q15'!$I$4</f>
        <v>2021</v>
      </c>
      <c r="K81" s="425">
        <f>+'q15'!$J$4</f>
        <v>2022</v>
      </c>
      <c r="L81" s="425">
        <f>+'q15'!$K$4</f>
        <v>2023</v>
      </c>
      <c r="M81" s="425">
        <f>+'q15'!$L$4</f>
        <v>2024</v>
      </c>
      <c r="N81" s="421">
        <f t="shared" si="21"/>
        <v>10</v>
      </c>
      <c r="AA81" s="421" t="s">
        <v>895</v>
      </c>
    </row>
    <row r="82" spans="1:29">
      <c r="B82" s="423" t="str">
        <f>+'q15'!$A$6</f>
        <v>Aveiro</v>
      </c>
      <c r="C82" s="421">
        <f>+'q15'!$B$6</f>
        <v>188531</v>
      </c>
      <c r="D82" s="421">
        <f>+'q15'!$C$6</f>
        <v>193207</v>
      </c>
      <c r="E82" s="421">
        <f>+'q15'!$D$6</f>
        <v>201583</v>
      </c>
      <c r="F82" s="421">
        <f>+'q15'!$E$6</f>
        <v>211076</v>
      </c>
      <c r="G82" s="421">
        <f>+'q15'!$F$6</f>
        <v>219148</v>
      </c>
      <c r="H82" s="421">
        <f>+'q15'!$G$6</f>
        <v>221154</v>
      </c>
      <c r="I82" s="421">
        <f>+'q15'!$H$6</f>
        <v>218824</v>
      </c>
      <c r="J82" s="421">
        <f>+'q15'!$I$6</f>
        <v>219217</v>
      </c>
      <c r="K82" s="421">
        <f>+'q15'!$J$6</f>
        <v>234940</v>
      </c>
      <c r="L82" s="421">
        <f>+'q15'!$K$6</f>
        <v>240286</v>
      </c>
      <c r="M82" s="421">
        <f>+'q15'!$L$6</f>
        <v>237311</v>
      </c>
      <c r="N82" s="421">
        <f t="shared" si="21"/>
        <v>48780</v>
      </c>
      <c r="AA82" s="421" t="s">
        <v>295</v>
      </c>
      <c r="AB82" s="421" t="str">
        <f>+AI63</f>
        <v>, mais</v>
      </c>
    </row>
    <row r="83" spans="1:29">
      <c r="B83" s="423" t="str">
        <f>+'q15'!$A$7</f>
        <v>Beja</v>
      </c>
      <c r="C83" s="421">
        <f>+'q15'!$B$7</f>
        <v>28261</v>
      </c>
      <c r="D83" s="421">
        <f>+'q15'!$C$7</f>
        <v>30156</v>
      </c>
      <c r="E83" s="421">
        <f>+'q15'!$D$7</f>
        <v>31333</v>
      </c>
      <c r="F83" s="421">
        <f>+'q15'!$E$7</f>
        <v>33532</v>
      </c>
      <c r="G83" s="421">
        <f>+'q15'!$F$7</f>
        <v>34861</v>
      </c>
      <c r="H83" s="421">
        <f>+'q15'!$G$7</f>
        <v>36824</v>
      </c>
      <c r="I83" s="421">
        <f>+'q15'!$H$7</f>
        <v>39057</v>
      </c>
      <c r="J83" s="421">
        <f>+'q15'!$I$7</f>
        <v>39335</v>
      </c>
      <c r="K83" s="421">
        <f>+'q15'!$J$7</f>
        <v>43289</v>
      </c>
      <c r="L83" s="421">
        <f>+'q15'!$K$7</f>
        <v>45122</v>
      </c>
      <c r="M83" s="421">
        <f>+'q15'!$L$7</f>
        <v>45650</v>
      </c>
      <c r="N83" s="421">
        <f t="shared" si="21"/>
        <v>17389</v>
      </c>
      <c r="AA83" s="421" t="s">
        <v>296</v>
      </c>
      <c r="AB83" s="443" t="str">
        <f>TEXT(AJ63,"##.###")</f>
        <v>301.261</v>
      </c>
    </row>
    <row r="84" spans="1:29">
      <c r="B84" s="423" t="str">
        <f>+'q15'!$A$8</f>
        <v>Braga</v>
      </c>
      <c r="C84" s="421">
        <f>+'q15'!$B$8</f>
        <v>223498</v>
      </c>
      <c r="D84" s="421">
        <f>+'q15'!$C$8</f>
        <v>232168</v>
      </c>
      <c r="E84" s="421">
        <f>+'q15'!$D$8</f>
        <v>243606</v>
      </c>
      <c r="F84" s="421">
        <f>+'q15'!$E$8</f>
        <v>254948</v>
      </c>
      <c r="G84" s="421">
        <f>+'q15'!$F$8</f>
        <v>264675</v>
      </c>
      <c r="H84" s="421">
        <f>+'q15'!$G$8</f>
        <v>261930</v>
      </c>
      <c r="I84" s="421">
        <f>+'q15'!$H$8</f>
        <v>263588</v>
      </c>
      <c r="J84" s="421">
        <f>+'q15'!$I$8</f>
        <v>266470</v>
      </c>
      <c r="K84" s="421">
        <f>+'q15'!$J$8</f>
        <v>285498</v>
      </c>
      <c r="L84" s="421">
        <f>+'q15'!$K$8</f>
        <v>293224</v>
      </c>
      <c r="M84" s="421">
        <f>+'q15'!$L$8</f>
        <v>293085</v>
      </c>
      <c r="N84" s="421">
        <f t="shared" si="21"/>
        <v>69587</v>
      </c>
      <c r="AC84" s="421" t="s">
        <v>397</v>
      </c>
    </row>
    <row r="85" spans="1:29">
      <c r="B85" s="423" t="str">
        <f>+'q15'!$A$9</f>
        <v>Bragança</v>
      </c>
      <c r="C85" s="421">
        <f>+'q15'!$B$9</f>
        <v>18027</v>
      </c>
      <c r="D85" s="421">
        <f>+'q15'!$C$9</f>
        <v>18508</v>
      </c>
      <c r="E85" s="421">
        <f>+'q15'!$D$9</f>
        <v>18920</v>
      </c>
      <c r="F85" s="421">
        <f>+'q15'!$E$9</f>
        <v>19168</v>
      </c>
      <c r="G85" s="421">
        <f>+'q15'!$F$9</f>
        <v>19762</v>
      </c>
      <c r="H85" s="421">
        <f>+'q15'!$G$9</f>
        <v>19512</v>
      </c>
      <c r="I85" s="421">
        <f>+'q15'!$H$9</f>
        <v>20332</v>
      </c>
      <c r="J85" s="421">
        <f>+'q15'!$I$9</f>
        <v>20601</v>
      </c>
      <c r="K85" s="421">
        <f>+'q15'!$J$9</f>
        <v>21226</v>
      </c>
      <c r="L85" s="421">
        <f>+'q15'!$K$9</f>
        <v>22078</v>
      </c>
      <c r="M85" s="421">
        <f>+'q15'!$L$9</f>
        <v>22075</v>
      </c>
      <c r="N85" s="421">
        <f t="shared" si="21"/>
        <v>4048</v>
      </c>
    </row>
    <row r="86" spans="1:29">
      <c r="B86" s="423" t="str">
        <f>+'q15'!$A$10</f>
        <v>Castelo Branco</v>
      </c>
      <c r="C86" s="421">
        <f>+'q15'!$B$10</f>
        <v>35837</v>
      </c>
      <c r="D86" s="421">
        <f>+'q15'!$C$10</f>
        <v>35619</v>
      </c>
      <c r="E86" s="421">
        <f>+'q15'!$D$10</f>
        <v>36035</v>
      </c>
      <c r="F86" s="421">
        <f>+'q15'!$E$10</f>
        <v>36753</v>
      </c>
      <c r="G86" s="421">
        <f>+'q15'!$F$10</f>
        <v>38953</v>
      </c>
      <c r="H86" s="421">
        <f>+'q15'!$G$10</f>
        <v>38009</v>
      </c>
      <c r="I86" s="421">
        <f>+'q15'!$H$10</f>
        <v>37294</v>
      </c>
      <c r="J86" s="421">
        <f>+'q15'!$I$10</f>
        <v>37537</v>
      </c>
      <c r="K86" s="421">
        <f>+'q15'!$J$10</f>
        <v>39840</v>
      </c>
      <c r="L86" s="421">
        <f>+'q15'!$K$10</f>
        <v>42612</v>
      </c>
      <c r="M86" s="421">
        <f>+'q15'!$L$10</f>
        <v>42077</v>
      </c>
      <c r="N86" s="421">
        <f t="shared" si="21"/>
        <v>6240</v>
      </c>
    </row>
    <row r="87" spans="1:29">
      <c r="B87" s="423" t="str">
        <f>+'q15'!$A$11</f>
        <v>Coimbra</v>
      </c>
      <c r="C87" s="421">
        <f>+'q15'!$B$11</f>
        <v>84401</v>
      </c>
      <c r="D87" s="421">
        <f>+'q15'!$C$11</f>
        <v>87151</v>
      </c>
      <c r="E87" s="421">
        <f>+'q15'!$D$11</f>
        <v>88449</v>
      </c>
      <c r="F87" s="421">
        <f>+'q15'!$E$11</f>
        <v>92904</v>
      </c>
      <c r="G87" s="421">
        <f>+'q15'!$F$11</f>
        <v>93788</v>
      </c>
      <c r="H87" s="421">
        <f>+'q15'!$G$11</f>
        <v>94736</v>
      </c>
      <c r="I87" s="421">
        <f>+'q15'!$H$11</f>
        <v>95872</v>
      </c>
      <c r="J87" s="421">
        <f>+'q15'!$I$11</f>
        <v>95954</v>
      </c>
      <c r="K87" s="421">
        <f>+'q15'!$J$11</f>
        <v>101940</v>
      </c>
      <c r="L87" s="421">
        <f>+'q15'!$K$11</f>
        <v>104759</v>
      </c>
      <c r="M87" s="421">
        <f>+'q15'!$L$11</f>
        <v>107638</v>
      </c>
      <c r="N87" s="421">
        <f t="shared" ref="N87:N140" si="25">+M87-C87</f>
        <v>23237</v>
      </c>
    </row>
    <row r="88" spans="1:29">
      <c r="B88" s="423" t="str">
        <f>+'q15'!$A$12</f>
        <v>Évora</v>
      </c>
      <c r="C88" s="421">
        <f>+'q15'!$B$12</f>
        <v>32529</v>
      </c>
      <c r="D88" s="421">
        <f>+'q15'!$C$12</f>
        <v>34031</v>
      </c>
      <c r="E88" s="421">
        <f>+'q15'!$D$12</f>
        <v>35370</v>
      </c>
      <c r="F88" s="421">
        <f>+'q15'!$E$12</f>
        <v>36298</v>
      </c>
      <c r="G88" s="421">
        <f>+'q15'!$F$12</f>
        <v>38027</v>
      </c>
      <c r="H88" s="421">
        <f>+'q15'!$G$12</f>
        <v>38257</v>
      </c>
      <c r="I88" s="421">
        <f>+'q15'!$H$12</f>
        <v>37783</v>
      </c>
      <c r="J88" s="421">
        <f>+'q15'!$I$12</f>
        <v>38189</v>
      </c>
      <c r="K88" s="421">
        <f>+'q15'!$J$12</f>
        <v>40691</v>
      </c>
      <c r="L88" s="421">
        <f>+'q15'!$K$12</f>
        <v>42406</v>
      </c>
      <c r="M88" s="421">
        <f>+'q15'!$L$12</f>
        <v>42150</v>
      </c>
      <c r="N88" s="421">
        <f t="shared" si="25"/>
        <v>9621</v>
      </c>
    </row>
    <row r="89" spans="1:29">
      <c r="B89" s="423" t="str">
        <f>+'q15'!$A$13</f>
        <v>Faro</v>
      </c>
      <c r="C89" s="421">
        <f>+'q15'!$B$13</f>
        <v>109922</v>
      </c>
      <c r="D89" s="421">
        <f>+'q15'!$C$13</f>
        <v>117234</v>
      </c>
      <c r="E89" s="421">
        <f>+'q15'!$D$13</f>
        <v>125990</v>
      </c>
      <c r="F89" s="421">
        <f>+'q15'!$E$13</f>
        <v>135848</v>
      </c>
      <c r="G89" s="421">
        <f>+'q15'!$F$13</f>
        <v>144110</v>
      </c>
      <c r="H89" s="421">
        <f>+'q15'!$G$13</f>
        <v>149611</v>
      </c>
      <c r="I89" s="421">
        <f>+'q15'!$H$13</f>
        <v>133944</v>
      </c>
      <c r="J89" s="421">
        <f>+'q15'!$I$13</f>
        <v>137936</v>
      </c>
      <c r="K89" s="421">
        <f>+'q15'!$J$13</f>
        <v>154670</v>
      </c>
      <c r="L89" s="421">
        <f>+'q15'!$K$13</f>
        <v>166794</v>
      </c>
      <c r="M89" s="421">
        <f>+'q15'!$L$13</f>
        <v>172373</v>
      </c>
      <c r="N89" s="421">
        <f t="shared" si="25"/>
        <v>62451</v>
      </c>
    </row>
    <row r="90" spans="1:29">
      <c r="B90" s="423" t="str">
        <f>+'q15'!$A$14</f>
        <v>Guarda</v>
      </c>
      <c r="C90" s="421">
        <f>+'q15'!$B$14</f>
        <v>26046</v>
      </c>
      <c r="D90" s="421">
        <f>+'q15'!$C$14</f>
        <v>26456</v>
      </c>
      <c r="E90" s="421">
        <f>+'q15'!$D$14</f>
        <v>26786</v>
      </c>
      <c r="F90" s="421">
        <f>+'q15'!$E$14</f>
        <v>27741</v>
      </c>
      <c r="G90" s="421">
        <f>+'q15'!$F$14</f>
        <v>28412</v>
      </c>
      <c r="H90" s="421">
        <f>+'q15'!$G$14</f>
        <v>28057</v>
      </c>
      <c r="I90" s="421">
        <f>+'q15'!$H$14</f>
        <v>28646</v>
      </c>
      <c r="J90" s="421">
        <f>+'q15'!$I$14</f>
        <v>28719</v>
      </c>
      <c r="K90" s="421">
        <f>+'q15'!$J$14</f>
        <v>29721</v>
      </c>
      <c r="L90" s="421">
        <f>+'q15'!$K$14</f>
        <v>30808</v>
      </c>
      <c r="M90" s="421">
        <f>+'q15'!$L$14</f>
        <v>30941</v>
      </c>
      <c r="N90" s="421">
        <f t="shared" si="25"/>
        <v>4895</v>
      </c>
    </row>
    <row r="91" spans="1:29">
      <c r="B91" s="423" t="str">
        <f>+'q15'!$A$15</f>
        <v>Leiria</v>
      </c>
      <c r="C91" s="421">
        <f>+'q15'!$B$15</f>
        <v>117819</v>
      </c>
      <c r="D91" s="421">
        <f>+'q15'!$C$15</f>
        <v>121050</v>
      </c>
      <c r="E91" s="421">
        <f>+'q15'!$D$15</f>
        <v>125303</v>
      </c>
      <c r="F91" s="421">
        <f>+'q15'!$E$15</f>
        <v>132189</v>
      </c>
      <c r="G91" s="421">
        <f>+'q15'!$F$15</f>
        <v>139739</v>
      </c>
      <c r="H91" s="421">
        <f>+'q15'!$G$15</f>
        <v>141609</v>
      </c>
      <c r="I91" s="421">
        <f>+'q15'!$H$15</f>
        <v>140537</v>
      </c>
      <c r="J91" s="421">
        <f>+'q15'!$I$15</f>
        <v>139576</v>
      </c>
      <c r="K91" s="421">
        <f>+'q15'!$J$15</f>
        <v>145795</v>
      </c>
      <c r="L91" s="421">
        <f>+'q15'!$K$15</f>
        <v>152308</v>
      </c>
      <c r="M91" s="421">
        <f>+'q15'!$L$15</f>
        <v>154444</v>
      </c>
      <c r="N91" s="421">
        <f t="shared" si="25"/>
        <v>36625</v>
      </c>
    </row>
    <row r="92" spans="1:29">
      <c r="B92" s="423" t="str">
        <f>+'q15'!$A$16</f>
        <v>Lisboa</v>
      </c>
      <c r="C92" s="421">
        <f>+'q15'!$B$16</f>
        <v>722854</v>
      </c>
      <c r="D92" s="421">
        <f>+'q15'!$C$16</f>
        <v>739126</v>
      </c>
      <c r="E92" s="421">
        <f>+'q15'!$D$16</f>
        <v>776535</v>
      </c>
      <c r="F92" s="421">
        <f>+'q15'!$E$16</f>
        <v>805619</v>
      </c>
      <c r="G92" s="421">
        <f>+'q15'!$F$16</f>
        <v>843599</v>
      </c>
      <c r="H92" s="421">
        <f>+'q15'!$G$16</f>
        <v>863493</v>
      </c>
      <c r="I92" s="421">
        <f>+'q15'!$H$16</f>
        <v>853268</v>
      </c>
      <c r="J92" s="421">
        <f>+'q15'!$I$16</f>
        <v>859051</v>
      </c>
      <c r="K92" s="421">
        <f>+'q15'!$J$16</f>
        <v>937531</v>
      </c>
      <c r="L92" s="421">
        <f>+'q15'!$K$16</f>
        <v>994831</v>
      </c>
      <c r="M92" s="421">
        <f>+'q15'!$L$16</f>
        <v>1024115</v>
      </c>
      <c r="N92" s="421">
        <f t="shared" si="25"/>
        <v>301261</v>
      </c>
    </row>
    <row r="93" spans="1:29">
      <c r="B93" s="423" t="str">
        <f>+'q15'!$A$17</f>
        <v>Portalegre</v>
      </c>
      <c r="C93" s="421">
        <f>+'q15'!$B$17</f>
        <v>19009</v>
      </c>
      <c r="D93" s="421">
        <f>+'q15'!$C$17</f>
        <v>19293</v>
      </c>
      <c r="E93" s="421">
        <f>+'q15'!$D$17</f>
        <v>20176</v>
      </c>
      <c r="F93" s="421">
        <f>+'q15'!$E$17</f>
        <v>20664</v>
      </c>
      <c r="G93" s="421">
        <f>+'q15'!$F$17</f>
        <v>20620</v>
      </c>
      <c r="H93" s="421">
        <f>+'q15'!$G$17</f>
        <v>20826</v>
      </c>
      <c r="I93" s="421">
        <f>+'q15'!$H$17</f>
        <v>21098</v>
      </c>
      <c r="J93" s="421">
        <f>+'q15'!$I$17</f>
        <v>20537</v>
      </c>
      <c r="K93" s="421">
        <f>+'q15'!$J$17</f>
        <v>21623</v>
      </c>
      <c r="L93" s="421">
        <f>+'q15'!$K$17</f>
        <v>22968</v>
      </c>
      <c r="M93" s="421">
        <f>+'q15'!$L$17</f>
        <v>22423</v>
      </c>
      <c r="N93" s="421">
        <f t="shared" si="25"/>
        <v>3414</v>
      </c>
    </row>
    <row r="94" spans="1:29">
      <c r="B94" s="423" t="str">
        <f>+'q15'!$A$18</f>
        <v>Porto</v>
      </c>
      <c r="C94" s="421">
        <f>+'q15'!$B$18</f>
        <v>477642</v>
      </c>
      <c r="D94" s="421">
        <f>+'q15'!$C$18</f>
        <v>498411</v>
      </c>
      <c r="E94" s="421">
        <f>+'q15'!$D$18</f>
        <v>517250</v>
      </c>
      <c r="F94" s="421">
        <f>+'q15'!$E$18</f>
        <v>546130</v>
      </c>
      <c r="G94" s="421">
        <f>+'q15'!$F$18</f>
        <v>558004</v>
      </c>
      <c r="H94" s="421">
        <f>+'q15'!$G$18</f>
        <v>572263</v>
      </c>
      <c r="I94" s="421">
        <f>+'q15'!$H$18</f>
        <v>564899</v>
      </c>
      <c r="J94" s="421">
        <f>+'q15'!$I$18</f>
        <v>569083</v>
      </c>
      <c r="K94" s="421">
        <f>+'q15'!$J$18</f>
        <v>611659</v>
      </c>
      <c r="L94" s="421">
        <f>+'q15'!$K$18</f>
        <v>638591</v>
      </c>
      <c r="M94" s="421">
        <f>+'q15'!$L$18</f>
        <v>649672</v>
      </c>
      <c r="N94" s="421">
        <f t="shared" si="25"/>
        <v>172030</v>
      </c>
    </row>
    <row r="95" spans="1:29">
      <c r="B95" s="423" t="str">
        <f>+'q15'!$A$19</f>
        <v>Santarém</v>
      </c>
      <c r="C95" s="421">
        <f>+'q15'!$B$19</f>
        <v>90076</v>
      </c>
      <c r="D95" s="421">
        <f>+'q15'!$C$19</f>
        <v>92191</v>
      </c>
      <c r="E95" s="421">
        <f>+'q15'!$D$19</f>
        <v>93792</v>
      </c>
      <c r="F95" s="421">
        <f>+'q15'!$E$19</f>
        <v>97412</v>
      </c>
      <c r="G95" s="421">
        <f>+'q15'!$F$19</f>
        <v>100090</v>
      </c>
      <c r="H95" s="421">
        <f>+'q15'!$G$19</f>
        <v>102585</v>
      </c>
      <c r="I95" s="421">
        <f>+'q15'!$H$19</f>
        <v>103403</v>
      </c>
      <c r="J95" s="421">
        <f>+'q15'!$I$19</f>
        <v>102715</v>
      </c>
      <c r="K95" s="421">
        <f>+'q15'!$J$19</f>
        <v>108232</v>
      </c>
      <c r="L95" s="421">
        <f>+'q15'!$K$19</f>
        <v>112134</v>
      </c>
      <c r="M95" s="421">
        <f>+'q15'!$L$19</f>
        <v>114293</v>
      </c>
      <c r="N95" s="421">
        <f t="shared" si="25"/>
        <v>24217</v>
      </c>
    </row>
    <row r="96" spans="1:29">
      <c r="B96" s="423" t="str">
        <f>+'q15'!$A$20</f>
        <v>Setúbal</v>
      </c>
      <c r="C96" s="421">
        <f>+'q15'!$B$20</f>
        <v>135568</v>
      </c>
      <c r="D96" s="421">
        <f>+'q15'!$C$20</f>
        <v>138934</v>
      </c>
      <c r="E96" s="421">
        <f>+'q15'!$D$20</f>
        <v>143036</v>
      </c>
      <c r="F96" s="421">
        <f>+'q15'!$E$20</f>
        <v>151328</v>
      </c>
      <c r="G96" s="421">
        <f>+'q15'!$F$20</f>
        <v>160472</v>
      </c>
      <c r="H96" s="421">
        <f>+'q15'!$G$20</f>
        <v>163930</v>
      </c>
      <c r="I96" s="421">
        <f>+'q15'!$H$20</f>
        <v>164805</v>
      </c>
      <c r="J96" s="421">
        <f>+'q15'!$I$20</f>
        <v>166416</v>
      </c>
      <c r="K96" s="421">
        <f>+'q15'!$J$20</f>
        <v>178440</v>
      </c>
      <c r="L96" s="421">
        <f>+'q15'!$K$20</f>
        <v>184464</v>
      </c>
      <c r="M96" s="421">
        <f>+'q15'!$L$20</f>
        <v>187786</v>
      </c>
      <c r="N96" s="421">
        <f t="shared" si="25"/>
        <v>52218</v>
      </c>
    </row>
    <row r="97" spans="1:55">
      <c r="B97" s="423" t="str">
        <f>+'q15'!$A$21</f>
        <v>Viana do Castelo</v>
      </c>
      <c r="C97" s="421">
        <f>+'q15'!$B$21</f>
        <v>50225</v>
      </c>
      <c r="D97" s="421">
        <f>+'q15'!$C$21</f>
        <v>52609</v>
      </c>
      <c r="E97" s="421">
        <f>+'q15'!$D$21</f>
        <v>52622</v>
      </c>
      <c r="F97" s="421">
        <f>+'q15'!$E$21</f>
        <v>55356</v>
      </c>
      <c r="G97" s="421">
        <f>+'q15'!$F$21</f>
        <v>58686</v>
      </c>
      <c r="H97" s="421">
        <f>+'q15'!$G$21</f>
        <v>59295</v>
      </c>
      <c r="I97" s="421">
        <f>+'q15'!$H$21</f>
        <v>60629</v>
      </c>
      <c r="J97" s="421">
        <f>+'q15'!$I$21</f>
        <v>60893</v>
      </c>
      <c r="K97" s="421">
        <f>+'q15'!$J$21</f>
        <v>64187</v>
      </c>
      <c r="L97" s="421">
        <f>+'q15'!$K$21</f>
        <v>68117</v>
      </c>
      <c r="M97" s="421">
        <f>+'q15'!$L$21</f>
        <v>68763</v>
      </c>
      <c r="N97" s="421">
        <f t="shared" si="25"/>
        <v>18538</v>
      </c>
    </row>
    <row r="98" spans="1:55">
      <c r="B98" s="423" t="str">
        <f>+'q15'!$A$22</f>
        <v>Vila Real</v>
      </c>
      <c r="C98" s="421">
        <f>+'q15'!$B$22</f>
        <v>28912</v>
      </c>
      <c r="D98" s="421">
        <f>+'q15'!$C$22</f>
        <v>30088</v>
      </c>
      <c r="E98" s="421">
        <f>+'q15'!$D$22</f>
        <v>30474</v>
      </c>
      <c r="F98" s="421">
        <f>+'q15'!$E$22</f>
        <v>32127</v>
      </c>
      <c r="G98" s="421">
        <f>+'q15'!$F$22</f>
        <v>33024</v>
      </c>
      <c r="H98" s="421">
        <f>+'q15'!$G$22</f>
        <v>33808</v>
      </c>
      <c r="I98" s="421">
        <f>+'q15'!$H$22</f>
        <v>33688</v>
      </c>
      <c r="J98" s="421">
        <f>+'q15'!$I$22</f>
        <v>34125</v>
      </c>
      <c r="K98" s="421">
        <f>+'q15'!$J$22</f>
        <v>35875</v>
      </c>
      <c r="L98" s="421">
        <f>+'q15'!$K$22</f>
        <v>37526</v>
      </c>
      <c r="M98" s="421">
        <f>+'q15'!$L$22</f>
        <v>38288</v>
      </c>
      <c r="N98" s="421">
        <f t="shared" si="25"/>
        <v>9376</v>
      </c>
    </row>
    <row r="99" spans="1:55">
      <c r="B99" s="423" t="str">
        <f>+'q15'!$A$23</f>
        <v>Viseu</v>
      </c>
      <c r="C99" s="421">
        <f>+'q15'!$B$23</f>
        <v>69006</v>
      </c>
      <c r="D99" s="421">
        <f>+'q15'!$C$23</f>
        <v>71421</v>
      </c>
      <c r="E99" s="421">
        <f>+'q15'!$D$23</f>
        <v>74659</v>
      </c>
      <c r="F99" s="421">
        <f>+'q15'!$E$23</f>
        <v>78428</v>
      </c>
      <c r="G99" s="421">
        <f>+'q15'!$F$23</f>
        <v>81948</v>
      </c>
      <c r="H99" s="421">
        <f>+'q15'!$G$23</f>
        <v>84583</v>
      </c>
      <c r="I99" s="421">
        <f>+'q15'!$H$23</f>
        <v>85158</v>
      </c>
      <c r="J99" s="421">
        <f>+'q15'!$I$23</f>
        <v>85989</v>
      </c>
      <c r="K99" s="421">
        <f>+'q15'!$J$23</f>
        <v>92990</v>
      </c>
      <c r="L99" s="421">
        <f>+'q15'!$K$23</f>
        <v>97106</v>
      </c>
      <c r="M99" s="421">
        <f>+'q15'!$L$23</f>
        <v>101052</v>
      </c>
      <c r="N99" s="421">
        <f t="shared" si="25"/>
        <v>32046</v>
      </c>
    </row>
    <row r="100" spans="1:55">
      <c r="B100" s="423" t="s">
        <v>13</v>
      </c>
      <c r="C100" s="421">
        <f>+'q15'!$B$5</f>
        <v>2458163</v>
      </c>
      <c r="D100" s="421">
        <f>+'q15'!$C$5</f>
        <v>2537653</v>
      </c>
      <c r="E100" s="421">
        <f>+'q15'!$D$5</f>
        <v>2641919</v>
      </c>
      <c r="F100" s="421">
        <f>+'q15'!$E$5</f>
        <v>2767521</v>
      </c>
      <c r="G100" s="421">
        <f>+'q15'!$F$5</f>
        <v>2877918</v>
      </c>
      <c r="H100" s="421">
        <f>+'q15'!$G$5</f>
        <v>2930482</v>
      </c>
      <c r="I100" s="421">
        <f>+'q15'!$H$5</f>
        <v>2902825</v>
      </c>
      <c r="J100" s="421">
        <f>+'q15'!$I$5</f>
        <v>2922343</v>
      </c>
      <c r="K100" s="421">
        <f>+'q15'!$J$5</f>
        <v>3148147</v>
      </c>
      <c r="L100" s="421">
        <f>+'q15'!$K$5</f>
        <v>3296134</v>
      </c>
      <c r="M100" s="421">
        <f>+'q15'!$L$5</f>
        <v>3354136</v>
      </c>
      <c r="N100" s="421">
        <f t="shared" si="25"/>
        <v>895973</v>
      </c>
      <c r="S100" s="421" t="str">
        <f>INDEX($A$2:$A$19,$Q$2)</f>
        <v>Lisboa</v>
      </c>
    </row>
    <row r="101" spans="1:55" ht="13.5" thickBot="1">
      <c r="A101" s="423" t="s">
        <v>256</v>
      </c>
      <c r="C101" s="425">
        <f>+'q24'!$B$4</f>
        <v>2014</v>
      </c>
      <c r="D101" s="425">
        <f>+'q24'!$C$4</f>
        <v>2015</v>
      </c>
      <c r="E101" s="425">
        <f>+'q24'!$D$4</f>
        <v>2016</v>
      </c>
      <c r="F101" s="425">
        <f>+'q24'!$E$4</f>
        <v>2017</v>
      </c>
      <c r="G101" s="425">
        <f>+'q24'!$F$4</f>
        <v>2018</v>
      </c>
      <c r="H101" s="425">
        <f>+'q24'!$G$4</f>
        <v>2019</v>
      </c>
      <c r="I101" s="425">
        <f>+'q24'!$H$4</f>
        <v>2020</v>
      </c>
      <c r="J101" s="425">
        <f>+'q24'!$I$4</f>
        <v>2021</v>
      </c>
      <c r="K101" s="425">
        <f>+'q24'!$J$4</f>
        <v>2022</v>
      </c>
      <c r="L101" s="425">
        <f>+'q24'!$K$4</f>
        <v>2023</v>
      </c>
      <c r="M101" s="425">
        <f>+'q24'!$L$4</f>
        <v>2024</v>
      </c>
      <c r="N101" s="421">
        <f t="shared" si="25"/>
        <v>10</v>
      </c>
      <c r="T101" s="4">
        <f>+'q24'!B$4</f>
        <v>2014</v>
      </c>
      <c r="U101" s="4">
        <f>+'q24'!C$4</f>
        <v>2015</v>
      </c>
      <c r="V101" s="4">
        <f>+'q24'!D$4</f>
        <v>2016</v>
      </c>
      <c r="W101" s="4">
        <f>+'q24'!E$4</f>
        <v>2017</v>
      </c>
      <c r="X101" s="4">
        <f>+'q24'!F$4</f>
        <v>2018</v>
      </c>
      <c r="Y101" s="4">
        <f>+'q24'!G$4</f>
        <v>2019</v>
      </c>
      <c r="Z101" s="4">
        <f>+'q24'!H$4</f>
        <v>2020</v>
      </c>
      <c r="AA101" s="4">
        <f>+'q24'!I$4</f>
        <v>2021</v>
      </c>
      <c r="AB101" s="4">
        <f>+'q24'!J$4</f>
        <v>2022</v>
      </c>
      <c r="AC101" s="4">
        <f>+'q24'!K$4</f>
        <v>2023</v>
      </c>
      <c r="AD101" s="4">
        <f>+'q24'!L$4</f>
        <v>2024</v>
      </c>
      <c r="AF101" s="391" t="s">
        <v>899</v>
      </c>
      <c r="AG101" s="391" t="s">
        <v>900</v>
      </c>
      <c r="BC101" s="478"/>
    </row>
    <row r="102" spans="1:55" ht="13.5" thickTop="1">
      <c r="B102" s="423" t="str">
        <f>+'q24'!$A$6</f>
        <v>Aveiro</v>
      </c>
      <c r="C102" s="426">
        <f>+'q24'!$B$6</f>
        <v>822.65</v>
      </c>
      <c r="D102" s="426">
        <f>+'q24'!$C$6</f>
        <v>833.48</v>
      </c>
      <c r="E102" s="426">
        <f>+'q24'!$D$6</f>
        <v>848.25</v>
      </c>
      <c r="F102" s="426">
        <f>+'q24'!$E$6</f>
        <v>866.17</v>
      </c>
      <c r="G102" s="426">
        <f>+'q24'!$F$6</f>
        <v>898.45</v>
      </c>
      <c r="H102" s="426">
        <f>+'q24'!$G$6</f>
        <v>933.57</v>
      </c>
      <c r="I102" s="426">
        <f>+'q24'!$H$6</f>
        <v>962.64</v>
      </c>
      <c r="J102" s="426">
        <f>+'q24'!$I$6</f>
        <v>993.48</v>
      </c>
      <c r="K102" s="426">
        <f>+'q24'!$J$6</f>
        <v>1052.8</v>
      </c>
      <c r="L102" s="426">
        <f>+'q24'!$K$6</f>
        <v>1126.52</v>
      </c>
      <c r="M102" s="426">
        <f>+'q24'!$L$6</f>
        <v>1204.6300000000001</v>
      </c>
      <c r="N102" s="421">
        <f t="shared" si="25"/>
        <v>381.98000000000013</v>
      </c>
      <c r="S102" s="395" t="s">
        <v>262</v>
      </c>
      <c r="T102" s="427">
        <f t="shared" ref="T102:AD102" si="26">VLOOKUP($S$100,$B$101:$M$119,COLUMN(C102)-1,0)</f>
        <v>1150.47</v>
      </c>
      <c r="U102" s="427">
        <f t="shared" si="26"/>
        <v>1151.6400000000001</v>
      </c>
      <c r="V102" s="427">
        <f t="shared" si="26"/>
        <v>1155.93</v>
      </c>
      <c r="W102" s="427">
        <f t="shared" si="26"/>
        <v>1171.8800000000001</v>
      </c>
      <c r="X102" s="427">
        <f t="shared" si="26"/>
        <v>1194.22</v>
      </c>
      <c r="Y102" s="427">
        <f t="shared" si="26"/>
        <v>1230.1300000000001</v>
      </c>
      <c r="Z102" s="427">
        <f t="shared" si="26"/>
        <v>1266.69</v>
      </c>
      <c r="AA102" s="427">
        <f t="shared" si="26"/>
        <v>1312.07</v>
      </c>
      <c r="AB102" s="427">
        <f t="shared" si="26"/>
        <v>1388.37</v>
      </c>
      <c r="AC102" s="427">
        <f t="shared" si="26"/>
        <v>1474.84</v>
      </c>
      <c r="AD102" s="427">
        <f t="shared" si="26"/>
        <v>1567.76</v>
      </c>
      <c r="AE102" s="433" t="str">
        <f>TEXT(AD102,"##.###,0")</f>
        <v>1.567,8</v>
      </c>
      <c r="AF102" s="397">
        <f>+(AD102/AC102-1)</f>
        <v>6.3003444441430911E-2</v>
      </c>
      <c r="AG102" s="397">
        <f>+(AD102/T102-1)</f>
        <v>0.36271263049014757</v>
      </c>
      <c r="AH102" s="443">
        <f>+AD102-T102</f>
        <v>417.28999999999996</v>
      </c>
      <c r="AI102" s="421" t="str">
        <f>IF(AH102&gt;0,", +",", -")</f>
        <v>, +</v>
      </c>
      <c r="AJ102" s="436">
        <f>IF(AH102&gt;0,AH102,AH102*-1)</f>
        <v>417.28999999999996</v>
      </c>
      <c r="BC102" s="478"/>
    </row>
    <row r="103" spans="1:55">
      <c r="B103" s="423" t="str">
        <f>+'q24'!$A$7</f>
        <v>Beja</v>
      </c>
      <c r="C103" s="426">
        <f>+'q24'!$B$7</f>
        <v>766.65</v>
      </c>
      <c r="D103" s="426">
        <f>+'q24'!$C$7</f>
        <v>771.56</v>
      </c>
      <c r="E103" s="426">
        <f>+'q24'!$D$7</f>
        <v>774.75</v>
      </c>
      <c r="F103" s="426">
        <f>+'q24'!$E$7</f>
        <v>798.43</v>
      </c>
      <c r="G103" s="426">
        <f>+'q24'!$F$7</f>
        <v>825.41</v>
      </c>
      <c r="H103" s="426">
        <f>+'q24'!$G$7</f>
        <v>846.78</v>
      </c>
      <c r="I103" s="426">
        <f>+'q24'!$H$7</f>
        <v>870.72</v>
      </c>
      <c r="J103" s="426">
        <f>+'q24'!$I$7</f>
        <v>905.26</v>
      </c>
      <c r="K103" s="426">
        <f>+'q24'!$J$7</f>
        <v>947.74</v>
      </c>
      <c r="L103" s="426">
        <f>+'q24'!$K$7</f>
        <v>1003.83</v>
      </c>
      <c r="M103" s="426">
        <f>+'q24'!$L$7</f>
        <v>1076.04</v>
      </c>
      <c r="N103" s="421">
        <f t="shared" si="25"/>
        <v>309.39</v>
      </c>
      <c r="S103" s="395" t="s">
        <v>263</v>
      </c>
      <c r="T103" s="428">
        <f t="shared" ref="T103:AD103" si="27">VLOOKUP($S$100,$B$121:$M$139,COLUMN(C122)-1,0)</f>
        <v>1392.42</v>
      </c>
      <c r="U103" s="428">
        <f t="shared" si="27"/>
        <v>1391.17</v>
      </c>
      <c r="V103" s="428">
        <f t="shared" si="27"/>
        <v>1395.75</v>
      </c>
      <c r="W103" s="428">
        <f t="shared" si="27"/>
        <v>1416.56</v>
      </c>
      <c r="X103" s="428">
        <f t="shared" si="27"/>
        <v>1449.43</v>
      </c>
      <c r="Y103" s="428">
        <f t="shared" si="27"/>
        <v>1487.75</v>
      </c>
      <c r="Z103" s="428">
        <f t="shared" si="27"/>
        <v>1526.77</v>
      </c>
      <c r="AA103" s="428">
        <f t="shared" si="27"/>
        <v>1576.15</v>
      </c>
      <c r="AB103" s="428">
        <f t="shared" si="27"/>
        <v>1668.92</v>
      </c>
      <c r="AC103" s="428">
        <f t="shared" si="27"/>
        <v>1779.36</v>
      </c>
      <c r="AD103" s="428">
        <f t="shared" si="27"/>
        <v>1896.51</v>
      </c>
      <c r="AE103" s="433" t="str">
        <f>TEXT(AD103,"##.###,0")</f>
        <v>1.896,5</v>
      </c>
      <c r="AF103" s="397">
        <f>+(AD103/AC103-1)</f>
        <v>6.5838278931750871E-2</v>
      </c>
      <c r="AG103" s="397">
        <f>+(AD103/T103-1)</f>
        <v>0.3620243891929158</v>
      </c>
      <c r="AH103" s="443">
        <f>+AD103-T103</f>
        <v>504.08999999999992</v>
      </c>
      <c r="AI103" s="421" t="str">
        <f>IF(AH103&gt;0,", +",", -")</f>
        <v>, +</v>
      </c>
      <c r="AJ103" s="436">
        <f>IF(AH103&gt;0,AH103,AH103*-1)</f>
        <v>504.08999999999992</v>
      </c>
      <c r="BC103" s="478"/>
    </row>
    <row r="104" spans="1:55">
      <c r="B104" s="423" t="str">
        <f>+'q24'!$A$8</f>
        <v>Braga</v>
      </c>
      <c r="C104" s="426">
        <f>+'q24'!$B$8</f>
        <v>739.18</v>
      </c>
      <c r="D104" s="426">
        <f>+'q24'!$C$8</f>
        <v>743.72</v>
      </c>
      <c r="E104" s="426">
        <f>+'q24'!$D$8</f>
        <v>761.02</v>
      </c>
      <c r="F104" s="426">
        <f>+'q24'!$E$8</f>
        <v>787.65</v>
      </c>
      <c r="G104" s="426">
        <f>+'q24'!$F$8</f>
        <v>818.11</v>
      </c>
      <c r="H104" s="426">
        <f>+'q24'!$G$8</f>
        <v>855.14</v>
      </c>
      <c r="I104" s="426">
        <f>+'q24'!$H$8</f>
        <v>897.25</v>
      </c>
      <c r="J104" s="426">
        <f>+'q24'!$I$8</f>
        <v>943.61</v>
      </c>
      <c r="K104" s="426">
        <f>+'q24'!$J$8</f>
        <v>988</v>
      </c>
      <c r="L104" s="426">
        <f>+'q24'!$K$8</f>
        <v>1059.8900000000001</v>
      </c>
      <c r="M104" s="426">
        <f>+'q24'!$L$8</f>
        <v>1146.02</v>
      </c>
      <c r="N104" s="421">
        <f t="shared" si="25"/>
        <v>406.84000000000003</v>
      </c>
      <c r="BC104" s="478"/>
    </row>
    <row r="105" spans="1:55">
      <c r="B105" s="423" t="str">
        <f>+'q24'!$A$9</f>
        <v>Bragança</v>
      </c>
      <c r="C105" s="426">
        <f>+'q24'!$B$9</f>
        <v>706.01</v>
      </c>
      <c r="D105" s="426">
        <f>+'q24'!$C$9</f>
        <v>708.23</v>
      </c>
      <c r="E105" s="426">
        <f>+'q24'!$D$9</f>
        <v>726.98</v>
      </c>
      <c r="F105" s="426">
        <f>+'q24'!$E$9</f>
        <v>745.83</v>
      </c>
      <c r="G105" s="426">
        <f>+'q24'!$F$9</f>
        <v>766.61</v>
      </c>
      <c r="H105" s="426">
        <f>+'q24'!$G$9</f>
        <v>793.8</v>
      </c>
      <c r="I105" s="426">
        <f>+'q24'!$H$9</f>
        <v>827.36</v>
      </c>
      <c r="J105" s="426">
        <f>+'q24'!$I$9</f>
        <v>858.77</v>
      </c>
      <c r="K105" s="426">
        <f>+'q24'!$J$9</f>
        <v>892.75</v>
      </c>
      <c r="L105" s="426">
        <f>+'q24'!$K$9</f>
        <v>958.36</v>
      </c>
      <c r="M105" s="426">
        <f>+'q24'!$L$9</f>
        <v>1026.18</v>
      </c>
      <c r="N105" s="421">
        <f t="shared" si="25"/>
        <v>320.17000000000007</v>
      </c>
      <c r="AG105" s="446">
        <f>+(AD102/T102-1)*100</f>
        <v>36.271263049014756</v>
      </c>
      <c r="BC105" s="478"/>
    </row>
    <row r="106" spans="1:55">
      <c r="B106" s="423" t="str">
        <f>+'q24'!$A$10</f>
        <v>Castelo Branco</v>
      </c>
      <c r="C106" s="426">
        <f>+'q24'!$B$10</f>
        <v>720.73</v>
      </c>
      <c r="D106" s="426">
        <f>+'q24'!$C$10</f>
        <v>727.47</v>
      </c>
      <c r="E106" s="426">
        <f>+'q24'!$D$10</f>
        <v>746.22</v>
      </c>
      <c r="F106" s="426">
        <f>+'q24'!$E$10</f>
        <v>764.32</v>
      </c>
      <c r="G106" s="426">
        <f>+'q24'!$F$10</f>
        <v>784.68</v>
      </c>
      <c r="H106" s="426">
        <f>+'q24'!$G$10</f>
        <v>816.49</v>
      </c>
      <c r="I106" s="426">
        <f>+'q24'!$H$10</f>
        <v>854.55</v>
      </c>
      <c r="J106" s="426">
        <f>+'q24'!$I$10</f>
        <v>893.36</v>
      </c>
      <c r="K106" s="426">
        <f>+'q24'!$J$10</f>
        <v>932.85</v>
      </c>
      <c r="L106" s="426">
        <f>+'q24'!$K$10</f>
        <v>991.05</v>
      </c>
      <c r="M106" s="426">
        <f>+'q24'!$L$10</f>
        <v>1066.6099999999999</v>
      </c>
      <c r="N106" s="421">
        <f t="shared" si="25"/>
        <v>345.87999999999988</v>
      </c>
      <c r="AA106" s="442" t="s">
        <v>279</v>
      </c>
      <c r="AG106" s="446">
        <f>+(AD103/T103-1)*100</f>
        <v>36.202438919291581</v>
      </c>
      <c r="BC106" s="478"/>
    </row>
    <row r="107" spans="1:55">
      <c r="B107" s="423" t="str">
        <f>+'q24'!$A$11</f>
        <v>Coimbra</v>
      </c>
      <c r="C107" s="426">
        <f>+'q24'!$B$11</f>
        <v>802.91</v>
      </c>
      <c r="D107" s="426">
        <f>+'q24'!$C$11</f>
        <v>802.08</v>
      </c>
      <c r="E107" s="426">
        <f>+'q24'!$D$11</f>
        <v>816.41</v>
      </c>
      <c r="F107" s="426">
        <f>+'q24'!$E$11</f>
        <v>834.25</v>
      </c>
      <c r="G107" s="426">
        <f>+'q24'!$F$11</f>
        <v>862.98</v>
      </c>
      <c r="H107" s="426">
        <f>+'q24'!$G$11</f>
        <v>896.42</v>
      </c>
      <c r="I107" s="426">
        <f>+'q24'!$H$11</f>
        <v>924.4</v>
      </c>
      <c r="J107" s="426">
        <f>+'q24'!$I$11</f>
        <v>969.39</v>
      </c>
      <c r="K107" s="426">
        <f>+'q24'!$J$11</f>
        <v>1016.07</v>
      </c>
      <c r="L107" s="426">
        <f>+'q24'!$K$11</f>
        <v>1085.1500000000001</v>
      </c>
      <c r="M107" s="426">
        <f>+'q24'!$L$11</f>
        <v>1158.92</v>
      </c>
      <c r="N107" s="421">
        <f t="shared" si="25"/>
        <v>356.0100000000001</v>
      </c>
      <c r="BC107" s="478"/>
    </row>
    <row r="108" spans="1:55">
      <c r="B108" s="423" t="str">
        <f>+'q24'!$A$12</f>
        <v>Évora</v>
      </c>
      <c r="C108" s="426">
        <f>+'q24'!$B$12</f>
        <v>791.91</v>
      </c>
      <c r="D108" s="426">
        <f>+'q24'!$C$12</f>
        <v>796.55</v>
      </c>
      <c r="E108" s="426">
        <f>+'q24'!$D$12</f>
        <v>804.02</v>
      </c>
      <c r="F108" s="426">
        <f>+'q24'!$E$12</f>
        <v>819.6</v>
      </c>
      <c r="G108" s="426">
        <f>+'q24'!$F$12</f>
        <v>839.16</v>
      </c>
      <c r="H108" s="426">
        <f>+'q24'!$G$12</f>
        <v>861.13</v>
      </c>
      <c r="I108" s="426">
        <f>+'q24'!$H$12</f>
        <v>898.01</v>
      </c>
      <c r="J108" s="426">
        <f>+'q24'!$I$12</f>
        <v>931.83</v>
      </c>
      <c r="K108" s="426">
        <f>+'q24'!$J$12</f>
        <v>984.11</v>
      </c>
      <c r="L108" s="426">
        <f>+'q24'!$K$12</f>
        <v>1049.8499999999999</v>
      </c>
      <c r="M108" s="426">
        <f>+'q24'!$L$12</f>
        <v>1125.55</v>
      </c>
      <c r="N108" s="421">
        <f t="shared" si="25"/>
        <v>333.64</v>
      </c>
      <c r="AA108" s="421">
        <f>+AD101</f>
        <v>2024</v>
      </c>
      <c r="AB108" s="421" t="s">
        <v>398</v>
      </c>
      <c r="AC108" s="421" t="s">
        <v>407</v>
      </c>
      <c r="BC108" s="478"/>
    </row>
    <row r="109" spans="1:55" ht="12.75" customHeight="1">
      <c r="B109" s="423" t="str">
        <f>+'q24'!$A$13</f>
        <v>Faro</v>
      </c>
      <c r="C109" s="426">
        <f>+'q24'!$B$13</f>
        <v>780.52</v>
      </c>
      <c r="D109" s="426">
        <f>+'q24'!$C$13</f>
        <v>781.12</v>
      </c>
      <c r="E109" s="426">
        <f>+'q24'!$D$13</f>
        <v>793.76</v>
      </c>
      <c r="F109" s="426">
        <f>+'q24'!$E$13</f>
        <v>810.99</v>
      </c>
      <c r="G109" s="426">
        <f>+'q24'!$F$13</f>
        <v>836.09</v>
      </c>
      <c r="H109" s="426">
        <f>+'q24'!$G$13</f>
        <v>861.15</v>
      </c>
      <c r="I109" s="426">
        <f>+'q24'!$H$13</f>
        <v>897.18</v>
      </c>
      <c r="J109" s="426">
        <f>+'q24'!$I$13</f>
        <v>928.44</v>
      </c>
      <c r="K109" s="426">
        <f>+'q24'!$J$13</f>
        <v>965.83</v>
      </c>
      <c r="L109" s="426">
        <f>+'q24'!$K$13</f>
        <v>1031.25</v>
      </c>
      <c r="M109" s="426">
        <f>+'q24'!$L$13</f>
        <v>1095.01</v>
      </c>
      <c r="N109" s="421">
        <f t="shared" si="25"/>
        <v>314.49</v>
      </c>
      <c r="AA109" s="421" t="s">
        <v>299</v>
      </c>
      <c r="AB109" s="421" t="str">
        <f>+S100</f>
        <v>Lisboa</v>
      </c>
      <c r="AE109" s="957" t="str">
        <f>CONCATENATE(AA108,AB108,CHAR(10),AC108," ",AB109,AA110,AB111,AA112,AB112,AC113,AA114,AB115," ",AB116,AA117,AC117,AB118,AA119,AC120,AA121,AB122," ",AB123,AA124,AC124)</f>
        <v>2024:
No distrito de Lisboa a remuneração média mensal base era de 1.567,8 euros (variação de 36,3% face a 2014, ou seja, + 417,3 euros) e de 1.896,5 euros a remuneração média mensal ganho (variação de 36,2% face a 2014, ou seja, + 504,1 euros).</v>
      </c>
      <c r="AF109" s="957"/>
      <c r="AG109" s="957"/>
      <c r="AH109" s="957"/>
      <c r="AI109" s="957"/>
      <c r="BC109" s="478"/>
    </row>
    <row r="110" spans="1:55">
      <c r="B110" s="423" t="str">
        <f>+'q24'!$A$14</f>
        <v>Guarda</v>
      </c>
      <c r="C110" s="426">
        <f>+'q24'!$B$14</f>
        <v>700.01</v>
      </c>
      <c r="D110" s="426">
        <f>+'q24'!$C$14</f>
        <v>704.55</v>
      </c>
      <c r="E110" s="426">
        <f>+'q24'!$D$14</f>
        <v>721.53</v>
      </c>
      <c r="F110" s="426">
        <f>+'q24'!$E$14</f>
        <v>744.13</v>
      </c>
      <c r="G110" s="426">
        <f>+'q24'!$F$14</f>
        <v>769.55</v>
      </c>
      <c r="H110" s="426">
        <f>+'q24'!$G$14</f>
        <v>795.04</v>
      </c>
      <c r="I110" s="426">
        <f>+'q24'!$H$14</f>
        <v>827</v>
      </c>
      <c r="J110" s="426">
        <f>+'q24'!$I$14</f>
        <v>864.42</v>
      </c>
      <c r="K110" s="426">
        <f>+'q24'!$J$14</f>
        <v>905.21</v>
      </c>
      <c r="L110" s="426">
        <f>+'q24'!$K$14</f>
        <v>966.87</v>
      </c>
      <c r="M110" s="426">
        <f>+'q24'!$L$14</f>
        <v>1045.71</v>
      </c>
      <c r="N110" s="421">
        <f t="shared" si="25"/>
        <v>345.70000000000005</v>
      </c>
      <c r="AA110" s="421" t="s">
        <v>304</v>
      </c>
      <c r="AE110" s="957"/>
      <c r="AF110" s="957"/>
      <c r="AG110" s="957"/>
      <c r="AH110" s="957"/>
      <c r="AI110" s="957"/>
      <c r="BC110" s="478"/>
    </row>
    <row r="111" spans="1:55">
      <c r="B111" s="423" t="str">
        <f>+'q24'!$A$15</f>
        <v>Leiria</v>
      </c>
      <c r="C111" s="426">
        <f>+'q24'!$B$15</f>
        <v>794.29</v>
      </c>
      <c r="D111" s="426">
        <f>+'q24'!$C$15</f>
        <v>799.95</v>
      </c>
      <c r="E111" s="426">
        <f>+'q24'!$D$15</f>
        <v>815.1</v>
      </c>
      <c r="F111" s="426">
        <f>+'q24'!$E$15</f>
        <v>833.68</v>
      </c>
      <c r="G111" s="426">
        <f>+'q24'!$F$15</f>
        <v>861.02</v>
      </c>
      <c r="H111" s="426">
        <f>+'q24'!$G$15</f>
        <v>887.38</v>
      </c>
      <c r="I111" s="426">
        <f>+'q24'!$H$15</f>
        <v>918.08</v>
      </c>
      <c r="J111" s="426">
        <f>+'q24'!$I$15</f>
        <v>961.21</v>
      </c>
      <c r="K111" s="426">
        <f>+'q24'!$J$15</f>
        <v>1007.35</v>
      </c>
      <c r="L111" s="426">
        <f>+'q24'!$K$15</f>
        <v>1070.77</v>
      </c>
      <c r="M111" s="426">
        <f>+'q24'!$L$15</f>
        <v>1144.0999999999999</v>
      </c>
      <c r="N111" s="421">
        <f t="shared" si="25"/>
        <v>349.80999999999995</v>
      </c>
      <c r="AA111" s="421" t="s">
        <v>298</v>
      </c>
      <c r="AB111" s="448" t="str">
        <f>+AE102</f>
        <v>1.567,8</v>
      </c>
      <c r="AE111" s="957"/>
      <c r="AF111" s="957"/>
      <c r="AG111" s="957"/>
      <c r="AH111" s="957"/>
      <c r="AI111" s="957"/>
      <c r="BC111" s="478"/>
    </row>
    <row r="112" spans="1:55">
      <c r="B112" s="423" t="str">
        <f>+'q24'!$A$16</f>
        <v>Lisboa</v>
      </c>
      <c r="C112" s="426">
        <f>+'q24'!$B$16</f>
        <v>1150.47</v>
      </c>
      <c r="D112" s="426">
        <f>+'q24'!$C$16</f>
        <v>1151.6400000000001</v>
      </c>
      <c r="E112" s="426">
        <f>+'q24'!$D$16</f>
        <v>1155.93</v>
      </c>
      <c r="F112" s="426">
        <f>+'q24'!$E$16</f>
        <v>1171.8800000000001</v>
      </c>
      <c r="G112" s="426">
        <f>+'q24'!$F$16</f>
        <v>1194.22</v>
      </c>
      <c r="H112" s="426">
        <f>+'q24'!$G$16</f>
        <v>1230.1300000000001</v>
      </c>
      <c r="I112" s="426">
        <f>+'q24'!$H$16</f>
        <v>1266.69</v>
      </c>
      <c r="J112" s="426">
        <f>+'q24'!$I$16</f>
        <v>1312.07</v>
      </c>
      <c r="K112" s="426">
        <f>+'q24'!$J$16</f>
        <v>1388.37</v>
      </c>
      <c r="L112" s="426">
        <f>+'q24'!$K$16</f>
        <v>1474.84</v>
      </c>
      <c r="M112" s="426">
        <f>+'q24'!$L$16</f>
        <v>1567.76</v>
      </c>
      <c r="N112" s="421">
        <f t="shared" si="25"/>
        <v>417.28999999999996</v>
      </c>
      <c r="AA112" s="421" t="s">
        <v>300</v>
      </c>
      <c r="AB112" s="421" t="s">
        <v>733</v>
      </c>
      <c r="AE112" s="957"/>
      <c r="AF112" s="957"/>
      <c r="AG112" s="957"/>
      <c r="AH112" s="957"/>
      <c r="AI112" s="957"/>
      <c r="BC112" s="478"/>
    </row>
    <row r="113" spans="1:55">
      <c r="B113" s="423" t="str">
        <f>+'q24'!$A$17</f>
        <v>Portalegre</v>
      </c>
      <c r="C113" s="426">
        <f>+'q24'!$B$17</f>
        <v>754.22</v>
      </c>
      <c r="D113" s="426">
        <f>+'q24'!$C$17</f>
        <v>755.71</v>
      </c>
      <c r="E113" s="426">
        <f>+'q24'!$D$17</f>
        <v>767.83</v>
      </c>
      <c r="F113" s="426">
        <f>+'q24'!$E$17</f>
        <v>783.59</v>
      </c>
      <c r="G113" s="426">
        <f>+'q24'!$F$17</f>
        <v>805.96</v>
      </c>
      <c r="H113" s="426">
        <f>+'q24'!$G$17</f>
        <v>828.76</v>
      </c>
      <c r="I113" s="426">
        <f>+'q24'!$H$17</f>
        <v>863.38</v>
      </c>
      <c r="J113" s="426">
        <f>+'q24'!$I$17</f>
        <v>899.36</v>
      </c>
      <c r="K113" s="426">
        <f>+'q24'!$J$17</f>
        <v>939.13</v>
      </c>
      <c r="L113" s="426">
        <f>+'q24'!$K$17</f>
        <v>990.36</v>
      </c>
      <c r="M113" s="426">
        <f>+'q24'!$L$17</f>
        <v>1064.08</v>
      </c>
      <c r="N113" s="421">
        <f t="shared" si="25"/>
        <v>309.8599999999999</v>
      </c>
      <c r="AA113" s="421" t="s">
        <v>301</v>
      </c>
      <c r="AB113" s="446">
        <f>ROUND(AG105,1)</f>
        <v>36.299999999999997</v>
      </c>
      <c r="AC113" s="421" t="str">
        <f>+TEXT(AB113,"##.##0,0")</f>
        <v>36,3</v>
      </c>
      <c r="AE113" s="957"/>
      <c r="AF113" s="957"/>
      <c r="AG113" s="957"/>
      <c r="AH113" s="957"/>
      <c r="AI113" s="957"/>
      <c r="BC113" s="478"/>
    </row>
    <row r="114" spans="1:55">
      <c r="B114" s="423" t="str">
        <f>+'q24'!$A$18</f>
        <v>Porto</v>
      </c>
      <c r="C114" s="426">
        <f>+'q24'!$B$18</f>
        <v>870.08</v>
      </c>
      <c r="D114" s="426">
        <f>+'q24'!$C$18</f>
        <v>879.09</v>
      </c>
      <c r="E114" s="426">
        <f>+'q24'!$D$18</f>
        <v>891.71</v>
      </c>
      <c r="F114" s="426">
        <f>+'q24'!$E$18</f>
        <v>908.25</v>
      </c>
      <c r="G114" s="426">
        <f>+'q24'!$F$18</f>
        <v>944.92</v>
      </c>
      <c r="H114" s="426">
        <f>+'q24'!$G$18</f>
        <v>983.5</v>
      </c>
      <c r="I114" s="426">
        <f>+'q24'!$H$18</f>
        <v>1030.3399999999999</v>
      </c>
      <c r="J114" s="426">
        <f>+'q24'!$I$18</f>
        <v>1072.1600000000001</v>
      </c>
      <c r="K114" s="426">
        <f>+'q24'!$J$18</f>
        <v>1135.73</v>
      </c>
      <c r="L114" s="426">
        <f>+'q24'!$K$18</f>
        <v>1212.5</v>
      </c>
      <c r="M114" s="426">
        <f>+'q24'!$L$18</f>
        <v>1321.62</v>
      </c>
      <c r="N114" s="421">
        <f t="shared" si="25"/>
        <v>451.53999999999985</v>
      </c>
      <c r="AA114" s="421" t="s">
        <v>895</v>
      </c>
      <c r="AE114" s="957"/>
      <c r="AF114" s="957"/>
      <c r="AG114" s="957"/>
      <c r="AH114" s="957"/>
      <c r="AI114" s="957"/>
      <c r="BC114" s="478"/>
    </row>
    <row r="115" spans="1:55">
      <c r="B115" s="423" t="str">
        <f>+'q24'!$A$19</f>
        <v>Santarém</v>
      </c>
      <c r="C115" s="426">
        <f>+'q24'!$B$19</f>
        <v>786.64</v>
      </c>
      <c r="D115" s="426">
        <f>+'q24'!$C$19</f>
        <v>793.64</v>
      </c>
      <c r="E115" s="426">
        <f>+'q24'!$D$19</f>
        <v>799.15</v>
      </c>
      <c r="F115" s="426">
        <f>+'q24'!$E$19</f>
        <v>823.03</v>
      </c>
      <c r="G115" s="426">
        <f>+'q24'!$F$19</f>
        <v>842.95</v>
      </c>
      <c r="H115" s="426">
        <f>+'q24'!$G$19</f>
        <v>867.34</v>
      </c>
      <c r="I115" s="426">
        <f>+'q24'!$H$19</f>
        <v>899.19</v>
      </c>
      <c r="J115" s="426">
        <f>+'q24'!$I$19</f>
        <v>933.03</v>
      </c>
      <c r="K115" s="426">
        <f>+'q24'!$J$19</f>
        <v>975.12</v>
      </c>
      <c r="L115" s="426">
        <f>+'q24'!$K$19</f>
        <v>1038.8499999999999</v>
      </c>
      <c r="M115" s="426">
        <f>+'q24'!$L$19</f>
        <v>1107.74</v>
      </c>
      <c r="N115" s="421">
        <f t="shared" si="25"/>
        <v>321.10000000000002</v>
      </c>
      <c r="AA115" s="421" t="s">
        <v>302</v>
      </c>
      <c r="AB115" s="421" t="str">
        <f>+AI102</f>
        <v>, +</v>
      </c>
      <c r="BC115" s="478"/>
    </row>
    <row r="116" spans="1:55">
      <c r="B116" s="423" t="str">
        <f>+'q24'!$A$20</f>
        <v>Setúbal</v>
      </c>
      <c r="C116" s="426">
        <f>+'q24'!$B$20</f>
        <v>945.37</v>
      </c>
      <c r="D116" s="426">
        <f>+'q24'!$C$20</f>
        <v>958.98</v>
      </c>
      <c r="E116" s="426">
        <f>+'q24'!$D$20</f>
        <v>979.51</v>
      </c>
      <c r="F116" s="426">
        <f>+'q24'!$E$20</f>
        <v>989.54</v>
      </c>
      <c r="G116" s="426">
        <f>+'q24'!$F$20</f>
        <v>1000.04</v>
      </c>
      <c r="H116" s="426">
        <f>+'q24'!$G$20</f>
        <v>1024.46</v>
      </c>
      <c r="I116" s="426">
        <f>+'q24'!$H$20</f>
        <v>1059.24</v>
      </c>
      <c r="J116" s="426">
        <f>+'q24'!$I$20</f>
        <v>1079.74</v>
      </c>
      <c r="K116" s="426">
        <f>+'q24'!$J$20</f>
        <v>1127.3900000000001</v>
      </c>
      <c r="L116" s="426">
        <f>+'q24'!$K$20</f>
        <v>1192.6099999999999</v>
      </c>
      <c r="M116" s="426">
        <f>+'q24'!$L$20</f>
        <v>1278.47</v>
      </c>
      <c r="N116" s="421">
        <f t="shared" si="25"/>
        <v>333.1</v>
      </c>
      <c r="AA116" s="421" t="s">
        <v>303</v>
      </c>
      <c r="AB116" s="443" t="str">
        <f>TEXT(AJ102,"##.###,0")</f>
        <v>417,3</v>
      </c>
      <c r="BC116" s="478"/>
    </row>
    <row r="117" spans="1:55">
      <c r="B117" s="423" t="str">
        <f>+'q24'!$A$21</f>
        <v>Viana do Castelo</v>
      </c>
      <c r="C117" s="426">
        <f>+'q24'!$B$21</f>
        <v>729.89</v>
      </c>
      <c r="D117" s="426">
        <f>+'q24'!$C$21</f>
        <v>741.65</v>
      </c>
      <c r="E117" s="426">
        <f>+'q24'!$D$21</f>
        <v>746.72</v>
      </c>
      <c r="F117" s="426">
        <f>+'q24'!$E$21</f>
        <v>782.27</v>
      </c>
      <c r="G117" s="426">
        <f>+'q24'!$F$21</f>
        <v>802.92</v>
      </c>
      <c r="H117" s="426">
        <f>+'q24'!$G$21</f>
        <v>834.97</v>
      </c>
      <c r="I117" s="426">
        <f>+'q24'!$H$21</f>
        <v>865.76</v>
      </c>
      <c r="J117" s="426">
        <f>+'q24'!$I$21</f>
        <v>907.38</v>
      </c>
      <c r="K117" s="426">
        <f>+'q24'!$J$21</f>
        <v>955.67</v>
      </c>
      <c r="L117" s="426">
        <f>+'q24'!$K$21</f>
        <v>1022.16</v>
      </c>
      <c r="M117" s="426">
        <f>+'q24'!$L$21</f>
        <v>1098.82</v>
      </c>
      <c r="N117" s="421">
        <f t="shared" si="25"/>
        <v>368.92999999999995</v>
      </c>
      <c r="AA117" s="421" t="s">
        <v>736</v>
      </c>
      <c r="AC117" s="421" t="s">
        <v>659</v>
      </c>
    </row>
    <row r="118" spans="1:55">
      <c r="B118" s="423" t="str">
        <f>+'q24'!$A$22</f>
        <v>Vila Real</v>
      </c>
      <c r="C118" s="426">
        <f>+'q24'!$B$22</f>
        <v>740.77</v>
      </c>
      <c r="D118" s="426">
        <f>+'q24'!$C$22</f>
        <v>744.14</v>
      </c>
      <c r="E118" s="426">
        <f>+'q24'!$D$22</f>
        <v>756.43</v>
      </c>
      <c r="F118" s="426">
        <f>+'q24'!$E$22</f>
        <v>776.75</v>
      </c>
      <c r="G118" s="426">
        <f>+'q24'!$F$22</f>
        <v>799.21</v>
      </c>
      <c r="H118" s="426">
        <f>+'q24'!$G$22</f>
        <v>826.76</v>
      </c>
      <c r="I118" s="426">
        <f>+'q24'!$H$22</f>
        <v>851.92</v>
      </c>
      <c r="J118" s="426">
        <f>+'q24'!$I$22</f>
        <v>878.43</v>
      </c>
      <c r="K118" s="426">
        <f>+'q24'!$J$22</f>
        <v>927.79</v>
      </c>
      <c r="L118" s="426">
        <f>+'q24'!$K$22</f>
        <v>997.39</v>
      </c>
      <c r="M118" s="426">
        <f>+'q24'!$L$22</f>
        <v>1064.3399999999999</v>
      </c>
      <c r="N118" s="421">
        <f t="shared" si="25"/>
        <v>323.56999999999994</v>
      </c>
      <c r="AA118" s="421" t="s">
        <v>305</v>
      </c>
      <c r="AB118" s="443" t="str">
        <f>+AE103</f>
        <v>1.896,5</v>
      </c>
    </row>
    <row r="119" spans="1:55">
      <c r="B119" s="423" t="str">
        <f>+'q24'!$A$23</f>
        <v>Viseu</v>
      </c>
      <c r="C119" s="426">
        <f>+'q24'!$B$23</f>
        <v>734.34</v>
      </c>
      <c r="D119" s="426">
        <f>+'q24'!$C$23</f>
        <v>737.12</v>
      </c>
      <c r="E119" s="426">
        <f>+'q24'!$D$23</f>
        <v>749.63</v>
      </c>
      <c r="F119" s="426">
        <f>+'q24'!$E$23</f>
        <v>768.57</v>
      </c>
      <c r="G119" s="426">
        <f>+'q24'!$F$23</f>
        <v>793.7</v>
      </c>
      <c r="H119" s="426">
        <f>+'q24'!$G$23</f>
        <v>822.97</v>
      </c>
      <c r="I119" s="426">
        <f>+'q24'!$H$23</f>
        <v>854.37</v>
      </c>
      <c r="J119" s="426">
        <f>+'q24'!$I$23</f>
        <v>902.63</v>
      </c>
      <c r="K119" s="426">
        <f>+'q24'!$J$23</f>
        <v>932.68</v>
      </c>
      <c r="L119" s="426">
        <f>+'q24'!$K$23</f>
        <v>998.93</v>
      </c>
      <c r="M119" s="426">
        <f>+'q24'!$L$23</f>
        <v>1067.4100000000001</v>
      </c>
      <c r="N119" s="421">
        <f t="shared" si="25"/>
        <v>333.07000000000005</v>
      </c>
      <c r="AA119" s="421" t="s">
        <v>737</v>
      </c>
    </row>
    <row r="120" spans="1:55">
      <c r="B120" s="423" t="s">
        <v>13</v>
      </c>
      <c r="C120" s="426">
        <f>+'q24'!$B$5</f>
        <v>909.49</v>
      </c>
      <c r="D120" s="426">
        <f>+'q24'!$C$5</f>
        <v>913.93</v>
      </c>
      <c r="E120" s="426">
        <f>+'q24'!$D$5</f>
        <v>924.94</v>
      </c>
      <c r="F120" s="426">
        <f>+'q24'!$E$5</f>
        <v>943</v>
      </c>
      <c r="G120" s="426">
        <f>+'q24'!$F$5</f>
        <v>970.42</v>
      </c>
      <c r="H120" s="426">
        <f>+'q24'!$G$5</f>
        <v>1005.09</v>
      </c>
      <c r="I120" s="426">
        <f>+'q24'!$H$5</f>
        <v>1041.99</v>
      </c>
      <c r="J120" s="426">
        <f>+'q24'!$I$5</f>
        <v>1082.77</v>
      </c>
      <c r="K120" s="426">
        <f>+'q24'!$J$5</f>
        <v>1143.45</v>
      </c>
      <c r="L120" s="426">
        <f>+'q24'!$K$5</f>
        <v>1219.8699999999999</v>
      </c>
      <c r="M120" s="426">
        <f>+'q24'!$L$5</f>
        <v>1308.96</v>
      </c>
      <c r="N120" s="421">
        <f t="shared" si="25"/>
        <v>399.47</v>
      </c>
      <c r="AA120" s="421" t="s">
        <v>306</v>
      </c>
      <c r="AB120" s="446">
        <f>ROUND(AG106,1)</f>
        <v>36.200000000000003</v>
      </c>
      <c r="AC120" s="421" t="str">
        <f>+TEXT(AB120,"##.##0,0")</f>
        <v>36,2</v>
      </c>
    </row>
    <row r="121" spans="1:55">
      <c r="A121" s="423" t="s">
        <v>257</v>
      </c>
      <c r="C121" s="425">
        <f>+'q36'!$B$4</f>
        <v>2014</v>
      </c>
      <c r="D121" s="425">
        <f>+'q36'!$C$4</f>
        <v>2015</v>
      </c>
      <c r="E121" s="425">
        <f>+'q36'!$D$4</f>
        <v>2016</v>
      </c>
      <c r="F121" s="425">
        <f>+'q36'!$E$4</f>
        <v>2017</v>
      </c>
      <c r="G121" s="425">
        <f>+'q36'!$F$4</f>
        <v>2018</v>
      </c>
      <c r="H121" s="425">
        <f>+'q36'!$G$4</f>
        <v>2019</v>
      </c>
      <c r="I121" s="425">
        <f>+'q36'!$H$4</f>
        <v>2020</v>
      </c>
      <c r="J121" s="425">
        <f>+'q36'!$I$4</f>
        <v>2021</v>
      </c>
      <c r="K121" s="425">
        <f>+'q36'!$J$4</f>
        <v>2022</v>
      </c>
      <c r="L121" s="425">
        <f>+'q36'!$K$4</f>
        <v>2023</v>
      </c>
      <c r="M121" s="425">
        <f>+'q36'!$L$4</f>
        <v>2024</v>
      </c>
      <c r="N121" s="421">
        <f t="shared" si="25"/>
        <v>10</v>
      </c>
      <c r="AA121" s="421" t="s">
        <v>895</v>
      </c>
    </row>
    <row r="122" spans="1:55">
      <c r="B122" s="423" t="str">
        <f>+'q36'!$A$6</f>
        <v>Aveiro</v>
      </c>
      <c r="C122" s="426">
        <f>+'q36'!$B$6</f>
        <v>971.91</v>
      </c>
      <c r="D122" s="426">
        <f>+'q36'!$C$6</f>
        <v>984.24</v>
      </c>
      <c r="E122" s="426">
        <f>+'q36'!$D$6</f>
        <v>1001.02</v>
      </c>
      <c r="F122" s="426">
        <f>+'q36'!$E$6</f>
        <v>1028.8399999999999</v>
      </c>
      <c r="G122" s="426">
        <f>+'q36'!$F$6</f>
        <v>1070.6300000000001</v>
      </c>
      <c r="H122" s="426">
        <f>+'q36'!$G$6</f>
        <v>1111.21</v>
      </c>
      <c r="I122" s="426">
        <f>+'q36'!$H$6</f>
        <v>1147</v>
      </c>
      <c r="J122" s="426">
        <f>+'q36'!$I$6</f>
        <v>1177.95</v>
      </c>
      <c r="K122" s="426">
        <f>+'q36'!$J$6</f>
        <v>1252.03</v>
      </c>
      <c r="L122" s="426">
        <f>+'q36'!$K$6</f>
        <v>1348.68</v>
      </c>
      <c r="M122" s="426">
        <f>+'q36'!$L$6</f>
        <v>1454.71</v>
      </c>
      <c r="N122" s="421">
        <f t="shared" si="25"/>
        <v>482.80000000000007</v>
      </c>
      <c r="AA122" s="421" t="s">
        <v>307</v>
      </c>
      <c r="AB122" s="421" t="str">
        <f>+AI103</f>
        <v>, +</v>
      </c>
    </row>
    <row r="123" spans="1:55">
      <c r="B123" s="423" t="str">
        <f>+'q36'!$A$7</f>
        <v>Beja</v>
      </c>
      <c r="C123" s="426">
        <f>+'q36'!$B$7</f>
        <v>983.84</v>
      </c>
      <c r="D123" s="426">
        <f>+'q36'!$C$7</f>
        <v>984.04</v>
      </c>
      <c r="E123" s="426">
        <f>+'q36'!$D$7</f>
        <v>981.92</v>
      </c>
      <c r="F123" s="426">
        <f>+'q36'!$E$7</f>
        <v>1009.59</v>
      </c>
      <c r="G123" s="426">
        <f>+'q36'!$F$7</f>
        <v>1059.6099999999999</v>
      </c>
      <c r="H123" s="426">
        <f>+'q36'!$G$7</f>
        <v>1062.3599999999999</v>
      </c>
      <c r="I123" s="426">
        <f>+'q36'!$H$7</f>
        <v>1092.76</v>
      </c>
      <c r="J123" s="426">
        <f>+'q36'!$I$7</f>
        <v>1153.3900000000001</v>
      </c>
      <c r="K123" s="426">
        <f>+'q36'!$J$7</f>
        <v>1192.76</v>
      </c>
      <c r="L123" s="426">
        <f>+'q36'!$K$7</f>
        <v>1305.52</v>
      </c>
      <c r="M123" s="426">
        <f>+'q36'!$L$7</f>
        <v>1376.09</v>
      </c>
      <c r="N123" s="421">
        <f t="shared" si="25"/>
        <v>392.24999999999989</v>
      </c>
      <c r="AA123" s="421" t="s">
        <v>308</v>
      </c>
      <c r="AB123" s="443" t="str">
        <f>TEXT(AJ103,"##.###,0")</f>
        <v>504,1</v>
      </c>
    </row>
    <row r="124" spans="1:55">
      <c r="B124" s="423" t="str">
        <f>+'q36'!$A$8</f>
        <v>Braga</v>
      </c>
      <c r="C124" s="426">
        <f>+'q36'!$B$8</f>
        <v>876.17</v>
      </c>
      <c r="D124" s="426">
        <f>+'q36'!$C$8</f>
        <v>880.48</v>
      </c>
      <c r="E124" s="426">
        <f>+'q36'!$D$8</f>
        <v>895.72</v>
      </c>
      <c r="F124" s="426">
        <f>+'q36'!$E$8</f>
        <v>929.88</v>
      </c>
      <c r="G124" s="426">
        <f>+'q36'!$F$8</f>
        <v>968.01</v>
      </c>
      <c r="H124" s="426">
        <f>+'q36'!$G$8</f>
        <v>1012.37</v>
      </c>
      <c r="I124" s="426">
        <f>+'q36'!$H$8</f>
        <v>1057.55</v>
      </c>
      <c r="J124" s="426">
        <f>+'q36'!$I$8</f>
        <v>1105.67</v>
      </c>
      <c r="K124" s="426">
        <f>+'q36'!$J$8</f>
        <v>1156.32</v>
      </c>
      <c r="L124" s="426">
        <f>+'q36'!$K$8</f>
        <v>1244.8900000000001</v>
      </c>
      <c r="M124" s="426">
        <f>+'q36'!$L$8</f>
        <v>1361.73</v>
      </c>
      <c r="N124" s="421">
        <f t="shared" si="25"/>
        <v>485.56000000000006</v>
      </c>
      <c r="AA124" s="421" t="s">
        <v>736</v>
      </c>
      <c r="AC124" s="421" t="s">
        <v>397</v>
      </c>
    </row>
    <row r="125" spans="1:55">
      <c r="B125" s="423" t="str">
        <f>+'q36'!$A$9</f>
        <v>Bragança</v>
      </c>
      <c r="C125" s="426">
        <f>+'q36'!$B$9</f>
        <v>838.71</v>
      </c>
      <c r="D125" s="426">
        <f>+'q36'!$C$9</f>
        <v>838.85</v>
      </c>
      <c r="E125" s="426">
        <f>+'q36'!$D$9</f>
        <v>858.81</v>
      </c>
      <c r="F125" s="426">
        <f>+'q36'!$E$9</f>
        <v>882.59</v>
      </c>
      <c r="G125" s="426">
        <f>+'q36'!$F$9</f>
        <v>910.81</v>
      </c>
      <c r="H125" s="426">
        <f>+'q36'!$G$9</f>
        <v>944.95</v>
      </c>
      <c r="I125" s="426">
        <f>+'q36'!$H$9</f>
        <v>977.7</v>
      </c>
      <c r="J125" s="426">
        <f>+'q36'!$I$9</f>
        <v>1012.23</v>
      </c>
      <c r="K125" s="426">
        <f>+'q36'!$J$9</f>
        <v>1054.3699999999999</v>
      </c>
      <c r="L125" s="426">
        <f>+'q36'!$K$9</f>
        <v>1136.1600000000001</v>
      </c>
      <c r="M125" s="426">
        <f>+'q36'!$L$9</f>
        <v>1251.51</v>
      </c>
      <c r="N125" s="421">
        <f t="shared" si="25"/>
        <v>412.79999999999995</v>
      </c>
    </row>
    <row r="126" spans="1:55">
      <c r="B126" s="423" t="str">
        <f>+'q36'!$A$10</f>
        <v>Castelo Branco</v>
      </c>
      <c r="C126" s="426">
        <f>+'q36'!$B$10</f>
        <v>853.23</v>
      </c>
      <c r="D126" s="426">
        <f>+'q36'!$C$10</f>
        <v>858.65</v>
      </c>
      <c r="E126" s="426">
        <f>+'q36'!$D$10</f>
        <v>875.03</v>
      </c>
      <c r="F126" s="426">
        <f>+'q36'!$E$10</f>
        <v>904.07</v>
      </c>
      <c r="G126" s="426">
        <f>+'q36'!$F$10</f>
        <v>935.09</v>
      </c>
      <c r="H126" s="426">
        <f>+'q36'!$G$10</f>
        <v>971.15</v>
      </c>
      <c r="I126" s="426">
        <f>+'q36'!$H$10</f>
        <v>1010.47</v>
      </c>
      <c r="J126" s="426">
        <f>+'q36'!$I$10</f>
        <v>1053.79</v>
      </c>
      <c r="K126" s="426">
        <f>+'q36'!$J$10</f>
        <v>1106.6500000000001</v>
      </c>
      <c r="L126" s="426">
        <f>+'q36'!$K$10</f>
        <v>1180.77</v>
      </c>
      <c r="M126" s="426">
        <f>+'q36'!$L$10</f>
        <v>1279.54</v>
      </c>
      <c r="N126" s="421">
        <f t="shared" si="25"/>
        <v>426.30999999999995</v>
      </c>
    </row>
    <row r="127" spans="1:55">
      <c r="B127" s="423" t="str">
        <f>+'q36'!$A$11</f>
        <v>Coimbra</v>
      </c>
      <c r="C127" s="426">
        <f>+'q36'!$B$11</f>
        <v>966.21</v>
      </c>
      <c r="D127" s="426">
        <f>+'q36'!$C$11</f>
        <v>967</v>
      </c>
      <c r="E127" s="426">
        <f>+'q36'!$D$11</f>
        <v>990.53</v>
      </c>
      <c r="F127" s="426">
        <f>+'q36'!$E$11</f>
        <v>1018.25</v>
      </c>
      <c r="G127" s="426">
        <f>+'q36'!$F$11</f>
        <v>1053.3599999999999</v>
      </c>
      <c r="H127" s="426">
        <f>+'q36'!$G$11</f>
        <v>1094.1400000000001</v>
      </c>
      <c r="I127" s="426">
        <f>+'q36'!$H$11</f>
        <v>1118.0999999999999</v>
      </c>
      <c r="J127" s="426">
        <f>+'q36'!$I$11</f>
        <v>1169.3900000000001</v>
      </c>
      <c r="K127" s="426">
        <f>+'q36'!$J$11</f>
        <v>1222.97</v>
      </c>
      <c r="L127" s="426">
        <f>+'q36'!$K$11</f>
        <v>1317.31</v>
      </c>
      <c r="M127" s="426">
        <f>+'q36'!$L$11</f>
        <v>1422.04</v>
      </c>
      <c r="N127" s="421">
        <f t="shared" si="25"/>
        <v>455.82999999999993</v>
      </c>
    </row>
    <row r="128" spans="1:55">
      <c r="B128" s="423" t="str">
        <f>+'q36'!$A$12</f>
        <v>Évora</v>
      </c>
      <c r="C128" s="426">
        <f>+'q36'!$B$12</f>
        <v>955.65</v>
      </c>
      <c r="D128" s="426">
        <f>+'q36'!$C$12</f>
        <v>956.12</v>
      </c>
      <c r="E128" s="426">
        <f>+'q36'!$D$12</f>
        <v>967.64</v>
      </c>
      <c r="F128" s="426">
        <f>+'q36'!$E$12</f>
        <v>992.35</v>
      </c>
      <c r="G128" s="426">
        <f>+'q36'!$F$12</f>
        <v>1020.7</v>
      </c>
      <c r="H128" s="426">
        <f>+'q36'!$G$12</f>
        <v>1045.47</v>
      </c>
      <c r="I128" s="426">
        <f>+'q36'!$H$12</f>
        <v>1086.77</v>
      </c>
      <c r="J128" s="426">
        <f>+'q36'!$I$12</f>
        <v>1127.29</v>
      </c>
      <c r="K128" s="426">
        <f>+'q36'!$J$12</f>
        <v>1190.57</v>
      </c>
      <c r="L128" s="426">
        <f>+'q36'!$K$12</f>
        <v>1271.71</v>
      </c>
      <c r="M128" s="426">
        <f>+'q36'!$L$12</f>
        <v>1371.98</v>
      </c>
      <c r="N128" s="421">
        <f t="shared" si="25"/>
        <v>416.33000000000004</v>
      </c>
    </row>
    <row r="129" spans="2:14">
      <c r="B129" s="423" t="str">
        <f>+'q36'!$A$13</f>
        <v>Faro</v>
      </c>
      <c r="C129" s="426">
        <f>+'q36'!$B$13</f>
        <v>927.58</v>
      </c>
      <c r="D129" s="426">
        <f>+'q36'!$C$13</f>
        <v>926.13</v>
      </c>
      <c r="E129" s="426">
        <f>+'q36'!$D$13</f>
        <v>942.73</v>
      </c>
      <c r="F129" s="426">
        <f>+'q36'!$E$13</f>
        <v>968.19</v>
      </c>
      <c r="G129" s="426">
        <f>+'q36'!$F$13</f>
        <v>999.05</v>
      </c>
      <c r="H129" s="426">
        <f>+'q36'!$G$13</f>
        <v>1029.01</v>
      </c>
      <c r="I129" s="426">
        <f>+'q36'!$H$13</f>
        <v>1070.96</v>
      </c>
      <c r="J129" s="426">
        <f>+'q36'!$I$13</f>
        <v>1106.32</v>
      </c>
      <c r="K129" s="426">
        <f>+'q36'!$J$13</f>
        <v>1150.81</v>
      </c>
      <c r="L129" s="426">
        <f>+'q36'!$K$13</f>
        <v>1238.68</v>
      </c>
      <c r="M129" s="426">
        <f>+'q36'!$L$13</f>
        <v>1320.22</v>
      </c>
      <c r="N129" s="421">
        <f t="shared" si="25"/>
        <v>392.64</v>
      </c>
    </row>
    <row r="130" spans="2:14">
      <c r="B130" s="423" t="str">
        <f>+'q36'!$A$14</f>
        <v>Guarda</v>
      </c>
      <c r="C130" s="426">
        <f>+'q36'!$B$14</f>
        <v>830.16</v>
      </c>
      <c r="D130" s="426">
        <f>+'q36'!$C$14</f>
        <v>837.53</v>
      </c>
      <c r="E130" s="426">
        <f>+'q36'!$D$14</f>
        <v>857.61</v>
      </c>
      <c r="F130" s="426">
        <f>+'q36'!$E$14</f>
        <v>896.02</v>
      </c>
      <c r="G130" s="426">
        <f>+'q36'!$F$14</f>
        <v>934.77</v>
      </c>
      <c r="H130" s="426">
        <f>+'q36'!$G$14</f>
        <v>973.04</v>
      </c>
      <c r="I130" s="426">
        <f>+'q36'!$H$14</f>
        <v>1010.86</v>
      </c>
      <c r="J130" s="426">
        <f>+'q36'!$I$14</f>
        <v>1047.3699999999999</v>
      </c>
      <c r="K130" s="426">
        <f>+'q36'!$J$14</f>
        <v>1100.0999999999999</v>
      </c>
      <c r="L130" s="426">
        <f>+'q36'!$K$14</f>
        <v>1176.51</v>
      </c>
      <c r="M130" s="426">
        <f>+'q36'!$L$14</f>
        <v>1289.44</v>
      </c>
      <c r="N130" s="421">
        <f t="shared" si="25"/>
        <v>459.28000000000009</v>
      </c>
    </row>
    <row r="131" spans="2:14">
      <c r="B131" s="423" t="str">
        <f>+'q36'!$A$15</f>
        <v>Leiria</v>
      </c>
      <c r="C131" s="426">
        <f>+'q36'!$B$15</f>
        <v>953.78</v>
      </c>
      <c r="D131" s="426">
        <f>+'q36'!$C$15</f>
        <v>959.4</v>
      </c>
      <c r="E131" s="426">
        <f>+'q36'!$D$15</f>
        <v>975.87</v>
      </c>
      <c r="F131" s="426">
        <f>+'q36'!$E$15</f>
        <v>1005.47</v>
      </c>
      <c r="G131" s="426">
        <f>+'q36'!$F$15</f>
        <v>1040.3800000000001</v>
      </c>
      <c r="H131" s="426">
        <f>+'q36'!$G$15</f>
        <v>1073.6500000000001</v>
      </c>
      <c r="I131" s="426">
        <f>+'q36'!$H$15</f>
        <v>1108.21</v>
      </c>
      <c r="J131" s="426">
        <f>+'q36'!$I$15</f>
        <v>1156.54</v>
      </c>
      <c r="K131" s="426">
        <f>+'q36'!$J$15</f>
        <v>1211.27</v>
      </c>
      <c r="L131" s="426">
        <f>+'q36'!$K$15</f>
        <v>1289.3599999999999</v>
      </c>
      <c r="M131" s="426">
        <f>+'q36'!$L$15</f>
        <v>1392.79</v>
      </c>
      <c r="N131" s="421">
        <f t="shared" si="25"/>
        <v>439.01</v>
      </c>
    </row>
    <row r="132" spans="2:14">
      <c r="B132" s="423" t="str">
        <f>+'q36'!$A$16</f>
        <v>Lisboa</v>
      </c>
      <c r="C132" s="426">
        <f>+'q36'!$B$16</f>
        <v>1392.42</v>
      </c>
      <c r="D132" s="426">
        <f>+'q36'!$C$16</f>
        <v>1391.17</v>
      </c>
      <c r="E132" s="426">
        <f>+'q36'!$D$16</f>
        <v>1395.75</v>
      </c>
      <c r="F132" s="426">
        <f>+'q36'!$E$16</f>
        <v>1416.56</v>
      </c>
      <c r="G132" s="426">
        <f>+'q36'!$F$16</f>
        <v>1449.43</v>
      </c>
      <c r="H132" s="426">
        <f>+'q36'!$G$16</f>
        <v>1487.75</v>
      </c>
      <c r="I132" s="426">
        <f>+'q36'!$H$16</f>
        <v>1526.77</v>
      </c>
      <c r="J132" s="426">
        <f>+'q36'!$I$16</f>
        <v>1576.15</v>
      </c>
      <c r="K132" s="426">
        <f>+'q36'!$J$16</f>
        <v>1668.92</v>
      </c>
      <c r="L132" s="426">
        <f>+'q36'!$K$16</f>
        <v>1779.36</v>
      </c>
      <c r="M132" s="426">
        <f>+'q36'!$L$16</f>
        <v>1896.51</v>
      </c>
      <c r="N132" s="421">
        <f t="shared" si="25"/>
        <v>504.08999999999992</v>
      </c>
    </row>
    <row r="133" spans="2:14">
      <c r="B133" s="423" t="str">
        <f>+'q36'!$A$17</f>
        <v>Portalegre</v>
      </c>
      <c r="C133" s="426">
        <f>+'q36'!$B$17</f>
        <v>897.83</v>
      </c>
      <c r="D133" s="426">
        <f>+'q36'!$C$17</f>
        <v>901.87</v>
      </c>
      <c r="E133" s="426">
        <f>+'q36'!$D$17</f>
        <v>915.42</v>
      </c>
      <c r="F133" s="426">
        <f>+'q36'!$E$17</f>
        <v>934.83</v>
      </c>
      <c r="G133" s="426">
        <f>+'q36'!$F$17</f>
        <v>968.23</v>
      </c>
      <c r="H133" s="426">
        <f>+'q36'!$G$17</f>
        <v>989.48</v>
      </c>
      <c r="I133" s="426">
        <f>+'q36'!$H$17</f>
        <v>1029.47</v>
      </c>
      <c r="J133" s="426">
        <f>+'q36'!$I$17</f>
        <v>1078.92</v>
      </c>
      <c r="K133" s="426">
        <f>+'q36'!$J$17</f>
        <v>1126.5999999999999</v>
      </c>
      <c r="L133" s="426">
        <f>+'q36'!$K$17</f>
        <v>1197.92</v>
      </c>
      <c r="M133" s="426">
        <f>+'q36'!$L$17</f>
        <v>1295.3599999999999</v>
      </c>
      <c r="N133" s="421">
        <f t="shared" si="25"/>
        <v>397.52999999999986</v>
      </c>
    </row>
    <row r="134" spans="2:14">
      <c r="B134" s="423" t="str">
        <f>+'q36'!$A$18</f>
        <v>Porto</v>
      </c>
      <c r="C134" s="426">
        <f>+'q36'!$B$18</f>
        <v>1041.1099999999999</v>
      </c>
      <c r="D134" s="426">
        <f>+'q36'!$C$18</f>
        <v>1048.67</v>
      </c>
      <c r="E134" s="426">
        <f>+'q36'!$D$18</f>
        <v>1058.57</v>
      </c>
      <c r="F134" s="426">
        <f>+'q36'!$E$18</f>
        <v>1082.4000000000001</v>
      </c>
      <c r="G134" s="426">
        <f>+'q36'!$F$18</f>
        <v>1128.55</v>
      </c>
      <c r="H134" s="426">
        <f>+'q36'!$G$18</f>
        <v>1173.8800000000001</v>
      </c>
      <c r="I134" s="426">
        <f>+'q36'!$H$18</f>
        <v>1224.71</v>
      </c>
      <c r="J134" s="426">
        <f>+'q36'!$I$18</f>
        <v>1267.81</v>
      </c>
      <c r="K134" s="426">
        <f>+'q36'!$J$18</f>
        <v>1343.18</v>
      </c>
      <c r="L134" s="426">
        <f>+'q36'!$K$18</f>
        <v>1444.09</v>
      </c>
      <c r="M134" s="426">
        <f>+'q36'!$L$18</f>
        <v>1583.93</v>
      </c>
      <c r="N134" s="421">
        <f t="shared" si="25"/>
        <v>542.82000000000016</v>
      </c>
    </row>
    <row r="135" spans="2:14">
      <c r="B135" s="423" t="str">
        <f>+'q36'!$A$19</f>
        <v>Santarém</v>
      </c>
      <c r="C135" s="426">
        <f>+'q36'!$B$19</f>
        <v>948.38</v>
      </c>
      <c r="D135" s="426">
        <f>+'q36'!$C$19</f>
        <v>957.21</v>
      </c>
      <c r="E135" s="426">
        <f>+'q36'!$D$19</f>
        <v>962.52</v>
      </c>
      <c r="F135" s="426">
        <f>+'q36'!$E$19</f>
        <v>990.46</v>
      </c>
      <c r="G135" s="426">
        <f>+'q36'!$F$19</f>
        <v>1023.31</v>
      </c>
      <c r="H135" s="426">
        <f>+'q36'!$G$19</f>
        <v>1050.52</v>
      </c>
      <c r="I135" s="426">
        <f>+'q36'!$H$19</f>
        <v>1086.33</v>
      </c>
      <c r="J135" s="426">
        <f>+'q36'!$I$19</f>
        <v>1122.5899999999999</v>
      </c>
      <c r="K135" s="426">
        <f>+'q36'!$J$19</f>
        <v>1182.04</v>
      </c>
      <c r="L135" s="426">
        <f>+'q36'!$K$19</f>
        <v>1264.1500000000001</v>
      </c>
      <c r="M135" s="426">
        <f>+'q36'!$L$19</f>
        <v>1369.46</v>
      </c>
      <c r="N135" s="421">
        <f t="shared" si="25"/>
        <v>421.08000000000004</v>
      </c>
    </row>
    <row r="136" spans="2:14">
      <c r="B136" s="423" t="str">
        <f>+'q36'!$A$20</f>
        <v>Setúbal</v>
      </c>
      <c r="C136" s="426">
        <f>+'q36'!$B$20</f>
        <v>1148.6600000000001</v>
      </c>
      <c r="D136" s="426">
        <f>+'q36'!$C$20</f>
        <v>1162.18</v>
      </c>
      <c r="E136" s="426">
        <f>+'q36'!$D$20</f>
        <v>1190.04</v>
      </c>
      <c r="F136" s="426">
        <f>+'q36'!$E$20</f>
        <v>1207.8800000000001</v>
      </c>
      <c r="G136" s="426">
        <f>+'q36'!$F$20</f>
        <v>1219.8</v>
      </c>
      <c r="H136" s="426">
        <f>+'q36'!$G$20</f>
        <v>1249</v>
      </c>
      <c r="I136" s="426">
        <f>+'q36'!$H$20</f>
        <v>1293.57</v>
      </c>
      <c r="J136" s="426">
        <f>+'q36'!$I$20</f>
        <v>1308.51</v>
      </c>
      <c r="K136" s="426">
        <f>+'q36'!$J$20</f>
        <v>1373.25</v>
      </c>
      <c r="L136" s="426">
        <f>+'q36'!$K$20</f>
        <v>1456.04</v>
      </c>
      <c r="M136" s="426">
        <f>+'q36'!$L$20</f>
        <v>1560.37</v>
      </c>
      <c r="N136" s="421">
        <f t="shared" si="25"/>
        <v>411.70999999999981</v>
      </c>
    </row>
    <row r="137" spans="2:14">
      <c r="B137" s="423" t="str">
        <f>+'q36'!$A$21</f>
        <v>Viana do Castelo</v>
      </c>
      <c r="C137" s="426">
        <f>+'q36'!$B$21</f>
        <v>881.13</v>
      </c>
      <c r="D137" s="426">
        <f>+'q36'!$C$21</f>
        <v>895.53</v>
      </c>
      <c r="E137" s="426">
        <f>+'q36'!$D$21</f>
        <v>899.57</v>
      </c>
      <c r="F137" s="426">
        <f>+'q36'!$E$21</f>
        <v>950.1</v>
      </c>
      <c r="G137" s="426">
        <f>+'q36'!$F$21</f>
        <v>978.08</v>
      </c>
      <c r="H137" s="426">
        <f>+'q36'!$G$21</f>
        <v>1013.26</v>
      </c>
      <c r="I137" s="426">
        <f>+'q36'!$H$21</f>
        <v>1057.21</v>
      </c>
      <c r="J137" s="426">
        <f>+'q36'!$I$21</f>
        <v>1094.98</v>
      </c>
      <c r="K137" s="426">
        <f>+'q36'!$J$21</f>
        <v>1154.3399999999999</v>
      </c>
      <c r="L137" s="426">
        <f>+'q36'!$K$21</f>
        <v>1237.67</v>
      </c>
      <c r="M137" s="426">
        <f>+'q36'!$L$21</f>
        <v>1340.14</v>
      </c>
      <c r="N137" s="421">
        <f t="shared" si="25"/>
        <v>459.0100000000001</v>
      </c>
    </row>
    <row r="138" spans="2:14">
      <c r="B138" s="423" t="str">
        <f>+'q36'!$A$22</f>
        <v>Vila Real</v>
      </c>
      <c r="C138" s="426">
        <f>+'q36'!$B$22</f>
        <v>880.9</v>
      </c>
      <c r="D138" s="426">
        <f>+'q36'!$C$22</f>
        <v>893.71</v>
      </c>
      <c r="E138" s="426">
        <f>+'q36'!$D$22</f>
        <v>897.29</v>
      </c>
      <c r="F138" s="426">
        <f>+'q36'!$E$22</f>
        <v>935.06</v>
      </c>
      <c r="G138" s="426">
        <f>+'q36'!$F$22</f>
        <v>966.03</v>
      </c>
      <c r="H138" s="426">
        <f>+'q36'!$G$22</f>
        <v>994.48</v>
      </c>
      <c r="I138" s="426">
        <f>+'q36'!$H$22</f>
        <v>1017.83</v>
      </c>
      <c r="J138" s="426">
        <f>+'q36'!$I$22</f>
        <v>1045.4000000000001</v>
      </c>
      <c r="K138" s="426">
        <f>+'q36'!$J$22</f>
        <v>1104.24</v>
      </c>
      <c r="L138" s="426">
        <f>+'q36'!$K$22</f>
        <v>1185.9000000000001</v>
      </c>
      <c r="M138" s="426">
        <f>+'q36'!$L$22</f>
        <v>1278.46</v>
      </c>
      <c r="N138" s="421">
        <f t="shared" si="25"/>
        <v>397.56000000000006</v>
      </c>
    </row>
    <row r="139" spans="2:14">
      <c r="B139" s="423" t="str">
        <f>+'q36'!$A$23</f>
        <v>Viseu</v>
      </c>
      <c r="C139" s="426">
        <f>+'q36'!$B$23</f>
        <v>884.4</v>
      </c>
      <c r="D139" s="426">
        <f>+'q36'!$C$23</f>
        <v>887.05</v>
      </c>
      <c r="E139" s="426">
        <f>+'q36'!$D$23</f>
        <v>894.61</v>
      </c>
      <c r="F139" s="426">
        <f>+'q36'!$E$23</f>
        <v>922.31</v>
      </c>
      <c r="G139" s="426">
        <f>+'q36'!$F$23</f>
        <v>963.93</v>
      </c>
      <c r="H139" s="426">
        <f>+'q36'!$G$23</f>
        <v>1002.21</v>
      </c>
      <c r="I139" s="426">
        <f>+'q36'!$H$23</f>
        <v>1032.4000000000001</v>
      </c>
      <c r="J139" s="426">
        <f>+'q36'!$I$23</f>
        <v>1081.24</v>
      </c>
      <c r="K139" s="426">
        <f>+'q36'!$J$23</f>
        <v>1127.4000000000001</v>
      </c>
      <c r="L139" s="426">
        <f>+'q36'!$K$23</f>
        <v>1214.08</v>
      </c>
      <c r="M139" s="426">
        <f>+'q36'!$L$23</f>
        <v>1307.67</v>
      </c>
      <c r="N139" s="421">
        <f t="shared" si="25"/>
        <v>423.2700000000001</v>
      </c>
    </row>
    <row r="140" spans="2:14">
      <c r="B140" s="423" t="s">
        <v>13</v>
      </c>
      <c r="C140" s="426">
        <f>+'q36'!$B$5</f>
        <v>1093.21</v>
      </c>
      <c r="D140" s="426">
        <f>+'q36'!$C$5</f>
        <v>1096.6600000000001</v>
      </c>
      <c r="E140" s="426">
        <f>+'q36'!$D$5</f>
        <v>1107.8599999999999</v>
      </c>
      <c r="F140" s="426">
        <f>+'q36'!$E$5</f>
        <v>1133.3399999999999</v>
      </c>
      <c r="G140" s="426">
        <f>+'q36'!$F$5</f>
        <v>1170.25</v>
      </c>
      <c r="H140" s="426">
        <f>+'q36'!$G$5</f>
        <v>1209.94</v>
      </c>
      <c r="I140" s="426">
        <f>+'q36'!$H$5</f>
        <v>1250.75</v>
      </c>
      <c r="J140" s="426">
        <f>+'q36'!$I$5</f>
        <v>1294.1099999999999</v>
      </c>
      <c r="K140" s="426">
        <f>+'q36'!$J$5</f>
        <v>1368</v>
      </c>
      <c r="L140" s="426">
        <f>+'q36'!$K$5</f>
        <v>1466.66</v>
      </c>
      <c r="M140" s="426">
        <f>+'q36'!$L$5</f>
        <v>1582.75</v>
      </c>
      <c r="N140" s="421">
        <f t="shared" si="25"/>
        <v>489.53999999999996</v>
      </c>
    </row>
  </sheetData>
  <mergeCells count="5">
    <mergeCell ref="BL2:BP8"/>
    <mergeCell ref="AE109:AI114"/>
    <mergeCell ref="AY2:BD6"/>
    <mergeCell ref="AL4:AQ10"/>
    <mergeCell ref="AE69:AH74"/>
  </mergeCells>
  <conditionalFormatting sqref="AC21">
    <cfRule type="cellIs" dxfId="2608" priority="12" operator="equal">
      <formula>0</formula>
    </cfRule>
  </conditionalFormatting>
  <conditionalFormatting sqref="AD21">
    <cfRule type="cellIs" dxfId="2607" priority="11" operator="equal">
      <formula>0</formula>
    </cfRule>
  </conditionalFormatting>
  <conditionalFormatting sqref="T21:AD21">
    <cfRule type="cellIs" dxfId="2606" priority="10" operator="equal">
      <formula>0</formula>
    </cfRule>
  </conditionalFormatting>
  <conditionalFormatting sqref="T22:AD22">
    <cfRule type="cellIs" dxfId="2605" priority="9" operator="equal">
      <formula>0</formula>
    </cfRule>
  </conditionalFormatting>
  <conditionalFormatting sqref="AC61">
    <cfRule type="cellIs" dxfId="2604" priority="8" operator="equal">
      <formula>0</formula>
    </cfRule>
  </conditionalFormatting>
  <conditionalFormatting sqref="AD61">
    <cfRule type="cellIs" dxfId="2603" priority="7" operator="equal">
      <formula>0</formula>
    </cfRule>
  </conditionalFormatting>
  <conditionalFormatting sqref="T61:AD61">
    <cfRule type="cellIs" dxfId="2602" priority="6" operator="equal">
      <formula>0</formula>
    </cfRule>
  </conditionalFormatting>
  <conditionalFormatting sqref="T62:AD62">
    <cfRule type="cellIs" dxfId="2601" priority="5" operator="equal">
      <formula>0</formula>
    </cfRule>
  </conditionalFormatting>
  <conditionalFormatting sqref="AC101">
    <cfRule type="cellIs" dxfId="2600" priority="4" operator="equal">
      <formula>0</formula>
    </cfRule>
  </conditionalFormatting>
  <conditionalFormatting sqref="AD101">
    <cfRule type="cellIs" dxfId="2599" priority="3" operator="equal">
      <formula>0</formula>
    </cfRule>
  </conditionalFormatting>
  <conditionalFormatting sqref="T101:AD101">
    <cfRule type="cellIs" dxfId="2598" priority="2" operator="equal">
      <formula>0</formula>
    </cfRule>
  </conditionalFormatting>
  <conditionalFormatting sqref="T102:AD102">
    <cfRule type="cellIs" dxfId="2597" priority="1" operator="equal">
      <formula>0</formula>
    </cfRule>
  </conditionalFormatting>
  <dataValidations disablePrompts="1" count="1">
    <dataValidation type="textLength" allowBlank="1" showInputMessage="1" showErrorMessage="1" sqref="BL2" xr:uid="{53CC8764-24B7-4668-B9FE-82BCC03B489A}">
      <formula1>0</formula1>
      <formula2>280</formula2>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Drop Down 1">
              <controlPr defaultSize="0" autoLine="0" autoPict="0">
                <anchor moveWithCells="1">
                  <from>
                    <xdr:col>18</xdr:col>
                    <xdr:colOff>9525</xdr:colOff>
                    <xdr:row>0</xdr:row>
                    <xdr:rowOff>152400</xdr:rowOff>
                  </from>
                  <to>
                    <xdr:col>19</xdr:col>
                    <xdr:colOff>495300</xdr:colOff>
                    <xdr:row>2</xdr:row>
                    <xdr:rowOff>19050</xdr:rowOff>
                  </to>
                </anchor>
              </controlPr>
            </control>
          </mc:Choice>
        </mc:AlternateContent>
        <mc:AlternateContent xmlns:mc="http://schemas.openxmlformats.org/markup-compatibility/2006">
          <mc:Choice Requires="x14">
            <control shapeId="133122" r:id="rId5" name="Drop Down 2">
              <controlPr defaultSize="0" autoLine="0" autoPict="0">
                <anchor moveWithCells="1">
                  <from>
                    <xdr:col>38</xdr:col>
                    <xdr:colOff>9525</xdr:colOff>
                    <xdr:row>15</xdr:row>
                    <xdr:rowOff>0</xdr:rowOff>
                  </from>
                  <to>
                    <xdr:col>39</xdr:col>
                    <xdr:colOff>38100</xdr:colOff>
                    <xdr:row>16</xdr:row>
                    <xdr:rowOff>0</xdr:rowOff>
                  </to>
                </anchor>
              </controlPr>
            </control>
          </mc:Choice>
        </mc:AlternateContent>
        <mc:AlternateContent xmlns:mc="http://schemas.openxmlformats.org/markup-compatibility/2006">
          <mc:Choice Requires="x14">
            <control shapeId="133123" r:id="rId6" name="Drop Down 3">
              <controlPr defaultSize="0" autoLine="0" autoPict="0">
                <anchor moveWithCells="1">
                  <from>
                    <xdr:col>45</xdr:col>
                    <xdr:colOff>9525</xdr:colOff>
                    <xdr:row>15</xdr:row>
                    <xdr:rowOff>0</xdr:rowOff>
                  </from>
                  <to>
                    <xdr:col>46</xdr:col>
                    <xdr:colOff>38100</xdr:colOff>
                    <xdr:row>16</xdr:row>
                    <xdr:rowOff>0</xdr:rowOff>
                  </to>
                </anchor>
              </controlPr>
            </control>
          </mc:Choice>
        </mc:AlternateContent>
        <mc:AlternateContent xmlns:mc="http://schemas.openxmlformats.org/markup-compatibility/2006">
          <mc:Choice Requires="x14">
            <control shapeId="133124" r:id="rId7" name="Drop Down 4">
              <controlPr defaultSize="0" autoLine="0" autoPict="0">
                <anchor moveWithCells="1">
                  <from>
                    <xdr:col>52</xdr:col>
                    <xdr:colOff>9525</xdr:colOff>
                    <xdr:row>15</xdr:row>
                    <xdr:rowOff>0</xdr:rowOff>
                  </from>
                  <to>
                    <xdr:col>53</xdr:col>
                    <xdr:colOff>19050</xdr:colOff>
                    <xdr:row>16</xdr:row>
                    <xdr:rowOff>0</xdr:rowOff>
                  </to>
                </anchor>
              </controlPr>
            </control>
          </mc:Choice>
        </mc:AlternateContent>
        <mc:AlternateContent xmlns:mc="http://schemas.openxmlformats.org/markup-compatibility/2006">
          <mc:Choice Requires="x14">
            <control shapeId="133125" r:id="rId8" name="Drop Down 5">
              <controlPr defaultSize="0" autoLine="0" autoPict="0">
                <anchor moveWithCells="1">
                  <from>
                    <xdr:col>39</xdr:col>
                    <xdr:colOff>381000</xdr:colOff>
                    <xdr:row>40</xdr:row>
                    <xdr:rowOff>47625</xdr:rowOff>
                  </from>
                  <to>
                    <xdr:col>40</xdr:col>
                    <xdr:colOff>428625</xdr:colOff>
                    <xdr:row>41</xdr:row>
                    <xdr:rowOff>123825</xdr:rowOff>
                  </to>
                </anchor>
              </controlPr>
            </control>
          </mc:Choice>
        </mc:AlternateContent>
        <mc:AlternateContent xmlns:mc="http://schemas.openxmlformats.org/markup-compatibility/2006">
          <mc:Choice Requires="x14">
            <control shapeId="133126" r:id="rId9" name="Drop Down 6">
              <controlPr defaultSize="0" autoLine="0" autoPict="0">
                <anchor moveWithCells="1">
                  <from>
                    <xdr:col>46</xdr:col>
                    <xdr:colOff>628650</xdr:colOff>
                    <xdr:row>40</xdr:row>
                    <xdr:rowOff>38100</xdr:rowOff>
                  </from>
                  <to>
                    <xdr:col>48</xdr:col>
                    <xdr:colOff>28575</xdr:colOff>
                    <xdr:row>41</xdr:row>
                    <xdr:rowOff>114300</xdr:rowOff>
                  </to>
                </anchor>
              </controlPr>
            </control>
          </mc:Choice>
        </mc:AlternateContent>
        <mc:AlternateContent xmlns:mc="http://schemas.openxmlformats.org/markup-compatibility/2006">
          <mc:Choice Requires="x14">
            <control shapeId="133127" r:id="rId10" name="Drop Down 7">
              <controlPr defaultSize="0" autoLine="0" autoPict="0">
                <anchor moveWithCells="1">
                  <from>
                    <xdr:col>54</xdr:col>
                    <xdr:colOff>295275</xdr:colOff>
                    <xdr:row>40</xdr:row>
                    <xdr:rowOff>85725</xdr:rowOff>
                  </from>
                  <to>
                    <xdr:col>55</xdr:col>
                    <xdr:colOff>323850</xdr:colOff>
                    <xdr:row>41</xdr:row>
                    <xdr:rowOff>161925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26ED2-03DA-4105-979B-21AEFE2FCD5E}">
  <dimension ref="A1:DA265"/>
  <sheetViews>
    <sheetView topLeftCell="AL38" zoomScale="120" zoomScaleNormal="120" workbookViewId="0">
      <selection activeCell="V107" sqref="V107"/>
    </sheetView>
  </sheetViews>
  <sheetFormatPr defaultColWidth="9.140625" defaultRowHeight="12.75"/>
  <cols>
    <col min="1" max="1" width="9.140625" style="421"/>
    <col min="2" max="2" width="23" style="421" customWidth="1"/>
    <col min="3" max="3" width="9.140625" style="421"/>
    <col min="4" max="4" width="13.28515625" style="421" customWidth="1"/>
    <col min="5" max="17" width="9.140625" style="421"/>
    <col min="18" max="18" width="15.5703125" style="421" customWidth="1"/>
    <col min="19" max="30" width="9.140625" style="421"/>
    <col min="31" max="31" width="20" style="421" customWidth="1"/>
    <col min="32" max="32" width="19.42578125" style="421" customWidth="1"/>
    <col min="33" max="43" width="9.140625" style="421"/>
    <col min="44" max="45" width="20.85546875" style="421" customWidth="1"/>
    <col min="46" max="46" width="15" style="421" bestFit="1" customWidth="1"/>
    <col min="47" max="47" width="9.140625" style="421"/>
    <col min="48" max="48" width="14.42578125" style="421" bestFit="1" customWidth="1"/>
    <col min="49" max="49" width="12.85546875" style="421" bestFit="1" customWidth="1"/>
    <col min="50" max="50" width="18.42578125" style="421" bestFit="1" customWidth="1"/>
    <col min="51" max="65" width="9.140625" style="421"/>
    <col min="66" max="66" width="12.42578125" style="421" customWidth="1"/>
    <col min="67" max="67" width="13.140625" style="421" customWidth="1"/>
    <col min="68" max="69" width="9.140625" style="421"/>
    <col min="70" max="70" width="12.7109375" style="421" customWidth="1"/>
    <col min="71" max="71" width="11.85546875" style="421" customWidth="1"/>
    <col min="72" max="16384" width="9.140625" style="421"/>
  </cols>
  <sheetData>
    <row r="1" spans="1:94">
      <c r="A1" s="424" t="s">
        <v>524</v>
      </c>
      <c r="D1" s="430" t="s">
        <v>525</v>
      </c>
      <c r="G1" s="430" t="s">
        <v>265</v>
      </c>
    </row>
    <row r="2" spans="1:94">
      <c r="A2" s="423" t="s">
        <v>496</v>
      </c>
      <c r="B2" s="421">
        <v>1</v>
      </c>
      <c r="D2" s="423" t="s">
        <v>497</v>
      </c>
      <c r="E2" s="421">
        <v>1</v>
      </c>
      <c r="G2" s="422">
        <f>+C30</f>
        <v>2014</v>
      </c>
      <c r="H2" s="421">
        <v>1</v>
      </c>
      <c r="P2" s="421">
        <v>4</v>
      </c>
      <c r="S2" s="421" t="s">
        <v>533</v>
      </c>
      <c r="AQ2" s="421">
        <v>11</v>
      </c>
      <c r="AT2" s="533" t="s">
        <v>459</v>
      </c>
      <c r="BL2" s="421">
        <v>11</v>
      </c>
      <c r="BO2" s="533" t="s">
        <v>460</v>
      </c>
      <c r="CF2" s="421">
        <v>11</v>
      </c>
      <c r="CI2" s="533" t="s">
        <v>461</v>
      </c>
    </row>
    <row r="3" spans="1:94">
      <c r="A3" s="423" t="s">
        <v>505</v>
      </c>
      <c r="B3" s="421">
        <v>2</v>
      </c>
      <c r="D3" s="423" t="s">
        <v>498</v>
      </c>
      <c r="E3" s="421">
        <v>2</v>
      </c>
      <c r="G3" s="422">
        <f>+D30</f>
        <v>2015</v>
      </c>
      <c r="H3" s="421">
        <v>2</v>
      </c>
    </row>
    <row r="4" spans="1:94">
      <c r="A4" s="423" t="s">
        <v>512</v>
      </c>
      <c r="B4" s="421">
        <v>3</v>
      </c>
      <c r="D4" s="423" t="s">
        <v>499</v>
      </c>
      <c r="E4" s="421">
        <v>3</v>
      </c>
      <c r="G4" s="422">
        <f>+E30</f>
        <v>2016</v>
      </c>
      <c r="H4" s="421">
        <v>3</v>
      </c>
      <c r="R4" s="422" t="str">
        <f>INDEX($A$2:$A$8,$P$2)</f>
        <v>Grande Lisboa</v>
      </c>
    </row>
    <row r="5" spans="1:94">
      <c r="A5" s="423" t="s">
        <v>516</v>
      </c>
      <c r="B5" s="421">
        <v>4</v>
      </c>
      <c r="D5" s="423" t="s">
        <v>500</v>
      </c>
      <c r="E5" s="421">
        <v>4</v>
      </c>
      <c r="G5" s="422">
        <f>+F30</f>
        <v>2017</v>
      </c>
      <c r="H5" s="421">
        <v>4</v>
      </c>
      <c r="S5" s="422">
        <f>+C30</f>
        <v>2014</v>
      </c>
      <c r="T5" s="422">
        <f t="shared" ref="T5:Z5" si="0">+D30</f>
        <v>2015</v>
      </c>
      <c r="U5" s="422">
        <f t="shared" si="0"/>
        <v>2016</v>
      </c>
      <c r="V5" s="422">
        <f t="shared" si="0"/>
        <v>2017</v>
      </c>
      <c r="W5" s="422">
        <f t="shared" si="0"/>
        <v>2018</v>
      </c>
      <c r="X5" s="422">
        <f t="shared" si="0"/>
        <v>2019</v>
      </c>
      <c r="Y5" s="422">
        <f t="shared" si="0"/>
        <v>2020</v>
      </c>
      <c r="Z5" s="422">
        <f t="shared" si="0"/>
        <v>2021</v>
      </c>
      <c r="AA5" s="422">
        <f>+K30</f>
        <v>2022</v>
      </c>
      <c r="AB5" s="422">
        <f t="shared" ref="AB5" si="1">+L30</f>
        <v>2023</v>
      </c>
      <c r="AC5" s="422">
        <f>+M30</f>
        <v>2024</v>
      </c>
      <c r="AE5" s="391" t="str">
        <f>+"variação "&amp;AC5&amp;"/"&amp;AB5</f>
        <v>variação 2024/2023</v>
      </c>
      <c r="AF5" s="391" t="str">
        <f>+"variação "&amp;AC5&amp;"/"&amp;S5</f>
        <v>variação 2024/2014</v>
      </c>
      <c r="AR5" s="421" t="s">
        <v>525</v>
      </c>
      <c r="BM5" s="421" t="s">
        <v>525</v>
      </c>
      <c r="CG5" s="421" t="s">
        <v>525</v>
      </c>
    </row>
    <row r="6" spans="1:94">
      <c r="A6" s="423" t="s">
        <v>517</v>
      </c>
      <c r="B6" s="421">
        <v>5</v>
      </c>
      <c r="D6" s="423" t="s">
        <v>501</v>
      </c>
      <c r="E6" s="421">
        <v>5</v>
      </c>
      <c r="G6" s="422">
        <f>+G30</f>
        <v>2018</v>
      </c>
      <c r="H6" s="421">
        <v>5</v>
      </c>
      <c r="R6" s="395" t="s">
        <v>219</v>
      </c>
      <c r="S6" s="433">
        <f>+VLOOKUP($R$4,$B$30:$M$37,COLUMN(C31)-1,0)</f>
        <v>54415</v>
      </c>
      <c r="T6" s="433">
        <f t="shared" ref="T6:AC6" si="2">+VLOOKUP($R$4,$B$30:$M$37,COLUMN(D31)-1,0)</f>
        <v>55029</v>
      </c>
      <c r="U6" s="433">
        <f t="shared" si="2"/>
        <v>55354</v>
      </c>
      <c r="V6" s="433">
        <f t="shared" si="2"/>
        <v>56108</v>
      </c>
      <c r="W6" s="433">
        <f t="shared" si="2"/>
        <v>57209</v>
      </c>
      <c r="X6" s="433">
        <f t="shared" si="2"/>
        <v>55559</v>
      </c>
      <c r="Y6" s="433">
        <f t="shared" si="2"/>
        <v>56643</v>
      </c>
      <c r="Z6" s="433">
        <f t="shared" si="2"/>
        <v>54793</v>
      </c>
      <c r="AA6" s="433">
        <f t="shared" si="2"/>
        <v>57854</v>
      </c>
      <c r="AB6" s="433">
        <f t="shared" si="2"/>
        <v>59573</v>
      </c>
      <c r="AC6" s="433">
        <f t="shared" si="2"/>
        <v>59232</v>
      </c>
      <c r="AD6" s="433" t="str">
        <f>TEXT(AC6,"##.###")</f>
        <v>59.232</v>
      </c>
      <c r="AE6" s="397">
        <f>+(AC6/AB6-1)</f>
        <v>-5.7240696288587412E-3</v>
      </c>
      <c r="AF6" s="397">
        <f>+(AC6/S6-1)</f>
        <v>8.8523385096021423E-2</v>
      </c>
      <c r="AG6" s="443">
        <f>+AC6-S6</f>
        <v>4817</v>
      </c>
      <c r="AH6" s="421" t="str">
        <f>IF(AG6&gt;0,", mais",", menos")</f>
        <v>, mais</v>
      </c>
      <c r="AI6" s="421">
        <f>IF(AG6&gt;0,AG6,AG6*-1)</f>
        <v>4817</v>
      </c>
      <c r="AR6" s="422">
        <f>INDEX($G$2:$G$12,$AQ$2)</f>
        <v>2024</v>
      </c>
      <c r="BM6" s="422">
        <f>INDEX($G$2:$G$12,$BL$2)</f>
        <v>2024</v>
      </c>
      <c r="CG6" s="422">
        <f>INDEX($G$2:$G$12,$CF$2)</f>
        <v>2024</v>
      </c>
    </row>
    <row r="7" spans="1:94">
      <c r="A7" s="423" t="s">
        <v>518</v>
      </c>
      <c r="B7" s="421">
        <v>6</v>
      </c>
      <c r="D7" s="423" t="s">
        <v>502</v>
      </c>
      <c r="E7" s="421">
        <v>6</v>
      </c>
      <c r="G7" s="422">
        <f>+H30</f>
        <v>2019</v>
      </c>
      <c r="H7" s="421">
        <v>6</v>
      </c>
      <c r="R7" s="395" t="s">
        <v>204</v>
      </c>
      <c r="S7" s="433">
        <f>+VLOOKUP($R$4,$B$70:$M$77,COLUMN(C71)-1,0)</f>
        <v>65289</v>
      </c>
      <c r="T7" s="433">
        <f t="shared" ref="T7:AC7" si="3">+VLOOKUP($R$4,$B$70:$M$77,COLUMN(D71)-1,0)</f>
        <v>65847</v>
      </c>
      <c r="U7" s="433">
        <f t="shared" si="3"/>
        <v>66220</v>
      </c>
      <c r="V7" s="433">
        <f t="shared" si="3"/>
        <v>66764</v>
      </c>
      <c r="W7" s="433">
        <f t="shared" si="3"/>
        <v>67989</v>
      </c>
      <c r="X7" s="433">
        <f t="shared" si="3"/>
        <v>66115</v>
      </c>
      <c r="Y7" s="433">
        <f t="shared" si="3"/>
        <v>67101</v>
      </c>
      <c r="Z7" s="433">
        <f t="shared" si="3"/>
        <v>64927</v>
      </c>
      <c r="AA7" s="433">
        <f t="shared" si="3"/>
        <v>68270</v>
      </c>
      <c r="AB7" s="433">
        <f t="shared" si="3"/>
        <v>70103.999999999985</v>
      </c>
      <c r="AC7" s="433">
        <f t="shared" si="3"/>
        <v>69821</v>
      </c>
      <c r="AD7" s="433" t="str">
        <f>TEXT(AC7,"##.###")</f>
        <v>69.821</v>
      </c>
      <c r="AE7" s="397">
        <f>+(AC7/AB7-1)</f>
        <v>-4.0368595229941517E-3</v>
      </c>
      <c r="AF7" s="397">
        <f>+(AC7/S7-1)</f>
        <v>6.9414449601004735E-2</v>
      </c>
      <c r="AG7" s="443">
        <f>+AC7-S7</f>
        <v>4532</v>
      </c>
      <c r="AH7" s="421" t="str">
        <f>IF(AG7&gt;0,", mais",", menos")</f>
        <v>, mais</v>
      </c>
      <c r="AI7" s="421">
        <f>IF(AG7&gt;0,AG7,AG7*-1)</f>
        <v>4532</v>
      </c>
      <c r="AS7" s="540" t="s">
        <v>219</v>
      </c>
      <c r="AT7" s="540" t="s">
        <v>204</v>
      </c>
      <c r="AU7" s="398" t="s">
        <v>314</v>
      </c>
      <c r="AV7" s="398" t="s">
        <v>315</v>
      </c>
      <c r="AW7" s="398" t="s">
        <v>312</v>
      </c>
      <c r="AX7" s="398" t="s">
        <v>313</v>
      </c>
      <c r="BN7" s="502" t="s">
        <v>205</v>
      </c>
      <c r="BO7" s="502" t="s">
        <v>182</v>
      </c>
      <c r="BP7" s="398" t="s">
        <v>319</v>
      </c>
      <c r="BQ7" s="398" t="s">
        <v>320</v>
      </c>
      <c r="BR7" s="398" t="s">
        <v>321</v>
      </c>
      <c r="BS7" s="398" t="s">
        <v>322</v>
      </c>
      <c r="CH7" s="540" t="s">
        <v>262</v>
      </c>
      <c r="CI7" s="540" t="s">
        <v>263</v>
      </c>
      <c r="CJ7" s="583" t="s">
        <v>326</v>
      </c>
      <c r="CK7" s="583" t="s">
        <v>327</v>
      </c>
      <c r="CL7" s="583" t="s">
        <v>328</v>
      </c>
      <c r="CM7" s="583" t="s">
        <v>329</v>
      </c>
      <c r="CN7" s="584" t="s">
        <v>331</v>
      </c>
      <c r="CO7" s="421" t="s">
        <v>332</v>
      </c>
    </row>
    <row r="8" spans="1:94">
      <c r="A8" s="423" t="s">
        <v>523</v>
      </c>
      <c r="B8" s="421">
        <v>7</v>
      </c>
      <c r="D8" s="423" t="s">
        <v>503</v>
      </c>
      <c r="E8" s="421">
        <v>7</v>
      </c>
      <c r="G8" s="422">
        <f>+I30</f>
        <v>2020</v>
      </c>
      <c r="H8" s="421">
        <v>7</v>
      </c>
      <c r="AQ8" s="943" t="s">
        <v>496</v>
      </c>
      <c r="AR8" s="423" t="s">
        <v>497</v>
      </c>
      <c r="AS8" s="433">
        <f>INDEX($B$40:$M$65,MATCH($AR$8:$AR$32,$B$40:$B$65,0),MATCH($AR$6,$B$40:$M$40,0))</f>
        <v>7328</v>
      </c>
      <c r="AT8" s="433">
        <f>INDEX($B$80:$M$105,MATCH($AR$8:$AR$32,$B$80:$B$105,0),MATCH($AR$6,$B$80:$M$80,0))</f>
        <v>8424</v>
      </c>
      <c r="AU8" s="446">
        <f>+AS8/$AS$32*100</f>
        <v>2.5377212454504217</v>
      </c>
      <c r="AV8" s="446">
        <f>+AT8/$AT$32*100</f>
        <v>2.4921159910776103</v>
      </c>
      <c r="AW8" s="436">
        <f>RANK(AS8,$AS$8:$AS$31,0)</f>
        <v>12</v>
      </c>
      <c r="AX8" s="436">
        <f>RANK(AT8,$AT$8:$AT$31,0)</f>
        <v>13</v>
      </c>
      <c r="AY8" s="421" t="str">
        <f>+AR8</f>
        <v>Alto Minho</v>
      </c>
      <c r="BL8" s="943" t="s">
        <v>496</v>
      </c>
      <c r="BM8" s="423" t="s">
        <v>497</v>
      </c>
      <c r="BN8" s="433">
        <f>INDEX($B$120:$M$145,MATCH($BM$8:$BM$32,$B$120:$B$145,0),MATCH($BM$6,$B$120:$M$120,0))</f>
        <v>73222</v>
      </c>
      <c r="BO8" s="433">
        <f>INDEX($B$160:$M$185,MATCH($BM$8:$BM$32,$B$160:$B$185,0),MATCH($BM$6,$B$160:$M$160,0))</f>
        <v>68763</v>
      </c>
      <c r="BP8" s="446">
        <f>+BN8/$BN$32*100</f>
        <v>2.0655269248833896</v>
      </c>
      <c r="BQ8" s="446">
        <f>+BO8/$BO$32*100</f>
        <v>2.0500957623662255</v>
      </c>
      <c r="BR8" s="436">
        <f>RANK(BN8,$BN$8:$BN$31,0)</f>
        <v>14</v>
      </c>
      <c r="BS8" s="436">
        <f>RANK(BO8,$BO$8:$BO$31,0)</f>
        <v>14</v>
      </c>
      <c r="BT8" s="421" t="str">
        <f>+BM8</f>
        <v>Alto Minho</v>
      </c>
      <c r="CF8" s="943" t="s">
        <v>496</v>
      </c>
      <c r="CG8" s="423" t="s">
        <v>497</v>
      </c>
      <c r="CH8" s="434">
        <f>INDEX($B$200:$M$225,MATCH($CG$8:$CG$32,$B$200:$B$225,0),MATCH($CG$6,$B$200:$M$200,0))</f>
        <v>1098.82</v>
      </c>
      <c r="CI8" s="434">
        <f>INDEX($B$240:$M$265,MATCH($CG$8:$CG$32,$B$240:$B$265,0),MATCH($CG$6,$B$240:$M$240,0))</f>
        <v>1340.14</v>
      </c>
      <c r="CJ8" s="446">
        <f>+CH8/$CH$38*100</f>
        <v>89.111094891694847</v>
      </c>
      <c r="CK8" s="446">
        <f>+CI8/$CI$38*100</f>
        <v>90.876664767949649</v>
      </c>
      <c r="CL8" s="436">
        <f>RANK(CH8,$CH$8:$CH$31,0)</f>
        <v>15</v>
      </c>
      <c r="CM8" s="436">
        <f>RANK(CI8,$CI$8:$CI$31,0)</f>
        <v>13</v>
      </c>
      <c r="CN8" s="434">
        <f>+CH8-$CH$32</f>
        <v>-210.1400000000001</v>
      </c>
      <c r="CO8" s="434">
        <f>+CI8-$CI$32</f>
        <v>-242.6099999999999</v>
      </c>
      <c r="CP8" s="421" t="str">
        <f>+CG8</f>
        <v>Alto Minho</v>
      </c>
    </row>
    <row r="9" spans="1:94">
      <c r="A9" s="423"/>
      <c r="D9" s="423" t="s">
        <v>504</v>
      </c>
      <c r="E9" s="421">
        <v>8</v>
      </c>
      <c r="G9" s="422">
        <f>+J30</f>
        <v>2021</v>
      </c>
      <c r="H9" s="421">
        <v>8</v>
      </c>
      <c r="AD9" s="444"/>
      <c r="AF9" s="446">
        <f>+(AC6/S6-1)*100</f>
        <v>8.8523385096021414</v>
      </c>
      <c r="AQ9" s="943"/>
      <c r="AR9" s="423" t="s">
        <v>498</v>
      </c>
      <c r="AS9" s="433">
        <f t="shared" ref="AS9:AS32" si="4">INDEX($B$40:$M$65,MATCH($AR$8:$AR$32,$B$40:$B$65,0),MATCH($AR$6,$B$40:$M$40,0))</f>
        <v>15022</v>
      </c>
      <c r="AT9" s="433">
        <f t="shared" ref="AT9:AT32" si="5">INDEX($B$80:$M$105,MATCH($AR$8:$AR$32,$B$80:$B$105,0),MATCH($AR$6,$B$80:$M$80,0))</f>
        <v>16874</v>
      </c>
      <c r="AU9" s="446">
        <f t="shared" ref="AU9:AU32" si="6">+AS9/$AS$32*100</f>
        <v>5.2021900312713205</v>
      </c>
      <c r="AV9" s="446">
        <f t="shared" ref="AV9:AV32" si="7">+AT9/$AT$32*100</f>
        <v>4.9919236981770654</v>
      </c>
      <c r="AW9" s="436">
        <f t="shared" ref="AW9:AW31" si="8">RANK(AS9,$AS$8:$AS$31,0)</f>
        <v>4</v>
      </c>
      <c r="AX9" s="436">
        <f t="shared" ref="AX9:AX31" si="9">RANK(AT9,$AT$8:$AT$31,0)</f>
        <v>5</v>
      </c>
      <c r="AY9" s="421" t="str">
        <f t="shared" ref="AY9:AY31" si="10">+AR9</f>
        <v>Cávado</v>
      </c>
      <c r="BL9" s="943"/>
      <c r="BM9" s="423" t="s">
        <v>498</v>
      </c>
      <c r="BN9" s="433">
        <f t="shared" ref="BN9:BN32" si="11">INDEX($B$120:$M$145,MATCH($BM$8:$BM$32,$B$120:$B$145,0),MATCH($BM$6,$B$120:$M$120,0))</f>
        <v>160991</v>
      </c>
      <c r="BO9" s="433">
        <f t="shared" ref="BO9:BO32" si="12">INDEX($B$160:$M$185,MATCH($BM$8:$BM$32,$B$160:$B$185,0),MATCH($BM$6,$B$160:$M$160,0))</f>
        <v>150659</v>
      </c>
      <c r="BP9" s="446">
        <f t="shared" ref="BP9:BP32" si="13">+BN9/$BN$32*100</f>
        <v>4.5414116681311869</v>
      </c>
      <c r="BQ9" s="446">
        <f t="shared" ref="BQ9:BQ32" si="14">+BO9/$BO$32*100</f>
        <v>4.4917379617284467</v>
      </c>
      <c r="BR9" s="436">
        <f t="shared" ref="BR9:BR31" si="15">RANK(BN9,$BN$8:$BN$31,0)</f>
        <v>5</v>
      </c>
      <c r="BS9" s="436">
        <f t="shared" ref="BS9:BS31" si="16">RANK(BO9,$BO$8:$BO$31,0)</f>
        <v>5</v>
      </c>
      <c r="BT9" s="421" t="str">
        <f t="shared" ref="BT9:BT31" si="17">+BM9</f>
        <v>Cávado</v>
      </c>
      <c r="CF9" s="943"/>
      <c r="CG9" s="423" t="s">
        <v>498</v>
      </c>
      <c r="CH9" s="434">
        <f t="shared" ref="CH9:CH32" si="18">INDEX($B$200:$M$225,MATCH($CG$8:$CG$32,$B$200:$B$225,0),MATCH($CG$6,$B$200:$M$200,0))</f>
        <v>1183.58</v>
      </c>
      <c r="CI9" s="434">
        <f t="shared" ref="CI9:CI32" si="19">INDEX($B$240:$M$265,MATCH($CG$8:$CG$32,$B$240:$B$265,0),MATCH($CG$6,$B$240:$M$240,0))</f>
        <v>1403.34</v>
      </c>
      <c r="CJ9" s="446">
        <f t="shared" ref="CJ9:CJ15" si="20">+CH9/$CH$38*100</f>
        <v>95.984883504042699</v>
      </c>
      <c r="CK9" s="446">
        <f t="shared" ref="CK9:CK15" si="21">+CI9/$CI$38*100</f>
        <v>95.162340304337206</v>
      </c>
      <c r="CL9" s="436">
        <f t="shared" ref="CL9:CL31" si="22">RANK(CH9,$CH$8:$CH$31,0)</f>
        <v>5</v>
      </c>
      <c r="CM9" s="436">
        <f t="shared" ref="CM9:CM31" si="23">RANK(CI9,$CI$8:$CI$31,0)</f>
        <v>9</v>
      </c>
      <c r="CN9" s="434">
        <f t="shared" ref="CN9:CN31" si="24">+CH9-$CH$32</f>
        <v>-125.38000000000011</v>
      </c>
      <c r="CO9" s="434">
        <f t="shared" ref="CO9:CO31" si="25">+CI9-$CI$32</f>
        <v>-179.41000000000008</v>
      </c>
      <c r="CP9" s="421" t="str">
        <f t="shared" ref="CP9:CP31" si="26">+CG9</f>
        <v>Cávado</v>
      </c>
    </row>
    <row r="10" spans="1:94">
      <c r="A10" s="423"/>
      <c r="D10" s="423" t="s">
        <v>506</v>
      </c>
      <c r="E10" s="421">
        <v>9</v>
      </c>
      <c r="G10" s="422">
        <f>+K30</f>
        <v>2022</v>
      </c>
      <c r="H10" s="421">
        <v>9</v>
      </c>
      <c r="Z10" s="442" t="s">
        <v>534</v>
      </c>
      <c r="AA10" s="442"/>
      <c r="AB10" s="442"/>
      <c r="AF10" s="446">
        <f>+(AC7/S7-1)*100</f>
        <v>6.9414449601004735</v>
      </c>
      <c r="AQ10" s="943"/>
      <c r="AR10" s="423" t="s">
        <v>499</v>
      </c>
      <c r="AS10" s="433">
        <f t="shared" si="4"/>
        <v>13685</v>
      </c>
      <c r="AT10" s="433">
        <f t="shared" si="5"/>
        <v>15255</v>
      </c>
      <c r="AU10" s="446">
        <f t="shared" si="6"/>
        <v>4.7391805736884587</v>
      </c>
      <c r="AV10" s="446">
        <f t="shared" si="7"/>
        <v>4.5129664582014417</v>
      </c>
      <c r="AW10" s="436">
        <f t="shared" si="8"/>
        <v>6</v>
      </c>
      <c r="AX10" s="436">
        <f t="shared" si="9"/>
        <v>6</v>
      </c>
      <c r="AY10" s="421" t="str">
        <f t="shared" si="10"/>
        <v>Ave</v>
      </c>
      <c r="BL10" s="943"/>
      <c r="BM10" s="423" t="s">
        <v>499</v>
      </c>
      <c r="BN10" s="433">
        <f t="shared" si="11"/>
        <v>149150.00000000003</v>
      </c>
      <c r="BO10" s="433">
        <f t="shared" si="12"/>
        <v>140354</v>
      </c>
      <c r="BP10" s="446">
        <f t="shared" si="13"/>
        <v>4.2073876819310811</v>
      </c>
      <c r="BQ10" s="446">
        <f t="shared" si="14"/>
        <v>4.1845053390798714</v>
      </c>
      <c r="BR10" s="436">
        <f t="shared" si="15"/>
        <v>6</v>
      </c>
      <c r="BS10" s="436">
        <f t="shared" si="16"/>
        <v>6</v>
      </c>
      <c r="BT10" s="421" t="str">
        <f t="shared" si="17"/>
        <v>Ave</v>
      </c>
      <c r="CF10" s="943"/>
      <c r="CG10" s="423" t="s">
        <v>499</v>
      </c>
      <c r="CH10" s="434">
        <f t="shared" si="18"/>
        <v>1109.23</v>
      </c>
      <c r="CI10" s="434">
        <f t="shared" si="19"/>
        <v>1321.75</v>
      </c>
      <c r="CJ10" s="446">
        <f t="shared" si="20"/>
        <v>89.955315508194872</v>
      </c>
      <c r="CK10" s="446">
        <f t="shared" si="21"/>
        <v>89.62961456044701</v>
      </c>
      <c r="CL10" s="436">
        <f t="shared" si="22"/>
        <v>11</v>
      </c>
      <c r="CM10" s="436">
        <f t="shared" si="23"/>
        <v>16</v>
      </c>
      <c r="CN10" s="434">
        <f t="shared" si="24"/>
        <v>-199.73000000000002</v>
      </c>
      <c r="CO10" s="434">
        <f t="shared" si="25"/>
        <v>-261</v>
      </c>
      <c r="CP10" s="421" t="str">
        <f t="shared" si="26"/>
        <v>Ave</v>
      </c>
    </row>
    <row r="11" spans="1:94">
      <c r="A11" s="423"/>
      <c r="D11" s="423" t="s">
        <v>507</v>
      </c>
      <c r="E11" s="421">
        <v>10</v>
      </c>
      <c r="G11" s="422">
        <f>+L30</f>
        <v>2023</v>
      </c>
      <c r="H11" s="421">
        <v>10</v>
      </c>
      <c r="AQ11" s="943"/>
      <c r="AR11" s="423" t="s">
        <v>500</v>
      </c>
      <c r="AS11" s="587">
        <f t="shared" si="4"/>
        <v>51191</v>
      </c>
      <c r="AT11" s="587">
        <f t="shared" si="5"/>
        <v>59738.999999999993</v>
      </c>
      <c r="AU11" s="446">
        <f t="shared" si="6"/>
        <v>17.727686718866341</v>
      </c>
      <c r="AV11" s="446">
        <f t="shared" si="7"/>
        <v>17.672900901114119</v>
      </c>
      <c r="AW11" s="436">
        <f t="shared" si="8"/>
        <v>2</v>
      </c>
      <c r="AX11" s="436">
        <f t="shared" si="9"/>
        <v>2</v>
      </c>
      <c r="AY11" s="421" t="str">
        <f t="shared" si="10"/>
        <v>Área Metropolitana do Porto</v>
      </c>
      <c r="AZ11" s="446"/>
      <c r="BA11" s="446"/>
      <c r="BL11" s="943"/>
      <c r="BM11" s="423" t="s">
        <v>500</v>
      </c>
      <c r="BN11" s="433">
        <f t="shared" si="11"/>
        <v>666772</v>
      </c>
      <c r="BO11" s="433">
        <f t="shared" si="12"/>
        <v>631342.00000000012</v>
      </c>
      <c r="BP11" s="446">
        <f t="shared" si="13"/>
        <v>18.809039889081795</v>
      </c>
      <c r="BQ11" s="446">
        <f t="shared" si="14"/>
        <v>18.822790727627034</v>
      </c>
      <c r="BR11" s="436">
        <f t="shared" si="15"/>
        <v>2</v>
      </c>
      <c r="BS11" s="436">
        <f t="shared" si="16"/>
        <v>2</v>
      </c>
      <c r="BT11" s="421" t="str">
        <f t="shared" si="17"/>
        <v>Área Metropolitana do Porto</v>
      </c>
      <c r="CF11" s="943"/>
      <c r="CG11" s="423" t="s">
        <v>500</v>
      </c>
      <c r="CH11" s="434">
        <f t="shared" si="18"/>
        <v>1351.51</v>
      </c>
      <c r="CI11" s="434">
        <f t="shared" si="19"/>
        <v>1620.05</v>
      </c>
      <c r="CJ11" s="446">
        <f t="shared" si="20"/>
        <v>109.60351636944587</v>
      </c>
      <c r="CK11" s="446">
        <f t="shared" si="21"/>
        <v>109.85773184690915</v>
      </c>
      <c r="CL11" s="436">
        <f t="shared" si="22"/>
        <v>2</v>
      </c>
      <c r="CM11" s="436">
        <f t="shared" si="23"/>
        <v>2</v>
      </c>
      <c r="CN11" s="434">
        <f t="shared" si="24"/>
        <v>42.549999999999955</v>
      </c>
      <c r="CO11" s="434">
        <f t="shared" si="25"/>
        <v>37.299999999999955</v>
      </c>
      <c r="CP11" s="421" t="str">
        <f t="shared" si="26"/>
        <v>Área Metropolitana do Porto</v>
      </c>
    </row>
    <row r="12" spans="1:94" ht="12.75" customHeight="1">
      <c r="A12" s="423"/>
      <c r="D12" s="423" t="s">
        <v>508</v>
      </c>
      <c r="E12" s="421">
        <v>11</v>
      </c>
      <c r="G12" s="422">
        <f>+M30</f>
        <v>2024</v>
      </c>
      <c r="H12" s="421">
        <v>11</v>
      </c>
      <c r="Z12" s="421">
        <f>+AC5</f>
        <v>2024</v>
      </c>
      <c r="AA12" s="421" t="s">
        <v>398</v>
      </c>
      <c r="AB12" s="421" t="s">
        <v>535</v>
      </c>
      <c r="AQ12" s="943"/>
      <c r="AR12" s="423" t="s">
        <v>501</v>
      </c>
      <c r="AS12" s="588">
        <f t="shared" si="4"/>
        <v>2432</v>
      </c>
      <c r="AT12" s="588">
        <f t="shared" si="5"/>
        <v>2794</v>
      </c>
      <c r="AU12" s="446">
        <f t="shared" si="6"/>
        <v>0.84221316442896088</v>
      </c>
      <c r="AV12" s="446">
        <f t="shared" si="7"/>
        <v>0.82656363711667169</v>
      </c>
      <c r="AW12" s="436">
        <f t="shared" si="8"/>
        <v>24</v>
      </c>
      <c r="AX12" s="436">
        <f t="shared" si="9"/>
        <v>24</v>
      </c>
      <c r="AY12" s="421" t="str">
        <f t="shared" si="10"/>
        <v>Alto Tâmega e Barroso</v>
      </c>
      <c r="AZ12" s="446"/>
      <c r="BA12" s="446"/>
      <c r="BL12" s="943"/>
      <c r="BM12" s="423" t="s">
        <v>501</v>
      </c>
      <c r="BN12" s="433">
        <f t="shared" si="11"/>
        <v>17027</v>
      </c>
      <c r="BO12" s="433">
        <f t="shared" si="12"/>
        <v>15712.999999999998</v>
      </c>
      <c r="BP12" s="446">
        <f t="shared" si="13"/>
        <v>0.48031639329695275</v>
      </c>
      <c r="BQ12" s="446">
        <f t="shared" si="14"/>
        <v>0.46846639492256731</v>
      </c>
      <c r="BR12" s="436">
        <f t="shared" si="15"/>
        <v>24</v>
      </c>
      <c r="BS12" s="436">
        <f t="shared" si="16"/>
        <v>24</v>
      </c>
      <c r="BT12" s="421" t="str">
        <f t="shared" si="17"/>
        <v>Alto Tâmega e Barroso</v>
      </c>
      <c r="CF12" s="943"/>
      <c r="CG12" s="423" t="s">
        <v>501</v>
      </c>
      <c r="CH12" s="434">
        <f t="shared" si="18"/>
        <v>1024.3399999999999</v>
      </c>
      <c r="CI12" s="434">
        <f t="shared" si="19"/>
        <v>1207.05</v>
      </c>
      <c r="CJ12" s="446">
        <f t="shared" si="20"/>
        <v>83.070984275275933</v>
      </c>
      <c r="CK12" s="446">
        <f t="shared" si="21"/>
        <v>81.851655952477813</v>
      </c>
      <c r="CL12" s="436">
        <f t="shared" si="22"/>
        <v>24</v>
      </c>
      <c r="CM12" s="436">
        <f t="shared" si="23"/>
        <v>24</v>
      </c>
      <c r="CN12" s="434">
        <f t="shared" si="24"/>
        <v>-284.62000000000012</v>
      </c>
      <c r="CO12" s="434">
        <f t="shared" si="25"/>
        <v>-375.70000000000005</v>
      </c>
      <c r="CP12" s="421" t="str">
        <f t="shared" si="26"/>
        <v>Alto Tâmega e Barroso</v>
      </c>
    </row>
    <row r="13" spans="1:94">
      <c r="A13" s="423"/>
      <c r="D13" s="423" t="s">
        <v>509</v>
      </c>
      <c r="E13" s="421">
        <v>12</v>
      </c>
      <c r="Z13" s="421" t="s">
        <v>274</v>
      </c>
      <c r="AA13" s="421" t="str">
        <f>+R4</f>
        <v>Grande Lisboa</v>
      </c>
      <c r="AD13" s="957" t="str">
        <f>CONCATENATE(Z12,AA12,CHAR(10),AB12,AA13,Z14,AA15,Z16,AA17,Z18,AA19," ",AA20,AB21,AA22,Z23,AA24,Z25,AA26," ",AA27,AB28)</f>
        <v>2024:
A região Grande Lisboa era a sede de 59.232 empresas (variação de 8,9% face a 2014, ou seja, mais 4.817) e era a localização de 69.821 estabelecimentos (variação de 6,9% face a 2014, ou seja, mais 4.532).</v>
      </c>
      <c r="AE13" s="957"/>
      <c r="AF13" s="957"/>
      <c r="AG13" s="957"/>
      <c r="AQ13" s="943"/>
      <c r="AR13" s="423" t="s">
        <v>502</v>
      </c>
      <c r="AS13" s="433">
        <f t="shared" si="4"/>
        <v>13342</v>
      </c>
      <c r="AT13" s="433">
        <f t="shared" si="5"/>
        <v>14547</v>
      </c>
      <c r="AU13" s="446">
        <f t="shared" si="6"/>
        <v>4.6203980426855251</v>
      </c>
      <c r="AV13" s="446">
        <f t="shared" si="7"/>
        <v>4.3035151142219839</v>
      </c>
      <c r="AW13" s="436">
        <f t="shared" si="8"/>
        <v>7</v>
      </c>
      <c r="AX13" s="436">
        <f t="shared" si="9"/>
        <v>7</v>
      </c>
      <c r="AY13" s="421" t="str">
        <f t="shared" si="10"/>
        <v>Tâmega e Sousa</v>
      </c>
      <c r="BL13" s="943"/>
      <c r="BM13" s="423" t="s">
        <v>502</v>
      </c>
      <c r="BN13" s="433">
        <f t="shared" si="11"/>
        <v>137932</v>
      </c>
      <c r="BO13" s="433">
        <f t="shared" si="12"/>
        <v>130073</v>
      </c>
      <c r="BP13" s="446">
        <f t="shared" si="13"/>
        <v>3.8909379667724959</v>
      </c>
      <c r="BQ13" s="446">
        <f t="shared" si="14"/>
        <v>3.8779882509236372</v>
      </c>
      <c r="BR13" s="436">
        <f t="shared" si="15"/>
        <v>8</v>
      </c>
      <c r="BS13" s="436">
        <f t="shared" si="16"/>
        <v>8</v>
      </c>
      <c r="BT13" s="421" t="str">
        <f t="shared" si="17"/>
        <v>Tâmega e Sousa</v>
      </c>
      <c r="CF13" s="943"/>
      <c r="CG13" s="423" t="s">
        <v>502</v>
      </c>
      <c r="CH13" s="434">
        <f t="shared" si="18"/>
        <v>1026.48</v>
      </c>
      <c r="CI13" s="434">
        <f t="shared" si="19"/>
        <v>1210.7</v>
      </c>
      <c r="CJ13" s="446">
        <f t="shared" si="20"/>
        <v>83.244532029292273</v>
      </c>
      <c r="CK13" s="446">
        <f t="shared" si="21"/>
        <v>82.099167276968572</v>
      </c>
      <c r="CL13" s="436">
        <f t="shared" si="22"/>
        <v>23</v>
      </c>
      <c r="CM13" s="436">
        <f t="shared" si="23"/>
        <v>23</v>
      </c>
      <c r="CN13" s="434">
        <f t="shared" si="24"/>
        <v>-282.48</v>
      </c>
      <c r="CO13" s="434">
        <f t="shared" si="25"/>
        <v>-372.04999999999995</v>
      </c>
      <c r="CP13" s="421" t="str">
        <f t="shared" si="26"/>
        <v>Tâmega e Sousa</v>
      </c>
    </row>
    <row r="14" spans="1:94">
      <c r="A14" s="423"/>
      <c r="D14" s="423" t="s">
        <v>510</v>
      </c>
      <c r="E14" s="421">
        <v>13</v>
      </c>
      <c r="Z14" s="421" t="s">
        <v>405</v>
      </c>
      <c r="AD14" s="957"/>
      <c r="AE14" s="957"/>
      <c r="AF14" s="957"/>
      <c r="AG14" s="957"/>
      <c r="AQ14" s="943"/>
      <c r="AR14" s="423" t="s">
        <v>503</v>
      </c>
      <c r="AS14" s="433">
        <f t="shared" si="4"/>
        <v>5377</v>
      </c>
      <c r="AT14" s="433">
        <f t="shared" si="5"/>
        <v>6331</v>
      </c>
      <c r="AU14" s="446">
        <f t="shared" si="6"/>
        <v>1.862080668229656</v>
      </c>
      <c r="AV14" s="446">
        <f t="shared" si="7"/>
        <v>1.8729328513191299</v>
      </c>
      <c r="AW14" s="436">
        <f t="shared" si="8"/>
        <v>17</v>
      </c>
      <c r="AX14" s="436">
        <f t="shared" si="9"/>
        <v>17</v>
      </c>
      <c r="AY14" s="421" t="str">
        <f t="shared" si="10"/>
        <v>Douro</v>
      </c>
      <c r="BL14" s="943"/>
      <c r="BM14" s="423" t="s">
        <v>503</v>
      </c>
      <c r="BN14" s="433">
        <f t="shared" si="11"/>
        <v>42955</v>
      </c>
      <c r="BO14" s="433">
        <f t="shared" si="12"/>
        <v>40207</v>
      </c>
      <c r="BP14" s="446">
        <f t="shared" si="13"/>
        <v>1.2117220105755919</v>
      </c>
      <c r="BQ14" s="446">
        <f t="shared" si="14"/>
        <v>1.1987289722301067</v>
      </c>
      <c r="BR14" s="436">
        <f t="shared" si="15"/>
        <v>18</v>
      </c>
      <c r="BS14" s="436">
        <f t="shared" si="16"/>
        <v>18</v>
      </c>
      <c r="BT14" s="421" t="str">
        <f t="shared" si="17"/>
        <v>Douro</v>
      </c>
      <c r="CF14" s="943"/>
      <c r="CG14" s="423" t="s">
        <v>503</v>
      </c>
      <c r="CH14" s="434">
        <f t="shared" si="18"/>
        <v>1059.6099999999999</v>
      </c>
      <c r="CI14" s="434">
        <f t="shared" si="19"/>
        <v>1268.7</v>
      </c>
      <c r="CJ14" s="446">
        <f t="shared" si="20"/>
        <v>85.931278333292781</v>
      </c>
      <c r="CK14" s="446">
        <f t="shared" si="21"/>
        <v>86.032223940109048</v>
      </c>
      <c r="CL14" s="436">
        <f t="shared" si="22"/>
        <v>20</v>
      </c>
      <c r="CM14" s="436">
        <f t="shared" si="23"/>
        <v>21</v>
      </c>
      <c r="CN14" s="434">
        <f t="shared" si="24"/>
        <v>-249.35000000000014</v>
      </c>
      <c r="CO14" s="434">
        <f t="shared" si="25"/>
        <v>-314.04999999999995</v>
      </c>
      <c r="CP14" s="421" t="str">
        <f t="shared" si="26"/>
        <v>Douro</v>
      </c>
    </row>
    <row r="15" spans="1:94">
      <c r="A15" s="423"/>
      <c r="D15" s="423" t="s">
        <v>511</v>
      </c>
      <c r="E15" s="421">
        <v>14</v>
      </c>
      <c r="Z15" s="421" t="s">
        <v>282</v>
      </c>
      <c r="AA15" s="443" t="str">
        <f>+AD6</f>
        <v>59.232</v>
      </c>
      <c r="AD15" s="957"/>
      <c r="AE15" s="957"/>
      <c r="AF15" s="957"/>
      <c r="AG15" s="957"/>
      <c r="AQ15" s="943"/>
      <c r="AR15" s="423" t="s">
        <v>504</v>
      </c>
      <c r="AS15" s="433">
        <f t="shared" si="4"/>
        <v>3188</v>
      </c>
      <c r="AT15" s="433">
        <f t="shared" si="5"/>
        <v>3712</v>
      </c>
      <c r="AU15" s="446">
        <f t="shared" si="6"/>
        <v>1.1040195592925688</v>
      </c>
      <c r="AV15" s="446">
        <f t="shared" si="7"/>
        <v>1.0981403797341036</v>
      </c>
      <c r="AW15" s="436">
        <f t="shared" si="8"/>
        <v>20</v>
      </c>
      <c r="AX15" s="436">
        <f t="shared" si="9"/>
        <v>20</v>
      </c>
      <c r="AY15" s="421" t="str">
        <f t="shared" si="10"/>
        <v>Terras de Trás-os-Montes</v>
      </c>
      <c r="BL15" s="943"/>
      <c r="BM15" s="423" t="s">
        <v>504</v>
      </c>
      <c r="BN15" s="433">
        <f t="shared" si="11"/>
        <v>21547</v>
      </c>
      <c r="BO15" s="433">
        <f t="shared" si="12"/>
        <v>19707</v>
      </c>
      <c r="BP15" s="446">
        <f t="shared" si="13"/>
        <v>0.60782153793207494</v>
      </c>
      <c r="BQ15" s="446">
        <f t="shared" si="14"/>
        <v>0.58754326002284951</v>
      </c>
      <c r="BR15" s="436">
        <f t="shared" si="15"/>
        <v>23</v>
      </c>
      <c r="BS15" s="436">
        <f t="shared" si="16"/>
        <v>23</v>
      </c>
      <c r="BT15" s="421" t="str">
        <f t="shared" si="17"/>
        <v>Terras de Trás-os-Montes</v>
      </c>
      <c r="CF15" s="943"/>
      <c r="CG15" s="423" t="s">
        <v>504</v>
      </c>
      <c r="CH15" s="434">
        <f t="shared" si="18"/>
        <v>1033.23</v>
      </c>
      <c r="CI15" s="434">
        <f t="shared" si="19"/>
        <v>1267.6300000000001</v>
      </c>
      <c r="CJ15" s="446">
        <f t="shared" si="20"/>
        <v>83.791937328175564</v>
      </c>
      <c r="CK15" s="446">
        <f t="shared" si="21"/>
        <v>85.959665825806269</v>
      </c>
      <c r="CL15" s="436">
        <f t="shared" si="22"/>
        <v>22</v>
      </c>
      <c r="CM15" s="436">
        <f t="shared" si="23"/>
        <v>22</v>
      </c>
      <c r="CN15" s="434">
        <f t="shared" si="24"/>
        <v>-275.73</v>
      </c>
      <c r="CO15" s="434">
        <f t="shared" si="25"/>
        <v>-315.11999999999989</v>
      </c>
      <c r="CP15" s="421" t="str">
        <f t="shared" si="26"/>
        <v>Terras de Trás-os-Montes</v>
      </c>
    </row>
    <row r="16" spans="1:94">
      <c r="A16" s="423"/>
      <c r="D16" s="423" t="s">
        <v>513</v>
      </c>
      <c r="E16" s="421">
        <v>15</v>
      </c>
      <c r="Z16" s="421" t="s">
        <v>738</v>
      </c>
      <c r="AD16" s="957"/>
      <c r="AE16" s="957"/>
      <c r="AF16" s="957"/>
      <c r="AG16" s="957"/>
      <c r="AQ16" s="943" t="s">
        <v>505</v>
      </c>
      <c r="AR16" s="423" t="s">
        <v>506</v>
      </c>
      <c r="AS16" s="433">
        <f t="shared" si="4"/>
        <v>9773</v>
      </c>
      <c r="AT16" s="433">
        <f t="shared" si="5"/>
        <v>11509.999999999998</v>
      </c>
      <c r="AU16" s="446">
        <f t="shared" si="6"/>
        <v>3.3844363716958203</v>
      </c>
      <c r="AV16" s="446">
        <f t="shared" si="7"/>
        <v>3.4050635158242271</v>
      </c>
      <c r="AW16" s="436">
        <f t="shared" si="8"/>
        <v>11</v>
      </c>
      <c r="AX16" s="436">
        <f t="shared" si="9"/>
        <v>11</v>
      </c>
      <c r="AY16" s="421" t="str">
        <f t="shared" si="10"/>
        <v>Região de Aveiro</v>
      </c>
      <c r="BL16" s="943" t="s">
        <v>505</v>
      </c>
      <c r="BM16" s="423" t="s">
        <v>506</v>
      </c>
      <c r="BN16" s="433">
        <f t="shared" si="11"/>
        <v>139173</v>
      </c>
      <c r="BO16" s="433">
        <f t="shared" si="12"/>
        <v>131216</v>
      </c>
      <c r="BP16" s="446">
        <f t="shared" si="13"/>
        <v>3.9259454633415638</v>
      </c>
      <c r="BQ16" s="446">
        <f t="shared" si="14"/>
        <v>3.9120655811213392</v>
      </c>
      <c r="BR16" s="436">
        <f t="shared" si="15"/>
        <v>7</v>
      </c>
      <c r="BS16" s="436">
        <f t="shared" si="16"/>
        <v>7</v>
      </c>
      <c r="BT16" s="421" t="str">
        <f t="shared" si="17"/>
        <v>Região de Aveiro</v>
      </c>
      <c r="CF16" s="943" t="s">
        <v>505</v>
      </c>
      <c r="CG16" s="423" t="s">
        <v>506</v>
      </c>
      <c r="CH16" s="434">
        <f t="shared" si="18"/>
        <v>1223.23</v>
      </c>
      <c r="CI16" s="434">
        <f t="shared" si="19"/>
        <v>1492.3</v>
      </c>
      <c r="CJ16" s="446">
        <f>+CH16/$CH$39*100</f>
        <v>106.27725937896402</v>
      </c>
      <c r="CK16" s="446">
        <f>+CI16/$CI$39*100</f>
        <v>105.77086640961669</v>
      </c>
      <c r="CL16" s="436">
        <f t="shared" si="22"/>
        <v>4</v>
      </c>
      <c r="CM16" s="436">
        <f t="shared" si="23"/>
        <v>4</v>
      </c>
      <c r="CN16" s="434">
        <f t="shared" si="24"/>
        <v>-85.730000000000018</v>
      </c>
      <c r="CO16" s="434">
        <f t="shared" si="25"/>
        <v>-90.450000000000045</v>
      </c>
      <c r="CP16" s="421" t="str">
        <f t="shared" si="26"/>
        <v>Região de Aveiro</v>
      </c>
    </row>
    <row r="17" spans="1:94">
      <c r="A17" s="423"/>
      <c r="D17" s="423" t="s">
        <v>514</v>
      </c>
      <c r="E17" s="421">
        <v>16</v>
      </c>
      <c r="Z17" s="421" t="s">
        <v>283</v>
      </c>
      <c r="AA17" s="446">
        <f>ROUND(AF9,1)</f>
        <v>8.9</v>
      </c>
      <c r="AD17" s="957"/>
      <c r="AE17" s="957"/>
      <c r="AF17" s="957"/>
      <c r="AG17" s="957"/>
      <c r="AQ17" s="943"/>
      <c r="AR17" s="423" t="s">
        <v>507</v>
      </c>
      <c r="AS17" s="587">
        <f t="shared" si="4"/>
        <v>10899</v>
      </c>
      <c r="AT17" s="587">
        <f t="shared" si="5"/>
        <v>13262.000000000002</v>
      </c>
      <c r="AU17" s="446">
        <f t="shared" si="6"/>
        <v>3.7743755259503478</v>
      </c>
      <c r="AV17" s="446">
        <f t="shared" si="7"/>
        <v>3.9233668416039023</v>
      </c>
      <c r="AW17" s="436">
        <f t="shared" si="8"/>
        <v>9</v>
      </c>
      <c r="AX17" s="436">
        <f t="shared" si="9"/>
        <v>9</v>
      </c>
      <c r="AY17" s="421" t="str">
        <f t="shared" si="10"/>
        <v>Região de Coimbra</v>
      </c>
      <c r="BL17" s="943"/>
      <c r="BM17" s="423" t="s">
        <v>507</v>
      </c>
      <c r="BN17" s="433">
        <f t="shared" si="11"/>
        <v>125294.99999999997</v>
      </c>
      <c r="BO17" s="433">
        <f t="shared" si="12"/>
        <v>117601.00000000003</v>
      </c>
      <c r="BP17" s="446">
        <f t="shared" si="13"/>
        <v>3.5344595347472647</v>
      </c>
      <c r="BQ17" s="446">
        <f t="shared" si="14"/>
        <v>3.5061488264041785</v>
      </c>
      <c r="BR17" s="436">
        <f t="shared" si="15"/>
        <v>9</v>
      </c>
      <c r="BS17" s="436">
        <f t="shared" si="16"/>
        <v>9</v>
      </c>
      <c r="BT17" s="421" t="str">
        <f t="shared" si="17"/>
        <v>Região de Coimbra</v>
      </c>
      <c r="CF17" s="943"/>
      <c r="CG17" s="423" t="s">
        <v>507</v>
      </c>
      <c r="CH17" s="434">
        <f t="shared" si="18"/>
        <v>1154.1500000000001</v>
      </c>
      <c r="CI17" s="434">
        <f t="shared" si="19"/>
        <v>1423.9</v>
      </c>
      <c r="CJ17" s="446">
        <f t="shared" ref="CJ17:CJ21" si="27">+CH17/$CH$39*100</f>
        <v>100.27541747032964</v>
      </c>
      <c r="CK17" s="446">
        <f t="shared" ref="CK17:CK21" si="28">+CI17/$CI$39*100</f>
        <v>100.92282830573826</v>
      </c>
      <c r="CL17" s="436">
        <f t="shared" si="22"/>
        <v>8</v>
      </c>
      <c r="CM17" s="436">
        <f t="shared" si="23"/>
        <v>8</v>
      </c>
      <c r="CN17" s="434">
        <f t="shared" si="24"/>
        <v>-154.80999999999995</v>
      </c>
      <c r="CO17" s="434">
        <f t="shared" si="25"/>
        <v>-158.84999999999991</v>
      </c>
      <c r="CP17" s="421" t="str">
        <f t="shared" si="26"/>
        <v>Região de Coimbra</v>
      </c>
    </row>
    <row r="18" spans="1:94">
      <c r="A18" s="423"/>
      <c r="D18" s="423" t="s">
        <v>515</v>
      </c>
      <c r="E18" s="421">
        <v>17</v>
      </c>
      <c r="Z18" s="421" t="s">
        <v>895</v>
      </c>
      <c r="AD18" s="957"/>
      <c r="AE18" s="957"/>
      <c r="AF18" s="957"/>
      <c r="AG18" s="957"/>
      <c r="AQ18" s="943"/>
      <c r="AR18" s="423" t="s">
        <v>508</v>
      </c>
      <c r="AS18" s="433">
        <f t="shared" si="4"/>
        <v>10282.999999999996</v>
      </c>
      <c r="AT18" s="433">
        <f t="shared" si="5"/>
        <v>11964</v>
      </c>
      <c r="AU18" s="446">
        <f t="shared" si="6"/>
        <v>3.5610517968022211</v>
      </c>
      <c r="AV18" s="446">
        <f t="shared" si="7"/>
        <v>3.5393727109748965</v>
      </c>
      <c r="AW18" s="436">
        <f t="shared" si="8"/>
        <v>10</v>
      </c>
      <c r="AX18" s="436">
        <f t="shared" si="9"/>
        <v>10</v>
      </c>
      <c r="AY18" s="421" t="str">
        <f t="shared" si="10"/>
        <v>Região de Leiria</v>
      </c>
      <c r="BL18" s="943"/>
      <c r="BM18" s="423" t="s">
        <v>508</v>
      </c>
      <c r="BN18" s="433">
        <f t="shared" si="11"/>
        <v>111125.99999999999</v>
      </c>
      <c r="BO18" s="433">
        <f t="shared" si="12"/>
        <v>103510</v>
      </c>
      <c r="BP18" s="446">
        <f t="shared" si="13"/>
        <v>3.1347647572395116</v>
      </c>
      <c r="BQ18" s="446">
        <f t="shared" si="14"/>
        <v>3.086040637588936</v>
      </c>
      <c r="BR18" s="436">
        <f t="shared" si="15"/>
        <v>11</v>
      </c>
      <c r="BS18" s="436">
        <f t="shared" si="16"/>
        <v>11</v>
      </c>
      <c r="BT18" s="421" t="str">
        <f t="shared" si="17"/>
        <v>Região de Leiria</v>
      </c>
      <c r="CF18" s="943"/>
      <c r="CG18" s="423" t="s">
        <v>508</v>
      </c>
      <c r="CH18" s="434">
        <f t="shared" si="18"/>
        <v>1171.5899999999999</v>
      </c>
      <c r="CI18" s="434">
        <f t="shared" si="19"/>
        <v>1434.69</v>
      </c>
      <c r="CJ18" s="446">
        <f t="shared" si="27"/>
        <v>101.79064796955637</v>
      </c>
      <c r="CK18" s="446">
        <f t="shared" si="28"/>
        <v>101.68759922885006</v>
      </c>
      <c r="CL18" s="436">
        <f t="shared" si="22"/>
        <v>7</v>
      </c>
      <c r="CM18" s="436">
        <f t="shared" si="23"/>
        <v>7</v>
      </c>
      <c r="CN18" s="434">
        <f t="shared" si="24"/>
        <v>-137.37000000000012</v>
      </c>
      <c r="CO18" s="434">
        <f t="shared" si="25"/>
        <v>-148.05999999999995</v>
      </c>
      <c r="CP18" s="421" t="str">
        <f t="shared" si="26"/>
        <v>Região de Leiria</v>
      </c>
    </row>
    <row r="19" spans="1:94">
      <c r="D19" s="423" t="s">
        <v>516</v>
      </c>
      <c r="E19" s="421">
        <v>18</v>
      </c>
      <c r="Z19" s="421" t="s">
        <v>275</v>
      </c>
      <c r="AA19" s="421" t="str">
        <f>+AH6</f>
        <v>, mais</v>
      </c>
      <c r="AD19" s="957"/>
      <c r="AE19" s="957"/>
      <c r="AF19" s="957"/>
      <c r="AG19" s="957"/>
      <c r="AQ19" s="943"/>
      <c r="AR19" s="423" t="s">
        <v>509</v>
      </c>
      <c r="AS19" s="433">
        <f t="shared" si="4"/>
        <v>7294</v>
      </c>
      <c r="AT19" s="433">
        <f t="shared" si="5"/>
        <v>8583</v>
      </c>
      <c r="AU19" s="446">
        <f t="shared" si="6"/>
        <v>2.5259468837766619</v>
      </c>
      <c r="AV19" s="446">
        <f t="shared" si="7"/>
        <v>2.5391537929035053</v>
      </c>
      <c r="AW19" s="436">
        <f t="shared" si="8"/>
        <v>13</v>
      </c>
      <c r="AX19" s="436">
        <f t="shared" si="9"/>
        <v>12</v>
      </c>
      <c r="AY19" s="421" t="str">
        <f t="shared" si="10"/>
        <v>Viseu Dão Lafões</v>
      </c>
      <c r="BL19" s="943"/>
      <c r="BM19" s="423" t="s">
        <v>509</v>
      </c>
      <c r="BN19" s="433">
        <f t="shared" si="11"/>
        <v>79469</v>
      </c>
      <c r="BO19" s="433">
        <f t="shared" si="12"/>
        <v>74675</v>
      </c>
      <c r="BP19" s="446">
        <f t="shared" si="13"/>
        <v>2.2417491900461348</v>
      </c>
      <c r="BQ19" s="446">
        <f t="shared" si="14"/>
        <v>2.2263557589793623</v>
      </c>
      <c r="BR19" s="436">
        <f t="shared" si="15"/>
        <v>12</v>
      </c>
      <c r="BS19" s="436">
        <f t="shared" si="16"/>
        <v>12</v>
      </c>
      <c r="BT19" s="421" t="str">
        <f t="shared" si="17"/>
        <v>Viseu Dão Lafões</v>
      </c>
      <c r="CF19" s="943"/>
      <c r="CG19" s="423" t="s">
        <v>509</v>
      </c>
      <c r="CH19" s="434">
        <f t="shared" si="18"/>
        <v>1078.24</v>
      </c>
      <c r="CI19" s="434">
        <f t="shared" si="19"/>
        <v>1331.89</v>
      </c>
      <c r="CJ19" s="446">
        <f t="shared" si="27"/>
        <v>93.68016820448662</v>
      </c>
      <c r="CK19" s="446">
        <f t="shared" si="28"/>
        <v>94.401366523021096</v>
      </c>
      <c r="CL19" s="436">
        <f t="shared" si="22"/>
        <v>17</v>
      </c>
      <c r="CM19" s="436">
        <f t="shared" si="23"/>
        <v>14</v>
      </c>
      <c r="CN19" s="434">
        <f t="shared" si="24"/>
        <v>-230.72000000000003</v>
      </c>
      <c r="CO19" s="434">
        <f t="shared" si="25"/>
        <v>-250.8599999999999</v>
      </c>
      <c r="CP19" s="421" t="str">
        <f t="shared" si="26"/>
        <v>Viseu Dão Lafões</v>
      </c>
    </row>
    <row r="20" spans="1:94">
      <c r="D20" s="423" t="s">
        <v>517</v>
      </c>
      <c r="E20" s="421">
        <v>19</v>
      </c>
      <c r="Z20" s="421" t="s">
        <v>277</v>
      </c>
      <c r="AA20" s="443" t="str">
        <f>TEXT(AI6,"##.###")</f>
        <v>4.817</v>
      </c>
      <c r="AQ20" s="943"/>
      <c r="AR20" s="423" t="s">
        <v>510</v>
      </c>
      <c r="AS20" s="588">
        <f t="shared" si="4"/>
        <v>2681.9999999999995</v>
      </c>
      <c r="AT20" s="588">
        <f t="shared" si="5"/>
        <v>3212</v>
      </c>
      <c r="AU20" s="446">
        <f t="shared" si="6"/>
        <v>0.92878935320660894</v>
      </c>
      <c r="AV20" s="446">
        <f t="shared" si="7"/>
        <v>0.9502227639294023</v>
      </c>
      <c r="AW20" s="436">
        <f t="shared" si="8"/>
        <v>23</v>
      </c>
      <c r="AX20" s="436">
        <f t="shared" si="9"/>
        <v>23</v>
      </c>
      <c r="AY20" s="421" t="str">
        <f t="shared" si="10"/>
        <v>Beira Baixa</v>
      </c>
      <c r="BL20" s="943"/>
      <c r="BM20" s="423" t="s">
        <v>510</v>
      </c>
      <c r="BN20" s="433">
        <f t="shared" si="11"/>
        <v>23660</v>
      </c>
      <c r="BO20" s="433">
        <f t="shared" si="12"/>
        <v>22041</v>
      </c>
      <c r="BP20" s="446">
        <f t="shared" si="13"/>
        <v>0.66742737213871506</v>
      </c>
      <c r="BQ20" s="446">
        <f t="shared" si="14"/>
        <v>0.6571289894029344</v>
      </c>
      <c r="BR20" s="436">
        <f t="shared" si="15"/>
        <v>22</v>
      </c>
      <c r="BS20" s="436">
        <f t="shared" si="16"/>
        <v>22</v>
      </c>
      <c r="BT20" s="421" t="str">
        <f t="shared" si="17"/>
        <v>Beira Baixa</v>
      </c>
      <c r="CF20" s="943"/>
      <c r="CG20" s="423" t="s">
        <v>510</v>
      </c>
      <c r="CH20" s="434">
        <f t="shared" si="18"/>
        <v>1063.8800000000001</v>
      </c>
      <c r="CI20" s="434">
        <f t="shared" si="19"/>
        <v>1279.02</v>
      </c>
      <c r="CJ20" s="446">
        <f t="shared" si="27"/>
        <v>92.432535752141661</v>
      </c>
      <c r="CK20" s="446">
        <f t="shared" si="28"/>
        <v>90.654059877523238</v>
      </c>
      <c r="CL20" s="436">
        <f t="shared" si="22"/>
        <v>19</v>
      </c>
      <c r="CM20" s="436">
        <f t="shared" si="23"/>
        <v>20</v>
      </c>
      <c r="CN20" s="434">
        <f t="shared" si="24"/>
        <v>-245.07999999999993</v>
      </c>
      <c r="CO20" s="434">
        <f t="shared" si="25"/>
        <v>-303.73</v>
      </c>
      <c r="CP20" s="421" t="str">
        <f t="shared" si="26"/>
        <v>Beira Baixa</v>
      </c>
    </row>
    <row r="21" spans="1:94">
      <c r="D21" s="423" t="s">
        <v>519</v>
      </c>
      <c r="E21" s="421">
        <v>20</v>
      </c>
      <c r="AB21" s="421" t="s">
        <v>657</v>
      </c>
      <c r="AQ21" s="943"/>
      <c r="AR21" s="423" t="s">
        <v>511</v>
      </c>
      <c r="AS21" s="433">
        <f t="shared" si="4"/>
        <v>5676</v>
      </c>
      <c r="AT21" s="433">
        <f t="shared" si="5"/>
        <v>6656</v>
      </c>
      <c r="AU21" s="446">
        <f t="shared" si="6"/>
        <v>1.9656257900077232</v>
      </c>
      <c r="AV21" s="446">
        <f t="shared" si="7"/>
        <v>1.9690793015921859</v>
      </c>
      <c r="AW21" s="436">
        <f t="shared" si="8"/>
        <v>16</v>
      </c>
      <c r="AX21" s="436">
        <f t="shared" si="9"/>
        <v>16</v>
      </c>
      <c r="AY21" s="421" t="str">
        <f t="shared" si="10"/>
        <v>Beiras e Serra da Estrela</v>
      </c>
      <c r="BL21" s="943"/>
      <c r="BM21" s="423" t="s">
        <v>511</v>
      </c>
      <c r="BN21" s="433">
        <f t="shared" si="11"/>
        <v>51650.999999999993</v>
      </c>
      <c r="BO21" s="433">
        <f t="shared" si="12"/>
        <v>48551</v>
      </c>
      <c r="BP21" s="446">
        <f t="shared" si="13"/>
        <v>1.4570283684842251</v>
      </c>
      <c r="BQ21" s="446">
        <f t="shared" si="14"/>
        <v>1.4474964640670507</v>
      </c>
      <c r="BR21" s="436">
        <f t="shared" si="15"/>
        <v>16</v>
      </c>
      <c r="BS21" s="436">
        <f t="shared" si="16"/>
        <v>16</v>
      </c>
      <c r="BT21" s="421" t="str">
        <f t="shared" si="17"/>
        <v>Beiras e Serra da Estrela</v>
      </c>
      <c r="CF21" s="943"/>
      <c r="CG21" s="423" t="s">
        <v>511</v>
      </c>
      <c r="CH21" s="434">
        <f t="shared" si="18"/>
        <v>1058.19</v>
      </c>
      <c r="CI21" s="434">
        <f t="shared" si="19"/>
        <v>1292.95</v>
      </c>
      <c r="CJ21" s="446">
        <f t="shared" si="27"/>
        <v>91.938174425272379</v>
      </c>
      <c r="CK21" s="446">
        <f t="shared" si="28"/>
        <v>91.641386935813102</v>
      </c>
      <c r="CL21" s="436">
        <f t="shared" si="22"/>
        <v>21</v>
      </c>
      <c r="CM21" s="436">
        <f t="shared" si="23"/>
        <v>19</v>
      </c>
      <c r="CN21" s="434">
        <f t="shared" si="24"/>
        <v>-250.76999999999998</v>
      </c>
      <c r="CO21" s="434">
        <f t="shared" si="25"/>
        <v>-289.79999999999995</v>
      </c>
      <c r="CP21" s="421" t="str">
        <f t="shared" si="26"/>
        <v>Beiras e Serra da Estrela</v>
      </c>
    </row>
    <row r="22" spans="1:94">
      <c r="D22" s="423" t="s">
        <v>520</v>
      </c>
      <c r="E22" s="421">
        <v>21</v>
      </c>
      <c r="Z22" s="421" t="s">
        <v>286</v>
      </c>
      <c r="AA22" s="443" t="str">
        <f>+AD7</f>
        <v>69.821</v>
      </c>
      <c r="AQ22" s="943" t="s">
        <v>539</v>
      </c>
      <c r="AR22" s="423" t="s">
        <v>513</v>
      </c>
      <c r="AS22" s="587">
        <f t="shared" si="4"/>
        <v>11570</v>
      </c>
      <c r="AT22" s="587">
        <f t="shared" si="5"/>
        <v>13413</v>
      </c>
      <c r="AU22" s="446">
        <f t="shared" si="6"/>
        <v>4.0067460166295552</v>
      </c>
      <c r="AV22" s="446">
        <f t="shared" si="7"/>
        <v>3.9680379615769215</v>
      </c>
      <c r="AW22" s="436">
        <f t="shared" si="8"/>
        <v>8</v>
      </c>
      <c r="AX22" s="436">
        <f t="shared" si="9"/>
        <v>8</v>
      </c>
      <c r="AY22" s="421" t="str">
        <f t="shared" si="10"/>
        <v>Oeste</v>
      </c>
      <c r="BL22" s="943" t="s">
        <v>539</v>
      </c>
      <c r="BM22" s="423" t="s">
        <v>513</v>
      </c>
      <c r="BN22" s="433">
        <f t="shared" si="11"/>
        <v>112479</v>
      </c>
      <c r="BO22" s="433">
        <f t="shared" si="12"/>
        <v>104588.00000000001</v>
      </c>
      <c r="BP22" s="446">
        <f t="shared" si="13"/>
        <v>3.1729316733216626</v>
      </c>
      <c r="BQ22" s="446">
        <f t="shared" si="14"/>
        <v>3.1181800618698836</v>
      </c>
      <c r="BR22" s="436">
        <f t="shared" si="15"/>
        <v>10</v>
      </c>
      <c r="BS22" s="436">
        <f t="shared" si="16"/>
        <v>10</v>
      </c>
      <c r="BT22" s="421" t="str">
        <f t="shared" si="17"/>
        <v>Oeste</v>
      </c>
      <c r="CF22" s="943" t="s">
        <v>539</v>
      </c>
      <c r="CG22" s="423" t="s">
        <v>513</v>
      </c>
      <c r="CH22" s="434">
        <f t="shared" si="18"/>
        <v>1100.1600000000001</v>
      </c>
      <c r="CI22" s="434">
        <f t="shared" si="19"/>
        <v>1324.42</v>
      </c>
      <c r="CJ22" s="446">
        <f>+CH22/$CH$40*100</f>
        <v>99.688292859731803</v>
      </c>
      <c r="CK22" s="446">
        <f>+CI22/$CI$40*100</f>
        <v>98.355079943857376</v>
      </c>
      <c r="CL22" s="436">
        <f t="shared" si="22"/>
        <v>14</v>
      </c>
      <c r="CM22" s="436">
        <f t="shared" si="23"/>
        <v>15</v>
      </c>
      <c r="CN22" s="434">
        <f t="shared" si="24"/>
        <v>-208.79999999999995</v>
      </c>
      <c r="CO22" s="434">
        <f t="shared" si="25"/>
        <v>-258.32999999999993</v>
      </c>
      <c r="CP22" s="421" t="str">
        <f t="shared" si="26"/>
        <v>Oeste</v>
      </c>
    </row>
    <row r="23" spans="1:94">
      <c r="D23" s="423" t="s">
        <v>521</v>
      </c>
      <c r="E23" s="421">
        <v>22</v>
      </c>
      <c r="Z23" s="421" t="s">
        <v>739</v>
      </c>
      <c r="AQ23" s="943"/>
      <c r="AR23" s="423" t="s">
        <v>514</v>
      </c>
      <c r="AS23" s="588">
        <f t="shared" si="4"/>
        <v>5983</v>
      </c>
      <c r="AT23" s="588">
        <f t="shared" si="5"/>
        <v>7122</v>
      </c>
      <c r="AU23" s="446">
        <f t="shared" si="6"/>
        <v>2.071941349826675</v>
      </c>
      <c r="AV23" s="446">
        <f t="shared" si="7"/>
        <v>2.1069385195221675</v>
      </c>
      <c r="AW23" s="436">
        <f t="shared" si="8"/>
        <v>15</v>
      </c>
      <c r="AX23" s="436">
        <f t="shared" si="9"/>
        <v>15</v>
      </c>
      <c r="AY23" s="421" t="str">
        <f t="shared" si="10"/>
        <v>Médio Tejo</v>
      </c>
      <c r="BL23" s="943"/>
      <c r="BM23" s="423" t="s">
        <v>514</v>
      </c>
      <c r="BN23" s="433">
        <f t="shared" si="11"/>
        <v>59911.000000000007</v>
      </c>
      <c r="BO23" s="433">
        <f t="shared" si="12"/>
        <v>55609</v>
      </c>
      <c r="BP23" s="446">
        <f t="shared" si="13"/>
        <v>1.6900355575740729</v>
      </c>
      <c r="BQ23" s="446">
        <f t="shared" si="14"/>
        <v>1.6579232326894324</v>
      </c>
      <c r="BR23" s="436">
        <f t="shared" si="15"/>
        <v>15</v>
      </c>
      <c r="BS23" s="436">
        <f t="shared" si="16"/>
        <v>15</v>
      </c>
      <c r="BT23" s="421" t="str">
        <f t="shared" si="17"/>
        <v>Médio Tejo</v>
      </c>
      <c r="CF23" s="943"/>
      <c r="CG23" s="423" t="s">
        <v>514</v>
      </c>
      <c r="CH23" s="434">
        <f t="shared" si="18"/>
        <v>1108.57</v>
      </c>
      <c r="CI23" s="434">
        <f t="shared" si="19"/>
        <v>1367.1</v>
      </c>
      <c r="CJ23" s="446">
        <f t="shared" ref="CJ23:CJ24" si="29">+CH23/$CH$40*100</f>
        <v>100.45034432765493</v>
      </c>
      <c r="CK23" s="446">
        <f t="shared" ref="CK23:CK24" si="30">+CI23/$CI$40*100</f>
        <v>101.52461439063696</v>
      </c>
      <c r="CL23" s="436">
        <f t="shared" si="22"/>
        <v>12</v>
      </c>
      <c r="CM23" s="436">
        <f t="shared" si="23"/>
        <v>11</v>
      </c>
      <c r="CN23" s="434">
        <f t="shared" si="24"/>
        <v>-200.3900000000001</v>
      </c>
      <c r="CO23" s="434">
        <f t="shared" si="25"/>
        <v>-215.65000000000009</v>
      </c>
      <c r="CP23" s="421" t="str">
        <f t="shared" si="26"/>
        <v>Médio Tejo</v>
      </c>
    </row>
    <row r="24" spans="1:94">
      <c r="D24" s="423" t="s">
        <v>522</v>
      </c>
      <c r="E24" s="421">
        <v>23</v>
      </c>
      <c r="Z24" s="421" t="s">
        <v>284</v>
      </c>
      <c r="AA24" s="446">
        <f>ROUND(AF10,1)</f>
        <v>6.9</v>
      </c>
      <c r="AQ24" s="943"/>
      <c r="AR24" s="423" t="s">
        <v>515</v>
      </c>
      <c r="AS24" s="433">
        <f t="shared" si="4"/>
        <v>6181</v>
      </c>
      <c r="AT24" s="433">
        <f t="shared" si="5"/>
        <v>7367.9999999999991</v>
      </c>
      <c r="AU24" s="446">
        <f t="shared" si="6"/>
        <v>2.1405096913385724</v>
      </c>
      <c r="AV24" s="446">
        <f t="shared" si="7"/>
        <v>2.1797139864980806</v>
      </c>
      <c r="AW24" s="436">
        <f t="shared" si="8"/>
        <v>14</v>
      </c>
      <c r="AX24" s="436">
        <f t="shared" si="9"/>
        <v>14</v>
      </c>
      <c r="AY24" s="421" t="str">
        <f t="shared" si="10"/>
        <v>Lezíria do Tejo</v>
      </c>
      <c r="BL24" s="943"/>
      <c r="BM24" s="423" t="s">
        <v>515</v>
      </c>
      <c r="BN24" s="433">
        <f t="shared" si="11"/>
        <v>76658</v>
      </c>
      <c r="BO24" s="433">
        <f t="shared" si="12"/>
        <v>72771</v>
      </c>
      <c r="BP24" s="446">
        <f t="shared" si="13"/>
        <v>2.1624534020883188</v>
      </c>
      <c r="BQ24" s="446">
        <f t="shared" si="14"/>
        <v>2.1695900225870393</v>
      </c>
      <c r="BR24" s="436">
        <f t="shared" si="15"/>
        <v>13</v>
      </c>
      <c r="BS24" s="436">
        <f t="shared" si="16"/>
        <v>13</v>
      </c>
      <c r="BT24" s="421" t="str">
        <f t="shared" si="17"/>
        <v>Lezíria do Tejo</v>
      </c>
      <c r="CF24" s="943"/>
      <c r="CG24" s="423" t="s">
        <v>515</v>
      </c>
      <c r="CH24" s="434">
        <f t="shared" si="18"/>
        <v>1104.77</v>
      </c>
      <c r="CI24" s="434">
        <f t="shared" si="19"/>
        <v>1363.59</v>
      </c>
      <c r="CJ24" s="446">
        <f t="shared" si="29"/>
        <v>100.10601667270751</v>
      </c>
      <c r="CK24" s="446">
        <f t="shared" si="30"/>
        <v>101.26395211537462</v>
      </c>
      <c r="CL24" s="436">
        <f t="shared" si="22"/>
        <v>13</v>
      </c>
      <c r="CM24" s="436">
        <f t="shared" si="23"/>
        <v>12</v>
      </c>
      <c r="CN24" s="434">
        <f t="shared" si="24"/>
        <v>-204.19000000000005</v>
      </c>
      <c r="CO24" s="434">
        <f t="shared" si="25"/>
        <v>-219.16000000000008</v>
      </c>
      <c r="CP24" s="421" t="str">
        <f t="shared" si="26"/>
        <v>Lezíria do Tejo</v>
      </c>
    </row>
    <row r="25" spans="1:94" ht="25.5">
      <c r="D25" s="423" t="s">
        <v>523</v>
      </c>
      <c r="E25" s="421">
        <v>24</v>
      </c>
      <c r="Z25" s="421" t="s">
        <v>895</v>
      </c>
      <c r="AQ25" s="586" t="str">
        <f>+AR25</f>
        <v>Grande Lisboa</v>
      </c>
      <c r="AR25" s="423" t="s">
        <v>516</v>
      </c>
      <c r="AS25" s="433">
        <f t="shared" si="4"/>
        <v>59232</v>
      </c>
      <c r="AT25" s="433">
        <f t="shared" si="5"/>
        <v>69821</v>
      </c>
      <c r="AU25" s="446">
        <f t="shared" si="6"/>
        <v>20.512323254710616</v>
      </c>
      <c r="AV25" s="446">
        <f t="shared" si="7"/>
        <v>20.655511706200123</v>
      </c>
      <c r="AW25" s="436">
        <f t="shared" si="8"/>
        <v>1</v>
      </c>
      <c r="AX25" s="436">
        <f t="shared" si="9"/>
        <v>1</v>
      </c>
      <c r="AY25" s="421" t="str">
        <f t="shared" si="10"/>
        <v>Grande Lisboa</v>
      </c>
      <c r="BL25" s="586" t="str">
        <f>+BM25</f>
        <v>Grande Lisboa</v>
      </c>
      <c r="BM25" s="423" t="s">
        <v>516</v>
      </c>
      <c r="BN25" s="433">
        <f t="shared" si="11"/>
        <v>996445</v>
      </c>
      <c r="BO25" s="433">
        <f t="shared" si="12"/>
        <v>956373.99999999988</v>
      </c>
      <c r="BP25" s="446">
        <f t="shared" si="13"/>
        <v>28.108819434943449</v>
      </c>
      <c r="BQ25" s="446">
        <f t="shared" si="14"/>
        <v>28.513274357390401</v>
      </c>
      <c r="BR25" s="436">
        <f t="shared" si="15"/>
        <v>1</v>
      </c>
      <c r="BS25" s="436">
        <f t="shared" si="16"/>
        <v>1</v>
      </c>
      <c r="BT25" s="421" t="str">
        <f t="shared" si="17"/>
        <v>Grande Lisboa</v>
      </c>
      <c r="CF25" s="586" t="str">
        <f>+CG25</f>
        <v>Grande Lisboa</v>
      </c>
      <c r="CG25" s="423" t="s">
        <v>516</v>
      </c>
      <c r="CH25" s="434">
        <f t="shared" si="18"/>
        <v>1600.02</v>
      </c>
      <c r="CI25" s="434">
        <f t="shared" si="19"/>
        <v>1935.68</v>
      </c>
      <c r="CJ25" s="446">
        <f>+CH25/$CH$32*100</f>
        <v>122.23597359735973</v>
      </c>
      <c r="CK25" s="446">
        <f t="shared" ref="CK25:CK32" si="31">+CI25/$CI$32*100</f>
        <v>122.29853103775075</v>
      </c>
      <c r="CL25" s="436">
        <f t="shared" si="22"/>
        <v>1</v>
      </c>
      <c r="CM25" s="436">
        <f t="shared" si="23"/>
        <v>1</v>
      </c>
      <c r="CN25" s="434">
        <f t="shared" si="24"/>
        <v>291.05999999999995</v>
      </c>
      <c r="CO25" s="434">
        <f t="shared" si="25"/>
        <v>352.93000000000006</v>
      </c>
      <c r="CP25" s="421" t="str">
        <f t="shared" si="26"/>
        <v>Grande Lisboa</v>
      </c>
    </row>
    <row r="26" spans="1:94" ht="38.25">
      <c r="D26" s="423"/>
      <c r="Z26" s="421" t="s">
        <v>276</v>
      </c>
      <c r="AA26" s="421" t="str">
        <f>+AH7</f>
        <v>, mais</v>
      </c>
      <c r="AQ26" s="586" t="str">
        <f>+AR26</f>
        <v>Península de Setúbal</v>
      </c>
      <c r="AR26" s="423" t="s">
        <v>517</v>
      </c>
      <c r="AS26" s="433">
        <f t="shared" si="4"/>
        <v>14916</v>
      </c>
      <c r="AT26" s="433">
        <f t="shared" si="5"/>
        <v>18128</v>
      </c>
      <c r="AU26" s="446">
        <f t="shared" si="6"/>
        <v>5.1654817272295972</v>
      </c>
      <c r="AV26" s="446">
        <f t="shared" si="7"/>
        <v>5.3629010786152564</v>
      </c>
      <c r="AW26" s="436">
        <f t="shared" si="8"/>
        <v>5</v>
      </c>
      <c r="AX26" s="436">
        <f t="shared" si="9"/>
        <v>4</v>
      </c>
      <c r="AY26" s="421" t="str">
        <f t="shared" si="10"/>
        <v>Península de Setúbal</v>
      </c>
      <c r="BL26" s="586" t="str">
        <f>+BM26</f>
        <v>Península de Setúbal</v>
      </c>
      <c r="BM26" s="423" t="s">
        <v>517</v>
      </c>
      <c r="BN26" s="433">
        <f t="shared" si="11"/>
        <v>177662</v>
      </c>
      <c r="BO26" s="433">
        <f t="shared" si="12"/>
        <v>167647</v>
      </c>
      <c r="BP26" s="446">
        <f t="shared" si="13"/>
        <v>5.0116856208329841</v>
      </c>
      <c r="BQ26" s="446">
        <f t="shared" si="14"/>
        <v>4.9982171265565878</v>
      </c>
      <c r="BR26" s="436">
        <f t="shared" si="15"/>
        <v>4</v>
      </c>
      <c r="BS26" s="436">
        <f t="shared" si="16"/>
        <v>4</v>
      </c>
      <c r="BT26" s="421" t="str">
        <f t="shared" si="17"/>
        <v>Península de Setúbal</v>
      </c>
      <c r="CF26" s="586" t="str">
        <f>+CG26</f>
        <v>Península de Setúbal</v>
      </c>
      <c r="CG26" s="423" t="s">
        <v>517</v>
      </c>
      <c r="CH26" s="434">
        <f t="shared" si="18"/>
        <v>1275.49</v>
      </c>
      <c r="CI26" s="434">
        <f t="shared" si="19"/>
        <v>1545.45</v>
      </c>
      <c r="CJ26" s="446">
        <f>+CH26/$CH$32*100</f>
        <v>97.443008189707854</v>
      </c>
      <c r="CK26" s="446">
        <f t="shared" si="31"/>
        <v>97.643342283999374</v>
      </c>
      <c r="CL26" s="436">
        <f t="shared" si="22"/>
        <v>3</v>
      </c>
      <c r="CM26" s="436">
        <f t="shared" si="23"/>
        <v>3</v>
      </c>
      <c r="CN26" s="434">
        <f t="shared" si="24"/>
        <v>-33.470000000000027</v>
      </c>
      <c r="CO26" s="434">
        <f t="shared" si="25"/>
        <v>-37.299999999999955</v>
      </c>
      <c r="CP26" s="421" t="str">
        <f t="shared" si="26"/>
        <v>Península de Setúbal</v>
      </c>
    </row>
    <row r="27" spans="1:94">
      <c r="D27" s="423"/>
      <c r="Z27" s="421" t="s">
        <v>278</v>
      </c>
      <c r="AA27" s="443" t="str">
        <f>TEXT(AI7,"##.###")</f>
        <v>4.532</v>
      </c>
      <c r="AQ27" s="943" t="s">
        <v>518</v>
      </c>
      <c r="AR27" s="423" t="s">
        <v>519</v>
      </c>
      <c r="AS27" s="588">
        <f t="shared" si="4"/>
        <v>2837</v>
      </c>
      <c r="AT27" s="588">
        <f t="shared" si="5"/>
        <v>3421</v>
      </c>
      <c r="AU27" s="446">
        <f t="shared" si="6"/>
        <v>0.98246659024875094</v>
      </c>
      <c r="AV27" s="446">
        <f t="shared" si="7"/>
        <v>1.0120523273357673</v>
      </c>
      <c r="AW27" s="436">
        <f t="shared" si="8"/>
        <v>21</v>
      </c>
      <c r="AX27" s="436">
        <f t="shared" si="9"/>
        <v>21</v>
      </c>
      <c r="AY27" s="421" t="str">
        <f t="shared" si="10"/>
        <v>Alentejo Litoral</v>
      </c>
      <c r="BL27" s="943" t="s">
        <v>518</v>
      </c>
      <c r="BM27" s="423" t="s">
        <v>519</v>
      </c>
      <c r="BN27" s="433">
        <f t="shared" si="11"/>
        <v>36011</v>
      </c>
      <c r="BO27" s="433">
        <f t="shared" si="12"/>
        <v>34505</v>
      </c>
      <c r="BP27" s="446">
        <f t="shared" si="13"/>
        <v>1.0158380007644661</v>
      </c>
      <c r="BQ27" s="446">
        <f t="shared" si="14"/>
        <v>1.0287299024249468</v>
      </c>
      <c r="BR27" s="436">
        <f t="shared" si="15"/>
        <v>19</v>
      </c>
      <c r="BS27" s="436">
        <f t="shared" si="16"/>
        <v>19</v>
      </c>
      <c r="BT27" s="421" t="str">
        <f t="shared" si="17"/>
        <v>Alentejo Litoral</v>
      </c>
      <c r="CF27" s="943" t="s">
        <v>518</v>
      </c>
      <c r="CG27" s="423" t="s">
        <v>519</v>
      </c>
      <c r="CH27" s="434">
        <f t="shared" si="18"/>
        <v>1180.01</v>
      </c>
      <c r="CI27" s="434">
        <f t="shared" si="19"/>
        <v>1480.81</v>
      </c>
      <c r="CJ27" s="446">
        <f>+CH27/$CH$43*100</f>
        <v>104.6590626884734</v>
      </c>
      <c r="CK27" s="446">
        <f>+CI27/$CI$43*100</f>
        <v>105.05700481720856</v>
      </c>
      <c r="CL27" s="436">
        <f t="shared" si="22"/>
        <v>6</v>
      </c>
      <c r="CM27" s="436">
        <f t="shared" si="23"/>
        <v>5</v>
      </c>
      <c r="CN27" s="434">
        <f t="shared" si="24"/>
        <v>-128.95000000000005</v>
      </c>
      <c r="CO27" s="434">
        <f t="shared" si="25"/>
        <v>-101.94000000000005</v>
      </c>
      <c r="CP27" s="421" t="str">
        <f t="shared" si="26"/>
        <v>Alentejo Litoral</v>
      </c>
    </row>
    <row r="28" spans="1:94">
      <c r="D28" s="423"/>
      <c r="AB28" s="421" t="s">
        <v>397</v>
      </c>
      <c r="AQ28" s="943"/>
      <c r="AR28" s="423" t="s">
        <v>520</v>
      </c>
      <c r="AS28" s="433">
        <f t="shared" si="4"/>
        <v>3881</v>
      </c>
      <c r="AT28" s="433">
        <f t="shared" si="5"/>
        <v>4522</v>
      </c>
      <c r="AU28" s="446">
        <f t="shared" si="6"/>
        <v>1.3440087545842094</v>
      </c>
      <c r="AV28" s="446">
        <f t="shared" si="7"/>
        <v>1.33776691733772</v>
      </c>
      <c r="AW28" s="436">
        <f t="shared" si="8"/>
        <v>19</v>
      </c>
      <c r="AX28" s="436">
        <f t="shared" si="9"/>
        <v>19</v>
      </c>
      <c r="AY28" s="421" t="str">
        <f t="shared" si="10"/>
        <v>Baixo Alentejo</v>
      </c>
      <c r="BL28" s="943"/>
      <c r="BM28" s="423" t="s">
        <v>520</v>
      </c>
      <c r="BN28" s="433">
        <f t="shared" si="11"/>
        <v>33016.999999999993</v>
      </c>
      <c r="BO28" s="433">
        <f t="shared" si="12"/>
        <v>31283.999999999996</v>
      </c>
      <c r="BP28" s="446">
        <f t="shared" si="13"/>
        <v>0.93137994699509508</v>
      </c>
      <c r="BQ28" s="446">
        <f t="shared" si="14"/>
        <v>0.93269921076545514</v>
      </c>
      <c r="BR28" s="436">
        <f t="shared" si="15"/>
        <v>20</v>
      </c>
      <c r="BS28" s="436">
        <f t="shared" si="16"/>
        <v>20</v>
      </c>
      <c r="BT28" s="421" t="str">
        <f t="shared" si="17"/>
        <v>Baixo Alentejo</v>
      </c>
      <c r="CF28" s="943"/>
      <c r="CG28" s="423" t="s">
        <v>520</v>
      </c>
      <c r="CH28" s="434">
        <f t="shared" si="18"/>
        <v>1119.75</v>
      </c>
      <c r="CI28" s="434">
        <f t="shared" si="19"/>
        <v>1469.2</v>
      </c>
      <c r="CJ28" s="446">
        <f t="shared" ref="CJ28:CJ30" si="32">+CH28/$CH$43*100</f>
        <v>99.314400255436894</v>
      </c>
      <c r="CK28" s="446">
        <f t="shared" ref="CK28:CK30" si="33">+CI28/$CI$43*100</f>
        <v>104.23332600228446</v>
      </c>
      <c r="CL28" s="436">
        <f t="shared" si="22"/>
        <v>10</v>
      </c>
      <c r="CM28" s="436">
        <f t="shared" si="23"/>
        <v>6</v>
      </c>
      <c r="CN28" s="434">
        <f t="shared" si="24"/>
        <v>-189.21000000000004</v>
      </c>
      <c r="CO28" s="434">
        <f t="shared" si="25"/>
        <v>-113.54999999999995</v>
      </c>
      <c r="CP28" s="421" t="str">
        <f t="shared" si="26"/>
        <v>Baixo Alentejo</v>
      </c>
    </row>
    <row r="29" spans="1:94">
      <c r="A29" s="422" t="s">
        <v>527</v>
      </c>
      <c r="D29" s="423"/>
      <c r="AQ29" s="943"/>
      <c r="AR29" s="423" t="s">
        <v>521</v>
      </c>
      <c r="AS29" s="433">
        <f t="shared" si="4"/>
        <v>2787</v>
      </c>
      <c r="AT29" s="433">
        <f t="shared" si="5"/>
        <v>3351.0000000000005</v>
      </c>
      <c r="AU29" s="446">
        <f t="shared" si="6"/>
        <v>0.96515135249322126</v>
      </c>
      <c r="AV29" s="446">
        <f t="shared" si="7"/>
        <v>0.99134386112310935</v>
      </c>
      <c r="AW29" s="436">
        <f t="shared" si="8"/>
        <v>22</v>
      </c>
      <c r="AX29" s="436">
        <f t="shared" si="9"/>
        <v>22</v>
      </c>
      <c r="AY29" s="421" t="str">
        <f t="shared" si="10"/>
        <v>Alto Alentejo</v>
      </c>
      <c r="BL29" s="943"/>
      <c r="BM29" s="423" t="s">
        <v>521</v>
      </c>
      <c r="BN29" s="433">
        <f t="shared" si="11"/>
        <v>23829.999999999996</v>
      </c>
      <c r="BO29" s="433">
        <f t="shared" si="12"/>
        <v>22423</v>
      </c>
      <c r="BP29" s="446">
        <f t="shared" si="13"/>
        <v>0.67222291961392977</v>
      </c>
      <c r="BQ29" s="446">
        <f t="shared" si="14"/>
        <v>0.66851791340601596</v>
      </c>
      <c r="BR29" s="436">
        <f t="shared" si="15"/>
        <v>21</v>
      </c>
      <c r="BS29" s="436">
        <f t="shared" si="16"/>
        <v>21</v>
      </c>
      <c r="BT29" s="421" t="str">
        <f t="shared" si="17"/>
        <v>Alto Alentejo</v>
      </c>
      <c r="CF29" s="943"/>
      <c r="CG29" s="423" t="s">
        <v>521</v>
      </c>
      <c r="CH29" s="434">
        <f t="shared" si="18"/>
        <v>1064.08</v>
      </c>
      <c r="CI29" s="434">
        <f t="shared" si="19"/>
        <v>1295.3599999999999</v>
      </c>
      <c r="CJ29" s="446">
        <f t="shared" si="32"/>
        <v>94.376840387412628</v>
      </c>
      <c r="CK29" s="446">
        <f t="shared" si="33"/>
        <v>91.900136925074307</v>
      </c>
      <c r="CL29" s="436">
        <f t="shared" si="22"/>
        <v>18</v>
      </c>
      <c r="CM29" s="436">
        <f t="shared" si="23"/>
        <v>18</v>
      </c>
      <c r="CN29" s="434">
        <f t="shared" si="24"/>
        <v>-244.88000000000011</v>
      </c>
      <c r="CO29" s="434">
        <f t="shared" si="25"/>
        <v>-287.3900000000001</v>
      </c>
      <c r="CP29" s="421" t="str">
        <f t="shared" si="26"/>
        <v>Alto Alentejo</v>
      </c>
    </row>
    <row r="30" spans="1:94">
      <c r="A30" s="547" t="s">
        <v>526</v>
      </c>
      <c r="C30" s="422">
        <f>+'q4'!$B$4</f>
        <v>2014</v>
      </c>
      <c r="D30" s="422">
        <f>+'q4'!$C$4</f>
        <v>2015</v>
      </c>
      <c r="E30" s="422">
        <f>+'q4'!$D$4</f>
        <v>2016</v>
      </c>
      <c r="F30" s="422">
        <f>+'q4'!$E$4</f>
        <v>2017</v>
      </c>
      <c r="G30" s="422">
        <f>+'q4'!$F$4</f>
        <v>2018</v>
      </c>
      <c r="H30" s="422">
        <f>+'q4'!$G$4</f>
        <v>2019</v>
      </c>
      <c r="I30" s="422">
        <f>+'q4'!$H$4</f>
        <v>2020</v>
      </c>
      <c r="J30" s="422">
        <f>+'q4'!$I$4</f>
        <v>2021</v>
      </c>
      <c r="K30" s="422">
        <f>+'q4'!$J$4</f>
        <v>2022</v>
      </c>
      <c r="L30" s="422">
        <f>+'q4'!$K$4</f>
        <v>2023</v>
      </c>
      <c r="M30" s="422">
        <f>+'q4'!$L$4</f>
        <v>2024</v>
      </c>
      <c r="AQ30" s="943"/>
      <c r="AR30" s="423" t="s">
        <v>522</v>
      </c>
      <c r="AS30" s="587">
        <f t="shared" si="4"/>
        <v>5030</v>
      </c>
      <c r="AT30" s="587">
        <f t="shared" si="5"/>
        <v>6058</v>
      </c>
      <c r="AU30" s="446">
        <f t="shared" si="6"/>
        <v>1.74191291820628</v>
      </c>
      <c r="AV30" s="446">
        <f t="shared" si="7"/>
        <v>1.7921698330897629</v>
      </c>
      <c r="AW30" s="436">
        <f t="shared" si="8"/>
        <v>18</v>
      </c>
      <c r="AX30" s="436">
        <f t="shared" si="9"/>
        <v>18</v>
      </c>
      <c r="AY30" s="421" t="str">
        <f t="shared" si="10"/>
        <v>Alentejo Central</v>
      </c>
      <c r="BL30" s="943"/>
      <c r="BM30" s="423" t="s">
        <v>522</v>
      </c>
      <c r="BN30" s="433">
        <f t="shared" si="11"/>
        <v>44873</v>
      </c>
      <c r="BO30" s="433">
        <f t="shared" si="12"/>
        <v>42150</v>
      </c>
      <c r="BP30" s="446">
        <f t="shared" si="13"/>
        <v>1.2658270697371328</v>
      </c>
      <c r="BQ30" s="446">
        <f t="shared" si="14"/>
        <v>1.2566574521724823</v>
      </c>
      <c r="BR30" s="436">
        <f t="shared" si="15"/>
        <v>17</v>
      </c>
      <c r="BS30" s="436">
        <f t="shared" si="16"/>
        <v>17</v>
      </c>
      <c r="BT30" s="421" t="str">
        <f t="shared" si="17"/>
        <v>Alentejo Central</v>
      </c>
      <c r="CF30" s="943"/>
      <c r="CG30" s="423" t="s">
        <v>522</v>
      </c>
      <c r="CH30" s="434">
        <f t="shared" si="18"/>
        <v>1125.55</v>
      </c>
      <c r="CI30" s="434">
        <f t="shared" si="19"/>
        <v>1371.98</v>
      </c>
      <c r="CJ30" s="446">
        <f t="shared" si="32"/>
        <v>99.82882179728243</v>
      </c>
      <c r="CK30" s="446">
        <f t="shared" si="33"/>
        <v>97.335991429767375</v>
      </c>
      <c r="CL30" s="436">
        <f t="shared" si="22"/>
        <v>9</v>
      </c>
      <c r="CM30" s="436">
        <f t="shared" si="23"/>
        <v>10</v>
      </c>
      <c r="CN30" s="434">
        <f t="shared" si="24"/>
        <v>-183.41000000000008</v>
      </c>
      <c r="CO30" s="434">
        <f t="shared" si="25"/>
        <v>-210.76999999999998</v>
      </c>
      <c r="CP30" s="421" t="str">
        <f t="shared" si="26"/>
        <v>Alentejo Central</v>
      </c>
    </row>
    <row r="31" spans="1:94">
      <c r="A31" s="422" t="s">
        <v>524</v>
      </c>
      <c r="B31" s="422" t="str">
        <f>+'q4'!$A$6</f>
        <v>Norte</v>
      </c>
      <c r="C31" s="433">
        <f>+'q4'!$B$6</f>
        <v>104739</v>
      </c>
      <c r="D31" s="433">
        <f>+'q4'!$C$6</f>
        <v>105959</v>
      </c>
      <c r="E31" s="433">
        <f>+'q4'!$D$6</f>
        <v>107496</v>
      </c>
      <c r="F31" s="433">
        <f>+'q4'!$E$6</f>
        <v>108796</v>
      </c>
      <c r="G31" s="433">
        <f>+'q4'!$F$6</f>
        <v>109936</v>
      </c>
      <c r="H31" s="433">
        <f>+'q4'!$G$6</f>
        <v>107137</v>
      </c>
      <c r="I31" s="433">
        <f>+'q4'!$H$6</f>
        <v>107805</v>
      </c>
      <c r="J31" s="433">
        <f>+'q4'!$I$6</f>
        <v>106036</v>
      </c>
      <c r="K31" s="433">
        <f>+'q4'!$J$6</f>
        <v>110941</v>
      </c>
      <c r="L31" s="433">
        <f>+'q4'!$K$6</f>
        <v>112985.99999999999</v>
      </c>
      <c r="M31" s="433">
        <f>+'q4'!$L$6</f>
        <v>111564.99999999994</v>
      </c>
      <c r="AQ31" s="585" t="str">
        <f>+AR31</f>
        <v>Algarve</v>
      </c>
      <c r="AR31" s="423" t="s">
        <v>523</v>
      </c>
      <c r="AS31" s="433">
        <f t="shared" si="4"/>
        <v>18173.999999999996</v>
      </c>
      <c r="AT31" s="433">
        <f t="shared" si="5"/>
        <v>21958.999999999996</v>
      </c>
      <c r="AU31" s="446">
        <f t="shared" si="6"/>
        <v>6.2937426193799064</v>
      </c>
      <c r="AV31" s="446">
        <f t="shared" si="7"/>
        <v>6.4962458509108787</v>
      </c>
      <c r="AW31" s="436">
        <f t="shared" si="8"/>
        <v>3</v>
      </c>
      <c r="AX31" s="436">
        <f t="shared" si="9"/>
        <v>3</v>
      </c>
      <c r="AY31" s="421" t="str">
        <f t="shared" si="10"/>
        <v>Algarve</v>
      </c>
      <c r="BL31" s="585" t="str">
        <f>+BM31</f>
        <v>Algarve</v>
      </c>
      <c r="BM31" s="423" t="s">
        <v>523</v>
      </c>
      <c r="BN31" s="433">
        <f t="shared" si="11"/>
        <v>184098.99999999997</v>
      </c>
      <c r="BO31" s="433">
        <f t="shared" si="12"/>
        <v>172373</v>
      </c>
      <c r="BP31" s="446">
        <f t="shared" si="13"/>
        <v>5.1932676155268513</v>
      </c>
      <c r="BQ31" s="446">
        <f t="shared" si="14"/>
        <v>5.1391177936732451</v>
      </c>
      <c r="BR31" s="436">
        <f t="shared" si="15"/>
        <v>3</v>
      </c>
      <c r="BS31" s="436">
        <f t="shared" si="16"/>
        <v>3</v>
      </c>
      <c r="BT31" s="421" t="str">
        <f t="shared" si="17"/>
        <v>Algarve</v>
      </c>
      <c r="CF31" s="585" t="str">
        <f>+CG31</f>
        <v>Algarve</v>
      </c>
      <c r="CG31" s="423" t="s">
        <v>523</v>
      </c>
      <c r="CH31" s="434">
        <f t="shared" si="18"/>
        <v>1095.01</v>
      </c>
      <c r="CI31" s="434">
        <f t="shared" si="19"/>
        <v>1320.22</v>
      </c>
      <c r="CJ31" s="446">
        <f t="shared" ref="CJ31:CJ32" si="34">+CH31/$CH$32*100</f>
        <v>83.654962718494062</v>
      </c>
      <c r="CK31" s="446">
        <f t="shared" si="31"/>
        <v>83.413046912020221</v>
      </c>
      <c r="CL31" s="436">
        <f t="shared" si="22"/>
        <v>16</v>
      </c>
      <c r="CM31" s="436">
        <f t="shared" si="23"/>
        <v>17</v>
      </c>
      <c r="CN31" s="434">
        <f t="shared" si="24"/>
        <v>-213.95000000000005</v>
      </c>
      <c r="CO31" s="434">
        <f t="shared" si="25"/>
        <v>-262.52999999999997</v>
      </c>
      <c r="CP31" s="421" t="str">
        <f t="shared" si="26"/>
        <v>Algarve</v>
      </c>
    </row>
    <row r="32" spans="1:94">
      <c r="A32" s="422"/>
      <c r="B32" s="422" t="str">
        <f>+'q4'!$A$15</f>
        <v>Centro</v>
      </c>
      <c r="C32" s="433">
        <f>+'q4'!$B$15</f>
        <v>45766</v>
      </c>
      <c r="D32" s="433">
        <f>+'q4'!$C$15</f>
        <v>46049</v>
      </c>
      <c r="E32" s="433">
        <f>+'q4'!$D$15</f>
        <v>46552</v>
      </c>
      <c r="F32" s="433">
        <f>+'q4'!$E$15</f>
        <v>46657</v>
      </c>
      <c r="G32" s="433">
        <f>+'q4'!$F$15</f>
        <v>46766</v>
      </c>
      <c r="H32" s="433">
        <f>+'q4'!$G$15</f>
        <v>45574</v>
      </c>
      <c r="I32" s="433">
        <f>+'q4'!$H$15</f>
        <v>45616</v>
      </c>
      <c r="J32" s="433">
        <f>+'q4'!$I$15</f>
        <v>44838</v>
      </c>
      <c r="K32" s="433">
        <f>+'q4'!$J$15</f>
        <v>46520</v>
      </c>
      <c r="L32" s="433">
        <f>+'q4'!$K$15</f>
        <v>47066.000000000007</v>
      </c>
      <c r="M32" s="433">
        <f>+'q4'!$L$15</f>
        <v>46606.999999999985</v>
      </c>
      <c r="AR32" s="423" t="s">
        <v>13</v>
      </c>
      <c r="AS32" s="433">
        <f t="shared" si="4"/>
        <v>288762.99999999994</v>
      </c>
      <c r="AT32" s="433">
        <f t="shared" si="5"/>
        <v>338025.99999999988</v>
      </c>
      <c r="AU32" s="446">
        <f t="shared" si="6"/>
        <v>100</v>
      </c>
      <c r="AV32" s="446">
        <f t="shared" si="7"/>
        <v>100</v>
      </c>
      <c r="AW32" s="436"/>
      <c r="BM32" s="423" t="s">
        <v>13</v>
      </c>
      <c r="BN32" s="433">
        <f t="shared" si="11"/>
        <v>3544955.0000000019</v>
      </c>
      <c r="BO32" s="433">
        <f t="shared" si="12"/>
        <v>3354135.9999999991</v>
      </c>
      <c r="BP32" s="446">
        <f t="shared" si="13"/>
        <v>100</v>
      </c>
      <c r="BQ32" s="446">
        <f t="shared" si="14"/>
        <v>100</v>
      </c>
      <c r="BR32" s="436"/>
      <c r="CG32" s="423" t="s">
        <v>13</v>
      </c>
      <c r="CH32" s="434">
        <f t="shared" si="18"/>
        <v>1308.96</v>
      </c>
      <c r="CI32" s="434">
        <f t="shared" si="19"/>
        <v>1582.75</v>
      </c>
      <c r="CJ32" s="446">
        <f t="shared" si="34"/>
        <v>100</v>
      </c>
      <c r="CK32" s="446">
        <f t="shared" si="31"/>
        <v>100</v>
      </c>
      <c r="CL32" s="436"/>
      <c r="CN32" s="434"/>
    </row>
    <row r="33" spans="1:105">
      <c r="A33" s="422"/>
      <c r="B33" s="422" t="str">
        <f>+'q4'!$A$22</f>
        <v>Oeste e Vale do Tejo</v>
      </c>
      <c r="C33" s="433">
        <f>+'q4'!$B$22</f>
        <v>22795</v>
      </c>
      <c r="D33" s="433">
        <f>+'q4'!$C$22</f>
        <v>23005</v>
      </c>
      <c r="E33" s="433">
        <f>+'q4'!$D$22</f>
        <v>23120</v>
      </c>
      <c r="F33" s="433">
        <f>+'q4'!$E$22</f>
        <v>23388</v>
      </c>
      <c r="G33" s="433">
        <f>+'q4'!$F$22</f>
        <v>23374</v>
      </c>
      <c r="H33" s="433">
        <f>+'q4'!$G$22</f>
        <v>22884</v>
      </c>
      <c r="I33" s="433">
        <f>+'q4'!$H$22</f>
        <v>22898</v>
      </c>
      <c r="J33" s="433">
        <f>+'q4'!$I$22</f>
        <v>22539</v>
      </c>
      <c r="K33" s="433">
        <f>+'q4'!$J$22</f>
        <v>23397</v>
      </c>
      <c r="L33" s="433">
        <f>+'q4'!$K$22</f>
        <v>23798</v>
      </c>
      <c r="M33" s="433">
        <f>+'q4'!$L$22</f>
        <v>23734</v>
      </c>
    </row>
    <row r="34" spans="1:105">
      <c r="A34" s="422"/>
      <c r="B34" s="422" t="str">
        <f>+'q4'!$A$26</f>
        <v>Grande Lisboa</v>
      </c>
      <c r="C34" s="433">
        <f>+'q4'!$B$26</f>
        <v>54415</v>
      </c>
      <c r="D34" s="433">
        <f>+'q4'!$C$26</f>
        <v>55029</v>
      </c>
      <c r="E34" s="433">
        <f>+'q4'!$D$26</f>
        <v>55354</v>
      </c>
      <c r="F34" s="433">
        <f>+'q4'!$E$26</f>
        <v>56108</v>
      </c>
      <c r="G34" s="433">
        <f>+'q4'!$F$26</f>
        <v>57209</v>
      </c>
      <c r="H34" s="433">
        <f>+'q4'!$G$26</f>
        <v>55559</v>
      </c>
      <c r="I34" s="433">
        <f>+'q4'!$H$26</f>
        <v>56643</v>
      </c>
      <c r="J34" s="433">
        <f>+'q4'!$I$26</f>
        <v>54793</v>
      </c>
      <c r="K34" s="433">
        <f>+'q4'!$J$26</f>
        <v>57854</v>
      </c>
      <c r="L34" s="433">
        <f>+'q4'!$K$26</f>
        <v>59573</v>
      </c>
      <c r="M34" s="433">
        <f>+'q4'!$L$26</f>
        <v>59232</v>
      </c>
    </row>
    <row r="35" spans="1:105">
      <c r="A35" s="422"/>
      <c r="B35" s="422" t="str">
        <f>+'q4'!$A$27</f>
        <v>Península de Setúbal</v>
      </c>
      <c r="C35" s="433">
        <f>+'q4'!$B$27</f>
        <v>13124</v>
      </c>
      <c r="D35" s="433">
        <f>+'q4'!$C$27</f>
        <v>13250</v>
      </c>
      <c r="E35" s="433">
        <f>+'q4'!$D$27</f>
        <v>13484</v>
      </c>
      <c r="F35" s="433">
        <f>+'q4'!$E$27</f>
        <v>13666</v>
      </c>
      <c r="G35" s="433">
        <f>+'q4'!$F$27</f>
        <v>13850</v>
      </c>
      <c r="H35" s="433">
        <f>+'q4'!$G$27</f>
        <v>13653</v>
      </c>
      <c r="I35" s="433">
        <f>+'q4'!$H$27</f>
        <v>14047</v>
      </c>
      <c r="J35" s="433">
        <f>+'q4'!$I$27</f>
        <v>13853</v>
      </c>
      <c r="K35" s="433">
        <f>+'q4'!$J$27</f>
        <v>14699</v>
      </c>
      <c r="L35" s="433">
        <f>+'q4'!$K$27</f>
        <v>14910</v>
      </c>
      <c r="M35" s="433">
        <f>+'q4'!$L$27</f>
        <v>14916</v>
      </c>
    </row>
    <row r="36" spans="1:105">
      <c r="A36" s="422"/>
      <c r="B36" s="422" t="str">
        <f>+'q4'!$A$28</f>
        <v>Alentejo</v>
      </c>
      <c r="C36" s="433">
        <f>+'q4'!$B$28</f>
        <v>13857</v>
      </c>
      <c r="D36" s="433">
        <f>+'q4'!$C$28</f>
        <v>13937</v>
      </c>
      <c r="E36" s="433">
        <f>+'q4'!$D$28</f>
        <v>14026</v>
      </c>
      <c r="F36" s="433">
        <f>+'q4'!$E$28</f>
        <v>14095</v>
      </c>
      <c r="G36" s="433">
        <f>+'q4'!$F$28</f>
        <v>14020</v>
      </c>
      <c r="H36" s="433">
        <f>+'q4'!$G$28</f>
        <v>13753</v>
      </c>
      <c r="I36" s="433">
        <f>+'q4'!$H$28</f>
        <v>13857</v>
      </c>
      <c r="J36" s="433">
        <f>+'q4'!$I$28</f>
        <v>13418</v>
      </c>
      <c r="K36" s="433">
        <f>+'q4'!$J$28</f>
        <v>14383</v>
      </c>
      <c r="L36" s="433">
        <f>+'q4'!$K$28</f>
        <v>14681.999999999998</v>
      </c>
      <c r="M36" s="433">
        <f>+'q4'!$L$28</f>
        <v>14534.999999999996</v>
      </c>
      <c r="R36" s="422" t="str">
        <f>INDEX($A$2:$A$8,$P$2)</f>
        <v>Grande Lisboa</v>
      </c>
      <c r="AR36" s="421" t="s">
        <v>524</v>
      </c>
      <c r="AY36" s="944" t="s">
        <v>219</v>
      </c>
      <c r="AZ36" s="944"/>
      <c r="BA36" s="944"/>
      <c r="BB36" s="944" t="s">
        <v>219</v>
      </c>
      <c r="BC36" s="944"/>
      <c r="BD36" s="944"/>
      <c r="BE36" s="944" t="s">
        <v>204</v>
      </c>
      <c r="BF36" s="944"/>
      <c r="BG36" s="944"/>
      <c r="BH36" s="944" t="s">
        <v>204</v>
      </c>
      <c r="BI36" s="944"/>
      <c r="BJ36" s="944"/>
      <c r="BK36" s="479"/>
      <c r="BM36" s="421" t="s">
        <v>524</v>
      </c>
      <c r="BT36" s="944" t="s">
        <v>205</v>
      </c>
      <c r="BU36" s="944"/>
      <c r="BV36" s="944"/>
      <c r="BW36" s="944" t="s">
        <v>205</v>
      </c>
      <c r="BX36" s="944"/>
      <c r="BY36" s="944"/>
      <c r="BZ36" s="944" t="s">
        <v>182</v>
      </c>
      <c r="CA36" s="944"/>
      <c r="CB36" s="944"/>
      <c r="CC36" s="944" t="s">
        <v>182</v>
      </c>
      <c r="CD36" s="944"/>
      <c r="CE36" s="944"/>
      <c r="CG36" s="421" t="s">
        <v>524</v>
      </c>
      <c r="CP36" s="944" t="s">
        <v>256</v>
      </c>
      <c r="CQ36" s="944"/>
      <c r="CR36" s="944"/>
      <c r="CS36" s="944" t="s">
        <v>256</v>
      </c>
      <c r="CT36" s="944"/>
      <c r="CU36" s="944"/>
      <c r="CV36" s="944" t="s">
        <v>257</v>
      </c>
      <c r="CW36" s="944"/>
      <c r="CX36" s="944"/>
      <c r="CY36" s="944" t="s">
        <v>257</v>
      </c>
      <c r="CZ36" s="944"/>
      <c r="DA36" s="944"/>
    </row>
    <row r="37" spans="1:105">
      <c r="A37" s="422"/>
      <c r="B37" s="422" t="str">
        <f>+'q4'!$A$33</f>
        <v>Algarve</v>
      </c>
      <c r="C37" s="433">
        <f>+'q4'!$B$33</f>
        <v>15485</v>
      </c>
      <c r="D37" s="433">
        <f>+'q4'!$C$33</f>
        <v>15831</v>
      </c>
      <c r="E37" s="433">
        <f>+'q4'!$D$33</f>
        <v>16300</v>
      </c>
      <c r="F37" s="433">
        <f>+'q4'!$E$33</f>
        <v>16481</v>
      </c>
      <c r="G37" s="433">
        <f>+'q4'!$F$33</f>
        <v>17081</v>
      </c>
      <c r="H37" s="433">
        <f>+'q4'!$G$33</f>
        <v>17191</v>
      </c>
      <c r="I37" s="433">
        <f>+'q4'!$H$33</f>
        <v>16775</v>
      </c>
      <c r="J37" s="433">
        <f>+'q4'!$I$33</f>
        <v>16329</v>
      </c>
      <c r="K37" s="433">
        <f>+'q4'!$J$33</f>
        <v>17066</v>
      </c>
      <c r="L37" s="433">
        <f>+'q4'!$K$33</f>
        <v>18237.000000000004</v>
      </c>
      <c r="M37" s="433">
        <f>+'q4'!$L$33</f>
        <v>18173.999999999996</v>
      </c>
      <c r="S37" s="422">
        <f>+C30</f>
        <v>2014</v>
      </c>
      <c r="T37" s="422">
        <f t="shared" ref="T37:AC37" si="35">+D30</f>
        <v>2015</v>
      </c>
      <c r="U37" s="422">
        <f t="shared" si="35"/>
        <v>2016</v>
      </c>
      <c r="V37" s="422">
        <f t="shared" si="35"/>
        <v>2017</v>
      </c>
      <c r="W37" s="422">
        <f t="shared" si="35"/>
        <v>2018</v>
      </c>
      <c r="X37" s="422">
        <f t="shared" si="35"/>
        <v>2019</v>
      </c>
      <c r="Y37" s="422">
        <f t="shared" si="35"/>
        <v>2020</v>
      </c>
      <c r="Z37" s="422">
        <f t="shared" si="35"/>
        <v>2021</v>
      </c>
      <c r="AA37" s="422">
        <f t="shared" si="35"/>
        <v>2022</v>
      </c>
      <c r="AB37" s="422">
        <f t="shared" si="35"/>
        <v>2023</v>
      </c>
      <c r="AC37" s="422">
        <f t="shared" si="35"/>
        <v>2024</v>
      </c>
      <c r="AE37" s="391" t="str">
        <f>+"variação "&amp;AC37&amp;"/"&amp;AB37</f>
        <v>variação 2024/2023</v>
      </c>
      <c r="AF37" s="391" t="str">
        <f>+"variação "&amp;AC37&amp;"/"&amp;S37</f>
        <v>variação 2024/2014</v>
      </c>
      <c r="AS37" s="540" t="s">
        <v>219</v>
      </c>
      <c r="AT37" s="540" t="s">
        <v>204</v>
      </c>
      <c r="AU37" s="398" t="s">
        <v>314</v>
      </c>
      <c r="AV37" s="398" t="s">
        <v>315</v>
      </c>
      <c r="AW37" s="398" t="s">
        <v>312</v>
      </c>
      <c r="AX37" s="398" t="s">
        <v>313</v>
      </c>
      <c r="AY37" s="421" t="s">
        <v>543</v>
      </c>
      <c r="AZ37" s="421" t="s">
        <v>544</v>
      </c>
      <c r="BA37" s="421" t="s">
        <v>285</v>
      </c>
      <c r="BB37" s="421" t="s">
        <v>545</v>
      </c>
      <c r="BC37" s="421" t="s">
        <v>546</v>
      </c>
      <c r="BD37" s="421" t="s">
        <v>285</v>
      </c>
      <c r="BE37" s="421" t="s">
        <v>543</v>
      </c>
      <c r="BF37" s="421" t="s">
        <v>544</v>
      </c>
      <c r="BG37" s="421" t="s">
        <v>285</v>
      </c>
      <c r="BH37" s="421" t="s">
        <v>545</v>
      </c>
      <c r="BI37" s="421" t="s">
        <v>546</v>
      </c>
      <c r="BJ37" s="421" t="s">
        <v>285</v>
      </c>
      <c r="BN37" s="502" t="s">
        <v>205</v>
      </c>
      <c r="BO37" s="502" t="s">
        <v>182</v>
      </c>
      <c r="BP37" s="398" t="s">
        <v>319</v>
      </c>
      <c r="BQ37" s="398" t="s">
        <v>320</v>
      </c>
      <c r="BR37" s="398" t="s">
        <v>321</v>
      </c>
      <c r="BS37" s="398" t="s">
        <v>322</v>
      </c>
      <c r="BT37" s="421" t="s">
        <v>543</v>
      </c>
      <c r="BU37" s="421" t="s">
        <v>544</v>
      </c>
      <c r="BV37" s="421" t="s">
        <v>285</v>
      </c>
      <c r="BW37" s="421" t="s">
        <v>545</v>
      </c>
      <c r="BX37" s="421" t="s">
        <v>546</v>
      </c>
      <c r="BY37" s="421" t="s">
        <v>285</v>
      </c>
      <c r="BZ37" s="421" t="s">
        <v>543</v>
      </c>
      <c r="CA37" s="421" t="s">
        <v>544</v>
      </c>
      <c r="CB37" s="421" t="s">
        <v>285</v>
      </c>
      <c r="CC37" s="421" t="s">
        <v>545</v>
      </c>
      <c r="CD37" s="421" t="s">
        <v>546</v>
      </c>
      <c r="CE37" s="421" t="s">
        <v>285</v>
      </c>
      <c r="CH37" s="540" t="s">
        <v>262</v>
      </c>
      <c r="CI37" s="540" t="s">
        <v>263</v>
      </c>
      <c r="CJ37" s="583" t="s">
        <v>326</v>
      </c>
      <c r="CK37" s="583" t="s">
        <v>327</v>
      </c>
      <c r="CL37" s="583" t="s">
        <v>328</v>
      </c>
      <c r="CM37" s="583" t="s">
        <v>329</v>
      </c>
      <c r="CN37" s="584" t="s">
        <v>331</v>
      </c>
      <c r="CO37" s="584" t="s">
        <v>332</v>
      </c>
      <c r="CP37" s="421" t="s">
        <v>543</v>
      </c>
      <c r="CQ37" s="421" t="s">
        <v>544</v>
      </c>
      <c r="CR37" s="421" t="s">
        <v>285</v>
      </c>
      <c r="CS37" s="421" t="s">
        <v>545</v>
      </c>
      <c r="CT37" s="421" t="s">
        <v>546</v>
      </c>
      <c r="CU37" s="421" t="s">
        <v>285</v>
      </c>
      <c r="CV37" s="421" t="s">
        <v>543</v>
      </c>
      <c r="CW37" s="421" t="s">
        <v>544</v>
      </c>
      <c r="CX37" s="421" t="s">
        <v>285</v>
      </c>
      <c r="CY37" s="421" t="s">
        <v>545</v>
      </c>
      <c r="CZ37" s="421" t="s">
        <v>546</v>
      </c>
      <c r="DA37" s="421" t="s">
        <v>285</v>
      </c>
    </row>
    <row r="38" spans="1:105">
      <c r="B38" s="422" t="s">
        <v>13</v>
      </c>
      <c r="C38" s="433">
        <f>+'q4'!$B$5</f>
        <v>270181</v>
      </c>
      <c r="D38" s="433">
        <f>+'q4'!$C$5</f>
        <v>273060</v>
      </c>
      <c r="E38" s="433">
        <f>+'q4'!$D$5</f>
        <v>276332</v>
      </c>
      <c r="F38" s="433">
        <f>+'q4'!$E$5</f>
        <v>279191</v>
      </c>
      <c r="G38" s="433">
        <f>+'q4'!$F$5</f>
        <v>282236</v>
      </c>
      <c r="H38" s="433">
        <f>+'q4'!$G$5</f>
        <v>275751</v>
      </c>
      <c r="I38" s="433">
        <f>+'q4'!$H$5</f>
        <v>277641</v>
      </c>
      <c r="J38" s="433">
        <f>+'q4'!$I$5</f>
        <v>271806</v>
      </c>
      <c r="K38" s="433">
        <f>+'q4'!$J$5</f>
        <v>284860</v>
      </c>
      <c r="L38" s="433">
        <f>+'q4'!$K$5</f>
        <v>291252.00000000017</v>
      </c>
      <c r="M38" s="433">
        <f>+'q4'!$L$5</f>
        <v>288762.99999999994</v>
      </c>
      <c r="R38" s="395" t="s">
        <v>205</v>
      </c>
      <c r="S38" s="433">
        <f>+VLOOKUP($R$36,$B$110:$M$117,COLUMN(C111)-1,0)</f>
        <v>715126</v>
      </c>
      <c r="T38" s="433">
        <f t="shared" ref="T38:AC38" si="36">+VLOOKUP($R$36,$B$110:$M$117,COLUMN(D111)-1,0)</f>
        <v>730551</v>
      </c>
      <c r="U38" s="433">
        <f t="shared" si="36"/>
        <v>765222</v>
      </c>
      <c r="V38" s="433">
        <f t="shared" si="36"/>
        <v>790694</v>
      </c>
      <c r="W38" s="433">
        <f t="shared" si="36"/>
        <v>826919</v>
      </c>
      <c r="X38" s="433">
        <f t="shared" si="36"/>
        <v>845336</v>
      </c>
      <c r="Y38" s="433">
        <f t="shared" si="36"/>
        <v>835460</v>
      </c>
      <c r="Z38" s="433">
        <f t="shared" si="36"/>
        <v>838586</v>
      </c>
      <c r="AA38" s="433">
        <f t="shared" si="36"/>
        <v>915180</v>
      </c>
      <c r="AB38" s="433">
        <f t="shared" si="36"/>
        <v>969558</v>
      </c>
      <c r="AC38" s="433">
        <f t="shared" si="36"/>
        <v>996445</v>
      </c>
      <c r="AD38" s="433" t="str">
        <f>TEXT(AC38,"##.###")</f>
        <v>996.445</v>
      </c>
      <c r="AE38" s="397">
        <f>+(AC38/AB38-1)</f>
        <v>2.7731192976593544E-2</v>
      </c>
      <c r="AF38" s="397">
        <f>+(AC38/S38-1)</f>
        <v>0.39338382327030486</v>
      </c>
      <c r="AG38" s="443">
        <f>+AC38-S38</f>
        <v>281319</v>
      </c>
      <c r="AH38" s="421" t="str">
        <f>IF(AG38&gt;0,", mais",", menos")</f>
        <v>, mais</v>
      </c>
      <c r="AI38" s="421">
        <f>IF(AG38&gt;0,AG38,AG38*-1)</f>
        <v>281319</v>
      </c>
      <c r="AR38" s="423" t="s">
        <v>496</v>
      </c>
      <c r="AS38" s="433">
        <f>INDEX($B$30:$M$37,MATCH($AR$38:$AR$44,$B$30:$B$37,0),MATCH($AR$6,$B$30:$M$30,0))</f>
        <v>111564.99999999994</v>
      </c>
      <c r="AT38" s="433">
        <f>INDEX($B$70:$M$77,MATCH($AR$38:$AR$44,$B$70:$B$77,0),MATCH($AR$6,$B$70:$M$70,0))</f>
        <v>127676.00000000001</v>
      </c>
      <c r="AU38" s="446">
        <f>+AS38/$AS$32*100</f>
        <v>38.635490003913233</v>
      </c>
      <c r="AV38" s="446">
        <f>+AT38/$AT$32*100</f>
        <v>37.771059030962135</v>
      </c>
      <c r="AW38" s="436">
        <f>RANK(AS38,$AS$38:$AS$44,0)</f>
        <v>1</v>
      </c>
      <c r="AX38" s="436">
        <f>RANK(AT38,$AT$38:$AT$44,0)</f>
        <v>1</v>
      </c>
      <c r="AY38" s="433">
        <f>MAX($AS$8:$AS$15)</f>
        <v>51191</v>
      </c>
      <c r="AZ38" s="421" t="str">
        <f>VLOOKUP(AY38,$AS$8:$AY$31,7,0)</f>
        <v>Área Metropolitana do Porto</v>
      </c>
      <c r="BA38" s="421">
        <f>AY38/$AS$38*100</f>
        <v>45.884461972840967</v>
      </c>
      <c r="BB38" s="433">
        <f>MIN($AS$8:$AS$15)</f>
        <v>2432</v>
      </c>
      <c r="BC38" s="421" t="str">
        <f>VLOOKUP(BB38,$AS$8:$AY$31,7,0)</f>
        <v>Alto Tâmega e Barroso</v>
      </c>
      <c r="BD38" s="421">
        <f>BB38/$AS$38*100</f>
        <v>2.179895128400485</v>
      </c>
      <c r="BE38" s="433">
        <f>MAX($AT$8:$AT$15)</f>
        <v>59738.999999999993</v>
      </c>
      <c r="BF38" s="421" t="str">
        <f>VLOOKUP(BE38,$AT$8:$AY$31,6,0)</f>
        <v>Área Metropolitana do Porto</v>
      </c>
      <c r="BG38" s="421">
        <f>BE38/$AT$38*100</f>
        <v>46.789529747172523</v>
      </c>
      <c r="BH38" s="433">
        <f>MIN($AT$8:$AT$15)</f>
        <v>2794</v>
      </c>
      <c r="BI38" s="421" t="str">
        <f>VLOOKUP(BH38,$AT$8:$AY$31,6,0)</f>
        <v>Alto Tâmega e Barroso</v>
      </c>
      <c r="BJ38" s="421">
        <f>BH38/$AT$38*100</f>
        <v>2.1883517654061841</v>
      </c>
      <c r="BM38" s="423" t="s">
        <v>496</v>
      </c>
      <c r="BN38" s="433">
        <f>INDEX($B$110:$M$117,MATCH($BM$38:$BM$44,$B$110:$B$117,0),MATCH($BM$6,$B$110:$M$110,0))</f>
        <v>1269596.0000000002</v>
      </c>
      <c r="BO38" s="433">
        <f>INDEX($B$150:$M$157,MATCH($BM$38:$BM$44,$B$150:$B$157,0),MATCH($BM$6,$B$150:$M$150,0))</f>
        <v>1196817.9999999998</v>
      </c>
      <c r="BP38" s="446">
        <f>+BN38/$BN$32*100</f>
        <v>35.814164072604576</v>
      </c>
      <c r="BQ38" s="446">
        <f>+BO38/$BO$32*100</f>
        <v>35.681856668900728</v>
      </c>
      <c r="BR38" s="436">
        <f>RANK(BN38,$BN$38:$BN$44,0)</f>
        <v>1</v>
      </c>
      <c r="BS38" s="436">
        <f>RANK(BO38,$BO$38:$BO$44,0)</f>
        <v>1</v>
      </c>
      <c r="BT38" s="433">
        <f>MAX($BN$8:$BN$15)</f>
        <v>666772</v>
      </c>
      <c r="BU38" s="421" t="str">
        <f>VLOOKUP(BT38,$BN$8:$BT$31,7,0)</f>
        <v>Área Metropolitana do Porto</v>
      </c>
      <c r="BV38" s="421">
        <f>BT38/$BN$38*100</f>
        <v>52.518438936480571</v>
      </c>
      <c r="BW38" s="433">
        <f>MIN($BN$8:$BN$15)</f>
        <v>17027</v>
      </c>
      <c r="BX38" s="421" t="str">
        <f>VLOOKUP(BW38,$BN$8:$BT$31,7,0)</f>
        <v>Alto Tâmega e Barroso</v>
      </c>
      <c r="BY38" s="421">
        <f>BW38/$BN$38*100</f>
        <v>1.3411352902813176</v>
      </c>
      <c r="BZ38" s="433">
        <f>MAX($BO$8:$BO$15)</f>
        <v>631342.00000000012</v>
      </c>
      <c r="CA38" s="421" t="str">
        <f>VLOOKUP(BZ38,$BO$8:$BT$31,6,0)</f>
        <v>Área Metropolitana do Porto</v>
      </c>
      <c r="CB38" s="421">
        <f>BZ38/$BO$38*100</f>
        <v>52.751713293082183</v>
      </c>
      <c r="CC38" s="433">
        <f>MIN($BO$8:$BO$15)</f>
        <v>15712.999999999998</v>
      </c>
      <c r="CD38" s="421" t="str">
        <f>VLOOKUP(CC38,$BO$8:$BT$31,6,0)</f>
        <v>Alto Tâmega e Barroso</v>
      </c>
      <c r="CE38" s="421">
        <f>CC38/$BO$38*100</f>
        <v>1.3128980346218055</v>
      </c>
      <c r="CG38" s="423" t="s">
        <v>496</v>
      </c>
      <c r="CH38" s="434">
        <f>INDEX($B$190:$M$197,MATCH($CG$38:$CG$44,$B$190:$B$197,0),MATCH($CG$6,$B$190:$M$190,0))</f>
        <v>1233.0899999999999</v>
      </c>
      <c r="CI38" s="434">
        <f>INDEX($B$230:$M$237,MATCH($CG$38:$CG$44,$B$230:$B$237,0),MATCH($CG$6,$B$230:$M$230,0))</f>
        <v>1474.68</v>
      </c>
      <c r="CJ38" s="446">
        <f>+(CH38/$CH$32-1)*100</f>
        <v>-5.7962046204620528</v>
      </c>
      <c r="CK38" s="446">
        <f>+(CI38/$CI$32-1)*100</f>
        <v>-6.8279892592007503</v>
      </c>
      <c r="CL38" s="436">
        <f>RANK(CH38,$CH$38:$CH$44,0)</f>
        <v>3</v>
      </c>
      <c r="CM38" s="436">
        <f>RANK(CI38,$CI$38:$CI$44,0)</f>
        <v>3</v>
      </c>
      <c r="CN38" s="434">
        <f>+CH38-$CH$32</f>
        <v>-75.870000000000118</v>
      </c>
      <c r="CO38" s="434">
        <f>+CI38-$CI$32</f>
        <v>-108.06999999999994</v>
      </c>
      <c r="CP38" s="433">
        <f>MAX($CH$8:$CH$15)</f>
        <v>1351.51</v>
      </c>
      <c r="CQ38" s="421" t="str">
        <f>VLOOKUP(CP38,$CH$8:$CP$15,9,0)</f>
        <v>Área Metropolitana do Porto</v>
      </c>
      <c r="CR38" s="582">
        <f>(CP38/$CH$38-1)*100</f>
        <v>9.6035163694458738</v>
      </c>
      <c r="CS38" s="433">
        <f>MIN($CH$8:$CH$15)</f>
        <v>1024.3399999999999</v>
      </c>
      <c r="CT38" s="421" t="str">
        <f>VLOOKUP(CS38,$CH$8:$CP$15,9,0)</f>
        <v>Alto Tâmega e Barroso</v>
      </c>
      <c r="CU38" s="582">
        <f>(CS38/$CH$38-1)*100</f>
        <v>-16.929015724724074</v>
      </c>
      <c r="CV38" s="433">
        <f>MAX($CI$8:$CI$15)</f>
        <v>1620.05</v>
      </c>
      <c r="CW38" s="421" t="str">
        <f>VLOOKUP(CV38,$CI$8:$CP$15,8,0)</f>
        <v>Área Metropolitana do Porto</v>
      </c>
      <c r="CX38" s="582">
        <f>(CV38/$CI$38-1)*100</f>
        <v>9.8577318469091466</v>
      </c>
      <c r="CY38" s="433">
        <f>MIN($CI$8:$CI$15)</f>
        <v>1207.05</v>
      </c>
      <c r="CZ38" s="421" t="str">
        <f>VLOOKUP(CY38,$CI$8:$CP$15,8,0)</f>
        <v>Alto Tâmega e Barroso</v>
      </c>
      <c r="DA38" s="582">
        <f>(CY38/$CI$38-1)*100</f>
        <v>-18.14834404752218</v>
      </c>
    </row>
    <row r="39" spans="1:105">
      <c r="B39" s="422"/>
      <c r="C39" s="433"/>
      <c r="D39" s="433"/>
      <c r="E39" s="433"/>
      <c r="F39" s="433"/>
      <c r="G39" s="433"/>
      <c r="H39" s="433"/>
      <c r="I39" s="433"/>
      <c r="J39" s="433"/>
      <c r="K39" s="433"/>
      <c r="L39" s="433"/>
      <c r="M39" s="433"/>
      <c r="R39" s="395" t="s">
        <v>182</v>
      </c>
      <c r="S39" s="433">
        <f>+VLOOKUP($R$36,$B$150:$M$157,COLUMN(C151)-1,0)</f>
        <v>677265</v>
      </c>
      <c r="T39" s="433">
        <f t="shared" ref="T39:AC39" si="37">+VLOOKUP($R$36,$B$150:$M$157,COLUMN(D151)-1,0)</f>
        <v>692513</v>
      </c>
      <c r="U39" s="433">
        <f t="shared" si="37"/>
        <v>728120</v>
      </c>
      <c r="V39" s="433">
        <f t="shared" si="37"/>
        <v>753266.00000000012</v>
      </c>
      <c r="W39" s="433">
        <f t="shared" si="37"/>
        <v>788380.00000000012</v>
      </c>
      <c r="X39" s="433">
        <f t="shared" si="37"/>
        <v>807855</v>
      </c>
      <c r="Y39" s="433">
        <f t="shared" si="37"/>
        <v>797460</v>
      </c>
      <c r="Z39" s="433">
        <f t="shared" si="37"/>
        <v>801493</v>
      </c>
      <c r="AA39" s="433">
        <f t="shared" si="37"/>
        <v>875584</v>
      </c>
      <c r="AB39" s="433">
        <f t="shared" si="37"/>
        <v>928991</v>
      </c>
      <c r="AC39" s="433">
        <f t="shared" si="37"/>
        <v>956373.99999999988</v>
      </c>
      <c r="AD39" s="433" t="str">
        <f>TEXT(AC39,"##.###")</f>
        <v>956.374</v>
      </c>
      <c r="AE39" s="397">
        <f>+(AC39/AB39-1)</f>
        <v>2.9476065968346177E-2</v>
      </c>
      <c r="AF39" s="397">
        <f>+(AC39/S39-1)</f>
        <v>0.41211195027057346</v>
      </c>
      <c r="AG39" s="443">
        <f>+AC39-S39</f>
        <v>279108.99999999988</v>
      </c>
      <c r="AH39" s="421" t="str">
        <f>IF(AG39&gt;0,", mais",", menos")</f>
        <v>, mais</v>
      </c>
      <c r="AI39" s="421">
        <f>IF(AG39&gt;0,AG39,AG39*-1)</f>
        <v>279108.99999999988</v>
      </c>
      <c r="AR39" s="423" t="s">
        <v>505</v>
      </c>
      <c r="AS39" s="433">
        <f t="shared" ref="AS39:AS44" si="38">INDEX($B$30:$M$37,MATCH($AR$38:$AR$44,$B$30:$B$37,0),MATCH($AR$6,$B$30:$M$30,0))</f>
        <v>46606.999999999985</v>
      </c>
      <c r="AT39" s="433">
        <f t="shared" ref="AT39:AT44" si="39">INDEX($B$70:$M$77,MATCH($AR$38:$AR$44,$B$70:$B$77,0),MATCH($AR$6,$B$70:$M$70,0))</f>
        <v>55186.999999999978</v>
      </c>
      <c r="AU39" s="446">
        <f t="shared" ref="AU39:AU44" si="40">+AS39/$AS$32*100</f>
        <v>16.140225721439379</v>
      </c>
      <c r="AV39" s="446">
        <f t="shared" ref="AV39:AV44" si="41">+AT39/$AT$32*100</f>
        <v>16.326258926828114</v>
      </c>
      <c r="AW39" s="436">
        <f t="shared" ref="AW39:AW44" si="42">RANK(AS39,$AS$38:$AS$44,0)</f>
        <v>3</v>
      </c>
      <c r="AX39" s="436">
        <f t="shared" ref="AX39:AX44" si="43">RANK(AT39,$AT$38:$AT$44,0)</f>
        <v>3</v>
      </c>
      <c r="AY39" s="433">
        <f>MAX($AS$16:$AS$21)</f>
        <v>10899</v>
      </c>
      <c r="AZ39" s="421" t="str">
        <f>VLOOKUP(AY39,$AS$6:$AY$21,7,0)</f>
        <v>Região de Coimbra</v>
      </c>
      <c r="BA39" s="421">
        <f>AY39/$AS$39*100</f>
        <v>23.384899264059055</v>
      </c>
      <c r="BB39" s="433">
        <f>MIN($AS$16:$AS$21)</f>
        <v>2681.9999999999995</v>
      </c>
      <c r="BC39" s="421" t="str">
        <f>VLOOKUP(BB39,$AS$16:$AY$21,7,0)</f>
        <v>Beira Baixa</v>
      </c>
      <c r="BD39" s="421">
        <f>BB39/$AS$39*100</f>
        <v>5.7545003969360833</v>
      </c>
      <c r="BE39" s="433">
        <f>MAX($AT$16:$AT$21)</f>
        <v>13262.000000000002</v>
      </c>
      <c r="BF39" s="421" t="str">
        <f>VLOOKUP(BE39,$AT$16:$AY$21,6,0)</f>
        <v>Região de Coimbra</v>
      </c>
      <c r="BG39" s="421">
        <f>BE39/$AT$39*100</f>
        <v>24.031021798612002</v>
      </c>
      <c r="BH39" s="433">
        <f>MIN($AT$16:$AT$21)</f>
        <v>3212</v>
      </c>
      <c r="BI39" s="421" t="str">
        <f>VLOOKUP(BH39,$AT$16:$AY$21,6,0)</f>
        <v>Beira Baixa</v>
      </c>
      <c r="BJ39" s="421">
        <f>BH39/$AT$39*100</f>
        <v>5.8202112816424183</v>
      </c>
      <c r="BM39" s="423" t="s">
        <v>505</v>
      </c>
      <c r="BN39" s="433">
        <f t="shared" ref="BN39:BN44" si="44">INDEX($B$110:$M$117,MATCH($BM$38:$BM$44,$B$110:$B$117,0),MATCH($BM$6,$B$110:$M$110,0))</f>
        <v>530374</v>
      </c>
      <c r="BO39" s="433">
        <f t="shared" ref="BO39:BO44" si="45">INDEX($B$150:$M$157,MATCH($BM$38:$BM$44,$B$150:$B$157,0),MATCH($BM$6,$B$150:$M$150,0))</f>
        <v>497594.00000000012</v>
      </c>
      <c r="BP39" s="446">
        <f t="shared" ref="BP39:BP44" si="46">+BN39/$BN$32*100</f>
        <v>14.961374685997416</v>
      </c>
      <c r="BQ39" s="446">
        <f t="shared" ref="BQ39:BQ44" si="47">+BO39/$BO$32*100</f>
        <v>14.835236257563803</v>
      </c>
      <c r="BR39" s="436">
        <f t="shared" ref="BR39:BR44" si="48">RANK(BN39,$BN$38:$BN$44,0)</f>
        <v>3</v>
      </c>
      <c r="BS39" s="436">
        <f t="shared" ref="BS39:BS44" si="49">RANK(BO39,$BO$38:$BO$44,0)</f>
        <v>3</v>
      </c>
      <c r="BT39" s="433">
        <f>MAX($BN$16:$BN$21)</f>
        <v>139173</v>
      </c>
      <c r="BU39" s="421" t="str">
        <f>VLOOKUP(BT39,$BN$6:$BT$21,7,0)</f>
        <v>Região de Aveiro</v>
      </c>
      <c r="BV39" s="421">
        <f>BT39/$BN$39*100</f>
        <v>26.240539694630584</v>
      </c>
      <c r="BW39" s="433">
        <f>MIN($BN$16:$BN$21)</f>
        <v>23660</v>
      </c>
      <c r="BX39" s="421" t="str">
        <f>VLOOKUP(BW39,$BN$16:$BT$21,7,0)</f>
        <v>Beira Baixa</v>
      </c>
      <c r="BY39" s="421">
        <f>BW39/$BN$39*100</f>
        <v>4.4610029903426645</v>
      </c>
      <c r="BZ39" s="433">
        <f>MAX($BO$16:$BO$21)</f>
        <v>131216</v>
      </c>
      <c r="CA39" s="421" t="str">
        <f>VLOOKUP(BZ39,$BO$16:$BT$21,6,0)</f>
        <v>Região de Aveiro</v>
      </c>
      <c r="CB39" s="421">
        <f>BZ39/$BO$39*100</f>
        <v>26.370092886972103</v>
      </c>
      <c r="CC39" s="433">
        <f>MIN($BO$16:$BO$21)</f>
        <v>22041</v>
      </c>
      <c r="CD39" s="421" t="str">
        <f>VLOOKUP(CC39,$BO$16:$BT$21,6,0)</f>
        <v>Beira Baixa</v>
      </c>
      <c r="CE39" s="421">
        <f>CC39/$BO$39*100</f>
        <v>4.4295148253395329</v>
      </c>
      <c r="CG39" s="423" t="s">
        <v>505</v>
      </c>
      <c r="CH39" s="434">
        <f t="shared" ref="CH39:CH44" si="50">INDEX($B$190:$M$197,MATCH($CG$38:$CG$44,$B$190:$B$197,0),MATCH($CG$6,$B$190:$M$190,0))</f>
        <v>1150.98</v>
      </c>
      <c r="CI39" s="434">
        <f t="shared" ref="CI39:CI44" si="51">INDEX($B$230:$M$237,MATCH($CG$38:$CG$44,$B$230:$B$237,0),MATCH($CG$6,$B$230:$M$230,0))</f>
        <v>1410.88</v>
      </c>
      <c r="CJ39" s="446">
        <f t="shared" ref="CJ39:CJ44" si="52">+(CH39/$CH$32-1)*100</f>
        <v>-12.069123579024566</v>
      </c>
      <c r="CK39" s="446">
        <f t="shared" ref="CK39:CK44" si="53">+(CI39/$CI$32-1)*100</f>
        <v>-10.858948033486016</v>
      </c>
      <c r="CL39" s="436">
        <f t="shared" ref="CL39:CL44" si="54">RANK(CH39,$CH$38:$CH$44,0)</f>
        <v>4</v>
      </c>
      <c r="CM39" s="436">
        <f t="shared" ref="CM39:CM44" si="55">RANK(CI39,$CI$38:$CI$44,0)</f>
        <v>4</v>
      </c>
      <c r="CN39" s="434">
        <f t="shared" ref="CN39:CN44" si="56">+CH39-$CH$32</f>
        <v>-157.98000000000002</v>
      </c>
      <c r="CO39" s="434">
        <f t="shared" ref="CO39:CO44" si="57">+CI39-$CI$32</f>
        <v>-171.86999999999989</v>
      </c>
      <c r="CP39" s="433">
        <f>MAX($CH$16:$CH$21)</f>
        <v>1223.23</v>
      </c>
      <c r="CQ39" s="421" t="str">
        <f>VLOOKUP(CP39,$CH$16:$CP$21,9,0)</f>
        <v>Região de Aveiro</v>
      </c>
      <c r="CR39" s="582">
        <f>(CP39/$CH$39-1)*100</f>
        <v>6.2772593789640174</v>
      </c>
      <c r="CS39" s="433">
        <f>MIN($CH$16:$CH$21)</f>
        <v>1058.19</v>
      </c>
      <c r="CT39" s="421" t="str">
        <f>VLOOKUP(CS39,$CH$16:$CP$21,9,0)</f>
        <v>Beiras e Serra da Estrela</v>
      </c>
      <c r="CU39" s="582">
        <f>(CS39/$CH$39-1)*100</f>
        <v>-8.0618255747276208</v>
      </c>
      <c r="CV39" s="433">
        <f>MAX($CI$16:$CI$21)</f>
        <v>1492.3</v>
      </c>
      <c r="CW39" s="421" t="str">
        <f>VLOOKUP(CV39,$CI$16:$CP$21,8,0)</f>
        <v>Região de Aveiro</v>
      </c>
      <c r="CX39" s="582">
        <f>(CV39/$CI$39-1)*100</f>
        <v>5.7708664096166817</v>
      </c>
      <c r="CY39" s="433">
        <f>MIN($CI$16:$CI$21)</f>
        <v>1279.02</v>
      </c>
      <c r="CZ39" s="421" t="str">
        <f>VLOOKUP(CY39,$CI$16:$CP$21,8,0)</f>
        <v>Beira Baixa</v>
      </c>
      <c r="DA39" s="582">
        <f>(CY39/$CI$39-1)*100</f>
        <v>-9.3459401224767582</v>
      </c>
    </row>
    <row r="40" spans="1:105">
      <c r="C40" s="422">
        <f>+C30</f>
        <v>2014</v>
      </c>
      <c r="D40" s="422">
        <f t="shared" ref="D40:M40" si="58">+D30</f>
        <v>2015</v>
      </c>
      <c r="E40" s="422">
        <f t="shared" si="58"/>
        <v>2016</v>
      </c>
      <c r="F40" s="422">
        <f t="shared" si="58"/>
        <v>2017</v>
      </c>
      <c r="G40" s="422">
        <f t="shared" si="58"/>
        <v>2018</v>
      </c>
      <c r="H40" s="422">
        <f t="shared" si="58"/>
        <v>2019</v>
      </c>
      <c r="I40" s="422">
        <f t="shared" si="58"/>
        <v>2020</v>
      </c>
      <c r="J40" s="422">
        <f t="shared" si="58"/>
        <v>2021</v>
      </c>
      <c r="K40" s="422">
        <f t="shared" si="58"/>
        <v>2022</v>
      </c>
      <c r="L40" s="422">
        <f t="shared" si="58"/>
        <v>2023</v>
      </c>
      <c r="M40" s="422">
        <f t="shared" si="58"/>
        <v>2024</v>
      </c>
      <c r="AR40" s="423" t="s">
        <v>512</v>
      </c>
      <c r="AS40" s="433">
        <f t="shared" si="38"/>
        <v>23734</v>
      </c>
      <c r="AT40" s="433">
        <f t="shared" si="39"/>
        <v>27902.999999999993</v>
      </c>
      <c r="AU40" s="446">
        <f t="shared" si="40"/>
        <v>8.219197057794803</v>
      </c>
      <c r="AV40" s="446">
        <f t="shared" si="41"/>
        <v>8.2546904675971664</v>
      </c>
      <c r="AW40" s="436">
        <f t="shared" si="42"/>
        <v>4</v>
      </c>
      <c r="AX40" s="436">
        <f t="shared" si="43"/>
        <v>4</v>
      </c>
      <c r="AY40" s="433">
        <f>MAX($AS$22:$AS$24)</f>
        <v>11570</v>
      </c>
      <c r="AZ40" s="421" t="str">
        <f>VLOOKUP(AY40,$AS$22:$AY$24,7,0)</f>
        <v>Oeste</v>
      </c>
      <c r="BA40" s="421">
        <f>AY40/$AS$40*100</f>
        <v>48.748630656442231</v>
      </c>
      <c r="BB40" s="433">
        <f>MIN($AS$22:$AS$24)</f>
        <v>5983</v>
      </c>
      <c r="BC40" s="421" t="str">
        <f>VLOOKUP(BB40,$AS$22:$AY$24,7,0)</f>
        <v>Médio Tejo</v>
      </c>
      <c r="BD40" s="421">
        <f>BB40/$AS$40*100</f>
        <v>25.208561557259628</v>
      </c>
      <c r="BE40" s="433">
        <f>MAX($AT$22:$AT$24)</f>
        <v>13413</v>
      </c>
      <c r="BF40" s="421" t="str">
        <f>VLOOKUP(BE40,$AT$22:$AY$24,6,0)</f>
        <v>Oeste</v>
      </c>
      <c r="BG40" s="421">
        <f>BE40/$AT$40*100</f>
        <v>48.070099989248483</v>
      </c>
      <c r="BH40" s="433">
        <f>MIN($AT$22:$AT$24)</f>
        <v>7122</v>
      </c>
      <c r="BI40" s="421" t="str">
        <f>VLOOKUP(BH40,$AT$22:$AY$24,6,0)</f>
        <v>Médio Tejo</v>
      </c>
      <c r="BJ40" s="421">
        <f>BH40/$AT$40*100</f>
        <v>25.524137189549517</v>
      </c>
      <c r="BM40" s="423" t="s">
        <v>512</v>
      </c>
      <c r="BN40" s="433">
        <f t="shared" si="44"/>
        <v>249048</v>
      </c>
      <c r="BO40" s="433">
        <f t="shared" si="45"/>
        <v>232968.00000000003</v>
      </c>
      <c r="BP40" s="446">
        <f t="shared" si="46"/>
        <v>7.0254206329840541</v>
      </c>
      <c r="BQ40" s="446">
        <f t="shared" si="47"/>
        <v>6.9456933171463566</v>
      </c>
      <c r="BR40" s="436">
        <f t="shared" si="48"/>
        <v>4</v>
      </c>
      <c r="BS40" s="436">
        <f t="shared" si="49"/>
        <v>4</v>
      </c>
      <c r="BT40" s="433">
        <f>MAX($BN$22:$BN$24)</f>
        <v>112479</v>
      </c>
      <c r="BU40" s="421" t="str">
        <f>VLOOKUP(BT40,$BN$22:$BT$24,7,0)</f>
        <v>Oeste</v>
      </c>
      <c r="BV40" s="421">
        <f>BT40/$BN$40*100</f>
        <v>45.163582923773731</v>
      </c>
      <c r="BW40" s="433">
        <f>MIN($BN$22:$BN$24)</f>
        <v>59911.000000000007</v>
      </c>
      <c r="BX40" s="421" t="str">
        <f>VLOOKUP(BW40,$BN$22:$BT$24,7,0)</f>
        <v>Médio Tejo</v>
      </c>
      <c r="BY40" s="421">
        <f>BW40/$BN$40*100</f>
        <v>24.05600526806078</v>
      </c>
      <c r="BZ40" s="433">
        <f>MAX($BO$22:$BO$24)</f>
        <v>104588.00000000001</v>
      </c>
      <c r="CA40" s="421" t="str">
        <f>VLOOKUP(BZ40,$BO$22:$BT$24,6,0)</f>
        <v>Oeste</v>
      </c>
      <c r="CB40" s="421">
        <f>BZ40/$BO$40*100</f>
        <v>44.893719309089661</v>
      </c>
      <c r="CC40" s="433">
        <f>MIN($BO$22:$BO$24)</f>
        <v>55609</v>
      </c>
      <c r="CD40" s="421" t="str">
        <f>VLOOKUP(CC40,$BO$22:$BT$24,6,0)</f>
        <v>Médio Tejo</v>
      </c>
      <c r="CE40" s="421">
        <f>CC40/$BO$40*100</f>
        <v>23.869801861199818</v>
      </c>
      <c r="CG40" s="423" t="s">
        <v>512</v>
      </c>
      <c r="CH40" s="434">
        <f t="shared" si="50"/>
        <v>1103.5999999999999</v>
      </c>
      <c r="CI40" s="434">
        <f t="shared" si="51"/>
        <v>1346.57</v>
      </c>
      <c r="CJ40" s="446">
        <f t="shared" si="52"/>
        <v>-15.688791101332367</v>
      </c>
      <c r="CK40" s="446">
        <f t="shared" si="53"/>
        <v>-14.92212920549677</v>
      </c>
      <c r="CL40" s="436">
        <f t="shared" si="54"/>
        <v>6</v>
      </c>
      <c r="CM40" s="436">
        <f t="shared" si="55"/>
        <v>6</v>
      </c>
      <c r="CN40" s="434">
        <f t="shared" si="56"/>
        <v>-205.36000000000013</v>
      </c>
      <c r="CO40" s="434">
        <f t="shared" si="57"/>
        <v>-236.18000000000006</v>
      </c>
      <c r="CP40" s="433">
        <f>MAX($CH$22:$CH$24)</f>
        <v>1108.57</v>
      </c>
      <c r="CQ40" s="421" t="str">
        <f>VLOOKUP(CP40,$CH$22:$CP$24,9,0)</f>
        <v>Médio Tejo</v>
      </c>
      <c r="CR40" s="582">
        <f>(CP40/$CH$40-1)*100</f>
        <v>0.45034432765493904</v>
      </c>
      <c r="CS40" s="433">
        <f>MIN($CH$22:$CH$24)</f>
        <v>1100.1600000000001</v>
      </c>
      <c r="CT40" s="421" t="str">
        <f>VLOOKUP(CS40,$CH$22:$CP$24,9,0)</f>
        <v>Oeste</v>
      </c>
      <c r="CU40" s="582">
        <f>(CS40/$CH$40-1)*100</f>
        <v>-0.31170714026820256</v>
      </c>
      <c r="CV40" s="433">
        <f>MAX($CI$22:$CI$24)</f>
        <v>1367.1</v>
      </c>
      <c r="CW40" s="421" t="str">
        <f>VLOOKUP(CV40,$CI$22:$CP$24,8,0)</f>
        <v>Médio Tejo</v>
      </c>
      <c r="CX40" s="582">
        <f>(CV40/$CI$40-1)*100</f>
        <v>1.524614390636958</v>
      </c>
      <c r="CY40" s="433">
        <f>MIN($CI$22:$CI$24)</f>
        <v>1324.42</v>
      </c>
      <c r="CZ40" s="421" t="str">
        <f>VLOOKUP(CY40,$CI$22:$CP$24,8,0)</f>
        <v>Oeste</v>
      </c>
      <c r="DA40" s="582">
        <f>(CY40/$CI$40-1)*100</f>
        <v>-1.6449200561426292</v>
      </c>
    </row>
    <row r="41" spans="1:105">
      <c r="A41" s="422" t="s">
        <v>525</v>
      </c>
      <c r="B41" s="422" t="str">
        <f>+'q4'!$A$7</f>
        <v>Alto Minho</v>
      </c>
      <c r="C41" s="433">
        <f>+'q4'!$B$7</f>
        <v>7129</v>
      </c>
      <c r="D41" s="433">
        <f>+'q4'!$C$7</f>
        <v>7173</v>
      </c>
      <c r="E41" s="433">
        <f>+'q4'!$D$7</f>
        <v>7291</v>
      </c>
      <c r="F41" s="433">
        <f>+'q4'!$E$7</f>
        <v>7270</v>
      </c>
      <c r="G41" s="433">
        <f>+'q4'!$F$7</f>
        <v>7341</v>
      </c>
      <c r="H41" s="433">
        <f>+'q4'!$G$7</f>
        <v>7045</v>
      </c>
      <c r="I41" s="433">
        <f>+'q4'!$H$7</f>
        <v>7037</v>
      </c>
      <c r="J41" s="433">
        <f>+'q4'!$I$7</f>
        <v>6974</v>
      </c>
      <c r="K41" s="433">
        <f>+'q4'!$J$7</f>
        <v>7227</v>
      </c>
      <c r="L41" s="433">
        <f>+'q4'!$K$7</f>
        <v>7381</v>
      </c>
      <c r="M41" s="433">
        <f>+'q4'!$L$7</f>
        <v>7328</v>
      </c>
      <c r="AF41" s="446">
        <f>+(AC38/S38-1)*100</f>
        <v>39.338382327030487</v>
      </c>
      <c r="AR41" s="423" t="s">
        <v>516</v>
      </c>
      <c r="AS41" s="433">
        <f t="shared" si="38"/>
        <v>59232</v>
      </c>
      <c r="AT41" s="433">
        <f t="shared" si="39"/>
        <v>69821</v>
      </c>
      <c r="AU41" s="446">
        <f t="shared" si="40"/>
        <v>20.512323254710616</v>
      </c>
      <c r="AV41" s="446">
        <f t="shared" si="41"/>
        <v>20.655511706200123</v>
      </c>
      <c r="AW41" s="436">
        <f t="shared" si="42"/>
        <v>2</v>
      </c>
      <c r="AX41" s="436">
        <f t="shared" si="43"/>
        <v>2</v>
      </c>
      <c r="AY41" s="433">
        <f>MAX($AS$25)</f>
        <v>59232</v>
      </c>
      <c r="AZ41" s="421" t="str">
        <f>VLOOKUP(AY41,$AS$25:$AY$25,7,0)</f>
        <v>Grande Lisboa</v>
      </c>
      <c r="BA41" s="421">
        <f>AY41/$AS$41*100</f>
        <v>100</v>
      </c>
      <c r="BB41" s="433">
        <f>MIN($AS$25:$AS$25)</f>
        <v>59232</v>
      </c>
      <c r="BC41" s="421" t="str">
        <f>VLOOKUP(BB41,$AS$25:$AY$25,7,0)</f>
        <v>Grande Lisboa</v>
      </c>
      <c r="BD41" s="421">
        <f>BB41/$AS$41*100</f>
        <v>100</v>
      </c>
      <c r="BE41" s="433">
        <f>MAX($AT$25:$AT$25)</f>
        <v>69821</v>
      </c>
      <c r="BF41" s="421" t="str">
        <f>VLOOKUP(BE41,$AT$25:$AY$25,6,0)</f>
        <v>Grande Lisboa</v>
      </c>
      <c r="BG41" s="421">
        <f>BE41/$AT$41*100</f>
        <v>100</v>
      </c>
      <c r="BH41" s="433">
        <f>MIN($AT$25)</f>
        <v>69821</v>
      </c>
      <c r="BI41" s="421" t="str">
        <f>VLOOKUP(BH41,$AT$25:$AY$25,6,0)</f>
        <v>Grande Lisboa</v>
      </c>
      <c r="BJ41" s="421">
        <f>BH41/$AT$41*100</f>
        <v>100</v>
      </c>
      <c r="BM41" s="423" t="s">
        <v>516</v>
      </c>
      <c r="BN41" s="433">
        <f t="shared" si="44"/>
        <v>996445</v>
      </c>
      <c r="BO41" s="433">
        <f t="shared" si="45"/>
        <v>956373.99999999988</v>
      </c>
      <c r="BP41" s="446">
        <f t="shared" si="46"/>
        <v>28.108819434943449</v>
      </c>
      <c r="BQ41" s="446">
        <f t="shared" si="47"/>
        <v>28.513274357390401</v>
      </c>
      <c r="BR41" s="436">
        <f t="shared" si="48"/>
        <v>2</v>
      </c>
      <c r="BS41" s="436">
        <f t="shared" si="49"/>
        <v>2</v>
      </c>
      <c r="BT41" s="433">
        <f>MAX($BN$25)</f>
        <v>996445</v>
      </c>
      <c r="BU41" s="421" t="str">
        <f>VLOOKUP(BT41,$BN$25:$BT$25,7,0)</f>
        <v>Grande Lisboa</v>
      </c>
      <c r="BV41" s="421">
        <f>BT41/$BN$41*100</f>
        <v>100</v>
      </c>
      <c r="BW41" s="433">
        <f>MIN($BN$25:$BN$25)</f>
        <v>996445</v>
      </c>
      <c r="BX41" s="421" t="str">
        <f>VLOOKUP(BW41,$BN$25:$BT$25,7,0)</f>
        <v>Grande Lisboa</v>
      </c>
      <c r="BY41" s="421">
        <f>BW41/$BN$41*100</f>
        <v>100</v>
      </c>
      <c r="BZ41" s="433">
        <f>MAX($BO$25:$BO$25)</f>
        <v>956373.99999999988</v>
      </c>
      <c r="CA41" s="421" t="str">
        <f>VLOOKUP(BZ41,$BO$25:$BT$25,6,0)</f>
        <v>Grande Lisboa</v>
      </c>
      <c r="CB41" s="421">
        <f>BZ41/$BO$41*100</f>
        <v>100</v>
      </c>
      <c r="CC41" s="433">
        <f>MIN($BO$25)</f>
        <v>956373.99999999988</v>
      </c>
      <c r="CD41" s="421" t="str">
        <f>VLOOKUP(CC41,$BO$25:$BT$25,6,0)</f>
        <v>Grande Lisboa</v>
      </c>
      <c r="CE41" s="421">
        <f>CC41/$BO$41*100</f>
        <v>100</v>
      </c>
      <c r="CG41" s="423" t="s">
        <v>516</v>
      </c>
      <c r="CH41" s="434">
        <f t="shared" si="50"/>
        <v>1600.02</v>
      </c>
      <c r="CI41" s="434">
        <f t="shared" si="51"/>
        <v>1935.68</v>
      </c>
      <c r="CJ41" s="446">
        <f t="shared" si="52"/>
        <v>22.235973597359738</v>
      </c>
      <c r="CK41" s="446">
        <f t="shared" si="53"/>
        <v>22.298531037750745</v>
      </c>
      <c r="CL41" s="436">
        <f t="shared" si="54"/>
        <v>1</v>
      </c>
      <c r="CM41" s="436">
        <f t="shared" si="55"/>
        <v>1</v>
      </c>
      <c r="CN41" s="434">
        <f t="shared" si="56"/>
        <v>291.05999999999995</v>
      </c>
      <c r="CO41" s="434">
        <f t="shared" si="57"/>
        <v>352.93000000000006</v>
      </c>
      <c r="CP41" s="433">
        <f>MAX($CH$25)</f>
        <v>1600.02</v>
      </c>
      <c r="CQ41" s="421" t="str">
        <f>VLOOKUP(CP41,$CH$25:$CP$25,9,0)</f>
        <v>Grande Lisboa</v>
      </c>
      <c r="CR41" s="582">
        <f>(CP41/$CH$41-1)*100</f>
        <v>0</v>
      </c>
      <c r="CS41" s="433">
        <f>MIN($CH$25)</f>
        <v>1600.02</v>
      </c>
      <c r="CT41" s="421" t="str">
        <f>VLOOKUP(CS41,$CH$25:$CP$25,9,0)</f>
        <v>Grande Lisboa</v>
      </c>
      <c r="CU41" s="582">
        <f>(CS41/$CH$41-1)*100</f>
        <v>0</v>
      </c>
      <c r="CV41" s="433">
        <f>MAX($CI$25)</f>
        <v>1935.68</v>
      </c>
      <c r="CW41" s="421" t="str">
        <f>VLOOKUP(CV41,$CI$25:$CP$25,8,0)</f>
        <v>Grande Lisboa</v>
      </c>
      <c r="CX41" s="582">
        <f>(CV41/$CI$41-1)*100</f>
        <v>0</v>
      </c>
      <c r="CY41" s="433">
        <f>MIN($CI$25)</f>
        <v>1935.68</v>
      </c>
      <c r="CZ41" s="421" t="str">
        <f>VLOOKUP(CY41,$CI$25:$CP$25,8,0)</f>
        <v>Grande Lisboa</v>
      </c>
      <c r="DA41" s="582">
        <f>(CY41/$CI$41-1)*100</f>
        <v>0</v>
      </c>
    </row>
    <row r="42" spans="1:105">
      <c r="A42" s="422"/>
      <c r="B42" s="422" t="str">
        <f>+'q4'!$A$8</f>
        <v>Cávado</v>
      </c>
      <c r="C42" s="433">
        <f>+'q4'!$B$8</f>
        <v>13169</v>
      </c>
      <c r="D42" s="433">
        <f>+'q4'!$C$8</f>
        <v>13373</v>
      </c>
      <c r="E42" s="433">
        <f>+'q4'!$D$8</f>
        <v>13613</v>
      </c>
      <c r="F42" s="433">
        <f>+'q4'!$E$8</f>
        <v>13840</v>
      </c>
      <c r="G42" s="433">
        <f>+'q4'!$F$8</f>
        <v>13932</v>
      </c>
      <c r="H42" s="433">
        <f>+'q4'!$G$8</f>
        <v>13662</v>
      </c>
      <c r="I42" s="433">
        <f>+'q4'!$H$8</f>
        <v>13781</v>
      </c>
      <c r="J42" s="433">
        <f>+'q4'!$I$8</f>
        <v>13588</v>
      </c>
      <c r="K42" s="433">
        <f>+'q4'!$J$8</f>
        <v>14557</v>
      </c>
      <c r="L42" s="433">
        <f>+'q4'!$K$8</f>
        <v>15022.000000000002</v>
      </c>
      <c r="M42" s="433">
        <f>+'q4'!$L$8</f>
        <v>15022</v>
      </c>
      <c r="Z42" s="442" t="s">
        <v>534</v>
      </c>
      <c r="AF42" s="446">
        <f>+(AC39/S39-1)*100</f>
        <v>41.211195027057343</v>
      </c>
      <c r="AR42" s="423" t="s">
        <v>517</v>
      </c>
      <c r="AS42" s="433">
        <f t="shared" si="38"/>
        <v>14916</v>
      </c>
      <c r="AT42" s="433">
        <f t="shared" si="39"/>
        <v>18128</v>
      </c>
      <c r="AU42" s="446">
        <f t="shared" si="40"/>
        <v>5.1654817272295972</v>
      </c>
      <c r="AV42" s="446">
        <f t="shared" si="41"/>
        <v>5.3629010786152564</v>
      </c>
      <c r="AW42" s="436">
        <f t="shared" si="42"/>
        <v>6</v>
      </c>
      <c r="AX42" s="436">
        <f t="shared" si="43"/>
        <v>6</v>
      </c>
      <c r="AY42" s="433">
        <f>MAX($AS$26)</f>
        <v>14916</v>
      </c>
      <c r="AZ42" s="421" t="str">
        <f>VLOOKUP(AY42,$AS$26:$AY$26,7,0)</f>
        <v>Península de Setúbal</v>
      </c>
      <c r="BA42" s="421">
        <f>AY42/$AS$42*100</f>
        <v>100</v>
      </c>
      <c r="BB42" s="433">
        <f>MIN($AS$26)</f>
        <v>14916</v>
      </c>
      <c r="BC42" s="421" t="str">
        <f>VLOOKUP(BB42,$AS$26:$AY$26,7,0)</f>
        <v>Península de Setúbal</v>
      </c>
      <c r="BD42" s="421">
        <f>BB42/$AS$42*100</f>
        <v>100</v>
      </c>
      <c r="BE42" s="433">
        <f>MAX($AT$26)</f>
        <v>18128</v>
      </c>
      <c r="BF42" s="421" t="str">
        <f>VLOOKUP(BE42,$AT$26:$AY$26,6,0)</f>
        <v>Península de Setúbal</v>
      </c>
      <c r="BG42" s="421">
        <f>BE42/$AT$42*100</f>
        <v>100</v>
      </c>
      <c r="BH42" s="433">
        <f>MIN($AT$26)</f>
        <v>18128</v>
      </c>
      <c r="BI42" s="421" t="str">
        <f>VLOOKUP(BH42,$AT$26:$AY$26,6,0)</f>
        <v>Península de Setúbal</v>
      </c>
      <c r="BJ42" s="421">
        <f>BH42/$AT$42*100</f>
        <v>100</v>
      </c>
      <c r="BM42" s="423" t="s">
        <v>517</v>
      </c>
      <c r="BN42" s="433">
        <f t="shared" si="44"/>
        <v>177662</v>
      </c>
      <c r="BO42" s="433">
        <f t="shared" si="45"/>
        <v>167647</v>
      </c>
      <c r="BP42" s="446">
        <f t="shared" si="46"/>
        <v>5.0116856208329841</v>
      </c>
      <c r="BQ42" s="446">
        <f t="shared" si="47"/>
        <v>4.9982171265565878</v>
      </c>
      <c r="BR42" s="436">
        <f t="shared" si="48"/>
        <v>6</v>
      </c>
      <c r="BS42" s="436">
        <f t="shared" si="49"/>
        <v>6</v>
      </c>
      <c r="BT42" s="433">
        <f>MAX($BN$26)</f>
        <v>177662</v>
      </c>
      <c r="BU42" s="421" t="str">
        <f>VLOOKUP(BT42,$BN$26:$BT$26,7,0)</f>
        <v>Península de Setúbal</v>
      </c>
      <c r="BV42" s="421">
        <f>BT42/$BN$42*100</f>
        <v>100</v>
      </c>
      <c r="BW42" s="433">
        <f>MIN($BN$26)</f>
        <v>177662</v>
      </c>
      <c r="BX42" s="421" t="str">
        <f>VLOOKUP(BW42,$BN$26:$BT$26,7,0)</f>
        <v>Península de Setúbal</v>
      </c>
      <c r="BY42" s="421">
        <f>BW42/$BN$42*100</f>
        <v>100</v>
      </c>
      <c r="BZ42" s="433">
        <f>MAX($BO$26)</f>
        <v>167647</v>
      </c>
      <c r="CA42" s="421" t="str">
        <f>VLOOKUP(BZ42,$BO$26:$BT$26,6,0)</f>
        <v>Península de Setúbal</v>
      </c>
      <c r="CB42" s="421">
        <f>BZ42/$BO$42*100</f>
        <v>100</v>
      </c>
      <c r="CC42" s="433">
        <f>MIN($BO$26)</f>
        <v>167647</v>
      </c>
      <c r="CD42" s="421" t="str">
        <f>VLOOKUP(CC42,$BO$26:$BT$26,6,0)</f>
        <v>Península de Setúbal</v>
      </c>
      <c r="CE42" s="421">
        <f>CC42/$BO$42*100</f>
        <v>100</v>
      </c>
      <c r="CG42" s="423" t="s">
        <v>517</v>
      </c>
      <c r="CH42" s="434">
        <f t="shared" si="50"/>
        <v>1275.49</v>
      </c>
      <c r="CI42" s="434">
        <f t="shared" si="51"/>
        <v>1545.45</v>
      </c>
      <c r="CJ42" s="446">
        <f t="shared" si="52"/>
        <v>-2.5569918102921418</v>
      </c>
      <c r="CK42" s="446">
        <f t="shared" si="53"/>
        <v>-2.3566577160006319</v>
      </c>
      <c r="CL42" s="436">
        <f t="shared" si="54"/>
        <v>2</v>
      </c>
      <c r="CM42" s="436">
        <f t="shared" si="55"/>
        <v>2</v>
      </c>
      <c r="CN42" s="434">
        <f t="shared" si="56"/>
        <v>-33.470000000000027</v>
      </c>
      <c r="CO42" s="434">
        <f t="shared" si="57"/>
        <v>-37.299999999999955</v>
      </c>
      <c r="CP42" s="433">
        <f>MAX($CH$26)</f>
        <v>1275.49</v>
      </c>
      <c r="CQ42" s="421" t="str">
        <f>VLOOKUP(CP42,$CH$26:$CP$26,9,0)</f>
        <v>Península de Setúbal</v>
      </c>
      <c r="CR42" s="582">
        <f>(CP42/$CH$42-1)*100</f>
        <v>0</v>
      </c>
      <c r="CS42" s="433">
        <f>MIN($CH$26)</f>
        <v>1275.49</v>
      </c>
      <c r="CT42" s="421" t="str">
        <f>VLOOKUP(CS42,$CH$26:$CP$26,9,0)</f>
        <v>Península de Setúbal</v>
      </c>
      <c r="CU42" s="582">
        <f>(CS42/$CH$42-1)*100</f>
        <v>0</v>
      </c>
      <c r="CV42" s="433">
        <f>MAX($CI$26)</f>
        <v>1545.45</v>
      </c>
      <c r="CW42" s="421" t="str">
        <f>VLOOKUP(CV42,$CI$26:$CP$26,8,0)</f>
        <v>Península de Setúbal</v>
      </c>
      <c r="CX42" s="582">
        <f>(CV42/$CI$42-1)*100</f>
        <v>0</v>
      </c>
      <c r="CY42" s="433">
        <f>MIN($CI$26)</f>
        <v>1545.45</v>
      </c>
      <c r="CZ42" s="421" t="str">
        <f>VLOOKUP(CY42,$CI$26:$CP$26,8,0)</f>
        <v>Península de Setúbal</v>
      </c>
      <c r="DA42" s="582">
        <f>(CY42/$CI$42-1)*100</f>
        <v>0</v>
      </c>
    </row>
    <row r="43" spans="1:105">
      <c r="A43" s="422"/>
      <c r="B43" s="422" t="str">
        <f>+'q4'!$A$9</f>
        <v>Ave</v>
      </c>
      <c r="C43" s="433">
        <f>+'q4'!$B$9</f>
        <v>12761</v>
      </c>
      <c r="D43" s="433">
        <f>+'q4'!$C$9</f>
        <v>12914</v>
      </c>
      <c r="E43" s="433">
        <f>+'q4'!$D$9</f>
        <v>13247</v>
      </c>
      <c r="F43" s="433">
        <f>+'q4'!$E$9</f>
        <v>13507</v>
      </c>
      <c r="G43" s="433">
        <f>+'q4'!$F$9</f>
        <v>13505</v>
      </c>
      <c r="H43" s="433">
        <f>+'q4'!$G$9</f>
        <v>13001</v>
      </c>
      <c r="I43" s="433">
        <f>+'q4'!$H$9</f>
        <v>13164</v>
      </c>
      <c r="J43" s="433">
        <f>+'q4'!$I$9</f>
        <v>12897</v>
      </c>
      <c r="K43" s="433">
        <f>+'q4'!$J$9</f>
        <v>13716</v>
      </c>
      <c r="L43" s="433">
        <f>+'q4'!$K$9</f>
        <v>13849.999999999998</v>
      </c>
      <c r="M43" s="433">
        <f>+'q4'!$L$9</f>
        <v>13685</v>
      </c>
      <c r="AR43" s="423" t="s">
        <v>518</v>
      </c>
      <c r="AS43" s="433">
        <f t="shared" si="38"/>
        <v>14534.999999999996</v>
      </c>
      <c r="AT43" s="433">
        <f t="shared" si="39"/>
        <v>17352.000000000004</v>
      </c>
      <c r="AU43" s="446">
        <f t="shared" si="40"/>
        <v>5.0335396155324608</v>
      </c>
      <c r="AV43" s="446">
        <f t="shared" si="41"/>
        <v>5.1333329388863609</v>
      </c>
      <c r="AW43" s="436">
        <f t="shared" si="42"/>
        <v>7</v>
      </c>
      <c r="AX43" s="436">
        <f t="shared" si="43"/>
        <v>7</v>
      </c>
      <c r="AY43" s="433">
        <f>MAX($AS$27:$AS$30)</f>
        <v>5030</v>
      </c>
      <c r="AZ43" s="421" t="str">
        <f>VLOOKUP(AY43,$AS$27:$AY$30,7,0)</f>
        <v>Alentejo Central</v>
      </c>
      <c r="BA43" s="421">
        <f>AY43/$AS$43*100</f>
        <v>34.606123151014799</v>
      </c>
      <c r="BB43" s="433">
        <f>MIN($AS$27:$AS$30)</f>
        <v>2787</v>
      </c>
      <c r="BC43" s="421" t="str">
        <f>VLOOKUP(BB43,$AS$27:$AY$30,7,0)</f>
        <v>Alto Alentejo</v>
      </c>
      <c r="BD43" s="421">
        <f>BB43/$AS$43*100</f>
        <v>19.174406604747166</v>
      </c>
      <c r="BE43" s="433">
        <f>MAX($AT$27:$AT$30)</f>
        <v>6058</v>
      </c>
      <c r="BF43" s="421" t="str">
        <f>VLOOKUP(BE43,$AT$27:$AY$30,6,0)</f>
        <v>Alentejo Central</v>
      </c>
      <c r="BG43" s="421">
        <f>BE43/$AT$43*100</f>
        <v>34.912402028584594</v>
      </c>
      <c r="BH43" s="433">
        <f>MIN($AT$27:$AT$30)</f>
        <v>3351.0000000000005</v>
      </c>
      <c r="BI43" s="421" t="str">
        <f>VLOOKUP(BH43,$AT$27:$AY$30,6,0)</f>
        <v>Alto Alentejo</v>
      </c>
      <c r="BJ43" s="421">
        <f>BH43/$AT$43*100</f>
        <v>19.311894882434299</v>
      </c>
      <c r="BM43" s="423" t="s">
        <v>518</v>
      </c>
      <c r="BN43" s="433">
        <f t="shared" si="44"/>
        <v>137731</v>
      </c>
      <c r="BO43" s="433">
        <f t="shared" si="45"/>
        <v>130362.00000000001</v>
      </c>
      <c r="BP43" s="446">
        <f t="shared" si="46"/>
        <v>3.8852679371106245</v>
      </c>
      <c r="BQ43" s="446">
        <f t="shared" si="47"/>
        <v>3.8866044787689007</v>
      </c>
      <c r="BR43" s="436">
        <f t="shared" si="48"/>
        <v>7</v>
      </c>
      <c r="BS43" s="436">
        <f t="shared" si="49"/>
        <v>7</v>
      </c>
      <c r="BT43" s="433">
        <f>MAX($BN$27:$BN$30)</f>
        <v>44873</v>
      </c>
      <c r="BU43" s="421" t="str">
        <f>VLOOKUP(BT43,$BN$27:$BT$30,7,0)</f>
        <v>Alentejo Central</v>
      </c>
      <c r="BV43" s="421">
        <f>BT43/$BN$43*100</f>
        <v>32.580174397920587</v>
      </c>
      <c r="BW43" s="433">
        <f>MIN($BN$27:$BN$30)</f>
        <v>23829.999999999996</v>
      </c>
      <c r="BX43" s="421" t="str">
        <f>VLOOKUP(BW43,$BN$27:$BT$30,7,0)</f>
        <v>Alto Alentejo</v>
      </c>
      <c r="BY43" s="421">
        <f>BW43/$BN$43*100</f>
        <v>17.301841996355211</v>
      </c>
      <c r="BZ43" s="433">
        <f>MAX($BO$27:$BO$30)</f>
        <v>42150</v>
      </c>
      <c r="CA43" s="421" t="str">
        <f>VLOOKUP(BZ43,$BO$27:$BT$30,6,0)</f>
        <v>Alentejo Central</v>
      </c>
      <c r="CB43" s="421">
        <f>BZ43/$BO$43*100</f>
        <v>32.333041837345235</v>
      </c>
      <c r="CC43" s="433">
        <f>MIN($BO$27:$BO$30)</f>
        <v>22423</v>
      </c>
      <c r="CD43" s="421" t="str">
        <f>VLOOKUP(CC43,$BO$27:$BT$30,6,0)</f>
        <v>Alto Alentejo</v>
      </c>
      <c r="CE43" s="421">
        <f>CC43/$BO$43*100</f>
        <v>17.200564581703258</v>
      </c>
      <c r="CG43" s="423" t="s">
        <v>518</v>
      </c>
      <c r="CH43" s="434">
        <f t="shared" si="50"/>
        <v>1127.48</v>
      </c>
      <c r="CI43" s="434">
        <f t="shared" si="51"/>
        <v>1409.53</v>
      </c>
      <c r="CJ43" s="446">
        <f t="shared" si="52"/>
        <v>-13.864441999755527</v>
      </c>
      <c r="CK43" s="446">
        <f t="shared" si="53"/>
        <v>-10.944242615700528</v>
      </c>
      <c r="CL43" s="436">
        <f t="shared" si="54"/>
        <v>5</v>
      </c>
      <c r="CM43" s="436">
        <f t="shared" si="55"/>
        <v>5</v>
      </c>
      <c r="CN43" s="434">
        <f t="shared" si="56"/>
        <v>-181.48000000000002</v>
      </c>
      <c r="CO43" s="434">
        <f t="shared" si="57"/>
        <v>-173.22000000000003</v>
      </c>
      <c r="CP43" s="433">
        <f>MAX($CH$27:$CH$30)</f>
        <v>1180.01</v>
      </c>
      <c r="CQ43" s="421" t="str">
        <f>VLOOKUP(CP43,$CH$27:$CP$30,9,0)</f>
        <v>Alentejo Litoral</v>
      </c>
      <c r="CR43" s="582">
        <f>(CP43/$CH$43-1)*100</f>
        <v>4.6590626884734032</v>
      </c>
      <c r="CS43" s="433">
        <f>MIN($CH$27:$CH$30)</f>
        <v>1064.08</v>
      </c>
      <c r="CT43" s="421" t="str">
        <f>VLOOKUP(CS43,$CH$27:$CP$30,9,0)</f>
        <v>Alto Alentejo</v>
      </c>
      <c r="CU43" s="582">
        <f>(CS43/$CH$43-1)*100</f>
        <v>-5.6231596125873695</v>
      </c>
      <c r="CV43" s="433">
        <f>MAX($CI$27:$CI$30)</f>
        <v>1480.81</v>
      </c>
      <c r="CW43" s="421" t="str">
        <f>VLOOKUP(CV43,$CI$27:$CP$30,8,0)</f>
        <v>Alentejo Litoral</v>
      </c>
      <c r="CX43" s="582">
        <f>(CV43/$CI$42-1)*100</f>
        <v>-4.1826005370604102</v>
      </c>
      <c r="CY43" s="433">
        <f>MIN($CI$27:$CI$30)</f>
        <v>1295.3599999999999</v>
      </c>
      <c r="CZ43" s="421" t="str">
        <f>VLOOKUP(CY43,$CI$27:$CP$30,8,0)</f>
        <v>Alto Alentejo</v>
      </c>
      <c r="DA43" s="582">
        <f>(CY43/$CI$43-1)*100</f>
        <v>-8.099863074925695</v>
      </c>
    </row>
    <row r="44" spans="1:105">
      <c r="A44" s="422"/>
      <c r="B44" s="422" t="str">
        <f>+'q4'!$A$10</f>
        <v>Área Metropolitana do Porto</v>
      </c>
      <c r="C44" s="433">
        <f>+'q4'!$B$10</f>
        <v>49118</v>
      </c>
      <c r="D44" s="433">
        <f>+'q4'!$C$10</f>
        <v>49590</v>
      </c>
      <c r="E44" s="433">
        <f>+'q4'!$D$10</f>
        <v>50179</v>
      </c>
      <c r="F44" s="433">
        <f>+'q4'!$E$10</f>
        <v>50743</v>
      </c>
      <c r="G44" s="433">
        <f>+'q4'!$F$10</f>
        <v>51437</v>
      </c>
      <c r="H44" s="433">
        <f>+'q4'!$G$10</f>
        <v>50377</v>
      </c>
      <c r="I44" s="433">
        <f>+'q4'!$H$10</f>
        <v>50550</v>
      </c>
      <c r="J44" s="433">
        <f>+'q4'!$I$10</f>
        <v>49104</v>
      </c>
      <c r="K44" s="433">
        <f>+'q4'!$J$10</f>
        <v>51243</v>
      </c>
      <c r="L44" s="433">
        <f>+'q4'!$K$10</f>
        <v>52107</v>
      </c>
      <c r="M44" s="433">
        <f>+'q4'!$L$10</f>
        <v>51191</v>
      </c>
      <c r="Z44" s="501">
        <f>+AC37</f>
        <v>2024</v>
      </c>
      <c r="AA44" s="421" t="s">
        <v>398</v>
      </c>
      <c r="AB44" s="421" t="s">
        <v>536</v>
      </c>
      <c r="AR44" s="423" t="s">
        <v>523</v>
      </c>
      <c r="AS44" s="433">
        <f t="shared" si="38"/>
        <v>18173.999999999996</v>
      </c>
      <c r="AT44" s="433">
        <f t="shared" si="39"/>
        <v>21958.999999999996</v>
      </c>
      <c r="AU44" s="446">
        <f t="shared" si="40"/>
        <v>6.2937426193799064</v>
      </c>
      <c r="AV44" s="446">
        <f t="shared" si="41"/>
        <v>6.4962458509108787</v>
      </c>
      <c r="AW44" s="436">
        <f t="shared" si="42"/>
        <v>5</v>
      </c>
      <c r="AX44" s="436">
        <f t="shared" si="43"/>
        <v>5</v>
      </c>
      <c r="AY44" s="433">
        <f>MAX($AS$31)</f>
        <v>18173.999999999996</v>
      </c>
      <c r="AZ44" s="421" t="str">
        <f>VLOOKUP(AY44,$AS$31:$AY$31,7,0)</f>
        <v>Algarve</v>
      </c>
      <c r="BA44" s="421">
        <f>AY44/$AS$44*100</f>
        <v>100</v>
      </c>
      <c r="BB44" s="433">
        <f>MIN($AS$31)</f>
        <v>18173.999999999996</v>
      </c>
      <c r="BC44" s="421" t="str">
        <f>VLOOKUP(BB44,$AS$31:$AY$31,7,0)</f>
        <v>Algarve</v>
      </c>
      <c r="BD44" s="421">
        <f>BB44/$AS$44*100</f>
        <v>100</v>
      </c>
      <c r="BE44" s="433">
        <f>MAX($AT$31)</f>
        <v>21958.999999999996</v>
      </c>
      <c r="BF44" s="421" t="str">
        <f>VLOOKUP(BE44,$AT$31:$AY$31,6,0)</f>
        <v>Algarve</v>
      </c>
      <c r="BG44" s="421">
        <f>BE44/$AT$44*100</f>
        <v>100</v>
      </c>
      <c r="BH44" s="433">
        <f>MIN($AT$31)</f>
        <v>21958.999999999996</v>
      </c>
      <c r="BI44" s="421" t="str">
        <f>VLOOKUP(BH44,$AT$31:$AY$31,6,0)</f>
        <v>Algarve</v>
      </c>
      <c r="BJ44" s="421">
        <f>BH44/$AT$44*100</f>
        <v>100</v>
      </c>
      <c r="BM44" s="423" t="s">
        <v>523</v>
      </c>
      <c r="BN44" s="433">
        <f t="shared" si="44"/>
        <v>184098.99999999997</v>
      </c>
      <c r="BO44" s="433">
        <f t="shared" si="45"/>
        <v>172373</v>
      </c>
      <c r="BP44" s="446">
        <f t="shared" si="46"/>
        <v>5.1932676155268513</v>
      </c>
      <c r="BQ44" s="446">
        <f t="shared" si="47"/>
        <v>5.1391177936732451</v>
      </c>
      <c r="BR44" s="436">
        <f t="shared" si="48"/>
        <v>5</v>
      </c>
      <c r="BS44" s="436">
        <f t="shared" si="49"/>
        <v>5</v>
      </c>
      <c r="BT44" s="433">
        <f>MAX($BN$31)</f>
        <v>184098.99999999997</v>
      </c>
      <c r="BU44" s="421" t="str">
        <f>VLOOKUP(BT44,$BN$31:$BT$31,7,0)</f>
        <v>Algarve</v>
      </c>
      <c r="BV44" s="421">
        <f>BT44/$BN$44*100</f>
        <v>100</v>
      </c>
      <c r="BW44" s="433">
        <f>MIN($BN$31)</f>
        <v>184098.99999999997</v>
      </c>
      <c r="BX44" s="421" t="str">
        <f>VLOOKUP(BW44,$BN$31:$BT$31,7,0)</f>
        <v>Algarve</v>
      </c>
      <c r="BY44" s="421">
        <f>BW44/$BN$44*100</f>
        <v>100</v>
      </c>
      <c r="BZ44" s="433">
        <f>MAX($BO$31)</f>
        <v>172373</v>
      </c>
      <c r="CA44" s="421" t="str">
        <f>VLOOKUP(BZ44,$BO$31:$BT$31,6,0)</f>
        <v>Algarve</v>
      </c>
      <c r="CB44" s="421">
        <f>BZ44/$BO$44*100</f>
        <v>100</v>
      </c>
      <c r="CC44" s="433">
        <f>MIN($BO$31)</f>
        <v>172373</v>
      </c>
      <c r="CD44" s="421" t="str">
        <f>VLOOKUP(CC44,$BO$31:$BT$31,6,0)</f>
        <v>Algarve</v>
      </c>
      <c r="CE44" s="421">
        <f>CC44/$BO$44*100</f>
        <v>100</v>
      </c>
      <c r="CG44" s="423" t="s">
        <v>523</v>
      </c>
      <c r="CH44" s="434">
        <f t="shared" si="50"/>
        <v>1095.01</v>
      </c>
      <c r="CI44" s="434">
        <f t="shared" si="51"/>
        <v>1320.22</v>
      </c>
      <c r="CJ44" s="446">
        <f t="shared" si="52"/>
        <v>-16.345037281505938</v>
      </c>
      <c r="CK44" s="446">
        <f t="shared" si="53"/>
        <v>-16.586953087979783</v>
      </c>
      <c r="CL44" s="436">
        <f t="shared" si="54"/>
        <v>7</v>
      </c>
      <c r="CM44" s="436">
        <f t="shared" si="55"/>
        <v>7</v>
      </c>
      <c r="CN44" s="434">
        <f t="shared" si="56"/>
        <v>-213.95000000000005</v>
      </c>
      <c r="CO44" s="434">
        <f t="shared" si="57"/>
        <v>-262.52999999999997</v>
      </c>
      <c r="CP44" s="433">
        <f>MAX($CH$31)</f>
        <v>1095.01</v>
      </c>
      <c r="CQ44" s="421" t="str">
        <f>VLOOKUP(CP44,$CH$31:$CP$31,9,0)</f>
        <v>Algarve</v>
      </c>
      <c r="CR44" s="582">
        <f>(CP44/$CH$44-1)*100</f>
        <v>0</v>
      </c>
      <c r="CS44" s="433">
        <f>MIN($CH$31)</f>
        <v>1095.01</v>
      </c>
      <c r="CT44" s="421" t="str">
        <f>VLOOKUP(CS44,$CH$31:$CP$31,9,0)</f>
        <v>Algarve</v>
      </c>
      <c r="CU44" s="582">
        <f>(CS44/$CH$44-1)*100</f>
        <v>0</v>
      </c>
      <c r="CV44" s="433">
        <f>MAX($CI$31)</f>
        <v>1320.22</v>
      </c>
      <c r="CW44" s="421" t="str">
        <f>VLOOKUP(CV44,$CI$31:$CP$31,8,0)</f>
        <v>Algarve</v>
      </c>
      <c r="CX44" s="582">
        <f>(CV44/$CI$44-1)*100</f>
        <v>0</v>
      </c>
      <c r="CY44" s="433">
        <f>MIN($CI$31)</f>
        <v>1320.22</v>
      </c>
      <c r="CZ44" s="421" t="str">
        <f>VLOOKUP(CY44,$CI$31:$CP$31,8,0)</f>
        <v>Algarve</v>
      </c>
      <c r="DA44" s="582">
        <f>(CY44/$CI$44-1)*100</f>
        <v>0</v>
      </c>
    </row>
    <row r="45" spans="1:105">
      <c r="A45" s="422"/>
      <c r="B45" s="422" t="str">
        <f>+'q4'!$A$11</f>
        <v>Alto Tâmega e Barroso</v>
      </c>
      <c r="C45" s="433">
        <f>+'q4'!$B$11</f>
        <v>2147</v>
      </c>
      <c r="D45" s="433">
        <f>+'q4'!$C$11</f>
        <v>2205</v>
      </c>
      <c r="E45" s="433">
        <f>+'q4'!$D$11</f>
        <v>2256</v>
      </c>
      <c r="F45" s="433">
        <f>+'q4'!$E$11</f>
        <v>2272</v>
      </c>
      <c r="G45" s="433">
        <f>+'q4'!$F$11</f>
        <v>2316</v>
      </c>
      <c r="H45" s="433">
        <f>+'q4'!$G$11</f>
        <v>2252</v>
      </c>
      <c r="I45" s="433">
        <f>+'q4'!$H$11</f>
        <v>2299</v>
      </c>
      <c r="J45" s="433">
        <f>+'q4'!$I$11</f>
        <v>2298</v>
      </c>
      <c r="K45" s="433">
        <f>+'q4'!$J$11</f>
        <v>2409</v>
      </c>
      <c r="L45" s="433">
        <f>+'q4'!$K$11</f>
        <v>2397</v>
      </c>
      <c r="M45" s="433">
        <f>+'q4'!$L$11</f>
        <v>2432</v>
      </c>
      <c r="Z45" s="421" t="s">
        <v>287</v>
      </c>
      <c r="AA45" s="421" t="str">
        <f>+R36</f>
        <v>Grande Lisboa</v>
      </c>
      <c r="AD45" s="959" t="str">
        <f>CONCATENATE(Z44,AA44,CHAR(10),AB44,AA45,Z46,AA47,Z48,AA49,Z50,AA51," ",AA52,AB53,AA54,Z55,AA56,Z57,AA58," ",AA59,AB60)</f>
        <v>2024:
As empresas da região Grande Lisboa tinham ao seu serviço 996.445 pessoas (variação de 39,3% face a 2014, ou seja, mais 281.319) e tinham 956.374 TCO (variação de 41,2% face a 2014, ou seja, mais 279.109).</v>
      </c>
      <c r="AE45" s="959"/>
      <c r="AF45" s="959"/>
      <c r="AG45" s="959"/>
    </row>
    <row r="46" spans="1:105">
      <c r="A46" s="422"/>
      <c r="B46" s="422" t="str">
        <f>+'q4'!$A$12</f>
        <v>Tâmega e Sousa</v>
      </c>
      <c r="C46" s="433">
        <f>+'q4'!$B$12</f>
        <v>12069</v>
      </c>
      <c r="D46" s="433">
        <f>+'q4'!$C$12</f>
        <v>12343</v>
      </c>
      <c r="E46" s="433">
        <f>+'q4'!$D$12</f>
        <v>12490</v>
      </c>
      <c r="F46" s="433">
        <f>+'q4'!$E$12</f>
        <v>12646</v>
      </c>
      <c r="G46" s="433">
        <f>+'q4'!$F$12</f>
        <v>12900</v>
      </c>
      <c r="H46" s="433">
        <f>+'q4'!$G$12</f>
        <v>12658</v>
      </c>
      <c r="I46" s="433">
        <f>+'q4'!$H$12</f>
        <v>12707</v>
      </c>
      <c r="J46" s="433">
        <f>+'q4'!$I$12</f>
        <v>12875</v>
      </c>
      <c r="K46" s="433">
        <f>+'q4'!$J$12</f>
        <v>13294</v>
      </c>
      <c r="L46" s="433">
        <f>+'q4'!$K$12</f>
        <v>13558</v>
      </c>
      <c r="M46" s="433">
        <f>+'q4'!$L$12</f>
        <v>13342</v>
      </c>
      <c r="Z46" s="421" t="s">
        <v>297</v>
      </c>
      <c r="AD46" s="959"/>
      <c r="AE46" s="959"/>
      <c r="AF46" s="959"/>
      <c r="AG46" s="959"/>
      <c r="CR46" s="446"/>
    </row>
    <row r="47" spans="1:105">
      <c r="A47" s="422"/>
      <c r="B47" s="422" t="str">
        <f>+'q4'!$A$13</f>
        <v>Douro</v>
      </c>
      <c r="C47" s="433">
        <f>+'q4'!$B$13</f>
        <v>5153</v>
      </c>
      <c r="D47" s="433">
        <f>+'q4'!$C$13</f>
        <v>5162</v>
      </c>
      <c r="E47" s="433">
        <f>+'q4'!$D$13</f>
        <v>5182</v>
      </c>
      <c r="F47" s="433">
        <f>+'q4'!$E$13</f>
        <v>5243</v>
      </c>
      <c r="G47" s="433">
        <f>+'q4'!$F$13</f>
        <v>5223</v>
      </c>
      <c r="H47" s="433">
        <f>+'q4'!$G$13</f>
        <v>5096</v>
      </c>
      <c r="I47" s="433">
        <f>+'q4'!$H$13</f>
        <v>5195</v>
      </c>
      <c r="J47" s="433">
        <f>+'q4'!$I$13</f>
        <v>5144</v>
      </c>
      <c r="K47" s="433">
        <f>+'q4'!$J$13</f>
        <v>5301</v>
      </c>
      <c r="L47" s="433">
        <f>+'q4'!$K$13</f>
        <v>5412.9999999999991</v>
      </c>
      <c r="M47" s="433">
        <f>+'q4'!$L$13</f>
        <v>5377</v>
      </c>
      <c r="Z47" s="421" t="s">
        <v>288</v>
      </c>
      <c r="AA47" s="443" t="str">
        <f>+AD38</f>
        <v>996.445</v>
      </c>
      <c r="AD47" s="959"/>
      <c r="AE47" s="959"/>
      <c r="AF47" s="959"/>
      <c r="AG47" s="959"/>
      <c r="CR47" s="446"/>
    </row>
    <row r="48" spans="1:105">
      <c r="A48" s="422"/>
      <c r="B48" s="422" t="str">
        <f>+'q4'!$A$14</f>
        <v>Terras de Trás-os-Montes</v>
      </c>
      <c r="C48" s="433">
        <f>+'q4'!$B$14</f>
        <v>3193</v>
      </c>
      <c r="D48" s="433">
        <f>+'q4'!$C$14</f>
        <v>3199</v>
      </c>
      <c r="E48" s="433">
        <f>+'q4'!$D$14</f>
        <v>3238</v>
      </c>
      <c r="F48" s="433">
        <f>+'q4'!$E$14</f>
        <v>3275</v>
      </c>
      <c r="G48" s="433">
        <f>+'q4'!$F$14</f>
        <v>3282</v>
      </c>
      <c r="H48" s="433">
        <f>+'q4'!$G$14</f>
        <v>3046</v>
      </c>
      <c r="I48" s="433">
        <f>+'q4'!$H$14</f>
        <v>3072</v>
      </c>
      <c r="J48" s="433">
        <f>+'q4'!$I$14</f>
        <v>3156</v>
      </c>
      <c r="K48" s="433">
        <f>+'q4'!$J$14</f>
        <v>3194</v>
      </c>
      <c r="L48" s="433">
        <f>+'q4'!$K$14</f>
        <v>3258</v>
      </c>
      <c r="M48" s="433">
        <f>+'q4'!$L$14</f>
        <v>3188</v>
      </c>
      <c r="Z48" s="421" t="s">
        <v>740</v>
      </c>
      <c r="AD48" s="959"/>
      <c r="AE48" s="959"/>
      <c r="AF48" s="959"/>
      <c r="AG48" s="959"/>
      <c r="CR48" s="446"/>
    </row>
    <row r="49" spans="1:96">
      <c r="A49" s="422"/>
      <c r="B49" s="422" t="str">
        <f>+'q4'!$A$16</f>
        <v>Região de Aveiro</v>
      </c>
      <c r="C49" s="433">
        <f>+'q4'!$B$16</f>
        <v>9205</v>
      </c>
      <c r="D49" s="433">
        <f>+'q4'!$C$16</f>
        <v>9320</v>
      </c>
      <c r="E49" s="433">
        <f>+'q4'!$D$16</f>
        <v>9561</v>
      </c>
      <c r="F49" s="433">
        <f>+'q4'!$E$16</f>
        <v>9662</v>
      </c>
      <c r="G49" s="433">
        <f>+'q4'!$F$16</f>
        <v>9814</v>
      </c>
      <c r="H49" s="433">
        <f>+'q4'!$G$16</f>
        <v>9682</v>
      </c>
      <c r="I49" s="433">
        <f>+'q4'!$H$16</f>
        <v>9658</v>
      </c>
      <c r="J49" s="433">
        <f>+'q4'!$I$16</f>
        <v>9380</v>
      </c>
      <c r="K49" s="433">
        <f>+'q4'!$J$16</f>
        <v>9676</v>
      </c>
      <c r="L49" s="433">
        <f>+'q4'!$K$16</f>
        <v>9766</v>
      </c>
      <c r="M49" s="433">
        <f>+'q4'!$L$16</f>
        <v>9773</v>
      </c>
      <c r="Z49" s="421" t="s">
        <v>290</v>
      </c>
      <c r="AA49" s="446">
        <f>ROUND(AF41,1)</f>
        <v>39.299999999999997</v>
      </c>
      <c r="AD49" s="959"/>
      <c r="AE49" s="959"/>
      <c r="AF49" s="959"/>
      <c r="AG49" s="959"/>
      <c r="CR49" s="446"/>
    </row>
    <row r="50" spans="1:96">
      <c r="A50" s="422"/>
      <c r="B50" s="422" t="str">
        <f>+'q4'!$A$17</f>
        <v>Região de Coimbra</v>
      </c>
      <c r="C50" s="433">
        <f>+'q4'!$B$17</f>
        <v>10830</v>
      </c>
      <c r="D50" s="433">
        <f>+'q4'!$C$17</f>
        <v>10841</v>
      </c>
      <c r="E50" s="433">
        <f>+'q4'!$D$17</f>
        <v>10913</v>
      </c>
      <c r="F50" s="433">
        <f>+'q4'!$E$17</f>
        <v>10920</v>
      </c>
      <c r="G50" s="433">
        <f>+'q4'!$F$17</f>
        <v>10935</v>
      </c>
      <c r="H50" s="433">
        <f>+'q4'!$G$17</f>
        <v>10620</v>
      </c>
      <c r="I50" s="433">
        <f>+'q4'!$H$17</f>
        <v>10718</v>
      </c>
      <c r="J50" s="433">
        <f>+'q4'!$I$17</f>
        <v>10509</v>
      </c>
      <c r="K50" s="433">
        <f>+'q4'!$J$17</f>
        <v>11014</v>
      </c>
      <c r="L50" s="433">
        <f>+'q4'!$K$17</f>
        <v>11047.999999999998</v>
      </c>
      <c r="M50" s="433">
        <f>+'q4'!$L$17</f>
        <v>10899</v>
      </c>
      <c r="Z50" s="421" t="s">
        <v>895</v>
      </c>
      <c r="AD50" s="959"/>
      <c r="AE50" s="959"/>
      <c r="AF50" s="959"/>
      <c r="AG50" s="959"/>
      <c r="CR50" s="446"/>
    </row>
    <row r="51" spans="1:96">
      <c r="A51" s="422"/>
      <c r="B51" s="422" t="str">
        <f>+'q4'!$A$18</f>
        <v>Região de Leiria</v>
      </c>
      <c r="C51" s="433">
        <f>+'q4'!$B$18</f>
        <v>10176</v>
      </c>
      <c r="D51" s="433">
        <f>+'q4'!$C$18</f>
        <v>10214</v>
      </c>
      <c r="E51" s="433">
        <f>+'q4'!$D$18</f>
        <v>10313</v>
      </c>
      <c r="F51" s="433">
        <f>+'q4'!$E$18</f>
        <v>10330</v>
      </c>
      <c r="G51" s="433">
        <f>+'q4'!$F$18</f>
        <v>10275</v>
      </c>
      <c r="H51" s="433">
        <f>+'q4'!$G$18</f>
        <v>9997</v>
      </c>
      <c r="I51" s="433">
        <f>+'q4'!$H$18</f>
        <v>9987</v>
      </c>
      <c r="J51" s="433">
        <f>+'q4'!$I$18</f>
        <v>9844</v>
      </c>
      <c r="K51" s="433">
        <f>+'q4'!$J$18</f>
        <v>10184</v>
      </c>
      <c r="L51" s="433">
        <f>+'q4'!$K$18</f>
        <v>10426</v>
      </c>
      <c r="M51" s="433">
        <f>+'q4'!$L$18</f>
        <v>10282.999999999996</v>
      </c>
      <c r="Z51" s="421" t="s">
        <v>291</v>
      </c>
      <c r="AA51" s="421" t="str">
        <f>+AH38</f>
        <v>, mais</v>
      </c>
      <c r="CR51" s="446"/>
    </row>
    <row r="52" spans="1:96">
      <c r="A52" s="422"/>
      <c r="B52" s="422" t="str">
        <f>+'q4'!$A$19</f>
        <v>Viseu Dão Lafões</v>
      </c>
      <c r="C52" s="433">
        <f>+'q4'!$B$19</f>
        <v>6859</v>
      </c>
      <c r="D52" s="433">
        <f>+'q4'!$C$19</f>
        <v>6980</v>
      </c>
      <c r="E52" s="433">
        <f>+'q4'!$D$19</f>
        <v>7045</v>
      </c>
      <c r="F52" s="433">
        <f>+'q4'!$E$19</f>
        <v>7065</v>
      </c>
      <c r="G52" s="433">
        <f>+'q4'!$F$19</f>
        <v>7093</v>
      </c>
      <c r="H52" s="433">
        <f>+'q4'!$G$19</f>
        <v>6962</v>
      </c>
      <c r="I52" s="433">
        <f>+'q4'!$H$19</f>
        <v>6975</v>
      </c>
      <c r="J52" s="433">
        <f>+'q4'!$I$19</f>
        <v>6950</v>
      </c>
      <c r="K52" s="433">
        <f>+'q4'!$J$19</f>
        <v>7226</v>
      </c>
      <c r="L52" s="433">
        <f>+'q4'!$K$19</f>
        <v>7366</v>
      </c>
      <c r="M52" s="433">
        <f>+'q4'!$L$19</f>
        <v>7294</v>
      </c>
      <c r="Z52" s="421" t="s">
        <v>292</v>
      </c>
      <c r="AA52" s="443" t="str">
        <f>TEXT(AI38,"##.###")</f>
        <v>281.319</v>
      </c>
      <c r="CR52" s="446"/>
    </row>
    <row r="53" spans="1:96">
      <c r="A53" s="422"/>
      <c r="B53" s="422" t="str">
        <f>+'q4'!$A$20</f>
        <v>Beira Baixa</v>
      </c>
      <c r="C53" s="433">
        <f>+'q4'!$B$20</f>
        <v>2688</v>
      </c>
      <c r="D53" s="433">
        <f>+'q4'!$C$20</f>
        <v>2715</v>
      </c>
      <c r="E53" s="433">
        <f>+'q4'!$D$20</f>
        <v>2717</v>
      </c>
      <c r="F53" s="433">
        <f>+'q4'!$E$20</f>
        <v>2654</v>
      </c>
      <c r="G53" s="433">
        <f>+'q4'!$F$20</f>
        <v>2682</v>
      </c>
      <c r="H53" s="433">
        <f>+'q4'!$G$20</f>
        <v>2637</v>
      </c>
      <c r="I53" s="433">
        <f>+'q4'!$H$20</f>
        <v>2619</v>
      </c>
      <c r="J53" s="433">
        <f>+'q4'!$I$20</f>
        <v>2630</v>
      </c>
      <c r="K53" s="433">
        <f>+'q4'!$J$20</f>
        <v>2733</v>
      </c>
      <c r="L53" s="433">
        <f>+'q4'!$K$20</f>
        <v>2743</v>
      </c>
      <c r="M53" s="433">
        <f>+'q4'!$L$20</f>
        <v>2681.9999999999995</v>
      </c>
      <c r="AB53" s="421" t="s">
        <v>658</v>
      </c>
    </row>
    <row r="54" spans="1:96">
      <c r="A54" s="422"/>
      <c r="B54" s="422" t="str">
        <f>+'q4'!$A$21</f>
        <v>Beiras e Serra da Estrela</v>
      </c>
      <c r="C54" s="433">
        <f>+'q4'!$B$21</f>
        <v>6008</v>
      </c>
      <c r="D54" s="433">
        <f>+'q4'!$C$21</f>
        <v>5979</v>
      </c>
      <c r="E54" s="433">
        <f>+'q4'!$D$21</f>
        <v>6003</v>
      </c>
      <c r="F54" s="433">
        <f>+'q4'!$E$21</f>
        <v>6026</v>
      </c>
      <c r="G54" s="433">
        <f>+'q4'!$F$21</f>
        <v>5967</v>
      </c>
      <c r="H54" s="433">
        <f>+'q4'!$G$21</f>
        <v>5676</v>
      </c>
      <c r="I54" s="433">
        <f>+'q4'!$H$21</f>
        <v>5659</v>
      </c>
      <c r="J54" s="433">
        <f>+'q4'!$I$21</f>
        <v>5525</v>
      </c>
      <c r="K54" s="433">
        <f>+'q4'!$J$21</f>
        <v>5687</v>
      </c>
      <c r="L54" s="433">
        <f>+'q4'!$K$21</f>
        <v>5716.9999999999991</v>
      </c>
      <c r="M54" s="433">
        <f>+'q4'!$L$21</f>
        <v>5676</v>
      </c>
      <c r="Z54" s="421" t="s">
        <v>293</v>
      </c>
      <c r="AA54" s="443" t="str">
        <f>+AD39</f>
        <v>956.374</v>
      </c>
    </row>
    <row r="55" spans="1:96">
      <c r="A55" s="422"/>
      <c r="B55" s="422" t="str">
        <f>+'q4'!$A$23</f>
        <v>Oeste</v>
      </c>
      <c r="C55" s="433">
        <f>+'q4'!$B$23</f>
        <v>10433</v>
      </c>
      <c r="D55" s="433">
        <f>+'q4'!$C$23</f>
        <v>10563</v>
      </c>
      <c r="E55" s="433">
        <f>+'q4'!$D$23</f>
        <v>10676</v>
      </c>
      <c r="F55" s="433">
        <f>+'q4'!$E$23</f>
        <v>10940</v>
      </c>
      <c r="G55" s="433">
        <f>+'q4'!$F$23</f>
        <v>11025</v>
      </c>
      <c r="H55" s="433">
        <f>+'q4'!$G$23</f>
        <v>10864</v>
      </c>
      <c r="I55" s="433">
        <f>+'q4'!$H$23</f>
        <v>10952</v>
      </c>
      <c r="J55" s="433">
        <f>+'q4'!$I$23</f>
        <v>10812</v>
      </c>
      <c r="K55" s="433">
        <f>+'q4'!$J$23</f>
        <v>11295</v>
      </c>
      <c r="L55" s="433">
        <f>+'q4'!$K$23</f>
        <v>11504</v>
      </c>
      <c r="M55" s="433">
        <f>+'q4'!$L$23</f>
        <v>11570</v>
      </c>
      <c r="Z55" s="421" t="s">
        <v>741</v>
      </c>
    </row>
    <row r="56" spans="1:96">
      <c r="A56" s="422"/>
      <c r="B56" s="422" t="str">
        <f>+'q4'!$A$24</f>
        <v>Médio Tejo</v>
      </c>
      <c r="C56" s="433">
        <f>+'q4'!$B$24</f>
        <v>6017</v>
      </c>
      <c r="D56" s="433">
        <f>+'q4'!$C$24</f>
        <v>6079</v>
      </c>
      <c r="E56" s="433">
        <f>+'q4'!$D$24</f>
        <v>6040</v>
      </c>
      <c r="F56" s="433">
        <f>+'q4'!$E$24</f>
        <v>6030</v>
      </c>
      <c r="G56" s="433">
        <f>+'q4'!$F$24</f>
        <v>5964</v>
      </c>
      <c r="H56" s="433">
        <f>+'q4'!$G$24</f>
        <v>5812</v>
      </c>
      <c r="I56" s="433">
        <f>+'q4'!$H$24</f>
        <v>5778</v>
      </c>
      <c r="J56" s="433">
        <f>+'q4'!$I$24</f>
        <v>5770</v>
      </c>
      <c r="K56" s="433">
        <f>+'q4'!$J$24</f>
        <v>5900</v>
      </c>
      <c r="L56" s="433">
        <f>+'q4'!$K$24</f>
        <v>6010</v>
      </c>
      <c r="M56" s="433">
        <f>+'q4'!$L$24</f>
        <v>5983</v>
      </c>
      <c r="Z56" s="421" t="s">
        <v>294</v>
      </c>
      <c r="AA56" s="446">
        <f>ROUND(AF42,1)</f>
        <v>41.2</v>
      </c>
    </row>
    <row r="57" spans="1:96">
      <c r="A57" s="422"/>
      <c r="B57" s="422" t="str">
        <f>+'q4'!$A$25</f>
        <v>Lezíria do Tejo</v>
      </c>
      <c r="C57" s="433">
        <f>+'q4'!$B$25</f>
        <v>6345</v>
      </c>
      <c r="D57" s="433">
        <f>+'q4'!$C$25</f>
        <v>6363</v>
      </c>
      <c r="E57" s="433">
        <f>+'q4'!$D$25</f>
        <v>6404</v>
      </c>
      <c r="F57" s="433">
        <f>+'q4'!$E$25</f>
        <v>6418</v>
      </c>
      <c r="G57" s="433">
        <f>+'q4'!$F$25</f>
        <v>6385</v>
      </c>
      <c r="H57" s="433">
        <f>+'q4'!$G$25</f>
        <v>6208</v>
      </c>
      <c r="I57" s="433">
        <f>+'q4'!$H$25</f>
        <v>6168</v>
      </c>
      <c r="J57" s="433">
        <f>+'q4'!$I$25</f>
        <v>5957</v>
      </c>
      <c r="K57" s="433">
        <f>+'q4'!$J$25</f>
        <v>6202</v>
      </c>
      <c r="L57" s="433">
        <f>+'q4'!$K$25</f>
        <v>6284</v>
      </c>
      <c r="M57" s="433">
        <f>+'q4'!$L$25</f>
        <v>6181</v>
      </c>
      <c r="Z57" s="421" t="s">
        <v>895</v>
      </c>
    </row>
    <row r="58" spans="1:96">
      <c r="A58" s="422"/>
      <c r="B58" s="422" t="str">
        <f>+'q4'!$A$26</f>
        <v>Grande Lisboa</v>
      </c>
      <c r="C58" s="433">
        <f>+'q4'!$B$26</f>
        <v>54415</v>
      </c>
      <c r="D58" s="433">
        <f>+'q4'!$C$26</f>
        <v>55029</v>
      </c>
      <c r="E58" s="433">
        <f>+'q4'!$D$26</f>
        <v>55354</v>
      </c>
      <c r="F58" s="433">
        <f>+'q4'!$E$26</f>
        <v>56108</v>
      </c>
      <c r="G58" s="433">
        <f>+'q4'!$F$26</f>
        <v>57209</v>
      </c>
      <c r="H58" s="433">
        <f>+'q4'!$G$26</f>
        <v>55559</v>
      </c>
      <c r="I58" s="433">
        <f>+'q4'!$H$26</f>
        <v>56643</v>
      </c>
      <c r="J58" s="433">
        <f>+'q4'!$I$26</f>
        <v>54793</v>
      </c>
      <c r="K58" s="433">
        <f>+'q4'!$J$26</f>
        <v>57854</v>
      </c>
      <c r="L58" s="433">
        <f>+'q4'!$K$26</f>
        <v>59573</v>
      </c>
      <c r="M58" s="433">
        <f>+'q4'!$L$26</f>
        <v>59232</v>
      </c>
      <c r="Z58" s="421" t="s">
        <v>295</v>
      </c>
      <c r="AA58" s="421" t="str">
        <f>+AH39</f>
        <v>, mais</v>
      </c>
    </row>
    <row r="59" spans="1:96">
      <c r="A59" s="422"/>
      <c r="B59" s="422" t="str">
        <f>+'q4'!$A$27</f>
        <v>Península de Setúbal</v>
      </c>
      <c r="C59" s="433">
        <f>+'q4'!$B$27</f>
        <v>13124</v>
      </c>
      <c r="D59" s="433">
        <f>+'q4'!$C$27</f>
        <v>13250</v>
      </c>
      <c r="E59" s="433">
        <f>+'q4'!$D$27</f>
        <v>13484</v>
      </c>
      <c r="F59" s="433">
        <f>+'q4'!$E$27</f>
        <v>13666</v>
      </c>
      <c r="G59" s="433">
        <f>+'q4'!$F$27</f>
        <v>13850</v>
      </c>
      <c r="H59" s="433">
        <f>+'q4'!$G$27</f>
        <v>13653</v>
      </c>
      <c r="I59" s="433">
        <f>+'q4'!$H$27</f>
        <v>14047</v>
      </c>
      <c r="J59" s="433">
        <f>+'q4'!$I$27</f>
        <v>13853</v>
      </c>
      <c r="K59" s="433">
        <f>+'q4'!$J$27</f>
        <v>14699</v>
      </c>
      <c r="L59" s="433">
        <f>+'q4'!$K$27</f>
        <v>14910</v>
      </c>
      <c r="M59" s="433">
        <f>+'q4'!$L$27</f>
        <v>14916</v>
      </c>
      <c r="Z59" s="421" t="s">
        <v>296</v>
      </c>
      <c r="AA59" s="443" t="str">
        <f>TEXT(AI39,"##.###")</f>
        <v>279.109</v>
      </c>
    </row>
    <row r="60" spans="1:96">
      <c r="A60" s="422"/>
      <c r="B60" s="422" t="str">
        <f>+'q4'!$A$29</f>
        <v>Alentejo Litoral</v>
      </c>
      <c r="C60" s="433">
        <f>+'q4'!$B$29</f>
        <v>2495</v>
      </c>
      <c r="D60" s="433">
        <f>+'q4'!$C$29</f>
        <v>2491</v>
      </c>
      <c r="E60" s="433">
        <f>+'q4'!$D$29</f>
        <v>2550</v>
      </c>
      <c r="F60" s="433">
        <f>+'q4'!$E$29</f>
        <v>2586</v>
      </c>
      <c r="G60" s="433">
        <f>+'q4'!$F$29</f>
        <v>2592</v>
      </c>
      <c r="H60" s="433">
        <f>+'q4'!$G$29</f>
        <v>2596</v>
      </c>
      <c r="I60" s="433">
        <f>+'q4'!$H$29</f>
        <v>2681</v>
      </c>
      <c r="J60" s="433">
        <f>+'q4'!$I$29</f>
        <v>2645</v>
      </c>
      <c r="K60" s="433">
        <f>+'q4'!$J$29</f>
        <v>2804</v>
      </c>
      <c r="L60" s="433">
        <f>+'q4'!$K$29</f>
        <v>2854</v>
      </c>
      <c r="M60" s="433">
        <f>+'q4'!$L$29</f>
        <v>2837</v>
      </c>
      <c r="AB60" s="421" t="s">
        <v>397</v>
      </c>
    </row>
    <row r="61" spans="1:96">
      <c r="A61" s="422"/>
      <c r="B61" s="422" t="str">
        <f>+'q4'!$A$30</f>
        <v>Baixo Alentejo</v>
      </c>
      <c r="C61" s="433">
        <f>+'q4'!$B$30</f>
        <v>3419</v>
      </c>
      <c r="D61" s="433">
        <f>+'q4'!$C$30</f>
        <v>3475</v>
      </c>
      <c r="E61" s="433">
        <f>+'q4'!$D$30</f>
        <v>3509</v>
      </c>
      <c r="F61" s="433">
        <f>+'q4'!$E$30</f>
        <v>3574</v>
      </c>
      <c r="G61" s="433">
        <f>+'q4'!$F$30</f>
        <v>3584</v>
      </c>
      <c r="H61" s="433">
        <f>+'q4'!$G$30</f>
        <v>3505</v>
      </c>
      <c r="I61" s="433">
        <f>+'q4'!$H$30</f>
        <v>3502</v>
      </c>
      <c r="J61" s="433">
        <f>+'q4'!$I$30</f>
        <v>3499</v>
      </c>
      <c r="K61" s="433">
        <f>+'q4'!$J$30</f>
        <v>3654</v>
      </c>
      <c r="L61" s="433">
        <f>+'q4'!$K$30</f>
        <v>3855.9999999999995</v>
      </c>
      <c r="M61" s="433">
        <f>+'q4'!$L$30</f>
        <v>3881</v>
      </c>
    </row>
    <row r="62" spans="1:96">
      <c r="A62" s="422"/>
      <c r="B62" s="422" t="str">
        <f>+'q4'!$A$31</f>
        <v>Alto Alentejo</v>
      </c>
      <c r="C62" s="433">
        <f>+'q4'!$B$31</f>
        <v>2917</v>
      </c>
      <c r="D62" s="433">
        <f>+'q4'!$C$31</f>
        <v>2906</v>
      </c>
      <c r="E62" s="433">
        <f>+'q4'!$D$31</f>
        <v>2929</v>
      </c>
      <c r="F62" s="433">
        <f>+'q4'!$E$31</f>
        <v>2901</v>
      </c>
      <c r="G62" s="433">
        <f>+'q4'!$F$31</f>
        <v>2878</v>
      </c>
      <c r="H62" s="433">
        <f>+'q4'!$G$31</f>
        <v>2783</v>
      </c>
      <c r="I62" s="433">
        <f>+'q4'!$H$31</f>
        <v>2770</v>
      </c>
      <c r="J62" s="433">
        <f>+'q4'!$I$31</f>
        <v>2634</v>
      </c>
      <c r="K62" s="433">
        <f>+'q4'!$J$31</f>
        <v>2877</v>
      </c>
      <c r="L62" s="433">
        <f>+'q4'!$K$31</f>
        <v>2865</v>
      </c>
      <c r="M62" s="433">
        <f>+'q4'!$L$31</f>
        <v>2787</v>
      </c>
    </row>
    <row r="63" spans="1:96">
      <c r="A63" s="422"/>
      <c r="B63" s="422" t="str">
        <f>+'q4'!$A$32</f>
        <v>Alentejo Central</v>
      </c>
      <c r="C63" s="433">
        <f>+'q4'!$B$32</f>
        <v>5026</v>
      </c>
      <c r="D63" s="433">
        <f>+'q4'!$C$32</f>
        <v>5065</v>
      </c>
      <c r="E63" s="433">
        <f>+'q4'!$D$32</f>
        <v>5038</v>
      </c>
      <c r="F63" s="433">
        <f>+'q4'!$E$32</f>
        <v>5034</v>
      </c>
      <c r="G63" s="433">
        <f>+'q4'!$F$32</f>
        <v>4966</v>
      </c>
      <c r="H63" s="433">
        <f>+'q4'!$G$32</f>
        <v>4869</v>
      </c>
      <c r="I63" s="433">
        <f>+'q4'!$H$32</f>
        <v>4904</v>
      </c>
      <c r="J63" s="433">
        <f>+'q4'!$I$32</f>
        <v>4640</v>
      </c>
      <c r="K63" s="433">
        <f>+'q4'!$J$32</f>
        <v>5048</v>
      </c>
      <c r="L63" s="433">
        <f>+'q4'!$K$32</f>
        <v>5107.0000000000009</v>
      </c>
      <c r="M63" s="433">
        <f>+'q4'!$L$32</f>
        <v>5030</v>
      </c>
    </row>
    <row r="64" spans="1:96">
      <c r="A64" s="422"/>
      <c r="B64" s="422" t="str">
        <f>+'q4'!$A$33</f>
        <v>Algarve</v>
      </c>
      <c r="C64" s="433">
        <f>+'q4'!$B$33</f>
        <v>15485</v>
      </c>
      <c r="D64" s="433">
        <f>+'q4'!$C$33</f>
        <v>15831</v>
      </c>
      <c r="E64" s="433">
        <f>+'q4'!$D$33</f>
        <v>16300</v>
      </c>
      <c r="F64" s="433">
        <f>+'q4'!$E$33</f>
        <v>16481</v>
      </c>
      <c r="G64" s="433">
        <f>+'q4'!$F$33</f>
        <v>17081</v>
      </c>
      <c r="H64" s="433">
        <f>+'q4'!$G$33</f>
        <v>17191</v>
      </c>
      <c r="I64" s="433">
        <f>+'q4'!$H$33</f>
        <v>16775</v>
      </c>
      <c r="J64" s="433">
        <f>+'q4'!$I$33</f>
        <v>16329</v>
      </c>
      <c r="K64" s="433">
        <f>+'q4'!$J$33</f>
        <v>17066</v>
      </c>
      <c r="L64" s="433">
        <f>+'q4'!$K$33</f>
        <v>18237.000000000004</v>
      </c>
      <c r="M64" s="433">
        <f>+'q4'!$L$33</f>
        <v>18173.999999999996</v>
      </c>
    </row>
    <row r="65" spans="1:89">
      <c r="B65" s="422" t="s">
        <v>13</v>
      </c>
      <c r="C65" s="433">
        <f>+'q4'!$B$5</f>
        <v>270181</v>
      </c>
      <c r="D65" s="433">
        <f>+'q4'!$C$5</f>
        <v>273060</v>
      </c>
      <c r="E65" s="433">
        <f>+'q4'!$D$5</f>
        <v>276332</v>
      </c>
      <c r="F65" s="433">
        <f>+'q4'!$E$5</f>
        <v>279191</v>
      </c>
      <c r="G65" s="433">
        <f>+'q4'!$F$5</f>
        <v>282236</v>
      </c>
      <c r="H65" s="433">
        <f>+'q4'!$G$5</f>
        <v>275751</v>
      </c>
      <c r="I65" s="433">
        <f>+'q4'!$H$5</f>
        <v>277641</v>
      </c>
      <c r="J65" s="433">
        <f>+'q4'!$I$5</f>
        <v>271806</v>
      </c>
      <c r="K65" s="433">
        <f>+'q4'!$J$5</f>
        <v>284860</v>
      </c>
      <c r="L65" s="433">
        <f>+'q4'!$K$5</f>
        <v>291252.00000000017</v>
      </c>
      <c r="M65" s="433">
        <f>+'q4'!$L$5</f>
        <v>288762.99999999994</v>
      </c>
    </row>
    <row r="69" spans="1:89">
      <c r="A69" s="422" t="s">
        <v>528</v>
      </c>
      <c r="D69" s="423"/>
    </row>
    <row r="70" spans="1:89">
      <c r="A70" s="547" t="s">
        <v>204</v>
      </c>
      <c r="C70" s="422">
        <f>+'q8'!$B$4</f>
        <v>2014</v>
      </c>
      <c r="D70" s="422">
        <f>+'q8'!$C$4</f>
        <v>2015</v>
      </c>
      <c r="E70" s="422">
        <f>+'q8'!$D$4</f>
        <v>2016</v>
      </c>
      <c r="F70" s="422">
        <f>+'q8'!$E$4</f>
        <v>2017</v>
      </c>
      <c r="G70" s="422">
        <f>+'q8'!$F$4</f>
        <v>2018</v>
      </c>
      <c r="H70" s="422">
        <f>+'q8'!$G$4</f>
        <v>2019</v>
      </c>
      <c r="I70" s="422">
        <f>+'q8'!$H$4</f>
        <v>2020</v>
      </c>
      <c r="J70" s="422">
        <f>+'q8'!$I$4</f>
        <v>2021</v>
      </c>
      <c r="K70" s="422">
        <f>+'q8'!$J$4</f>
        <v>2022</v>
      </c>
      <c r="L70" s="422">
        <f>+'q8'!$K$4</f>
        <v>2023</v>
      </c>
      <c r="M70" s="422">
        <f>+'q8'!$L$4</f>
        <v>2024</v>
      </c>
      <c r="R70" s="422" t="str">
        <f>INDEX($A$2:$A$8,$P$2)</f>
        <v>Grande Lisboa</v>
      </c>
    </row>
    <row r="71" spans="1:89">
      <c r="A71" s="422" t="s">
        <v>524</v>
      </c>
      <c r="B71" s="422" t="str">
        <f>+'q8'!$A$6</f>
        <v>Norte</v>
      </c>
      <c r="C71" s="433">
        <f>+'q8'!$B$6</f>
        <v>120246</v>
      </c>
      <c r="D71" s="433">
        <f>+'q8'!$C$6</f>
        <v>121392</v>
      </c>
      <c r="E71" s="433">
        <f>+'q8'!$D$6</f>
        <v>123068</v>
      </c>
      <c r="F71" s="433">
        <f>+'q8'!$E$6</f>
        <v>124207</v>
      </c>
      <c r="G71" s="433">
        <f>+'q8'!$F$6</f>
        <v>125524</v>
      </c>
      <c r="H71" s="433">
        <f>+'q8'!$G$6</f>
        <v>122296</v>
      </c>
      <c r="I71" s="433">
        <f>+'q8'!$H$6</f>
        <v>123094</v>
      </c>
      <c r="J71" s="433">
        <f>+'q8'!$I$6</f>
        <v>121078</v>
      </c>
      <c r="K71" s="433">
        <f>+'q8'!$J$6</f>
        <v>126463</v>
      </c>
      <c r="L71" s="433">
        <f>+'q8'!$K$6</f>
        <v>129002.00000000001</v>
      </c>
      <c r="M71" s="433">
        <f>+'q8'!$L$6</f>
        <v>127676.00000000001</v>
      </c>
      <c r="S71" s="422">
        <f>+C30</f>
        <v>2014</v>
      </c>
      <c r="T71" s="422">
        <f t="shared" ref="T71:AC71" si="59">+D30</f>
        <v>2015</v>
      </c>
      <c r="U71" s="422">
        <f t="shared" si="59"/>
        <v>2016</v>
      </c>
      <c r="V71" s="422">
        <f t="shared" si="59"/>
        <v>2017</v>
      </c>
      <c r="W71" s="422">
        <f t="shared" si="59"/>
        <v>2018</v>
      </c>
      <c r="X71" s="422">
        <f t="shared" si="59"/>
        <v>2019</v>
      </c>
      <c r="Y71" s="422">
        <f t="shared" si="59"/>
        <v>2020</v>
      </c>
      <c r="Z71" s="422">
        <f t="shared" si="59"/>
        <v>2021</v>
      </c>
      <c r="AA71" s="422">
        <f t="shared" si="59"/>
        <v>2022</v>
      </c>
      <c r="AB71" s="422">
        <f t="shared" si="59"/>
        <v>2023</v>
      </c>
      <c r="AC71" s="422">
        <f t="shared" si="59"/>
        <v>2024</v>
      </c>
      <c r="AE71" s="391" t="str">
        <f>+"variação "&amp;AC71&amp;"/"&amp;AB71</f>
        <v>variação 2024/2023</v>
      </c>
      <c r="AF71" s="391" t="str">
        <f>+"variação "&amp;AC71&amp;"/"&amp;S71</f>
        <v>variação 2024/2014</v>
      </c>
    </row>
    <row r="72" spans="1:89">
      <c r="A72" s="422"/>
      <c r="B72" s="422" t="str">
        <f>+'q8'!$A$15</f>
        <v>Centro</v>
      </c>
      <c r="C72" s="433">
        <f>+'q8'!$B$15</f>
        <v>54102</v>
      </c>
      <c r="D72" s="433">
        <f>+'q8'!$C$15</f>
        <v>54333</v>
      </c>
      <c r="E72" s="433">
        <f>+'q8'!$D$15</f>
        <v>54880</v>
      </c>
      <c r="F72" s="433">
        <f>+'q8'!$E$15</f>
        <v>54959</v>
      </c>
      <c r="G72" s="433">
        <f>+'q8'!$F$15</f>
        <v>55026</v>
      </c>
      <c r="H72" s="433">
        <f>+'q8'!$G$15</f>
        <v>53653</v>
      </c>
      <c r="I72" s="433">
        <f>+'q8'!$H$15</f>
        <v>53834</v>
      </c>
      <c r="J72" s="433">
        <f>+'q8'!$I$15</f>
        <v>52972</v>
      </c>
      <c r="K72" s="433">
        <f>+'q8'!$J$15</f>
        <v>54851</v>
      </c>
      <c r="L72" s="433">
        <f>+'q8'!$K$15</f>
        <v>55620.000000000007</v>
      </c>
      <c r="M72" s="433">
        <f>+'q8'!$L$15</f>
        <v>55186.999999999978</v>
      </c>
      <c r="R72" s="395" t="s">
        <v>262</v>
      </c>
      <c r="S72" s="582">
        <f>+VLOOKUP($R$70,$B$190:$M$197,COLUMN(C191)-1,0)</f>
        <v>1174.23</v>
      </c>
      <c r="T72" s="582">
        <f t="shared" ref="T72:AC72" si="60">+VLOOKUP($R$70,$B$190:$M$197,COLUMN(D191)-1,0)</f>
        <v>1175.57</v>
      </c>
      <c r="U72" s="582">
        <f t="shared" si="60"/>
        <v>1179.78</v>
      </c>
      <c r="V72" s="582">
        <f t="shared" si="60"/>
        <v>1197.4000000000001</v>
      </c>
      <c r="W72" s="582">
        <f t="shared" si="60"/>
        <v>1219.74</v>
      </c>
      <c r="X72" s="582">
        <f t="shared" si="60"/>
        <v>1255.78</v>
      </c>
      <c r="Y72" s="582">
        <f t="shared" si="60"/>
        <v>1293.07</v>
      </c>
      <c r="Z72" s="582">
        <f t="shared" si="60"/>
        <v>1339.8</v>
      </c>
      <c r="AA72" s="582">
        <f t="shared" si="60"/>
        <v>1418.39</v>
      </c>
      <c r="AB72" s="582">
        <f t="shared" si="60"/>
        <v>1505.99</v>
      </c>
      <c r="AC72" s="582">
        <f t="shared" si="60"/>
        <v>1600.02</v>
      </c>
      <c r="AD72" s="433" t="str">
        <f>TEXT(AC72,"##.###")</f>
        <v>1.600</v>
      </c>
      <c r="AE72" s="397">
        <f>+(AC72/AB72-1)</f>
        <v>6.2437333581232268E-2</v>
      </c>
      <c r="AF72" s="397">
        <f>+(AC72/S72-1)</f>
        <v>0.36261209473442158</v>
      </c>
      <c r="AG72" s="443">
        <f>+AC72-S72</f>
        <v>425.78999999999996</v>
      </c>
      <c r="AH72" s="421" t="str">
        <f>IF(AG72&gt;0,", +",", -")</f>
        <v>, +</v>
      </c>
      <c r="AI72" s="421">
        <f>IF(AG72&gt;0,AG72,AG72*-1)</f>
        <v>425.78999999999996</v>
      </c>
    </row>
    <row r="73" spans="1:89">
      <c r="A73" s="422"/>
      <c r="B73" s="422" t="str">
        <f>+'q8'!$A$22</f>
        <v>Oeste e Vale do Tejo</v>
      </c>
      <c r="C73" s="433">
        <f>+'q8'!$B$22</f>
        <v>26958</v>
      </c>
      <c r="D73" s="433">
        <f>+'q8'!$C$22</f>
        <v>27160</v>
      </c>
      <c r="E73" s="433">
        <f>+'q8'!$D$22</f>
        <v>27317</v>
      </c>
      <c r="F73" s="433">
        <f>+'q8'!$E$22</f>
        <v>27550</v>
      </c>
      <c r="G73" s="433">
        <f>+'q8'!$F$22</f>
        <v>27533</v>
      </c>
      <c r="H73" s="433">
        <f>+'q8'!$G$22</f>
        <v>26916</v>
      </c>
      <c r="I73" s="433">
        <f>+'q8'!$H$22</f>
        <v>26902</v>
      </c>
      <c r="J73" s="433">
        <f>+'q8'!$I$22</f>
        <v>26497</v>
      </c>
      <c r="K73" s="433">
        <f>+'q8'!$J$22</f>
        <v>27499</v>
      </c>
      <c r="L73" s="433">
        <f>+'q8'!$K$22</f>
        <v>28008.000000000004</v>
      </c>
      <c r="M73" s="433">
        <f>+'q8'!$L$22</f>
        <v>27902.999999999993</v>
      </c>
      <c r="R73" s="395" t="s">
        <v>263</v>
      </c>
      <c r="S73" s="582">
        <f>+VLOOKUP($R$70,$B$230:$M$237,COLUMN(C231)-1,0)</f>
        <v>1421.25</v>
      </c>
      <c r="T73" s="582">
        <f t="shared" ref="T73:AC73" si="61">+VLOOKUP($R$70,$B$230:$M$237,COLUMN(D231)-1,0)</f>
        <v>1420.24</v>
      </c>
      <c r="U73" s="582">
        <f t="shared" si="61"/>
        <v>1424.28</v>
      </c>
      <c r="V73" s="582">
        <f t="shared" si="61"/>
        <v>1447.51</v>
      </c>
      <c r="W73" s="582">
        <f t="shared" si="61"/>
        <v>1480.76</v>
      </c>
      <c r="X73" s="582">
        <f t="shared" si="61"/>
        <v>1518.6</v>
      </c>
      <c r="Y73" s="582">
        <f t="shared" si="61"/>
        <v>1558.34</v>
      </c>
      <c r="Z73" s="582">
        <f t="shared" si="61"/>
        <v>1609.14</v>
      </c>
      <c r="AA73" s="582">
        <f t="shared" si="61"/>
        <v>1705.14</v>
      </c>
      <c r="AB73" s="582">
        <f t="shared" si="61"/>
        <v>1817.17</v>
      </c>
      <c r="AC73" s="582">
        <f t="shared" si="61"/>
        <v>1935.68</v>
      </c>
      <c r="AD73" s="433" t="str">
        <f>TEXT(AC73,"##.###")</f>
        <v>1.936</v>
      </c>
      <c r="AE73" s="397">
        <f>+(AC73/AB73-1)</f>
        <v>6.521679314538531E-2</v>
      </c>
      <c r="AF73" s="397">
        <f>+(AC73/S73-1)</f>
        <v>0.36195602462620946</v>
      </c>
      <c r="AG73" s="443">
        <f>+AC73-S73</f>
        <v>514.43000000000006</v>
      </c>
      <c r="AH73" s="421" t="str">
        <f>IF(AG73&gt;0,", +",", -")</f>
        <v>, +</v>
      </c>
      <c r="AI73" s="421">
        <f>IF(AG73&gt;0,AG73,AG73*-1)</f>
        <v>514.43000000000006</v>
      </c>
    </row>
    <row r="74" spans="1:89">
      <c r="A74" s="422"/>
      <c r="B74" s="422" t="str">
        <f>+'q8'!$A$26</f>
        <v>Grande Lisboa</v>
      </c>
      <c r="C74" s="433">
        <f>+'q8'!$B$26</f>
        <v>65289</v>
      </c>
      <c r="D74" s="433">
        <f>+'q8'!$C$26</f>
        <v>65847</v>
      </c>
      <c r="E74" s="433">
        <f>+'q8'!$D$26</f>
        <v>66220</v>
      </c>
      <c r="F74" s="433">
        <f>+'q8'!$E$26</f>
        <v>66764</v>
      </c>
      <c r="G74" s="433">
        <f>+'q8'!$F$26</f>
        <v>67989</v>
      </c>
      <c r="H74" s="433">
        <f>+'q8'!$G$26</f>
        <v>66115</v>
      </c>
      <c r="I74" s="433">
        <f>+'q8'!$H$26</f>
        <v>67101</v>
      </c>
      <c r="J74" s="433">
        <f>+'q8'!$I$26</f>
        <v>64927</v>
      </c>
      <c r="K74" s="433">
        <f>+'q8'!$J$26</f>
        <v>68270</v>
      </c>
      <c r="L74" s="433">
        <f>+'q8'!$K$26</f>
        <v>70103.999999999985</v>
      </c>
      <c r="M74" s="433">
        <f>+'q8'!$L$26</f>
        <v>69821</v>
      </c>
      <c r="AQ74" s="442" t="s">
        <v>537</v>
      </c>
      <c r="BM74" s="442" t="s">
        <v>537</v>
      </c>
      <c r="CG74" s="442" t="s">
        <v>537</v>
      </c>
    </row>
    <row r="75" spans="1:89">
      <c r="A75" s="422"/>
      <c r="B75" s="422" t="str">
        <f>+'q8'!$A$27</f>
        <v>Península de Setúbal</v>
      </c>
      <c r="C75" s="433">
        <f>+'q8'!$B$27</f>
        <v>16417</v>
      </c>
      <c r="D75" s="433">
        <f>+'q8'!$C$27</f>
        <v>16509</v>
      </c>
      <c r="E75" s="433">
        <f>+'q8'!$D$27</f>
        <v>16639</v>
      </c>
      <c r="F75" s="433">
        <f>+'q8'!$E$27</f>
        <v>16803</v>
      </c>
      <c r="G75" s="433">
        <f>+'q8'!$F$27</f>
        <v>16960</v>
      </c>
      <c r="H75" s="433">
        <f>+'q8'!$G$27</f>
        <v>16656</v>
      </c>
      <c r="I75" s="433">
        <f>+'q8'!$H$27</f>
        <v>17101</v>
      </c>
      <c r="J75" s="433">
        <f>+'q8'!$I$27</f>
        <v>16860</v>
      </c>
      <c r="K75" s="433">
        <f>+'q8'!$J$27</f>
        <v>17786</v>
      </c>
      <c r="L75" s="433">
        <f>+'q8'!$K$27</f>
        <v>18085</v>
      </c>
      <c r="M75" s="433">
        <f>+'q8'!$L$27</f>
        <v>18128</v>
      </c>
      <c r="AF75" s="446">
        <f>+(AC72/S72-1)*100</f>
        <v>36.261209473442158</v>
      </c>
      <c r="AQ75" s="421" t="s">
        <v>540</v>
      </c>
      <c r="BM75" s="421" t="s">
        <v>557</v>
      </c>
      <c r="CG75" s="421" t="s">
        <v>559</v>
      </c>
    </row>
    <row r="76" spans="1:89">
      <c r="A76" s="422"/>
      <c r="B76" s="422" t="str">
        <f>+'q8'!$A$28</f>
        <v>Alentejo</v>
      </c>
      <c r="C76" s="433">
        <f>+'q8'!$B$28</f>
        <v>16818</v>
      </c>
      <c r="D76" s="433">
        <f>+'q8'!$C$28</f>
        <v>16844</v>
      </c>
      <c r="E76" s="433">
        <f>+'q8'!$D$28</f>
        <v>16907</v>
      </c>
      <c r="F76" s="433">
        <f>+'q8'!$E$28</f>
        <v>16939</v>
      </c>
      <c r="G76" s="433">
        <f>+'q8'!$F$28</f>
        <v>16868</v>
      </c>
      <c r="H76" s="433">
        <f>+'q8'!$G$28</f>
        <v>16454</v>
      </c>
      <c r="I76" s="433">
        <f>+'q8'!$H$28</f>
        <v>16561</v>
      </c>
      <c r="J76" s="433">
        <f>+'q8'!$I$28</f>
        <v>16084</v>
      </c>
      <c r="K76" s="433">
        <f>+'q8'!$J$28</f>
        <v>17115</v>
      </c>
      <c r="L76" s="433">
        <f>+'q8'!$K$28</f>
        <v>17511.000000000004</v>
      </c>
      <c r="M76" s="433">
        <f>+'q8'!$L$28</f>
        <v>17352.000000000004</v>
      </c>
      <c r="Z76" s="442" t="s">
        <v>534</v>
      </c>
      <c r="AF76" s="446">
        <f>+(AC73/S73-1)*100</f>
        <v>36.195602462620947</v>
      </c>
      <c r="AQ76" s="421" t="s">
        <v>538</v>
      </c>
      <c r="AR76" s="421">
        <f>+$AR$6</f>
        <v>2024</v>
      </c>
      <c r="BM76" s="421" t="s">
        <v>558</v>
      </c>
      <c r="BN76" s="421">
        <f>+$BM$6</f>
        <v>2024</v>
      </c>
      <c r="CG76" s="421" t="s">
        <v>560</v>
      </c>
      <c r="CH76" s="421">
        <f>+$CG$6</f>
        <v>2024</v>
      </c>
    </row>
    <row r="77" spans="1:89">
      <c r="A77" s="422"/>
      <c r="B77" s="422" t="str">
        <f>+'q8'!$A$33</f>
        <v>Algarve</v>
      </c>
      <c r="C77" s="433">
        <f>+'q8'!$B$33</f>
        <v>19056</v>
      </c>
      <c r="D77" s="433">
        <f>+'q8'!$C$33</f>
        <v>19415</v>
      </c>
      <c r="E77" s="433">
        <f>+'q8'!$D$33</f>
        <v>19902</v>
      </c>
      <c r="F77" s="433">
        <f>+'q8'!$E$33</f>
        <v>20073</v>
      </c>
      <c r="G77" s="433">
        <f>+'q8'!$F$33</f>
        <v>20768</v>
      </c>
      <c r="H77" s="433">
        <f>+'q8'!$G$33</f>
        <v>20888</v>
      </c>
      <c r="I77" s="433">
        <f>+'q8'!$H$33</f>
        <v>20366</v>
      </c>
      <c r="J77" s="433">
        <f>+'q8'!$I$33</f>
        <v>19836</v>
      </c>
      <c r="K77" s="433">
        <f>+'q8'!$J$33</f>
        <v>20699</v>
      </c>
      <c r="L77" s="433">
        <f>+'q8'!$K$33</f>
        <v>22034</v>
      </c>
      <c r="M77" s="433">
        <f>+'q8'!$L$33</f>
        <v>21958.999999999996</v>
      </c>
      <c r="AQ77" s="421" t="s">
        <v>549</v>
      </c>
      <c r="AR77" s="421" t="str">
        <f>+$R$4</f>
        <v>Grande Lisboa</v>
      </c>
      <c r="AS77" s="421" t="s">
        <v>550</v>
      </c>
      <c r="BM77" s="421" t="s">
        <v>549</v>
      </c>
      <c r="BN77" s="421" t="str">
        <f>+$R$4</f>
        <v>Grande Lisboa</v>
      </c>
      <c r="BO77" s="421" t="s">
        <v>550</v>
      </c>
      <c r="CG77" s="421" t="s">
        <v>549</v>
      </c>
      <c r="CH77" s="421" t="str">
        <f>+$R$4</f>
        <v>Grande Lisboa</v>
      </c>
      <c r="CI77" s="421" t="s">
        <v>550</v>
      </c>
    </row>
    <row r="78" spans="1:89">
      <c r="B78" s="422" t="s">
        <v>13</v>
      </c>
      <c r="C78" s="433">
        <f>+'q8'!$B$5</f>
        <v>318886</v>
      </c>
      <c r="D78" s="433">
        <f>+'q8'!$C$5</f>
        <v>321500</v>
      </c>
      <c r="E78" s="433">
        <f>+'q8'!$D$5</f>
        <v>324933</v>
      </c>
      <c r="F78" s="433">
        <f>+'q8'!$E$5</f>
        <v>327295</v>
      </c>
      <c r="G78" s="433">
        <f>+'q8'!$F$5</f>
        <v>330668</v>
      </c>
      <c r="H78" s="433">
        <f>+'q8'!$G$5</f>
        <v>322978</v>
      </c>
      <c r="I78" s="433">
        <f>+'q8'!$H$5</f>
        <v>324959</v>
      </c>
      <c r="J78" s="433">
        <f>+'q8'!$I$5</f>
        <v>318254</v>
      </c>
      <c r="K78" s="433">
        <f>+'q8'!$J$5</f>
        <v>332683</v>
      </c>
      <c r="L78" s="433">
        <f>+'q8'!$K$5</f>
        <v>340363.99999999994</v>
      </c>
      <c r="M78" s="433">
        <f>+'q8'!$L$5</f>
        <v>338025.99999999988</v>
      </c>
      <c r="Z78" s="421">
        <f>+AC71</f>
        <v>2024</v>
      </c>
      <c r="AA78" s="421" t="s">
        <v>398</v>
      </c>
      <c r="AB78" s="421" t="s">
        <v>907</v>
      </c>
      <c r="AQ78" s="421">
        <f>INDEX($AR$38:$AX$44,MATCH($AR$77,$AR$38:$AR$44,0),2)</f>
        <v>59232</v>
      </c>
      <c r="AR78" s="421" t="str">
        <f>TEXT(AQ78,"##.###")</f>
        <v>59.232</v>
      </c>
      <c r="AS78" s="421" t="s">
        <v>464</v>
      </c>
      <c r="BM78" s="421">
        <f>INDEX($BM$38:$BS$44,MATCH($BN$77,$BM$38:$BM$44,0),2)</f>
        <v>996445</v>
      </c>
      <c r="BN78" s="421" t="str">
        <f>TEXT(BM78,"##.###")</f>
        <v>996.445</v>
      </c>
      <c r="BO78" s="421" t="s">
        <v>464</v>
      </c>
      <c r="CG78" s="421">
        <f>INDEX($CG$38:$CM$44,MATCH($CH$77,$CG$38:$CG$44,0),2)</f>
        <v>1600.02</v>
      </c>
      <c r="CH78" s="421" t="str">
        <f>TEXT(CG78,"##.###")</f>
        <v>1.600</v>
      </c>
      <c r="CI78" s="421" t="s">
        <v>300</v>
      </c>
    </row>
    <row r="79" spans="1:89" ht="12.75" customHeight="1">
      <c r="B79" s="422"/>
      <c r="C79" s="433"/>
      <c r="D79" s="433"/>
      <c r="E79" s="433"/>
      <c r="F79" s="433"/>
      <c r="G79" s="433"/>
      <c r="H79" s="433"/>
      <c r="I79" s="433"/>
      <c r="J79" s="433"/>
      <c r="K79" s="433"/>
      <c r="L79" s="433"/>
      <c r="M79" s="433"/>
      <c r="Z79" s="421" t="s">
        <v>299</v>
      </c>
      <c r="AA79" s="421" t="str">
        <f>+R70</f>
        <v>Grande Lisboa</v>
      </c>
      <c r="AD79" s="957" t="str">
        <f>CONCATENATE(Z78,AA78,CHAR(10),AB78,AA79,Z80,AA81,Z82,AA83,Z84,AA85," ",AA86,Z87,AB87,AA88,Z89,AA90,Z91,AA92," ",AA93,Z94,AB94)</f>
        <v>2024:
Na região Grande Lisboa a remuneração média mensal base era de 1.600 euros (variação de 36,3% face a 2014, ou seja, + 425,8 euros) e de 1.936 euros a remuneração média mensal ganho (variação de 36,2% face a 2014, ou seja , + 514,4 euros).</v>
      </c>
      <c r="AE79" s="957"/>
      <c r="AF79" s="957"/>
      <c r="AG79" s="957"/>
      <c r="AH79" s="957"/>
      <c r="AQ79" s="421">
        <f>INDEX($AR$38:$AX$44,MATCH($AR$77,$AR$38:$AR$44,0),4)</f>
        <v>20.512323254710616</v>
      </c>
      <c r="AR79" s="421" t="str">
        <f>TEXT(AQ79,"##.###,0")</f>
        <v>20,5</v>
      </c>
      <c r="AT79" s="589"/>
      <c r="AU79" s="589"/>
      <c r="AV79" s="589"/>
      <c r="AW79" s="589"/>
      <c r="AX79" s="589"/>
      <c r="BM79" s="421">
        <f>INDEX($BM$38:$BS$44,MATCH($BN$77,$BM$38:$BM$44,0),4)</f>
        <v>28.108819434943449</v>
      </c>
      <c r="BN79" s="421" t="str">
        <f>TEXT(BM79,"##.###,0")</f>
        <v>28,1</v>
      </c>
      <c r="BP79" s="589"/>
      <c r="BQ79" s="589"/>
      <c r="BR79" s="589"/>
      <c r="BS79" s="589"/>
      <c r="BT79" s="589"/>
      <c r="CG79" s="421">
        <f>INDEX($CG$38:$CM$44,MATCH($CH$77,$CG$38:$CG$44,0),4)</f>
        <v>22.235973597359738</v>
      </c>
      <c r="CH79" s="421" t="str">
        <f>TEXT(CG79,"##.###,0")</f>
        <v>22,2</v>
      </c>
      <c r="CJ79" s="589"/>
      <c r="CK79" s="589"/>
    </row>
    <row r="80" spans="1:89">
      <c r="C80" s="422">
        <f>+C70</f>
        <v>2014</v>
      </c>
      <c r="D80" s="422">
        <f t="shared" ref="D80:M80" si="62">+D70</f>
        <v>2015</v>
      </c>
      <c r="E80" s="422">
        <f t="shared" si="62"/>
        <v>2016</v>
      </c>
      <c r="F80" s="422">
        <f t="shared" si="62"/>
        <v>2017</v>
      </c>
      <c r="G80" s="422">
        <f t="shared" si="62"/>
        <v>2018</v>
      </c>
      <c r="H80" s="422">
        <f t="shared" si="62"/>
        <v>2019</v>
      </c>
      <c r="I80" s="422">
        <f t="shared" si="62"/>
        <v>2020</v>
      </c>
      <c r="J80" s="422">
        <f t="shared" si="62"/>
        <v>2021</v>
      </c>
      <c r="K80" s="422">
        <f t="shared" si="62"/>
        <v>2022</v>
      </c>
      <c r="L80" s="422">
        <f t="shared" si="62"/>
        <v>2023</v>
      </c>
      <c r="M80" s="422">
        <f t="shared" si="62"/>
        <v>2024</v>
      </c>
      <c r="Z80" s="421" t="s">
        <v>304</v>
      </c>
      <c r="AD80" s="957"/>
      <c r="AE80" s="957"/>
      <c r="AF80" s="957"/>
      <c r="AG80" s="957"/>
      <c r="AH80" s="957"/>
      <c r="AQ80" s="421" t="s">
        <v>554</v>
      </c>
      <c r="AT80" s="589"/>
      <c r="AU80" s="589"/>
      <c r="AV80" s="589"/>
      <c r="AW80" s="589"/>
      <c r="AX80" s="589"/>
      <c r="BM80" s="421" t="s">
        <v>554</v>
      </c>
      <c r="BP80" s="589"/>
      <c r="BQ80" s="589"/>
      <c r="BR80" s="589"/>
      <c r="BS80" s="589"/>
      <c r="BT80" s="589"/>
      <c r="CG80" s="421" t="s">
        <v>561</v>
      </c>
      <c r="CJ80" s="589"/>
      <c r="CK80" s="589"/>
    </row>
    <row r="81" spans="1:97">
      <c r="A81" s="422" t="s">
        <v>525</v>
      </c>
      <c r="B81" s="422" t="str">
        <f>+'q8'!$A$7</f>
        <v>Alto Minho</v>
      </c>
      <c r="C81" s="433">
        <f>+'q8'!$B$7</f>
        <v>8188</v>
      </c>
      <c r="D81" s="433">
        <f>+'q8'!$C$7</f>
        <v>8233</v>
      </c>
      <c r="E81" s="433">
        <f>+'q8'!$D$7</f>
        <v>8364</v>
      </c>
      <c r="F81" s="433">
        <f>+'q8'!$E$7</f>
        <v>8315</v>
      </c>
      <c r="G81" s="433">
        <f>+'q8'!$F$7</f>
        <v>8400</v>
      </c>
      <c r="H81" s="433">
        <f>+'q8'!$G$7</f>
        <v>8045</v>
      </c>
      <c r="I81" s="433">
        <f>+'q8'!$H$7</f>
        <v>8065</v>
      </c>
      <c r="J81" s="433">
        <f>+'q8'!$I$7</f>
        <v>7974</v>
      </c>
      <c r="K81" s="433">
        <f>+'q8'!$J$7</f>
        <v>8261</v>
      </c>
      <c r="L81" s="433">
        <f>+'q8'!$K$7</f>
        <v>8480</v>
      </c>
      <c r="M81" s="433">
        <f>+'q8'!$L$7</f>
        <v>8424</v>
      </c>
      <c r="Z81" s="421" t="s">
        <v>298</v>
      </c>
      <c r="AA81" s="448" t="str">
        <f>+AD72</f>
        <v>1.600</v>
      </c>
      <c r="AD81" s="957"/>
      <c r="AE81" s="957"/>
      <c r="AF81" s="957"/>
      <c r="AG81" s="957"/>
      <c r="AH81" s="957"/>
      <c r="AQ81" s="421">
        <f>INDEX($AR$38:$AX$44,MATCH($AR$77,$AR$38:$AR$44,0),6)</f>
        <v>2</v>
      </c>
      <c r="AT81" s="589"/>
      <c r="AU81" s="589"/>
      <c r="AV81" s="591" t="s">
        <v>555</v>
      </c>
      <c r="AW81" s="589"/>
      <c r="AX81" s="589"/>
      <c r="BM81" s="421">
        <f>INDEX($BM$38:$BS$44,MATCH($BN$77,$BM$38:$BM$44,0),6)</f>
        <v>2</v>
      </c>
      <c r="BP81" s="589"/>
      <c r="BQ81" s="589"/>
      <c r="BR81" s="591" t="s">
        <v>555</v>
      </c>
      <c r="BS81" s="589"/>
      <c r="BT81" s="589"/>
      <c r="CG81" s="421">
        <f>INDEX($CG$38:$CM$44,MATCH($CH$77,$CG$38:$CG$44,0),6)</f>
        <v>1</v>
      </c>
      <c r="CJ81" s="589"/>
      <c r="CK81" s="589"/>
      <c r="CL81" s="591" t="s">
        <v>555</v>
      </c>
      <c r="CM81" s="589"/>
      <c r="CN81" s="589"/>
    </row>
    <row r="82" spans="1:97" ht="42.75" customHeight="1">
      <c r="A82" s="422"/>
      <c r="B82" s="422" t="str">
        <f>+'q8'!$A$8</f>
        <v>Cávado</v>
      </c>
      <c r="C82" s="433">
        <f>+'q8'!$B$8</f>
        <v>14930</v>
      </c>
      <c r="D82" s="433">
        <f>+'q8'!$C$8</f>
        <v>15116</v>
      </c>
      <c r="E82" s="433">
        <f>+'q8'!$D$8</f>
        <v>15401</v>
      </c>
      <c r="F82" s="433">
        <f>+'q8'!$E$8</f>
        <v>15634</v>
      </c>
      <c r="G82" s="433">
        <f>+'q8'!$F$8</f>
        <v>15756</v>
      </c>
      <c r="H82" s="433">
        <f>+'q8'!$G$8</f>
        <v>15412</v>
      </c>
      <c r="I82" s="433">
        <f>+'q8'!$H$8</f>
        <v>15514</v>
      </c>
      <c r="J82" s="433">
        <f>+'q8'!$I$8</f>
        <v>15289</v>
      </c>
      <c r="K82" s="433">
        <f>+'q8'!$J$8</f>
        <v>16345</v>
      </c>
      <c r="L82" s="433">
        <f>+'q8'!$K$8</f>
        <v>16873</v>
      </c>
      <c r="M82" s="433">
        <f>+'q8'!$L$8</f>
        <v>16874</v>
      </c>
      <c r="Z82" s="421" t="s">
        <v>742</v>
      </c>
      <c r="AD82" s="957"/>
      <c r="AE82" s="957"/>
      <c r="AF82" s="957"/>
      <c r="AG82" s="957"/>
      <c r="AH82" s="957"/>
      <c r="AQ82" s="421" t="s">
        <v>541</v>
      </c>
      <c r="AT82" s="589"/>
      <c r="AU82" s="589"/>
      <c r="AV82" s="958" t="str">
        <f>CONCATENATE(AQ75,CHAR(10),AQ77,AR77,AS77,AR78,AS78,AR79,AQ80,AQ81,AQ82,CHAR(10),AQ83,AS83,AQ84,AR84,AR85,AS85,AR86,AS86,AT86,AU86,AQ87,AR87,AQ88,AR88,AR89,AS89,AR90,AS90,AT90,AU90)</f>
        <v>EMPRESAS
NUTS II Grande Lisboa: 59.232 (20,5% do Continente; 2ª região de 7)
Sub-regiões NUTS III: Máx. da NUTS II - Grande Lisboa - 59.232 (100,0% do Grande Lisboa); Min. da NUTS II - Grande Lisboa - 59.232 (100,0% do Grande Lisboa).</v>
      </c>
      <c r="AW82" s="958"/>
      <c r="AX82" s="958"/>
      <c r="AY82" s="958"/>
      <c r="AZ82" s="958"/>
      <c r="BM82" s="421" t="s">
        <v>541</v>
      </c>
      <c r="BP82" s="589"/>
      <c r="BQ82" s="589"/>
      <c r="BR82" s="958" t="str">
        <f>CONCATENATE(BM75,CHAR(10),BM77,BN77,BO77,BN78,BO78,BN79,BM80,BM81,BM82,CHAR(10),BM83,BO83,BM84,BN84,BN85,BO85,BN86,BO86,BP86,BQ86,BM87,BN87,BM88,BN88,BN89,BO89,BN90,BO90,BP90,BQ90)</f>
        <v>PESSOAS AO SERVIÇO
NUTS II Grande Lisboa: 996.445 (28,1% do Continente; 2ª região de 7)
Sub-regiões NUTS III: Máx. da NUTS II - Grande Lisboa - 996.445 (100,0% do Grande Lisboa); Min. da NUTS II - Grande Lisboa - 996.445 (100,0% do Grande Lisboa).</v>
      </c>
      <c r="BS82" s="958"/>
      <c r="BT82" s="958"/>
      <c r="BU82" s="958"/>
      <c r="BV82" s="958"/>
      <c r="CG82" s="421" t="s">
        <v>541</v>
      </c>
      <c r="CJ82" s="589"/>
      <c r="CK82" s="589"/>
      <c r="CL82" s="958" t="str">
        <f>CONCATENATE(CG75,CHAR(10),CG77,CH77,CI77,CH78,CI78,CH79,CG80,CG81,CG82,CHAR(10),CG83,CI83,CG84,CH84,CH85,CI85,CH86,CI86,CJ86,CK86,CG87,CH87,CG88,CH88,CH89,CI89,CH90,CI90,CJ90,CK90)</f>
        <v>REMUNERAÇÃO BASE
NUTS II Grande Lisboa: 1.600 euros (22,2% que no Continente; 1ª região de 7)
Sub-regiões NUTS III: Máx. da NUTS II - Grande Lisboa - 1.600 euros (+,0% da NUTS II); Min. da NUTS II - Grande Lisboa - 1.600 euros (,0% da NUTS II).</v>
      </c>
      <c r="CM82" s="958"/>
      <c r="CN82" s="958"/>
      <c r="CO82" s="958"/>
      <c r="CP82" s="958"/>
    </row>
    <row r="83" spans="1:97">
      <c r="A83" s="422"/>
      <c r="B83" s="422" t="str">
        <f>+'q8'!$A$9</f>
        <v>Ave</v>
      </c>
      <c r="C83" s="433">
        <f>+'q8'!$B$9</f>
        <v>14360</v>
      </c>
      <c r="D83" s="433">
        <f>+'q8'!$C$9</f>
        <v>14483</v>
      </c>
      <c r="E83" s="433">
        <f>+'q8'!$D$9</f>
        <v>14818</v>
      </c>
      <c r="F83" s="433">
        <f>+'q8'!$E$9</f>
        <v>15050</v>
      </c>
      <c r="G83" s="433">
        <f>+'q8'!$F$9</f>
        <v>15078</v>
      </c>
      <c r="H83" s="433">
        <f>+'q8'!$G$9</f>
        <v>14513</v>
      </c>
      <c r="I83" s="433">
        <f>+'q8'!$H$9</f>
        <v>14697</v>
      </c>
      <c r="J83" s="433">
        <f>+'q8'!$I$9</f>
        <v>14380</v>
      </c>
      <c r="K83" s="433">
        <f>+'q8'!$J$9</f>
        <v>15257</v>
      </c>
      <c r="L83" s="433">
        <f>+'q8'!$K$9</f>
        <v>15408.999999999998</v>
      </c>
      <c r="M83" s="433">
        <f>+'q8'!$L$9</f>
        <v>15255</v>
      </c>
      <c r="Z83" s="421" t="s">
        <v>301</v>
      </c>
      <c r="AA83" s="446">
        <f>ROUND(AF75,1)</f>
        <v>36.299999999999997</v>
      </c>
      <c r="AD83" s="957"/>
      <c r="AE83" s="957"/>
      <c r="AF83" s="957"/>
      <c r="AG83" s="957"/>
      <c r="AH83" s="957"/>
      <c r="AQ83" s="421" t="s">
        <v>542</v>
      </c>
      <c r="AT83" s="589"/>
      <c r="AU83" s="589"/>
      <c r="AV83" s="958"/>
      <c r="AW83" s="958"/>
      <c r="AX83" s="958"/>
      <c r="AY83" s="958"/>
      <c r="AZ83" s="958"/>
      <c r="BM83" s="421" t="s">
        <v>542</v>
      </c>
      <c r="BP83" s="589"/>
      <c r="BQ83" s="589"/>
      <c r="BR83" s="958"/>
      <c r="BS83" s="958"/>
      <c r="BT83" s="958"/>
      <c r="BU83" s="958"/>
      <c r="BV83" s="958"/>
      <c r="CG83" s="421" t="s">
        <v>542</v>
      </c>
      <c r="CJ83" s="589"/>
      <c r="CK83" s="589"/>
      <c r="CL83" s="958"/>
      <c r="CM83" s="958"/>
      <c r="CN83" s="958"/>
      <c r="CO83" s="958"/>
      <c r="CP83" s="958"/>
    </row>
    <row r="84" spans="1:97">
      <c r="A84" s="422"/>
      <c r="B84" s="422" t="str">
        <f>+'q8'!$A$10</f>
        <v>Área Metropolitana do Porto</v>
      </c>
      <c r="C84" s="433">
        <f>+'q8'!$B$10</f>
        <v>57194</v>
      </c>
      <c r="D84" s="433">
        <f>+'q8'!$C$10</f>
        <v>57692</v>
      </c>
      <c r="E84" s="433">
        <f>+'q8'!$D$10</f>
        <v>58291</v>
      </c>
      <c r="F84" s="433">
        <f>+'q8'!$E$10</f>
        <v>58794</v>
      </c>
      <c r="G84" s="433">
        <f>+'q8'!$F$10</f>
        <v>59602</v>
      </c>
      <c r="H84" s="433">
        <f>+'q8'!$G$10</f>
        <v>58375</v>
      </c>
      <c r="I84" s="433">
        <f>+'q8'!$H$10</f>
        <v>58630</v>
      </c>
      <c r="J84" s="433">
        <f>+'q8'!$I$10</f>
        <v>57051</v>
      </c>
      <c r="K84" s="433">
        <f>+'q8'!$J$10</f>
        <v>59479</v>
      </c>
      <c r="L84" s="433">
        <f>+'q8'!$K$10</f>
        <v>60584.999999999985</v>
      </c>
      <c r="M84" s="433">
        <f>+'q8'!$L$10</f>
        <v>59738.999999999993</v>
      </c>
      <c r="Z84" s="421" t="s">
        <v>895</v>
      </c>
      <c r="AD84" s="957"/>
      <c r="AE84" s="957"/>
      <c r="AF84" s="957"/>
      <c r="AG84" s="957"/>
      <c r="AH84" s="957"/>
      <c r="AQ84" s="421" t="str">
        <f>IF($AR$77="Norte",$AZ$38,IF($AR$77="Centro",$AZ$39,IF($AR$77="Oeste e Vale do Tejo",$AZ$40,IF($AR$77="Grande Lisboa",$AZ$41,IF($AR$77="Península de Setúbal",$AZ$42,IF($AR$77="Alentejo",$AZ$43,IF($AR$77="Algarve",$AZ$44," ")))))))</f>
        <v>Grande Lisboa</v>
      </c>
      <c r="AR84" s="421" t="s">
        <v>552</v>
      </c>
      <c r="AT84" s="589"/>
      <c r="AU84" s="589"/>
      <c r="AV84" s="958"/>
      <c r="AW84" s="958"/>
      <c r="AX84" s="958"/>
      <c r="AY84" s="958"/>
      <c r="AZ84" s="958"/>
      <c r="BM84" s="421" t="str">
        <f>IF($BN$77="Norte",$BU$38,IF($BN$77="Centro",$BU$39,IF($BN$77="Oeste e Vale do Tejo",$BU$40,IF($BN$77="Grande Lisboa",$BU$41,IF($BN$77="Península de Setúbal",$BU$42,IF($BN$77="Alentejo",$BU$43,IF($BN$77="Algarve",$BU$44," ")))))))</f>
        <v>Grande Lisboa</v>
      </c>
      <c r="BN84" s="421" t="s">
        <v>552</v>
      </c>
      <c r="BP84" s="589"/>
      <c r="BQ84" s="589"/>
      <c r="BR84" s="958"/>
      <c r="BS84" s="958"/>
      <c r="BT84" s="958"/>
      <c r="BU84" s="958"/>
      <c r="BV84" s="958"/>
      <c r="CG84" s="421" t="str">
        <f>IF($CH$77="Norte",$CQ$38,IF($CH$77="Centro",$CQ$39,IF($CH$77="Oeste e Vale do Tejo",$CQ$40,IF($CH$77="Grande Lisboa",$CQ$41,IF($CH$77="Península de Setúbal",$CQ$42,IF($CH$77="Alentejo",$CQ$43,IF($CH$77="Algarve",$CQ$44," ")))))))</f>
        <v>Grande Lisboa</v>
      </c>
      <c r="CH84" s="421" t="s">
        <v>552</v>
      </c>
      <c r="CJ84" s="589"/>
      <c r="CK84" s="589"/>
      <c r="CL84" s="958"/>
      <c r="CM84" s="958"/>
      <c r="CN84" s="958"/>
      <c r="CO84" s="958"/>
      <c r="CP84" s="958"/>
    </row>
    <row r="85" spans="1:97">
      <c r="A85" s="422"/>
      <c r="B85" s="422" t="str">
        <f>+'q8'!$A$11</f>
        <v>Alto Tâmega e Barroso</v>
      </c>
      <c r="C85" s="433">
        <f>+'q8'!$B$11</f>
        <v>2505</v>
      </c>
      <c r="D85" s="433">
        <f>+'q8'!$C$11</f>
        <v>2562</v>
      </c>
      <c r="E85" s="433">
        <f>+'q8'!$D$11</f>
        <v>2620</v>
      </c>
      <c r="F85" s="433">
        <f>+'q8'!$E$11</f>
        <v>2636</v>
      </c>
      <c r="G85" s="433">
        <f>+'q8'!$F$11</f>
        <v>2669</v>
      </c>
      <c r="H85" s="433">
        <f>+'q8'!$G$11</f>
        <v>2590</v>
      </c>
      <c r="I85" s="433">
        <f>+'q8'!$H$11</f>
        <v>2642</v>
      </c>
      <c r="J85" s="433">
        <f>+'q8'!$I$11</f>
        <v>2629</v>
      </c>
      <c r="K85" s="433">
        <f>+'q8'!$J$11</f>
        <v>2739</v>
      </c>
      <c r="L85" s="433">
        <f>+'q8'!$K$11</f>
        <v>2746</v>
      </c>
      <c r="M85" s="433">
        <f>+'q8'!$L$11</f>
        <v>2794</v>
      </c>
      <c r="Z85" s="421" t="s">
        <v>302</v>
      </c>
      <c r="AA85" s="421" t="str">
        <f>+AH72</f>
        <v>, +</v>
      </c>
      <c r="AQ85" s="421">
        <f>IF($AR$77="Norte",$AY$38,IF($AR$77="Centro",$AY$39,IF($AR$77="Oeste e Vale do Tejo",$AY$40,IF($AR$77="Grande Lisboa",$AY$41,IF($AR$77="Península de Setúbal",$AY$42,IF($AR$77="Alentejo",$AY$43,IF($AR$77="Algarve",$AY$44," ")))))))</f>
        <v>59232</v>
      </c>
      <c r="AR85" s="421" t="str">
        <f>TEXT(AQ85,"##.###")</f>
        <v>59.232</v>
      </c>
      <c r="AS85" s="421" t="s">
        <v>464</v>
      </c>
      <c r="AT85" s="589"/>
      <c r="AU85" s="589"/>
      <c r="AV85" s="958"/>
      <c r="AW85" s="958"/>
      <c r="AX85" s="958"/>
      <c r="AY85" s="958"/>
      <c r="AZ85" s="958"/>
      <c r="BM85" s="421">
        <f>IF($BN$77="Norte",$BT$38,IF($BN$77="Centro",$BT$39,IF($BN$77="Oeste e Vale do Tejo",$BT$40,IF($BN$77="Grande Lisboa",$BT$41,IF($BN$77="Península de Setúbal",$BT$42,IF($BN$77="Alentejo",$BT$43,IF($BN$77="Algarve",$BT$44," ")))))))</f>
        <v>996445</v>
      </c>
      <c r="BN85" s="421" t="str">
        <f>TEXT(BM85,"##.###")</f>
        <v>996.445</v>
      </c>
      <c r="BO85" s="421" t="s">
        <v>464</v>
      </c>
      <c r="BP85" s="589"/>
      <c r="BQ85" s="589"/>
      <c r="BR85" s="958"/>
      <c r="BS85" s="958"/>
      <c r="BT85" s="958"/>
      <c r="BU85" s="958"/>
      <c r="BV85" s="958"/>
      <c r="CG85" s="421">
        <f>IF($CH$77="Norte",$CP$38,IF($CH$77="Centro",$CP$39,IF($CH$77="Oeste e Vale do Tejo",$CP$40,IF($CH$77="Grande Lisboa",$CP$41,IF($CH$77="Península de Setúbal",$CP$42,IF($CH$77="Alentejo",$CP$43,IF($CH$77="Algarve",$CP$44," ")))))))</f>
        <v>1600.02</v>
      </c>
      <c r="CH85" s="421" t="str">
        <f>TEXT(CG85,"##.###")</f>
        <v>1.600</v>
      </c>
      <c r="CI85" s="421" t="s">
        <v>300</v>
      </c>
      <c r="CJ85" s="589"/>
      <c r="CK85" s="589"/>
      <c r="CL85" s="958"/>
      <c r="CM85" s="958"/>
      <c r="CN85" s="958"/>
      <c r="CO85" s="958"/>
      <c r="CP85" s="958"/>
    </row>
    <row r="86" spans="1:97">
      <c r="A86" s="422"/>
      <c r="B86" s="422" t="str">
        <f>+'q8'!$A$12</f>
        <v>Tâmega e Sousa</v>
      </c>
      <c r="C86" s="433">
        <f>+'q8'!$B$12</f>
        <v>13219</v>
      </c>
      <c r="D86" s="433">
        <f>+'q8'!$C$12</f>
        <v>13492</v>
      </c>
      <c r="E86" s="433">
        <f>+'q8'!$D$12</f>
        <v>13669</v>
      </c>
      <c r="F86" s="433">
        <f>+'q8'!$E$12</f>
        <v>13820</v>
      </c>
      <c r="G86" s="433">
        <f>+'q8'!$F$12</f>
        <v>14097</v>
      </c>
      <c r="H86" s="433">
        <f>+'q8'!$G$12</f>
        <v>13814</v>
      </c>
      <c r="I86" s="433">
        <f>+'q8'!$H$12</f>
        <v>13874</v>
      </c>
      <c r="J86" s="433">
        <f>+'q8'!$I$12</f>
        <v>14035</v>
      </c>
      <c r="K86" s="433">
        <f>+'q8'!$J$12</f>
        <v>14461</v>
      </c>
      <c r="L86" s="433">
        <f>+'q8'!$K$12</f>
        <v>14776</v>
      </c>
      <c r="M86" s="433">
        <f>+'q8'!$L$12</f>
        <v>14547</v>
      </c>
      <c r="Z86" s="421" t="s">
        <v>303</v>
      </c>
      <c r="AA86" s="443" t="str">
        <f>TEXT(AI72,"##.###,0")</f>
        <v>425,8</v>
      </c>
      <c r="AQ86" s="421">
        <f>IF($AR$77="Norte",$BA$38,IF($AR$77="Centro",$BA$39,IF($AR$77="Oeste e Vale do Tejo",$BA$40,IF($AR$77="Grande Lisboa",$BA$41,IF($AR$77="Península de Setúbal",$BA$42,IF($AR$77="Alentejo",$BA$43,IF($AR$77="Algarve",$BA$44," ")))))))</f>
        <v>100</v>
      </c>
      <c r="AR86" s="421" t="str">
        <f>TEXT(AQ86,"##.###,0")</f>
        <v>100,0</v>
      </c>
      <c r="AS86" s="421" t="s">
        <v>553</v>
      </c>
      <c r="AT86" s="421" t="str">
        <f>+AR77</f>
        <v>Grande Lisboa</v>
      </c>
      <c r="AU86" s="421" t="s">
        <v>551</v>
      </c>
      <c r="AV86" s="442" t="s">
        <v>556</v>
      </c>
      <c r="BM86" s="421">
        <f>IF($BN$77="Norte",$BV$38,IF($BN$77="Centro",$BV$39,IF($BN$77="Oeste e Vale do Tejo",$BV$40,IF($BN$77="Grande Lisboa",$BV$41,IF($BN$77="Península de Setúbal",$BV$42,IF($BN$77="Alentejo",$BV$43,IF($BN$77="Algarve",$BV$44," ")))))))</f>
        <v>100</v>
      </c>
      <c r="BN86" s="421" t="str">
        <f>TEXT(BM86,"##.###,0")</f>
        <v>100,0</v>
      </c>
      <c r="BO86" s="421" t="s">
        <v>553</v>
      </c>
      <c r="BP86" s="421" t="str">
        <f>+BN77</f>
        <v>Grande Lisboa</v>
      </c>
      <c r="BQ86" s="421" t="s">
        <v>551</v>
      </c>
      <c r="BR86" s="442" t="s">
        <v>556</v>
      </c>
      <c r="CG86" s="421">
        <f>IF($CH$77="Norte",$CR$38,IF($CH$77="Centro",$CR$39,IF($CH$77="Oeste e Vale do Tejo",$CR$40,IF($CH$77="Grande Lisboa",$CR$41,IF($CH$77="Península de Setúbal",$CR$42,IF($CH$77="Alentejo",$CR$43,IF($CH$77="Algarve",$CR$44," ")))))))</f>
        <v>0</v>
      </c>
      <c r="CH86" s="421" t="str">
        <f>TEXT(CG86,"+##.###,0")</f>
        <v>+,0</v>
      </c>
      <c r="CI86" s="421" t="s">
        <v>563</v>
      </c>
      <c r="CJ86" s="421" t="s">
        <v>524</v>
      </c>
      <c r="CK86" s="421" t="s">
        <v>551</v>
      </c>
      <c r="CL86" s="442" t="s">
        <v>556</v>
      </c>
    </row>
    <row r="87" spans="1:97">
      <c r="A87" s="422"/>
      <c r="B87" s="422" t="str">
        <f>+'q8'!$A$13</f>
        <v>Douro</v>
      </c>
      <c r="C87" s="433">
        <f>+'q8'!$B$13</f>
        <v>6125</v>
      </c>
      <c r="D87" s="433">
        <f>+'q8'!$C$13</f>
        <v>6090</v>
      </c>
      <c r="E87" s="433">
        <f>+'q8'!$D$13</f>
        <v>6142</v>
      </c>
      <c r="F87" s="433">
        <f>+'q8'!$E$13</f>
        <v>6166</v>
      </c>
      <c r="G87" s="433">
        <f>+'q8'!$F$13</f>
        <v>6137</v>
      </c>
      <c r="H87" s="433">
        <f>+'q8'!$G$13</f>
        <v>6006</v>
      </c>
      <c r="I87" s="433">
        <f>+'q8'!$H$13</f>
        <v>6107</v>
      </c>
      <c r="J87" s="433">
        <f>+'q8'!$I$13</f>
        <v>6046</v>
      </c>
      <c r="K87" s="433">
        <f>+'q8'!$J$13</f>
        <v>6219</v>
      </c>
      <c r="L87" s="433">
        <f>+'q8'!$K$13</f>
        <v>6355.9999999999982</v>
      </c>
      <c r="M87" s="433">
        <f>+'q8'!$L$13</f>
        <v>6331</v>
      </c>
      <c r="Z87" s="421" t="s">
        <v>736</v>
      </c>
      <c r="AB87" s="421" t="s">
        <v>659</v>
      </c>
      <c r="AQ87" s="421" t="s">
        <v>547</v>
      </c>
      <c r="AR87" s="421" t="s">
        <v>552</v>
      </c>
      <c r="BM87" s="421" t="s">
        <v>547</v>
      </c>
      <c r="BN87" s="421" t="s">
        <v>552</v>
      </c>
      <c r="CG87" s="421" t="s">
        <v>547</v>
      </c>
      <c r="CH87" s="421" t="s">
        <v>552</v>
      </c>
    </row>
    <row r="88" spans="1:97" ht="12.75" customHeight="1">
      <c r="A88" s="422"/>
      <c r="B88" s="422" t="str">
        <f>+'q8'!$A$14</f>
        <v>Terras de Trás-os-Montes</v>
      </c>
      <c r="C88" s="433">
        <f>+'q8'!$B$14</f>
        <v>3725</v>
      </c>
      <c r="D88" s="433">
        <f>+'q8'!$C$14</f>
        <v>3724</v>
      </c>
      <c r="E88" s="433">
        <f>+'q8'!$D$14</f>
        <v>3763</v>
      </c>
      <c r="F88" s="433">
        <f>+'q8'!$E$14</f>
        <v>3792</v>
      </c>
      <c r="G88" s="433">
        <f>+'q8'!$F$14</f>
        <v>3785</v>
      </c>
      <c r="H88" s="433">
        <f>+'q8'!$G$14</f>
        <v>3541</v>
      </c>
      <c r="I88" s="433">
        <f>+'q8'!$H$14</f>
        <v>3565</v>
      </c>
      <c r="J88" s="433">
        <f>+'q8'!$I$14</f>
        <v>3674</v>
      </c>
      <c r="K88" s="433">
        <f>+'q8'!$J$14</f>
        <v>3702</v>
      </c>
      <c r="L88" s="433">
        <f>+'q8'!$K$14</f>
        <v>3777.0000000000009</v>
      </c>
      <c r="M88" s="433">
        <f>+'q8'!$L$14</f>
        <v>3712</v>
      </c>
      <c r="Z88" s="421" t="s">
        <v>305</v>
      </c>
      <c r="AA88" s="443" t="str">
        <f>+AD73</f>
        <v>1.936</v>
      </c>
      <c r="AQ88" s="421" t="str">
        <f>IF($AR$77="Norte",$BC$38,IF($AR$77="Centro",$BC$39,IF($AR$77="Oeste e Vale do Tejo",$BC$40,IF($AR$77="Grande Lisboa",$BC$41,IF($AR$77="Península de Setúbal",$BC$42,IF($AR$77="Alentejo",$BC$43,IF($AR$77="Algarve",$BC$44," ")))))))</f>
        <v>Grande Lisboa</v>
      </c>
      <c r="AR88" s="421" t="s">
        <v>552</v>
      </c>
      <c r="AV88" s="959" t="str">
        <f>CONCATENATE(AQ75,CHAR(10),AQ77,AR77,AS77,AR78,AS78,AR79,AQ80,AQ81,AQ82,CHAR(10),"Esta NUTS II coincide com a NUTS III.")</f>
        <v>EMPRESAS
NUTS II Grande Lisboa: 59.232 (20,5% do Continente; 2ª região de 7)
Esta NUTS II coincide com a NUTS III.</v>
      </c>
      <c r="AW88" s="959"/>
      <c r="AX88" s="959"/>
      <c r="AY88" s="959"/>
      <c r="BM88" s="421" t="str">
        <f>IF($BN$77="Norte",$BX$38,IF($BN$77="Centro",$BX$39,IF($BN$77="Oeste e Vale do Tejo",$BX$40,IF($BN$77="Grande Lisboa",$BX$41,IF($BN$77="Península de Setúbal",$BX$42,IF($BN$77="Alentejo",$BX$43,IF($BN$77="Algarve",$BX$44," ")))))))</f>
        <v>Grande Lisboa</v>
      </c>
      <c r="BN88" s="421" t="s">
        <v>552</v>
      </c>
      <c r="BR88" s="959" t="str">
        <f>CONCATENATE(BM75,CHAR(10),BM77,BN77,BO77,BN78,BO78,BN79,BM80,BM81,BM82,CHAR(10),"Esta NUTS II coincide com a NUTS III.")</f>
        <v>PESSOAS AO SERVIÇO
NUTS II Grande Lisboa: 996.445 (28,1% do Continente; 2ª região de 7)
Esta NUTS II coincide com a NUTS III.</v>
      </c>
      <c r="BS88" s="959"/>
      <c r="BT88" s="959"/>
      <c r="BU88" s="959"/>
      <c r="CG88" s="421" t="str">
        <f>IF($CH$77="Norte",$CT$38,IF($CH$77="Centro",$CT$39,IF($CH$77="Oeste e Vale do Tejo",$CT$40,IF($CH$77="Grande Lisboa",$CT$41,IF($CH$77="Península de Setúbal",$CT$42,IF($CH$77="Alentejo",$CT$43,IF($CH$77="Algarve",$CT$44," ")))))))</f>
        <v>Grande Lisboa</v>
      </c>
      <c r="CH88" s="421" t="s">
        <v>552</v>
      </c>
      <c r="CL88" s="959" t="str">
        <f>CONCATENATE(CG75,CHAR(10),CG77,CH77,CI77,CH78,CI78,CH79,CG80,CG81,CG82,CHAR(10),"Esta NUTS II coincide com a NUTS III.")</f>
        <v>REMUNERAÇÃO BASE
NUTS II Grande Lisboa: 1.600 euros (22,2% que no Continente; 1ª região de 7)
Esta NUTS II coincide com a NUTS III.</v>
      </c>
      <c r="CM88" s="959"/>
      <c r="CN88" s="959"/>
      <c r="CO88" s="959"/>
    </row>
    <row r="89" spans="1:97">
      <c r="A89" s="422"/>
      <c r="B89" s="422" t="str">
        <f>+'q8'!$A$16</f>
        <v>Região de Aveiro</v>
      </c>
      <c r="C89" s="433">
        <f>+'q8'!$B$16</f>
        <v>10771</v>
      </c>
      <c r="D89" s="433">
        <f>+'q8'!$C$16</f>
        <v>10850</v>
      </c>
      <c r="E89" s="433">
        <f>+'q8'!$D$16</f>
        <v>11109</v>
      </c>
      <c r="F89" s="433">
        <f>+'q8'!$E$16</f>
        <v>11238</v>
      </c>
      <c r="G89" s="433">
        <f>+'q8'!$F$16</f>
        <v>11392</v>
      </c>
      <c r="H89" s="433">
        <f>+'q8'!$G$16</f>
        <v>11270</v>
      </c>
      <c r="I89" s="433">
        <f>+'q8'!$H$16</f>
        <v>11291</v>
      </c>
      <c r="J89" s="433">
        <f>+'q8'!$I$16</f>
        <v>10980</v>
      </c>
      <c r="K89" s="433">
        <f>+'q8'!$J$16</f>
        <v>11325</v>
      </c>
      <c r="L89" s="433">
        <f>+'q8'!$K$16</f>
        <v>11485</v>
      </c>
      <c r="M89" s="433">
        <f>+'q8'!$L$16</f>
        <v>11509.999999999998</v>
      </c>
      <c r="Z89" s="421" t="s">
        <v>737</v>
      </c>
      <c r="AQ89" s="421">
        <f>IF($AR$77="Norte",$BB$38,IF($AR$77="Centro",$BB$39,IF($AR$77="Oeste e Vale do Tejo",$BB$40,IF($AR$77="Grande Lisboa",$BB$41,IF($AR$77="Península de Setúbal",$BB$42,IF($AR$77="Alentejo",$BB$43,IF($AR$77="Algarve",$BB$44," ")))))))</f>
        <v>59232</v>
      </c>
      <c r="AR89" s="421" t="str">
        <f>TEXT(AQ89,"##.###")</f>
        <v>59.232</v>
      </c>
      <c r="AS89" s="421" t="s">
        <v>464</v>
      </c>
      <c r="AV89" s="959"/>
      <c r="AW89" s="959"/>
      <c r="AX89" s="959"/>
      <c r="AY89" s="959"/>
      <c r="BM89" s="421">
        <f>IF($BN$77="Norte",$BW$38,IF($BN$77="Centro",$BW$39,IF($BN$77="Oeste e Vale do Tejo",$BW$40,IF($BN$77="Grande Lisboa",$BW$41,IF($BN$77="Península de Setúbal",$BW$42,IF($BN$77="Alentejo",$BW$43,IF($BN$77="Algarve",$BW$44," ")))))))</f>
        <v>996445</v>
      </c>
      <c r="BN89" s="421" t="str">
        <f>TEXT(BM89,"##.###")</f>
        <v>996.445</v>
      </c>
      <c r="BO89" s="421" t="s">
        <v>464</v>
      </c>
      <c r="BR89" s="959"/>
      <c r="BS89" s="959"/>
      <c r="BT89" s="959"/>
      <c r="BU89" s="959"/>
      <c r="CG89" s="421">
        <f>IF($CH$77="Norte",$CS$38,IF($CH$77="Centro",$CS$39,IF($CH$77="Oeste e Vale do Tejo",$CS$40,IF($CH$77="Grande Lisboa",$CS$41,IF($CH$77="Península de Setúbal",$CS$42,IF($CH$77="Alentejo",$CS$43,IF($CH$77="Algarve",$CS$44," ")))))))</f>
        <v>1600.02</v>
      </c>
      <c r="CH89" s="421" t="str">
        <f>TEXT(CG89,"##.###")</f>
        <v>1.600</v>
      </c>
      <c r="CI89" s="421" t="s">
        <v>300</v>
      </c>
      <c r="CL89" s="959"/>
      <c r="CM89" s="959"/>
      <c r="CN89" s="959"/>
      <c r="CO89" s="959"/>
    </row>
    <row r="90" spans="1:97">
      <c r="A90" s="422"/>
      <c r="B90" s="422" t="str">
        <f>+'q8'!$A$17</f>
        <v>Região de Coimbra</v>
      </c>
      <c r="C90" s="433">
        <f>+'q8'!$B$17</f>
        <v>13210</v>
      </c>
      <c r="D90" s="433">
        <f>+'q8'!$C$17</f>
        <v>13220</v>
      </c>
      <c r="E90" s="433">
        <f>+'q8'!$D$17</f>
        <v>13289</v>
      </c>
      <c r="F90" s="433">
        <f>+'q8'!$E$17</f>
        <v>13260</v>
      </c>
      <c r="G90" s="433">
        <f>+'q8'!$F$17</f>
        <v>13232</v>
      </c>
      <c r="H90" s="433">
        <f>+'q8'!$G$17</f>
        <v>12834</v>
      </c>
      <c r="I90" s="433">
        <f>+'q8'!$H$17</f>
        <v>12976</v>
      </c>
      <c r="J90" s="433">
        <f>+'q8'!$I$17</f>
        <v>12780</v>
      </c>
      <c r="K90" s="433">
        <f>+'q8'!$J$17</f>
        <v>13325</v>
      </c>
      <c r="L90" s="433">
        <f>+'q8'!$K$17</f>
        <v>13431.000000000004</v>
      </c>
      <c r="M90" s="433">
        <f>+'q8'!$L$17</f>
        <v>13262.000000000002</v>
      </c>
      <c r="Z90" s="421" t="s">
        <v>306</v>
      </c>
      <c r="AA90" s="446">
        <f>ROUND(AF76,1)</f>
        <v>36.200000000000003</v>
      </c>
      <c r="AQ90" s="421">
        <f>IF($AR$77="Norte",$BD$38,IF($AR$77="Centro",$BD$39,IF($AR$77="Oeste e Vale do Tejo",$BD$40,IF($AR$77="Grande Lisboa",$BD$41,IF($AR$77="Península de Setúbal",$BD$42,IF($AR$77="Alentejo",$BD$43,IF($AR$77="Algarve",$BD$44," ")))))))</f>
        <v>100</v>
      </c>
      <c r="AR90" s="421" t="str">
        <f>TEXT(AQ90,"##.###,0")</f>
        <v>100,0</v>
      </c>
      <c r="AS90" s="421" t="s">
        <v>553</v>
      </c>
      <c r="AT90" s="421" t="str">
        <f>+AR77</f>
        <v>Grande Lisboa</v>
      </c>
      <c r="AU90" s="421" t="s">
        <v>397</v>
      </c>
      <c r="AV90" s="959"/>
      <c r="AW90" s="959"/>
      <c r="AX90" s="959"/>
      <c r="AY90" s="959"/>
      <c r="BM90" s="421">
        <f>IF($BN$77="Norte",$BY$38,IF($BN$77="Centro",$BY$39,IF($BN$77="Oeste e Vale do Tejo",$BY$40,IF($BN$77="Grande Lisboa",$BY$41,IF($BN$77="Península de Setúbal",$BY$42,IF($BN$77="Alentejo",$BY$43,IF($BN$77="Algarve",$BY$44," ")))))))</f>
        <v>100</v>
      </c>
      <c r="BN90" s="421" t="str">
        <f>TEXT(BM90,"##.###,0")</f>
        <v>100,0</v>
      </c>
      <c r="BO90" s="421" t="s">
        <v>553</v>
      </c>
      <c r="BP90" s="421" t="str">
        <f>+BN77</f>
        <v>Grande Lisboa</v>
      </c>
      <c r="BQ90" s="421" t="s">
        <v>397</v>
      </c>
      <c r="BR90" s="959"/>
      <c r="BS90" s="959"/>
      <c r="BT90" s="959"/>
      <c r="BU90" s="959"/>
      <c r="CG90" s="421">
        <f>IF($CH$77="Norte",$CU$38,IF($CH$77="Centro",$CU$39,IF($CH$77="Oeste e Vale do Tejo",$CU$40,IF($CH$77="Grande Lisboa",$CU$41,IF($CH$77="Península de Setúbal",$CU$42,IF($CH$77="Alentejo",$CU$43,IF($CH$77="Algarve",$CU$44," ")))))))</f>
        <v>0</v>
      </c>
      <c r="CH90" s="421" t="str">
        <f>TEXT(CG90,"##.###,0")</f>
        <v>,0</v>
      </c>
      <c r="CI90" s="421" t="s">
        <v>563</v>
      </c>
      <c r="CJ90" s="421" t="s">
        <v>524</v>
      </c>
      <c r="CK90" s="421" t="s">
        <v>397</v>
      </c>
      <c r="CL90" s="959"/>
      <c r="CM90" s="959"/>
      <c r="CN90" s="959"/>
      <c r="CO90" s="959"/>
    </row>
    <row r="91" spans="1:97">
      <c r="A91" s="422"/>
      <c r="B91" s="422" t="str">
        <f>+'q8'!$A$18</f>
        <v>Região de Leiria</v>
      </c>
      <c r="C91" s="433">
        <f>+'q8'!$B$18</f>
        <v>11750</v>
      </c>
      <c r="D91" s="433">
        <f>+'q8'!$C$18</f>
        <v>11795</v>
      </c>
      <c r="E91" s="433">
        <f>+'q8'!$D$18</f>
        <v>11912</v>
      </c>
      <c r="F91" s="433">
        <f>+'q8'!$E$18</f>
        <v>11909</v>
      </c>
      <c r="G91" s="433">
        <f>+'q8'!$F$18</f>
        <v>11844</v>
      </c>
      <c r="H91" s="433">
        <f>+'q8'!$G$18</f>
        <v>11538</v>
      </c>
      <c r="I91" s="433">
        <f>+'q8'!$H$18</f>
        <v>11586</v>
      </c>
      <c r="J91" s="433">
        <f>+'q8'!$I$18</f>
        <v>11446</v>
      </c>
      <c r="K91" s="433">
        <f>+'q8'!$J$18</f>
        <v>11845</v>
      </c>
      <c r="L91" s="433">
        <f>+'q8'!$K$18</f>
        <v>12118.999999999998</v>
      </c>
      <c r="M91" s="433">
        <f>+'q8'!$L$18</f>
        <v>11964</v>
      </c>
      <c r="Z91" s="421" t="s">
        <v>896</v>
      </c>
      <c r="AU91" s="447"/>
      <c r="AV91" s="447"/>
      <c r="AW91" s="447"/>
      <c r="AX91" s="447"/>
      <c r="BQ91" s="447"/>
      <c r="BR91" s="447"/>
      <c r="BS91" s="447"/>
      <c r="BT91" s="447"/>
      <c r="CK91" s="447"/>
      <c r="CL91" s="447"/>
      <c r="CM91" s="447"/>
      <c r="CN91" s="447"/>
    </row>
    <row r="92" spans="1:97" ht="12.75" customHeight="1">
      <c r="A92" s="422"/>
      <c r="B92" s="422" t="str">
        <f>+'q8'!$A$19</f>
        <v>Viseu Dão Lafões</v>
      </c>
      <c r="C92" s="433">
        <f>+'q8'!$B$19</f>
        <v>8035</v>
      </c>
      <c r="D92" s="433">
        <f>+'q8'!$C$19</f>
        <v>8168</v>
      </c>
      <c r="E92" s="433">
        <f>+'q8'!$D$19</f>
        <v>8259</v>
      </c>
      <c r="F92" s="433">
        <f>+'q8'!$E$19</f>
        <v>8311</v>
      </c>
      <c r="G92" s="433">
        <f>+'q8'!$F$19</f>
        <v>8351</v>
      </c>
      <c r="H92" s="433">
        <f>+'q8'!$G$19</f>
        <v>8174</v>
      </c>
      <c r="I92" s="433">
        <f>+'q8'!$H$19</f>
        <v>8205</v>
      </c>
      <c r="J92" s="433">
        <f>+'q8'!$I$19</f>
        <v>8152</v>
      </c>
      <c r="K92" s="433">
        <f>+'q8'!$J$19</f>
        <v>8478</v>
      </c>
      <c r="L92" s="433">
        <f>+'q8'!$K$19</f>
        <v>8638</v>
      </c>
      <c r="M92" s="433">
        <f>+'q8'!$L$19</f>
        <v>8583</v>
      </c>
      <c r="Z92" s="421" t="s">
        <v>307</v>
      </c>
      <c r="AA92" s="421" t="str">
        <f>+AH73</f>
        <v>, +</v>
      </c>
      <c r="AU92" s="447"/>
      <c r="AV92" s="447"/>
      <c r="AW92" s="421" t="str">
        <f>IF($AR$77="Norte",$AV$82,IF($AR$77="Centro",$AV$82,IF($AR$77="Oeste e Vale do Tejo",$AV$82,IF($AR$77="Alentejo",$AV$82,$AV$88))))</f>
        <v>EMPRESAS
NUTS II Grande Lisboa: 59.232 (20,5% do Continente; 2ª região de 7)
Esta NUTS II coincide com a NUTS III.</v>
      </c>
      <c r="AX92" s="447"/>
      <c r="BQ92" s="447"/>
      <c r="BR92" s="447"/>
      <c r="BS92" s="959" t="str">
        <f>IF($BN$77="Norte",$BR$82,IF($BN$77="Centro",$BR$82,IF($BN$77="Oeste e Vale do Tejo",$BR$82,IF($BN$77="Alentejo",$BR$82,$BR$88))))</f>
        <v>PESSOAS AO SERVIÇO
NUTS II Grande Lisboa: 996.445 (28,1% do Continente; 2ª região de 7)
Esta NUTS II coincide com a NUTS III.</v>
      </c>
      <c r="BT92" s="959"/>
      <c r="BU92" s="959"/>
      <c r="BV92" s="959"/>
      <c r="BW92" s="959"/>
      <c r="BX92" s="959"/>
      <c r="BY92" s="959"/>
      <c r="CK92" s="447"/>
      <c r="CL92" s="447"/>
      <c r="CM92" s="959" t="str">
        <f>IF($CH$77="Norte",$CL$82,IF($CH$77="Centro",$CL$82,IF($CH$77="Oeste e Vale do Tejo",$CL$82,IF($CH$77="Alentejo",$CL$82,$CL$88))))</f>
        <v>REMUNERAÇÃO BASE
NUTS II Grande Lisboa: 1.600 euros (22,2% que no Continente; 1ª região de 7)
Esta NUTS II coincide com a NUTS III.</v>
      </c>
      <c r="CN92" s="959"/>
      <c r="CO92" s="959"/>
      <c r="CP92" s="959"/>
      <c r="CQ92" s="959"/>
      <c r="CR92" s="959"/>
      <c r="CS92" s="959"/>
    </row>
    <row r="93" spans="1:97">
      <c r="A93" s="422"/>
      <c r="B93" s="422" t="str">
        <f>+'q8'!$A$20</f>
        <v>Beira Baixa</v>
      </c>
      <c r="C93" s="433">
        <f>+'q8'!$B$20</f>
        <v>3287</v>
      </c>
      <c r="D93" s="433">
        <f>+'q8'!$C$20</f>
        <v>3291</v>
      </c>
      <c r="E93" s="433">
        <f>+'q8'!$D$20</f>
        <v>3288</v>
      </c>
      <c r="F93" s="433">
        <f>+'q8'!$E$20</f>
        <v>3208</v>
      </c>
      <c r="G93" s="433">
        <f>+'q8'!$F$20</f>
        <v>3244</v>
      </c>
      <c r="H93" s="433">
        <f>+'q8'!$G$20</f>
        <v>3195</v>
      </c>
      <c r="I93" s="433">
        <f>+'q8'!$H$20</f>
        <v>3163</v>
      </c>
      <c r="J93" s="433">
        <f>+'q8'!$I$20</f>
        <v>3161</v>
      </c>
      <c r="K93" s="433">
        <f>+'q8'!$J$20</f>
        <v>3245</v>
      </c>
      <c r="L93" s="433">
        <f>+'q8'!$K$20</f>
        <v>3270</v>
      </c>
      <c r="M93" s="433">
        <f>+'q8'!$L$20</f>
        <v>3212</v>
      </c>
      <c r="Z93" s="421" t="s">
        <v>308</v>
      </c>
      <c r="AA93" s="443" t="str">
        <f>TEXT(AI73,"##.###,0")</f>
        <v>514,4</v>
      </c>
      <c r="AQ93" s="442" t="s">
        <v>537</v>
      </c>
      <c r="AV93" s="447"/>
      <c r="AW93" s="447"/>
      <c r="AX93" s="447"/>
      <c r="AY93" s="447"/>
      <c r="AZ93" s="447"/>
      <c r="BM93" s="442" t="s">
        <v>537</v>
      </c>
      <c r="BR93" s="447"/>
      <c r="BS93" s="959"/>
      <c r="BT93" s="959"/>
      <c r="BU93" s="959"/>
      <c r="BV93" s="959"/>
      <c r="BW93" s="959"/>
      <c r="BX93" s="959"/>
      <c r="BY93" s="959"/>
      <c r="CG93" s="442" t="s">
        <v>537</v>
      </c>
      <c r="CL93" s="447"/>
      <c r="CM93" s="959"/>
      <c r="CN93" s="959"/>
      <c r="CO93" s="959"/>
      <c r="CP93" s="959"/>
      <c r="CQ93" s="959"/>
      <c r="CR93" s="959"/>
      <c r="CS93" s="959"/>
    </row>
    <row r="94" spans="1:97">
      <c r="A94" s="422"/>
      <c r="B94" s="422" t="str">
        <f>+'q8'!$A$21</f>
        <v>Beiras e Serra da Estrela</v>
      </c>
      <c r="C94" s="433">
        <f>+'q8'!$B$21</f>
        <v>7049</v>
      </c>
      <c r="D94" s="433">
        <f>+'q8'!$C$21</f>
        <v>7009</v>
      </c>
      <c r="E94" s="433">
        <f>+'q8'!$D$21</f>
        <v>7023</v>
      </c>
      <c r="F94" s="433">
        <f>+'q8'!$E$21</f>
        <v>7033</v>
      </c>
      <c r="G94" s="433">
        <f>+'q8'!$F$21</f>
        <v>6963</v>
      </c>
      <c r="H94" s="433">
        <f>+'q8'!$G$21</f>
        <v>6642</v>
      </c>
      <c r="I94" s="433">
        <f>+'q8'!$H$21</f>
        <v>6613</v>
      </c>
      <c r="J94" s="433">
        <f>+'q8'!$I$21</f>
        <v>6453</v>
      </c>
      <c r="K94" s="433">
        <f>+'q8'!$J$21</f>
        <v>6633</v>
      </c>
      <c r="L94" s="433">
        <f>+'q8'!$K$21</f>
        <v>6677</v>
      </c>
      <c r="M94" s="433">
        <f>+'q8'!$L$21</f>
        <v>6656</v>
      </c>
      <c r="Z94" s="421" t="s">
        <v>736</v>
      </c>
      <c r="AB94" s="421" t="s">
        <v>397</v>
      </c>
      <c r="AQ94" s="421" t="s">
        <v>548</v>
      </c>
      <c r="AV94" s="447"/>
      <c r="AW94" s="447"/>
      <c r="AX94" s="447"/>
      <c r="AY94" s="447"/>
      <c r="AZ94" s="447"/>
      <c r="BM94" s="421" t="s">
        <v>182</v>
      </c>
      <c r="BR94" s="447"/>
      <c r="BS94" s="959"/>
      <c r="BT94" s="959"/>
      <c r="BU94" s="959"/>
      <c r="BV94" s="959"/>
      <c r="BW94" s="959"/>
      <c r="BX94" s="959"/>
      <c r="BY94" s="959"/>
      <c r="CG94" s="421" t="s">
        <v>562</v>
      </c>
      <c r="CL94" s="447"/>
      <c r="CM94" s="959"/>
      <c r="CN94" s="959"/>
      <c r="CO94" s="959"/>
      <c r="CP94" s="959"/>
      <c r="CQ94" s="959"/>
      <c r="CR94" s="959"/>
      <c r="CS94" s="959"/>
    </row>
    <row r="95" spans="1:97" ht="12.75" customHeight="1">
      <c r="A95" s="422"/>
      <c r="B95" s="422" t="str">
        <f>+'q8'!$A$23</f>
        <v>Oeste</v>
      </c>
      <c r="C95" s="433">
        <f>+'q8'!$B$23</f>
        <v>12157</v>
      </c>
      <c r="D95" s="433">
        <f>+'q8'!$C$23</f>
        <v>12279</v>
      </c>
      <c r="E95" s="433">
        <f>+'q8'!$D$23</f>
        <v>12458</v>
      </c>
      <c r="F95" s="433">
        <f>+'q8'!$E$23</f>
        <v>12690</v>
      </c>
      <c r="G95" s="433">
        <f>+'q8'!$F$23</f>
        <v>12776</v>
      </c>
      <c r="H95" s="433">
        <f>+'q8'!$G$23</f>
        <v>12579</v>
      </c>
      <c r="I95" s="433">
        <f>+'q8'!$H$23</f>
        <v>12676</v>
      </c>
      <c r="J95" s="433">
        <f>+'q8'!$I$23</f>
        <v>12522</v>
      </c>
      <c r="K95" s="433">
        <f>+'q8'!$J$23</f>
        <v>13106</v>
      </c>
      <c r="L95" s="433">
        <f>+'q8'!$K$23</f>
        <v>13372</v>
      </c>
      <c r="M95" s="433">
        <f>+'q8'!$L$23</f>
        <v>13413</v>
      </c>
      <c r="AQ95" s="421" t="s">
        <v>538</v>
      </c>
      <c r="AR95" s="421">
        <f>+$AR$6</f>
        <v>2024</v>
      </c>
      <c r="AV95" s="447"/>
      <c r="AW95" s="447"/>
      <c r="AX95" s="447"/>
      <c r="AY95" s="447"/>
      <c r="AZ95" s="447"/>
      <c r="BM95" s="421" t="s">
        <v>558</v>
      </c>
      <c r="BN95" s="421">
        <f>+$BM$6</f>
        <v>2024</v>
      </c>
      <c r="BR95" s="447"/>
      <c r="BS95" s="959"/>
      <c r="BT95" s="959"/>
      <c r="BU95" s="959"/>
      <c r="BV95" s="959"/>
      <c r="BW95" s="959"/>
      <c r="BX95" s="959"/>
      <c r="BY95" s="959"/>
      <c r="CG95" s="421" t="s">
        <v>560</v>
      </c>
      <c r="CH95" s="421">
        <f>+$CG$6</f>
        <v>2024</v>
      </c>
      <c r="CL95" s="447"/>
      <c r="CM95" s="959"/>
      <c r="CN95" s="959"/>
      <c r="CO95" s="959"/>
      <c r="CP95" s="959"/>
      <c r="CQ95" s="959"/>
      <c r="CR95" s="959"/>
      <c r="CS95" s="959"/>
    </row>
    <row r="96" spans="1:97">
      <c r="A96" s="422"/>
      <c r="B96" s="422" t="str">
        <f>+'q8'!$A$24</f>
        <v>Médio Tejo</v>
      </c>
      <c r="C96" s="433">
        <f>+'q8'!$B$24</f>
        <v>7236</v>
      </c>
      <c r="D96" s="433">
        <f>+'q8'!$C$24</f>
        <v>7301</v>
      </c>
      <c r="E96" s="433">
        <f>+'q8'!$D$24</f>
        <v>7236</v>
      </c>
      <c r="F96" s="433">
        <f>+'q8'!$E$24</f>
        <v>7229</v>
      </c>
      <c r="G96" s="433">
        <f>+'q8'!$F$24</f>
        <v>7144</v>
      </c>
      <c r="H96" s="433">
        <f>+'q8'!$G$24</f>
        <v>6955</v>
      </c>
      <c r="I96" s="433">
        <f>+'q8'!$H$24</f>
        <v>6887</v>
      </c>
      <c r="J96" s="433">
        <f>+'q8'!$I$24</f>
        <v>6863</v>
      </c>
      <c r="K96" s="433">
        <f>+'q8'!$J$24</f>
        <v>7027</v>
      </c>
      <c r="L96" s="433">
        <f>+'q8'!$K$24</f>
        <v>7144</v>
      </c>
      <c r="M96" s="433">
        <f>+'q8'!$L$24</f>
        <v>7122</v>
      </c>
      <c r="AQ96" s="421" t="s">
        <v>549</v>
      </c>
      <c r="AR96" s="421" t="str">
        <f>+$R$4</f>
        <v>Grande Lisboa</v>
      </c>
      <c r="AS96" s="421" t="s">
        <v>550</v>
      </c>
      <c r="AV96" s="447"/>
      <c r="AW96" s="447"/>
      <c r="AX96" s="447"/>
      <c r="AY96" s="447"/>
      <c r="AZ96" s="447"/>
      <c r="BM96" s="421" t="s">
        <v>549</v>
      </c>
      <c r="BN96" s="421" t="str">
        <f>+$R$4</f>
        <v>Grande Lisboa</v>
      </c>
      <c r="BO96" s="421" t="s">
        <v>550</v>
      </c>
      <c r="BR96" s="447"/>
      <c r="BS96" s="447"/>
      <c r="BT96" s="447"/>
      <c r="BU96" s="447"/>
      <c r="BV96" s="447"/>
      <c r="CG96" s="421" t="s">
        <v>549</v>
      </c>
      <c r="CH96" s="421" t="str">
        <f>+$R$4</f>
        <v>Grande Lisboa</v>
      </c>
      <c r="CI96" s="421" t="s">
        <v>550</v>
      </c>
      <c r="CL96" s="447"/>
      <c r="CM96" s="959"/>
      <c r="CN96" s="959"/>
      <c r="CO96" s="959"/>
      <c r="CP96" s="959"/>
      <c r="CQ96" s="959"/>
      <c r="CR96" s="959"/>
      <c r="CS96" s="959"/>
    </row>
    <row r="97" spans="1:97">
      <c r="A97" s="422"/>
      <c r="B97" s="422" t="str">
        <f>+'q8'!$A$25</f>
        <v>Lezíria do Tejo</v>
      </c>
      <c r="C97" s="433">
        <f>+'q8'!$B$25</f>
        <v>7565</v>
      </c>
      <c r="D97" s="433">
        <f>+'q8'!$C$25</f>
        <v>7580</v>
      </c>
      <c r="E97" s="433">
        <f>+'q8'!$D$25</f>
        <v>7623</v>
      </c>
      <c r="F97" s="433">
        <f>+'q8'!$E$25</f>
        <v>7631</v>
      </c>
      <c r="G97" s="433">
        <f>+'q8'!$F$25</f>
        <v>7613</v>
      </c>
      <c r="H97" s="433">
        <f>+'q8'!$G$25</f>
        <v>7382</v>
      </c>
      <c r="I97" s="433">
        <f>+'q8'!$H$25</f>
        <v>7339</v>
      </c>
      <c r="J97" s="433">
        <f>+'q8'!$I$25</f>
        <v>7112</v>
      </c>
      <c r="K97" s="433">
        <f>+'q8'!$J$25</f>
        <v>7366</v>
      </c>
      <c r="L97" s="433">
        <f>+'q8'!$K$25</f>
        <v>7492.0000000000018</v>
      </c>
      <c r="M97" s="433">
        <f>+'q8'!$L$25</f>
        <v>7367.9999999999991</v>
      </c>
      <c r="AQ97" s="421">
        <f>INDEX($AR$38:$AX$44,MATCH($AR$77,$AR$38:$AR$44,0),3)</f>
        <v>69821</v>
      </c>
      <c r="AR97" s="421" t="str">
        <f>TEXT(AQ97,"##.###")</f>
        <v>69.821</v>
      </c>
      <c r="AS97" s="421" t="s">
        <v>464</v>
      </c>
      <c r="AV97" s="447"/>
      <c r="AW97" s="447"/>
      <c r="AX97" s="447"/>
      <c r="AY97" s="447"/>
      <c r="AZ97" s="447"/>
      <c r="BM97" s="421">
        <f>INDEX($BM$38:$BS$44,MATCH($BN$77,$BM$38:$BM$44,0),3)</f>
        <v>956373.99999999988</v>
      </c>
      <c r="BN97" s="421" t="str">
        <f>TEXT(BM97,"##.###")</f>
        <v>956.374</v>
      </c>
      <c r="BO97" s="421" t="s">
        <v>464</v>
      </c>
      <c r="BR97" s="447"/>
      <c r="BS97" s="447"/>
      <c r="BT97" s="447"/>
      <c r="BU97" s="447"/>
      <c r="BV97" s="447"/>
      <c r="CG97" s="421">
        <f>INDEX($CG$38:$CM$44,MATCH($CH$77,$CG$38:$CG$44,0),3)</f>
        <v>1935.68</v>
      </c>
      <c r="CH97" s="421" t="str">
        <f>TEXT(CG97,"##.###")</f>
        <v>1.936</v>
      </c>
      <c r="CI97" s="421" t="s">
        <v>300</v>
      </c>
      <c r="CL97" s="447"/>
      <c r="CM97" s="447"/>
      <c r="CN97" s="447"/>
      <c r="CO97" s="447"/>
      <c r="CP97" s="447"/>
    </row>
    <row r="98" spans="1:97">
      <c r="A98" s="422"/>
      <c r="B98" s="422" t="str">
        <f>+'q8'!$A$26</f>
        <v>Grande Lisboa</v>
      </c>
      <c r="C98" s="433">
        <f>+'q8'!$B$26</f>
        <v>65289</v>
      </c>
      <c r="D98" s="433">
        <f>+'q8'!$C$26</f>
        <v>65847</v>
      </c>
      <c r="E98" s="433">
        <f>+'q8'!$D$26</f>
        <v>66220</v>
      </c>
      <c r="F98" s="433">
        <f>+'q8'!$E$26</f>
        <v>66764</v>
      </c>
      <c r="G98" s="433">
        <f>+'q8'!$F$26</f>
        <v>67989</v>
      </c>
      <c r="H98" s="433">
        <f>+'q8'!$G$26</f>
        <v>66115</v>
      </c>
      <c r="I98" s="433">
        <f>+'q8'!$H$26</f>
        <v>67101</v>
      </c>
      <c r="J98" s="433">
        <f>+'q8'!$I$26</f>
        <v>64927</v>
      </c>
      <c r="K98" s="433">
        <f>+'q8'!$J$26</f>
        <v>68270</v>
      </c>
      <c r="L98" s="433">
        <f>+'q8'!$K$26</f>
        <v>70103.999999999985</v>
      </c>
      <c r="M98" s="433">
        <f>+'q8'!$L$26</f>
        <v>69821</v>
      </c>
      <c r="AQ98" s="421">
        <f>INDEX($AR$38:$AX$44,MATCH($AR$77,$AR$38:$AR$44,0),5)</f>
        <v>20.655511706200123</v>
      </c>
      <c r="AR98" s="421" t="str">
        <f>TEXT(AQ98,"##.###,0")</f>
        <v>20,7</v>
      </c>
      <c r="AT98" s="589"/>
      <c r="AU98" s="589"/>
      <c r="AV98" s="447"/>
      <c r="AW98" s="447"/>
      <c r="AX98" s="447"/>
      <c r="AY98" s="447"/>
      <c r="AZ98" s="447"/>
      <c r="BM98" s="421">
        <f>INDEX($BM$38:$BS$44,MATCH($BN$77,$BM$38:$BM$44,0),5)</f>
        <v>28.513274357390401</v>
      </c>
      <c r="BN98" s="421" t="str">
        <f>TEXT(BM98,"##.###,0")</f>
        <v>28,5</v>
      </c>
      <c r="BP98" s="589"/>
      <c r="BQ98" s="589"/>
      <c r="BR98" s="447"/>
      <c r="BS98" s="447"/>
      <c r="BT98" s="447"/>
      <c r="BU98" s="447"/>
      <c r="BV98" s="447"/>
      <c r="CG98" s="421">
        <f>INDEX($CG$38:$CM$44,MATCH($CH$77,$CG$38:$CG$44,0),5)</f>
        <v>22.298531037750745</v>
      </c>
      <c r="CH98" s="421" t="str">
        <f>TEXT(CG98,"##.###,0")</f>
        <v>22,3</v>
      </c>
      <c r="CJ98" s="589"/>
      <c r="CK98" s="589"/>
      <c r="CL98" s="447"/>
      <c r="CM98" s="447"/>
      <c r="CN98" s="447"/>
      <c r="CO98" s="447"/>
      <c r="CP98" s="447"/>
    </row>
    <row r="99" spans="1:97">
      <c r="A99" s="422"/>
      <c r="B99" s="422" t="str">
        <f>+'q8'!$A$27</f>
        <v>Península de Setúbal</v>
      </c>
      <c r="C99" s="433">
        <f>+'q8'!$B$27</f>
        <v>16417</v>
      </c>
      <c r="D99" s="433">
        <f>+'q8'!$C$27</f>
        <v>16509</v>
      </c>
      <c r="E99" s="433">
        <f>+'q8'!$D$27</f>
        <v>16639</v>
      </c>
      <c r="F99" s="433">
        <f>+'q8'!$E$27</f>
        <v>16803</v>
      </c>
      <c r="G99" s="433">
        <f>+'q8'!$F$27</f>
        <v>16960</v>
      </c>
      <c r="H99" s="433">
        <f>+'q8'!$G$27</f>
        <v>16656</v>
      </c>
      <c r="I99" s="433">
        <f>+'q8'!$H$27</f>
        <v>17101</v>
      </c>
      <c r="J99" s="433">
        <f>+'q8'!$I$27</f>
        <v>16860</v>
      </c>
      <c r="K99" s="433">
        <f>+'q8'!$J$27</f>
        <v>17786</v>
      </c>
      <c r="L99" s="433">
        <f>+'q8'!$K$27</f>
        <v>18085</v>
      </c>
      <c r="M99" s="433">
        <f>+'q8'!$L$27</f>
        <v>18128</v>
      </c>
      <c r="AQ99" s="421" t="s">
        <v>554</v>
      </c>
      <c r="AT99" s="589"/>
      <c r="AU99" s="589"/>
      <c r="AV99" s="591" t="s">
        <v>555</v>
      </c>
      <c r="BM99" s="421" t="s">
        <v>554</v>
      </c>
      <c r="BP99" s="589"/>
      <c r="BQ99" s="589"/>
      <c r="BR99" s="591" t="s">
        <v>555</v>
      </c>
      <c r="CG99" s="421" t="s">
        <v>561</v>
      </c>
      <c r="CJ99" s="589"/>
      <c r="CK99" s="589"/>
      <c r="CL99" s="591" t="s">
        <v>555</v>
      </c>
    </row>
    <row r="100" spans="1:97" ht="12.75" customHeight="1">
      <c r="A100" s="422"/>
      <c r="B100" s="422" t="str">
        <f>+'q8'!$A$29</f>
        <v>Alentejo Litoral</v>
      </c>
      <c r="C100" s="433">
        <f>+'q8'!$B$29</f>
        <v>3079</v>
      </c>
      <c r="D100" s="433">
        <f>+'q8'!$C$29</f>
        <v>3085</v>
      </c>
      <c r="E100" s="433">
        <f>+'q8'!$D$29</f>
        <v>3145</v>
      </c>
      <c r="F100" s="433">
        <f>+'q8'!$E$29</f>
        <v>3176</v>
      </c>
      <c r="G100" s="433">
        <f>+'q8'!$F$29</f>
        <v>3187</v>
      </c>
      <c r="H100" s="433">
        <f>+'q8'!$G$29</f>
        <v>3177</v>
      </c>
      <c r="I100" s="433">
        <f>+'q8'!$H$29</f>
        <v>3249</v>
      </c>
      <c r="J100" s="433">
        <f>+'q8'!$I$29</f>
        <v>3219</v>
      </c>
      <c r="K100" s="433">
        <f>+'q8'!$J$29</f>
        <v>3368</v>
      </c>
      <c r="L100" s="433">
        <f>+'q8'!$K$29</f>
        <v>3451</v>
      </c>
      <c r="M100" s="433">
        <f>+'q8'!$L$29</f>
        <v>3421</v>
      </c>
      <c r="AQ100" s="421">
        <f>INDEX($AR$38:$AX$44,MATCH($AR$77,$AR$38:$AR$44,0),7)</f>
        <v>2</v>
      </c>
      <c r="AT100" s="589"/>
      <c r="AU100" s="589"/>
      <c r="AV100" s="958" t="str">
        <f>CONCATENATE(AQ94,CHAR(10),AQ96,AR96,AS96,AR97,AS97,AR98,AQ99,AQ100,AQ101,CHAR(10),AS101,AQ102,AS102,AQ103,AR103,AS103,AR104,AS104,AT104,AU104,AR105,AS105,AT105,AU105,AQ106,AR106,AQ107,AR107,AR108,AS108,AR109,AS109,AT109,AU109)</f>
        <v>ESTABELECIMENTOS
NUTS II Grande Lisboa: 69.821 (20,7% do Continente; 2ª região de 7)
Sub-regiões NUTS III: Máx. da NUTS II - Grande Lisboa - 69.821 (100,0% do Grande Lisboa); Min. da NUTS II - Grande Lisboa - 69.821 (100,0% do Grande Lisboa).</v>
      </c>
      <c r="AW100" s="958"/>
      <c r="AX100" s="958"/>
      <c r="AY100" s="958"/>
      <c r="AZ100" s="958"/>
      <c r="BM100" s="421">
        <f>INDEX($BM$38:$BS$44,MATCH($BN$77,$BM$38:$BM$44,0),7)</f>
        <v>2</v>
      </c>
      <c r="BP100" s="589"/>
      <c r="BQ100" s="589"/>
      <c r="BR100" s="958" t="str">
        <f>CONCATENATE(BM94,CHAR(10),BM96,BN96,BO96,BN97,BO97,BN98,BM99,BM100,BM101,CHAR(10),BO101,BM102,BO102,BM103,BN103,BO103,BN104,BO104,BP104,BQ104,BN105,BO105,BP105,BQ105,BM106,BN106,BM107,BN107,BN108,BO108,BN109,BO109,BP109,BQ109)</f>
        <v>TCO
NUTS II Grande Lisboa: 956.374 (28,5% do Continente; 2ª região de 7)
Sub-regiões NUTS III: Máx. da NUTS II - Grande Lisboa - 956.374 (100,0% do Grande Lisboa); Min. da NUTS II - Grande Lisboa - 956.374 (100,0% do Grande Lisboa).</v>
      </c>
      <c r="BS100" s="958"/>
      <c r="BT100" s="958"/>
      <c r="BU100" s="958"/>
      <c r="BV100" s="958"/>
      <c r="BW100" s="958"/>
      <c r="BX100" s="958"/>
      <c r="CG100" s="421">
        <f>INDEX($CG$38:$CM$44,MATCH($CH$77,$CG$38:$CG$44,0),7)</f>
        <v>1</v>
      </c>
      <c r="CJ100" s="589"/>
      <c r="CK100" s="589"/>
      <c r="CL100" s="958" t="str">
        <f>CONCATENATE(CG94,CHAR(10),CG96,CH96,CI96,CH97,CI97,CH98,CG99,CG100,CG101,CHAR(10),CI101,CG102,CI102,CG103,CH103,CI103,CH104,CI104,CJ104,CK104,CH105,CI105,CJ105,CK105,CG106,CH106,CG107,CH107,CH108,CI108,CH109,CI109,CJ109,CK109)</f>
        <v>REMUNERAÇÃO GANHO
NUTS II Grande Lisboa: 1.936 euros (22,3% que no Continente; 1ª região de 7)
Sub-regiões NUTS III: Máx. da NUTS II - Grande Lisboa - 1.936 euros (+0,0% da NUTS II); Min. da NUTS II - Grande Lisboa - 1.936 euros (,0% da NUTS II).</v>
      </c>
      <c r="CM100" s="958"/>
      <c r="CN100" s="958"/>
      <c r="CO100" s="958"/>
      <c r="CP100" s="958"/>
      <c r="CQ100" s="958"/>
      <c r="CR100" s="958"/>
      <c r="CS100" s="958"/>
    </row>
    <row r="101" spans="1:97">
      <c r="A101" s="422"/>
      <c r="B101" s="422" t="str">
        <f>+'q8'!$A$30</f>
        <v>Baixo Alentejo</v>
      </c>
      <c r="C101" s="433">
        <f>+'q8'!$B$30</f>
        <v>4090</v>
      </c>
      <c r="D101" s="433">
        <f>+'q8'!$C$30</f>
        <v>4123</v>
      </c>
      <c r="E101" s="433">
        <f>+'q8'!$D$30</f>
        <v>4152</v>
      </c>
      <c r="F101" s="433">
        <f>+'q8'!$E$30</f>
        <v>4217</v>
      </c>
      <c r="G101" s="433">
        <f>+'q8'!$F$30</f>
        <v>4208</v>
      </c>
      <c r="H101" s="433">
        <f>+'q8'!$G$30</f>
        <v>4100</v>
      </c>
      <c r="I101" s="433">
        <f>+'q8'!$H$30</f>
        <v>4108</v>
      </c>
      <c r="J101" s="433">
        <f>+'q8'!$I$30</f>
        <v>4065</v>
      </c>
      <c r="K101" s="433">
        <f>+'q8'!$J$30</f>
        <v>4263</v>
      </c>
      <c r="L101" s="433">
        <f>+'q8'!$K$30</f>
        <v>4493</v>
      </c>
      <c r="M101" s="433">
        <f>+'q8'!$L$30</f>
        <v>4522</v>
      </c>
      <c r="AQ101" s="421" t="s">
        <v>541</v>
      </c>
      <c r="AT101" s="589"/>
      <c r="AU101" s="589"/>
      <c r="AV101" s="958"/>
      <c r="AW101" s="958"/>
      <c r="AX101" s="958"/>
      <c r="AY101" s="958"/>
      <c r="AZ101" s="958"/>
      <c r="BM101" s="421" t="s">
        <v>541</v>
      </c>
      <c r="BP101" s="589"/>
      <c r="BQ101" s="589"/>
      <c r="BR101" s="958"/>
      <c r="BS101" s="958"/>
      <c r="BT101" s="958"/>
      <c r="BU101" s="958"/>
      <c r="BV101" s="958"/>
      <c r="BW101" s="958"/>
      <c r="BX101" s="958"/>
      <c r="CG101" s="421" t="s">
        <v>541</v>
      </c>
      <c r="CJ101" s="589"/>
      <c r="CK101" s="589"/>
      <c r="CL101" s="958"/>
      <c r="CM101" s="958"/>
      <c r="CN101" s="958"/>
      <c r="CO101" s="958"/>
      <c r="CP101" s="958"/>
      <c r="CQ101" s="958"/>
      <c r="CR101" s="958"/>
      <c r="CS101" s="958"/>
    </row>
    <row r="102" spans="1:97">
      <c r="A102" s="422"/>
      <c r="B102" s="422" t="str">
        <f>+'q8'!$A$31</f>
        <v>Alto Alentejo</v>
      </c>
      <c r="C102" s="433">
        <f>+'q8'!$B$31</f>
        <v>3518</v>
      </c>
      <c r="D102" s="433">
        <f>+'q8'!$C$31</f>
        <v>3504</v>
      </c>
      <c r="E102" s="433">
        <f>+'q8'!$D$31</f>
        <v>3523</v>
      </c>
      <c r="F102" s="433">
        <f>+'q8'!$E$31</f>
        <v>3473</v>
      </c>
      <c r="G102" s="433">
        <f>+'q8'!$F$31</f>
        <v>3444</v>
      </c>
      <c r="H102" s="433">
        <f>+'q8'!$G$31</f>
        <v>3298</v>
      </c>
      <c r="I102" s="433">
        <f>+'q8'!$H$31</f>
        <v>3302</v>
      </c>
      <c r="J102" s="433">
        <f>+'q8'!$I$31</f>
        <v>3192</v>
      </c>
      <c r="K102" s="433">
        <f>+'q8'!$J$31</f>
        <v>3433</v>
      </c>
      <c r="L102" s="433">
        <f>+'q8'!$K$31</f>
        <v>3430.0000000000005</v>
      </c>
      <c r="M102" s="433">
        <f>+'q8'!$L$31</f>
        <v>3351.0000000000005</v>
      </c>
      <c r="AQ102" s="421" t="s">
        <v>542</v>
      </c>
      <c r="AT102" s="589"/>
      <c r="AU102" s="589"/>
      <c r="AV102" s="958"/>
      <c r="AW102" s="958"/>
      <c r="AX102" s="958"/>
      <c r="AY102" s="958"/>
      <c r="AZ102" s="958"/>
      <c r="BM102" s="421" t="s">
        <v>542</v>
      </c>
      <c r="BP102" s="589"/>
      <c r="BQ102" s="589"/>
      <c r="BR102" s="958"/>
      <c r="BS102" s="958"/>
      <c r="BT102" s="958"/>
      <c r="BU102" s="958"/>
      <c r="BV102" s="958"/>
      <c r="BW102" s="958"/>
      <c r="BX102" s="958"/>
      <c r="CG102" s="421" t="s">
        <v>542</v>
      </c>
      <c r="CJ102" s="589"/>
      <c r="CK102" s="589"/>
      <c r="CL102" s="958"/>
      <c r="CM102" s="958"/>
      <c r="CN102" s="958"/>
      <c r="CO102" s="958"/>
      <c r="CP102" s="958"/>
      <c r="CQ102" s="958"/>
      <c r="CR102" s="958"/>
      <c r="CS102" s="958"/>
    </row>
    <row r="103" spans="1:97">
      <c r="A103" s="422"/>
      <c r="B103" s="422" t="str">
        <f>+'q8'!$A$32</f>
        <v>Alentejo Central</v>
      </c>
      <c r="C103" s="433">
        <f>+'q8'!$B$32</f>
        <v>6131</v>
      </c>
      <c r="D103" s="433">
        <f>+'q8'!$C$32</f>
        <v>6132</v>
      </c>
      <c r="E103" s="433">
        <f>+'q8'!$D$32</f>
        <v>6087</v>
      </c>
      <c r="F103" s="433">
        <f>+'q8'!$E$32</f>
        <v>6073</v>
      </c>
      <c r="G103" s="433">
        <f>+'q8'!$F$32</f>
        <v>6029</v>
      </c>
      <c r="H103" s="433">
        <f>+'q8'!$G$32</f>
        <v>5879</v>
      </c>
      <c r="I103" s="433">
        <f>+'q8'!$H$32</f>
        <v>5902</v>
      </c>
      <c r="J103" s="433">
        <f>+'q8'!$I$32</f>
        <v>5608</v>
      </c>
      <c r="K103" s="433">
        <f>+'q8'!$J$32</f>
        <v>6051</v>
      </c>
      <c r="L103" s="433">
        <f>+'q8'!$K$32</f>
        <v>6137</v>
      </c>
      <c r="M103" s="433">
        <f>+'q8'!$L$32</f>
        <v>6058</v>
      </c>
      <c r="AQ103" s="421" t="str">
        <f>IF($AR$77="Norte",$BF$38,IF($AR$77="Centro",$BF$39,IF($AR$77="Oeste e Vale do Tejo",$BF$40,IF($AR$77="Grande Lisboa",$BF$41,IF($AR$77="Península de Setúbal",$BF$42,IF($AR$77="Alentejo",$BF$43,IF($AR$77="Algarve",$BF$44," ")))))))</f>
        <v>Grande Lisboa</v>
      </c>
      <c r="AR103" s="421" t="s">
        <v>552</v>
      </c>
      <c r="AT103" s="589"/>
      <c r="AU103" s="589"/>
      <c r="AV103" s="958"/>
      <c r="AW103" s="958"/>
      <c r="AX103" s="958"/>
      <c r="AY103" s="958"/>
      <c r="AZ103" s="958"/>
      <c r="BM103" s="421" t="str">
        <f>IF($BN$77="Norte",$CA$38,IF($BN$77="Centro",$CA$39,IF($BN$77="Oeste e Vale do Tejo",$CA$40,IF($BN$77="Grande Lisboa",$CA$41,IF($BN$77="Península de Setúbal",$CA$42,IF($BN$77="Alentejo",$CA$43,IF($BN$77="Algarve",$CA$44," ")))))))</f>
        <v>Grande Lisboa</v>
      </c>
      <c r="BN103" s="421" t="s">
        <v>552</v>
      </c>
      <c r="BP103" s="589"/>
      <c r="BQ103" s="589"/>
      <c r="BR103" s="958"/>
      <c r="BS103" s="958"/>
      <c r="BT103" s="958"/>
      <c r="BU103" s="958"/>
      <c r="BV103" s="958"/>
      <c r="BW103" s="958"/>
      <c r="BX103" s="958"/>
      <c r="CG103" s="421" t="str">
        <f>IF($CH$77="Norte",$CW$38,IF($CH$77="Centro",$CW$39,IF($CH$77="Oeste e Vale do Tejo",$CW$40,IF($CH$77="Grande Lisboa",$CW$41,IF($CH$77="Península de Setúbal",$CW$42,IF($CH$77="Alentejo",$CW$43,IF($CH$77="Algarve",$CW$44," ")))))))</f>
        <v>Grande Lisboa</v>
      </c>
      <c r="CH103" s="421" t="s">
        <v>552</v>
      </c>
      <c r="CJ103" s="589"/>
      <c r="CK103" s="589"/>
      <c r="CL103" s="958"/>
      <c r="CM103" s="958"/>
      <c r="CN103" s="958"/>
      <c r="CO103" s="958"/>
      <c r="CP103" s="958"/>
      <c r="CQ103" s="958"/>
      <c r="CR103" s="958"/>
      <c r="CS103" s="958"/>
    </row>
    <row r="104" spans="1:97">
      <c r="A104" s="422"/>
      <c r="B104" s="422" t="str">
        <f>+'q8'!$A$33</f>
        <v>Algarve</v>
      </c>
      <c r="C104" s="433">
        <f>+'q8'!$B$33</f>
        <v>19056</v>
      </c>
      <c r="D104" s="433">
        <f>+'q8'!$C$33</f>
        <v>19415</v>
      </c>
      <c r="E104" s="433">
        <f>+'q8'!$D$33</f>
        <v>19902</v>
      </c>
      <c r="F104" s="433">
        <f>+'q8'!$E$33</f>
        <v>20073</v>
      </c>
      <c r="G104" s="433">
        <f>+'q8'!$F$33</f>
        <v>20768</v>
      </c>
      <c r="H104" s="433">
        <f>+'q8'!$G$33</f>
        <v>20888</v>
      </c>
      <c r="I104" s="433">
        <f>+'q8'!$H$33</f>
        <v>20366</v>
      </c>
      <c r="J104" s="433">
        <f>+'q8'!$I$33</f>
        <v>19836</v>
      </c>
      <c r="K104" s="433">
        <f>+'q8'!$J$33</f>
        <v>20699</v>
      </c>
      <c r="L104" s="433">
        <f>+'q8'!$K$33</f>
        <v>22034</v>
      </c>
      <c r="M104" s="433">
        <f>+'q8'!$L$33</f>
        <v>21958.999999999996</v>
      </c>
      <c r="AQ104" s="421">
        <f>IF($AR$77="Norte",$BE$38,IF($AR$77="Centro",$BE$39,IF($AR$77="Oeste e Vale do Tejo",$BE$40,IF($AR$77="Grande Lisboa",$BE$41,IF($AR$77="Península de Setúbal",$BE$42,IF($AR$77="Alentejo",$BE$43,IF($AR$77="Algarve",$BE$44," ")))))))</f>
        <v>69821</v>
      </c>
      <c r="AR104" s="421" t="str">
        <f>TEXT(AQ104,"##.###")</f>
        <v>69.821</v>
      </c>
      <c r="AS104" s="421" t="s">
        <v>464</v>
      </c>
      <c r="AT104" s="589"/>
      <c r="AU104" s="589"/>
      <c r="BM104" s="421">
        <f>IF($BN$77="Norte",$BZ$38,IF($BN$77="Centro",$BZ$39,IF($BN$77="Oeste e Vale do Tejo",$BZ$40,IF($BN$77="Grande Lisboa",$BZ$41,IF($BN$77="Península de Setúbal",$BZ$42,IF($BN$77="Alentejo",$BZ$43,IF($BN$77="Algarve",$BZ$44," ")))))))</f>
        <v>956373.99999999988</v>
      </c>
      <c r="BN104" s="421" t="str">
        <f>TEXT(BM104,"##.###")</f>
        <v>956.374</v>
      </c>
      <c r="BO104" s="421" t="s">
        <v>464</v>
      </c>
      <c r="BP104" s="589"/>
      <c r="BQ104" s="589"/>
      <c r="CG104" s="421">
        <f>IF($CH$77="Norte",$CV$38,IF($CH$77="Centro",$CV$39,IF($CH$77="Oeste e Vale do Tejo",$CV$40,IF($CH$77="Grande Lisboa",$CV$41,IF($CH$77="Península de Setúbal",$CV$42,IF($CH$77="Alentejo",$CV$43,IF($CH$77="Algarve",$CV$44," ")))))))</f>
        <v>1935.68</v>
      </c>
      <c r="CH104" s="421" t="str">
        <f>TEXT(CG104,"##.###")</f>
        <v>1.936</v>
      </c>
      <c r="CI104" s="421" t="s">
        <v>300</v>
      </c>
      <c r="CJ104" s="589"/>
      <c r="CK104" s="589"/>
    </row>
    <row r="105" spans="1:97">
      <c r="B105" s="422" t="s">
        <v>13</v>
      </c>
      <c r="C105" s="433">
        <f>+'q8'!$B$5</f>
        <v>318886</v>
      </c>
      <c r="D105" s="433">
        <f>+'q8'!$C$5</f>
        <v>321500</v>
      </c>
      <c r="E105" s="433">
        <f>+'q8'!$D$5</f>
        <v>324933</v>
      </c>
      <c r="F105" s="433">
        <f>+'q8'!$E$5</f>
        <v>327295</v>
      </c>
      <c r="G105" s="433">
        <f>+'q8'!$F$5</f>
        <v>330668</v>
      </c>
      <c r="H105" s="433">
        <f>+'q8'!$G$5</f>
        <v>322978</v>
      </c>
      <c r="I105" s="433">
        <f>+'q8'!$H$5</f>
        <v>324959</v>
      </c>
      <c r="J105" s="433">
        <f>+'q8'!$I$5</f>
        <v>318254</v>
      </c>
      <c r="K105" s="433">
        <f>+'q8'!$J$5</f>
        <v>332683</v>
      </c>
      <c r="L105" s="433">
        <f>+'q8'!$K$5</f>
        <v>340363.99999999994</v>
      </c>
      <c r="M105" s="433">
        <f>+'q8'!$L$5</f>
        <v>338025.99999999988</v>
      </c>
      <c r="AQ105" s="421">
        <f>IF($AR$77="Norte",$BG$38,IF($AR$77="Centro",$BG$39,IF($AR$77="Oeste e Vale do Tejo",$BG$40,IF($AR$77="Grande Lisboa",$BG$41,IF($AR$77="Península de Setúbal",$BG$42,IF($AR$77="Alentejo",$BG$43,IF($AR$77="Algarve",$BG$44," ")))))))</f>
        <v>100</v>
      </c>
      <c r="AR105" s="421" t="str">
        <f>TEXT(AQ105,"##.###,0")</f>
        <v>100,0</v>
      </c>
      <c r="AS105" s="421" t="s">
        <v>553</v>
      </c>
      <c r="AT105" s="421" t="str">
        <f>+AR96</f>
        <v>Grande Lisboa</v>
      </c>
      <c r="AU105" s="421" t="s">
        <v>551</v>
      </c>
      <c r="AV105" s="442" t="s">
        <v>556</v>
      </c>
      <c r="BM105" s="421">
        <f>IF($BN$77="Norte",$BV$38,IF($BN$77="Centro",$BV$39,IF($BN$77="Oeste e Vale do Tejo",$BV$40,IF($BN$77="Grande Lisboa",$BV$41,IF($BN$77="Península de Setúbal",$BV$42,IF($BN$77="Alentejo",$BV$43,IF($BN$77="Algarve",$BV$44," ")))))))</f>
        <v>100</v>
      </c>
      <c r="BN105" s="421" t="str">
        <f>TEXT(BM105,"##.###,0")</f>
        <v>100,0</v>
      </c>
      <c r="BO105" s="421" t="s">
        <v>553</v>
      </c>
      <c r="BP105" s="421" t="str">
        <f>+BN96</f>
        <v>Grande Lisboa</v>
      </c>
      <c r="BQ105" s="421" t="s">
        <v>551</v>
      </c>
      <c r="BR105" s="442" t="s">
        <v>556</v>
      </c>
      <c r="CG105" s="421">
        <f>IF($CH$77="Norte",$CX$38,IF($CH$77="Centro",$CX$39,IF($CH$77="Oeste e Vale do Tejo",$CX$40,IF($CH$77="Grande Lisboa",$CX$41,IF($CH$77="Península de Setúbal",$CX$42,IF($CH$77="Alentejo",$CX$43,IF($CH$77="Algarve",$CX$44," ")))))))</f>
        <v>0</v>
      </c>
      <c r="CH105" s="421" t="str">
        <f>TEXT(CG105,"+##.##0,0")</f>
        <v>+0,0</v>
      </c>
      <c r="CI105" s="421" t="s">
        <v>563</v>
      </c>
      <c r="CJ105" s="421" t="s">
        <v>524</v>
      </c>
      <c r="CK105" s="421" t="s">
        <v>551</v>
      </c>
      <c r="CL105" s="442" t="s">
        <v>556</v>
      </c>
    </row>
    <row r="106" spans="1:97">
      <c r="AQ106" s="421" t="s">
        <v>547</v>
      </c>
      <c r="AR106" s="421" t="s">
        <v>552</v>
      </c>
      <c r="BM106" s="421" t="s">
        <v>547</v>
      </c>
      <c r="BN106" s="421" t="s">
        <v>552</v>
      </c>
      <c r="CG106" s="421" t="s">
        <v>547</v>
      </c>
      <c r="CH106" s="421" t="s">
        <v>552</v>
      </c>
    </row>
    <row r="107" spans="1:97" ht="12.75" customHeight="1">
      <c r="AQ107" s="421" t="str">
        <f>IF($AR$77="Norte",$BI$38,IF($AR$77="Centro",$BI$39,IF($AR$77="Oeste e Vale do Tejo",$BI$40,IF($AR$77="Grande Lisboa",$BI$41,IF($AR$77="Península de Setúbal",$BI$42,IF($AR$77="Alentejo",$BI$43,IF($AR$77="Algarve",$BI$44," ")))))))</f>
        <v>Grande Lisboa</v>
      </c>
      <c r="AR107" s="421" t="s">
        <v>552</v>
      </c>
      <c r="AV107" s="957" t="str">
        <f>CONCATENATE(AQ94,CHAR(10),AQ96,AR96,AS96,AR97,AS97,AR98,AQ99,AQ100,AQ101,CHAR(10),"Esta NUTS II coincide com a NUTS III.")</f>
        <v>ESTABELECIMENTOS
NUTS II Grande Lisboa: 69.821 (20,7% do Continente; 2ª região de 7)
Esta NUTS II coincide com a NUTS III.</v>
      </c>
      <c r="AW107" s="957"/>
      <c r="AX107" s="957"/>
      <c r="AY107" s="957"/>
      <c r="AZ107" s="957"/>
      <c r="BM107" s="421" t="str">
        <f>IF($BN$77="Norte",$CD$38,IF($BN$77="Centro",$CD$39,IF($BN$77="Oeste e Vale do Tejo",$CD$40,IF($BN$77="Grande Lisboa",$CD$41,IF($BN$77="Península de Setúbal",$CD$42,IF($BN$77="Alentejo",$CD$43,IF($BN$77="Algarve",$CD$44," ")))))))</f>
        <v>Grande Lisboa</v>
      </c>
      <c r="BN107" s="421" t="s">
        <v>552</v>
      </c>
      <c r="BR107" s="957" t="str">
        <f>CONCATENATE(BM94,CHAR(10),BM96,BN96,BO96,BN97,BO97,BN98,BM99,BM100,BM101,CHAR(10),"Esta NUTS II coincide com a NUTS III.")</f>
        <v>TCO
NUTS II Grande Lisboa: 956.374 (28,5% do Continente; 2ª região de 7)
Esta NUTS II coincide com a NUTS III.</v>
      </c>
      <c r="BS107" s="957"/>
      <c r="BT107" s="957"/>
      <c r="BU107" s="957"/>
      <c r="BV107" s="957"/>
      <c r="CG107" s="421" t="str">
        <f>IF($CH$77="Norte",$CZ$38,IF($CH$77="Centro",$CZ$39,IF($CH$77="Oeste e Vale do Tejo",$CZ$40,IF($CH$77="Grande Lisboa",$CZ$41,IF($CH$77="Península de Setúbal",$CZ$42,IF($CH$77="Alentejo",$CZ$43,IF($CH$77="Algarve",$CZ$44," ")))))))</f>
        <v>Grande Lisboa</v>
      </c>
      <c r="CH107" s="421" t="s">
        <v>552</v>
      </c>
      <c r="CL107" s="957" t="str">
        <f>CONCATENATE(CG94,CHAR(10),CG96,CH96,CI96,CH97,CI97,CH98,CG99,CG100,CG101,CHAR(10),"Esta NUTS II coincide com a NUTS III.")</f>
        <v>REMUNERAÇÃO GANHO
NUTS II Grande Lisboa: 1.936 euros (22,3% que no Continente; 1ª região de 7)
Esta NUTS II coincide com a NUTS III.</v>
      </c>
      <c r="CM107" s="957"/>
      <c r="CN107" s="957"/>
      <c r="CO107" s="957"/>
      <c r="CP107" s="957"/>
    </row>
    <row r="108" spans="1:97">
      <c r="AQ108" s="421">
        <f>IF($AR$77="Norte",$BH$38,IF($AR$77="Centro",$BH$39,IF($AR$77="Oeste e Vale do Tejo",$BH$40,IF($AR$77="Grande Lisboa",$BH$41,IF($AR$77="Península de Setúbal",$BH$42,IF($AR$77="Alentejo",$BH$43,IF($AR$77="Algarve",$BH$44," ")))))))</f>
        <v>69821</v>
      </c>
      <c r="AR108" s="421" t="str">
        <f>TEXT(AQ108,"##.###")</f>
        <v>69.821</v>
      </c>
      <c r="AS108" s="421" t="s">
        <v>464</v>
      </c>
      <c r="AV108" s="957"/>
      <c r="AW108" s="957"/>
      <c r="AX108" s="957"/>
      <c r="AY108" s="957"/>
      <c r="AZ108" s="957"/>
      <c r="BM108" s="421">
        <f>IF($BN$77="Norte",$CC$38,IF($BN$77="Centro",$CC$39,IF($BN$77="Oeste e Vale do Tejo",$CC$40,IF($BN$77="Grande Lisboa",$CC$41,IF($BN$77="Península de Setúbal",$CC$42,IF($BN$77="Alentejo",$CC$43,IF($BN$77="Algarve",$CC$44," ")))))))</f>
        <v>956373.99999999988</v>
      </c>
      <c r="BN108" s="421" t="str">
        <f>TEXT(BM108,"##.###")</f>
        <v>956.374</v>
      </c>
      <c r="BO108" s="421" t="s">
        <v>464</v>
      </c>
      <c r="BR108" s="957"/>
      <c r="BS108" s="957"/>
      <c r="BT108" s="957"/>
      <c r="BU108" s="957"/>
      <c r="BV108" s="957"/>
      <c r="CG108" s="421">
        <f>IF($CH$77="Norte",$CY$38,IF($CH$77="Centro",$CY$39,IF($CH$77="Oeste e Vale do Tejo",$CY$40,IF($CH$77="Grande Lisboa",$CY$41,IF($CH$77="Península de Setúbal",$CY$42,IF($CH$77="Alentejo",$CY$43,IF($CH$77="Algarve",$CY$44," ")))))))</f>
        <v>1935.68</v>
      </c>
      <c r="CH108" s="421" t="str">
        <f>TEXT(CG108,"##.###")</f>
        <v>1.936</v>
      </c>
      <c r="CI108" s="421" t="s">
        <v>300</v>
      </c>
      <c r="CL108" s="957"/>
      <c r="CM108" s="957"/>
      <c r="CN108" s="957"/>
      <c r="CO108" s="957"/>
      <c r="CP108" s="957"/>
    </row>
    <row r="109" spans="1:97">
      <c r="A109" s="422" t="s">
        <v>529</v>
      </c>
      <c r="D109" s="423"/>
      <c r="AQ109" s="421">
        <f>IF($AR$77="Norte",$BJ$38,IF($AR$77="Centro",$BJ$39,IF($AR$77="Oeste e Vale do Tejo",$BJ$40,IF($AR$77="Grande Lisboa",$BJ$41,IF($AR$77="Península de Setúbal",$BJ$42,IF($AR$77="Alentejo",$BJ$43,IF($AR$77="Algarve",$BJ$44," ")))))))</f>
        <v>100</v>
      </c>
      <c r="AR109" s="421" t="str">
        <f>TEXT(AQ109,"##.###,0")</f>
        <v>100,0</v>
      </c>
      <c r="AS109" s="421" t="s">
        <v>553</v>
      </c>
      <c r="AT109" s="421" t="str">
        <f>+AR96</f>
        <v>Grande Lisboa</v>
      </c>
      <c r="AU109" s="421" t="s">
        <v>397</v>
      </c>
      <c r="AV109" s="957"/>
      <c r="AW109" s="957"/>
      <c r="AX109" s="957"/>
      <c r="AY109" s="957"/>
      <c r="AZ109" s="957"/>
      <c r="BM109" s="421">
        <f>IF($BN$77="Norte",$CE$38,IF($BN$77="Centro",$CE$39,IF($BN$77="Oeste e Vale do Tejo",$CE$40,IF($BN$77="Grande Lisboa",$CE$41,IF($BN$77="Península de Setúbal",$CE$42,IF($BN$77="Alentejo",$CE$43,IF($BN$77="Algarve",$CE$44," ")))))))</f>
        <v>100</v>
      </c>
      <c r="BN109" s="421" t="str">
        <f>TEXT(BM109,"##.###,0")</f>
        <v>100,0</v>
      </c>
      <c r="BO109" s="421" t="s">
        <v>553</v>
      </c>
      <c r="BP109" s="421" t="str">
        <f>+BN96</f>
        <v>Grande Lisboa</v>
      </c>
      <c r="BQ109" s="421" t="s">
        <v>397</v>
      </c>
      <c r="BR109" s="957"/>
      <c r="BS109" s="957"/>
      <c r="BT109" s="957"/>
      <c r="BU109" s="957"/>
      <c r="BV109" s="957"/>
      <c r="CG109" s="421">
        <f>IF($CH$77="Norte",$DA$38,IF($CH$77="Centro",$DA$39,IF($CH$77="Oeste e Vale do Tejo",$DA$40,IF($CH$77="Grande Lisboa",$DA$41,IF($CH$77="Península de Setúbal",$DA$42,IF($CH$77="Alentejo",$DA$43,IF($CH$77="Algarve",$DA$44," ")))))))</f>
        <v>0</v>
      </c>
      <c r="CH109" s="421" t="str">
        <f>TEXT(CG109,"##.###,0")</f>
        <v>,0</v>
      </c>
      <c r="CI109" s="421" t="s">
        <v>563</v>
      </c>
      <c r="CJ109" s="421" t="s">
        <v>524</v>
      </c>
      <c r="CK109" s="421" t="s">
        <v>397</v>
      </c>
      <c r="CL109" s="957"/>
      <c r="CM109" s="957"/>
      <c r="CN109" s="957"/>
      <c r="CO109" s="957"/>
      <c r="CP109" s="957"/>
    </row>
    <row r="110" spans="1:97">
      <c r="A110" s="547" t="s">
        <v>205</v>
      </c>
      <c r="C110" s="422">
        <f>+'q12'!$B$4</f>
        <v>2014</v>
      </c>
      <c r="D110" s="422">
        <f>+'q12'!$C$4</f>
        <v>2015</v>
      </c>
      <c r="E110" s="422">
        <f>+'q12'!$D$4</f>
        <v>2016</v>
      </c>
      <c r="F110" s="422">
        <f>+'q12'!$E$4</f>
        <v>2017</v>
      </c>
      <c r="G110" s="422">
        <f>+'q12'!$F$4</f>
        <v>2018</v>
      </c>
      <c r="H110" s="422">
        <f>+'q12'!$G$4</f>
        <v>2019</v>
      </c>
      <c r="I110" s="422">
        <f>+'q12'!$H$4</f>
        <v>2020</v>
      </c>
      <c r="J110" s="422">
        <f>+'q12'!$I$4</f>
        <v>2021</v>
      </c>
      <c r="K110" s="422">
        <f>+'q12'!$J$4</f>
        <v>2022</v>
      </c>
      <c r="L110" s="422">
        <f>+'q12'!$K$4</f>
        <v>2023</v>
      </c>
      <c r="M110" s="422">
        <f>+'q12'!$L$4</f>
        <v>2024</v>
      </c>
      <c r="AU110" s="447"/>
      <c r="AV110" s="447"/>
      <c r="AW110" s="447"/>
      <c r="AX110" s="447"/>
      <c r="AY110" s="447"/>
      <c r="AZ110" s="447"/>
      <c r="BQ110" s="447"/>
      <c r="BR110" s="447"/>
      <c r="BS110" s="447"/>
      <c r="BT110" s="447"/>
      <c r="BU110" s="447"/>
      <c r="BV110" s="447"/>
      <c r="CL110" s="447"/>
      <c r="CM110" s="447"/>
      <c r="CN110" s="447"/>
      <c r="CO110" s="447"/>
      <c r="CP110" s="447"/>
    </row>
    <row r="111" spans="1:97">
      <c r="A111" s="422" t="s">
        <v>524</v>
      </c>
      <c r="B111" s="422" t="str">
        <f>+'q12'!$A$6</f>
        <v>Norte</v>
      </c>
      <c r="C111" s="433">
        <f>+'q12'!$B$6</f>
        <v>966786.99999999988</v>
      </c>
      <c r="D111" s="433">
        <f>+'q12'!$C$6</f>
        <v>1002830.9999999999</v>
      </c>
      <c r="E111" s="433">
        <f>+'q12'!$D$6</f>
        <v>1038348.9999999998</v>
      </c>
      <c r="F111" s="433">
        <f>+'q12'!$E$6</f>
        <v>1090049.0000000002</v>
      </c>
      <c r="G111" s="433">
        <f>+'q12'!$F$6</f>
        <v>1119718.0000000005</v>
      </c>
      <c r="H111" s="433">
        <f>+'q12'!$G$6</f>
        <v>1132969.9999999998</v>
      </c>
      <c r="I111" s="433">
        <f>+'q12'!$H$6</f>
        <v>1127589.9999999998</v>
      </c>
      <c r="J111" s="433">
        <f>+'q12'!$I$6</f>
        <v>1137435.9999999998</v>
      </c>
      <c r="K111" s="433">
        <f>+'q12'!$J$6</f>
        <v>1215310.0000000002</v>
      </c>
      <c r="L111" s="433">
        <f>+'q12'!$K$6</f>
        <v>1260100.0000000002</v>
      </c>
      <c r="M111" s="433">
        <f>+'q12'!$L$6</f>
        <v>1269596.0000000002</v>
      </c>
      <c r="AU111" s="447"/>
      <c r="AV111" s="447"/>
      <c r="AW111" s="447"/>
      <c r="AX111" s="447"/>
      <c r="AY111" s="447"/>
      <c r="AZ111" s="447"/>
      <c r="BQ111" s="447"/>
      <c r="BR111" s="447"/>
      <c r="BS111" s="447"/>
      <c r="BT111" s="447"/>
      <c r="BU111" s="447"/>
      <c r="BV111" s="447"/>
      <c r="CL111" s="447"/>
      <c r="CM111" s="447"/>
      <c r="CN111" s="447"/>
      <c r="CO111" s="447"/>
      <c r="CP111" s="447"/>
    </row>
    <row r="112" spans="1:97">
      <c r="A112" s="422"/>
      <c r="B112" s="422" t="str">
        <f>+'q12'!$A$15</f>
        <v>Centro</v>
      </c>
      <c r="C112" s="433">
        <f>+'q12'!$B$15</f>
        <v>416808.00000000023</v>
      </c>
      <c r="D112" s="433">
        <f>+'q12'!$C$15</f>
        <v>426185</v>
      </c>
      <c r="E112" s="433">
        <f>+'q12'!$D$15</f>
        <v>438938.99999999994</v>
      </c>
      <c r="F112" s="433">
        <f>+'q12'!$E$15</f>
        <v>455651.00000000006</v>
      </c>
      <c r="G112" s="433">
        <f>+'q12'!$F$15</f>
        <v>471228.00000000006</v>
      </c>
      <c r="H112" s="433">
        <f>+'q12'!$G$15</f>
        <v>474235.00000000012</v>
      </c>
      <c r="I112" s="433">
        <f>+'q12'!$H$15</f>
        <v>476406.00000000023</v>
      </c>
      <c r="J112" s="433">
        <f>+'q12'!$I$15</f>
        <v>477289.00000000006</v>
      </c>
      <c r="K112" s="433">
        <f>+'q12'!$J$15</f>
        <v>506309.99999999988</v>
      </c>
      <c r="L112" s="433">
        <f>+'q12'!$K$15</f>
        <v>524218.00000000012</v>
      </c>
      <c r="M112" s="433">
        <f>+'q12'!$L$15</f>
        <v>530374</v>
      </c>
      <c r="AU112" s="447"/>
      <c r="AV112" s="447"/>
      <c r="AW112" s="421" t="str">
        <f>IF($AR$77="Norte",$AV$100,IF($AR$77="Centro",$AV$100,IF($AR$77="Oeste e Vale do Tejo",$AV$100,IF($AR$77="Alentejo",$AV$100,$AV$107))))</f>
        <v>ESTABELECIMENTOS
NUTS II Grande Lisboa: 69.821 (20,7% do Continente; 2ª região de 7)
Esta NUTS II coincide com a NUTS III.</v>
      </c>
      <c r="AX112" s="447"/>
      <c r="AY112" s="447"/>
      <c r="AZ112" s="447"/>
      <c r="BQ112" s="447"/>
      <c r="BR112" s="447"/>
      <c r="BS112" s="421" t="str">
        <f>IF($BN$77="Norte",$BR$100,IF($BN$77="Centro",$BR$100,IF($BN$77="Oeste e Vale do Tejo",$BR$100,IF($BN$77="Alentejo",$BR$100,$BR$107))))</f>
        <v>TCO
NUTS II Grande Lisboa: 956.374 (28,5% do Continente; 2ª região de 7)
Esta NUTS II coincide com a NUTS III.</v>
      </c>
      <c r="BT112" s="447"/>
      <c r="BU112" s="447"/>
      <c r="BV112" s="447"/>
      <c r="CL112" s="447"/>
      <c r="CM112" s="421" t="str">
        <f>IF($CH$77="Norte",$CL$100,IF($CH$77="Centro",$CL$100,IF($CH$77="Oeste e Vale do Tejo",$CL$100,IF($CH$77="Alentejo",$CL$100,$CL$107))))</f>
        <v>REMUNERAÇÃO GANHO
NUTS II Grande Lisboa: 1.936 euros (22,3% que no Continente; 1ª região de 7)
Esta NUTS II coincide com a NUTS III.</v>
      </c>
      <c r="CN112" s="447"/>
      <c r="CO112" s="447"/>
      <c r="CP112" s="447"/>
    </row>
    <row r="113" spans="1:93">
      <c r="A113" s="422"/>
      <c r="B113" s="422" t="str">
        <f>+'q12'!$A$22</f>
        <v>Oeste e Vale do Tejo</v>
      </c>
      <c r="C113" s="433">
        <f>+'q12'!$B$22</f>
        <v>187163.99999999997</v>
      </c>
      <c r="D113" s="433">
        <f>+'q12'!$C$22</f>
        <v>191426.99999999997</v>
      </c>
      <c r="E113" s="433">
        <f>+'q12'!$D$22</f>
        <v>195958</v>
      </c>
      <c r="F113" s="433">
        <f>+'q12'!$E$22</f>
        <v>207117.99999999994</v>
      </c>
      <c r="G113" s="433">
        <f>+'q12'!$F$22</f>
        <v>218361</v>
      </c>
      <c r="H113" s="433">
        <f>+'q12'!$G$22</f>
        <v>222503.00000000012</v>
      </c>
      <c r="I113" s="433">
        <f>+'q12'!$H$22</f>
        <v>222503</v>
      </c>
      <c r="J113" s="433">
        <f>+'q12'!$I$22</f>
        <v>220224.99999999991</v>
      </c>
      <c r="K113" s="433">
        <f>+'q12'!$J$22</f>
        <v>233662.99999999994</v>
      </c>
      <c r="L113" s="433">
        <f>+'q12'!$K$22</f>
        <v>244696.99999999994</v>
      </c>
      <c r="M113" s="433">
        <f>+'q12'!$L$22</f>
        <v>249048</v>
      </c>
      <c r="AU113" s="447"/>
      <c r="AV113" s="447"/>
      <c r="AW113" s="447"/>
      <c r="AX113" s="447"/>
      <c r="AY113" s="447"/>
      <c r="AZ113" s="447"/>
    </row>
    <row r="114" spans="1:93">
      <c r="A114" s="422"/>
      <c r="B114" s="422" t="str">
        <f>+'q12'!$A$26</f>
        <v>Grande Lisboa</v>
      </c>
      <c r="C114" s="433">
        <f>+'q12'!$B$26</f>
        <v>715126</v>
      </c>
      <c r="D114" s="433">
        <f>+'q12'!$C$26</f>
        <v>730551</v>
      </c>
      <c r="E114" s="433">
        <f>+'q12'!$D$26</f>
        <v>765222</v>
      </c>
      <c r="F114" s="433">
        <f>+'q12'!$E$26</f>
        <v>790694</v>
      </c>
      <c r="G114" s="433">
        <f>+'q12'!$F$26</f>
        <v>826919</v>
      </c>
      <c r="H114" s="433">
        <f>+'q12'!$G$26</f>
        <v>845336</v>
      </c>
      <c r="I114" s="433">
        <f>+'q12'!$H$26</f>
        <v>835460</v>
      </c>
      <c r="J114" s="433">
        <f>+'q12'!$I$26</f>
        <v>838586</v>
      </c>
      <c r="K114" s="433">
        <f>+'q12'!$J$26</f>
        <v>915180</v>
      </c>
      <c r="L114" s="433">
        <f>+'q12'!$K$26</f>
        <v>969558</v>
      </c>
      <c r="M114" s="433">
        <f>+'q12'!$L$26</f>
        <v>996445</v>
      </c>
      <c r="AW114" s="447"/>
    </row>
    <row r="115" spans="1:93">
      <c r="A115" s="422"/>
      <c r="B115" s="422" t="str">
        <f>+'q12'!$A$27</f>
        <v>Península de Setúbal</v>
      </c>
      <c r="C115" s="433">
        <f>+'q12'!$B$27</f>
        <v>129592</v>
      </c>
      <c r="D115" s="433">
        <f>+'q12'!$C$27</f>
        <v>132359</v>
      </c>
      <c r="E115" s="433">
        <f>+'q12'!$D$27</f>
        <v>135968</v>
      </c>
      <c r="F115" s="433">
        <f>+'q12'!$E$27</f>
        <v>143619</v>
      </c>
      <c r="G115" s="433">
        <f>+'q12'!$F$27</f>
        <v>152137</v>
      </c>
      <c r="H115" s="433">
        <f>+'q12'!$G$27</f>
        <v>155943</v>
      </c>
      <c r="I115" s="433">
        <f>+'q12'!$H$27</f>
        <v>156000</v>
      </c>
      <c r="J115" s="433">
        <f>+'q12'!$I$27</f>
        <v>157437</v>
      </c>
      <c r="K115" s="433">
        <f>+'q12'!$J$27</f>
        <v>168606.00000000003</v>
      </c>
      <c r="L115" s="433">
        <f>+'q12'!$K$27</f>
        <v>173313</v>
      </c>
      <c r="M115" s="433">
        <f>+'q12'!$L$27</f>
        <v>177662</v>
      </c>
      <c r="AR115" s="422"/>
    </row>
    <row r="116" spans="1:93">
      <c r="A116" s="422"/>
      <c r="B116" s="422" t="str">
        <f>+'q12'!$A$28</f>
        <v>Alentejo</v>
      </c>
      <c r="C116" s="433">
        <f>+'q12'!$B$28</f>
        <v>101944.99999999997</v>
      </c>
      <c r="D116" s="433">
        <f>+'q12'!$C$28</f>
        <v>105678.00000000003</v>
      </c>
      <c r="E116" s="433">
        <f>+'q12'!$D$28</f>
        <v>109694</v>
      </c>
      <c r="F116" s="433">
        <f>+'q12'!$E$28</f>
        <v>114002.00000000001</v>
      </c>
      <c r="G116" s="433">
        <f>+'q12'!$F$28</f>
        <v>117709.00000000001</v>
      </c>
      <c r="H116" s="433">
        <f>+'q12'!$G$28</f>
        <v>119673.99999999999</v>
      </c>
      <c r="I116" s="433">
        <f>+'q12'!$H$28</f>
        <v>122938.99999999997</v>
      </c>
      <c r="J116" s="433">
        <f>+'q12'!$I$28</f>
        <v>122965.99999999997</v>
      </c>
      <c r="K116" s="433">
        <f>+'q12'!$J$28</f>
        <v>132510.00000000003</v>
      </c>
      <c r="L116" s="433">
        <f>+'q12'!$K$28</f>
        <v>139263</v>
      </c>
      <c r="M116" s="433">
        <f>+'q12'!$L$28</f>
        <v>137731</v>
      </c>
      <c r="AU116" s="447"/>
      <c r="AV116" s="447"/>
      <c r="AW116" s="447"/>
      <c r="AX116" s="447"/>
      <c r="AY116" s="447"/>
      <c r="AZ116" s="447"/>
    </row>
    <row r="117" spans="1:93">
      <c r="A117" s="422"/>
      <c r="B117" s="422" t="str">
        <f>+'q12'!$A$33</f>
        <v>Algarve</v>
      </c>
      <c r="C117" s="433">
        <f>+'q12'!$B$33</f>
        <v>119459</v>
      </c>
      <c r="D117" s="433">
        <f>+'q12'!$C$33</f>
        <v>126979.99999999999</v>
      </c>
      <c r="E117" s="433">
        <f>+'q12'!$D$33</f>
        <v>135848.00000000003</v>
      </c>
      <c r="F117" s="433">
        <f>+'q12'!$E$33</f>
        <v>145770.00000000003</v>
      </c>
      <c r="G117" s="433">
        <f>+'q12'!$F$33</f>
        <v>154417</v>
      </c>
      <c r="H117" s="433">
        <f>+'q12'!$G$33</f>
        <v>160288</v>
      </c>
      <c r="I117" s="433">
        <f>+'q12'!$H$33</f>
        <v>144667.99999999997</v>
      </c>
      <c r="J117" s="433">
        <f>+'q12'!$I$33</f>
        <v>148406</v>
      </c>
      <c r="K117" s="433">
        <f>+'q12'!$J$33</f>
        <v>165503</v>
      </c>
      <c r="L117" s="433">
        <f>+'q12'!$K$33</f>
        <v>178434</v>
      </c>
      <c r="M117" s="433">
        <f>+'q12'!$L$33</f>
        <v>184098.99999999997</v>
      </c>
      <c r="AU117" s="447"/>
      <c r="AV117" s="447"/>
      <c r="AW117" s="447"/>
      <c r="AX117" s="447"/>
      <c r="AY117" s="447"/>
      <c r="AZ117" s="447"/>
    </row>
    <row r="118" spans="1:93">
      <c r="B118" s="422" t="s">
        <v>13</v>
      </c>
      <c r="C118" s="433">
        <f>+'q12'!$B$5</f>
        <v>2636881</v>
      </c>
      <c r="D118" s="433">
        <f>+'q12'!$C$5</f>
        <v>2716011</v>
      </c>
      <c r="E118" s="433">
        <f>+'q12'!$D$5</f>
        <v>2819978</v>
      </c>
      <c r="F118" s="433">
        <f>+'q12'!$E$5</f>
        <v>2946903</v>
      </c>
      <c r="G118" s="433">
        <f>+'q12'!$F$5</f>
        <v>3060489</v>
      </c>
      <c r="H118" s="433">
        <f>+'q12'!$G$5</f>
        <v>3110949</v>
      </c>
      <c r="I118" s="433">
        <f>+'q12'!$H$5</f>
        <v>3085566</v>
      </c>
      <c r="J118" s="433">
        <f>+'q12'!$I$5</f>
        <v>3102345</v>
      </c>
      <c r="K118" s="433">
        <f>+'q12'!$J$5</f>
        <v>3337082</v>
      </c>
      <c r="L118" s="433">
        <f>+'q12'!$K$5</f>
        <v>3489582.9999999995</v>
      </c>
      <c r="M118" s="433">
        <f>+'q12'!$L$5</f>
        <v>3544955.0000000019</v>
      </c>
      <c r="AU118" s="447"/>
      <c r="AV118" s="447"/>
      <c r="AW118" s="447"/>
      <c r="AX118" s="447"/>
      <c r="AY118" s="447"/>
      <c r="AZ118" s="447"/>
    </row>
    <row r="119" spans="1:93">
      <c r="B119" s="422"/>
      <c r="C119" s="433"/>
      <c r="D119" s="433"/>
      <c r="E119" s="433"/>
      <c r="F119" s="433"/>
      <c r="G119" s="433"/>
      <c r="H119" s="433"/>
      <c r="I119" s="433"/>
      <c r="J119" s="433"/>
      <c r="K119" s="433"/>
      <c r="L119" s="433"/>
      <c r="M119" s="433"/>
      <c r="AU119" s="447"/>
      <c r="AV119" s="447"/>
      <c r="AW119" s="447"/>
      <c r="AX119" s="447"/>
      <c r="AY119" s="447"/>
      <c r="AZ119" s="447"/>
    </row>
    <row r="120" spans="1:93">
      <c r="C120" s="422">
        <f>+C110</f>
        <v>2014</v>
      </c>
      <c r="D120" s="422">
        <f t="shared" ref="D120:M120" si="63">+D110</f>
        <v>2015</v>
      </c>
      <c r="E120" s="422">
        <f t="shared" si="63"/>
        <v>2016</v>
      </c>
      <c r="F120" s="422">
        <f t="shared" si="63"/>
        <v>2017</v>
      </c>
      <c r="G120" s="422">
        <f t="shared" si="63"/>
        <v>2018</v>
      </c>
      <c r="H120" s="422">
        <f t="shared" si="63"/>
        <v>2019</v>
      </c>
      <c r="I120" s="422">
        <f t="shared" si="63"/>
        <v>2020</v>
      </c>
      <c r="J120" s="422">
        <f t="shared" si="63"/>
        <v>2021</v>
      </c>
      <c r="K120" s="422">
        <f t="shared" si="63"/>
        <v>2022</v>
      </c>
      <c r="L120" s="422">
        <f t="shared" si="63"/>
        <v>2023</v>
      </c>
      <c r="M120" s="422">
        <f t="shared" si="63"/>
        <v>2024</v>
      </c>
      <c r="AU120" s="447"/>
      <c r="AV120" s="447"/>
      <c r="AW120" s="447"/>
      <c r="AX120" s="447"/>
      <c r="AY120" s="447"/>
      <c r="AZ120" s="447"/>
    </row>
    <row r="121" spans="1:93">
      <c r="A121" s="422" t="s">
        <v>525</v>
      </c>
      <c r="B121" s="422" t="str">
        <f>+'q12'!$A$7</f>
        <v>Alto Minho</v>
      </c>
      <c r="C121" s="433">
        <f>+'q12'!$B$7</f>
        <v>54568</v>
      </c>
      <c r="D121" s="433">
        <f>+'q12'!$C$7</f>
        <v>56865</v>
      </c>
      <c r="E121" s="433">
        <f>+'q12'!$D$7</f>
        <v>57001</v>
      </c>
      <c r="F121" s="433">
        <f>+'q12'!$E$7</f>
        <v>59646</v>
      </c>
      <c r="G121" s="433">
        <f>+'q12'!$F$7</f>
        <v>62987.000000000007</v>
      </c>
      <c r="H121" s="433">
        <f>+'q12'!$G$7</f>
        <v>63449</v>
      </c>
      <c r="I121" s="433">
        <f>+'q12'!$H$7</f>
        <v>64864</v>
      </c>
      <c r="J121" s="433">
        <f>+'q12'!$I$7</f>
        <v>65112</v>
      </c>
      <c r="K121" s="433">
        <f>+'q12'!$J$7</f>
        <v>68558</v>
      </c>
      <c r="L121" s="433">
        <f>+'q12'!$K$7</f>
        <v>72633</v>
      </c>
      <c r="M121" s="433">
        <f>+'q12'!$L$7</f>
        <v>73222</v>
      </c>
      <c r="AU121" s="447"/>
      <c r="AV121" s="447"/>
      <c r="AW121" s="447"/>
      <c r="AX121" s="447"/>
      <c r="AY121" s="447"/>
      <c r="AZ121" s="447"/>
      <c r="CJ121" s="589"/>
      <c r="CK121" s="589"/>
      <c r="CL121" s="589"/>
      <c r="CM121" s="589"/>
      <c r="CN121" s="589"/>
      <c r="CO121" s="589"/>
    </row>
    <row r="122" spans="1:93">
      <c r="A122" s="422"/>
      <c r="B122" s="422" t="str">
        <f>+'q12'!$A$8</f>
        <v>Cávado</v>
      </c>
      <c r="C122" s="433">
        <f>+'q12'!$B$8</f>
        <v>112832.00000000001</v>
      </c>
      <c r="D122" s="433">
        <f>+'q12'!$C$8</f>
        <v>116890</v>
      </c>
      <c r="E122" s="433">
        <f>+'q12'!$D$8</f>
        <v>122550</v>
      </c>
      <c r="F122" s="433">
        <f>+'q12'!$E$8</f>
        <v>129416</v>
      </c>
      <c r="G122" s="433">
        <f>+'q12'!$F$8</f>
        <v>135825</v>
      </c>
      <c r="H122" s="433">
        <f>+'q12'!$G$8</f>
        <v>139055</v>
      </c>
      <c r="I122" s="433">
        <f>+'q12'!$H$8</f>
        <v>138839</v>
      </c>
      <c r="J122" s="433">
        <f>+'q12'!$I$8</f>
        <v>141395</v>
      </c>
      <c r="K122" s="433">
        <f>+'q12'!$J$8</f>
        <v>153121</v>
      </c>
      <c r="L122" s="433">
        <f>+'q12'!$K$8</f>
        <v>160086</v>
      </c>
      <c r="M122" s="433">
        <f>+'q12'!$L$8</f>
        <v>160991</v>
      </c>
      <c r="AU122" s="447"/>
      <c r="AV122" s="447"/>
      <c r="AW122" s="447"/>
      <c r="AX122" s="447"/>
      <c r="AY122" s="447"/>
      <c r="AZ122" s="447"/>
      <c r="CJ122" s="589"/>
      <c r="CK122" s="589"/>
      <c r="CL122" s="589"/>
      <c r="CM122" s="589"/>
      <c r="CN122" s="589"/>
      <c r="CO122" s="589"/>
    </row>
    <row r="123" spans="1:93">
      <c r="A123" s="422"/>
      <c r="B123" s="422" t="str">
        <f>+'q12'!$A$9</f>
        <v>Ave</v>
      </c>
      <c r="C123" s="433">
        <f>+'q12'!$B$9</f>
        <v>125966</v>
      </c>
      <c r="D123" s="433">
        <f>+'q12'!$C$9</f>
        <v>131033.00000000001</v>
      </c>
      <c r="E123" s="433">
        <f>+'q12'!$D$9</f>
        <v>136891</v>
      </c>
      <c r="F123" s="433">
        <f>+'q12'!$E$9</f>
        <v>141727</v>
      </c>
      <c r="G123" s="433">
        <f>+'q12'!$F$9</f>
        <v>145043</v>
      </c>
      <c r="H123" s="433">
        <f>+'q12'!$G$9</f>
        <v>138907.99999999997</v>
      </c>
      <c r="I123" s="433">
        <f>+'q12'!$H$9</f>
        <v>141053.99999999997</v>
      </c>
      <c r="J123" s="433">
        <f>+'q12'!$I$9</f>
        <v>141116.99999999997</v>
      </c>
      <c r="K123" s="433">
        <f>+'q12'!$J$9</f>
        <v>149246</v>
      </c>
      <c r="L123" s="433">
        <f>+'q12'!$K$9</f>
        <v>150333</v>
      </c>
      <c r="M123" s="433">
        <f>+'q12'!$L$9</f>
        <v>149150.00000000003</v>
      </c>
      <c r="CJ123" s="589"/>
      <c r="CK123" s="589"/>
      <c r="CL123" s="589"/>
      <c r="CM123" s="589"/>
      <c r="CN123" s="589"/>
      <c r="CO123" s="589"/>
    </row>
    <row r="124" spans="1:93">
      <c r="A124" s="422"/>
      <c r="B124" s="422" t="str">
        <f>+'q12'!$A$10</f>
        <v>Área Metropolitana do Porto</v>
      </c>
      <c r="C124" s="433">
        <f>+'q12'!$B$10</f>
        <v>501063.99999999994</v>
      </c>
      <c r="D124" s="433">
        <f>+'q12'!$C$10</f>
        <v>519452</v>
      </c>
      <c r="E124" s="433">
        <f>+'q12'!$D$10</f>
        <v>537773</v>
      </c>
      <c r="F124" s="433">
        <f>+'q12'!$E$10</f>
        <v>569098</v>
      </c>
      <c r="G124" s="433">
        <f>+'q12'!$F$10</f>
        <v>581232</v>
      </c>
      <c r="H124" s="433">
        <f>+'q12'!$G$10</f>
        <v>596772</v>
      </c>
      <c r="I124" s="433">
        <f>+'q12'!$H$10</f>
        <v>586860.00000000012</v>
      </c>
      <c r="J124" s="433">
        <f>+'q12'!$I$10</f>
        <v>588688</v>
      </c>
      <c r="K124" s="433">
        <f>+'q12'!$J$10</f>
        <v>633694</v>
      </c>
      <c r="L124" s="433">
        <f>+'q12'!$K$10</f>
        <v>658882.00000000012</v>
      </c>
      <c r="M124" s="433">
        <f>+'q12'!$L$10</f>
        <v>666772</v>
      </c>
      <c r="CJ124" s="589"/>
      <c r="CK124" s="589"/>
      <c r="CL124" s="589"/>
      <c r="CM124" s="589"/>
      <c r="CN124" s="589"/>
      <c r="CO124" s="589"/>
    </row>
    <row r="125" spans="1:93">
      <c r="A125" s="422"/>
      <c r="B125" s="422" t="str">
        <f>+'q12'!$A$11</f>
        <v>Alto Tâmega e Barroso</v>
      </c>
      <c r="C125" s="433">
        <f>+'q12'!$B$11</f>
        <v>12481</v>
      </c>
      <c r="D125" s="433">
        <f>+'q12'!$C$11</f>
        <v>12990</v>
      </c>
      <c r="E125" s="433">
        <f>+'q12'!$D$11</f>
        <v>13302</v>
      </c>
      <c r="F125" s="433">
        <f>+'q12'!$E$11</f>
        <v>14461</v>
      </c>
      <c r="G125" s="433">
        <f>+'q12'!$F$11</f>
        <v>14799</v>
      </c>
      <c r="H125" s="433">
        <f>+'q12'!$G$11</f>
        <v>15061.000000000002</v>
      </c>
      <c r="I125" s="433">
        <f>+'q12'!$H$11</f>
        <v>14649</v>
      </c>
      <c r="J125" s="433">
        <f>+'q12'!$I$11</f>
        <v>14857.000000000002</v>
      </c>
      <c r="K125" s="433">
        <f>+'q12'!$J$11</f>
        <v>15757.000000000002</v>
      </c>
      <c r="L125" s="433">
        <f>+'q12'!$K$11</f>
        <v>16238</v>
      </c>
      <c r="M125" s="433">
        <f>+'q12'!$L$11</f>
        <v>17027</v>
      </c>
      <c r="CJ125" s="589"/>
      <c r="CK125" s="589"/>
      <c r="CL125" s="589"/>
      <c r="CM125" s="589"/>
      <c r="CN125" s="589"/>
      <c r="CO125" s="589"/>
    </row>
    <row r="126" spans="1:93">
      <c r="A126" s="422"/>
      <c r="B126" s="422" t="str">
        <f>+'q12'!$A$12</f>
        <v>Tâmega e Sousa</v>
      </c>
      <c r="C126" s="433">
        <f>+'q12'!$B$12</f>
        <v>109577</v>
      </c>
      <c r="D126" s="433">
        <f>+'q12'!$C$12</f>
        <v>113797.99999999999</v>
      </c>
      <c r="E126" s="433">
        <f>+'q12'!$D$12</f>
        <v>117764.99999999999</v>
      </c>
      <c r="F126" s="433">
        <f>+'q12'!$E$12</f>
        <v>121423</v>
      </c>
      <c r="G126" s="433">
        <f>+'q12'!$F$12</f>
        <v>124176</v>
      </c>
      <c r="H126" s="433">
        <f>+'q12'!$G$12</f>
        <v>123941</v>
      </c>
      <c r="I126" s="433">
        <f>+'q12'!$H$12</f>
        <v>124025</v>
      </c>
      <c r="J126" s="433">
        <f>+'q12'!$I$12</f>
        <v>127874.00000000001</v>
      </c>
      <c r="K126" s="433">
        <f>+'q12'!$J$12</f>
        <v>134241</v>
      </c>
      <c r="L126" s="433">
        <f>+'q12'!$K$12</f>
        <v>138339</v>
      </c>
      <c r="M126" s="433">
        <f>+'q12'!$L$12</f>
        <v>137932</v>
      </c>
      <c r="CJ126" s="589"/>
      <c r="CK126" s="589"/>
      <c r="CL126" s="589"/>
      <c r="CM126" s="589"/>
      <c r="CN126" s="589"/>
      <c r="CO126" s="589"/>
    </row>
    <row r="127" spans="1:93">
      <c r="A127" s="422"/>
      <c r="B127" s="422" t="str">
        <f>+'q12'!$A$13</f>
        <v>Douro</v>
      </c>
      <c r="C127" s="433">
        <f>+'q12'!$B$13</f>
        <v>32882.000000000007</v>
      </c>
      <c r="D127" s="433">
        <f>+'q12'!$C$13</f>
        <v>33847</v>
      </c>
      <c r="E127" s="433">
        <f>+'q12'!$D$13</f>
        <v>34594.999999999993</v>
      </c>
      <c r="F127" s="433">
        <f>+'q12'!$E$13</f>
        <v>35335</v>
      </c>
      <c r="G127" s="433">
        <f>+'q12'!$F$13</f>
        <v>36289.000000000007</v>
      </c>
      <c r="H127" s="433">
        <f>+'q12'!$G$13</f>
        <v>36417</v>
      </c>
      <c r="I127" s="433">
        <f>+'q12'!$H$13</f>
        <v>37413</v>
      </c>
      <c r="J127" s="433">
        <f>+'q12'!$I$13</f>
        <v>38175.000000000015</v>
      </c>
      <c r="K127" s="433">
        <f>+'q12'!$J$13</f>
        <v>40025.000000000007</v>
      </c>
      <c r="L127" s="433">
        <f>+'q12'!$K$13</f>
        <v>42126.999999999993</v>
      </c>
      <c r="M127" s="433">
        <f>+'q12'!$L$13</f>
        <v>42955</v>
      </c>
      <c r="CJ127" s="589"/>
      <c r="CK127" s="589"/>
      <c r="CL127" s="589"/>
      <c r="CM127" s="589"/>
      <c r="CN127" s="589"/>
      <c r="CO127" s="589"/>
    </row>
    <row r="128" spans="1:93">
      <c r="A128" s="422"/>
      <c r="B128" s="422" t="str">
        <f>+'q12'!$A$14</f>
        <v>Terras de Trás-os-Montes</v>
      </c>
      <c r="C128" s="433">
        <f>+'q12'!$B$14</f>
        <v>17417</v>
      </c>
      <c r="D128" s="433">
        <f>+'q12'!$C$14</f>
        <v>17956.000000000004</v>
      </c>
      <c r="E128" s="433">
        <f>+'q12'!$D$14</f>
        <v>18472</v>
      </c>
      <c r="F128" s="433">
        <f>+'q12'!$E$14</f>
        <v>18943</v>
      </c>
      <c r="G128" s="433">
        <f>+'q12'!$F$14</f>
        <v>19367.000000000004</v>
      </c>
      <c r="H128" s="433">
        <f>+'q12'!$G$14</f>
        <v>19367</v>
      </c>
      <c r="I128" s="433">
        <f>+'q12'!$H$14</f>
        <v>19886</v>
      </c>
      <c r="J128" s="433">
        <f>+'q12'!$I$14</f>
        <v>20217.999999999996</v>
      </c>
      <c r="K128" s="433">
        <f>+'q12'!$J$14</f>
        <v>20667.999999999996</v>
      </c>
      <c r="L128" s="433">
        <f>+'q12'!$K$14</f>
        <v>21461.999999999993</v>
      </c>
      <c r="M128" s="433">
        <f>+'q12'!$L$14</f>
        <v>21547</v>
      </c>
    </row>
    <row r="129" spans="1:52">
      <c r="A129" s="422"/>
      <c r="B129" s="422" t="str">
        <f>+'q12'!$A$16</f>
        <v>Região de Aveiro</v>
      </c>
      <c r="C129" s="433">
        <f>+'q12'!$B$16</f>
        <v>105834</v>
      </c>
      <c r="D129" s="433">
        <f>+'q12'!$C$16</f>
        <v>108508</v>
      </c>
      <c r="E129" s="433">
        <f>+'q12'!$D$16</f>
        <v>114017</v>
      </c>
      <c r="F129" s="433">
        <f>+'q12'!$E$16</f>
        <v>118713.00000000001</v>
      </c>
      <c r="G129" s="433">
        <f>+'q12'!$F$16</f>
        <v>125109.00000000001</v>
      </c>
      <c r="H129" s="433">
        <f>+'q12'!$G$16</f>
        <v>126163.00000000001</v>
      </c>
      <c r="I129" s="433">
        <f>+'q12'!$H$16</f>
        <v>127075</v>
      </c>
      <c r="J129" s="433">
        <f>+'q12'!$I$16</f>
        <v>124894</v>
      </c>
      <c r="K129" s="433">
        <f>+'q12'!$J$16</f>
        <v>135023</v>
      </c>
      <c r="L129" s="433">
        <f>+'q12'!$K$16</f>
        <v>139483</v>
      </c>
      <c r="M129" s="433">
        <f>+'q12'!$L$16</f>
        <v>139173</v>
      </c>
    </row>
    <row r="130" spans="1:52">
      <c r="A130" s="422"/>
      <c r="B130" s="422" t="str">
        <f>+'q12'!$A$17</f>
        <v>Região de Coimbra</v>
      </c>
      <c r="C130" s="433">
        <f>+'q12'!$B$17</f>
        <v>98821</v>
      </c>
      <c r="D130" s="433">
        <f>+'q12'!$C$17</f>
        <v>101551</v>
      </c>
      <c r="E130" s="433">
        <f>+'q12'!$D$17</f>
        <v>103167.00000000001</v>
      </c>
      <c r="F130" s="433">
        <f>+'q12'!$E$17</f>
        <v>107820.00000000001</v>
      </c>
      <c r="G130" s="433">
        <f>+'q12'!$F$17</f>
        <v>109081.99999999999</v>
      </c>
      <c r="H130" s="433">
        <f>+'q12'!$G$17</f>
        <v>110360.99999999999</v>
      </c>
      <c r="I130" s="433">
        <f>+'q12'!$H$17</f>
        <v>111631.00000000001</v>
      </c>
      <c r="J130" s="433">
        <f>+'q12'!$I$17</f>
        <v>111741.99999999999</v>
      </c>
      <c r="K130" s="433">
        <f>+'q12'!$J$17</f>
        <v>119330.00000000001</v>
      </c>
      <c r="L130" s="433">
        <f>+'q12'!$K$17</f>
        <v>122152</v>
      </c>
      <c r="M130" s="433">
        <f>+'q12'!$L$17</f>
        <v>125294.99999999997</v>
      </c>
    </row>
    <row r="131" spans="1:52">
      <c r="A131" s="422"/>
      <c r="B131" s="422" t="str">
        <f>+'q12'!$A$18</f>
        <v>Região de Leiria</v>
      </c>
      <c r="C131" s="433">
        <f>+'q12'!$B$18</f>
        <v>88098.000000000015</v>
      </c>
      <c r="D131" s="433">
        <f>+'q12'!$C$18</f>
        <v>90173</v>
      </c>
      <c r="E131" s="433">
        <f>+'q12'!$D$18</f>
        <v>93302</v>
      </c>
      <c r="F131" s="433">
        <f>+'q12'!$E$18</f>
        <v>96838</v>
      </c>
      <c r="G131" s="433">
        <f>+'q12'!$F$18</f>
        <v>98908</v>
      </c>
      <c r="H131" s="433">
        <f>+'q12'!$G$18</f>
        <v>99524.000000000015</v>
      </c>
      <c r="I131" s="433">
        <f>+'q12'!$H$18</f>
        <v>99673</v>
      </c>
      <c r="J131" s="433">
        <f>+'q12'!$I$18</f>
        <v>101975</v>
      </c>
      <c r="K131" s="433">
        <f>+'q12'!$J$18</f>
        <v>105680</v>
      </c>
      <c r="L131" s="433">
        <f>+'q12'!$K$18</f>
        <v>109519</v>
      </c>
      <c r="M131" s="433">
        <f>+'q12'!$L$18</f>
        <v>111125.99999999999</v>
      </c>
    </row>
    <row r="132" spans="1:52">
      <c r="A132" s="422"/>
      <c r="B132" s="422" t="str">
        <f>+'q12'!$A$19</f>
        <v>Viseu Dão Lafões</v>
      </c>
      <c r="C132" s="433">
        <f>+'q12'!$B$19</f>
        <v>59194.999999999985</v>
      </c>
      <c r="D132" s="433">
        <f>+'q12'!$C$19</f>
        <v>60825.999999999993</v>
      </c>
      <c r="E132" s="433">
        <f>+'q12'!$D$19</f>
        <v>62720.000000000015</v>
      </c>
      <c r="F132" s="433">
        <f>+'q12'!$E$19</f>
        <v>65047.999999999993</v>
      </c>
      <c r="G132" s="433">
        <f>+'q12'!$F$19</f>
        <v>68123</v>
      </c>
      <c r="H132" s="433">
        <f>+'q12'!$G$19</f>
        <v>69618</v>
      </c>
      <c r="I132" s="433">
        <f>+'q12'!$H$19</f>
        <v>69458</v>
      </c>
      <c r="J132" s="433">
        <f>+'q12'!$I$19</f>
        <v>69853</v>
      </c>
      <c r="K132" s="433">
        <f>+'q12'!$J$19</f>
        <v>74206</v>
      </c>
      <c r="L132" s="433">
        <f>+'q12'!$K$19</f>
        <v>77276</v>
      </c>
      <c r="M132" s="433">
        <f>+'q12'!$L$19</f>
        <v>79469</v>
      </c>
    </row>
    <row r="133" spans="1:52">
      <c r="A133" s="422"/>
      <c r="B133" s="422" t="str">
        <f>+'q12'!$A$20</f>
        <v>Beira Baixa</v>
      </c>
      <c r="C133" s="433">
        <f>+'q12'!$B$20</f>
        <v>20702</v>
      </c>
      <c r="D133" s="433">
        <f>+'q12'!$C$20</f>
        <v>20362</v>
      </c>
      <c r="E133" s="433">
        <f>+'q12'!$D$20</f>
        <v>20449</v>
      </c>
      <c r="F133" s="433">
        <f>+'q12'!$E$20</f>
        <v>20492</v>
      </c>
      <c r="G133" s="433">
        <f>+'q12'!$F$20</f>
        <v>22102</v>
      </c>
      <c r="H133" s="433">
        <f>+'q12'!$G$20</f>
        <v>21918</v>
      </c>
      <c r="I133" s="433">
        <f>+'q12'!$H$20</f>
        <v>21929</v>
      </c>
      <c r="J133" s="433">
        <f>+'q12'!$I$20</f>
        <v>21615</v>
      </c>
      <c r="K133" s="433">
        <f>+'q12'!$J$20</f>
        <v>22628</v>
      </c>
      <c r="L133" s="433">
        <f>+'q12'!$K$20</f>
        <v>23604</v>
      </c>
      <c r="M133" s="433">
        <f>+'q12'!$L$20</f>
        <v>23660</v>
      </c>
    </row>
    <row r="134" spans="1:52">
      <c r="A134" s="422"/>
      <c r="B134" s="422" t="str">
        <f>+'q12'!$A$21</f>
        <v>Beiras e Serra da Estrela</v>
      </c>
      <c r="C134" s="433">
        <f>+'q12'!$B$21</f>
        <v>44158</v>
      </c>
      <c r="D134" s="433">
        <f>+'q12'!$C$21</f>
        <v>44765</v>
      </c>
      <c r="E134" s="433">
        <f>+'q12'!$D$21</f>
        <v>45284</v>
      </c>
      <c r="F134" s="433">
        <f>+'q12'!$E$21</f>
        <v>46740.000000000007</v>
      </c>
      <c r="G134" s="433">
        <f>+'q12'!$F$21</f>
        <v>47904</v>
      </c>
      <c r="H134" s="433">
        <f>+'q12'!$G$21</f>
        <v>46651</v>
      </c>
      <c r="I134" s="433">
        <f>+'q12'!$H$21</f>
        <v>46640</v>
      </c>
      <c r="J134" s="433">
        <f>+'q12'!$I$21</f>
        <v>47210</v>
      </c>
      <c r="K134" s="433">
        <f>+'q12'!$J$21</f>
        <v>49443</v>
      </c>
      <c r="L134" s="433">
        <f>+'q12'!$K$21</f>
        <v>52184</v>
      </c>
      <c r="M134" s="433">
        <f>+'q12'!$L$21</f>
        <v>51650.999999999993</v>
      </c>
    </row>
    <row r="135" spans="1:52">
      <c r="A135" s="422"/>
      <c r="B135" s="422" t="str">
        <f>+'q12'!$A$23</f>
        <v>Oeste</v>
      </c>
      <c r="C135" s="433">
        <f>+'q12'!$B$23</f>
        <v>83007</v>
      </c>
      <c r="D135" s="433">
        <f>+'q12'!$C$23</f>
        <v>85074</v>
      </c>
      <c r="E135" s="433">
        <f>+'q12'!$D$23</f>
        <v>87605.999999999985</v>
      </c>
      <c r="F135" s="433">
        <f>+'q12'!$E$23</f>
        <v>92480</v>
      </c>
      <c r="G135" s="433">
        <f>+'q12'!$F$23</f>
        <v>100447</v>
      </c>
      <c r="H135" s="433">
        <f>+'q12'!$G$23</f>
        <v>102230.00000000001</v>
      </c>
      <c r="I135" s="433">
        <f>+'q12'!$H$23</f>
        <v>101028.99999999999</v>
      </c>
      <c r="J135" s="433">
        <f>+'q12'!$I$23</f>
        <v>99264.999999999985</v>
      </c>
      <c r="K135" s="433">
        <f>+'q12'!$J$23</f>
        <v>105262</v>
      </c>
      <c r="L135" s="433">
        <f>+'q12'!$K$23</f>
        <v>111666</v>
      </c>
      <c r="M135" s="433">
        <f>+'q12'!$L$23</f>
        <v>112479</v>
      </c>
      <c r="AU135" s="447"/>
      <c r="AV135" s="447"/>
      <c r="AW135" s="447"/>
      <c r="AX135" s="447"/>
      <c r="AY135" s="447"/>
      <c r="AZ135" s="447"/>
    </row>
    <row r="136" spans="1:52">
      <c r="A136" s="422"/>
      <c r="B136" s="422" t="str">
        <f>+'q12'!$A$24</f>
        <v>Médio Tejo</v>
      </c>
      <c r="C136" s="433">
        <f>+'q12'!$B$24</f>
        <v>49897</v>
      </c>
      <c r="D136" s="433">
        <f>+'q12'!$C$24</f>
        <v>51350</v>
      </c>
      <c r="E136" s="433">
        <f>+'q12'!$D$24</f>
        <v>51114</v>
      </c>
      <c r="F136" s="433">
        <f>+'q12'!$E$24</f>
        <v>53556</v>
      </c>
      <c r="G136" s="433">
        <f>+'q12'!$F$24</f>
        <v>54546.999999999993</v>
      </c>
      <c r="H136" s="433">
        <f>+'q12'!$G$24</f>
        <v>55892</v>
      </c>
      <c r="I136" s="433">
        <f>+'q12'!$H$24</f>
        <v>55002</v>
      </c>
      <c r="J136" s="433">
        <f>+'q12'!$I$24</f>
        <v>54352.000000000007</v>
      </c>
      <c r="K136" s="433">
        <f>+'q12'!$J$24</f>
        <v>58043.999999999993</v>
      </c>
      <c r="L136" s="433">
        <f>+'q12'!$K$24</f>
        <v>59990</v>
      </c>
      <c r="M136" s="433">
        <f>+'q12'!$L$24</f>
        <v>59911.000000000007</v>
      </c>
      <c r="AU136" s="447"/>
      <c r="AV136" s="447"/>
      <c r="AW136" s="447"/>
      <c r="AX136" s="447"/>
      <c r="AY136" s="447"/>
      <c r="AZ136" s="447"/>
    </row>
    <row r="137" spans="1:52">
      <c r="A137" s="422"/>
      <c r="B137" s="422" t="str">
        <f>+'q12'!$A$25</f>
        <v>Lezíria do Tejo</v>
      </c>
      <c r="C137" s="433">
        <f>+'q12'!$B$25</f>
        <v>54260</v>
      </c>
      <c r="D137" s="433">
        <f>+'q12'!$C$25</f>
        <v>55003</v>
      </c>
      <c r="E137" s="433">
        <f>+'q12'!$D$25</f>
        <v>57238.000000000007</v>
      </c>
      <c r="F137" s="433">
        <f>+'q12'!$E$25</f>
        <v>61082</v>
      </c>
      <c r="G137" s="433">
        <f>+'q12'!$F$25</f>
        <v>63366.999999999993</v>
      </c>
      <c r="H137" s="433">
        <f>+'q12'!$G$25</f>
        <v>64381</v>
      </c>
      <c r="I137" s="433">
        <f>+'q12'!$H$25</f>
        <v>66472</v>
      </c>
      <c r="J137" s="433">
        <f>+'q12'!$I$25</f>
        <v>66608</v>
      </c>
      <c r="K137" s="433">
        <f>+'q12'!$J$25</f>
        <v>70357</v>
      </c>
      <c r="L137" s="433">
        <f>+'q12'!$K$25</f>
        <v>73041</v>
      </c>
      <c r="M137" s="433">
        <f>+'q12'!$L$25</f>
        <v>76658</v>
      </c>
      <c r="AU137" s="447"/>
      <c r="AV137" s="447"/>
      <c r="AW137" s="447"/>
      <c r="AX137" s="447"/>
      <c r="AY137" s="447"/>
      <c r="AZ137" s="447"/>
    </row>
    <row r="138" spans="1:52">
      <c r="A138" s="422"/>
      <c r="B138" s="422" t="str">
        <f>+'q12'!$A$26</f>
        <v>Grande Lisboa</v>
      </c>
      <c r="C138" s="433">
        <f>+'q12'!$B$26</f>
        <v>715126</v>
      </c>
      <c r="D138" s="433">
        <f>+'q12'!$C$26</f>
        <v>730551</v>
      </c>
      <c r="E138" s="433">
        <f>+'q12'!$D$26</f>
        <v>765222</v>
      </c>
      <c r="F138" s="433">
        <f>+'q12'!$E$26</f>
        <v>790694</v>
      </c>
      <c r="G138" s="433">
        <f>+'q12'!$F$26</f>
        <v>826919</v>
      </c>
      <c r="H138" s="433">
        <f>+'q12'!$G$26</f>
        <v>845336</v>
      </c>
      <c r="I138" s="433">
        <f>+'q12'!$H$26</f>
        <v>835460</v>
      </c>
      <c r="J138" s="433">
        <f>+'q12'!$I$26</f>
        <v>838586</v>
      </c>
      <c r="K138" s="433">
        <f>+'q12'!$J$26</f>
        <v>915180</v>
      </c>
      <c r="L138" s="433">
        <f>+'q12'!$K$26</f>
        <v>969558</v>
      </c>
      <c r="M138" s="433">
        <f>+'q12'!$L$26</f>
        <v>996445</v>
      </c>
      <c r="AU138" s="447"/>
      <c r="AV138" s="447"/>
      <c r="AW138" s="447"/>
      <c r="AX138" s="447"/>
      <c r="AY138" s="447"/>
      <c r="AZ138" s="447"/>
    </row>
    <row r="139" spans="1:52">
      <c r="A139" s="422"/>
      <c r="B139" s="422" t="str">
        <f>+'q12'!$A$27</f>
        <v>Península de Setúbal</v>
      </c>
      <c r="C139" s="433">
        <f>+'q12'!$B$27</f>
        <v>129592</v>
      </c>
      <c r="D139" s="433">
        <f>+'q12'!$C$27</f>
        <v>132359</v>
      </c>
      <c r="E139" s="433">
        <f>+'q12'!$D$27</f>
        <v>135968</v>
      </c>
      <c r="F139" s="433">
        <f>+'q12'!$E$27</f>
        <v>143619</v>
      </c>
      <c r="G139" s="433">
        <f>+'q12'!$F$27</f>
        <v>152137</v>
      </c>
      <c r="H139" s="433">
        <f>+'q12'!$G$27</f>
        <v>155943</v>
      </c>
      <c r="I139" s="433">
        <f>+'q12'!$H$27</f>
        <v>156000</v>
      </c>
      <c r="J139" s="433">
        <f>+'q12'!$I$27</f>
        <v>157437</v>
      </c>
      <c r="K139" s="433">
        <f>+'q12'!$J$27</f>
        <v>168606.00000000003</v>
      </c>
      <c r="L139" s="433">
        <f>+'q12'!$K$27</f>
        <v>173313</v>
      </c>
      <c r="M139" s="433">
        <f>+'q12'!$L$27</f>
        <v>177662</v>
      </c>
      <c r="AU139" s="447"/>
      <c r="AV139" s="447"/>
      <c r="AW139" s="447"/>
      <c r="AX139" s="447"/>
      <c r="AY139" s="447"/>
      <c r="AZ139" s="447"/>
    </row>
    <row r="140" spans="1:52">
      <c r="A140" s="422"/>
      <c r="B140" s="422" t="str">
        <f>+'q12'!$A$29</f>
        <v>Alentejo Litoral</v>
      </c>
      <c r="C140" s="433">
        <f>+'q12'!$B$29</f>
        <v>21990</v>
      </c>
      <c r="D140" s="433">
        <f>+'q12'!$C$29</f>
        <v>23369</v>
      </c>
      <c r="E140" s="433">
        <f>+'q12'!$D$29</f>
        <v>24792</v>
      </c>
      <c r="F140" s="433">
        <f>+'q12'!$E$29</f>
        <v>26345</v>
      </c>
      <c r="G140" s="433">
        <f>+'q12'!$F$29</f>
        <v>27966</v>
      </c>
      <c r="H140" s="433">
        <f>+'q12'!$G$29</f>
        <v>29548</v>
      </c>
      <c r="I140" s="433">
        <f>+'q12'!$H$29</f>
        <v>33057</v>
      </c>
      <c r="J140" s="433">
        <f>+'q12'!$I$29</f>
        <v>33366</v>
      </c>
      <c r="K140" s="433">
        <f>+'q12'!$J$29</f>
        <v>35947</v>
      </c>
      <c r="L140" s="433">
        <f>+'q12'!$K$29</f>
        <v>37881</v>
      </c>
      <c r="M140" s="433">
        <f>+'q12'!$L$29</f>
        <v>36011</v>
      </c>
      <c r="AU140" s="447"/>
      <c r="AV140" s="447"/>
      <c r="AW140" s="447"/>
      <c r="AX140" s="447"/>
      <c r="AY140" s="447"/>
      <c r="AZ140" s="447"/>
    </row>
    <row r="141" spans="1:52">
      <c r="A141" s="422"/>
      <c r="B141" s="422" t="str">
        <f>+'q12'!$A$30</f>
        <v>Baixo Alentejo</v>
      </c>
      <c r="C141" s="433">
        <f>+'q12'!$B$30</f>
        <v>23979.999999999996</v>
      </c>
      <c r="D141" s="433">
        <f>+'q12'!$C$30</f>
        <v>24788</v>
      </c>
      <c r="E141" s="433">
        <f>+'q12'!$D$30</f>
        <v>25090</v>
      </c>
      <c r="F141" s="433">
        <f>+'q12'!$E$30</f>
        <v>26560</v>
      </c>
      <c r="G141" s="433">
        <f>+'q12'!$F$30</f>
        <v>26946.000000000004</v>
      </c>
      <c r="H141" s="433">
        <f>+'q12'!$G$30</f>
        <v>26981</v>
      </c>
      <c r="I141" s="433">
        <f>+'q12'!$H$30</f>
        <v>26942</v>
      </c>
      <c r="J141" s="433">
        <f>+'q12'!$I$30</f>
        <v>27020.999999999993</v>
      </c>
      <c r="K141" s="433">
        <f>+'q12'!$J$30</f>
        <v>29984</v>
      </c>
      <c r="L141" s="433">
        <f>+'q12'!$K$30</f>
        <v>31710.000000000004</v>
      </c>
      <c r="M141" s="433">
        <f>+'q12'!$L$30</f>
        <v>33016.999999999993</v>
      </c>
      <c r="AU141" s="447"/>
      <c r="AV141" s="447"/>
      <c r="AW141" s="447"/>
      <c r="AX141" s="447"/>
      <c r="AY141" s="447"/>
      <c r="AZ141" s="447"/>
    </row>
    <row r="142" spans="1:52">
      <c r="A142" s="422"/>
      <c r="B142" s="422" t="str">
        <f>+'q12'!$A$31</f>
        <v>Alto Alentejo</v>
      </c>
      <c r="C142" s="433">
        <f>+'q12'!$B$31</f>
        <v>20497.000000000004</v>
      </c>
      <c r="D142" s="433">
        <f>+'q12'!$C$31</f>
        <v>20703.999999999996</v>
      </c>
      <c r="E142" s="433">
        <f>+'q12'!$D$31</f>
        <v>21614.000000000004</v>
      </c>
      <c r="F142" s="433">
        <f>+'q12'!$E$31</f>
        <v>22068</v>
      </c>
      <c r="G142" s="433">
        <f>+'q12'!$F$31</f>
        <v>22055.999999999996</v>
      </c>
      <c r="H142" s="433">
        <f>+'q12'!$G$31</f>
        <v>22201.000000000004</v>
      </c>
      <c r="I142" s="433">
        <f>+'q12'!$H$31</f>
        <v>22475</v>
      </c>
      <c r="J142" s="433">
        <f>+'q12'!$I$31</f>
        <v>21854</v>
      </c>
      <c r="K142" s="433">
        <f>+'q12'!$J$31</f>
        <v>23056</v>
      </c>
      <c r="L142" s="433">
        <f>+'q12'!$K$31</f>
        <v>24444.000000000004</v>
      </c>
      <c r="M142" s="433">
        <f>+'q12'!$L$31</f>
        <v>23829.999999999996</v>
      </c>
      <c r="AU142" s="447"/>
      <c r="AV142" s="447"/>
      <c r="AW142" s="447"/>
      <c r="AX142" s="447"/>
      <c r="AY142" s="447"/>
      <c r="AZ142" s="447"/>
    </row>
    <row r="143" spans="1:52">
      <c r="A143" s="422"/>
      <c r="B143" s="422" t="str">
        <f>+'q12'!$A$32</f>
        <v>Alentejo Central</v>
      </c>
      <c r="C143" s="433">
        <f>+'q12'!$B$32</f>
        <v>35478</v>
      </c>
      <c r="D143" s="433">
        <f>+'q12'!$C$32</f>
        <v>36817</v>
      </c>
      <c r="E143" s="433">
        <f>+'q12'!$D$32</f>
        <v>38198</v>
      </c>
      <c r="F143" s="433">
        <f>+'q12'!$E$32</f>
        <v>39028.999999999993</v>
      </c>
      <c r="G143" s="433">
        <f>+'q12'!$F$32</f>
        <v>40741</v>
      </c>
      <c r="H143" s="433">
        <f>+'q12'!$G$32</f>
        <v>40943.999999999993</v>
      </c>
      <c r="I143" s="433">
        <f>+'q12'!$H$32</f>
        <v>40465</v>
      </c>
      <c r="J143" s="433">
        <f>+'q12'!$I$32</f>
        <v>40724.999999999993</v>
      </c>
      <c r="K143" s="433">
        <f>+'q12'!$J$32</f>
        <v>43523</v>
      </c>
      <c r="L143" s="433">
        <f>+'q12'!$K$32</f>
        <v>45228</v>
      </c>
      <c r="M143" s="433">
        <f>+'q12'!$L$32</f>
        <v>44873</v>
      </c>
      <c r="AU143" s="447"/>
      <c r="AV143" s="447"/>
      <c r="AW143" s="447"/>
      <c r="AX143" s="447"/>
      <c r="AY143" s="447"/>
      <c r="AZ143" s="447"/>
    </row>
    <row r="144" spans="1:52">
      <c r="A144" s="422"/>
      <c r="B144" s="422" t="str">
        <f>+'q12'!$A$33</f>
        <v>Algarve</v>
      </c>
      <c r="C144" s="433">
        <f>+'q12'!$B$33</f>
        <v>119459</v>
      </c>
      <c r="D144" s="433">
        <f>+'q12'!$C$33</f>
        <v>126979.99999999999</v>
      </c>
      <c r="E144" s="433">
        <f>+'q12'!$D$33</f>
        <v>135848.00000000003</v>
      </c>
      <c r="F144" s="433">
        <f>+'q12'!$E$33</f>
        <v>145770.00000000003</v>
      </c>
      <c r="G144" s="433">
        <f>+'q12'!$F$33</f>
        <v>154417</v>
      </c>
      <c r="H144" s="433">
        <f>+'q12'!$G$33</f>
        <v>160288</v>
      </c>
      <c r="I144" s="433">
        <f>+'q12'!$H$33</f>
        <v>144667.99999999997</v>
      </c>
      <c r="J144" s="433">
        <f>+'q12'!$I$33</f>
        <v>148406</v>
      </c>
      <c r="K144" s="433">
        <f>+'q12'!$J$33</f>
        <v>165503</v>
      </c>
      <c r="L144" s="433">
        <f>+'q12'!$K$33</f>
        <v>178434</v>
      </c>
      <c r="M144" s="433">
        <f>+'q12'!$L$33</f>
        <v>184098.99999999997</v>
      </c>
    </row>
    <row r="145" spans="1:47">
      <c r="B145" s="422" t="s">
        <v>13</v>
      </c>
      <c r="C145" s="433">
        <f>+'q12'!$B$5</f>
        <v>2636881</v>
      </c>
      <c r="D145" s="433">
        <f>+'q12'!$C$5</f>
        <v>2716011</v>
      </c>
      <c r="E145" s="433">
        <f>+'q12'!$D$5</f>
        <v>2819978</v>
      </c>
      <c r="F145" s="433">
        <f>+'q12'!$E$5</f>
        <v>2946903</v>
      </c>
      <c r="G145" s="433">
        <f>+'q12'!$F$5</f>
        <v>3060489</v>
      </c>
      <c r="H145" s="433">
        <f>+'q12'!$G$5</f>
        <v>3110949</v>
      </c>
      <c r="I145" s="433">
        <f>+'q12'!$H$5</f>
        <v>3085566</v>
      </c>
      <c r="J145" s="433">
        <f>+'q12'!$I$5</f>
        <v>3102345</v>
      </c>
      <c r="K145" s="433">
        <f>+'q12'!$J$5</f>
        <v>3337082</v>
      </c>
      <c r="L145" s="433">
        <f>+'q12'!$K$5</f>
        <v>3489582.9999999995</v>
      </c>
      <c r="M145" s="433">
        <f>+'q12'!$L$5</f>
        <v>3544955.0000000019</v>
      </c>
    </row>
    <row r="146" spans="1:47">
      <c r="AU146" s="421">
        <f>LEN(AU135)</f>
        <v>0</v>
      </c>
    </row>
    <row r="149" spans="1:47">
      <c r="A149" s="422" t="s">
        <v>530</v>
      </c>
      <c r="D149" s="423"/>
    </row>
    <row r="150" spans="1:47">
      <c r="A150" s="547" t="s">
        <v>182</v>
      </c>
      <c r="C150" s="422">
        <f>+'q16'!$B$4</f>
        <v>2014</v>
      </c>
      <c r="D150" s="422">
        <f>+'q16'!$C$4</f>
        <v>2015</v>
      </c>
      <c r="E150" s="422">
        <f>+'q16'!$D$4</f>
        <v>2016</v>
      </c>
      <c r="F150" s="422">
        <f>+'q16'!$E$4</f>
        <v>2017</v>
      </c>
      <c r="G150" s="422">
        <f>+'q16'!$F$4</f>
        <v>2018</v>
      </c>
      <c r="H150" s="422">
        <f>+'q16'!$G$4</f>
        <v>2019</v>
      </c>
      <c r="I150" s="422">
        <f>+'q16'!$H$4</f>
        <v>2020</v>
      </c>
      <c r="J150" s="422">
        <f>+'q16'!$I$4</f>
        <v>2021</v>
      </c>
      <c r="K150" s="422">
        <f>+'q16'!$J$4</f>
        <v>2022</v>
      </c>
      <c r="L150" s="422">
        <f>+'q16'!$K$4</f>
        <v>2023</v>
      </c>
      <c r="M150" s="422">
        <f>+'q16'!$L$4</f>
        <v>2024</v>
      </c>
    </row>
    <row r="151" spans="1:47">
      <c r="A151" s="422" t="s">
        <v>524</v>
      </c>
      <c r="B151" s="422" t="str">
        <f>+'q16'!$A$6</f>
        <v>Norte</v>
      </c>
      <c r="C151" s="433">
        <f>+'q16'!$B$6</f>
        <v>898201.00000000035</v>
      </c>
      <c r="D151" s="433">
        <f>+'q16'!$C$6</f>
        <v>934106</v>
      </c>
      <c r="E151" s="433">
        <f>+'q16'!$D$6</f>
        <v>969358.00000000047</v>
      </c>
      <c r="F151" s="433">
        <f>+'q16'!$E$6</f>
        <v>1020482.9999999999</v>
      </c>
      <c r="G151" s="433">
        <f>+'q16'!$F$6</f>
        <v>1048977.9999999998</v>
      </c>
      <c r="H151" s="433">
        <f>+'q16'!$G$6</f>
        <v>1063143</v>
      </c>
      <c r="I151" s="433">
        <f>+'q16'!$H$6</f>
        <v>1057089.9999999993</v>
      </c>
      <c r="J151" s="433">
        <f>+'q16'!$I$6</f>
        <v>1067824.0000000007</v>
      </c>
      <c r="K151" s="433">
        <f>+'q16'!$J$6</f>
        <v>1142574.9999999998</v>
      </c>
      <c r="L151" s="433">
        <f>+'q16'!$K$6</f>
        <v>1186032</v>
      </c>
      <c r="M151" s="433">
        <f>+'q16'!$L$6</f>
        <v>1196817.9999999998</v>
      </c>
    </row>
    <row r="152" spans="1:47">
      <c r="A152" s="422"/>
      <c r="B152" s="422" t="str">
        <f>+'q16'!$A$15</f>
        <v>Centro</v>
      </c>
      <c r="C152" s="433">
        <f>+'q16'!$B$15</f>
        <v>385062.00000000006</v>
      </c>
      <c r="D152" s="433">
        <f>+'q16'!$C$15</f>
        <v>394749.00000000006</v>
      </c>
      <c r="E152" s="433">
        <f>+'q16'!$D$15</f>
        <v>407291</v>
      </c>
      <c r="F152" s="433">
        <f>+'q16'!$E$15</f>
        <v>423923.00000000012</v>
      </c>
      <c r="G152" s="433">
        <f>+'q16'!$F$15</f>
        <v>439199</v>
      </c>
      <c r="H152" s="433">
        <f>+'q16'!$G$15</f>
        <v>442560.99999999988</v>
      </c>
      <c r="I152" s="433">
        <f>+'q16'!$H$15</f>
        <v>444343.99999999994</v>
      </c>
      <c r="J152" s="433">
        <f>+'q16'!$I$15</f>
        <v>445473.00000000006</v>
      </c>
      <c r="K152" s="433">
        <f>+'q16'!$J$15</f>
        <v>473399</v>
      </c>
      <c r="L152" s="433">
        <f>+'q16'!$K$15</f>
        <v>490775.99999999988</v>
      </c>
      <c r="M152" s="433">
        <f>+'q16'!$L$15</f>
        <v>497594.00000000012</v>
      </c>
    </row>
    <row r="153" spans="1:47">
      <c r="A153" s="422"/>
      <c r="B153" s="422" t="str">
        <f>+'q16'!$A$22</f>
        <v>Oeste e Vale do Tejo</v>
      </c>
      <c r="C153" s="433">
        <f>+'q16'!$B$22</f>
        <v>172345.99999999997</v>
      </c>
      <c r="D153" s="433">
        <f>+'q16'!$C$22</f>
        <v>176637</v>
      </c>
      <c r="E153" s="433">
        <f>+'q16'!$D$22</f>
        <v>181245.00000000003</v>
      </c>
      <c r="F153" s="433">
        <f>+'q16'!$E$22</f>
        <v>192179</v>
      </c>
      <c r="G153" s="433">
        <f>+'q16'!$F$22</f>
        <v>203271.00000000003</v>
      </c>
      <c r="H153" s="433">
        <f>+'q16'!$G$22</f>
        <v>207475</v>
      </c>
      <c r="I153" s="433">
        <f>+'q16'!$H$22</f>
        <v>207244</v>
      </c>
      <c r="J153" s="433">
        <f>+'q16'!$I$22</f>
        <v>205139.99999999994</v>
      </c>
      <c r="K153" s="433">
        <f>+'q16'!$J$22</f>
        <v>217876.00000000006</v>
      </c>
      <c r="L153" s="433">
        <f>+'q16'!$K$22</f>
        <v>228581.00000000006</v>
      </c>
      <c r="M153" s="433">
        <f>+'q16'!$L$22</f>
        <v>232968.00000000003</v>
      </c>
    </row>
    <row r="154" spans="1:47">
      <c r="A154" s="422"/>
      <c r="B154" s="422" t="str">
        <f>+'q16'!$A$26</f>
        <v>Grande Lisboa</v>
      </c>
      <c r="C154" s="433">
        <f>+'q16'!$B$26</f>
        <v>677265</v>
      </c>
      <c r="D154" s="433">
        <f>+'q16'!$C$26</f>
        <v>692513</v>
      </c>
      <c r="E154" s="433">
        <f>+'q16'!$D$26</f>
        <v>728120</v>
      </c>
      <c r="F154" s="433">
        <f>+'q16'!$E$26</f>
        <v>753266.00000000012</v>
      </c>
      <c r="G154" s="433">
        <f>+'q16'!$F$26</f>
        <v>788380.00000000012</v>
      </c>
      <c r="H154" s="433">
        <f>+'q16'!$G$26</f>
        <v>807855</v>
      </c>
      <c r="I154" s="433">
        <f>+'q16'!$H$26</f>
        <v>797460</v>
      </c>
      <c r="J154" s="433">
        <f>+'q16'!$I$26</f>
        <v>801493</v>
      </c>
      <c r="K154" s="433">
        <f>+'q16'!$J$26</f>
        <v>875584</v>
      </c>
      <c r="L154" s="433">
        <f>+'q16'!$K$26</f>
        <v>928991</v>
      </c>
      <c r="M154" s="433">
        <f>+'q16'!$L$26</f>
        <v>956373.99999999988</v>
      </c>
    </row>
    <row r="155" spans="1:47">
      <c r="A155" s="422"/>
      <c r="B155" s="422" t="str">
        <f>+'q16'!$A$27</f>
        <v>Península de Setúbal</v>
      </c>
      <c r="C155" s="433">
        <f>+'q16'!$B$27</f>
        <v>120734</v>
      </c>
      <c r="D155" s="433">
        <f>+'q16'!$C$27</f>
        <v>123784.00000000001</v>
      </c>
      <c r="E155" s="433">
        <f>+'q16'!$D$27</f>
        <v>127295</v>
      </c>
      <c r="F155" s="433">
        <f>+'q16'!$E$27</f>
        <v>134832.00000000003</v>
      </c>
      <c r="G155" s="433">
        <f>+'q16'!$F$27</f>
        <v>143332</v>
      </c>
      <c r="H155" s="433">
        <f>+'q16'!$G$27</f>
        <v>147144.00000000003</v>
      </c>
      <c r="I155" s="433">
        <f>+'q16'!$H$27</f>
        <v>146898</v>
      </c>
      <c r="J155" s="433">
        <f>+'q16'!$I$27</f>
        <v>148398</v>
      </c>
      <c r="K155" s="433">
        <f>+'q16'!$J$27</f>
        <v>158898</v>
      </c>
      <c r="L155" s="433">
        <f>+'q16'!$K$27</f>
        <v>163331</v>
      </c>
      <c r="M155" s="433">
        <f>+'q16'!$L$27</f>
        <v>167647</v>
      </c>
    </row>
    <row r="156" spans="1:47">
      <c r="A156" s="422"/>
      <c r="B156" s="422" t="str">
        <f>+'q16'!$A$28</f>
        <v>Alentejo</v>
      </c>
      <c r="C156" s="433">
        <f>+'q16'!$B$28</f>
        <v>94632.999999999971</v>
      </c>
      <c r="D156" s="433">
        <f>+'q16'!$C$28</f>
        <v>98629.999999999985</v>
      </c>
      <c r="E156" s="433">
        <f>+'q16'!$D$28</f>
        <v>102620</v>
      </c>
      <c r="F156" s="433">
        <f>+'q16'!$E$28</f>
        <v>106989.99999999999</v>
      </c>
      <c r="G156" s="433">
        <f>+'q16'!$F$28</f>
        <v>110648.00000000001</v>
      </c>
      <c r="H156" s="433">
        <f>+'q16'!$G$28</f>
        <v>112693</v>
      </c>
      <c r="I156" s="433">
        <f>+'q16'!$H$28</f>
        <v>115844.99999999997</v>
      </c>
      <c r="J156" s="433">
        <f>+'q16'!$I$28</f>
        <v>116079.00000000004</v>
      </c>
      <c r="K156" s="433">
        <f>+'q16'!$J$28</f>
        <v>125145.00000000001</v>
      </c>
      <c r="L156" s="433">
        <f>+'q16'!$K$28</f>
        <v>131628.99999999994</v>
      </c>
      <c r="M156" s="433">
        <f>+'q16'!$L$28</f>
        <v>130362.00000000001</v>
      </c>
    </row>
    <row r="157" spans="1:47">
      <c r="A157" s="422"/>
      <c r="B157" s="422" t="str">
        <f>+'q16'!$A$33</f>
        <v>Algarve</v>
      </c>
      <c r="C157" s="433">
        <f>+'q16'!$B$33</f>
        <v>109922</v>
      </c>
      <c r="D157" s="433">
        <f>+'q16'!$C$33</f>
        <v>117234</v>
      </c>
      <c r="E157" s="433">
        <f>+'q16'!$D$33</f>
        <v>125989.99999999999</v>
      </c>
      <c r="F157" s="433">
        <f>+'q16'!$E$33</f>
        <v>135848</v>
      </c>
      <c r="G157" s="433">
        <f>+'q16'!$F$33</f>
        <v>144110</v>
      </c>
      <c r="H157" s="433">
        <f>+'q16'!$G$33</f>
        <v>149611</v>
      </c>
      <c r="I157" s="433">
        <f>+'q16'!$H$33</f>
        <v>133943.99999999997</v>
      </c>
      <c r="J157" s="433">
        <f>+'q16'!$I$33</f>
        <v>137936</v>
      </c>
      <c r="K157" s="433">
        <f>+'q16'!$J$33</f>
        <v>154669.99999999997</v>
      </c>
      <c r="L157" s="433">
        <f>+'q16'!$K$33</f>
        <v>166794.00000000003</v>
      </c>
      <c r="M157" s="433">
        <f>+'q16'!$L$33</f>
        <v>172373</v>
      </c>
    </row>
    <row r="158" spans="1:47">
      <c r="B158" s="422" t="s">
        <v>13</v>
      </c>
      <c r="C158" s="433">
        <f>+'q16'!$B$5</f>
        <v>2458163</v>
      </c>
      <c r="D158" s="433">
        <f>+'q16'!$C$5</f>
        <v>2537653.0000000028</v>
      </c>
      <c r="E158" s="433">
        <f>+'q16'!$D$5</f>
        <v>2641918.9999999977</v>
      </c>
      <c r="F158" s="433">
        <f>+'q16'!$E$5</f>
        <v>2767520.9999999977</v>
      </c>
      <c r="G158" s="433">
        <f>+'q16'!$F$5</f>
        <v>2877918.0000000005</v>
      </c>
      <c r="H158" s="433">
        <f>+'q16'!$G$5</f>
        <v>2930481.9999999995</v>
      </c>
      <c r="I158" s="433">
        <f>+'q16'!$H$5</f>
        <v>2902824.9999999981</v>
      </c>
      <c r="J158" s="433">
        <f>+'q16'!$I$5</f>
        <v>2922343.0000000014</v>
      </c>
      <c r="K158" s="433">
        <f>+'q16'!$J$5</f>
        <v>3148146.9999999995</v>
      </c>
      <c r="L158" s="433">
        <f>+'q16'!$K$5</f>
        <v>3296133.9999999981</v>
      </c>
      <c r="M158" s="433">
        <f>+'q16'!$L$5</f>
        <v>3354135.9999999991</v>
      </c>
    </row>
    <row r="159" spans="1:47">
      <c r="B159" s="422"/>
      <c r="C159" s="433"/>
      <c r="D159" s="433"/>
      <c r="E159" s="433"/>
      <c r="F159" s="433"/>
      <c r="G159" s="433"/>
      <c r="H159" s="433"/>
      <c r="I159" s="433"/>
      <c r="J159" s="433"/>
      <c r="K159" s="433"/>
      <c r="L159" s="433"/>
      <c r="M159" s="433"/>
    </row>
    <row r="160" spans="1:47">
      <c r="C160" s="422">
        <f>+C150</f>
        <v>2014</v>
      </c>
      <c r="D160" s="422">
        <f t="shared" ref="D160:M160" si="64">+D150</f>
        <v>2015</v>
      </c>
      <c r="E160" s="422">
        <f t="shared" si="64"/>
        <v>2016</v>
      </c>
      <c r="F160" s="422">
        <f t="shared" si="64"/>
        <v>2017</v>
      </c>
      <c r="G160" s="422">
        <f t="shared" si="64"/>
        <v>2018</v>
      </c>
      <c r="H160" s="422">
        <f t="shared" si="64"/>
        <v>2019</v>
      </c>
      <c r="I160" s="422">
        <f t="shared" si="64"/>
        <v>2020</v>
      </c>
      <c r="J160" s="422">
        <f t="shared" si="64"/>
        <v>2021</v>
      </c>
      <c r="K160" s="422">
        <f t="shared" si="64"/>
        <v>2022</v>
      </c>
      <c r="L160" s="422">
        <f t="shared" si="64"/>
        <v>2023</v>
      </c>
      <c r="M160" s="422">
        <f t="shared" si="64"/>
        <v>2024</v>
      </c>
    </row>
    <row r="161" spans="1:13">
      <c r="A161" s="422" t="s">
        <v>525</v>
      </c>
      <c r="B161" s="422" t="str">
        <f>+'q16'!$A$7</f>
        <v>Alto Minho</v>
      </c>
      <c r="C161" s="433">
        <f>+'q16'!$B$7</f>
        <v>50225</v>
      </c>
      <c r="D161" s="433">
        <f>+'q16'!$C$7</f>
        <v>52609</v>
      </c>
      <c r="E161" s="433">
        <f>+'q16'!$D$7</f>
        <v>52622.000000000007</v>
      </c>
      <c r="F161" s="433">
        <f>+'q16'!$E$7</f>
        <v>55356</v>
      </c>
      <c r="G161" s="433">
        <f>+'q16'!$F$7</f>
        <v>58686</v>
      </c>
      <c r="H161" s="433">
        <f>+'q16'!$G$7</f>
        <v>59295.000000000007</v>
      </c>
      <c r="I161" s="433">
        <f>+'q16'!$H$7</f>
        <v>60629</v>
      </c>
      <c r="J161" s="433">
        <f>+'q16'!$I$7</f>
        <v>60893</v>
      </c>
      <c r="K161" s="433">
        <f>+'q16'!$J$7</f>
        <v>64187</v>
      </c>
      <c r="L161" s="433">
        <f>+'q16'!$K$7</f>
        <v>68117</v>
      </c>
      <c r="M161" s="433">
        <f>+'q16'!$L$7</f>
        <v>68763</v>
      </c>
    </row>
    <row r="162" spans="1:13">
      <c r="A162" s="422"/>
      <c r="B162" s="422" t="str">
        <f>+'q16'!$A$8</f>
        <v>Cávado</v>
      </c>
      <c r="C162" s="433">
        <f>+'q16'!$B$8</f>
        <v>104058</v>
      </c>
      <c r="D162" s="433">
        <f>+'q16'!$C$8</f>
        <v>107920</v>
      </c>
      <c r="E162" s="433">
        <f>+'q16'!$D$8</f>
        <v>113517</v>
      </c>
      <c r="F162" s="433">
        <f>+'q16'!$E$8</f>
        <v>120158.00000000001</v>
      </c>
      <c r="G162" s="433">
        <f>+'q16'!$F$8</f>
        <v>126435</v>
      </c>
      <c r="H162" s="433">
        <f>+'q16'!$G$8</f>
        <v>129738.99999999999</v>
      </c>
      <c r="I162" s="433">
        <f>+'q16'!$H$8</f>
        <v>129449</v>
      </c>
      <c r="J162" s="433">
        <f>+'q16'!$I$8</f>
        <v>132064</v>
      </c>
      <c r="K162" s="433">
        <f>+'q16'!$J$8</f>
        <v>143159</v>
      </c>
      <c r="L162" s="433">
        <f>+'q16'!$K$8</f>
        <v>149790</v>
      </c>
      <c r="M162" s="433">
        <f>+'q16'!$L$8</f>
        <v>150659</v>
      </c>
    </row>
    <row r="163" spans="1:13">
      <c r="A163" s="422"/>
      <c r="B163" s="422" t="str">
        <f>+'q16'!$A$9</f>
        <v>Ave</v>
      </c>
      <c r="C163" s="433">
        <f>+'q16'!$B$9</f>
        <v>117573.99999999999</v>
      </c>
      <c r="D163" s="433">
        <f>+'q16'!$C$9</f>
        <v>122620.00000000001</v>
      </c>
      <c r="E163" s="433">
        <f>+'q16'!$D$9</f>
        <v>128328</v>
      </c>
      <c r="F163" s="433">
        <f>+'q16'!$E$9</f>
        <v>132997</v>
      </c>
      <c r="G163" s="433">
        <f>+'q16'!$F$9</f>
        <v>136304</v>
      </c>
      <c r="H163" s="433">
        <f>+'q16'!$G$9</f>
        <v>130389.99999999999</v>
      </c>
      <c r="I163" s="433">
        <f>+'q16'!$H$9</f>
        <v>132409.00000000003</v>
      </c>
      <c r="J163" s="433">
        <f>+'q16'!$I$9</f>
        <v>132536</v>
      </c>
      <c r="K163" s="433">
        <f>+'q16'!$J$9</f>
        <v>140262</v>
      </c>
      <c r="L163" s="433">
        <f>+'q16'!$K$9</f>
        <v>141278</v>
      </c>
      <c r="M163" s="433">
        <f>+'q16'!$L$9</f>
        <v>140354</v>
      </c>
    </row>
    <row r="164" spans="1:13">
      <c r="A164" s="422"/>
      <c r="B164" s="422" t="str">
        <f>+'q16'!$A$10</f>
        <v>Área Metropolitana do Porto</v>
      </c>
      <c r="C164" s="433">
        <f>+'q16'!$B$10</f>
        <v>466468</v>
      </c>
      <c r="D164" s="433">
        <f>+'q16'!$C$10</f>
        <v>484890</v>
      </c>
      <c r="E164" s="433">
        <f>+'q16'!$D$10</f>
        <v>503447</v>
      </c>
      <c r="F164" s="433">
        <f>+'q16'!$E$10</f>
        <v>534642</v>
      </c>
      <c r="G164" s="433">
        <f>+'q16'!$F$10</f>
        <v>546000</v>
      </c>
      <c r="H164" s="433">
        <f>+'q16'!$G$10</f>
        <v>561884</v>
      </c>
      <c r="I164" s="433">
        <f>+'q16'!$H$10</f>
        <v>551846</v>
      </c>
      <c r="J164" s="433">
        <f>+'q16'!$I$10</f>
        <v>554585</v>
      </c>
      <c r="K164" s="433">
        <f>+'q16'!$J$10</f>
        <v>598036</v>
      </c>
      <c r="L164" s="433">
        <f>+'q16'!$K$10</f>
        <v>622620</v>
      </c>
      <c r="M164" s="433">
        <f>+'q16'!$L$10</f>
        <v>631342.00000000012</v>
      </c>
    </row>
    <row r="165" spans="1:13">
      <c r="A165" s="422"/>
      <c r="B165" s="422" t="str">
        <f>+'q16'!$A$11</f>
        <v>Alto Tâmega e Barroso</v>
      </c>
      <c r="C165" s="433">
        <f>+'q16'!$B$11</f>
        <v>11285</v>
      </c>
      <c r="D165" s="433">
        <f>+'q16'!$C$11</f>
        <v>11800</v>
      </c>
      <c r="E165" s="433">
        <f>+'q16'!$D$11</f>
        <v>12071</v>
      </c>
      <c r="F165" s="433">
        <f>+'q16'!$E$11</f>
        <v>13249.000000000002</v>
      </c>
      <c r="G165" s="433">
        <f>+'q16'!$F$11</f>
        <v>13543.999999999998</v>
      </c>
      <c r="H165" s="433">
        <f>+'q16'!$G$11</f>
        <v>13822.999999999998</v>
      </c>
      <c r="I165" s="433">
        <f>+'q16'!$H$11</f>
        <v>13398</v>
      </c>
      <c r="J165" s="433">
        <f>+'q16'!$I$11</f>
        <v>13653</v>
      </c>
      <c r="K165" s="433">
        <f>+'q16'!$J$11</f>
        <v>14446</v>
      </c>
      <c r="L165" s="433">
        <f>+'q16'!$K$11</f>
        <v>14953</v>
      </c>
      <c r="M165" s="433">
        <f>+'q16'!$L$11</f>
        <v>15712.999999999998</v>
      </c>
    </row>
    <row r="166" spans="1:13">
      <c r="A166" s="422"/>
      <c r="B166" s="422" t="str">
        <f>+'q16'!$A$12</f>
        <v>Tâmega e Sousa</v>
      </c>
      <c r="C166" s="433">
        <f>+'q16'!$B$12</f>
        <v>102491</v>
      </c>
      <c r="D166" s="433">
        <f>+'q16'!$C$12</f>
        <v>106598</v>
      </c>
      <c r="E166" s="433">
        <f>+'q16'!$D$12</f>
        <v>110512</v>
      </c>
      <c r="F166" s="433">
        <f>+'q16'!$E$12</f>
        <v>114101</v>
      </c>
      <c r="G166" s="433">
        <f>+'q16'!$F$12</f>
        <v>116671</v>
      </c>
      <c r="H166" s="433">
        <f>+'q16'!$G$12</f>
        <v>116470.00000000001</v>
      </c>
      <c r="I166" s="433">
        <f>+'q16'!$H$12</f>
        <v>116377</v>
      </c>
      <c r="J166" s="433">
        <f>+'q16'!$I$12</f>
        <v>120140</v>
      </c>
      <c r="K166" s="433">
        <f>+'q16'!$J$12</f>
        <v>126317.99999999999</v>
      </c>
      <c r="L166" s="433">
        <f>+'q16'!$K$12</f>
        <v>130339.99999999999</v>
      </c>
      <c r="M166" s="433">
        <f>+'q16'!$L$12</f>
        <v>130073</v>
      </c>
    </row>
    <row r="167" spans="1:13">
      <c r="A167" s="422"/>
      <c r="B167" s="422" t="str">
        <f>+'q16'!$A$13</f>
        <v>Douro</v>
      </c>
      <c r="C167" s="433">
        <f>+'q16'!$B$13</f>
        <v>30403.000000000004</v>
      </c>
      <c r="D167" s="433">
        <f>+'q16'!$C$13</f>
        <v>31414</v>
      </c>
      <c r="E167" s="433">
        <f>+'q16'!$D$13</f>
        <v>32095.000000000004</v>
      </c>
      <c r="F167" s="433">
        <f>+'q16'!$E$13</f>
        <v>32842</v>
      </c>
      <c r="G167" s="433">
        <f>+'q16'!$F$13</f>
        <v>33778.999999999993</v>
      </c>
      <c r="H167" s="433">
        <f>+'q16'!$G$13</f>
        <v>33925</v>
      </c>
      <c r="I167" s="433">
        <f>+'q16'!$H$13</f>
        <v>34875.000000000007</v>
      </c>
      <c r="J167" s="433">
        <f>+'q16'!$I$13</f>
        <v>35549.000000000007</v>
      </c>
      <c r="K167" s="433">
        <f>+'q16'!$J$13</f>
        <v>37314</v>
      </c>
      <c r="L167" s="433">
        <f>+'q16'!$K$13</f>
        <v>39343</v>
      </c>
      <c r="M167" s="433">
        <f>+'q16'!$L$13</f>
        <v>40207</v>
      </c>
    </row>
    <row r="168" spans="1:13">
      <c r="A168" s="422"/>
      <c r="B168" s="422" t="str">
        <f>+'q16'!$A$14</f>
        <v>Terras de Trás-os-Montes</v>
      </c>
      <c r="C168" s="433">
        <f>+'q16'!$B$14</f>
        <v>15696.999999999998</v>
      </c>
      <c r="D168" s="433">
        <f>+'q16'!$C$14</f>
        <v>16254.999999999998</v>
      </c>
      <c r="E168" s="433">
        <f>+'q16'!$D$14</f>
        <v>16766</v>
      </c>
      <c r="F168" s="433">
        <f>+'q16'!$E$14</f>
        <v>17138.000000000004</v>
      </c>
      <c r="G168" s="433">
        <f>+'q16'!$F$14</f>
        <v>17559</v>
      </c>
      <c r="H168" s="433">
        <f>+'q16'!$G$14</f>
        <v>17617</v>
      </c>
      <c r="I168" s="433">
        <f>+'q16'!$H$14</f>
        <v>18107</v>
      </c>
      <c r="J168" s="433">
        <f>+'q16'!$I$14</f>
        <v>18404</v>
      </c>
      <c r="K168" s="433">
        <f>+'q16'!$J$14</f>
        <v>18853</v>
      </c>
      <c r="L168" s="433">
        <f>+'q16'!$K$14</f>
        <v>19591</v>
      </c>
      <c r="M168" s="433">
        <f>+'q16'!$L$14</f>
        <v>19707</v>
      </c>
    </row>
    <row r="169" spans="1:13">
      <c r="A169" s="422"/>
      <c r="B169" s="422" t="str">
        <f>+'q16'!$A$16</f>
        <v>Região de Aveiro</v>
      </c>
      <c r="C169" s="433">
        <f>+'q16'!$B$16</f>
        <v>98368.000000000015</v>
      </c>
      <c r="D169" s="433">
        <f>+'q16'!$C$16</f>
        <v>101027</v>
      </c>
      <c r="E169" s="433">
        <f>+'q16'!$D$16</f>
        <v>106482</v>
      </c>
      <c r="F169" s="433">
        <f>+'q16'!$E$16</f>
        <v>111036</v>
      </c>
      <c r="G169" s="433">
        <f>+'q16'!$F$16</f>
        <v>117298</v>
      </c>
      <c r="H169" s="433">
        <f>+'q16'!$G$16</f>
        <v>118388.99999999999</v>
      </c>
      <c r="I169" s="433">
        <f>+'q16'!$H$16</f>
        <v>119180</v>
      </c>
      <c r="J169" s="433">
        <f>+'q16'!$I$16</f>
        <v>117165.99999999999</v>
      </c>
      <c r="K169" s="433">
        <f>+'q16'!$J$16</f>
        <v>127100</v>
      </c>
      <c r="L169" s="433">
        <f>+'q16'!$K$16</f>
        <v>131410.00000000003</v>
      </c>
      <c r="M169" s="433">
        <f>+'q16'!$L$16</f>
        <v>131216</v>
      </c>
    </row>
    <row r="170" spans="1:13">
      <c r="A170" s="422"/>
      <c r="B170" s="422" t="str">
        <f>+'q16'!$A$17</f>
        <v>Região de Coimbra</v>
      </c>
      <c r="C170" s="433">
        <f>+'q16'!$B$17</f>
        <v>91037</v>
      </c>
      <c r="D170" s="433">
        <f>+'q16'!$C$17</f>
        <v>93998.000000000015</v>
      </c>
      <c r="E170" s="433">
        <f>+'q16'!$D$17</f>
        <v>95633</v>
      </c>
      <c r="F170" s="433">
        <f>+'q16'!$E$17</f>
        <v>100266.00000000001</v>
      </c>
      <c r="G170" s="433">
        <f>+'q16'!$F$17</f>
        <v>101543</v>
      </c>
      <c r="H170" s="433">
        <f>+'q16'!$G$17</f>
        <v>102855.99999999999</v>
      </c>
      <c r="I170" s="433">
        <f>+'q16'!$H$17</f>
        <v>103974.99999999999</v>
      </c>
      <c r="J170" s="433">
        <f>+'q16'!$I$17</f>
        <v>104161.00000000001</v>
      </c>
      <c r="K170" s="433">
        <f>+'q16'!$J$17</f>
        <v>111437</v>
      </c>
      <c r="L170" s="433">
        <f>+'q16'!$K$17</f>
        <v>114228</v>
      </c>
      <c r="M170" s="433">
        <f>+'q16'!$L$17</f>
        <v>117601.00000000003</v>
      </c>
    </row>
    <row r="171" spans="1:13">
      <c r="A171" s="422"/>
      <c r="B171" s="422" t="str">
        <f>+'q16'!$A$18</f>
        <v>Região de Leiria</v>
      </c>
      <c r="C171" s="433">
        <f>+'q16'!$B$18</f>
        <v>81138</v>
      </c>
      <c r="D171" s="433">
        <f>+'q16'!$C$18</f>
        <v>83217</v>
      </c>
      <c r="E171" s="433">
        <f>+'q16'!$D$18</f>
        <v>86265</v>
      </c>
      <c r="F171" s="433">
        <f>+'q16'!$E$18</f>
        <v>89775</v>
      </c>
      <c r="G171" s="433">
        <f>+'q16'!$F$18</f>
        <v>91777</v>
      </c>
      <c r="H171" s="433">
        <f>+'q16'!$G$18</f>
        <v>92356.999999999985</v>
      </c>
      <c r="I171" s="433">
        <f>+'q16'!$H$18</f>
        <v>92504</v>
      </c>
      <c r="J171" s="433">
        <f>+'q16'!$I$18</f>
        <v>94709.000000000015</v>
      </c>
      <c r="K171" s="433">
        <f>+'q16'!$J$18</f>
        <v>98098</v>
      </c>
      <c r="L171" s="433">
        <f>+'q16'!$K$18</f>
        <v>101701</v>
      </c>
      <c r="M171" s="433">
        <f>+'q16'!$L$18</f>
        <v>103510</v>
      </c>
    </row>
    <row r="172" spans="1:13">
      <c r="A172" s="422"/>
      <c r="B172" s="422" t="str">
        <f>+'q16'!$A$19</f>
        <v>Viseu Dão Lafões</v>
      </c>
      <c r="C172" s="433">
        <f>+'q16'!$B$19</f>
        <v>54665</v>
      </c>
      <c r="D172" s="433">
        <f>+'q16'!$C$19</f>
        <v>56306</v>
      </c>
      <c r="E172" s="433">
        <f>+'q16'!$D$19</f>
        <v>58117.000000000007</v>
      </c>
      <c r="F172" s="433">
        <f>+'q16'!$E$19</f>
        <v>60427.000000000007</v>
      </c>
      <c r="G172" s="433">
        <f>+'q16'!$F$19</f>
        <v>63457.999999999993</v>
      </c>
      <c r="H172" s="433">
        <f>+'q16'!$G$19</f>
        <v>65071</v>
      </c>
      <c r="I172" s="433">
        <f>+'q16'!$H$19</f>
        <v>64891</v>
      </c>
      <c r="J172" s="433">
        <f>+'q16'!$I$19</f>
        <v>65303</v>
      </c>
      <c r="K172" s="433">
        <f>+'q16'!$J$19</f>
        <v>69493</v>
      </c>
      <c r="L172" s="433">
        <f>+'q16'!$K$19</f>
        <v>72453</v>
      </c>
      <c r="M172" s="433">
        <f>+'q16'!$L$19</f>
        <v>74675</v>
      </c>
    </row>
    <row r="173" spans="1:13">
      <c r="A173" s="422"/>
      <c r="B173" s="422" t="str">
        <f>+'q16'!$A$20</f>
        <v>Beira Baixa</v>
      </c>
      <c r="C173" s="433">
        <f>+'q16'!$B$20</f>
        <v>19205</v>
      </c>
      <c r="D173" s="433">
        <f>+'q16'!$C$20</f>
        <v>18862</v>
      </c>
      <c r="E173" s="433">
        <f>+'q16'!$D$20</f>
        <v>18976</v>
      </c>
      <c r="F173" s="433">
        <f>+'q16'!$E$20</f>
        <v>19074</v>
      </c>
      <c r="G173" s="433">
        <f>+'q16'!$F$20</f>
        <v>20595</v>
      </c>
      <c r="H173" s="433">
        <f>+'q16'!$G$20</f>
        <v>20454</v>
      </c>
      <c r="I173" s="433">
        <f>+'q16'!$H$20</f>
        <v>20429</v>
      </c>
      <c r="J173" s="433">
        <f>+'q16'!$I$20</f>
        <v>20093</v>
      </c>
      <c r="K173" s="433">
        <f>+'q16'!$J$20</f>
        <v>21005</v>
      </c>
      <c r="L173" s="433">
        <f>+'q16'!$K$20</f>
        <v>21994</v>
      </c>
      <c r="M173" s="433">
        <f>+'q16'!$L$20</f>
        <v>22041</v>
      </c>
    </row>
    <row r="174" spans="1:13">
      <c r="A174" s="422"/>
      <c r="B174" s="422" t="str">
        <f>+'q16'!$A$21</f>
        <v>Beiras e Serra da Estrela</v>
      </c>
      <c r="C174" s="433">
        <f>+'q16'!$B$21</f>
        <v>40649</v>
      </c>
      <c r="D174" s="433">
        <f>+'q16'!$C$21</f>
        <v>41339</v>
      </c>
      <c r="E174" s="433">
        <f>+'q16'!$D$21</f>
        <v>41818.000000000007</v>
      </c>
      <c r="F174" s="433">
        <f>+'q16'!$E$21</f>
        <v>43345</v>
      </c>
      <c r="G174" s="433">
        <f>+'q16'!$F$21</f>
        <v>44527.999999999993</v>
      </c>
      <c r="H174" s="433">
        <f>+'q16'!$G$21</f>
        <v>43434.000000000007</v>
      </c>
      <c r="I174" s="433">
        <f>+'q16'!$H$21</f>
        <v>43365</v>
      </c>
      <c r="J174" s="433">
        <f>+'q16'!$I$21</f>
        <v>44041.000000000007</v>
      </c>
      <c r="K174" s="433">
        <f>+'q16'!$J$21</f>
        <v>46266</v>
      </c>
      <c r="L174" s="433">
        <f>+'q16'!$K$21</f>
        <v>48989.999999999993</v>
      </c>
      <c r="M174" s="433">
        <f>+'q16'!$L$21</f>
        <v>48551</v>
      </c>
    </row>
    <row r="175" spans="1:13">
      <c r="A175" s="422"/>
      <c r="B175" s="422" t="str">
        <f>+'q16'!$A$23</f>
        <v>Oeste</v>
      </c>
      <c r="C175" s="433">
        <f>+'q16'!$B$23</f>
        <v>76041</v>
      </c>
      <c r="D175" s="433">
        <f>+'q16'!$C$23</f>
        <v>78135</v>
      </c>
      <c r="E175" s="433">
        <f>+'q16'!$D$23</f>
        <v>80561</v>
      </c>
      <c r="F175" s="433">
        <f>+'q16'!$E$23</f>
        <v>85296.999999999985</v>
      </c>
      <c r="G175" s="433">
        <f>+'q16'!$F$23</f>
        <v>93248</v>
      </c>
      <c r="H175" s="433">
        <f>+'q16'!$G$23</f>
        <v>94993</v>
      </c>
      <c r="I175" s="433">
        <f>+'q16'!$H$23</f>
        <v>93635</v>
      </c>
      <c r="J175" s="433">
        <f>+'q16'!$I$23</f>
        <v>91960</v>
      </c>
      <c r="K175" s="433">
        <f>+'q16'!$J$23</f>
        <v>97506</v>
      </c>
      <c r="L175" s="433">
        <f>+'q16'!$K$23</f>
        <v>103758</v>
      </c>
      <c r="M175" s="433">
        <f>+'q16'!$L$23</f>
        <v>104588.00000000001</v>
      </c>
    </row>
    <row r="176" spans="1:13">
      <c r="A176" s="422"/>
      <c r="B176" s="422" t="str">
        <f>+'q16'!$A$24</f>
        <v>Médio Tejo</v>
      </c>
      <c r="C176" s="433">
        <f>+'q16'!$B$24</f>
        <v>45874.999999999993</v>
      </c>
      <c r="D176" s="433">
        <f>+'q16'!$C$24</f>
        <v>47312</v>
      </c>
      <c r="E176" s="433">
        <f>+'q16'!$D$24</f>
        <v>47227.000000000007</v>
      </c>
      <c r="F176" s="433">
        <f>+'q16'!$E$24</f>
        <v>49621</v>
      </c>
      <c r="G176" s="433">
        <f>+'q16'!$F$24</f>
        <v>50555</v>
      </c>
      <c r="H176" s="433">
        <f>+'q16'!$G$24</f>
        <v>51812</v>
      </c>
      <c r="I176" s="433">
        <f>+'q16'!$H$24</f>
        <v>50877</v>
      </c>
      <c r="J176" s="433">
        <f>+'q16'!$I$24</f>
        <v>50282</v>
      </c>
      <c r="K176" s="433">
        <f>+'q16'!$J$24</f>
        <v>53904.000000000007</v>
      </c>
      <c r="L176" s="433">
        <f>+'q16'!$K$24</f>
        <v>55728</v>
      </c>
      <c r="M176" s="433">
        <f>+'q16'!$L$24</f>
        <v>55609</v>
      </c>
    </row>
    <row r="177" spans="1:13">
      <c r="A177" s="422"/>
      <c r="B177" s="422" t="str">
        <f>+'q16'!$A$25</f>
        <v>Lezíria do Tejo</v>
      </c>
      <c r="C177" s="433">
        <f>+'q16'!$B$25</f>
        <v>50430.000000000007</v>
      </c>
      <c r="D177" s="433">
        <f>+'q16'!$C$25</f>
        <v>51190</v>
      </c>
      <c r="E177" s="433">
        <f>+'q16'!$D$25</f>
        <v>53456.999999999993</v>
      </c>
      <c r="F177" s="433">
        <f>+'q16'!$E$25</f>
        <v>57260.999999999993</v>
      </c>
      <c r="G177" s="433">
        <f>+'q16'!$F$25</f>
        <v>59468</v>
      </c>
      <c r="H177" s="433">
        <f>+'q16'!$G$25</f>
        <v>60669.999999999993</v>
      </c>
      <c r="I177" s="433">
        <f>+'q16'!$H$25</f>
        <v>62731.999999999993</v>
      </c>
      <c r="J177" s="433">
        <f>+'q16'!$I$25</f>
        <v>62898</v>
      </c>
      <c r="K177" s="433">
        <f>+'q16'!$J$25</f>
        <v>66465.999999999985</v>
      </c>
      <c r="L177" s="433">
        <f>+'q16'!$K$25</f>
        <v>69095</v>
      </c>
      <c r="M177" s="433">
        <f>+'q16'!$L$25</f>
        <v>72771</v>
      </c>
    </row>
    <row r="178" spans="1:13">
      <c r="A178" s="422"/>
      <c r="B178" s="422" t="str">
        <f>+'q16'!$A$26</f>
        <v>Grande Lisboa</v>
      </c>
      <c r="C178" s="433">
        <f>+'q16'!$B$26</f>
        <v>677265</v>
      </c>
      <c r="D178" s="433">
        <f>+'q16'!$C$26</f>
        <v>692513</v>
      </c>
      <c r="E178" s="433">
        <f>+'q16'!$D$26</f>
        <v>728120</v>
      </c>
      <c r="F178" s="433">
        <f>+'q16'!$E$26</f>
        <v>753266.00000000012</v>
      </c>
      <c r="G178" s="433">
        <f>+'q16'!$F$26</f>
        <v>788380.00000000012</v>
      </c>
      <c r="H178" s="433">
        <f>+'q16'!$G$26</f>
        <v>807855</v>
      </c>
      <c r="I178" s="433">
        <f>+'q16'!$H$26</f>
        <v>797460</v>
      </c>
      <c r="J178" s="433">
        <f>+'q16'!$I$26</f>
        <v>801493</v>
      </c>
      <c r="K178" s="433">
        <f>+'q16'!$J$26</f>
        <v>875584</v>
      </c>
      <c r="L178" s="433">
        <f>+'q16'!$K$26</f>
        <v>928991</v>
      </c>
      <c r="M178" s="433">
        <f>+'q16'!$L$26</f>
        <v>956373.99999999988</v>
      </c>
    </row>
    <row r="179" spans="1:13">
      <c r="A179" s="422"/>
      <c r="B179" s="422" t="str">
        <f>+'q16'!$A$27</f>
        <v>Península de Setúbal</v>
      </c>
      <c r="C179" s="433">
        <f>+'q16'!$B$27</f>
        <v>120734</v>
      </c>
      <c r="D179" s="433">
        <f>+'q16'!$C$27</f>
        <v>123784.00000000001</v>
      </c>
      <c r="E179" s="433">
        <f>+'q16'!$D$27</f>
        <v>127295</v>
      </c>
      <c r="F179" s="433">
        <f>+'q16'!$E$27</f>
        <v>134832.00000000003</v>
      </c>
      <c r="G179" s="433">
        <f>+'q16'!$F$27</f>
        <v>143332</v>
      </c>
      <c r="H179" s="433">
        <f>+'q16'!$G$27</f>
        <v>147144.00000000003</v>
      </c>
      <c r="I179" s="433">
        <f>+'q16'!$H$27</f>
        <v>146898</v>
      </c>
      <c r="J179" s="433">
        <f>+'q16'!$I$27</f>
        <v>148398</v>
      </c>
      <c r="K179" s="433">
        <f>+'q16'!$J$27</f>
        <v>158898</v>
      </c>
      <c r="L179" s="433">
        <f>+'q16'!$K$27</f>
        <v>163331</v>
      </c>
      <c r="M179" s="433">
        <f>+'q16'!$L$27</f>
        <v>167647</v>
      </c>
    </row>
    <row r="180" spans="1:13">
      <c r="A180" s="422"/>
      <c r="B180" s="422" t="str">
        <f>+'q16'!$A$29</f>
        <v>Alentejo Litoral</v>
      </c>
      <c r="C180" s="433">
        <f>+'q16'!$B$29</f>
        <v>20669</v>
      </c>
      <c r="D180" s="433">
        <f>+'q16'!$C$29</f>
        <v>22067</v>
      </c>
      <c r="E180" s="433">
        <f>+'q16'!$D$29</f>
        <v>23455</v>
      </c>
      <c r="F180" s="433">
        <f>+'q16'!$E$29</f>
        <v>25004</v>
      </c>
      <c r="G180" s="433">
        <f>+'q16'!$F$29</f>
        <v>26593</v>
      </c>
      <c r="H180" s="433">
        <f>+'q16'!$G$29</f>
        <v>28106</v>
      </c>
      <c r="I180" s="433">
        <f>+'q16'!$H$29</f>
        <v>31575</v>
      </c>
      <c r="J180" s="433">
        <f>+'q16'!$I$29</f>
        <v>31890</v>
      </c>
      <c r="K180" s="433">
        <f>+'q16'!$J$29</f>
        <v>34475</v>
      </c>
      <c r="L180" s="433">
        <f>+'q16'!$K$29</f>
        <v>36327</v>
      </c>
      <c r="M180" s="433">
        <f>+'q16'!$L$29</f>
        <v>34505</v>
      </c>
    </row>
    <row r="181" spans="1:13">
      <c r="A181" s="422"/>
      <c r="B181" s="422" t="str">
        <f>+'q16'!$A$30</f>
        <v>Baixo Alentejo</v>
      </c>
      <c r="C181" s="433">
        <f>+'q16'!$B$30</f>
        <v>22425.999999999996</v>
      </c>
      <c r="D181" s="433">
        <f>+'q16'!$C$30</f>
        <v>23238.999999999996</v>
      </c>
      <c r="E181" s="433">
        <f>+'q16'!$D$30</f>
        <v>23619.000000000004</v>
      </c>
      <c r="F181" s="433">
        <f>+'q16'!$E$30</f>
        <v>25024</v>
      </c>
      <c r="G181" s="433">
        <f>+'q16'!$F$30</f>
        <v>25408</v>
      </c>
      <c r="H181" s="433">
        <f>+'q16'!$G$30</f>
        <v>25504</v>
      </c>
      <c r="I181" s="433">
        <f>+'q16'!$H$30</f>
        <v>25388.999999999996</v>
      </c>
      <c r="J181" s="433">
        <f>+'q16'!$I$30</f>
        <v>25463.000000000004</v>
      </c>
      <c r="K181" s="433">
        <f>+'q16'!$J$30</f>
        <v>28355.999999999996</v>
      </c>
      <c r="L181" s="433">
        <f>+'q16'!$K$30</f>
        <v>29927.999999999993</v>
      </c>
      <c r="M181" s="433">
        <f>+'q16'!$L$30</f>
        <v>31283.999999999996</v>
      </c>
    </row>
    <row r="182" spans="1:13">
      <c r="A182" s="422"/>
      <c r="B182" s="422" t="str">
        <f>+'q16'!$A$31</f>
        <v>Alto Alentejo</v>
      </c>
      <c r="C182" s="433">
        <f>+'q16'!$B$31</f>
        <v>19009</v>
      </c>
      <c r="D182" s="433">
        <f>+'q16'!$C$31</f>
        <v>19293</v>
      </c>
      <c r="E182" s="433">
        <f>+'q16'!$D$31</f>
        <v>20176.000000000004</v>
      </c>
      <c r="F182" s="433">
        <f>+'q16'!$E$31</f>
        <v>20664</v>
      </c>
      <c r="G182" s="433">
        <f>+'q16'!$F$31</f>
        <v>20619.999999999996</v>
      </c>
      <c r="H182" s="433">
        <f>+'q16'!$G$31</f>
        <v>20826</v>
      </c>
      <c r="I182" s="433">
        <f>+'q16'!$H$31</f>
        <v>21098</v>
      </c>
      <c r="J182" s="433">
        <f>+'q16'!$I$31</f>
        <v>20537</v>
      </c>
      <c r="K182" s="433">
        <f>+'q16'!$J$31</f>
        <v>21623.000000000007</v>
      </c>
      <c r="L182" s="433">
        <f>+'q16'!$K$31</f>
        <v>22968</v>
      </c>
      <c r="M182" s="433">
        <f>+'q16'!$L$31</f>
        <v>22423</v>
      </c>
    </row>
    <row r="183" spans="1:13">
      <c r="A183" s="422"/>
      <c r="B183" s="422" t="str">
        <f>+'q16'!$A$32</f>
        <v>Alentejo Central</v>
      </c>
      <c r="C183" s="433">
        <f>+'q16'!$B$32</f>
        <v>32529</v>
      </c>
      <c r="D183" s="433">
        <f>+'q16'!$C$32</f>
        <v>34030.999999999993</v>
      </c>
      <c r="E183" s="433">
        <f>+'q16'!$D$32</f>
        <v>35370</v>
      </c>
      <c r="F183" s="433">
        <f>+'q16'!$E$32</f>
        <v>36298.000000000007</v>
      </c>
      <c r="G183" s="433">
        <f>+'q16'!$F$32</f>
        <v>38027.000000000015</v>
      </c>
      <c r="H183" s="433">
        <f>+'q16'!$G$32</f>
        <v>38257</v>
      </c>
      <c r="I183" s="433">
        <f>+'q16'!$H$32</f>
        <v>37783</v>
      </c>
      <c r="J183" s="433">
        <f>+'q16'!$I$32</f>
        <v>38189</v>
      </c>
      <c r="K183" s="433">
        <f>+'q16'!$J$32</f>
        <v>40691</v>
      </c>
      <c r="L183" s="433">
        <f>+'q16'!$K$32</f>
        <v>42405.999999999993</v>
      </c>
      <c r="M183" s="433">
        <f>+'q16'!$L$32</f>
        <v>42150</v>
      </c>
    </row>
    <row r="184" spans="1:13">
      <c r="A184" s="422"/>
      <c r="B184" s="422" t="str">
        <f>+'q16'!$A$33</f>
        <v>Algarve</v>
      </c>
      <c r="C184" s="433">
        <f>+'q16'!$B$33</f>
        <v>109922</v>
      </c>
      <c r="D184" s="433">
        <f>+'q16'!$C$33</f>
        <v>117234</v>
      </c>
      <c r="E184" s="433">
        <f>+'q16'!$D$33</f>
        <v>125989.99999999999</v>
      </c>
      <c r="F184" s="433">
        <f>+'q16'!$E$33</f>
        <v>135848</v>
      </c>
      <c r="G184" s="433">
        <f>+'q16'!$F$33</f>
        <v>144110</v>
      </c>
      <c r="H184" s="433">
        <f>+'q16'!$G$33</f>
        <v>149611</v>
      </c>
      <c r="I184" s="433">
        <f>+'q16'!$H$33</f>
        <v>133943.99999999997</v>
      </c>
      <c r="J184" s="433">
        <f>+'q16'!$I$33</f>
        <v>137936</v>
      </c>
      <c r="K184" s="433">
        <f>+'q16'!$J$33</f>
        <v>154669.99999999997</v>
      </c>
      <c r="L184" s="433">
        <f>+'q16'!$K$33</f>
        <v>166794.00000000003</v>
      </c>
      <c r="M184" s="433">
        <f>+'q16'!$L$33</f>
        <v>172373</v>
      </c>
    </row>
    <row r="185" spans="1:13">
      <c r="B185" s="422" t="s">
        <v>13</v>
      </c>
      <c r="C185" s="433">
        <f>+'q16'!$B$5</f>
        <v>2458163</v>
      </c>
      <c r="D185" s="433">
        <f>+'q16'!$C$5</f>
        <v>2537653.0000000028</v>
      </c>
      <c r="E185" s="433">
        <f>+'q16'!$D$5</f>
        <v>2641918.9999999977</v>
      </c>
      <c r="F185" s="433">
        <f>+'q16'!$E$5</f>
        <v>2767520.9999999977</v>
      </c>
      <c r="G185" s="433">
        <f>+'q16'!$F$5</f>
        <v>2877918.0000000005</v>
      </c>
      <c r="H185" s="433">
        <f>+'q16'!$G$5</f>
        <v>2930481.9999999995</v>
      </c>
      <c r="I185" s="433">
        <f>+'q16'!$H$5</f>
        <v>2902824.9999999981</v>
      </c>
      <c r="J185" s="433">
        <f>+'q16'!$I$5</f>
        <v>2922343.0000000014</v>
      </c>
      <c r="K185" s="433">
        <f>+'q16'!$J$5</f>
        <v>3148146.9999999995</v>
      </c>
      <c r="L185" s="433">
        <f>+'q16'!$K$5</f>
        <v>3296133.9999999981</v>
      </c>
      <c r="M185" s="433">
        <f>+'q16'!$L$5</f>
        <v>3354135.9999999991</v>
      </c>
    </row>
    <row r="189" spans="1:13">
      <c r="A189" s="422" t="s">
        <v>531</v>
      </c>
      <c r="D189" s="423"/>
    </row>
    <row r="190" spans="1:13">
      <c r="A190" s="547" t="s">
        <v>268</v>
      </c>
      <c r="C190" s="422">
        <f>+'q25'!$B$4</f>
        <v>2014</v>
      </c>
      <c r="D190" s="422">
        <f>+'q25'!$C$4</f>
        <v>2015</v>
      </c>
      <c r="E190" s="422">
        <f>+'q25'!$D$4</f>
        <v>2016</v>
      </c>
      <c r="F190" s="422">
        <f>+'q25'!$E$4</f>
        <v>2017</v>
      </c>
      <c r="G190" s="422">
        <f>+'q25'!$F$4</f>
        <v>2018</v>
      </c>
      <c r="H190" s="422">
        <f>+'q25'!$G$4</f>
        <v>2019</v>
      </c>
      <c r="I190" s="422">
        <f>+'q25'!$H$4</f>
        <v>2020</v>
      </c>
      <c r="J190" s="422">
        <f>+'q25'!$I$4</f>
        <v>2021</v>
      </c>
      <c r="K190" s="422">
        <f>+'q25'!$J$4</f>
        <v>2022</v>
      </c>
      <c r="L190" s="422">
        <f>+'q25'!$K$4</f>
        <v>2023</v>
      </c>
      <c r="M190" s="422">
        <f>+'q25'!$L$4</f>
        <v>2024</v>
      </c>
    </row>
    <row r="191" spans="1:13">
      <c r="A191" s="422" t="s">
        <v>524</v>
      </c>
      <c r="B191" s="422" t="str">
        <f>+'q25'!$A$6</f>
        <v>Norte</v>
      </c>
      <c r="C191" s="582">
        <f>+'q25'!$B$6</f>
        <v>812.01</v>
      </c>
      <c r="D191" s="582">
        <f>+'q25'!$C$6</f>
        <v>820.07</v>
      </c>
      <c r="E191" s="582">
        <f>+'q25'!$D$6</f>
        <v>834.01</v>
      </c>
      <c r="F191" s="582">
        <f>+'q25'!$E$6</f>
        <v>854.76</v>
      </c>
      <c r="G191" s="582">
        <f>+'q25'!$F$6</f>
        <v>887.44</v>
      </c>
      <c r="H191" s="582">
        <f>+'q25'!$G$6</f>
        <v>924.5</v>
      </c>
      <c r="I191" s="582">
        <f>+'q25'!$H$6</f>
        <v>965.76</v>
      </c>
      <c r="J191" s="582">
        <f>+'q25'!$I$6</f>
        <v>1006.75</v>
      </c>
      <c r="K191" s="582">
        <f>+'q25'!$J$6</f>
        <v>1063.21</v>
      </c>
      <c r="L191" s="582">
        <f>+'q25'!$K$6</f>
        <v>1137.22</v>
      </c>
      <c r="M191" s="582">
        <f>+'q25'!$L$6</f>
        <v>1233.0899999999999</v>
      </c>
    </row>
    <row r="192" spans="1:13">
      <c r="A192" s="422"/>
      <c r="B192" s="422" t="str">
        <f>+'q25'!$A$15</f>
        <v>Centro</v>
      </c>
      <c r="C192" s="582">
        <f>+'q25'!$B$15</f>
        <v>791.69</v>
      </c>
      <c r="D192" s="582">
        <f>+'q25'!$C$15</f>
        <v>797.26</v>
      </c>
      <c r="E192" s="582">
        <f>+'q25'!$D$15</f>
        <v>811.52</v>
      </c>
      <c r="F192" s="582">
        <f>+'q25'!$E$15</f>
        <v>830.13</v>
      </c>
      <c r="G192" s="582">
        <f>+'q25'!$F$15</f>
        <v>859.11</v>
      </c>
      <c r="H192" s="582">
        <f>+'q25'!$G$15</f>
        <v>891.47</v>
      </c>
      <c r="I192" s="582">
        <f>+'q25'!$H$15</f>
        <v>920.01</v>
      </c>
      <c r="J192" s="582">
        <f>+'q25'!$I$15</f>
        <v>961.02</v>
      </c>
      <c r="K192" s="582">
        <f>+'q25'!$J$15</f>
        <v>1007.64</v>
      </c>
      <c r="L192" s="582">
        <f>+'q25'!$K$15</f>
        <v>1075.43</v>
      </c>
      <c r="M192" s="582">
        <f>+'q25'!$L$15</f>
        <v>1150.98</v>
      </c>
    </row>
    <row r="193" spans="1:13">
      <c r="A193" s="422"/>
      <c r="B193" s="422" t="str">
        <f>+'q25'!$A$22</f>
        <v>Oeste e Vale do Tejo</v>
      </c>
      <c r="C193" s="582">
        <f>+'q25'!$B$22</f>
        <v>784.39</v>
      </c>
      <c r="D193" s="582">
        <f>+'q25'!$C$22</f>
        <v>787.42</v>
      </c>
      <c r="E193" s="582">
        <f>+'q25'!$D$22</f>
        <v>795.81</v>
      </c>
      <c r="F193" s="582">
        <f>+'q25'!$E$22</f>
        <v>813.34</v>
      </c>
      <c r="G193" s="582">
        <f>+'q25'!$F$22</f>
        <v>833.08</v>
      </c>
      <c r="H193" s="582">
        <f>+'q25'!$G$22</f>
        <v>857.96</v>
      </c>
      <c r="I193" s="582">
        <f>+'q25'!$H$22</f>
        <v>892.06</v>
      </c>
      <c r="J193" s="582">
        <f>+'q25'!$I$22</f>
        <v>929.27</v>
      </c>
      <c r="K193" s="582">
        <f>+'q25'!$J$22</f>
        <v>969.17</v>
      </c>
      <c r="L193" s="582">
        <f>+'q25'!$K$22</f>
        <v>1035.0899999999999</v>
      </c>
      <c r="M193" s="582">
        <f>+'q25'!$L$22</f>
        <v>1103.5999999999999</v>
      </c>
    </row>
    <row r="194" spans="1:13">
      <c r="A194" s="422"/>
      <c r="B194" s="422" t="str">
        <f>+'q25'!$A$26</f>
        <v>Grande Lisboa</v>
      </c>
      <c r="C194" s="582">
        <f>+'q25'!$B$26</f>
        <v>1174.23</v>
      </c>
      <c r="D194" s="582">
        <f>+'q25'!$C$26</f>
        <v>1175.57</v>
      </c>
      <c r="E194" s="582">
        <f>+'q25'!$D$26</f>
        <v>1179.78</v>
      </c>
      <c r="F194" s="582">
        <f>+'q25'!$E$26</f>
        <v>1197.4000000000001</v>
      </c>
      <c r="G194" s="582">
        <f>+'q25'!$F$26</f>
        <v>1219.74</v>
      </c>
      <c r="H194" s="582">
        <f>+'q25'!$G$26</f>
        <v>1255.78</v>
      </c>
      <c r="I194" s="582">
        <f>+'q25'!$H$26</f>
        <v>1293.07</v>
      </c>
      <c r="J194" s="582">
        <f>+'q25'!$I$26</f>
        <v>1339.8</v>
      </c>
      <c r="K194" s="582">
        <f>+'q25'!$J$26</f>
        <v>1418.39</v>
      </c>
      <c r="L194" s="582">
        <f>+'q25'!$K$26</f>
        <v>1505.99</v>
      </c>
      <c r="M194" s="582">
        <f>+'q25'!$L$26</f>
        <v>1600.02</v>
      </c>
    </row>
    <row r="195" spans="1:13">
      <c r="A195" s="422"/>
      <c r="B195" s="422" t="str">
        <f>+'q25'!$A$27</f>
        <v>Península de Setúbal</v>
      </c>
      <c r="C195" s="582">
        <f>+'q25'!$B$27</f>
        <v>942.29</v>
      </c>
      <c r="D195" s="582">
        <f>+'q25'!$C$27</f>
        <v>958.82</v>
      </c>
      <c r="E195" s="582">
        <f>+'q25'!$D$27</f>
        <v>981.55</v>
      </c>
      <c r="F195" s="582">
        <f>+'q25'!$E$27</f>
        <v>991.49</v>
      </c>
      <c r="G195" s="582">
        <f>+'q25'!$F$27</f>
        <v>1000.7</v>
      </c>
      <c r="H195" s="582">
        <f>+'q25'!$G$27</f>
        <v>1025.8699999999999</v>
      </c>
      <c r="I195" s="582">
        <f>+'q25'!$H$27</f>
        <v>1059.8599999999999</v>
      </c>
      <c r="J195" s="582">
        <f>+'q25'!$I$27</f>
        <v>1079.49</v>
      </c>
      <c r="K195" s="582">
        <f>+'q25'!$J$27</f>
        <v>1126.71</v>
      </c>
      <c r="L195" s="582">
        <f>+'q25'!$K$27</f>
        <v>1188.27</v>
      </c>
      <c r="M195" s="582">
        <f>+'q25'!$L$27</f>
        <v>1275.49</v>
      </c>
    </row>
    <row r="196" spans="1:13">
      <c r="A196" s="422"/>
      <c r="B196" s="422" t="str">
        <f>+'q25'!$A$28</f>
        <v>Alentejo</v>
      </c>
      <c r="C196" s="582">
        <f>+'q25'!$B$28</f>
        <v>805.21</v>
      </c>
      <c r="D196" s="582">
        <f>+'q25'!$C$28</f>
        <v>807.44</v>
      </c>
      <c r="E196" s="582">
        <f>+'q25'!$D$28</f>
        <v>813.39</v>
      </c>
      <c r="F196" s="582">
        <f>+'q25'!$E$28</f>
        <v>830.83</v>
      </c>
      <c r="G196" s="582">
        <f>+'q25'!$F$28</f>
        <v>854.15</v>
      </c>
      <c r="H196" s="582">
        <f>+'q25'!$G$28</f>
        <v>874.15</v>
      </c>
      <c r="I196" s="582">
        <f>+'q25'!$H$28</f>
        <v>908.53</v>
      </c>
      <c r="J196" s="582">
        <f>+'q25'!$I$28</f>
        <v>942.08</v>
      </c>
      <c r="K196" s="582">
        <f>+'q25'!$J$28</f>
        <v>988.91</v>
      </c>
      <c r="L196" s="582">
        <f>+'q25'!$K$28</f>
        <v>1053.06</v>
      </c>
      <c r="M196" s="582">
        <f>+'q25'!$L$28</f>
        <v>1127.48</v>
      </c>
    </row>
    <row r="197" spans="1:13">
      <c r="A197" s="422"/>
      <c r="B197" s="422" t="str">
        <f>+'q25'!$A$33</f>
        <v>Algarve</v>
      </c>
      <c r="C197" s="582">
        <f>+'q25'!$B$33</f>
        <v>780.52</v>
      </c>
      <c r="D197" s="582">
        <f>+'q25'!$C$33</f>
        <v>781.12</v>
      </c>
      <c r="E197" s="582">
        <f>+'q25'!$D$33</f>
        <v>793.76</v>
      </c>
      <c r="F197" s="582">
        <f>+'q25'!$E$33</f>
        <v>810.99</v>
      </c>
      <c r="G197" s="582">
        <f>+'q25'!$F$33</f>
        <v>836.09</v>
      </c>
      <c r="H197" s="582">
        <f>+'q25'!$G$33</f>
        <v>861.15</v>
      </c>
      <c r="I197" s="582">
        <f>+'q25'!$H$33</f>
        <v>897.18</v>
      </c>
      <c r="J197" s="582">
        <f>+'q25'!$I$33</f>
        <v>928.44</v>
      </c>
      <c r="K197" s="582">
        <f>+'q25'!$J$33</f>
        <v>965.83</v>
      </c>
      <c r="L197" s="582">
        <f>+'q25'!$K$33</f>
        <v>1031.25</v>
      </c>
      <c r="M197" s="582">
        <f>+'q25'!$L$33</f>
        <v>1095.01</v>
      </c>
    </row>
    <row r="198" spans="1:13">
      <c r="B198" s="422" t="s">
        <v>13</v>
      </c>
      <c r="C198" s="582">
        <f>+'q25'!$B$5</f>
        <v>909.49</v>
      </c>
      <c r="D198" s="582">
        <f>+'q25'!$C$5</f>
        <v>913.93</v>
      </c>
      <c r="E198" s="582">
        <f>+'q25'!$D$5</f>
        <v>924.94</v>
      </c>
      <c r="F198" s="582">
        <f>+'q25'!$E$5</f>
        <v>943</v>
      </c>
      <c r="G198" s="582">
        <f>+'q25'!$F$5</f>
        <v>970.42</v>
      </c>
      <c r="H198" s="582">
        <f>+'q25'!$G$5</f>
        <v>1005.09</v>
      </c>
      <c r="I198" s="582">
        <f>+'q25'!$H$5</f>
        <v>1041.99</v>
      </c>
      <c r="J198" s="582">
        <f>+'q25'!$I$5</f>
        <v>1082.77</v>
      </c>
      <c r="K198" s="582">
        <f>+'q25'!$J$5</f>
        <v>1143.45</v>
      </c>
      <c r="L198" s="582">
        <f>+'q25'!$K$5</f>
        <v>1219.8699999999999</v>
      </c>
      <c r="M198" s="582">
        <f>+'q25'!$L$5</f>
        <v>1308.96</v>
      </c>
    </row>
    <row r="199" spans="1:13">
      <c r="B199" s="422"/>
      <c r="C199" s="433"/>
      <c r="D199" s="433"/>
      <c r="E199" s="433"/>
      <c r="F199" s="433"/>
      <c r="G199" s="433"/>
      <c r="H199" s="433"/>
      <c r="I199" s="433"/>
      <c r="J199" s="433"/>
      <c r="K199" s="433"/>
      <c r="L199" s="433"/>
      <c r="M199" s="433"/>
    </row>
    <row r="200" spans="1:13">
      <c r="C200" s="422">
        <f>+C190</f>
        <v>2014</v>
      </c>
      <c r="D200" s="422">
        <f t="shared" ref="D200:M200" si="65">+D190</f>
        <v>2015</v>
      </c>
      <c r="E200" s="422">
        <f t="shared" si="65"/>
        <v>2016</v>
      </c>
      <c r="F200" s="422">
        <f t="shared" si="65"/>
        <v>2017</v>
      </c>
      <c r="G200" s="422">
        <f t="shared" si="65"/>
        <v>2018</v>
      </c>
      <c r="H200" s="422">
        <f t="shared" si="65"/>
        <v>2019</v>
      </c>
      <c r="I200" s="422">
        <f t="shared" si="65"/>
        <v>2020</v>
      </c>
      <c r="J200" s="422">
        <f t="shared" si="65"/>
        <v>2021</v>
      </c>
      <c r="K200" s="422">
        <f t="shared" si="65"/>
        <v>2022</v>
      </c>
      <c r="L200" s="422">
        <f t="shared" si="65"/>
        <v>2023</v>
      </c>
      <c r="M200" s="422">
        <f t="shared" si="65"/>
        <v>2024</v>
      </c>
    </row>
    <row r="201" spans="1:13">
      <c r="A201" s="422" t="s">
        <v>525</v>
      </c>
      <c r="B201" s="422" t="str">
        <f>+'q25'!$A$7</f>
        <v>Alto Minho</v>
      </c>
      <c r="C201" s="582">
        <f>+'q25'!$B$7</f>
        <v>729.89</v>
      </c>
      <c r="D201" s="582">
        <f>+'q25'!$C$7</f>
        <v>741.65</v>
      </c>
      <c r="E201" s="582">
        <f>+'q25'!$D$7</f>
        <v>746.72</v>
      </c>
      <c r="F201" s="582">
        <f>+'q25'!$E$7</f>
        <v>782.27</v>
      </c>
      <c r="G201" s="582">
        <f>+'q25'!$F$7</f>
        <v>802.92</v>
      </c>
      <c r="H201" s="582">
        <f>+'q25'!$G$7</f>
        <v>834.97</v>
      </c>
      <c r="I201" s="582">
        <f>+'q25'!$H$7</f>
        <v>865.76</v>
      </c>
      <c r="J201" s="582">
        <f>+'q25'!$I$7</f>
        <v>907.38</v>
      </c>
      <c r="K201" s="582">
        <f>+'q25'!$J$7</f>
        <v>955.67</v>
      </c>
      <c r="L201" s="582">
        <f>+'q25'!$K$7</f>
        <v>1022.16</v>
      </c>
      <c r="M201" s="582">
        <f>+'q25'!$L$7</f>
        <v>1098.82</v>
      </c>
    </row>
    <row r="202" spans="1:13">
      <c r="A202" s="422"/>
      <c r="B202" s="422" t="str">
        <f>+'q25'!$A$8</f>
        <v>Cávado</v>
      </c>
      <c r="C202" s="582">
        <f>+'q25'!$B$8</f>
        <v>759.84</v>
      </c>
      <c r="D202" s="582">
        <f>+'q25'!$C$8</f>
        <v>761.41</v>
      </c>
      <c r="E202" s="582">
        <f>+'q25'!$D$8</f>
        <v>779.14</v>
      </c>
      <c r="F202" s="582">
        <f>+'q25'!$E$8</f>
        <v>804.2</v>
      </c>
      <c r="G202" s="582">
        <f>+'q25'!$F$8</f>
        <v>837.41</v>
      </c>
      <c r="H202" s="582">
        <f>+'q25'!$G$8</f>
        <v>882.73</v>
      </c>
      <c r="I202" s="582">
        <f>+'q25'!$H$8</f>
        <v>926.11</v>
      </c>
      <c r="J202" s="582">
        <f>+'q25'!$I$8</f>
        <v>973.97</v>
      </c>
      <c r="K202" s="582">
        <f>+'q25'!$J$8</f>
        <v>1014.07</v>
      </c>
      <c r="L202" s="582">
        <f>+'q25'!$K$8</f>
        <v>1092.31</v>
      </c>
      <c r="M202" s="582">
        <f>+'q25'!$L$8</f>
        <v>1183.58</v>
      </c>
    </row>
    <row r="203" spans="1:13">
      <c r="A203" s="422"/>
      <c r="B203" s="422" t="str">
        <f>+'q25'!$A$9</f>
        <v>Ave</v>
      </c>
      <c r="C203" s="582">
        <f>+'q25'!$B$9</f>
        <v>721.62</v>
      </c>
      <c r="D203" s="582">
        <f>+'q25'!$C$9</f>
        <v>730.34</v>
      </c>
      <c r="E203" s="582">
        <f>+'q25'!$D$9</f>
        <v>747.36</v>
      </c>
      <c r="F203" s="582">
        <f>+'q25'!$E$9</f>
        <v>775.08</v>
      </c>
      <c r="G203" s="582">
        <f>+'q25'!$F$9</f>
        <v>802.78</v>
      </c>
      <c r="H203" s="582">
        <f>+'q25'!$G$9</f>
        <v>830.45</v>
      </c>
      <c r="I203" s="582">
        <f>+'q25'!$H$9</f>
        <v>871.56</v>
      </c>
      <c r="J203" s="582">
        <f>+'q25'!$I$9</f>
        <v>916.46</v>
      </c>
      <c r="K203" s="582">
        <f>+'q25'!$J$9</f>
        <v>964.07</v>
      </c>
      <c r="L203" s="582">
        <f>+'q25'!$K$9</f>
        <v>1028.49</v>
      </c>
      <c r="M203" s="582">
        <f>+'q25'!$L$9</f>
        <v>1109.23</v>
      </c>
    </row>
    <row r="204" spans="1:13">
      <c r="A204" s="422"/>
      <c r="B204" s="422" t="str">
        <f>+'q25'!$A$10</f>
        <v>Área Metropolitana do Porto</v>
      </c>
      <c r="C204" s="582">
        <f>+'q25'!$B$10</f>
        <v>899.59</v>
      </c>
      <c r="D204" s="582">
        <f>+'q25'!$C$10</f>
        <v>909.44</v>
      </c>
      <c r="E204" s="582">
        <f>+'q25'!$D$10</f>
        <v>922.09</v>
      </c>
      <c r="F204" s="582">
        <f>+'q25'!$E$10</f>
        <v>937.69</v>
      </c>
      <c r="G204" s="582">
        <f>+'q25'!$F$10</f>
        <v>975.29</v>
      </c>
      <c r="H204" s="582">
        <f>+'q25'!$G$10</f>
        <v>1012.56</v>
      </c>
      <c r="I204" s="582">
        <f>+'q25'!$H$10</f>
        <v>1057.6600000000001</v>
      </c>
      <c r="J204" s="582">
        <f>+'q25'!$I$10</f>
        <v>1099.93</v>
      </c>
      <c r="K204" s="582">
        <f>+'q25'!$J$10</f>
        <v>1165.44</v>
      </c>
      <c r="L204" s="582">
        <f>+'q25'!$K$10</f>
        <v>1242.23</v>
      </c>
      <c r="M204" s="582">
        <f>+'q25'!$L$10</f>
        <v>1351.51</v>
      </c>
    </row>
    <row r="205" spans="1:13">
      <c r="A205" s="422"/>
      <c r="B205" s="422" t="str">
        <f>+'q25'!$A$11</f>
        <v>Alto Tâmega e Barroso</v>
      </c>
      <c r="C205" s="582">
        <f>+'q25'!$B$11</f>
        <v>689.68</v>
      </c>
      <c r="D205" s="582">
        <f>+'q25'!$C$11</f>
        <v>689.75</v>
      </c>
      <c r="E205" s="582">
        <f>+'q25'!$D$11</f>
        <v>723.25</v>
      </c>
      <c r="F205" s="582">
        <f>+'q25'!$E$11</f>
        <v>757.29</v>
      </c>
      <c r="G205" s="582">
        <f>+'q25'!$F$11</f>
        <v>779.47</v>
      </c>
      <c r="H205" s="582">
        <f>+'q25'!$G$11</f>
        <v>802.55</v>
      </c>
      <c r="I205" s="582">
        <f>+'q25'!$H$11</f>
        <v>831.23</v>
      </c>
      <c r="J205" s="582">
        <f>+'q25'!$I$11</f>
        <v>852.76</v>
      </c>
      <c r="K205" s="582">
        <f>+'q25'!$J$11</f>
        <v>892.27</v>
      </c>
      <c r="L205" s="582">
        <f>+'q25'!$K$11</f>
        <v>964</v>
      </c>
      <c r="M205" s="582">
        <f>+'q25'!$L$11</f>
        <v>1024.3399999999999</v>
      </c>
    </row>
    <row r="206" spans="1:13">
      <c r="A206" s="422"/>
      <c r="B206" s="422" t="str">
        <f>+'q25'!$A$12</f>
        <v>Tâmega e Sousa</v>
      </c>
      <c r="C206" s="582">
        <f>+'q25'!$B$12</f>
        <v>661.46</v>
      </c>
      <c r="D206" s="582">
        <f>+'q25'!$C$12</f>
        <v>668.83</v>
      </c>
      <c r="E206" s="582">
        <f>+'q25'!$D$12</f>
        <v>685.64</v>
      </c>
      <c r="F206" s="582">
        <f>+'q25'!$E$12</f>
        <v>704.33</v>
      </c>
      <c r="G206" s="582">
        <f>+'q25'!$F$12</f>
        <v>733.18</v>
      </c>
      <c r="H206" s="582">
        <f>+'q25'!$G$12</f>
        <v>764.65</v>
      </c>
      <c r="I206" s="582">
        <f>+'q25'!$H$12</f>
        <v>802.58</v>
      </c>
      <c r="J206" s="582">
        <f>+'q25'!$I$12</f>
        <v>845.09</v>
      </c>
      <c r="K206" s="582">
        <f>+'q25'!$J$12</f>
        <v>885.57</v>
      </c>
      <c r="L206" s="582">
        <f>+'q25'!$K$12</f>
        <v>949.32</v>
      </c>
      <c r="M206" s="582">
        <f>+'q25'!$L$12</f>
        <v>1026.48</v>
      </c>
    </row>
    <row r="207" spans="1:13">
      <c r="A207" s="422"/>
      <c r="B207" s="422" t="str">
        <f>+'q25'!$A$13</f>
        <v>Douro</v>
      </c>
      <c r="C207" s="582">
        <f>+'q25'!$B$13</f>
        <v>745.33</v>
      </c>
      <c r="D207" s="582">
        <f>+'q25'!$C$13</f>
        <v>747.62</v>
      </c>
      <c r="E207" s="582">
        <f>+'q25'!$D$13</f>
        <v>750.66</v>
      </c>
      <c r="F207" s="582">
        <f>+'q25'!$E$13</f>
        <v>766.74</v>
      </c>
      <c r="G207" s="582">
        <f>+'q25'!$F$13</f>
        <v>789.36</v>
      </c>
      <c r="H207" s="582">
        <f>+'q25'!$G$13</f>
        <v>816.21</v>
      </c>
      <c r="I207" s="582">
        <f>+'q25'!$H$13</f>
        <v>838.94</v>
      </c>
      <c r="J207" s="582">
        <f>+'q25'!$I$13</f>
        <v>872.95</v>
      </c>
      <c r="K207" s="582">
        <f>+'q25'!$J$13</f>
        <v>922.59</v>
      </c>
      <c r="L207" s="582">
        <f>+'q25'!$K$13</f>
        <v>988.16</v>
      </c>
      <c r="M207" s="582">
        <f>+'q25'!$L$13</f>
        <v>1059.6099999999999</v>
      </c>
    </row>
    <row r="208" spans="1:13">
      <c r="A208" s="422"/>
      <c r="B208" s="422" t="str">
        <f>+'q25'!$A$14</f>
        <v>Terras de Trás-os-Montes</v>
      </c>
      <c r="C208" s="582">
        <f>+'q25'!$B$14</f>
        <v>702.36</v>
      </c>
      <c r="D208" s="582">
        <f>+'q25'!$C$14</f>
        <v>711.04</v>
      </c>
      <c r="E208" s="582">
        <f>+'q25'!$D$14</f>
        <v>732.9</v>
      </c>
      <c r="F208" s="582">
        <f>+'q25'!$E$14</f>
        <v>751.28</v>
      </c>
      <c r="G208" s="582">
        <f>+'q25'!$F$14</f>
        <v>770.98</v>
      </c>
      <c r="H208" s="582">
        <f>+'q25'!$G$14</f>
        <v>799.16</v>
      </c>
      <c r="I208" s="582">
        <f>+'q25'!$H$14</f>
        <v>833.66</v>
      </c>
      <c r="J208" s="582">
        <f>+'q25'!$I$14</f>
        <v>864.26</v>
      </c>
      <c r="K208" s="582">
        <f>+'q25'!$J$14</f>
        <v>899.68</v>
      </c>
      <c r="L208" s="582">
        <f>+'q25'!$K$14</f>
        <v>965.83</v>
      </c>
      <c r="M208" s="582">
        <f>+'q25'!$L$14</f>
        <v>1033.23</v>
      </c>
    </row>
    <row r="209" spans="1:13">
      <c r="A209" s="422"/>
      <c r="B209" s="422" t="str">
        <f>+'q25'!$A$16</f>
        <v>Região de Aveiro</v>
      </c>
      <c r="C209" s="582">
        <f>+'q25'!$B$16</f>
        <v>840.87</v>
      </c>
      <c r="D209" s="582">
        <f>+'q25'!$C$16</f>
        <v>850.11</v>
      </c>
      <c r="E209" s="582">
        <f>+'q25'!$D$16</f>
        <v>860.22</v>
      </c>
      <c r="F209" s="582">
        <f>+'q25'!$E$16</f>
        <v>876.7</v>
      </c>
      <c r="G209" s="582">
        <f>+'q25'!$F$16</f>
        <v>907.62</v>
      </c>
      <c r="H209" s="582">
        <f>+'q25'!$G$16</f>
        <v>947.58</v>
      </c>
      <c r="I209" s="582">
        <f>+'q25'!$H$16</f>
        <v>970.59</v>
      </c>
      <c r="J209" s="582">
        <f>+'q25'!$I$16</f>
        <v>1011.7</v>
      </c>
      <c r="K209" s="582">
        <f>+'q25'!$J$16</f>
        <v>1065.4100000000001</v>
      </c>
      <c r="L209" s="582">
        <f>+'q25'!$K$16</f>
        <v>1142.06</v>
      </c>
      <c r="M209" s="582">
        <f>+'q25'!$L$16</f>
        <v>1223.23</v>
      </c>
    </row>
    <row r="210" spans="1:13">
      <c r="A210" s="422"/>
      <c r="B210" s="422" t="str">
        <f>+'q25'!$A$17</f>
        <v>Região de Coimbra</v>
      </c>
      <c r="C210" s="582">
        <f>+'q25'!$B$17</f>
        <v>798.25</v>
      </c>
      <c r="D210" s="582">
        <f>+'q25'!$C$17</f>
        <v>798.23</v>
      </c>
      <c r="E210" s="582">
        <f>+'q25'!$D$17</f>
        <v>813.19</v>
      </c>
      <c r="F210" s="582">
        <f>+'q25'!$E$17</f>
        <v>831.44</v>
      </c>
      <c r="G210" s="582">
        <f>+'q25'!$F$17</f>
        <v>860.34</v>
      </c>
      <c r="H210" s="582">
        <f>+'q25'!$G$17</f>
        <v>892.77</v>
      </c>
      <c r="I210" s="582">
        <f>+'q25'!$H$17</f>
        <v>921.46</v>
      </c>
      <c r="J210" s="582">
        <f>+'q25'!$I$17</f>
        <v>964.52</v>
      </c>
      <c r="K210" s="582">
        <f>+'q25'!$J$17</f>
        <v>1011.46</v>
      </c>
      <c r="L210" s="582">
        <f>+'q25'!$K$17</f>
        <v>1081.05</v>
      </c>
      <c r="M210" s="582">
        <f>+'q25'!$L$17</f>
        <v>1154.1500000000001</v>
      </c>
    </row>
    <row r="211" spans="1:13">
      <c r="A211" s="422"/>
      <c r="B211" s="422" t="str">
        <f>+'q25'!$A$18</f>
        <v>Região de Leiria</v>
      </c>
      <c r="C211" s="582">
        <f>+'q25'!$B$18</f>
        <v>816.84</v>
      </c>
      <c r="D211" s="582">
        <f>+'q25'!$C$18</f>
        <v>825.07</v>
      </c>
      <c r="E211" s="582">
        <f>+'q25'!$D$18</f>
        <v>839.81</v>
      </c>
      <c r="F211" s="582">
        <f>+'q25'!$E$18</f>
        <v>859.07</v>
      </c>
      <c r="G211" s="582">
        <f>+'q25'!$F$18</f>
        <v>894</v>
      </c>
      <c r="H211" s="582">
        <f>+'q25'!$G$18</f>
        <v>921.39</v>
      </c>
      <c r="I211" s="582">
        <f>+'q25'!$H$18</f>
        <v>947.75</v>
      </c>
      <c r="J211" s="582">
        <f>+'q25'!$I$18</f>
        <v>986.61</v>
      </c>
      <c r="K211" s="582">
        <f>+'q25'!$J$18</f>
        <v>1034.0899999999999</v>
      </c>
      <c r="L211" s="582">
        <f>+'q25'!$K$18</f>
        <v>1096.77</v>
      </c>
      <c r="M211" s="582">
        <f>+'q25'!$L$18</f>
        <v>1171.5899999999999</v>
      </c>
    </row>
    <row r="212" spans="1:13">
      <c r="A212" s="422"/>
      <c r="B212" s="422" t="str">
        <f>+'q25'!$A$19</f>
        <v>Viseu Dão Lafões</v>
      </c>
      <c r="C212" s="582">
        <f>+'q25'!$B$19</f>
        <v>742.83</v>
      </c>
      <c r="D212" s="582">
        <f>+'q25'!$C$19</f>
        <v>745.16</v>
      </c>
      <c r="E212" s="582">
        <f>+'q25'!$D$19</f>
        <v>757.72</v>
      </c>
      <c r="F212" s="582">
        <f>+'q25'!$E$19</f>
        <v>777.17</v>
      </c>
      <c r="G212" s="582">
        <f>+'q25'!$F$19</f>
        <v>802.22</v>
      </c>
      <c r="H212" s="582">
        <f>+'q25'!$G$19</f>
        <v>830.2</v>
      </c>
      <c r="I212" s="582">
        <f>+'q25'!$H$19</f>
        <v>862.87</v>
      </c>
      <c r="J212" s="582">
        <f>+'q25'!$I$19</f>
        <v>906.83</v>
      </c>
      <c r="K212" s="582">
        <f>+'q25'!$J$19</f>
        <v>944.07</v>
      </c>
      <c r="L212" s="582">
        <f>+'q25'!$K$19</f>
        <v>1009.72</v>
      </c>
      <c r="M212" s="582">
        <f>+'q25'!$L$19</f>
        <v>1078.24</v>
      </c>
    </row>
    <row r="213" spans="1:13">
      <c r="A213" s="422"/>
      <c r="B213" s="422" t="str">
        <f>+'q25'!$A$20</f>
        <v>Beira Baixa</v>
      </c>
      <c r="C213" s="582">
        <f>+'q25'!$B$20</f>
        <v>726.57</v>
      </c>
      <c r="D213" s="582">
        <f>+'q25'!$C$20</f>
        <v>730.63</v>
      </c>
      <c r="E213" s="582">
        <f>+'q25'!$D$20</f>
        <v>750.33</v>
      </c>
      <c r="F213" s="582">
        <f>+'q25'!$E$20</f>
        <v>767.59</v>
      </c>
      <c r="G213" s="582">
        <f>+'q25'!$F$20</f>
        <v>786.68</v>
      </c>
      <c r="H213" s="582">
        <f>+'q25'!$G$20</f>
        <v>812.51</v>
      </c>
      <c r="I213" s="582">
        <f>+'q25'!$H$20</f>
        <v>851.68</v>
      </c>
      <c r="J213" s="582">
        <f>+'q25'!$I$20</f>
        <v>894.93</v>
      </c>
      <c r="K213" s="582">
        <f>+'q25'!$J$20</f>
        <v>926.52</v>
      </c>
      <c r="L213" s="582">
        <f>+'q25'!$K$20</f>
        <v>990.62</v>
      </c>
      <c r="M213" s="582">
        <f>+'q25'!$L$20</f>
        <v>1063.8800000000001</v>
      </c>
    </row>
    <row r="214" spans="1:13">
      <c r="A214" s="422"/>
      <c r="B214" s="422" t="str">
        <f>+'q25'!$A$21</f>
        <v>Beiras e Serra da Estrela</v>
      </c>
      <c r="C214" s="582">
        <f>+'q25'!$B$21</f>
        <v>706.7</v>
      </c>
      <c r="D214" s="582">
        <f>+'q25'!$C$21</f>
        <v>713.67</v>
      </c>
      <c r="E214" s="582">
        <f>+'q25'!$D$21</f>
        <v>731.12</v>
      </c>
      <c r="F214" s="582">
        <f>+'q25'!$E$21</f>
        <v>752.07</v>
      </c>
      <c r="G214" s="582">
        <f>+'q25'!$F$21</f>
        <v>776.5</v>
      </c>
      <c r="H214" s="582">
        <f>+'q25'!$G$21</f>
        <v>807.38</v>
      </c>
      <c r="I214" s="582">
        <f>+'q25'!$H$21</f>
        <v>841.02</v>
      </c>
      <c r="J214" s="582">
        <f>+'q25'!$I$21</f>
        <v>877.51</v>
      </c>
      <c r="K214" s="582">
        <f>+'q25'!$J$21</f>
        <v>921.32</v>
      </c>
      <c r="L214" s="582">
        <f>+'q25'!$K$21</f>
        <v>979.61</v>
      </c>
      <c r="M214" s="582">
        <f>+'q25'!$L$21</f>
        <v>1058.19</v>
      </c>
    </row>
    <row r="215" spans="1:13">
      <c r="A215" s="422"/>
      <c r="B215" s="422" t="str">
        <f>+'q25'!$A$23</f>
        <v>Oeste</v>
      </c>
      <c r="C215" s="582">
        <f>+'q25'!$B$23</f>
        <v>771.78</v>
      </c>
      <c r="D215" s="582">
        <f>+'q25'!$C$23</f>
        <v>770.07</v>
      </c>
      <c r="E215" s="582">
        <f>+'q25'!$D$23</f>
        <v>785.59</v>
      </c>
      <c r="F215" s="582">
        <f>+'q25'!$E$23</f>
        <v>801.29</v>
      </c>
      <c r="G215" s="582">
        <f>+'q25'!$F$23</f>
        <v>821.95</v>
      </c>
      <c r="H215" s="582">
        <f>+'q25'!$G$23</f>
        <v>848.7</v>
      </c>
      <c r="I215" s="582">
        <f>+'q25'!$H$23</f>
        <v>884.55</v>
      </c>
      <c r="J215" s="582">
        <f>+'q25'!$I$23</f>
        <v>926.96</v>
      </c>
      <c r="K215" s="582">
        <f>+'q25'!$J$23</f>
        <v>966.4</v>
      </c>
      <c r="L215" s="582">
        <f>+'q25'!$K$23</f>
        <v>1033.98</v>
      </c>
      <c r="M215" s="582">
        <f>+'q25'!$L$23</f>
        <v>1100.1600000000001</v>
      </c>
    </row>
    <row r="216" spans="1:13">
      <c r="A216" s="422"/>
      <c r="B216" s="422" t="str">
        <f>+'q25'!$A$24</f>
        <v>Médio Tejo</v>
      </c>
      <c r="C216" s="582">
        <f>+'q25'!$B$24</f>
        <v>785.86</v>
      </c>
      <c r="D216" s="582">
        <f>+'q25'!$C$24</f>
        <v>791.65</v>
      </c>
      <c r="E216" s="582">
        <f>+'q25'!$D$24</f>
        <v>795.89</v>
      </c>
      <c r="F216" s="582">
        <f>+'q25'!$E$24</f>
        <v>823.17</v>
      </c>
      <c r="G216" s="582">
        <f>+'q25'!$F$24</f>
        <v>843.09</v>
      </c>
      <c r="H216" s="582">
        <f>+'q25'!$G$24</f>
        <v>873.51</v>
      </c>
      <c r="I216" s="582">
        <f>+'q25'!$H$24</f>
        <v>905.27</v>
      </c>
      <c r="J216" s="582">
        <f>+'q25'!$I$24</f>
        <v>935.38</v>
      </c>
      <c r="K216" s="582">
        <f>+'q25'!$J$24</f>
        <v>969.05</v>
      </c>
      <c r="L216" s="582">
        <f>+'q25'!$K$24</f>
        <v>1035.3900000000001</v>
      </c>
      <c r="M216" s="582">
        <f>+'q25'!$L$24</f>
        <v>1108.57</v>
      </c>
    </row>
    <row r="217" spans="1:13">
      <c r="A217" s="422"/>
      <c r="B217" s="422" t="str">
        <f>+'q25'!$A$25</f>
        <v>Lezíria do Tejo</v>
      </c>
      <c r="C217" s="582">
        <f>+'q25'!$B$25</f>
        <v>802.58</v>
      </c>
      <c r="D217" s="582">
        <f>+'q25'!$C$25</f>
        <v>810.85</v>
      </c>
      <c r="E217" s="582">
        <f>+'q25'!$D$25</f>
        <v>811.7</v>
      </c>
      <c r="F217" s="582">
        <f>+'q25'!$E$25</f>
        <v>823.12</v>
      </c>
      <c r="G217" s="582">
        <f>+'q25'!$F$25</f>
        <v>841.64</v>
      </c>
      <c r="H217" s="582">
        <f>+'q25'!$G$25</f>
        <v>858.78</v>
      </c>
      <c r="I217" s="582">
        <f>+'q25'!$H$25</f>
        <v>892.52</v>
      </c>
      <c r="J217" s="582">
        <f>+'q25'!$I$25</f>
        <v>927.76</v>
      </c>
      <c r="K217" s="582">
        <f>+'q25'!$J$25</f>
        <v>973.65</v>
      </c>
      <c r="L217" s="582">
        <f>+'q25'!$K$25</f>
        <v>1036.5899999999999</v>
      </c>
      <c r="M217" s="582">
        <f>+'q25'!$L$25</f>
        <v>1104.77</v>
      </c>
    </row>
    <row r="218" spans="1:13">
      <c r="A218" s="422"/>
      <c r="B218" s="422" t="str">
        <f>+'q25'!$A$26</f>
        <v>Grande Lisboa</v>
      </c>
      <c r="C218" s="582">
        <f>+'q25'!$B$26</f>
        <v>1174.23</v>
      </c>
      <c r="D218" s="582">
        <f>+'q25'!$C$26</f>
        <v>1175.57</v>
      </c>
      <c r="E218" s="582">
        <f>+'q25'!$D$26</f>
        <v>1179.78</v>
      </c>
      <c r="F218" s="582">
        <f>+'q25'!$E$26</f>
        <v>1197.4000000000001</v>
      </c>
      <c r="G218" s="582">
        <f>+'q25'!$F$26</f>
        <v>1219.74</v>
      </c>
      <c r="H218" s="582">
        <f>+'q25'!$G$26</f>
        <v>1255.78</v>
      </c>
      <c r="I218" s="582">
        <f>+'q25'!$H$26</f>
        <v>1293.07</v>
      </c>
      <c r="J218" s="582">
        <f>+'q25'!$I$26</f>
        <v>1339.8</v>
      </c>
      <c r="K218" s="582">
        <f>+'q25'!$J$26</f>
        <v>1418.39</v>
      </c>
      <c r="L218" s="582">
        <f>+'q25'!$K$26</f>
        <v>1505.99</v>
      </c>
      <c r="M218" s="582">
        <f>+'q25'!$L$26</f>
        <v>1600.02</v>
      </c>
    </row>
    <row r="219" spans="1:13">
      <c r="A219" s="422"/>
      <c r="B219" s="422" t="str">
        <f>+'q25'!$A$27</f>
        <v>Península de Setúbal</v>
      </c>
      <c r="C219" s="582">
        <f>+'q25'!$B$27</f>
        <v>942.29</v>
      </c>
      <c r="D219" s="582">
        <f>+'q25'!$C$27</f>
        <v>958.82</v>
      </c>
      <c r="E219" s="582">
        <f>+'q25'!$D$27</f>
        <v>981.55</v>
      </c>
      <c r="F219" s="582">
        <f>+'q25'!$E$27</f>
        <v>991.49</v>
      </c>
      <c r="G219" s="582">
        <f>+'q25'!$F$27</f>
        <v>1000.7</v>
      </c>
      <c r="H219" s="582">
        <f>+'q25'!$G$27</f>
        <v>1025.8699999999999</v>
      </c>
      <c r="I219" s="582">
        <f>+'q25'!$H$27</f>
        <v>1059.8599999999999</v>
      </c>
      <c r="J219" s="582">
        <f>+'q25'!$I$27</f>
        <v>1079.49</v>
      </c>
      <c r="K219" s="582">
        <f>+'q25'!$J$27</f>
        <v>1126.71</v>
      </c>
      <c r="L219" s="582">
        <f>+'q25'!$K$27</f>
        <v>1188.27</v>
      </c>
      <c r="M219" s="582">
        <f>+'q25'!$L$27</f>
        <v>1275.49</v>
      </c>
    </row>
    <row r="220" spans="1:13">
      <c r="A220" s="422"/>
      <c r="B220" s="422" t="str">
        <f>+'q25'!$A$29</f>
        <v>Alentejo Litoral</v>
      </c>
      <c r="C220" s="582">
        <f>+'q25'!$B$29</f>
        <v>893.32</v>
      </c>
      <c r="D220" s="582">
        <f>+'q25'!$C$29</f>
        <v>884.28</v>
      </c>
      <c r="E220" s="582">
        <f>+'q25'!$D$29</f>
        <v>882.81</v>
      </c>
      <c r="F220" s="582">
        <f>+'q25'!$E$29</f>
        <v>894.34</v>
      </c>
      <c r="G220" s="582">
        <f>+'q25'!$F$29</f>
        <v>914.74</v>
      </c>
      <c r="H220" s="582">
        <f>+'q25'!$G$29</f>
        <v>916.54</v>
      </c>
      <c r="I220" s="582">
        <f>+'q25'!$H$29</f>
        <v>952</v>
      </c>
      <c r="J220" s="582">
        <f>+'q25'!$I$29</f>
        <v>976.17</v>
      </c>
      <c r="K220" s="582">
        <f>+'q25'!$J$29</f>
        <v>1023.18</v>
      </c>
      <c r="L220" s="582">
        <f>+'q25'!$K$29</f>
        <v>1108.18</v>
      </c>
      <c r="M220" s="582">
        <f>+'q25'!$L$29</f>
        <v>1180.01</v>
      </c>
    </row>
    <row r="221" spans="1:13">
      <c r="A221" s="422"/>
      <c r="B221" s="422" t="str">
        <f>+'q25'!$A$30</f>
        <v>Baixo Alentejo</v>
      </c>
      <c r="C221" s="582">
        <f>+'q25'!$B$30</f>
        <v>786.13</v>
      </c>
      <c r="D221" s="582">
        <f>+'q25'!$C$30</f>
        <v>793.32</v>
      </c>
      <c r="E221" s="582">
        <f>+'q25'!$D$30</f>
        <v>797.44</v>
      </c>
      <c r="F221" s="582">
        <f>+'q25'!$E$30</f>
        <v>822.89</v>
      </c>
      <c r="G221" s="582">
        <f>+'q25'!$F$30</f>
        <v>852.59</v>
      </c>
      <c r="H221" s="582">
        <f>+'q25'!$G$30</f>
        <v>885.25</v>
      </c>
      <c r="I221" s="582">
        <f>+'q25'!$H$30</f>
        <v>911.63</v>
      </c>
      <c r="J221" s="582">
        <f>+'q25'!$I$30</f>
        <v>950.68</v>
      </c>
      <c r="K221" s="582">
        <f>+'q25'!$J$30</f>
        <v>994.2</v>
      </c>
      <c r="L221" s="582">
        <f>+'q25'!$K$30</f>
        <v>1044.58</v>
      </c>
      <c r="M221" s="582">
        <f>+'q25'!$L$30</f>
        <v>1119.75</v>
      </c>
    </row>
    <row r="222" spans="1:13">
      <c r="A222" s="422"/>
      <c r="B222" s="422" t="str">
        <f>+'q25'!$A$31</f>
        <v>Alto Alentejo</v>
      </c>
      <c r="C222" s="582">
        <f>+'q25'!$B$31</f>
        <v>754.22</v>
      </c>
      <c r="D222" s="582">
        <f>+'q25'!$C$31</f>
        <v>755.71</v>
      </c>
      <c r="E222" s="582">
        <f>+'q25'!$D$31</f>
        <v>767.83</v>
      </c>
      <c r="F222" s="582">
        <f>+'q25'!$E$31</f>
        <v>783.59</v>
      </c>
      <c r="G222" s="582">
        <f>+'q25'!$F$31</f>
        <v>805.96</v>
      </c>
      <c r="H222" s="582">
        <f>+'q25'!$G$31</f>
        <v>828.76</v>
      </c>
      <c r="I222" s="582">
        <f>+'q25'!$H$31</f>
        <v>863.38</v>
      </c>
      <c r="J222" s="582">
        <f>+'q25'!$I$31</f>
        <v>899.36</v>
      </c>
      <c r="K222" s="582">
        <f>+'q25'!$J$31</f>
        <v>939.13</v>
      </c>
      <c r="L222" s="582">
        <f>+'q25'!$K$31</f>
        <v>990.36</v>
      </c>
      <c r="M222" s="582">
        <f>+'q25'!$L$31</f>
        <v>1064.08</v>
      </c>
    </row>
    <row r="223" spans="1:13">
      <c r="A223" s="422"/>
      <c r="B223" s="422" t="str">
        <f>+'q25'!$A$32</f>
        <v>Alentejo Central</v>
      </c>
      <c r="C223" s="582">
        <f>+'q25'!$B$32</f>
        <v>791.91</v>
      </c>
      <c r="D223" s="582">
        <f>+'q25'!$C$32</f>
        <v>796.55</v>
      </c>
      <c r="E223" s="582">
        <f>+'q25'!$D$32</f>
        <v>804.02</v>
      </c>
      <c r="F223" s="582">
        <f>+'q25'!$E$32</f>
        <v>819.6</v>
      </c>
      <c r="G223" s="582">
        <f>+'q25'!$F$32</f>
        <v>839.16</v>
      </c>
      <c r="H223" s="582">
        <f>+'q25'!$G$32</f>
        <v>861.13</v>
      </c>
      <c r="I223" s="582">
        <f>+'q25'!$H$32</f>
        <v>898.01</v>
      </c>
      <c r="J223" s="582">
        <f>+'q25'!$I$32</f>
        <v>931.83</v>
      </c>
      <c r="K223" s="582">
        <f>+'q25'!$J$32</f>
        <v>984.11</v>
      </c>
      <c r="L223" s="582">
        <f>+'q25'!$K$32</f>
        <v>1049.8499999999999</v>
      </c>
      <c r="M223" s="582">
        <f>+'q25'!$L$32</f>
        <v>1125.55</v>
      </c>
    </row>
    <row r="224" spans="1:13">
      <c r="A224" s="422"/>
      <c r="B224" s="422" t="str">
        <f>+'q25'!$A$33</f>
        <v>Algarve</v>
      </c>
      <c r="C224" s="582">
        <f>+'q25'!$B$33</f>
        <v>780.52</v>
      </c>
      <c r="D224" s="582">
        <f>+'q25'!$C$33</f>
        <v>781.12</v>
      </c>
      <c r="E224" s="582">
        <f>+'q25'!$D$33</f>
        <v>793.76</v>
      </c>
      <c r="F224" s="582">
        <f>+'q25'!$E$33</f>
        <v>810.99</v>
      </c>
      <c r="G224" s="582">
        <f>+'q25'!$F$33</f>
        <v>836.09</v>
      </c>
      <c r="H224" s="582">
        <f>+'q25'!$G$33</f>
        <v>861.15</v>
      </c>
      <c r="I224" s="582">
        <f>+'q25'!$H$33</f>
        <v>897.18</v>
      </c>
      <c r="J224" s="582">
        <f>+'q25'!$I$33</f>
        <v>928.44</v>
      </c>
      <c r="K224" s="582">
        <f>+'q25'!$J$33</f>
        <v>965.83</v>
      </c>
      <c r="L224" s="582">
        <f>+'q25'!$K$33</f>
        <v>1031.25</v>
      </c>
      <c r="M224" s="582">
        <f>+'q25'!$L$33</f>
        <v>1095.01</v>
      </c>
    </row>
    <row r="225" spans="1:13">
      <c r="B225" s="422" t="s">
        <v>13</v>
      </c>
      <c r="C225" s="582">
        <f>+'q25'!$B$5</f>
        <v>909.49</v>
      </c>
      <c r="D225" s="582">
        <f>+'q25'!$C$5</f>
        <v>913.93</v>
      </c>
      <c r="E225" s="582">
        <f>+'q25'!$D$5</f>
        <v>924.94</v>
      </c>
      <c r="F225" s="582">
        <f>+'q25'!$E$5</f>
        <v>943</v>
      </c>
      <c r="G225" s="582">
        <f>+'q25'!$F$5</f>
        <v>970.42</v>
      </c>
      <c r="H225" s="582">
        <f>+'q25'!$G$5</f>
        <v>1005.09</v>
      </c>
      <c r="I225" s="582">
        <f>+'q25'!$H$5</f>
        <v>1041.99</v>
      </c>
      <c r="J225" s="582">
        <f>+'q25'!$I$5</f>
        <v>1082.77</v>
      </c>
      <c r="K225" s="582">
        <f>+'q25'!$J$5</f>
        <v>1143.45</v>
      </c>
      <c r="L225" s="582">
        <f>+'q25'!$K$5</f>
        <v>1219.8699999999999</v>
      </c>
      <c r="M225" s="582">
        <f>+'q25'!$L$5</f>
        <v>1308.96</v>
      </c>
    </row>
    <row r="229" spans="1:13">
      <c r="A229" s="422" t="s">
        <v>532</v>
      </c>
      <c r="D229" s="423"/>
    </row>
    <row r="230" spans="1:13">
      <c r="A230" s="547" t="s">
        <v>269</v>
      </c>
      <c r="C230" s="422">
        <f>+'q37'!$B$4</f>
        <v>2014</v>
      </c>
      <c r="D230" s="422">
        <f>+'q37'!$C$4</f>
        <v>2015</v>
      </c>
      <c r="E230" s="422">
        <f>+'q37'!$D$4</f>
        <v>2016</v>
      </c>
      <c r="F230" s="422">
        <f>+'q37'!$E$4</f>
        <v>2017</v>
      </c>
      <c r="G230" s="422">
        <f>+'q37'!$F$4</f>
        <v>2018</v>
      </c>
      <c r="H230" s="422">
        <f>+'q37'!$G$4</f>
        <v>2019</v>
      </c>
      <c r="I230" s="422">
        <f>+'q37'!$H$4</f>
        <v>2020</v>
      </c>
      <c r="J230" s="422">
        <f>+'q37'!$I$4</f>
        <v>2021</v>
      </c>
      <c r="K230" s="422">
        <f>+'q37'!$J$4</f>
        <v>2022</v>
      </c>
      <c r="L230" s="422">
        <f>+'q37'!$K$4</f>
        <v>2023</v>
      </c>
      <c r="M230" s="422">
        <f>+'q37'!$L$4</f>
        <v>2024</v>
      </c>
    </row>
    <row r="231" spans="1:13">
      <c r="A231" s="422" t="s">
        <v>524</v>
      </c>
      <c r="B231" s="422" t="str">
        <f>+'q37'!$A$6</f>
        <v>Norte</v>
      </c>
      <c r="C231" s="582">
        <f>+'q37'!$B$6</f>
        <v>967.2</v>
      </c>
      <c r="D231" s="582">
        <f>+'q37'!$C$6</f>
        <v>975.01</v>
      </c>
      <c r="E231" s="582">
        <f>+'q37'!$D$6</f>
        <v>986.93</v>
      </c>
      <c r="F231" s="582">
        <f>+'q37'!$E$6</f>
        <v>1015.58</v>
      </c>
      <c r="G231" s="582">
        <f>+'q37'!$F$6</f>
        <v>1056.5999999999999</v>
      </c>
      <c r="H231" s="582">
        <f>+'q37'!$G$6</f>
        <v>1100.44</v>
      </c>
      <c r="I231" s="582">
        <f>+'q37'!$H$6</f>
        <v>1145.23</v>
      </c>
      <c r="J231" s="582">
        <f>+'q37'!$I$6</f>
        <v>1187.19</v>
      </c>
      <c r="K231" s="582">
        <f>+'q37'!$J$6</f>
        <v>1253.46</v>
      </c>
      <c r="L231" s="582">
        <f>+'q37'!$K$6</f>
        <v>1348.66</v>
      </c>
      <c r="M231" s="582">
        <f>+'q37'!$L$6</f>
        <v>1474.68</v>
      </c>
    </row>
    <row r="232" spans="1:13">
      <c r="A232" s="422"/>
      <c r="B232" s="422" t="str">
        <f>+'q37'!$A$15</f>
        <v>Centro</v>
      </c>
      <c r="C232" s="582">
        <f>+'q37'!$B$15</f>
        <v>949.89</v>
      </c>
      <c r="D232" s="582">
        <f>+'q37'!$C$15</f>
        <v>956.66</v>
      </c>
      <c r="E232" s="582">
        <f>+'q37'!$D$15</f>
        <v>972.23</v>
      </c>
      <c r="F232" s="582">
        <f>+'q37'!$E$15</f>
        <v>1002.79</v>
      </c>
      <c r="G232" s="582">
        <f>+'q37'!$F$15</f>
        <v>1042.94</v>
      </c>
      <c r="H232" s="582">
        <f>+'q37'!$G$15</f>
        <v>1082.1199999999999</v>
      </c>
      <c r="I232" s="582">
        <f>+'q37'!$H$15</f>
        <v>1113.26</v>
      </c>
      <c r="J232" s="582">
        <f>+'q37'!$I$15</f>
        <v>1157.6300000000001</v>
      </c>
      <c r="K232" s="582">
        <f>+'q37'!$J$15</f>
        <v>1218.07</v>
      </c>
      <c r="L232" s="582">
        <f>+'q37'!$K$15</f>
        <v>1305.72</v>
      </c>
      <c r="M232" s="582">
        <f>+'q37'!$L$15</f>
        <v>1410.88</v>
      </c>
    </row>
    <row r="233" spans="1:13">
      <c r="A233" s="422"/>
      <c r="B233" s="422" t="str">
        <f>+'q37'!$A$22</f>
        <v>Oeste e Vale do Tejo</v>
      </c>
      <c r="C233" s="582">
        <f>+'q37'!$B$22</f>
        <v>941.8</v>
      </c>
      <c r="D233" s="582">
        <f>+'q37'!$C$22</f>
        <v>944.36</v>
      </c>
      <c r="E233" s="582">
        <f>+'q37'!$D$22</f>
        <v>955.71</v>
      </c>
      <c r="F233" s="582">
        <f>+'q37'!$E$22</f>
        <v>976.46</v>
      </c>
      <c r="G233" s="582">
        <f>+'q37'!$F$22</f>
        <v>1005.57</v>
      </c>
      <c r="H233" s="582">
        <f>+'q37'!$G$22</f>
        <v>1035.81</v>
      </c>
      <c r="I233" s="582">
        <f>+'q37'!$H$22</f>
        <v>1074.8599999999999</v>
      </c>
      <c r="J233" s="582">
        <f>+'q37'!$I$22</f>
        <v>1115.56</v>
      </c>
      <c r="K233" s="582">
        <f>+'q37'!$J$22</f>
        <v>1165.73</v>
      </c>
      <c r="L233" s="582">
        <f>+'q37'!$K$22</f>
        <v>1249.77</v>
      </c>
      <c r="M233" s="582">
        <f>+'q37'!$L$22</f>
        <v>1346.57</v>
      </c>
    </row>
    <row r="234" spans="1:13">
      <c r="A234" s="422"/>
      <c r="B234" s="422" t="str">
        <f>+'q37'!$A$26</f>
        <v>Grande Lisboa</v>
      </c>
      <c r="C234" s="582">
        <f>+'q37'!$B$26</f>
        <v>1421.25</v>
      </c>
      <c r="D234" s="582">
        <f>+'q37'!$C$26</f>
        <v>1420.24</v>
      </c>
      <c r="E234" s="582">
        <f>+'q37'!$D$26</f>
        <v>1424.28</v>
      </c>
      <c r="F234" s="582">
        <f>+'q37'!$E$26</f>
        <v>1447.51</v>
      </c>
      <c r="G234" s="582">
        <f>+'q37'!$F$26</f>
        <v>1480.76</v>
      </c>
      <c r="H234" s="582">
        <f>+'q37'!$G$26</f>
        <v>1518.6</v>
      </c>
      <c r="I234" s="582">
        <f>+'q37'!$H$26</f>
        <v>1558.34</v>
      </c>
      <c r="J234" s="582">
        <f>+'q37'!$I$26</f>
        <v>1609.14</v>
      </c>
      <c r="K234" s="582">
        <f>+'q37'!$J$26</f>
        <v>1705.14</v>
      </c>
      <c r="L234" s="582">
        <f>+'q37'!$K$26</f>
        <v>1817.17</v>
      </c>
      <c r="M234" s="582">
        <f>+'q37'!$L$26</f>
        <v>1935.68</v>
      </c>
    </row>
    <row r="235" spans="1:13">
      <c r="A235" s="422"/>
      <c r="B235" s="422" t="str">
        <f>+'q37'!$A$27</f>
        <v>Península de Setúbal</v>
      </c>
      <c r="C235" s="582">
        <f>+'q37'!$B$27</f>
        <v>1132.8499999999999</v>
      </c>
      <c r="D235" s="582">
        <f>+'q37'!$C$27</f>
        <v>1148.9000000000001</v>
      </c>
      <c r="E235" s="582">
        <f>+'q37'!$D$27</f>
        <v>1180.1199999999999</v>
      </c>
      <c r="F235" s="582">
        <f>+'q37'!$E$27</f>
        <v>1199.6600000000001</v>
      </c>
      <c r="G235" s="582">
        <f>+'q37'!$F$27</f>
        <v>1208.21</v>
      </c>
      <c r="H235" s="582">
        <f>+'q37'!$G$27</f>
        <v>1239.43</v>
      </c>
      <c r="I235" s="582">
        <f>+'q37'!$H$27</f>
        <v>1283.04</v>
      </c>
      <c r="J235" s="582">
        <f>+'q37'!$I$27</f>
        <v>1296.72</v>
      </c>
      <c r="K235" s="582">
        <f>+'q37'!$J$27</f>
        <v>1361.01</v>
      </c>
      <c r="L235" s="582">
        <f>+'q37'!$K$27</f>
        <v>1433.11</v>
      </c>
      <c r="M235" s="582">
        <f>+'q37'!$L$27</f>
        <v>1545.45</v>
      </c>
    </row>
    <row r="236" spans="1:13">
      <c r="A236" s="422"/>
      <c r="B236" s="422" t="str">
        <f>+'q37'!$A$28</f>
        <v>Alentejo</v>
      </c>
      <c r="C236" s="582">
        <f>+'q37'!$B$28</f>
        <v>1002.5</v>
      </c>
      <c r="D236" s="582">
        <f>+'q37'!$C$28</f>
        <v>1002.63</v>
      </c>
      <c r="E236" s="582">
        <f>+'q37'!$D$28</f>
        <v>1008.46</v>
      </c>
      <c r="F236" s="582">
        <f>+'q37'!$E$28</f>
        <v>1030.52</v>
      </c>
      <c r="G236" s="582">
        <f>+'q37'!$F$28</f>
        <v>1069.43</v>
      </c>
      <c r="H236" s="582">
        <f>+'q37'!$G$28</f>
        <v>1083.6300000000001</v>
      </c>
      <c r="I236" s="582">
        <f>+'q37'!$H$28</f>
        <v>1124.75</v>
      </c>
      <c r="J236" s="582">
        <f>+'q37'!$I$28</f>
        <v>1171.17</v>
      </c>
      <c r="K236" s="582">
        <f>+'q37'!$J$28</f>
        <v>1225.05</v>
      </c>
      <c r="L236" s="582">
        <f>+'q37'!$K$28</f>
        <v>1326.13</v>
      </c>
      <c r="M236" s="582">
        <f>+'q37'!$L$28</f>
        <v>1409.53</v>
      </c>
    </row>
    <row r="237" spans="1:13">
      <c r="A237" s="422"/>
      <c r="B237" s="422" t="str">
        <f>+'q37'!$A$33</f>
        <v>Algarve</v>
      </c>
      <c r="C237" s="582">
        <f>+'q37'!$B$33</f>
        <v>927.58</v>
      </c>
      <c r="D237" s="582">
        <f>+'q37'!$C$33</f>
        <v>926.13</v>
      </c>
      <c r="E237" s="582">
        <f>+'q37'!$D$33</f>
        <v>942.73</v>
      </c>
      <c r="F237" s="582">
        <f>+'q37'!$E$33</f>
        <v>968.19</v>
      </c>
      <c r="G237" s="582">
        <f>+'q37'!$F$33</f>
        <v>999.05</v>
      </c>
      <c r="H237" s="582">
        <f>+'q37'!$G$33</f>
        <v>1029.01</v>
      </c>
      <c r="I237" s="582">
        <f>+'q37'!$H$33</f>
        <v>1070.96</v>
      </c>
      <c r="J237" s="582">
        <f>+'q37'!$I$33</f>
        <v>1106.32</v>
      </c>
      <c r="K237" s="582">
        <f>+'q37'!$J$33</f>
        <v>1150.81</v>
      </c>
      <c r="L237" s="582">
        <f>+'q37'!$K$33</f>
        <v>1238.68</v>
      </c>
      <c r="M237" s="582">
        <f>+'q37'!$L$33</f>
        <v>1320.22</v>
      </c>
    </row>
    <row r="238" spans="1:13">
      <c r="B238" s="422" t="s">
        <v>13</v>
      </c>
      <c r="C238" s="582">
        <f>+'q37'!$B$5</f>
        <v>1093.21</v>
      </c>
      <c r="D238" s="582">
        <f>+'q37'!$C$5</f>
        <v>1096.6600000000001</v>
      </c>
      <c r="E238" s="582">
        <f>+'q37'!$D$5</f>
        <v>1107.8599999999999</v>
      </c>
      <c r="F238" s="582">
        <f>+'q37'!$E$5</f>
        <v>1133.3399999999999</v>
      </c>
      <c r="G238" s="582">
        <f>+'q37'!$F$5</f>
        <v>1170.25</v>
      </c>
      <c r="H238" s="582">
        <f>+'q37'!$G$5</f>
        <v>1209.94</v>
      </c>
      <c r="I238" s="582">
        <f>+'q37'!$H$5</f>
        <v>1250.75</v>
      </c>
      <c r="J238" s="582">
        <f>+'q37'!$I$5</f>
        <v>1294.1099999999999</v>
      </c>
      <c r="K238" s="582">
        <f>+'q37'!$J$5</f>
        <v>1368</v>
      </c>
      <c r="L238" s="582">
        <f>+'q37'!$K$5</f>
        <v>1466.66</v>
      </c>
      <c r="M238" s="582">
        <f>+'q37'!$L$5</f>
        <v>1582.75</v>
      </c>
    </row>
    <row r="239" spans="1:13">
      <c r="B239" s="422"/>
      <c r="C239" s="433"/>
      <c r="D239" s="433"/>
      <c r="E239" s="433"/>
      <c r="F239" s="433"/>
      <c r="G239" s="433"/>
      <c r="H239" s="433"/>
      <c r="I239" s="433"/>
      <c r="J239" s="433"/>
      <c r="K239" s="433"/>
      <c r="L239" s="433"/>
      <c r="M239" s="433"/>
    </row>
    <row r="240" spans="1:13">
      <c r="C240" s="422">
        <f>+C230</f>
        <v>2014</v>
      </c>
      <c r="D240" s="422">
        <f t="shared" ref="D240:M240" si="66">+D230</f>
        <v>2015</v>
      </c>
      <c r="E240" s="422">
        <f t="shared" si="66"/>
        <v>2016</v>
      </c>
      <c r="F240" s="422">
        <f t="shared" si="66"/>
        <v>2017</v>
      </c>
      <c r="G240" s="422">
        <f t="shared" si="66"/>
        <v>2018</v>
      </c>
      <c r="H240" s="422">
        <f t="shared" si="66"/>
        <v>2019</v>
      </c>
      <c r="I240" s="422">
        <f t="shared" si="66"/>
        <v>2020</v>
      </c>
      <c r="J240" s="422">
        <f t="shared" si="66"/>
        <v>2021</v>
      </c>
      <c r="K240" s="422">
        <f t="shared" si="66"/>
        <v>2022</v>
      </c>
      <c r="L240" s="422">
        <f t="shared" si="66"/>
        <v>2023</v>
      </c>
      <c r="M240" s="422">
        <f t="shared" si="66"/>
        <v>2024</v>
      </c>
    </row>
    <row r="241" spans="1:13">
      <c r="A241" s="422" t="s">
        <v>525</v>
      </c>
      <c r="B241" s="422" t="str">
        <f>+'q37'!$A$7</f>
        <v>Alto Minho</v>
      </c>
      <c r="C241" s="582">
        <f>+'q37'!$B$7</f>
        <v>881.13</v>
      </c>
      <c r="D241" s="582">
        <f>+'q37'!$C$7</f>
        <v>895.53</v>
      </c>
      <c r="E241" s="582">
        <f>+'q37'!$D$7</f>
        <v>899.57</v>
      </c>
      <c r="F241" s="582">
        <f>+'q37'!$E$7</f>
        <v>950.1</v>
      </c>
      <c r="G241" s="582">
        <f>+'q37'!$F$7</f>
        <v>978.08</v>
      </c>
      <c r="H241" s="582">
        <f>+'q37'!$G$7</f>
        <v>1013.26</v>
      </c>
      <c r="I241" s="582">
        <f>+'q37'!$H$7</f>
        <v>1057.21</v>
      </c>
      <c r="J241" s="582">
        <f>+'q37'!$I$7</f>
        <v>1094.98</v>
      </c>
      <c r="K241" s="582">
        <f>+'q37'!$J$7</f>
        <v>1154.3399999999999</v>
      </c>
      <c r="L241" s="582">
        <f>+'q37'!$K$7</f>
        <v>1237.67</v>
      </c>
      <c r="M241" s="582">
        <f>+'q37'!$L$7</f>
        <v>1340.14</v>
      </c>
    </row>
    <row r="242" spans="1:13">
      <c r="A242" s="422"/>
      <c r="B242" s="422" t="str">
        <f>+'q37'!$A$8</f>
        <v>Cávado</v>
      </c>
      <c r="C242" s="582">
        <f>+'q37'!$B$8</f>
        <v>896.26</v>
      </c>
      <c r="D242" s="582">
        <f>+'q37'!$C$8</f>
        <v>899.93</v>
      </c>
      <c r="E242" s="582">
        <f>+'q37'!$D$8</f>
        <v>913.42</v>
      </c>
      <c r="F242" s="582">
        <f>+'q37'!$E$8</f>
        <v>948.41</v>
      </c>
      <c r="G242" s="582">
        <f>+'q37'!$F$8</f>
        <v>988.7</v>
      </c>
      <c r="H242" s="582">
        <f>+'q37'!$G$8</f>
        <v>1044.54</v>
      </c>
      <c r="I242" s="582">
        <f>+'q37'!$H$8</f>
        <v>1088.49</v>
      </c>
      <c r="J242" s="582">
        <f>+'q37'!$I$8</f>
        <v>1134.32</v>
      </c>
      <c r="K242" s="582">
        <f>+'q37'!$J$8</f>
        <v>1183.08</v>
      </c>
      <c r="L242" s="582">
        <f>+'q37'!$K$8</f>
        <v>1276.47</v>
      </c>
      <c r="M242" s="582">
        <f>+'q37'!$L$8</f>
        <v>1403.34</v>
      </c>
    </row>
    <row r="243" spans="1:13">
      <c r="A243" s="422"/>
      <c r="B243" s="422" t="str">
        <f>+'q37'!$A$9</f>
        <v>Ave</v>
      </c>
      <c r="C243" s="582">
        <f>+'q37'!$B$9</f>
        <v>860.01</v>
      </c>
      <c r="D243" s="582">
        <f>+'q37'!$C$9</f>
        <v>866.17</v>
      </c>
      <c r="E243" s="582">
        <f>+'q37'!$D$9</f>
        <v>883.04</v>
      </c>
      <c r="F243" s="582">
        <f>+'q37'!$E$9</f>
        <v>916.3</v>
      </c>
      <c r="G243" s="582">
        <f>+'q37'!$F$9</f>
        <v>952.13</v>
      </c>
      <c r="H243" s="582">
        <f>+'q37'!$G$9</f>
        <v>984.13</v>
      </c>
      <c r="I243" s="582">
        <f>+'q37'!$H$9</f>
        <v>1030.3399999999999</v>
      </c>
      <c r="J243" s="582">
        <f>+'q37'!$I$9</f>
        <v>1080.78</v>
      </c>
      <c r="K243" s="582">
        <f>+'q37'!$J$9</f>
        <v>1132.33</v>
      </c>
      <c r="L243" s="582">
        <f>+'q37'!$K$9</f>
        <v>1215.1300000000001</v>
      </c>
      <c r="M243" s="582">
        <f>+'q37'!$L$9</f>
        <v>1321.75</v>
      </c>
    </row>
    <row r="244" spans="1:13">
      <c r="A244" s="422"/>
      <c r="B244" s="422" t="str">
        <f>+'q37'!$A$10</f>
        <v>Área Metropolitana do Porto</v>
      </c>
      <c r="C244" s="582">
        <f>+'q37'!$B$10</f>
        <v>1075.96</v>
      </c>
      <c r="D244" s="582">
        <f>+'q37'!$C$10</f>
        <v>1084.73</v>
      </c>
      <c r="E244" s="582">
        <f>+'q37'!$D$10</f>
        <v>1095.5</v>
      </c>
      <c r="F244" s="582">
        <f>+'q37'!$E$10</f>
        <v>1118.23</v>
      </c>
      <c r="G244" s="582">
        <f>+'q37'!$F$10</f>
        <v>1164.5899999999999</v>
      </c>
      <c r="H244" s="582">
        <f>+'q37'!$G$10</f>
        <v>1208.1300000000001</v>
      </c>
      <c r="I244" s="582">
        <f>+'q37'!$H$10</f>
        <v>1257.1099999999999</v>
      </c>
      <c r="J244" s="582">
        <f>+'q37'!$I$10</f>
        <v>1301.06</v>
      </c>
      <c r="K244" s="582">
        <f>+'q37'!$J$10</f>
        <v>1378.56</v>
      </c>
      <c r="L244" s="582">
        <f>+'q37'!$K$10</f>
        <v>1480.08</v>
      </c>
      <c r="M244" s="582">
        <f>+'q37'!$L$10</f>
        <v>1620.05</v>
      </c>
    </row>
    <row r="245" spans="1:13">
      <c r="A245" s="422"/>
      <c r="B245" s="422" t="str">
        <f>+'q37'!$A$11</f>
        <v>Alto Tâmega e Barroso</v>
      </c>
      <c r="C245" s="582">
        <f>+'q37'!$B$11</f>
        <v>814.78</v>
      </c>
      <c r="D245" s="582">
        <f>+'q37'!$C$11</f>
        <v>810.7</v>
      </c>
      <c r="E245" s="582">
        <f>+'q37'!$D$11</f>
        <v>844.1</v>
      </c>
      <c r="F245" s="582">
        <f>+'q37'!$E$11</f>
        <v>919.39</v>
      </c>
      <c r="G245" s="582">
        <f>+'q37'!$F$11</f>
        <v>941.5</v>
      </c>
      <c r="H245" s="582">
        <f>+'q37'!$G$11</f>
        <v>954.21</v>
      </c>
      <c r="I245" s="582">
        <f>+'q37'!$H$11</f>
        <v>975.61</v>
      </c>
      <c r="J245" s="582">
        <f>+'q37'!$I$11</f>
        <v>995.06</v>
      </c>
      <c r="K245" s="582">
        <f>+'q37'!$J$11</f>
        <v>1043.3699999999999</v>
      </c>
      <c r="L245" s="582">
        <f>+'q37'!$K$11</f>
        <v>1128.21</v>
      </c>
      <c r="M245" s="582">
        <f>+'q37'!$L$11</f>
        <v>1207.05</v>
      </c>
    </row>
    <row r="246" spans="1:13">
      <c r="A246" s="422"/>
      <c r="B246" s="422" t="str">
        <f>+'q37'!$A$12</f>
        <v>Tâmega e Sousa</v>
      </c>
      <c r="C246" s="582">
        <f>+'q37'!$B$12</f>
        <v>773.97</v>
      </c>
      <c r="D246" s="582">
        <f>+'q37'!$C$12</f>
        <v>781.94</v>
      </c>
      <c r="E246" s="582">
        <f>+'q37'!$D$12</f>
        <v>796.84</v>
      </c>
      <c r="F246" s="582">
        <f>+'q37'!$E$12</f>
        <v>821.23</v>
      </c>
      <c r="G246" s="582">
        <f>+'q37'!$F$12</f>
        <v>858.44</v>
      </c>
      <c r="H246" s="582">
        <f>+'q37'!$G$12</f>
        <v>898.09</v>
      </c>
      <c r="I246" s="582">
        <f>+'q37'!$H$12</f>
        <v>936.96</v>
      </c>
      <c r="J246" s="582">
        <f>+'q37'!$I$12</f>
        <v>980.68</v>
      </c>
      <c r="K246" s="582">
        <f>+'q37'!$J$12</f>
        <v>1026.1300000000001</v>
      </c>
      <c r="L246" s="582">
        <f>+'q37'!$K$12</f>
        <v>1107.17</v>
      </c>
      <c r="M246" s="582">
        <f>+'q37'!$L$12</f>
        <v>1210.7</v>
      </c>
    </row>
    <row r="247" spans="1:13">
      <c r="A247" s="422"/>
      <c r="B247" s="422" t="str">
        <f>+'q37'!$A$13</f>
        <v>Douro</v>
      </c>
      <c r="C247" s="582">
        <f>+'q37'!$B$13</f>
        <v>878.1</v>
      </c>
      <c r="D247" s="582">
        <f>+'q37'!$C$13</f>
        <v>887.03</v>
      </c>
      <c r="E247" s="582">
        <f>+'q37'!$D$13</f>
        <v>882.6</v>
      </c>
      <c r="F247" s="582">
        <f>+'q37'!$E$13</f>
        <v>899.6</v>
      </c>
      <c r="G247" s="582">
        <f>+'q37'!$F$13</f>
        <v>936.21</v>
      </c>
      <c r="H247" s="582">
        <f>+'q37'!$G$13</f>
        <v>971.09</v>
      </c>
      <c r="I247" s="582">
        <f>+'q37'!$H$13</f>
        <v>993.68</v>
      </c>
      <c r="J247" s="582">
        <f>+'q37'!$I$13</f>
        <v>1031.52</v>
      </c>
      <c r="K247" s="582">
        <f>+'q37'!$J$13</f>
        <v>1089.0999999999999</v>
      </c>
      <c r="L247" s="582">
        <f>+'q37'!$K$13</f>
        <v>1168.78</v>
      </c>
      <c r="M247" s="582">
        <f>+'q37'!$L$13</f>
        <v>1268.7</v>
      </c>
    </row>
    <row r="248" spans="1:13">
      <c r="A248" s="422"/>
      <c r="B248" s="422" t="str">
        <f>+'q37'!$A$14</f>
        <v>Terras de Trás-os-Montes</v>
      </c>
      <c r="C248" s="582">
        <f>+'q37'!$B$14</f>
        <v>834.9</v>
      </c>
      <c r="D248" s="582">
        <f>+'q37'!$C$14</f>
        <v>845.13</v>
      </c>
      <c r="E248" s="582">
        <f>+'q37'!$D$14</f>
        <v>868.28</v>
      </c>
      <c r="F248" s="582">
        <f>+'q37'!$E$14</f>
        <v>890.97</v>
      </c>
      <c r="G248" s="582">
        <f>+'q37'!$F$14</f>
        <v>918.08</v>
      </c>
      <c r="H248" s="582">
        <f>+'q37'!$G$14</f>
        <v>953.02</v>
      </c>
      <c r="I248" s="582">
        <f>+'q37'!$H$14</f>
        <v>988.17</v>
      </c>
      <c r="J248" s="582">
        <f>+'q37'!$I$14</f>
        <v>1021.88</v>
      </c>
      <c r="K248" s="582">
        <f>+'q37'!$J$14</f>
        <v>1066.68</v>
      </c>
      <c r="L248" s="582">
        <f>+'q37'!$K$14</f>
        <v>1149.46</v>
      </c>
      <c r="M248" s="582">
        <f>+'q37'!$L$14</f>
        <v>1267.6300000000001</v>
      </c>
    </row>
    <row r="249" spans="1:13">
      <c r="A249" s="422"/>
      <c r="B249" s="422" t="str">
        <f>+'q37'!$A$16</f>
        <v>Região de Aveiro</v>
      </c>
      <c r="C249" s="582">
        <f>+'q37'!$B$16</f>
        <v>996.2</v>
      </c>
      <c r="D249" s="582">
        <f>+'q37'!$C$16</f>
        <v>1007.63</v>
      </c>
      <c r="E249" s="582">
        <f>+'q37'!$D$16</f>
        <v>1017.74</v>
      </c>
      <c r="F249" s="582">
        <f>+'q37'!$E$16</f>
        <v>1047.92</v>
      </c>
      <c r="G249" s="582">
        <f>+'q37'!$F$16</f>
        <v>1091.01</v>
      </c>
      <c r="H249" s="582">
        <f>+'q37'!$G$16</f>
        <v>1133.26</v>
      </c>
      <c r="I249" s="582">
        <f>+'q37'!$H$16</f>
        <v>1165.8699999999999</v>
      </c>
      <c r="J249" s="582">
        <f>+'q37'!$I$16</f>
        <v>1209.9100000000001</v>
      </c>
      <c r="K249" s="582">
        <f>+'q37'!$J$16</f>
        <v>1282.9000000000001</v>
      </c>
      <c r="L249" s="582">
        <f>+'q37'!$K$16</f>
        <v>1382.49</v>
      </c>
      <c r="M249" s="582">
        <f>+'q37'!$L$16</f>
        <v>1492.3</v>
      </c>
    </row>
    <row r="250" spans="1:13">
      <c r="A250" s="422"/>
      <c r="B250" s="422" t="str">
        <f>+'q37'!$A$17</f>
        <v>Região de Coimbra</v>
      </c>
      <c r="C250" s="582">
        <f>+'q37'!$B$17</f>
        <v>963.48</v>
      </c>
      <c r="D250" s="582">
        <f>+'q37'!$C$17</f>
        <v>964.08</v>
      </c>
      <c r="E250" s="582">
        <f>+'q37'!$D$17</f>
        <v>988.14</v>
      </c>
      <c r="F250" s="582">
        <f>+'q37'!$E$17</f>
        <v>1015.53</v>
      </c>
      <c r="G250" s="582">
        <f>+'q37'!$F$17</f>
        <v>1052.5</v>
      </c>
      <c r="H250" s="582">
        <f>+'q37'!$G$17</f>
        <v>1093.1500000000001</v>
      </c>
      <c r="I250" s="582">
        <f>+'q37'!$H$17</f>
        <v>1119.46</v>
      </c>
      <c r="J250" s="582">
        <f>+'q37'!$I$17</f>
        <v>1167.5999999999999</v>
      </c>
      <c r="K250" s="582">
        <f>+'q37'!$J$17</f>
        <v>1223.82</v>
      </c>
      <c r="L250" s="582">
        <f>+'q37'!$K$17</f>
        <v>1319.21</v>
      </c>
      <c r="M250" s="582">
        <f>+'q37'!$L$17</f>
        <v>1423.9</v>
      </c>
    </row>
    <row r="251" spans="1:13">
      <c r="A251" s="422"/>
      <c r="B251" s="422" t="str">
        <f>+'q37'!$A$18</f>
        <v>Região de Leiria</v>
      </c>
      <c r="C251" s="582">
        <f>+'q37'!$B$18</f>
        <v>988.89</v>
      </c>
      <c r="D251" s="582">
        <f>+'q37'!$C$18</f>
        <v>997.9</v>
      </c>
      <c r="E251" s="582">
        <f>+'q37'!$D$18</f>
        <v>1012.22</v>
      </c>
      <c r="F251" s="582">
        <f>+'q37'!$E$18</f>
        <v>1043.69</v>
      </c>
      <c r="G251" s="582">
        <f>+'q37'!$F$18</f>
        <v>1087.48</v>
      </c>
      <c r="H251" s="582">
        <f>+'q37'!$G$18</f>
        <v>1121.98</v>
      </c>
      <c r="I251" s="582">
        <f>+'q37'!$H$18</f>
        <v>1150.1300000000001</v>
      </c>
      <c r="J251" s="582">
        <f>+'q37'!$I$18</f>
        <v>1194.01</v>
      </c>
      <c r="K251" s="582">
        <f>+'q37'!$J$18</f>
        <v>1251.2</v>
      </c>
      <c r="L251" s="582">
        <f>+'q37'!$K$18</f>
        <v>1326.74</v>
      </c>
      <c r="M251" s="582">
        <f>+'q37'!$L$18</f>
        <v>1434.69</v>
      </c>
    </row>
    <row r="252" spans="1:13">
      <c r="A252" s="422"/>
      <c r="B252" s="422" t="str">
        <f>+'q37'!$A$19</f>
        <v>Viseu Dão Lafões</v>
      </c>
      <c r="C252" s="582">
        <f>+'q37'!$B$19</f>
        <v>902.75</v>
      </c>
      <c r="D252" s="582">
        <f>+'q37'!$C$19</f>
        <v>906.45</v>
      </c>
      <c r="E252" s="582">
        <f>+'q37'!$D$19</f>
        <v>913.09</v>
      </c>
      <c r="F252" s="582">
        <f>+'q37'!$E$19</f>
        <v>943.87</v>
      </c>
      <c r="G252" s="582">
        <f>+'q37'!$F$19</f>
        <v>986.58</v>
      </c>
      <c r="H252" s="582">
        <f>+'q37'!$G$19</f>
        <v>1025.08</v>
      </c>
      <c r="I252" s="582">
        <f>+'q37'!$H$19</f>
        <v>1055.3900000000001</v>
      </c>
      <c r="J252" s="582">
        <f>+'q37'!$I$19</f>
        <v>1099.74</v>
      </c>
      <c r="K252" s="582">
        <f>+'q37'!$J$19</f>
        <v>1154.72</v>
      </c>
      <c r="L252" s="582">
        <f>+'q37'!$K$19</f>
        <v>1239.6199999999999</v>
      </c>
      <c r="M252" s="582">
        <f>+'q37'!$L$19</f>
        <v>1331.89</v>
      </c>
    </row>
    <row r="253" spans="1:13">
      <c r="A253" s="422"/>
      <c r="B253" s="422" t="str">
        <f>+'q37'!$A$20</f>
        <v>Beira Baixa</v>
      </c>
      <c r="C253" s="582">
        <f>+'q37'!$B$20</f>
        <v>861.23</v>
      </c>
      <c r="D253" s="582">
        <f>+'q37'!$C$20</f>
        <v>865.41</v>
      </c>
      <c r="E253" s="582">
        <f>+'q37'!$D$20</f>
        <v>884.32</v>
      </c>
      <c r="F253" s="582">
        <f>+'q37'!$E$20</f>
        <v>914.65</v>
      </c>
      <c r="G253" s="582">
        <f>+'q37'!$F$20</f>
        <v>943.51</v>
      </c>
      <c r="H253" s="582">
        <f>+'q37'!$G$20</f>
        <v>976.21</v>
      </c>
      <c r="I253" s="582">
        <f>+'q37'!$H$20</f>
        <v>1016.05</v>
      </c>
      <c r="J253" s="582">
        <f>+'q37'!$I$20</f>
        <v>1061.8900000000001</v>
      </c>
      <c r="K253" s="582">
        <f>+'q37'!$J$20</f>
        <v>1106.8499999999999</v>
      </c>
      <c r="L253" s="582">
        <f>+'q37'!$K$20</f>
        <v>1188.93</v>
      </c>
      <c r="M253" s="582">
        <f>+'q37'!$L$20</f>
        <v>1279.02</v>
      </c>
    </row>
    <row r="254" spans="1:13">
      <c r="A254" s="422"/>
      <c r="B254" s="422" t="str">
        <f>+'q37'!$A$21</f>
        <v>Beiras e Serra da Estrela</v>
      </c>
      <c r="C254" s="582">
        <f>+'q37'!$B$21</f>
        <v>837.86</v>
      </c>
      <c r="D254" s="582">
        <f>+'q37'!$C$21</f>
        <v>845.21</v>
      </c>
      <c r="E254" s="582">
        <f>+'q37'!$D$21</f>
        <v>863.35</v>
      </c>
      <c r="F254" s="582">
        <f>+'q37'!$E$21</f>
        <v>897.58</v>
      </c>
      <c r="G254" s="582">
        <f>+'q37'!$F$21</f>
        <v>934.82</v>
      </c>
      <c r="H254" s="582">
        <f>+'q37'!$G$21</f>
        <v>974.36</v>
      </c>
      <c r="I254" s="582">
        <f>+'q37'!$H$21</f>
        <v>1013.44</v>
      </c>
      <c r="J254" s="582">
        <f>+'q37'!$I$21</f>
        <v>1051.24</v>
      </c>
      <c r="K254" s="582">
        <f>+'q37'!$J$21</f>
        <v>1107.68</v>
      </c>
      <c r="L254" s="582">
        <f>+'q37'!$K$21</f>
        <v>1180.54</v>
      </c>
      <c r="M254" s="582">
        <f>+'q37'!$L$21</f>
        <v>1292.95</v>
      </c>
    </row>
    <row r="255" spans="1:13">
      <c r="A255" s="422"/>
      <c r="B255" s="422" t="str">
        <f>+'q37'!$A$23</f>
        <v>Oeste</v>
      </c>
      <c r="C255" s="582">
        <f>+'q37'!$B$23</f>
        <v>919.7</v>
      </c>
      <c r="D255" s="582">
        <f>+'q37'!$C$23</f>
        <v>915.03</v>
      </c>
      <c r="E255" s="582">
        <f>+'q37'!$D$23</f>
        <v>937.13</v>
      </c>
      <c r="F255" s="582">
        <f>+'q37'!$E$23</f>
        <v>958.16</v>
      </c>
      <c r="G255" s="582">
        <f>+'q37'!$F$23</f>
        <v>984.69</v>
      </c>
      <c r="H255" s="582">
        <f>+'q37'!$G$23</f>
        <v>1019.34</v>
      </c>
      <c r="I255" s="582">
        <f>+'q37'!$H$23</f>
        <v>1061.1300000000001</v>
      </c>
      <c r="J255" s="582">
        <f>+'q37'!$I$23</f>
        <v>1106.76</v>
      </c>
      <c r="K255" s="582">
        <f>+'q37'!$J$23</f>
        <v>1152.3900000000001</v>
      </c>
      <c r="L255" s="582">
        <f>+'q37'!$K$23</f>
        <v>1237.75</v>
      </c>
      <c r="M255" s="582">
        <f>+'q37'!$L$23</f>
        <v>1324.42</v>
      </c>
    </row>
    <row r="256" spans="1:13">
      <c r="A256" s="422"/>
      <c r="B256" s="422" t="str">
        <f>+'q37'!$A$24</f>
        <v>Médio Tejo</v>
      </c>
      <c r="C256" s="582">
        <f>+'q37'!$B$24</f>
        <v>952.34</v>
      </c>
      <c r="D256" s="582">
        <f>+'q37'!$C$24</f>
        <v>957.84</v>
      </c>
      <c r="E256" s="582">
        <f>+'q37'!$D$24</f>
        <v>964.48</v>
      </c>
      <c r="F256" s="582">
        <f>+'q37'!$E$24</f>
        <v>993.59</v>
      </c>
      <c r="G256" s="582">
        <f>+'q37'!$F$24</f>
        <v>1030.6199999999999</v>
      </c>
      <c r="H256" s="582">
        <f>+'q37'!$G$24</f>
        <v>1063.3900000000001</v>
      </c>
      <c r="I256" s="582">
        <f>+'q37'!$H$24</f>
        <v>1099.6199999999999</v>
      </c>
      <c r="J256" s="582">
        <f>+'q37'!$I$24</f>
        <v>1126.71</v>
      </c>
      <c r="K256" s="582">
        <f>+'q37'!$J$24</f>
        <v>1175.72</v>
      </c>
      <c r="L256" s="582">
        <f>+'q37'!$K$24</f>
        <v>1259.29</v>
      </c>
      <c r="M256" s="582">
        <f>+'q37'!$L$24</f>
        <v>1367.1</v>
      </c>
    </row>
    <row r="257" spans="1:13">
      <c r="A257" s="422"/>
      <c r="B257" s="422" t="str">
        <f>+'q37'!$A$25</f>
        <v>Lezíria do Tejo</v>
      </c>
      <c r="C257" s="582">
        <f>+'q37'!$B$25</f>
        <v>966.16</v>
      </c>
      <c r="D257" s="582">
        <f>+'q37'!$C$25</f>
        <v>977.93</v>
      </c>
      <c r="E257" s="582">
        <f>+'q37'!$D$25</f>
        <v>976.74</v>
      </c>
      <c r="F257" s="582">
        <f>+'q37'!$E$25</f>
        <v>989.34</v>
      </c>
      <c r="G257" s="582">
        <f>+'q37'!$F$25</f>
        <v>1016</v>
      </c>
      <c r="H257" s="582">
        <f>+'q37'!$G$25</f>
        <v>1037.32</v>
      </c>
      <c r="I257" s="582">
        <f>+'q37'!$H$25</f>
        <v>1075.1500000000001</v>
      </c>
      <c r="J257" s="582">
        <f>+'q37'!$I$25</f>
        <v>1120.1400000000001</v>
      </c>
      <c r="K257" s="582">
        <f>+'q37'!$J$25</f>
        <v>1178.0899999999999</v>
      </c>
      <c r="L257" s="582">
        <f>+'q37'!$K$25</f>
        <v>1260.73</v>
      </c>
      <c r="M257" s="582">
        <f>+'q37'!$L$25</f>
        <v>1363.59</v>
      </c>
    </row>
    <row r="258" spans="1:13">
      <c r="A258" s="422"/>
      <c r="B258" s="422" t="str">
        <f>+'q37'!$A$26</f>
        <v>Grande Lisboa</v>
      </c>
      <c r="C258" s="582">
        <f>+'q37'!$B$26</f>
        <v>1421.25</v>
      </c>
      <c r="D258" s="582">
        <f>+'q37'!$C$26</f>
        <v>1420.24</v>
      </c>
      <c r="E258" s="582">
        <f>+'q37'!$D$26</f>
        <v>1424.28</v>
      </c>
      <c r="F258" s="582">
        <f>+'q37'!$E$26</f>
        <v>1447.51</v>
      </c>
      <c r="G258" s="582">
        <f>+'q37'!$F$26</f>
        <v>1480.76</v>
      </c>
      <c r="H258" s="582">
        <f>+'q37'!$G$26</f>
        <v>1518.6</v>
      </c>
      <c r="I258" s="582">
        <f>+'q37'!$H$26</f>
        <v>1558.34</v>
      </c>
      <c r="J258" s="582">
        <f>+'q37'!$I$26</f>
        <v>1609.14</v>
      </c>
      <c r="K258" s="582">
        <f>+'q37'!$J$26</f>
        <v>1705.14</v>
      </c>
      <c r="L258" s="582">
        <f>+'q37'!$K$26</f>
        <v>1817.17</v>
      </c>
      <c r="M258" s="582">
        <f>+'q37'!$L$26</f>
        <v>1935.68</v>
      </c>
    </row>
    <row r="259" spans="1:13">
      <c r="A259" s="422"/>
      <c r="B259" s="422" t="str">
        <f>+'q37'!$A$27</f>
        <v>Península de Setúbal</v>
      </c>
      <c r="C259" s="582">
        <f>+'q37'!$B$27</f>
        <v>1132.8499999999999</v>
      </c>
      <c r="D259" s="582">
        <f>+'q37'!$C$27</f>
        <v>1148.9000000000001</v>
      </c>
      <c r="E259" s="582">
        <f>+'q37'!$D$27</f>
        <v>1180.1199999999999</v>
      </c>
      <c r="F259" s="582">
        <f>+'q37'!$E$27</f>
        <v>1199.6600000000001</v>
      </c>
      <c r="G259" s="582">
        <f>+'q37'!$F$27</f>
        <v>1208.21</v>
      </c>
      <c r="H259" s="582">
        <f>+'q37'!$G$27</f>
        <v>1239.43</v>
      </c>
      <c r="I259" s="582">
        <f>+'q37'!$H$27</f>
        <v>1283.04</v>
      </c>
      <c r="J259" s="582">
        <f>+'q37'!$I$27</f>
        <v>1296.72</v>
      </c>
      <c r="K259" s="582">
        <f>+'q37'!$J$27</f>
        <v>1361.01</v>
      </c>
      <c r="L259" s="582">
        <f>+'q37'!$K$27</f>
        <v>1433.11</v>
      </c>
      <c r="M259" s="582">
        <f>+'q37'!$L$27</f>
        <v>1545.45</v>
      </c>
    </row>
    <row r="260" spans="1:13">
      <c r="A260" s="422"/>
      <c r="B260" s="422" t="str">
        <f>+'q37'!$A$29</f>
        <v>Alentejo Litoral</v>
      </c>
      <c r="C260" s="582">
        <f>+'q37'!$B$29</f>
        <v>1155.58</v>
      </c>
      <c r="D260" s="582">
        <f>+'q37'!$C$29</f>
        <v>1137.03</v>
      </c>
      <c r="E260" s="582">
        <f>+'q37'!$D$29</f>
        <v>1131.0999999999999</v>
      </c>
      <c r="F260" s="582">
        <f>+'q37'!$E$29</f>
        <v>1142.95</v>
      </c>
      <c r="G260" s="582">
        <f>+'q37'!$F$29</f>
        <v>1184</v>
      </c>
      <c r="H260" s="582">
        <f>+'q37'!$G$29</f>
        <v>1165.44</v>
      </c>
      <c r="I260" s="582">
        <f>+'q37'!$H$29</f>
        <v>1206.6300000000001</v>
      </c>
      <c r="J260" s="582">
        <f>+'q37'!$I$29</f>
        <v>1232.3399999999999</v>
      </c>
      <c r="K260" s="582">
        <f>+'q37'!$J$29</f>
        <v>1283.29</v>
      </c>
      <c r="L260" s="582">
        <f>+'q37'!$K$29</f>
        <v>1419.88</v>
      </c>
      <c r="M260" s="582">
        <f>+'q37'!$L$29</f>
        <v>1480.81</v>
      </c>
    </row>
    <row r="261" spans="1:13">
      <c r="A261" s="422"/>
      <c r="B261" s="422" t="str">
        <f>+'q37'!$A$30</f>
        <v>Baixo Alentejo</v>
      </c>
      <c r="C261" s="582">
        <f>+'q37'!$B$30</f>
        <v>1016.33</v>
      </c>
      <c r="D261" s="582">
        <f>+'q37'!$C$30</f>
        <v>1025.9100000000001</v>
      </c>
      <c r="E261" s="582">
        <f>+'q37'!$D$30</f>
        <v>1026.24</v>
      </c>
      <c r="F261" s="582">
        <f>+'q37'!$E$30</f>
        <v>1053.33</v>
      </c>
      <c r="G261" s="582">
        <f>+'q37'!$F$30</f>
        <v>1104.1400000000001</v>
      </c>
      <c r="H261" s="582">
        <f>+'q37'!$G$30</f>
        <v>1129.81</v>
      </c>
      <c r="I261" s="582">
        <f>+'q37'!$H$30</f>
        <v>1166.3</v>
      </c>
      <c r="J261" s="582">
        <f>+'q37'!$I$30</f>
        <v>1237.79</v>
      </c>
      <c r="K261" s="582">
        <f>+'q37'!$J$30</f>
        <v>1284.96</v>
      </c>
      <c r="L261" s="582">
        <f>+'q37'!$K$30</f>
        <v>1401.29</v>
      </c>
      <c r="M261" s="582">
        <f>+'q37'!$L$30</f>
        <v>1469.2</v>
      </c>
    </row>
    <row r="262" spans="1:13">
      <c r="A262" s="422"/>
      <c r="B262" s="422" t="str">
        <f>+'q37'!$A$31</f>
        <v>Alto Alentejo</v>
      </c>
      <c r="C262" s="582">
        <f>+'q37'!$B$31</f>
        <v>897.83</v>
      </c>
      <c r="D262" s="582">
        <f>+'q37'!$C$31</f>
        <v>901.87</v>
      </c>
      <c r="E262" s="582">
        <f>+'q37'!$D$31</f>
        <v>915.42</v>
      </c>
      <c r="F262" s="582">
        <f>+'q37'!$E$31</f>
        <v>934.83</v>
      </c>
      <c r="G262" s="582">
        <f>+'q37'!$F$31</f>
        <v>968.23</v>
      </c>
      <c r="H262" s="582">
        <f>+'q37'!$G$31</f>
        <v>989.48</v>
      </c>
      <c r="I262" s="582">
        <f>+'q37'!$H$31</f>
        <v>1029.47</v>
      </c>
      <c r="J262" s="582">
        <f>+'q37'!$I$31</f>
        <v>1078.92</v>
      </c>
      <c r="K262" s="582">
        <f>+'q37'!$J$31</f>
        <v>1126.5999999999999</v>
      </c>
      <c r="L262" s="582">
        <f>+'q37'!$K$31</f>
        <v>1197.92</v>
      </c>
      <c r="M262" s="582">
        <f>+'q37'!$L$31</f>
        <v>1295.3599999999999</v>
      </c>
    </row>
    <row r="263" spans="1:13">
      <c r="A263" s="422"/>
      <c r="B263" s="422" t="str">
        <f>+'q37'!$A$32</f>
        <v>Alentejo Central</v>
      </c>
      <c r="C263" s="582">
        <f>+'q37'!$B$32</f>
        <v>955.65</v>
      </c>
      <c r="D263" s="582">
        <f>+'q37'!$C$32</f>
        <v>956.12</v>
      </c>
      <c r="E263" s="582">
        <f>+'q37'!$D$32</f>
        <v>967.64</v>
      </c>
      <c r="F263" s="582">
        <f>+'q37'!$E$32</f>
        <v>992.35</v>
      </c>
      <c r="G263" s="582">
        <f>+'q37'!$F$32</f>
        <v>1020.7</v>
      </c>
      <c r="H263" s="582">
        <f>+'q37'!$G$32</f>
        <v>1045.47</v>
      </c>
      <c r="I263" s="582">
        <f>+'q37'!$H$32</f>
        <v>1086.77</v>
      </c>
      <c r="J263" s="582">
        <f>+'q37'!$I$32</f>
        <v>1127.29</v>
      </c>
      <c r="K263" s="582">
        <f>+'q37'!$J$32</f>
        <v>1190.57</v>
      </c>
      <c r="L263" s="582">
        <f>+'q37'!$K$32</f>
        <v>1271.71</v>
      </c>
      <c r="M263" s="582">
        <f>+'q37'!$L$32</f>
        <v>1371.98</v>
      </c>
    </row>
    <row r="264" spans="1:13">
      <c r="A264" s="422"/>
      <c r="B264" s="422" t="str">
        <f>+'q37'!$A$33</f>
        <v>Algarve</v>
      </c>
      <c r="C264" s="582">
        <f>+'q37'!$B$33</f>
        <v>927.58</v>
      </c>
      <c r="D264" s="582">
        <f>+'q37'!$C$33</f>
        <v>926.13</v>
      </c>
      <c r="E264" s="582">
        <f>+'q37'!$D$33</f>
        <v>942.73</v>
      </c>
      <c r="F264" s="582">
        <f>+'q37'!$E$33</f>
        <v>968.19</v>
      </c>
      <c r="G264" s="582">
        <f>+'q37'!$F$33</f>
        <v>999.05</v>
      </c>
      <c r="H264" s="582">
        <f>+'q37'!$G$33</f>
        <v>1029.01</v>
      </c>
      <c r="I264" s="582">
        <f>+'q37'!$H$33</f>
        <v>1070.96</v>
      </c>
      <c r="J264" s="582">
        <f>+'q37'!$I$33</f>
        <v>1106.32</v>
      </c>
      <c r="K264" s="582">
        <f>+'q37'!$J$33</f>
        <v>1150.81</v>
      </c>
      <c r="L264" s="582">
        <f>+'q37'!$K$33</f>
        <v>1238.68</v>
      </c>
      <c r="M264" s="582">
        <f>+'q37'!$L$33</f>
        <v>1320.22</v>
      </c>
    </row>
    <row r="265" spans="1:13">
      <c r="B265" s="422" t="s">
        <v>13</v>
      </c>
      <c r="C265" s="582">
        <f>+'q37'!$B$5</f>
        <v>1093.21</v>
      </c>
      <c r="D265" s="582">
        <f>+'q37'!$C$5</f>
        <v>1096.6600000000001</v>
      </c>
      <c r="E265" s="582">
        <f>+'q37'!$D$5</f>
        <v>1107.8599999999999</v>
      </c>
      <c r="F265" s="582">
        <f>+'q37'!$E$5</f>
        <v>1133.3399999999999</v>
      </c>
      <c r="G265" s="582">
        <f>+'q37'!$F$5</f>
        <v>1170.25</v>
      </c>
      <c r="H265" s="582">
        <f>+'q37'!$G$5</f>
        <v>1209.94</v>
      </c>
      <c r="I265" s="582">
        <f>+'q37'!$H$5</f>
        <v>1250.75</v>
      </c>
      <c r="J265" s="582">
        <f>+'q37'!$I$5</f>
        <v>1294.1099999999999</v>
      </c>
      <c r="K265" s="582">
        <f>+'q37'!$J$5</f>
        <v>1368</v>
      </c>
      <c r="L265" s="582">
        <f>+'q37'!$K$5</f>
        <v>1466.66</v>
      </c>
      <c r="M265" s="582">
        <f>+'q37'!$L$5</f>
        <v>1582.75</v>
      </c>
    </row>
  </sheetData>
  <mergeCells count="41">
    <mergeCell ref="CV36:CX36"/>
    <mergeCell ref="CY36:DA36"/>
    <mergeCell ref="BL8:BL15"/>
    <mergeCell ref="BL16:BL21"/>
    <mergeCell ref="BL22:BL24"/>
    <mergeCell ref="BL27:BL30"/>
    <mergeCell ref="CF8:CF15"/>
    <mergeCell ref="CF16:CF21"/>
    <mergeCell ref="CF22:CF24"/>
    <mergeCell ref="CF27:CF30"/>
    <mergeCell ref="BR107:BV109"/>
    <mergeCell ref="BS92:BY95"/>
    <mergeCell ref="BR100:BX103"/>
    <mergeCell ref="CP36:CR36"/>
    <mergeCell ref="CS36:CU36"/>
    <mergeCell ref="CL82:CP85"/>
    <mergeCell ref="CL88:CO90"/>
    <mergeCell ref="CL107:CP109"/>
    <mergeCell ref="CM92:CS96"/>
    <mergeCell ref="BT36:BV36"/>
    <mergeCell ref="BR82:BV85"/>
    <mergeCell ref="BR88:BU90"/>
    <mergeCell ref="BW36:BY36"/>
    <mergeCell ref="BZ36:CB36"/>
    <mergeCell ref="CC36:CE36"/>
    <mergeCell ref="CL100:CS103"/>
    <mergeCell ref="AD13:AG19"/>
    <mergeCell ref="AD45:AG50"/>
    <mergeCell ref="AD79:AH84"/>
    <mergeCell ref="AV88:AY90"/>
    <mergeCell ref="AV100:AZ103"/>
    <mergeCell ref="AQ8:AQ15"/>
    <mergeCell ref="AQ16:AQ21"/>
    <mergeCell ref="AQ22:AQ24"/>
    <mergeCell ref="AQ27:AQ30"/>
    <mergeCell ref="AY36:BA36"/>
    <mergeCell ref="BB36:BD36"/>
    <mergeCell ref="BE36:BG36"/>
    <mergeCell ref="BH36:BJ36"/>
    <mergeCell ref="AV82:AZ85"/>
    <mergeCell ref="AV107:AZ109"/>
  </mergeCells>
  <pageMargins left="0.7" right="0.7" top="0.75" bottom="0.75" header="0.3" footer="0.3"/>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286721" r:id="rId4" name="Drop Down 1">
              <controlPr defaultSize="0" autoLine="0" autoPict="0">
                <anchor moveWithCells="1">
                  <from>
                    <xdr:col>16</xdr:col>
                    <xdr:colOff>266700</xdr:colOff>
                    <xdr:row>0</xdr:row>
                    <xdr:rowOff>142875</xdr:rowOff>
                  </from>
                  <to>
                    <xdr:col>17</xdr:col>
                    <xdr:colOff>942975</xdr:colOff>
                    <xdr:row>2</xdr:row>
                    <xdr:rowOff>19050</xdr:rowOff>
                  </to>
                </anchor>
              </controlPr>
            </control>
          </mc:Choice>
        </mc:AlternateContent>
        <mc:AlternateContent xmlns:mc="http://schemas.openxmlformats.org/markup-compatibility/2006">
          <mc:Choice Requires="x14">
            <control shapeId="286722" r:id="rId5" name="Drop Down 2">
              <controlPr defaultSize="0" autoLine="0" autoPict="0">
                <anchor moveWithCells="1">
                  <from>
                    <xdr:col>43</xdr:col>
                    <xdr:colOff>9525</xdr:colOff>
                    <xdr:row>1</xdr:row>
                    <xdr:rowOff>0</xdr:rowOff>
                  </from>
                  <to>
                    <xdr:col>43</xdr:col>
                    <xdr:colOff>638175</xdr:colOff>
                    <xdr:row>2</xdr:row>
                    <xdr:rowOff>19050</xdr:rowOff>
                  </to>
                </anchor>
              </controlPr>
            </control>
          </mc:Choice>
        </mc:AlternateContent>
        <mc:AlternateContent xmlns:mc="http://schemas.openxmlformats.org/markup-compatibility/2006">
          <mc:Choice Requires="x14">
            <control shapeId="286723" r:id="rId6" name="Drop Down 3">
              <controlPr defaultSize="0" autoLine="0" autoPict="0">
                <anchor moveWithCells="1">
                  <from>
                    <xdr:col>64</xdr:col>
                    <xdr:colOff>9525</xdr:colOff>
                    <xdr:row>1</xdr:row>
                    <xdr:rowOff>0</xdr:rowOff>
                  </from>
                  <to>
                    <xdr:col>65</xdr:col>
                    <xdr:colOff>28575</xdr:colOff>
                    <xdr:row>2</xdr:row>
                    <xdr:rowOff>19050</xdr:rowOff>
                  </to>
                </anchor>
              </controlPr>
            </control>
          </mc:Choice>
        </mc:AlternateContent>
        <mc:AlternateContent xmlns:mc="http://schemas.openxmlformats.org/markup-compatibility/2006">
          <mc:Choice Requires="x14">
            <control shapeId="286724" r:id="rId7" name="Drop Down 4">
              <controlPr defaultSize="0" autoLine="0" autoPict="0">
                <anchor moveWithCells="1">
                  <from>
                    <xdr:col>84</xdr:col>
                    <xdr:colOff>9525</xdr:colOff>
                    <xdr:row>1</xdr:row>
                    <xdr:rowOff>0</xdr:rowOff>
                  </from>
                  <to>
                    <xdr:col>85</xdr:col>
                    <xdr:colOff>28575</xdr:colOff>
                    <xdr:row>2</xdr:row>
                    <xdr:rowOff>19050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1D12B-9EB2-473D-9991-95153E5C9213}">
  <dimension ref="A1:DA265"/>
  <sheetViews>
    <sheetView topLeftCell="J58" zoomScaleNormal="100" workbookViewId="0">
      <selection activeCell="Z83" sqref="Z83"/>
    </sheetView>
  </sheetViews>
  <sheetFormatPr defaultColWidth="9.140625" defaultRowHeight="12.75"/>
  <cols>
    <col min="1" max="1" width="9.140625" style="421"/>
    <col min="2" max="2" width="23" style="421" customWidth="1"/>
    <col min="3" max="3" width="9.140625" style="421"/>
    <col min="4" max="4" width="13.28515625" style="421" customWidth="1"/>
    <col min="5" max="17" width="9.140625" style="421"/>
    <col min="18" max="18" width="15.5703125" style="421" customWidth="1"/>
    <col min="19" max="30" width="9.140625" style="421"/>
    <col min="31" max="31" width="20" style="421" customWidth="1"/>
    <col min="32" max="32" width="19.42578125" style="421" customWidth="1"/>
    <col min="33" max="43" width="9.140625" style="421"/>
    <col min="44" max="45" width="20.85546875" style="421" customWidth="1"/>
    <col min="46" max="46" width="15" style="421" bestFit="1" customWidth="1"/>
    <col min="47" max="47" width="9.140625" style="421"/>
    <col min="48" max="48" width="14.42578125" style="421" bestFit="1" customWidth="1"/>
    <col min="49" max="49" width="12.85546875" style="421" bestFit="1" customWidth="1"/>
    <col min="50" max="50" width="18.42578125" style="421" bestFit="1" customWidth="1"/>
    <col min="51" max="65" width="9.140625" style="421"/>
    <col min="66" max="66" width="12.42578125" style="421" customWidth="1"/>
    <col min="67" max="67" width="13.140625" style="421" customWidth="1"/>
    <col min="68" max="69" width="9.140625" style="421"/>
    <col min="70" max="70" width="12.7109375" style="421" customWidth="1"/>
    <col min="71" max="71" width="11.85546875" style="421" customWidth="1"/>
    <col min="72" max="16384" width="9.140625" style="421"/>
  </cols>
  <sheetData>
    <row r="1" spans="1:94">
      <c r="A1" s="424" t="s">
        <v>524</v>
      </c>
      <c r="D1" s="430" t="s">
        <v>525</v>
      </c>
      <c r="G1" s="430" t="s">
        <v>265</v>
      </c>
    </row>
    <row r="2" spans="1:94">
      <c r="A2" s="423" t="s">
        <v>496</v>
      </c>
      <c r="B2" s="421">
        <v>1</v>
      </c>
      <c r="D2" s="423" t="s">
        <v>497</v>
      </c>
      <c r="E2" s="421">
        <v>1</v>
      </c>
      <c r="G2" s="422">
        <f>+C30</f>
        <v>2014</v>
      </c>
      <c r="H2" s="421">
        <v>1</v>
      </c>
      <c r="P2" s="421">
        <v>3</v>
      </c>
      <c r="S2" s="421" t="s">
        <v>533</v>
      </c>
      <c r="AQ2" s="421">
        <v>11</v>
      </c>
      <c r="AT2" s="533" t="s">
        <v>459</v>
      </c>
      <c r="BL2" s="421">
        <v>11</v>
      </c>
      <c r="BO2" s="533" t="s">
        <v>460</v>
      </c>
      <c r="CF2" s="421">
        <v>11</v>
      </c>
      <c r="CI2" s="533" t="s">
        <v>461</v>
      </c>
    </row>
    <row r="3" spans="1:94">
      <c r="A3" s="423" t="s">
        <v>505</v>
      </c>
      <c r="B3" s="421">
        <v>2</v>
      </c>
      <c r="D3" s="423" t="s">
        <v>498</v>
      </c>
      <c r="E3" s="421">
        <v>2</v>
      </c>
      <c r="G3" s="422">
        <f>+D30</f>
        <v>2015</v>
      </c>
      <c r="H3" s="421">
        <v>2</v>
      </c>
    </row>
    <row r="4" spans="1:94">
      <c r="A4" s="423" t="s">
        <v>772</v>
      </c>
      <c r="B4" s="421">
        <v>3</v>
      </c>
      <c r="D4" s="423" t="s">
        <v>499</v>
      </c>
      <c r="E4" s="421">
        <v>3</v>
      </c>
      <c r="G4" s="422">
        <f>+E30</f>
        <v>2016</v>
      </c>
      <c r="H4" s="421">
        <v>3</v>
      </c>
      <c r="R4" s="422" t="str">
        <f>INDEX($A$2:$A$8,$P$2)</f>
        <v>Área Metropolitana de Lisboa</v>
      </c>
    </row>
    <row r="5" spans="1:94">
      <c r="A5" s="423" t="s">
        <v>518</v>
      </c>
      <c r="B5" s="421">
        <v>4</v>
      </c>
      <c r="D5" s="423" t="s">
        <v>500</v>
      </c>
      <c r="E5" s="421">
        <v>4</v>
      </c>
      <c r="G5" s="422">
        <f>+F30</f>
        <v>2017</v>
      </c>
      <c r="H5" s="421">
        <v>4</v>
      </c>
      <c r="S5" s="422">
        <f>+C30</f>
        <v>2014</v>
      </c>
      <c r="T5" s="422">
        <f t="shared" ref="T5:Z5" si="0">+D30</f>
        <v>2015</v>
      </c>
      <c r="U5" s="422">
        <f t="shared" si="0"/>
        <v>2016</v>
      </c>
      <c r="V5" s="422">
        <f t="shared" si="0"/>
        <v>2017</v>
      </c>
      <c r="W5" s="422">
        <f t="shared" si="0"/>
        <v>2018</v>
      </c>
      <c r="X5" s="422">
        <f t="shared" si="0"/>
        <v>2019</v>
      </c>
      <c r="Y5" s="422">
        <f t="shared" si="0"/>
        <v>2020</v>
      </c>
      <c r="Z5" s="422">
        <f t="shared" si="0"/>
        <v>2021</v>
      </c>
      <c r="AA5" s="422">
        <f>+K30</f>
        <v>2022</v>
      </c>
      <c r="AB5" s="422">
        <f t="shared" ref="AB5" si="1">+L30</f>
        <v>2023</v>
      </c>
      <c r="AC5" s="422">
        <f>+M30</f>
        <v>2024</v>
      </c>
      <c r="AE5" s="391" t="str">
        <f>+"variação "&amp;AC5&amp;"/"&amp;AB5</f>
        <v>variação 2024/2023</v>
      </c>
      <c r="AF5" s="391" t="str">
        <f>+"variação "&amp;AC5&amp;"/"&amp;S5</f>
        <v>variação 2024/2014</v>
      </c>
      <c r="AR5" s="421" t="s">
        <v>525</v>
      </c>
      <c r="BM5" s="421" t="s">
        <v>525</v>
      </c>
      <c r="CG5" s="421" t="s">
        <v>525</v>
      </c>
    </row>
    <row r="6" spans="1:94">
      <c r="A6" s="423" t="s">
        <v>523</v>
      </c>
      <c r="B6" s="421">
        <v>5</v>
      </c>
      <c r="D6" s="423" t="s">
        <v>771</v>
      </c>
      <c r="E6" s="421">
        <v>5</v>
      </c>
      <c r="G6" s="422">
        <f>+G30</f>
        <v>2018</v>
      </c>
      <c r="H6" s="421">
        <v>5</v>
      </c>
      <c r="R6" s="395" t="s">
        <v>219</v>
      </c>
      <c r="S6" s="433">
        <f>+VLOOKUP($R$4,$B$30:$M$35,COLUMN(C31)-1,0)</f>
        <v>67539</v>
      </c>
      <c r="T6" s="433">
        <f t="shared" ref="T6:AC6" si="2">+VLOOKUP($R$4,$B$30:$M$35,COLUMN(D31)-1,0)</f>
        <v>68279</v>
      </c>
      <c r="U6" s="433">
        <f t="shared" si="2"/>
        <v>68838</v>
      </c>
      <c r="V6" s="433">
        <f t="shared" si="2"/>
        <v>69774</v>
      </c>
      <c r="W6" s="433">
        <f t="shared" si="2"/>
        <v>71059</v>
      </c>
      <c r="X6" s="433">
        <f t="shared" si="2"/>
        <v>69212</v>
      </c>
      <c r="Y6" s="433">
        <f t="shared" si="2"/>
        <v>70690</v>
      </c>
      <c r="Z6" s="433">
        <f t="shared" si="2"/>
        <v>68646</v>
      </c>
      <c r="AA6" s="433">
        <f t="shared" si="2"/>
        <v>72553</v>
      </c>
      <c r="AB6" s="433">
        <f t="shared" si="2"/>
        <v>74483.000000000029</v>
      </c>
      <c r="AC6" s="433">
        <f t="shared" si="2"/>
        <v>74147.999999999971</v>
      </c>
      <c r="AD6" s="433" t="str">
        <f>TEXT(AC6,"##.###")</f>
        <v>74.148</v>
      </c>
      <c r="AE6" s="397">
        <f>+(AC6/AB6-1)</f>
        <v>-4.4976706094015384E-3</v>
      </c>
      <c r="AF6" s="397">
        <f>+(AC6/S6-1)</f>
        <v>9.7854572913427473E-2</v>
      </c>
      <c r="AG6" s="443">
        <f>+AC6-S6</f>
        <v>6608.9999999999709</v>
      </c>
      <c r="AH6" s="421" t="str">
        <f>IF(AG6&gt;0,", mais",", menos")</f>
        <v>, mais</v>
      </c>
      <c r="AI6" s="421">
        <f>IF(AG6&gt;0,AG6,AG6*-1)</f>
        <v>6608.9999999999709</v>
      </c>
      <c r="AR6" s="422">
        <f>INDEX($G$2:$G$12,$AQ$2)</f>
        <v>2024</v>
      </c>
      <c r="BM6" s="422">
        <f>INDEX($G$2:$G$12,$BL$2)</f>
        <v>2024</v>
      </c>
      <c r="CG6" s="422">
        <f>INDEX($G$2:$G$12,$CF$2)</f>
        <v>2024</v>
      </c>
    </row>
    <row r="7" spans="1:94">
      <c r="A7" s="423"/>
      <c r="D7" s="423" t="s">
        <v>502</v>
      </c>
      <c r="E7" s="421">
        <v>6</v>
      </c>
      <c r="G7" s="422">
        <f>+H30</f>
        <v>2019</v>
      </c>
      <c r="H7" s="421">
        <v>6</v>
      </c>
      <c r="R7" s="395" t="s">
        <v>204</v>
      </c>
      <c r="S7" s="433">
        <f>+VLOOKUP($R$4,$B$70:$M$75,COLUMN(C71)-1,0)</f>
        <v>81706</v>
      </c>
      <c r="T7" s="433">
        <f t="shared" ref="T7:AC7" si="3">+VLOOKUP($R$4,$B$70:$M$75,COLUMN(D71)-1,0)</f>
        <v>82356</v>
      </c>
      <c r="U7" s="433">
        <f t="shared" si="3"/>
        <v>82859</v>
      </c>
      <c r="V7" s="433">
        <f t="shared" si="3"/>
        <v>83567</v>
      </c>
      <c r="W7" s="433">
        <f t="shared" si="3"/>
        <v>84949</v>
      </c>
      <c r="X7" s="433">
        <f t="shared" si="3"/>
        <v>82771</v>
      </c>
      <c r="Y7" s="433">
        <f t="shared" si="3"/>
        <v>84202</v>
      </c>
      <c r="Z7" s="433">
        <f t="shared" si="3"/>
        <v>81787</v>
      </c>
      <c r="AA7" s="433">
        <f t="shared" si="3"/>
        <v>86056</v>
      </c>
      <c r="AB7" s="433">
        <f t="shared" si="3"/>
        <v>88188.999999999985</v>
      </c>
      <c r="AC7" s="433">
        <f t="shared" si="3"/>
        <v>87949</v>
      </c>
      <c r="AD7" s="433" t="str">
        <f>TEXT(AC7,"##.###")</f>
        <v>87.949</v>
      </c>
      <c r="AE7" s="397">
        <f>+(AC7/AB7-1)</f>
        <v>-2.7214278424745331E-3</v>
      </c>
      <c r="AF7" s="397">
        <f>+(AC7/S7-1)</f>
        <v>7.6408097324553781E-2</v>
      </c>
      <c r="AG7" s="443">
        <f>+AC7-S7</f>
        <v>6243</v>
      </c>
      <c r="AH7" s="421" t="str">
        <f>IF(AG7&gt;0,", mais",", menos")</f>
        <v>, mais</v>
      </c>
      <c r="AI7" s="421">
        <f>IF(AG7&gt;0,AG7,AG7*-1)</f>
        <v>6243</v>
      </c>
      <c r="AS7" s="540" t="s">
        <v>219</v>
      </c>
      <c r="AT7" s="540" t="s">
        <v>204</v>
      </c>
      <c r="AU7" s="398" t="s">
        <v>314</v>
      </c>
      <c r="AV7" s="398" t="s">
        <v>315</v>
      </c>
      <c r="AW7" s="398" t="s">
        <v>312</v>
      </c>
      <c r="AX7" s="398" t="s">
        <v>313</v>
      </c>
      <c r="BN7" s="502" t="s">
        <v>205</v>
      </c>
      <c r="BO7" s="502" t="s">
        <v>182</v>
      </c>
      <c r="BP7" s="398" t="s">
        <v>319</v>
      </c>
      <c r="BQ7" s="398" t="s">
        <v>320</v>
      </c>
      <c r="BR7" s="398" t="s">
        <v>321</v>
      </c>
      <c r="BS7" s="398" t="s">
        <v>322</v>
      </c>
      <c r="CH7" s="540" t="s">
        <v>262</v>
      </c>
      <c r="CI7" s="540" t="s">
        <v>263</v>
      </c>
      <c r="CJ7" s="583" t="s">
        <v>326</v>
      </c>
      <c r="CK7" s="583" t="s">
        <v>327</v>
      </c>
      <c r="CL7" s="583" t="s">
        <v>328</v>
      </c>
      <c r="CM7" s="583" t="s">
        <v>329</v>
      </c>
      <c r="CN7" s="584" t="s">
        <v>331</v>
      </c>
      <c r="CO7" s="421" t="s">
        <v>332</v>
      </c>
    </row>
    <row r="8" spans="1:94">
      <c r="A8" s="423"/>
      <c r="D8" s="423" t="s">
        <v>503</v>
      </c>
      <c r="E8" s="421">
        <v>7</v>
      </c>
      <c r="G8" s="422">
        <f>+I30</f>
        <v>2020</v>
      </c>
      <c r="H8" s="421">
        <v>7</v>
      </c>
      <c r="AQ8" s="943" t="s">
        <v>496</v>
      </c>
      <c r="AR8" s="423" t="s">
        <v>497</v>
      </c>
      <c r="AS8" s="433">
        <f>INDEX($B$40:$M$64,MATCH($AR$8:$AR$31,$B$40:$B$64,0),MATCH($AR$6,$B$40:$M$40,0))</f>
        <v>7328</v>
      </c>
      <c r="AT8" s="433">
        <f>INDEX($B$80:$M$104,MATCH($AR$8:$AR$31,$B$80:$B$104,0),MATCH($AR$6,$B$80:$M$80,0))</f>
        <v>8424</v>
      </c>
      <c r="AU8" s="446">
        <f t="shared" ref="AU8:AU31" si="4">+AS8/$AS$31*100</f>
        <v>2.5377212454504217</v>
      </c>
      <c r="AV8" s="446">
        <f t="shared" ref="AV8:AV31" si="5">+AT8/$AT$31*100</f>
        <v>2.4921159910776103</v>
      </c>
      <c r="AW8" s="436">
        <f>RANK(AS8,$AS$8:$AS$30,0)</f>
        <v>11</v>
      </c>
      <c r="AX8" s="436">
        <f>RANK(AT8,$AT$8:$AT$30,0)</f>
        <v>12</v>
      </c>
      <c r="AY8" s="421" t="str">
        <f>+AR8</f>
        <v>Alto Minho</v>
      </c>
      <c r="BL8" s="943" t="s">
        <v>496</v>
      </c>
      <c r="BM8" s="423" t="s">
        <v>497</v>
      </c>
      <c r="BN8" s="433">
        <f>INDEX($B$120:$M$144,MATCH($BM$8:$BM$31,$B$120:$B$144,0),MATCH($BM$6,$B$120:$M$120,0))</f>
        <v>73222</v>
      </c>
      <c r="BO8" s="433">
        <f>INDEX($B$160:$M$184,MATCH($BM$8:$BM$31,$B$160:$B$184,0),MATCH($BM$6,$B$160:$M$160,0))</f>
        <v>68763</v>
      </c>
      <c r="BP8" s="446">
        <f>+BN8/$BN$31*100</f>
        <v>2.0655269248833896</v>
      </c>
      <c r="BQ8" s="446">
        <f>+BO8/$BO$31*100</f>
        <v>2.0500957623662255</v>
      </c>
      <c r="BR8" s="436">
        <f>RANK(BN8,$BN$8:$BN$30,0)</f>
        <v>13</v>
      </c>
      <c r="BS8" s="436">
        <f>RANK(BO8,$BO$8:$BO$30,0)</f>
        <v>13</v>
      </c>
      <c r="BT8" s="421" t="str">
        <f>+BM8</f>
        <v>Alto Minho</v>
      </c>
      <c r="CF8" s="943" t="s">
        <v>496</v>
      </c>
      <c r="CG8" s="423" t="s">
        <v>497</v>
      </c>
      <c r="CH8" s="434">
        <f>INDEX($B$200:$M$224,MATCH($CG$8:$CG$31,$B$200:$B$224,0),MATCH($CG$6,$B$200:$M$200,0))</f>
        <v>1098.82</v>
      </c>
      <c r="CI8" s="434">
        <f>INDEX($B$240:$M$264,MATCH($CG$8:$CG$31,$B$240:$B$264,0),MATCH($CG$6,$B$240:$M$240,0))</f>
        <v>1340.14</v>
      </c>
      <c r="CJ8" s="446">
        <f>+CH8/$CH$38*100</f>
        <v>89.111094891694847</v>
      </c>
      <c r="CK8" s="446">
        <f>+CI8/$CI$38*100</f>
        <v>90.876664767949649</v>
      </c>
      <c r="CL8" s="436">
        <f>RANK(CH8,$CH$8:$CH$30,0)</f>
        <v>14</v>
      </c>
      <c r="CM8" s="436">
        <f>RANK(CI8,$CI$8:$CI$30,0)</f>
        <v>12</v>
      </c>
      <c r="CN8" s="434">
        <f>+CH8-$CH$31</f>
        <v>-210.1400000000001</v>
      </c>
      <c r="CO8" s="434">
        <f>+CI8-$CI$31</f>
        <v>-242.6099999999999</v>
      </c>
      <c r="CP8" s="421" t="str">
        <f>+CG8</f>
        <v>Alto Minho</v>
      </c>
    </row>
    <row r="9" spans="1:94">
      <c r="A9" s="423"/>
      <c r="D9" s="423" t="s">
        <v>504</v>
      </c>
      <c r="E9" s="421">
        <v>8</v>
      </c>
      <c r="G9" s="422">
        <f>+J30</f>
        <v>2021</v>
      </c>
      <c r="H9" s="421">
        <v>8</v>
      </c>
      <c r="AD9" s="444"/>
      <c r="AF9" s="446">
        <f>+(AC6/S6-1)*100</f>
        <v>9.7854572913427482</v>
      </c>
      <c r="AQ9" s="943"/>
      <c r="AR9" s="423" t="s">
        <v>498</v>
      </c>
      <c r="AS9" s="433">
        <f t="shared" ref="AS9:AS31" si="6">INDEX($B$40:$M$64,MATCH($AR$8:$AR$31,$B$40:$B$64,0),MATCH($AR$6,$B$40:$M$40,0))</f>
        <v>15022</v>
      </c>
      <c r="AT9" s="433">
        <f t="shared" ref="AT9:AT31" si="7">INDEX($B$80:$M$104,MATCH($AR$8:$AR$31,$B$80:$B$104,0),MATCH($AR$6,$B$80:$M$80,0))</f>
        <v>16874</v>
      </c>
      <c r="AU9" s="446">
        <f t="shared" si="4"/>
        <v>5.2021900312713205</v>
      </c>
      <c r="AV9" s="446">
        <f t="shared" si="5"/>
        <v>4.9919236981770654</v>
      </c>
      <c r="AW9" s="436">
        <f t="shared" ref="AW9:AW30" si="8">RANK(AS9,$AS$8:$AS$30,0)</f>
        <v>4</v>
      </c>
      <c r="AX9" s="436">
        <f t="shared" ref="AX9:AX30" si="9">RANK(AT9,$AT$8:$AT$30,0)</f>
        <v>4</v>
      </c>
      <c r="AY9" s="421" t="str">
        <f t="shared" ref="AY9:AY30" si="10">+AR9</f>
        <v>Cávado</v>
      </c>
      <c r="BL9" s="943"/>
      <c r="BM9" s="423" t="s">
        <v>498</v>
      </c>
      <c r="BN9" s="433">
        <f t="shared" ref="BN9:BN31" si="11">INDEX($B$120:$M$144,MATCH($BM$8:$BM$31,$B$120:$B$144,0),MATCH($BM$6,$B$120:$M$120,0))</f>
        <v>160991</v>
      </c>
      <c r="BO9" s="433">
        <f t="shared" ref="BO9:BO31" si="12">INDEX($B$160:$M$184,MATCH($BM$8:$BM$31,$B$160:$B$184,0),MATCH($BM$6,$B$160:$M$160,0))</f>
        <v>150659</v>
      </c>
      <c r="BP9" s="446">
        <f t="shared" ref="BP9:BP31" si="13">+BN9/$BN$31*100</f>
        <v>4.5414116681311869</v>
      </c>
      <c r="BQ9" s="446">
        <f t="shared" ref="BQ9:BQ31" si="14">+BO9/$BO$31*100</f>
        <v>4.4917379617284467</v>
      </c>
      <c r="BR9" s="436">
        <f t="shared" ref="BR9:BR31" si="15">RANK(BN9,$BN$8:$BN$31,0)</f>
        <v>5</v>
      </c>
      <c r="BS9" s="436">
        <f t="shared" ref="BS9:BS31" si="16">RANK(BO9,$BO$8:$BO$31,0)</f>
        <v>5</v>
      </c>
      <c r="BT9" s="421" t="str">
        <f t="shared" ref="BT9:BT31" si="17">+BM9</f>
        <v>Cávado</v>
      </c>
      <c r="CF9" s="943"/>
      <c r="CG9" s="423" t="s">
        <v>498</v>
      </c>
      <c r="CH9" s="434">
        <f t="shared" ref="CH9:CH31" si="18">INDEX($B$200:$M$224,MATCH($CG$8:$CG$31,$B$200:$B$224,0),MATCH($CG$6,$B$200:$M$200,0))</f>
        <v>1183.58</v>
      </c>
      <c r="CI9" s="434">
        <f t="shared" ref="CI9:CI31" si="19">INDEX($B$240:$M$264,MATCH($CG$8:$CG$31,$B$240:$B$264,0),MATCH($CG$6,$B$240:$M$240,0))</f>
        <v>1403.34</v>
      </c>
      <c r="CJ9" s="446">
        <f t="shared" ref="CJ9:CJ15" si="20">+CH9/$CH$38*100</f>
        <v>95.984883504042699</v>
      </c>
      <c r="CK9" s="446">
        <f t="shared" ref="CK9:CK15" si="21">+CI9/$CI$38*100</f>
        <v>95.162340304337206</v>
      </c>
      <c r="CL9" s="436">
        <f t="shared" ref="CL9:CL30" si="22">RANK(CH9,$CH$8:$CH$30,0)</f>
        <v>4</v>
      </c>
      <c r="CM9" s="436">
        <f t="shared" ref="CM9:CM30" si="23">RANK(CI9,$CI$8:$CI$30,0)</f>
        <v>8</v>
      </c>
      <c r="CN9" s="434">
        <f t="shared" ref="CN9:CN30" si="24">+CH9-$CH$31</f>
        <v>-125.38000000000011</v>
      </c>
      <c r="CO9" s="434">
        <f t="shared" ref="CO9:CO30" si="25">+CI9-$CI$31</f>
        <v>-179.41000000000008</v>
      </c>
      <c r="CP9" s="421" t="str">
        <f t="shared" ref="CP9:CP30" si="26">+CG9</f>
        <v>Cávado</v>
      </c>
    </row>
    <row r="10" spans="1:94">
      <c r="A10" s="423"/>
      <c r="D10" s="423" t="s">
        <v>513</v>
      </c>
      <c r="E10" s="421">
        <v>9</v>
      </c>
      <c r="G10" s="422">
        <f>+K30</f>
        <v>2022</v>
      </c>
      <c r="H10" s="421">
        <v>9</v>
      </c>
      <c r="Z10" s="442" t="s">
        <v>534</v>
      </c>
      <c r="AA10" s="442"/>
      <c r="AB10" s="442"/>
      <c r="AF10" s="446">
        <f>+(AC7/S7-1)*100</f>
        <v>7.6408097324553781</v>
      </c>
      <c r="AQ10" s="943"/>
      <c r="AR10" s="423" t="s">
        <v>499</v>
      </c>
      <c r="AS10" s="433">
        <f t="shared" si="6"/>
        <v>13685</v>
      </c>
      <c r="AT10" s="433">
        <f t="shared" si="7"/>
        <v>15255</v>
      </c>
      <c r="AU10" s="446">
        <f t="shared" si="4"/>
        <v>4.7391805736884587</v>
      </c>
      <c r="AV10" s="446">
        <f t="shared" si="5"/>
        <v>4.5129664582014417</v>
      </c>
      <c r="AW10" s="436">
        <f t="shared" si="8"/>
        <v>5</v>
      </c>
      <c r="AX10" s="436">
        <f t="shared" si="9"/>
        <v>5</v>
      </c>
      <c r="AY10" s="421" t="str">
        <f t="shared" si="10"/>
        <v>Ave</v>
      </c>
      <c r="BL10" s="943"/>
      <c r="BM10" s="423" t="s">
        <v>499</v>
      </c>
      <c r="BN10" s="433">
        <f t="shared" si="11"/>
        <v>149150.00000000003</v>
      </c>
      <c r="BO10" s="433">
        <f t="shared" si="12"/>
        <v>140354</v>
      </c>
      <c r="BP10" s="446">
        <f t="shared" si="13"/>
        <v>4.2073876819310811</v>
      </c>
      <c r="BQ10" s="446">
        <f t="shared" si="14"/>
        <v>4.1845053390798714</v>
      </c>
      <c r="BR10" s="436">
        <f t="shared" si="15"/>
        <v>6</v>
      </c>
      <c r="BS10" s="436">
        <f t="shared" si="16"/>
        <v>6</v>
      </c>
      <c r="BT10" s="421" t="str">
        <f t="shared" si="17"/>
        <v>Ave</v>
      </c>
      <c r="CF10" s="943"/>
      <c r="CG10" s="423" t="s">
        <v>499</v>
      </c>
      <c r="CH10" s="434">
        <f t="shared" si="18"/>
        <v>1109.23</v>
      </c>
      <c r="CI10" s="434">
        <f t="shared" si="19"/>
        <v>1321.75</v>
      </c>
      <c r="CJ10" s="446">
        <f t="shared" si="20"/>
        <v>89.955315508194872</v>
      </c>
      <c r="CK10" s="446">
        <f t="shared" si="21"/>
        <v>89.62961456044701</v>
      </c>
      <c r="CL10" s="436">
        <f t="shared" si="22"/>
        <v>10</v>
      </c>
      <c r="CM10" s="436">
        <f t="shared" si="23"/>
        <v>15</v>
      </c>
      <c r="CN10" s="434">
        <f t="shared" si="24"/>
        <v>-199.73000000000002</v>
      </c>
      <c r="CO10" s="434">
        <f t="shared" si="25"/>
        <v>-261</v>
      </c>
      <c r="CP10" s="421" t="str">
        <f t="shared" si="26"/>
        <v>Ave</v>
      </c>
    </row>
    <row r="11" spans="1:94">
      <c r="A11" s="423"/>
      <c r="D11" s="423" t="s">
        <v>506</v>
      </c>
      <c r="E11" s="421">
        <v>10</v>
      </c>
      <c r="G11" s="422">
        <f>+L30</f>
        <v>2023</v>
      </c>
      <c r="H11" s="421">
        <v>10</v>
      </c>
      <c r="AQ11" s="943"/>
      <c r="AR11" s="423" t="s">
        <v>500</v>
      </c>
      <c r="AS11" s="433">
        <f t="shared" si="6"/>
        <v>51191</v>
      </c>
      <c r="AT11" s="433">
        <f t="shared" si="7"/>
        <v>59738.999999999993</v>
      </c>
      <c r="AU11" s="446">
        <f t="shared" si="4"/>
        <v>17.727686718866341</v>
      </c>
      <c r="AV11" s="446">
        <f t="shared" si="5"/>
        <v>17.672900901114119</v>
      </c>
      <c r="AW11" s="436">
        <f t="shared" si="8"/>
        <v>2</v>
      </c>
      <c r="AX11" s="436">
        <f t="shared" si="9"/>
        <v>2</v>
      </c>
      <c r="AY11" s="421" t="str">
        <f t="shared" si="10"/>
        <v>Área Metropolitana do Porto</v>
      </c>
      <c r="AZ11" s="446"/>
      <c r="BA11" s="446"/>
      <c r="BL11" s="943"/>
      <c r="BM11" s="423" t="s">
        <v>500</v>
      </c>
      <c r="BN11" s="433">
        <f t="shared" si="11"/>
        <v>666772</v>
      </c>
      <c r="BO11" s="433">
        <f t="shared" si="12"/>
        <v>631342.00000000012</v>
      </c>
      <c r="BP11" s="446">
        <f t="shared" si="13"/>
        <v>18.809039889081795</v>
      </c>
      <c r="BQ11" s="446">
        <f t="shared" si="14"/>
        <v>18.822790727627034</v>
      </c>
      <c r="BR11" s="436">
        <f t="shared" si="15"/>
        <v>3</v>
      </c>
      <c r="BS11" s="436">
        <f t="shared" si="16"/>
        <v>3</v>
      </c>
      <c r="BT11" s="421" t="str">
        <f t="shared" si="17"/>
        <v>Área Metropolitana do Porto</v>
      </c>
      <c r="CF11" s="943"/>
      <c r="CG11" s="423" t="s">
        <v>500</v>
      </c>
      <c r="CH11" s="434">
        <f t="shared" si="18"/>
        <v>1351.51</v>
      </c>
      <c r="CI11" s="434">
        <f t="shared" si="19"/>
        <v>1620.05</v>
      </c>
      <c r="CJ11" s="446">
        <f t="shared" si="20"/>
        <v>109.60351636944587</v>
      </c>
      <c r="CK11" s="446">
        <f t="shared" si="21"/>
        <v>109.85773184690915</v>
      </c>
      <c r="CL11" s="436">
        <f t="shared" si="22"/>
        <v>2</v>
      </c>
      <c r="CM11" s="436">
        <f t="shared" si="23"/>
        <v>2</v>
      </c>
      <c r="CN11" s="434">
        <f t="shared" si="24"/>
        <v>42.549999999999955</v>
      </c>
      <c r="CO11" s="434">
        <f t="shared" si="25"/>
        <v>37.299999999999955</v>
      </c>
      <c r="CP11" s="421" t="str">
        <f t="shared" si="26"/>
        <v>Área Metropolitana do Porto</v>
      </c>
    </row>
    <row r="12" spans="1:94" ht="12.75" customHeight="1">
      <c r="A12" s="423"/>
      <c r="D12" s="423" t="s">
        <v>507</v>
      </c>
      <c r="E12" s="421">
        <v>11</v>
      </c>
      <c r="G12" s="422">
        <f>+M30</f>
        <v>2024</v>
      </c>
      <c r="H12" s="421">
        <v>11</v>
      </c>
      <c r="Z12" s="421">
        <f>+AC5</f>
        <v>2024</v>
      </c>
      <c r="AA12" s="421" t="s">
        <v>398</v>
      </c>
      <c r="AB12" s="421" t="s">
        <v>535</v>
      </c>
      <c r="AQ12" s="943"/>
      <c r="AR12" s="423" t="s">
        <v>771</v>
      </c>
      <c r="AS12" s="433">
        <f t="shared" si="6"/>
        <v>2432</v>
      </c>
      <c r="AT12" s="433">
        <f t="shared" si="7"/>
        <v>2794</v>
      </c>
      <c r="AU12" s="446">
        <f t="shared" si="4"/>
        <v>0.84221316442896088</v>
      </c>
      <c r="AV12" s="446">
        <f t="shared" si="5"/>
        <v>0.82656363711667169</v>
      </c>
      <c r="AW12" s="436">
        <f t="shared" si="8"/>
        <v>22</v>
      </c>
      <c r="AX12" s="436">
        <f t="shared" si="9"/>
        <v>22</v>
      </c>
      <c r="AY12" s="421" t="str">
        <f t="shared" si="10"/>
        <v>Alto Tâmega</v>
      </c>
      <c r="AZ12" s="446"/>
      <c r="BA12" s="446"/>
      <c r="BL12" s="943"/>
      <c r="BM12" s="423" t="s">
        <v>771</v>
      </c>
      <c r="BN12" s="433">
        <f t="shared" si="11"/>
        <v>17027</v>
      </c>
      <c r="BO12" s="433">
        <f t="shared" si="12"/>
        <v>15712.999999999998</v>
      </c>
      <c r="BP12" s="446">
        <f t="shared" si="13"/>
        <v>0.48031639329695275</v>
      </c>
      <c r="BQ12" s="446">
        <f t="shared" si="14"/>
        <v>0.46846639492256731</v>
      </c>
      <c r="BR12" s="436">
        <f t="shared" si="15"/>
        <v>24</v>
      </c>
      <c r="BS12" s="436">
        <f t="shared" si="16"/>
        <v>24</v>
      </c>
      <c r="BT12" s="421" t="str">
        <f t="shared" si="17"/>
        <v>Alto Tâmega</v>
      </c>
      <c r="CF12" s="943"/>
      <c r="CG12" s="423" t="s">
        <v>771</v>
      </c>
      <c r="CH12" s="434">
        <f t="shared" si="18"/>
        <v>1024.3399999999999</v>
      </c>
      <c r="CI12" s="434">
        <f t="shared" si="19"/>
        <v>1207.05</v>
      </c>
      <c r="CJ12" s="446">
        <f t="shared" si="20"/>
        <v>83.070984275275933</v>
      </c>
      <c r="CK12" s="446">
        <f t="shared" si="21"/>
        <v>81.851655952477813</v>
      </c>
      <c r="CL12" s="436">
        <f t="shared" si="22"/>
        <v>23</v>
      </c>
      <c r="CM12" s="436">
        <f t="shared" si="23"/>
        <v>23</v>
      </c>
      <c r="CN12" s="434">
        <f t="shared" si="24"/>
        <v>-284.62000000000012</v>
      </c>
      <c r="CO12" s="434">
        <f t="shared" si="25"/>
        <v>-375.70000000000005</v>
      </c>
      <c r="CP12" s="421" t="str">
        <f t="shared" si="26"/>
        <v>Alto Tâmega</v>
      </c>
    </row>
    <row r="13" spans="1:94">
      <c r="A13" s="423"/>
      <c r="D13" s="423" t="s">
        <v>508</v>
      </c>
      <c r="E13" s="421">
        <v>12</v>
      </c>
      <c r="Z13" s="421" t="s">
        <v>274</v>
      </c>
      <c r="AA13" s="421" t="str">
        <f>+R4</f>
        <v>Área Metropolitana de Lisboa</v>
      </c>
      <c r="AD13" s="957" t="str">
        <f>CONCATENATE(Z12,AA12,CHAR(10),AB12,AA13,Z14,AA15,Z16,AA17,Z18,AA19," ",AA20,AB21,AA22,Z23,AA24,Z25,AA26," ",AA27,AB28)</f>
        <v>2024:
A região Área Metropolitana de Lisboa era a sede de 74.148 empresas (variação de 9,8% face a 2014, ou seja, mais 6.609) e era a localização de 87.949 estabelecimentos (variação de 7,6% face a 2014, ou seja, mais 6.243).</v>
      </c>
      <c r="AE13" s="957"/>
      <c r="AF13" s="957"/>
      <c r="AG13" s="957"/>
      <c r="AQ13" s="943"/>
      <c r="AR13" s="423" t="s">
        <v>502</v>
      </c>
      <c r="AS13" s="433">
        <f t="shared" si="6"/>
        <v>13342</v>
      </c>
      <c r="AT13" s="433">
        <f t="shared" si="7"/>
        <v>14547</v>
      </c>
      <c r="AU13" s="446">
        <f t="shared" si="4"/>
        <v>4.6203980426855251</v>
      </c>
      <c r="AV13" s="446">
        <f t="shared" si="5"/>
        <v>4.3035151142219839</v>
      </c>
      <c r="AW13" s="436">
        <f t="shared" si="8"/>
        <v>6</v>
      </c>
      <c r="AX13" s="436">
        <f t="shared" si="9"/>
        <v>6</v>
      </c>
      <c r="AY13" s="421" t="str">
        <f t="shared" si="10"/>
        <v>Tâmega e Sousa</v>
      </c>
      <c r="BL13" s="943"/>
      <c r="BM13" s="423" t="s">
        <v>502</v>
      </c>
      <c r="BN13" s="433">
        <f t="shared" si="11"/>
        <v>137932</v>
      </c>
      <c r="BO13" s="433">
        <f t="shared" si="12"/>
        <v>130073</v>
      </c>
      <c r="BP13" s="446">
        <f t="shared" si="13"/>
        <v>3.8909379667724959</v>
      </c>
      <c r="BQ13" s="446">
        <f t="shared" si="14"/>
        <v>3.8779882509236372</v>
      </c>
      <c r="BR13" s="436">
        <f t="shared" si="15"/>
        <v>8</v>
      </c>
      <c r="BS13" s="436">
        <f t="shared" si="16"/>
        <v>8</v>
      </c>
      <c r="BT13" s="421" t="str">
        <f t="shared" si="17"/>
        <v>Tâmega e Sousa</v>
      </c>
      <c r="CF13" s="943"/>
      <c r="CG13" s="423" t="s">
        <v>502</v>
      </c>
      <c r="CH13" s="434">
        <f t="shared" si="18"/>
        <v>1026.48</v>
      </c>
      <c r="CI13" s="434">
        <f t="shared" si="19"/>
        <v>1210.7</v>
      </c>
      <c r="CJ13" s="446">
        <f t="shared" si="20"/>
        <v>83.244532029292273</v>
      </c>
      <c r="CK13" s="446">
        <f t="shared" si="21"/>
        <v>82.099167276968572</v>
      </c>
      <c r="CL13" s="436">
        <f t="shared" si="22"/>
        <v>22</v>
      </c>
      <c r="CM13" s="436">
        <f t="shared" si="23"/>
        <v>22</v>
      </c>
      <c r="CN13" s="434">
        <f t="shared" si="24"/>
        <v>-282.48</v>
      </c>
      <c r="CO13" s="434">
        <f t="shared" si="25"/>
        <v>-372.04999999999995</v>
      </c>
      <c r="CP13" s="421" t="str">
        <f t="shared" si="26"/>
        <v>Tâmega e Sousa</v>
      </c>
    </row>
    <row r="14" spans="1:94">
      <c r="A14" s="423"/>
      <c r="D14" s="423" t="s">
        <v>509</v>
      </c>
      <c r="E14" s="421">
        <v>13</v>
      </c>
      <c r="Z14" s="421" t="s">
        <v>405</v>
      </c>
      <c r="AD14" s="957"/>
      <c r="AE14" s="957"/>
      <c r="AF14" s="957"/>
      <c r="AG14" s="957"/>
      <c r="AQ14" s="943"/>
      <c r="AR14" s="423" t="s">
        <v>503</v>
      </c>
      <c r="AS14" s="433">
        <f t="shared" si="6"/>
        <v>5377</v>
      </c>
      <c r="AT14" s="433">
        <f t="shared" si="7"/>
        <v>6331</v>
      </c>
      <c r="AU14" s="446">
        <f t="shared" si="4"/>
        <v>1.862080668229656</v>
      </c>
      <c r="AV14" s="446">
        <f t="shared" si="5"/>
        <v>1.8729328513191299</v>
      </c>
      <c r="AW14" s="436">
        <f t="shared" si="8"/>
        <v>16</v>
      </c>
      <c r="AX14" s="436">
        <f t="shared" si="9"/>
        <v>16</v>
      </c>
      <c r="AY14" s="421" t="str">
        <f t="shared" si="10"/>
        <v>Douro</v>
      </c>
      <c r="BL14" s="943"/>
      <c r="BM14" s="423" t="s">
        <v>503</v>
      </c>
      <c r="BN14" s="433">
        <f t="shared" si="11"/>
        <v>42955</v>
      </c>
      <c r="BO14" s="433">
        <f t="shared" si="12"/>
        <v>40207</v>
      </c>
      <c r="BP14" s="446">
        <f t="shared" si="13"/>
        <v>1.2117220105755919</v>
      </c>
      <c r="BQ14" s="446">
        <f t="shared" si="14"/>
        <v>1.1987289722301067</v>
      </c>
      <c r="BR14" s="436">
        <f t="shared" si="15"/>
        <v>18</v>
      </c>
      <c r="BS14" s="436">
        <f t="shared" si="16"/>
        <v>18</v>
      </c>
      <c r="BT14" s="421" t="str">
        <f t="shared" si="17"/>
        <v>Douro</v>
      </c>
      <c r="CF14" s="943"/>
      <c r="CG14" s="423" t="s">
        <v>503</v>
      </c>
      <c r="CH14" s="434">
        <f t="shared" si="18"/>
        <v>1059.6099999999999</v>
      </c>
      <c r="CI14" s="434">
        <f t="shared" si="19"/>
        <v>1268.7</v>
      </c>
      <c r="CJ14" s="446">
        <f t="shared" si="20"/>
        <v>85.931278333292781</v>
      </c>
      <c r="CK14" s="446">
        <f t="shared" si="21"/>
        <v>86.032223940109048</v>
      </c>
      <c r="CL14" s="436">
        <f t="shared" si="22"/>
        <v>19</v>
      </c>
      <c r="CM14" s="436">
        <f t="shared" si="23"/>
        <v>20</v>
      </c>
      <c r="CN14" s="434">
        <f t="shared" si="24"/>
        <v>-249.35000000000014</v>
      </c>
      <c r="CO14" s="434">
        <f t="shared" si="25"/>
        <v>-314.04999999999995</v>
      </c>
      <c r="CP14" s="421" t="str">
        <f t="shared" si="26"/>
        <v>Douro</v>
      </c>
    </row>
    <row r="15" spans="1:94">
      <c r="A15" s="423"/>
      <c r="D15" s="423" t="s">
        <v>510</v>
      </c>
      <c r="E15" s="421">
        <v>14</v>
      </c>
      <c r="Z15" s="421" t="s">
        <v>282</v>
      </c>
      <c r="AA15" s="443" t="str">
        <f>+AD6</f>
        <v>74.148</v>
      </c>
      <c r="AD15" s="957"/>
      <c r="AE15" s="957"/>
      <c r="AF15" s="957"/>
      <c r="AG15" s="957"/>
      <c r="AQ15" s="943"/>
      <c r="AR15" s="423" t="s">
        <v>504</v>
      </c>
      <c r="AS15" s="433">
        <f t="shared" si="6"/>
        <v>3188</v>
      </c>
      <c r="AT15" s="433">
        <f t="shared" si="7"/>
        <v>3712</v>
      </c>
      <c r="AU15" s="446">
        <f t="shared" si="4"/>
        <v>1.1040195592925688</v>
      </c>
      <c r="AV15" s="446">
        <f t="shared" si="5"/>
        <v>1.0981403797341036</v>
      </c>
      <c r="AW15" s="436">
        <f t="shared" si="8"/>
        <v>19</v>
      </c>
      <c r="AX15" s="436">
        <f t="shared" si="9"/>
        <v>19</v>
      </c>
      <c r="AY15" s="421" t="str">
        <f t="shared" si="10"/>
        <v>Terras de Trás-os-Montes</v>
      </c>
      <c r="BL15" s="943"/>
      <c r="BM15" s="423" t="s">
        <v>504</v>
      </c>
      <c r="BN15" s="433">
        <f t="shared" si="11"/>
        <v>21547</v>
      </c>
      <c r="BO15" s="433">
        <f t="shared" si="12"/>
        <v>19707</v>
      </c>
      <c r="BP15" s="446">
        <f t="shared" si="13"/>
        <v>0.60782153793207494</v>
      </c>
      <c r="BQ15" s="446">
        <f t="shared" si="14"/>
        <v>0.58754326002284951</v>
      </c>
      <c r="BR15" s="436">
        <f t="shared" si="15"/>
        <v>22</v>
      </c>
      <c r="BS15" s="436">
        <f t="shared" si="16"/>
        <v>22</v>
      </c>
      <c r="BT15" s="421" t="str">
        <f t="shared" si="17"/>
        <v>Terras de Trás-os-Montes</v>
      </c>
      <c r="CF15" s="943"/>
      <c r="CG15" s="423" t="s">
        <v>504</v>
      </c>
      <c r="CH15" s="434">
        <f t="shared" si="18"/>
        <v>1033.23</v>
      </c>
      <c r="CI15" s="434">
        <f t="shared" si="19"/>
        <v>1267.6300000000001</v>
      </c>
      <c r="CJ15" s="446">
        <f t="shared" si="20"/>
        <v>83.791937328175564</v>
      </c>
      <c r="CK15" s="446">
        <f t="shared" si="21"/>
        <v>85.959665825806269</v>
      </c>
      <c r="CL15" s="436">
        <f t="shared" si="22"/>
        <v>21</v>
      </c>
      <c r="CM15" s="436">
        <f t="shared" si="23"/>
        <v>21</v>
      </c>
      <c r="CN15" s="434">
        <f t="shared" si="24"/>
        <v>-275.73</v>
      </c>
      <c r="CO15" s="434">
        <f t="shared" si="25"/>
        <v>-315.11999999999989</v>
      </c>
      <c r="CP15" s="421" t="str">
        <f t="shared" si="26"/>
        <v>Terras de Trás-os-Montes</v>
      </c>
    </row>
    <row r="16" spans="1:94">
      <c r="A16" s="423"/>
      <c r="D16" s="423" t="s">
        <v>514</v>
      </c>
      <c r="E16" s="421">
        <v>15</v>
      </c>
      <c r="Z16" s="421" t="s">
        <v>738</v>
      </c>
      <c r="AD16" s="957"/>
      <c r="AE16" s="957"/>
      <c r="AF16" s="957"/>
      <c r="AG16" s="957"/>
      <c r="AQ16" s="943" t="s">
        <v>505</v>
      </c>
      <c r="AR16" s="423" t="s">
        <v>513</v>
      </c>
      <c r="AS16" s="433">
        <f t="shared" si="6"/>
        <v>11570</v>
      </c>
      <c r="AT16" s="433">
        <f t="shared" si="7"/>
        <v>13413</v>
      </c>
      <c r="AU16" s="446">
        <f t="shared" si="4"/>
        <v>4.0067460166295552</v>
      </c>
      <c r="AV16" s="446">
        <f t="shared" si="5"/>
        <v>3.9680379615769215</v>
      </c>
      <c r="AW16" s="436">
        <f t="shared" si="8"/>
        <v>7</v>
      </c>
      <c r="AX16" s="436">
        <f t="shared" si="9"/>
        <v>7</v>
      </c>
      <c r="AY16" s="421" t="str">
        <f t="shared" si="10"/>
        <v>Oeste</v>
      </c>
      <c r="BL16" s="943" t="s">
        <v>505</v>
      </c>
      <c r="BM16" s="423" t="s">
        <v>513</v>
      </c>
      <c r="BN16" s="433">
        <f t="shared" si="11"/>
        <v>112479</v>
      </c>
      <c r="BO16" s="433">
        <f t="shared" si="12"/>
        <v>104588.00000000001</v>
      </c>
      <c r="BP16" s="446">
        <f t="shared" si="13"/>
        <v>3.1729316733216626</v>
      </c>
      <c r="BQ16" s="446">
        <f t="shared" si="14"/>
        <v>3.1181800618698836</v>
      </c>
      <c r="BR16" s="436">
        <f t="shared" si="15"/>
        <v>10</v>
      </c>
      <c r="BS16" s="436">
        <f t="shared" si="16"/>
        <v>10</v>
      </c>
      <c r="BT16" s="421" t="str">
        <f t="shared" si="17"/>
        <v>Oeste</v>
      </c>
      <c r="CF16" s="943" t="s">
        <v>505</v>
      </c>
      <c r="CG16" s="423" t="s">
        <v>513</v>
      </c>
      <c r="CH16" s="434">
        <f t="shared" si="18"/>
        <v>1100.1600000000001</v>
      </c>
      <c r="CI16" s="434">
        <f t="shared" si="19"/>
        <v>1324.42</v>
      </c>
      <c r="CJ16" s="446">
        <f>+CH16/$CH$39*100</f>
        <v>96.552692550726675</v>
      </c>
      <c r="CK16" s="446">
        <f>+CI16/$CI$39*100</f>
        <v>95.033150598432883</v>
      </c>
      <c r="CL16" s="436">
        <f t="shared" si="22"/>
        <v>12</v>
      </c>
      <c r="CM16" s="436">
        <f t="shared" si="23"/>
        <v>14</v>
      </c>
      <c r="CN16" s="434">
        <f t="shared" si="24"/>
        <v>-208.79999999999995</v>
      </c>
      <c r="CO16" s="434">
        <f t="shared" si="25"/>
        <v>-258.32999999999993</v>
      </c>
      <c r="CP16" s="421" t="str">
        <f t="shared" si="26"/>
        <v>Oeste</v>
      </c>
    </row>
    <row r="17" spans="1:94">
      <c r="A17" s="423"/>
      <c r="D17" s="423" t="s">
        <v>511</v>
      </c>
      <c r="E17" s="421">
        <v>16</v>
      </c>
      <c r="Z17" s="421" t="s">
        <v>283</v>
      </c>
      <c r="AA17" s="446">
        <f>ROUND(AF9,1)</f>
        <v>9.8000000000000007</v>
      </c>
      <c r="AD17" s="957"/>
      <c r="AE17" s="957"/>
      <c r="AF17" s="957"/>
      <c r="AG17" s="957"/>
      <c r="AQ17" s="943"/>
      <c r="AR17" s="423" t="s">
        <v>506</v>
      </c>
      <c r="AS17" s="433">
        <f t="shared" si="6"/>
        <v>9773</v>
      </c>
      <c r="AT17" s="433">
        <f t="shared" si="7"/>
        <v>11509.999999999998</v>
      </c>
      <c r="AU17" s="446">
        <f t="shared" si="4"/>
        <v>3.3844363716958203</v>
      </c>
      <c r="AV17" s="446">
        <f t="shared" si="5"/>
        <v>3.4050635158242271</v>
      </c>
      <c r="AW17" s="436">
        <f t="shared" si="8"/>
        <v>10</v>
      </c>
      <c r="AX17" s="436">
        <f t="shared" si="9"/>
        <v>10</v>
      </c>
      <c r="AY17" s="421" t="str">
        <f t="shared" si="10"/>
        <v>Região de Aveiro</v>
      </c>
      <c r="BL17" s="943"/>
      <c r="BM17" s="423" t="s">
        <v>506</v>
      </c>
      <c r="BN17" s="433">
        <f t="shared" si="11"/>
        <v>139173</v>
      </c>
      <c r="BO17" s="433">
        <f t="shared" si="12"/>
        <v>131216</v>
      </c>
      <c r="BP17" s="446">
        <f t="shared" si="13"/>
        <v>3.9259454633415638</v>
      </c>
      <c r="BQ17" s="446">
        <f t="shared" si="14"/>
        <v>3.9120655811213392</v>
      </c>
      <c r="BR17" s="436">
        <f t="shared" si="15"/>
        <v>7</v>
      </c>
      <c r="BS17" s="436">
        <f t="shared" si="16"/>
        <v>7</v>
      </c>
      <c r="BT17" s="421" t="str">
        <f t="shared" si="17"/>
        <v>Região de Aveiro</v>
      </c>
      <c r="CF17" s="943"/>
      <c r="CG17" s="423" t="s">
        <v>506</v>
      </c>
      <c r="CH17" s="434">
        <f t="shared" si="18"/>
        <v>1223.23</v>
      </c>
      <c r="CI17" s="434">
        <f t="shared" si="19"/>
        <v>1492.3</v>
      </c>
      <c r="CJ17" s="446">
        <f t="shared" ref="CJ17:CJ23" si="27">+CH17/$CH$39*100</f>
        <v>107.35361230077933</v>
      </c>
      <c r="CK17" s="446">
        <f t="shared" ref="CK17:CK23" si="28">+CI17/$CI$39*100</f>
        <v>107.07930311988747</v>
      </c>
      <c r="CL17" s="436">
        <f t="shared" si="22"/>
        <v>3</v>
      </c>
      <c r="CM17" s="436">
        <f t="shared" si="23"/>
        <v>3</v>
      </c>
      <c r="CN17" s="434">
        <f t="shared" si="24"/>
        <v>-85.730000000000018</v>
      </c>
      <c r="CO17" s="434">
        <f t="shared" si="25"/>
        <v>-90.450000000000045</v>
      </c>
      <c r="CP17" s="421" t="str">
        <f t="shared" si="26"/>
        <v>Região de Aveiro</v>
      </c>
    </row>
    <row r="18" spans="1:94">
      <c r="A18" s="423"/>
      <c r="D18" s="423" t="s">
        <v>772</v>
      </c>
      <c r="E18" s="421">
        <v>17</v>
      </c>
      <c r="Z18" s="421" t="s">
        <v>895</v>
      </c>
      <c r="AD18" s="957"/>
      <c r="AE18" s="957"/>
      <c r="AF18" s="957"/>
      <c r="AG18" s="957"/>
      <c r="AQ18" s="943"/>
      <c r="AR18" s="423" t="s">
        <v>507</v>
      </c>
      <c r="AS18" s="433">
        <f t="shared" si="6"/>
        <v>10899</v>
      </c>
      <c r="AT18" s="433">
        <f t="shared" si="7"/>
        <v>13262.000000000002</v>
      </c>
      <c r="AU18" s="446">
        <f t="shared" si="4"/>
        <v>3.7743755259503478</v>
      </c>
      <c r="AV18" s="446">
        <f t="shared" si="5"/>
        <v>3.9233668416039023</v>
      </c>
      <c r="AW18" s="436">
        <f t="shared" si="8"/>
        <v>8</v>
      </c>
      <c r="AX18" s="436">
        <f t="shared" si="9"/>
        <v>8</v>
      </c>
      <c r="AY18" s="421" t="str">
        <f t="shared" si="10"/>
        <v>Região de Coimbra</v>
      </c>
      <c r="BL18" s="943"/>
      <c r="BM18" s="423" t="s">
        <v>507</v>
      </c>
      <c r="BN18" s="433">
        <f t="shared" si="11"/>
        <v>125294.99999999997</v>
      </c>
      <c r="BO18" s="433">
        <f t="shared" si="12"/>
        <v>117601.00000000003</v>
      </c>
      <c r="BP18" s="446">
        <f t="shared" si="13"/>
        <v>3.5344595347472647</v>
      </c>
      <c r="BQ18" s="446">
        <f t="shared" si="14"/>
        <v>3.5061488264041785</v>
      </c>
      <c r="BR18" s="436">
        <f t="shared" si="15"/>
        <v>9</v>
      </c>
      <c r="BS18" s="436">
        <f t="shared" si="16"/>
        <v>9</v>
      </c>
      <c r="BT18" s="421" t="str">
        <f t="shared" si="17"/>
        <v>Região de Coimbra</v>
      </c>
      <c r="CF18" s="943"/>
      <c r="CG18" s="423" t="s">
        <v>507</v>
      </c>
      <c r="CH18" s="434">
        <f t="shared" si="18"/>
        <v>1154.1500000000001</v>
      </c>
      <c r="CI18" s="434">
        <f t="shared" si="19"/>
        <v>1423.9</v>
      </c>
      <c r="CJ18" s="446">
        <f t="shared" si="27"/>
        <v>101.2909850452854</v>
      </c>
      <c r="CK18" s="446">
        <f t="shared" si="28"/>
        <v>102.17129244281162</v>
      </c>
      <c r="CL18" s="436">
        <f t="shared" si="22"/>
        <v>7</v>
      </c>
      <c r="CM18" s="436">
        <f t="shared" si="23"/>
        <v>7</v>
      </c>
      <c r="CN18" s="434">
        <f t="shared" si="24"/>
        <v>-154.80999999999995</v>
      </c>
      <c r="CO18" s="434">
        <f t="shared" si="25"/>
        <v>-158.84999999999991</v>
      </c>
      <c r="CP18" s="421" t="str">
        <f t="shared" si="26"/>
        <v>Região de Coimbra</v>
      </c>
    </row>
    <row r="19" spans="1:94">
      <c r="D19" s="423" t="s">
        <v>519</v>
      </c>
      <c r="E19" s="421">
        <v>18</v>
      </c>
      <c r="Z19" s="421" t="s">
        <v>275</v>
      </c>
      <c r="AA19" s="421" t="str">
        <f>+AH6</f>
        <v>, mais</v>
      </c>
      <c r="AD19" s="957"/>
      <c r="AE19" s="957"/>
      <c r="AF19" s="957"/>
      <c r="AG19" s="957"/>
      <c r="AQ19" s="943"/>
      <c r="AR19" s="423" t="s">
        <v>508</v>
      </c>
      <c r="AS19" s="433">
        <f t="shared" si="6"/>
        <v>10282.999999999996</v>
      </c>
      <c r="AT19" s="433">
        <f t="shared" si="7"/>
        <v>11964</v>
      </c>
      <c r="AU19" s="446">
        <f t="shared" si="4"/>
        <v>3.5610517968022211</v>
      </c>
      <c r="AV19" s="446">
        <f t="shared" si="5"/>
        <v>3.5393727109748965</v>
      </c>
      <c r="AW19" s="436">
        <f t="shared" si="8"/>
        <v>9</v>
      </c>
      <c r="AX19" s="436">
        <f t="shared" si="9"/>
        <v>9</v>
      </c>
      <c r="AY19" s="421" t="str">
        <f t="shared" si="10"/>
        <v>Região de Leiria</v>
      </c>
      <c r="BL19" s="943"/>
      <c r="BM19" s="423" t="s">
        <v>508</v>
      </c>
      <c r="BN19" s="433">
        <f t="shared" si="11"/>
        <v>111125.99999999999</v>
      </c>
      <c r="BO19" s="433">
        <f t="shared" si="12"/>
        <v>103510</v>
      </c>
      <c r="BP19" s="446">
        <f t="shared" si="13"/>
        <v>3.1347647572395116</v>
      </c>
      <c r="BQ19" s="446">
        <f t="shared" si="14"/>
        <v>3.086040637588936</v>
      </c>
      <c r="BR19" s="436">
        <f t="shared" si="15"/>
        <v>11</v>
      </c>
      <c r="BS19" s="436">
        <f t="shared" si="16"/>
        <v>11</v>
      </c>
      <c r="BT19" s="421" t="str">
        <f t="shared" si="17"/>
        <v>Região de Leiria</v>
      </c>
      <c r="CF19" s="943"/>
      <c r="CG19" s="423" t="s">
        <v>508</v>
      </c>
      <c r="CH19" s="434">
        <f t="shared" si="18"/>
        <v>1171.5899999999999</v>
      </c>
      <c r="CI19" s="434">
        <f t="shared" si="19"/>
        <v>1434.69</v>
      </c>
      <c r="CJ19" s="446">
        <f t="shared" si="27"/>
        <v>102.82156146879167</v>
      </c>
      <c r="CK19" s="446">
        <f t="shared" si="28"/>
        <v>102.94552395166615</v>
      </c>
      <c r="CL19" s="436">
        <f t="shared" si="22"/>
        <v>6</v>
      </c>
      <c r="CM19" s="436">
        <f t="shared" si="23"/>
        <v>6</v>
      </c>
      <c r="CN19" s="434">
        <f t="shared" si="24"/>
        <v>-137.37000000000012</v>
      </c>
      <c r="CO19" s="434">
        <f t="shared" si="25"/>
        <v>-148.05999999999995</v>
      </c>
      <c r="CP19" s="421" t="str">
        <f t="shared" si="26"/>
        <v>Região de Leiria</v>
      </c>
    </row>
    <row r="20" spans="1:94">
      <c r="D20" s="423" t="s">
        <v>520</v>
      </c>
      <c r="E20" s="421">
        <v>19</v>
      </c>
      <c r="Z20" s="421" t="s">
        <v>277</v>
      </c>
      <c r="AA20" s="443" t="str">
        <f>TEXT(AI6,"##.###")</f>
        <v>6.609</v>
      </c>
      <c r="AQ20" s="943"/>
      <c r="AR20" s="423" t="s">
        <v>509</v>
      </c>
      <c r="AS20" s="433">
        <f t="shared" si="6"/>
        <v>7294</v>
      </c>
      <c r="AT20" s="433">
        <f t="shared" si="7"/>
        <v>8583</v>
      </c>
      <c r="AU20" s="446">
        <f t="shared" si="4"/>
        <v>2.5259468837766619</v>
      </c>
      <c r="AV20" s="446">
        <f t="shared" si="5"/>
        <v>2.5391537929035053</v>
      </c>
      <c r="AW20" s="436">
        <f t="shared" si="8"/>
        <v>12</v>
      </c>
      <c r="AX20" s="436">
        <f t="shared" si="9"/>
        <v>11</v>
      </c>
      <c r="AY20" s="421" t="str">
        <f t="shared" si="10"/>
        <v>Viseu Dão Lafões</v>
      </c>
      <c r="BL20" s="943"/>
      <c r="BM20" s="423" t="s">
        <v>509</v>
      </c>
      <c r="BN20" s="433">
        <f t="shared" si="11"/>
        <v>79469</v>
      </c>
      <c r="BO20" s="433">
        <f t="shared" si="12"/>
        <v>74675</v>
      </c>
      <c r="BP20" s="446">
        <f t="shared" si="13"/>
        <v>2.2417491900461348</v>
      </c>
      <c r="BQ20" s="446">
        <f t="shared" si="14"/>
        <v>2.2263557589793623</v>
      </c>
      <c r="BR20" s="436">
        <f t="shared" si="15"/>
        <v>12</v>
      </c>
      <c r="BS20" s="436">
        <f t="shared" si="16"/>
        <v>12</v>
      </c>
      <c r="BT20" s="421" t="str">
        <f t="shared" si="17"/>
        <v>Viseu Dão Lafões</v>
      </c>
      <c r="CF20" s="943"/>
      <c r="CG20" s="423" t="s">
        <v>509</v>
      </c>
      <c r="CH20" s="434">
        <f t="shared" si="18"/>
        <v>1078.24</v>
      </c>
      <c r="CI20" s="434">
        <f t="shared" si="19"/>
        <v>1331.89</v>
      </c>
      <c r="CJ20" s="446">
        <f t="shared" si="27"/>
        <v>94.628940532191251</v>
      </c>
      <c r="CK20" s="446">
        <f t="shared" si="28"/>
        <v>95.569157027639847</v>
      </c>
      <c r="CL20" s="436">
        <f t="shared" si="22"/>
        <v>17</v>
      </c>
      <c r="CM20" s="436">
        <f t="shared" si="23"/>
        <v>13</v>
      </c>
      <c r="CN20" s="434">
        <f t="shared" si="24"/>
        <v>-230.72000000000003</v>
      </c>
      <c r="CO20" s="434">
        <f t="shared" si="25"/>
        <v>-250.8599999999999</v>
      </c>
      <c r="CP20" s="421" t="str">
        <f t="shared" si="26"/>
        <v>Viseu Dão Lafões</v>
      </c>
    </row>
    <row r="21" spans="1:94">
      <c r="D21" s="423" t="s">
        <v>515</v>
      </c>
      <c r="E21" s="421">
        <v>20</v>
      </c>
      <c r="AB21" s="421" t="s">
        <v>657</v>
      </c>
      <c r="AQ21" s="943"/>
      <c r="AR21" s="423" t="s">
        <v>510</v>
      </c>
      <c r="AS21" s="433">
        <f t="shared" si="6"/>
        <v>2138</v>
      </c>
      <c r="AT21" s="433">
        <f t="shared" si="7"/>
        <v>2592</v>
      </c>
      <c r="AU21" s="446">
        <f t="shared" si="4"/>
        <v>0.74039956642644678</v>
      </c>
      <c r="AV21" s="446">
        <f t="shared" si="5"/>
        <v>0.76680492033157244</v>
      </c>
      <c r="AW21" s="436">
        <f t="shared" si="8"/>
        <v>23</v>
      </c>
      <c r="AX21" s="436">
        <f t="shared" si="9"/>
        <v>23</v>
      </c>
      <c r="AY21" s="421" t="str">
        <f t="shared" si="10"/>
        <v>Beira Baixa</v>
      </c>
      <c r="BL21" s="943"/>
      <c r="BM21" s="423" t="s">
        <v>510</v>
      </c>
      <c r="BN21" s="433">
        <f t="shared" si="11"/>
        <v>19323</v>
      </c>
      <c r="BO21" s="433">
        <f t="shared" si="12"/>
        <v>18069.000000000004</v>
      </c>
      <c r="BP21" s="446">
        <f t="shared" si="13"/>
        <v>0.54508449331514763</v>
      </c>
      <c r="BQ21" s="446">
        <f t="shared" si="14"/>
        <v>0.5387080309206308</v>
      </c>
      <c r="BR21" s="436">
        <f t="shared" si="15"/>
        <v>23</v>
      </c>
      <c r="BS21" s="436">
        <f t="shared" si="16"/>
        <v>23</v>
      </c>
      <c r="BT21" s="421" t="str">
        <f t="shared" si="17"/>
        <v>Beira Baixa</v>
      </c>
      <c r="CF21" s="943"/>
      <c r="CG21" s="423" t="s">
        <v>510</v>
      </c>
      <c r="CH21" s="434">
        <f t="shared" si="18"/>
        <v>1082.8599999999999</v>
      </c>
      <c r="CI21" s="434">
        <f t="shared" si="19"/>
        <v>1306.07</v>
      </c>
      <c r="CJ21" s="446">
        <f t="shared" si="27"/>
        <v>95.034402864565038</v>
      </c>
      <c r="CK21" s="446">
        <f t="shared" si="28"/>
        <v>93.716454751585758</v>
      </c>
      <c r="CL21" s="436">
        <f t="shared" si="22"/>
        <v>16</v>
      </c>
      <c r="CM21" s="436">
        <f t="shared" si="23"/>
        <v>17</v>
      </c>
      <c r="CN21" s="434">
        <f t="shared" si="24"/>
        <v>-226.10000000000014</v>
      </c>
      <c r="CO21" s="434">
        <f t="shared" si="25"/>
        <v>-276.68000000000006</v>
      </c>
      <c r="CP21" s="421" t="str">
        <f t="shared" si="26"/>
        <v>Beira Baixa</v>
      </c>
    </row>
    <row r="22" spans="1:94" ht="12.95" customHeight="1">
      <c r="D22" s="423" t="s">
        <v>521</v>
      </c>
      <c r="E22" s="421">
        <v>21</v>
      </c>
      <c r="Z22" s="421" t="s">
        <v>286</v>
      </c>
      <c r="AA22" s="443" t="str">
        <f>+AD7</f>
        <v>87.949</v>
      </c>
      <c r="AQ22" s="943"/>
      <c r="AR22" s="423" t="s">
        <v>514</v>
      </c>
      <c r="AS22" s="433">
        <f t="shared" si="6"/>
        <v>6526.9999999999991</v>
      </c>
      <c r="AT22" s="433">
        <f t="shared" si="7"/>
        <v>7741.9999999999982</v>
      </c>
      <c r="AU22" s="446">
        <f t="shared" si="4"/>
        <v>2.2603311366068368</v>
      </c>
      <c r="AV22" s="446">
        <f t="shared" si="5"/>
        <v>2.2903563631199968</v>
      </c>
      <c r="AW22" s="436">
        <f t="shared" si="8"/>
        <v>13</v>
      </c>
      <c r="AX22" s="436">
        <f t="shared" si="9"/>
        <v>13</v>
      </c>
      <c r="AY22" s="421" t="str">
        <f t="shared" si="10"/>
        <v>Médio Tejo</v>
      </c>
      <c r="BL22" s="943"/>
      <c r="BM22" s="423" t="s">
        <v>514</v>
      </c>
      <c r="BN22" s="433">
        <f t="shared" si="11"/>
        <v>64247.999999999993</v>
      </c>
      <c r="BO22" s="433">
        <f t="shared" si="12"/>
        <v>59580.999999999993</v>
      </c>
      <c r="BP22" s="446">
        <f t="shared" si="13"/>
        <v>1.8123784363976401</v>
      </c>
      <c r="BQ22" s="446">
        <f t="shared" si="14"/>
        <v>1.7763441911717355</v>
      </c>
      <c r="BR22" s="436">
        <f t="shared" si="15"/>
        <v>15</v>
      </c>
      <c r="BS22" s="436">
        <f t="shared" si="16"/>
        <v>15</v>
      </c>
      <c r="BT22" s="421" t="str">
        <f t="shared" si="17"/>
        <v>Médio Tejo</v>
      </c>
      <c r="CF22" s="943"/>
      <c r="CG22" s="423" t="s">
        <v>514</v>
      </c>
      <c r="CH22" s="434">
        <f t="shared" si="18"/>
        <v>1099.72</v>
      </c>
      <c r="CI22" s="434">
        <f t="shared" si="19"/>
        <v>1352.82</v>
      </c>
      <c r="CJ22" s="446">
        <f t="shared" si="27"/>
        <v>96.514077090500592</v>
      </c>
      <c r="CK22" s="446">
        <f t="shared" si="28"/>
        <v>97.070979593008218</v>
      </c>
      <c r="CL22" s="436">
        <f t="shared" si="22"/>
        <v>13</v>
      </c>
      <c r="CM22" s="436">
        <f t="shared" si="23"/>
        <v>11</v>
      </c>
      <c r="CN22" s="434">
        <f t="shared" si="24"/>
        <v>-209.24</v>
      </c>
      <c r="CO22" s="434">
        <f t="shared" si="25"/>
        <v>-229.93000000000006</v>
      </c>
      <c r="CP22" s="421" t="str">
        <f t="shared" si="26"/>
        <v>Médio Tejo</v>
      </c>
    </row>
    <row r="23" spans="1:94">
      <c r="D23" s="423" t="s">
        <v>522</v>
      </c>
      <c r="E23" s="421">
        <v>22</v>
      </c>
      <c r="Z23" s="421" t="s">
        <v>739</v>
      </c>
      <c r="AQ23" s="943"/>
      <c r="AR23" s="423" t="s">
        <v>511</v>
      </c>
      <c r="AS23" s="433">
        <f t="shared" si="6"/>
        <v>5676</v>
      </c>
      <c r="AT23" s="433">
        <f t="shared" si="7"/>
        <v>6656</v>
      </c>
      <c r="AU23" s="446">
        <f t="shared" si="4"/>
        <v>1.9656257900077232</v>
      </c>
      <c r="AV23" s="446">
        <f t="shared" si="5"/>
        <v>1.9690793015921859</v>
      </c>
      <c r="AW23" s="436">
        <f t="shared" si="8"/>
        <v>15</v>
      </c>
      <c r="AX23" s="436">
        <f t="shared" si="9"/>
        <v>15</v>
      </c>
      <c r="AY23" s="421" t="str">
        <f t="shared" si="10"/>
        <v>Beiras e Serra da Estrela</v>
      </c>
      <c r="BL23" s="943"/>
      <c r="BM23" s="423" t="s">
        <v>511</v>
      </c>
      <c r="BN23" s="433">
        <f t="shared" si="11"/>
        <v>51650.999999999993</v>
      </c>
      <c r="BO23" s="433">
        <f t="shared" si="12"/>
        <v>48551</v>
      </c>
      <c r="BP23" s="446">
        <f t="shared" si="13"/>
        <v>1.4570283684842251</v>
      </c>
      <c r="BQ23" s="446">
        <f t="shared" si="14"/>
        <v>1.4474964640670507</v>
      </c>
      <c r="BR23" s="436">
        <f t="shared" si="15"/>
        <v>16</v>
      </c>
      <c r="BS23" s="436">
        <f t="shared" si="16"/>
        <v>16</v>
      </c>
      <c r="BT23" s="421" t="str">
        <f t="shared" si="17"/>
        <v>Beiras e Serra da Estrela</v>
      </c>
      <c r="CF23" s="943"/>
      <c r="CG23" s="423" t="s">
        <v>511</v>
      </c>
      <c r="CH23" s="434">
        <f t="shared" si="18"/>
        <v>1058.19</v>
      </c>
      <c r="CI23" s="434">
        <f t="shared" si="19"/>
        <v>1292.95</v>
      </c>
      <c r="CJ23" s="446">
        <f t="shared" si="27"/>
        <v>92.869304219616652</v>
      </c>
      <c r="CK23" s="446">
        <f t="shared" si="28"/>
        <v>92.775035159725604</v>
      </c>
      <c r="CL23" s="436">
        <f t="shared" si="22"/>
        <v>20</v>
      </c>
      <c r="CM23" s="436">
        <f t="shared" si="23"/>
        <v>19</v>
      </c>
      <c r="CN23" s="434">
        <f t="shared" si="24"/>
        <v>-250.76999999999998</v>
      </c>
      <c r="CO23" s="434">
        <f t="shared" si="25"/>
        <v>-289.79999999999995</v>
      </c>
      <c r="CP23" s="421" t="str">
        <f t="shared" si="26"/>
        <v>Beiras e Serra da Estrela</v>
      </c>
    </row>
    <row r="24" spans="1:94">
      <c r="D24" s="423" t="s">
        <v>523</v>
      </c>
      <c r="E24" s="421">
        <v>23</v>
      </c>
      <c r="Z24" s="421" t="s">
        <v>284</v>
      </c>
      <c r="AA24" s="446">
        <f>ROUND(AF10,1)</f>
        <v>7.6</v>
      </c>
      <c r="AQ24" s="423" t="s">
        <v>772</v>
      </c>
      <c r="AR24" s="423" t="s">
        <v>772</v>
      </c>
      <c r="AS24" s="433">
        <f t="shared" si="6"/>
        <v>74147.999999999971</v>
      </c>
      <c r="AT24" s="433">
        <f t="shared" si="7"/>
        <v>87949</v>
      </c>
      <c r="AU24" s="446">
        <f t="shared" si="4"/>
        <v>25.677804981940199</v>
      </c>
      <c r="AV24" s="446">
        <f t="shared" si="5"/>
        <v>26.018412784815375</v>
      </c>
      <c r="AW24" s="436">
        <f t="shared" si="8"/>
        <v>1</v>
      </c>
      <c r="AX24" s="436">
        <f t="shared" si="9"/>
        <v>1</v>
      </c>
      <c r="AY24" s="421" t="str">
        <f t="shared" si="10"/>
        <v>Área Metropolitana de Lisboa</v>
      </c>
      <c r="BL24" s="423" t="s">
        <v>772</v>
      </c>
      <c r="BM24" s="423" t="s">
        <v>772</v>
      </c>
      <c r="BN24" s="433">
        <f t="shared" si="11"/>
        <v>1174107</v>
      </c>
      <c r="BO24" s="433">
        <f t="shared" si="12"/>
        <v>1124021</v>
      </c>
      <c r="BP24" s="446">
        <f t="shared" si="13"/>
        <v>33.120505055776434</v>
      </c>
      <c r="BQ24" s="446">
        <f t="shared" si="14"/>
        <v>33.51149148394699</v>
      </c>
      <c r="BR24" s="436">
        <f t="shared" si="15"/>
        <v>2</v>
      </c>
      <c r="BS24" s="436">
        <f t="shared" si="16"/>
        <v>2</v>
      </c>
      <c r="BT24" s="421" t="str">
        <f t="shared" si="17"/>
        <v>Área Metropolitana de Lisboa</v>
      </c>
      <c r="CF24" s="423" t="s">
        <v>772</v>
      </c>
      <c r="CG24" s="423" t="s">
        <v>772</v>
      </c>
      <c r="CH24" s="434">
        <f t="shared" si="18"/>
        <v>1554.49</v>
      </c>
      <c r="CI24" s="434">
        <f t="shared" si="19"/>
        <v>1880.94</v>
      </c>
      <c r="CJ24" s="446">
        <f>+CH24/$CH$31*100</f>
        <v>118.75763965285418</v>
      </c>
      <c r="CK24" s="446">
        <f>+CI24/$CI$31*100</f>
        <v>118.8399936818828</v>
      </c>
      <c r="CL24" s="436">
        <f t="shared" si="22"/>
        <v>1</v>
      </c>
      <c r="CM24" s="436">
        <f t="shared" si="23"/>
        <v>1</v>
      </c>
      <c r="CN24" s="434">
        <f t="shared" si="24"/>
        <v>245.52999999999997</v>
      </c>
      <c r="CO24" s="434">
        <f t="shared" si="25"/>
        <v>298.19000000000005</v>
      </c>
      <c r="CP24" s="421" t="str">
        <f t="shared" si="26"/>
        <v>Área Metropolitana de Lisboa</v>
      </c>
    </row>
    <row r="25" spans="1:94">
      <c r="D25" s="423"/>
      <c r="Z25" s="421" t="s">
        <v>895</v>
      </c>
      <c r="AQ25" s="943" t="s">
        <v>518</v>
      </c>
      <c r="AR25" s="423" t="s">
        <v>519</v>
      </c>
      <c r="AS25" s="433">
        <f t="shared" si="6"/>
        <v>2837</v>
      </c>
      <c r="AT25" s="433">
        <f t="shared" si="7"/>
        <v>3421</v>
      </c>
      <c r="AU25" s="446">
        <f t="shared" si="4"/>
        <v>0.98246659024875094</v>
      </c>
      <c r="AV25" s="446">
        <f t="shared" si="5"/>
        <v>1.0120523273357673</v>
      </c>
      <c r="AW25" s="436">
        <f t="shared" si="8"/>
        <v>20</v>
      </c>
      <c r="AX25" s="436">
        <f t="shared" si="9"/>
        <v>20</v>
      </c>
      <c r="AY25" s="421" t="str">
        <f t="shared" si="10"/>
        <v>Alentejo Litoral</v>
      </c>
      <c r="BL25" s="943" t="s">
        <v>518</v>
      </c>
      <c r="BM25" s="423" t="s">
        <v>519</v>
      </c>
      <c r="BN25" s="433">
        <f t="shared" si="11"/>
        <v>36011</v>
      </c>
      <c r="BO25" s="433">
        <f t="shared" si="12"/>
        <v>34505</v>
      </c>
      <c r="BP25" s="446">
        <f t="shared" si="13"/>
        <v>1.0158380007644661</v>
      </c>
      <c r="BQ25" s="446">
        <f t="shared" si="14"/>
        <v>1.0287299024249468</v>
      </c>
      <c r="BR25" s="436">
        <f t="shared" si="15"/>
        <v>19</v>
      </c>
      <c r="BS25" s="436">
        <f t="shared" si="16"/>
        <v>19</v>
      </c>
      <c r="BT25" s="421" t="str">
        <f t="shared" si="17"/>
        <v>Alentejo Litoral</v>
      </c>
      <c r="CF25" s="943" t="s">
        <v>518</v>
      </c>
      <c r="CG25" s="423" t="s">
        <v>519</v>
      </c>
      <c r="CH25" s="434">
        <f t="shared" si="18"/>
        <v>1180.01</v>
      </c>
      <c r="CI25" s="434">
        <f t="shared" si="19"/>
        <v>1480.81</v>
      </c>
      <c r="CJ25" s="446">
        <f>+CH25/$CH$41*100</f>
        <v>105.40132554442003</v>
      </c>
      <c r="CK25" s="446">
        <f>+CI25/$CI$41*100</f>
        <v>106.26780626780625</v>
      </c>
      <c r="CL25" s="436">
        <f t="shared" si="22"/>
        <v>5</v>
      </c>
      <c r="CM25" s="436">
        <f t="shared" si="23"/>
        <v>4</v>
      </c>
      <c r="CN25" s="434">
        <f t="shared" si="24"/>
        <v>-128.95000000000005</v>
      </c>
      <c r="CO25" s="434">
        <f t="shared" si="25"/>
        <v>-101.94000000000005</v>
      </c>
      <c r="CP25" s="421" t="str">
        <f t="shared" si="26"/>
        <v>Alentejo Litoral</v>
      </c>
    </row>
    <row r="26" spans="1:94">
      <c r="D26" s="423"/>
      <c r="Z26" s="421" t="s">
        <v>276</v>
      </c>
      <c r="AA26" s="421" t="str">
        <f>+AH7</f>
        <v>, mais</v>
      </c>
      <c r="AQ26" s="943"/>
      <c r="AR26" s="423" t="s">
        <v>520</v>
      </c>
      <c r="AS26" s="433">
        <f t="shared" si="6"/>
        <v>3881</v>
      </c>
      <c r="AT26" s="433">
        <f t="shared" si="7"/>
        <v>4522</v>
      </c>
      <c r="AU26" s="446">
        <f t="shared" si="4"/>
        <v>1.3440087545842094</v>
      </c>
      <c r="AV26" s="446">
        <f t="shared" si="5"/>
        <v>1.33776691733772</v>
      </c>
      <c r="AW26" s="436">
        <f t="shared" si="8"/>
        <v>18</v>
      </c>
      <c r="AX26" s="436">
        <f t="shared" si="9"/>
        <v>18</v>
      </c>
      <c r="AY26" s="421" t="str">
        <f t="shared" si="10"/>
        <v>Baixo Alentejo</v>
      </c>
      <c r="BL26" s="943"/>
      <c r="BM26" s="423" t="s">
        <v>520</v>
      </c>
      <c r="BN26" s="433">
        <f t="shared" si="11"/>
        <v>33016.999999999993</v>
      </c>
      <c r="BO26" s="433">
        <f t="shared" si="12"/>
        <v>31283.999999999996</v>
      </c>
      <c r="BP26" s="446">
        <f t="shared" si="13"/>
        <v>0.93137994699509508</v>
      </c>
      <c r="BQ26" s="446">
        <f t="shared" si="14"/>
        <v>0.93269921076545514</v>
      </c>
      <c r="BR26" s="436">
        <f t="shared" si="15"/>
        <v>20</v>
      </c>
      <c r="BS26" s="436">
        <f t="shared" si="16"/>
        <v>20</v>
      </c>
      <c r="BT26" s="421" t="str">
        <f t="shared" si="17"/>
        <v>Baixo Alentejo</v>
      </c>
      <c r="CF26" s="943"/>
      <c r="CG26" s="423" t="s">
        <v>520</v>
      </c>
      <c r="CH26" s="434">
        <f t="shared" si="18"/>
        <v>1119.75</v>
      </c>
      <c r="CI26" s="434">
        <f t="shared" si="19"/>
        <v>1469.2</v>
      </c>
      <c r="CJ26" s="446">
        <f t="shared" ref="CJ26:CJ29" si="29">+CH26/$CH$41*100</f>
        <v>100.01875770405704</v>
      </c>
      <c r="CK26" s="446">
        <f t="shared" ref="CK26:CK29" si="30">+CI26/$CI$41*100</f>
        <v>105.4346344018888</v>
      </c>
      <c r="CL26" s="436">
        <f t="shared" si="22"/>
        <v>9</v>
      </c>
      <c r="CM26" s="436">
        <f t="shared" si="23"/>
        <v>5</v>
      </c>
      <c r="CN26" s="434">
        <f t="shared" si="24"/>
        <v>-189.21000000000004</v>
      </c>
      <c r="CO26" s="434">
        <f t="shared" si="25"/>
        <v>-113.54999999999995</v>
      </c>
      <c r="CP26" s="421" t="str">
        <f t="shared" si="26"/>
        <v>Baixo Alentejo</v>
      </c>
    </row>
    <row r="27" spans="1:94">
      <c r="D27" s="423"/>
      <c r="Z27" s="421" t="s">
        <v>278</v>
      </c>
      <c r="AA27" s="443" t="str">
        <f>TEXT(AI7,"##.###")</f>
        <v>6.243</v>
      </c>
      <c r="AQ27" s="943"/>
      <c r="AR27" s="423" t="s">
        <v>515</v>
      </c>
      <c r="AS27" s="433">
        <f t="shared" si="6"/>
        <v>6181</v>
      </c>
      <c r="AT27" s="433">
        <f t="shared" si="7"/>
        <v>7367.9999999999991</v>
      </c>
      <c r="AU27" s="446">
        <f t="shared" si="4"/>
        <v>2.1405096913385724</v>
      </c>
      <c r="AV27" s="446">
        <f t="shared" si="5"/>
        <v>2.1797139864980806</v>
      </c>
      <c r="AW27" s="436">
        <f t="shared" si="8"/>
        <v>14</v>
      </c>
      <c r="AX27" s="436">
        <f t="shared" si="9"/>
        <v>14</v>
      </c>
      <c r="AY27" s="421" t="str">
        <f t="shared" si="10"/>
        <v>Lezíria do Tejo</v>
      </c>
      <c r="BL27" s="943"/>
      <c r="BM27" s="423" t="s">
        <v>515</v>
      </c>
      <c r="BN27" s="433">
        <f t="shared" si="11"/>
        <v>76658</v>
      </c>
      <c r="BO27" s="433">
        <f t="shared" si="12"/>
        <v>72771</v>
      </c>
      <c r="BP27" s="446">
        <f t="shared" si="13"/>
        <v>2.1624534020883188</v>
      </c>
      <c r="BQ27" s="446">
        <f t="shared" si="14"/>
        <v>2.1695900225870393</v>
      </c>
      <c r="BR27" s="436">
        <f t="shared" si="15"/>
        <v>13</v>
      </c>
      <c r="BS27" s="436">
        <f t="shared" si="16"/>
        <v>13</v>
      </c>
      <c r="BT27" s="421" t="str">
        <f t="shared" si="17"/>
        <v>Lezíria do Tejo</v>
      </c>
      <c r="CF27" s="943"/>
      <c r="CG27" s="423" t="s">
        <v>515</v>
      </c>
      <c r="CH27" s="434">
        <f t="shared" si="18"/>
        <v>1104.77</v>
      </c>
      <c r="CI27" s="434">
        <f t="shared" si="19"/>
        <v>1363.59</v>
      </c>
      <c r="CJ27" s="446">
        <f t="shared" si="29"/>
        <v>98.68070814798935</v>
      </c>
      <c r="CK27" s="446">
        <f t="shared" si="30"/>
        <v>97.855712717173674</v>
      </c>
      <c r="CL27" s="436">
        <f t="shared" si="22"/>
        <v>11</v>
      </c>
      <c r="CM27" s="436">
        <f t="shared" si="23"/>
        <v>10</v>
      </c>
      <c r="CN27" s="434">
        <f t="shared" si="24"/>
        <v>-204.19000000000005</v>
      </c>
      <c r="CO27" s="434">
        <f t="shared" si="25"/>
        <v>-219.16000000000008</v>
      </c>
      <c r="CP27" s="421" t="str">
        <f t="shared" si="26"/>
        <v>Lezíria do Tejo</v>
      </c>
    </row>
    <row r="28" spans="1:94">
      <c r="D28" s="423"/>
      <c r="AB28" s="421" t="s">
        <v>397</v>
      </c>
      <c r="AQ28" s="943"/>
      <c r="AR28" s="423" t="s">
        <v>521</v>
      </c>
      <c r="AS28" s="433">
        <f t="shared" si="6"/>
        <v>2787</v>
      </c>
      <c r="AT28" s="433">
        <f t="shared" si="7"/>
        <v>3351.0000000000005</v>
      </c>
      <c r="AU28" s="446">
        <f t="shared" si="4"/>
        <v>0.96515135249322126</v>
      </c>
      <c r="AV28" s="446">
        <f t="shared" si="5"/>
        <v>0.99134386112310935</v>
      </c>
      <c r="AW28" s="436">
        <f t="shared" si="8"/>
        <v>21</v>
      </c>
      <c r="AX28" s="436">
        <f t="shared" si="9"/>
        <v>21</v>
      </c>
      <c r="AY28" s="421" t="str">
        <f t="shared" si="10"/>
        <v>Alto Alentejo</v>
      </c>
      <c r="BL28" s="943"/>
      <c r="BM28" s="423" t="s">
        <v>521</v>
      </c>
      <c r="BN28" s="433">
        <f t="shared" si="11"/>
        <v>23829.999999999996</v>
      </c>
      <c r="BO28" s="433">
        <f t="shared" si="12"/>
        <v>22423</v>
      </c>
      <c r="BP28" s="446">
        <f t="shared" si="13"/>
        <v>0.67222291961392977</v>
      </c>
      <c r="BQ28" s="446">
        <f t="shared" si="14"/>
        <v>0.66851791340601596</v>
      </c>
      <c r="BR28" s="436">
        <f t="shared" si="15"/>
        <v>21</v>
      </c>
      <c r="BS28" s="436">
        <f t="shared" si="16"/>
        <v>21</v>
      </c>
      <c r="BT28" s="421" t="str">
        <f t="shared" si="17"/>
        <v>Alto Alentejo</v>
      </c>
      <c r="CF28" s="943"/>
      <c r="CG28" s="423" t="s">
        <v>521</v>
      </c>
      <c r="CH28" s="434">
        <f t="shared" si="18"/>
        <v>1064.08</v>
      </c>
      <c r="CI28" s="434">
        <f t="shared" si="19"/>
        <v>1295.3599999999999</v>
      </c>
      <c r="CJ28" s="446">
        <f t="shared" si="29"/>
        <v>95.046179680940384</v>
      </c>
      <c r="CK28" s="446">
        <f t="shared" si="30"/>
        <v>92.959303034869777</v>
      </c>
      <c r="CL28" s="436">
        <f t="shared" si="22"/>
        <v>18</v>
      </c>
      <c r="CM28" s="436">
        <f t="shared" si="23"/>
        <v>18</v>
      </c>
      <c r="CN28" s="434">
        <f t="shared" si="24"/>
        <v>-244.88000000000011</v>
      </c>
      <c r="CO28" s="434">
        <f t="shared" si="25"/>
        <v>-287.3900000000001</v>
      </c>
      <c r="CP28" s="421" t="str">
        <f t="shared" si="26"/>
        <v>Alto Alentejo</v>
      </c>
    </row>
    <row r="29" spans="1:94">
      <c r="A29" s="422" t="s">
        <v>901</v>
      </c>
      <c r="D29" s="423"/>
      <c r="AQ29" s="943"/>
      <c r="AR29" s="423" t="s">
        <v>522</v>
      </c>
      <c r="AS29" s="433">
        <f t="shared" si="6"/>
        <v>5030</v>
      </c>
      <c r="AT29" s="433">
        <f t="shared" si="7"/>
        <v>6058</v>
      </c>
      <c r="AU29" s="446">
        <f t="shared" si="4"/>
        <v>1.74191291820628</v>
      </c>
      <c r="AV29" s="446">
        <f t="shared" si="5"/>
        <v>1.7921698330897629</v>
      </c>
      <c r="AW29" s="436">
        <f t="shared" si="8"/>
        <v>17</v>
      </c>
      <c r="AX29" s="436">
        <f t="shared" si="9"/>
        <v>17</v>
      </c>
      <c r="AY29" s="421" t="str">
        <f t="shared" si="10"/>
        <v>Alentejo Central</v>
      </c>
      <c r="BL29" s="943"/>
      <c r="BM29" s="423" t="s">
        <v>522</v>
      </c>
      <c r="BN29" s="433">
        <f t="shared" si="11"/>
        <v>44873</v>
      </c>
      <c r="BO29" s="433">
        <f t="shared" si="12"/>
        <v>42150</v>
      </c>
      <c r="BP29" s="446">
        <f t="shared" si="13"/>
        <v>1.2658270697371328</v>
      </c>
      <c r="BQ29" s="446">
        <f t="shared" si="14"/>
        <v>1.2566574521724823</v>
      </c>
      <c r="BR29" s="436">
        <f t="shared" si="15"/>
        <v>17</v>
      </c>
      <c r="BS29" s="436">
        <f t="shared" si="16"/>
        <v>17</v>
      </c>
      <c r="BT29" s="421" t="str">
        <f t="shared" si="17"/>
        <v>Alentejo Central</v>
      </c>
      <c r="CF29" s="943"/>
      <c r="CG29" s="423" t="s">
        <v>522</v>
      </c>
      <c r="CH29" s="434">
        <f t="shared" si="18"/>
        <v>1125.55</v>
      </c>
      <c r="CI29" s="434">
        <f t="shared" si="19"/>
        <v>1371.98</v>
      </c>
      <c r="CJ29" s="446">
        <f t="shared" si="29"/>
        <v>100.53682762563196</v>
      </c>
      <c r="CK29" s="446">
        <f t="shared" si="30"/>
        <v>98.457806770149332</v>
      </c>
      <c r="CL29" s="436">
        <f t="shared" si="22"/>
        <v>8</v>
      </c>
      <c r="CM29" s="436">
        <f t="shared" si="23"/>
        <v>9</v>
      </c>
      <c r="CN29" s="434">
        <f t="shared" si="24"/>
        <v>-183.41000000000008</v>
      </c>
      <c r="CO29" s="434">
        <f t="shared" si="25"/>
        <v>-210.76999999999998</v>
      </c>
      <c r="CP29" s="421" t="str">
        <f t="shared" si="26"/>
        <v>Alentejo Central</v>
      </c>
    </row>
    <row r="30" spans="1:94">
      <c r="A30" s="547" t="s">
        <v>526</v>
      </c>
      <c r="C30" s="422">
        <f>+'q4'!$B$4</f>
        <v>2014</v>
      </c>
      <c r="D30" s="422">
        <f>+'q4'!$C$4</f>
        <v>2015</v>
      </c>
      <c r="E30" s="422">
        <f>+'q4'!$D$4</f>
        <v>2016</v>
      </c>
      <c r="F30" s="422">
        <f>+'q4'!$E$4</f>
        <v>2017</v>
      </c>
      <c r="G30" s="422">
        <f>+'q4'!$F$4</f>
        <v>2018</v>
      </c>
      <c r="H30" s="422">
        <f>+'q4'!$G$4</f>
        <v>2019</v>
      </c>
      <c r="I30" s="422">
        <f>+'q4'!$H$4</f>
        <v>2020</v>
      </c>
      <c r="J30" s="422">
        <f>+'q4'!$I$4</f>
        <v>2021</v>
      </c>
      <c r="K30" s="422">
        <f>+'q4'!$J$4</f>
        <v>2022</v>
      </c>
      <c r="L30" s="422">
        <f>+'q4'!$K$4</f>
        <v>2023</v>
      </c>
      <c r="M30" s="422">
        <f>+'q4'!$L$4</f>
        <v>2024</v>
      </c>
      <c r="AQ30" s="585" t="str">
        <f>+AR30</f>
        <v>Algarve</v>
      </c>
      <c r="AR30" s="423" t="s">
        <v>523</v>
      </c>
      <c r="AS30" s="433">
        <f t="shared" si="6"/>
        <v>18173.999999999996</v>
      </c>
      <c r="AT30" s="433">
        <f t="shared" si="7"/>
        <v>21958.999999999996</v>
      </c>
      <c r="AU30" s="446">
        <f t="shared" si="4"/>
        <v>6.2937426193799064</v>
      </c>
      <c r="AV30" s="446">
        <f t="shared" si="5"/>
        <v>6.4962458509108787</v>
      </c>
      <c r="AW30" s="436">
        <f t="shared" si="8"/>
        <v>3</v>
      </c>
      <c r="AX30" s="436">
        <f t="shared" si="9"/>
        <v>3</v>
      </c>
      <c r="AY30" s="421" t="str">
        <f t="shared" si="10"/>
        <v>Algarve</v>
      </c>
      <c r="BL30" s="585" t="str">
        <f>+BM30</f>
        <v>Algarve</v>
      </c>
      <c r="BM30" s="423" t="s">
        <v>523</v>
      </c>
      <c r="BN30" s="433">
        <f t="shared" si="11"/>
        <v>184098.99999999997</v>
      </c>
      <c r="BO30" s="433">
        <f t="shared" si="12"/>
        <v>172373</v>
      </c>
      <c r="BP30" s="446">
        <f t="shared" si="13"/>
        <v>5.1932676155268513</v>
      </c>
      <c r="BQ30" s="446">
        <f t="shared" si="14"/>
        <v>5.1391177936732451</v>
      </c>
      <c r="BR30" s="436">
        <f t="shared" si="15"/>
        <v>4</v>
      </c>
      <c r="BS30" s="436">
        <f t="shared" si="16"/>
        <v>4</v>
      </c>
      <c r="BT30" s="421" t="str">
        <f t="shared" si="17"/>
        <v>Algarve</v>
      </c>
      <c r="CF30" s="585" t="str">
        <f>+CG30</f>
        <v>Algarve</v>
      </c>
      <c r="CG30" s="423" t="s">
        <v>523</v>
      </c>
      <c r="CH30" s="434">
        <f t="shared" si="18"/>
        <v>1095.01</v>
      </c>
      <c r="CI30" s="434">
        <f t="shared" si="19"/>
        <v>1320.22</v>
      </c>
      <c r="CJ30" s="446">
        <f>+CH30/$CH$31*100</f>
        <v>83.654962718494062</v>
      </c>
      <c r="CK30" s="446">
        <f>+CI30/$CI$31*100</f>
        <v>83.413046912020221</v>
      </c>
      <c r="CL30" s="436">
        <f t="shared" si="22"/>
        <v>15</v>
      </c>
      <c r="CM30" s="436">
        <f t="shared" si="23"/>
        <v>16</v>
      </c>
      <c r="CN30" s="434">
        <f t="shared" si="24"/>
        <v>-213.95000000000005</v>
      </c>
      <c r="CO30" s="434">
        <f t="shared" si="25"/>
        <v>-262.52999999999997</v>
      </c>
      <c r="CP30" s="421" t="str">
        <f t="shared" si="26"/>
        <v>Algarve</v>
      </c>
    </row>
    <row r="31" spans="1:94">
      <c r="A31" s="422" t="s">
        <v>524</v>
      </c>
      <c r="B31" s="422" t="str">
        <f>+q4_b!$A$6</f>
        <v>Norte</v>
      </c>
      <c r="C31" s="433">
        <f>+q4_b!$B$6</f>
        <v>104739</v>
      </c>
      <c r="D31" s="433">
        <f>+q4_b!$C$6</f>
        <v>105959</v>
      </c>
      <c r="E31" s="433">
        <f>+q4_b!$D$6</f>
        <v>107496</v>
      </c>
      <c r="F31" s="433">
        <f>+q4_b!$E$6</f>
        <v>108796</v>
      </c>
      <c r="G31" s="433">
        <f>+q4_b!$F$6</f>
        <v>109936</v>
      </c>
      <c r="H31" s="433">
        <f>+q4_b!$G$6</f>
        <v>107137</v>
      </c>
      <c r="I31" s="433">
        <f>+q4_b!$H$6</f>
        <v>107805</v>
      </c>
      <c r="J31" s="433">
        <f>+q4_b!$I$6</f>
        <v>106036</v>
      </c>
      <c r="K31" s="433">
        <f>+q4_b!$J$6</f>
        <v>110941</v>
      </c>
      <c r="L31" s="433">
        <f>+q4_b!$K$6</f>
        <v>112985.99999999999</v>
      </c>
      <c r="M31" s="433">
        <f>+q4_b!$L$6</f>
        <v>111564.99999999994</v>
      </c>
      <c r="AR31" s="423" t="s">
        <v>13</v>
      </c>
      <c r="AS31" s="433">
        <f t="shared" si="6"/>
        <v>288762.99999999994</v>
      </c>
      <c r="AT31" s="433">
        <f t="shared" si="7"/>
        <v>338025.99999999988</v>
      </c>
      <c r="AU31" s="446">
        <f t="shared" si="4"/>
        <v>100</v>
      </c>
      <c r="AV31" s="446">
        <f t="shared" si="5"/>
        <v>100</v>
      </c>
      <c r="AW31" s="436"/>
      <c r="AX31" s="436"/>
      <c r="BM31" s="423" t="s">
        <v>13</v>
      </c>
      <c r="BN31" s="433">
        <f t="shared" si="11"/>
        <v>3544955.0000000019</v>
      </c>
      <c r="BO31" s="433">
        <f t="shared" si="12"/>
        <v>3354135.9999999991</v>
      </c>
      <c r="BP31" s="446">
        <f t="shared" si="13"/>
        <v>100</v>
      </c>
      <c r="BQ31" s="446">
        <f t="shared" si="14"/>
        <v>100</v>
      </c>
      <c r="BR31" s="436">
        <f t="shared" si="15"/>
        <v>1</v>
      </c>
      <c r="BS31" s="436">
        <f t="shared" si="16"/>
        <v>1</v>
      </c>
      <c r="BT31" s="421" t="str">
        <f t="shared" si="17"/>
        <v>Continente</v>
      </c>
      <c r="CG31" s="423" t="s">
        <v>13</v>
      </c>
      <c r="CH31" s="434">
        <f t="shared" si="18"/>
        <v>1308.96</v>
      </c>
      <c r="CI31" s="434">
        <f t="shared" si="19"/>
        <v>1582.75</v>
      </c>
      <c r="CJ31" s="446">
        <f>+CH31/$CH$31*100</f>
        <v>100</v>
      </c>
      <c r="CK31" s="446">
        <f>+CI31/$CI$31*100</f>
        <v>100</v>
      </c>
      <c r="CL31" s="436"/>
      <c r="CM31" s="436"/>
      <c r="CN31" s="434"/>
      <c r="CO31" s="434"/>
    </row>
    <row r="32" spans="1:94">
      <c r="A32" s="422"/>
      <c r="B32" s="422" t="str">
        <f>+q4_b!$A$15</f>
        <v>Centro</v>
      </c>
      <c r="C32" s="433">
        <f>+q4_b!$B$15</f>
        <v>62216</v>
      </c>
      <c r="D32" s="433">
        <f>+q4_b!$C$15</f>
        <v>62691</v>
      </c>
      <c r="E32" s="433">
        <f>+q4_b!$D$15</f>
        <v>63268</v>
      </c>
      <c r="F32" s="433">
        <f>+q4_b!$E$15</f>
        <v>63627</v>
      </c>
      <c r="G32" s="433">
        <f>+q4_b!$F$15</f>
        <v>63755</v>
      </c>
      <c r="H32" s="433">
        <f>+q4_b!$G$15</f>
        <v>62250</v>
      </c>
      <c r="I32" s="433">
        <f>+q4_b!$H$15</f>
        <v>62346</v>
      </c>
      <c r="J32" s="433">
        <f>+q4_b!$I$15</f>
        <v>61420</v>
      </c>
      <c r="K32" s="433">
        <f>+q4_b!$J$15</f>
        <v>63715</v>
      </c>
      <c r="L32" s="433">
        <f>+q4_b!$K$15</f>
        <v>64580.000000000007</v>
      </c>
      <c r="M32" s="433">
        <f>+q4_b!$L$15</f>
        <v>64160.000000000015</v>
      </c>
      <c r="AW32" s="436"/>
      <c r="BM32" s="423"/>
      <c r="BN32" s="433"/>
      <c r="BO32" s="433"/>
      <c r="BP32" s="446"/>
      <c r="BQ32" s="446"/>
      <c r="BR32" s="436"/>
      <c r="CL32" s="436"/>
      <c r="CN32" s="434"/>
    </row>
    <row r="33" spans="1:105">
      <c r="A33" s="422"/>
      <c r="B33" s="422" t="str">
        <f>+q4_b!$A$24</f>
        <v>Área Metropolitana de Lisboa</v>
      </c>
      <c r="C33" s="433">
        <f>+q4_b!$B$24</f>
        <v>67539</v>
      </c>
      <c r="D33" s="433">
        <f>+q4_b!$C$24</f>
        <v>68279</v>
      </c>
      <c r="E33" s="433">
        <f>+q4_b!$D$24</f>
        <v>68838</v>
      </c>
      <c r="F33" s="433">
        <f>+q4_b!$E$24</f>
        <v>69774</v>
      </c>
      <c r="G33" s="433">
        <f>+q4_b!$F$24</f>
        <v>71059</v>
      </c>
      <c r="H33" s="433">
        <f>+q4_b!$G$24</f>
        <v>69212</v>
      </c>
      <c r="I33" s="433">
        <f>+q4_b!$H$24</f>
        <v>70690</v>
      </c>
      <c r="J33" s="433">
        <f>+q4_b!$I$24</f>
        <v>68646</v>
      </c>
      <c r="K33" s="433">
        <f>+q4_b!$J$24</f>
        <v>72553</v>
      </c>
      <c r="L33" s="433">
        <f>+q4_b!$K$24</f>
        <v>74483.000000000029</v>
      </c>
      <c r="M33" s="433">
        <f>+q4_b!$L$24</f>
        <v>74147.999999999971</v>
      </c>
    </row>
    <row r="34" spans="1:105">
      <c r="A34" s="422"/>
      <c r="B34" s="422" t="str">
        <f>+q4_b!$A$25</f>
        <v>Alentejo</v>
      </c>
      <c r="C34" s="433">
        <f>+q4_b!$B$25</f>
        <v>20202</v>
      </c>
      <c r="D34" s="433">
        <f>+q4_b!$C$25</f>
        <v>20300</v>
      </c>
      <c r="E34" s="433">
        <f>+q4_b!$D$25</f>
        <v>20430</v>
      </c>
      <c r="F34" s="433">
        <f>+q4_b!$E$25</f>
        <v>20513</v>
      </c>
      <c r="G34" s="433">
        <f>+q4_b!$F$25</f>
        <v>20405</v>
      </c>
      <c r="H34" s="433">
        <f>+q4_b!$G$25</f>
        <v>19961</v>
      </c>
      <c r="I34" s="433">
        <f>+q4_b!$H$25</f>
        <v>20025</v>
      </c>
      <c r="J34" s="433">
        <f>+q4_b!$I$25</f>
        <v>19375</v>
      </c>
      <c r="K34" s="433">
        <f>+q4_b!$J$25</f>
        <v>20585</v>
      </c>
      <c r="L34" s="433">
        <f>+q4_b!$K$25</f>
        <v>20966</v>
      </c>
      <c r="M34" s="433">
        <f>+q4_b!$L$25</f>
        <v>20715.999999999993</v>
      </c>
    </row>
    <row r="35" spans="1:105">
      <c r="A35" s="422"/>
      <c r="B35" s="422" t="str">
        <f>+q4_b!$A$31</f>
        <v>Algarve</v>
      </c>
      <c r="C35" s="433">
        <f>+q4_b!$B$31</f>
        <v>15485</v>
      </c>
      <c r="D35" s="433">
        <f>+q4_b!$C$31</f>
        <v>15831</v>
      </c>
      <c r="E35" s="433">
        <f>+q4_b!$D$31</f>
        <v>16300</v>
      </c>
      <c r="F35" s="433">
        <f>+q4_b!$E$31</f>
        <v>16481</v>
      </c>
      <c r="G35" s="433">
        <f>+q4_b!$F$31</f>
        <v>17081</v>
      </c>
      <c r="H35" s="433">
        <f>+q4_b!$G$31</f>
        <v>17191</v>
      </c>
      <c r="I35" s="433">
        <f>+q4_b!$H$31</f>
        <v>16775</v>
      </c>
      <c r="J35" s="433">
        <f>+q4_b!$I$31</f>
        <v>16329</v>
      </c>
      <c r="K35" s="433">
        <f>+q4_b!$J$31</f>
        <v>17066</v>
      </c>
      <c r="L35" s="433">
        <f>+q4_b!$K$31</f>
        <v>18237.000000000004</v>
      </c>
      <c r="M35" s="433">
        <f>+q4_b!$L$31</f>
        <v>18173.999999999996</v>
      </c>
    </row>
    <row r="36" spans="1:105">
      <c r="A36" s="422"/>
      <c r="B36" s="422" t="s">
        <v>13</v>
      </c>
      <c r="C36" s="433">
        <f>+q4_b!$B$5</f>
        <v>270181.00000000006</v>
      </c>
      <c r="D36" s="433">
        <f>+q4_b!$C$5</f>
        <v>273059.99999999988</v>
      </c>
      <c r="E36" s="433">
        <f>+q4_b!$D$5</f>
        <v>276331.99999999983</v>
      </c>
      <c r="F36" s="433">
        <f>+q4_b!$E$5</f>
        <v>279191.00000000023</v>
      </c>
      <c r="G36" s="433">
        <f>+q4_b!$F$5</f>
        <v>282236</v>
      </c>
      <c r="H36" s="433">
        <f>+q4_b!$G$5</f>
        <v>275750.99999999977</v>
      </c>
      <c r="I36" s="433">
        <f>+q4_b!$H$5</f>
        <v>277641.00000000023</v>
      </c>
      <c r="J36" s="433">
        <f>+q4_b!$I$5</f>
        <v>271806.00000000017</v>
      </c>
      <c r="K36" s="433">
        <f>+q4_b!$J$5</f>
        <v>284860</v>
      </c>
      <c r="L36" s="433">
        <f>+q4_b!$K$5</f>
        <v>291252.00000000017</v>
      </c>
      <c r="M36" s="433">
        <f>+q4_b!$L$5</f>
        <v>288762.99999999994</v>
      </c>
      <c r="R36" s="422" t="str">
        <f>INDEX($A$2:$A$8,$P$2)</f>
        <v>Área Metropolitana de Lisboa</v>
      </c>
      <c r="AR36" s="421" t="s">
        <v>524</v>
      </c>
      <c r="AY36" s="944" t="s">
        <v>219</v>
      </c>
      <c r="AZ36" s="944"/>
      <c r="BA36" s="944"/>
      <c r="BB36" s="944" t="s">
        <v>219</v>
      </c>
      <c r="BC36" s="944"/>
      <c r="BD36" s="944"/>
      <c r="BE36" s="944" t="s">
        <v>204</v>
      </c>
      <c r="BF36" s="944"/>
      <c r="BG36" s="944"/>
      <c r="BH36" s="944" t="s">
        <v>204</v>
      </c>
      <c r="BI36" s="944"/>
      <c r="BJ36" s="944"/>
      <c r="BK36" s="671"/>
      <c r="BM36" s="421" t="s">
        <v>524</v>
      </c>
      <c r="BT36" s="944" t="s">
        <v>205</v>
      </c>
      <c r="BU36" s="944"/>
      <c r="BV36" s="944"/>
      <c r="BW36" s="944" t="s">
        <v>205</v>
      </c>
      <c r="BX36" s="944"/>
      <c r="BY36" s="944"/>
      <c r="BZ36" s="944" t="s">
        <v>182</v>
      </c>
      <c r="CA36" s="944"/>
      <c r="CB36" s="944"/>
      <c r="CC36" s="944" t="s">
        <v>182</v>
      </c>
      <c r="CD36" s="944"/>
      <c r="CE36" s="944"/>
      <c r="CG36" s="421" t="s">
        <v>524</v>
      </c>
      <c r="CP36" s="944" t="s">
        <v>256</v>
      </c>
      <c r="CQ36" s="944"/>
      <c r="CR36" s="944"/>
      <c r="CS36" s="944" t="s">
        <v>256</v>
      </c>
      <c r="CT36" s="944"/>
      <c r="CU36" s="944"/>
      <c r="CV36" s="944" t="s">
        <v>257</v>
      </c>
      <c r="CW36" s="944"/>
      <c r="CX36" s="944"/>
      <c r="CY36" s="944" t="s">
        <v>257</v>
      </c>
      <c r="CZ36" s="944"/>
      <c r="DA36" s="944"/>
    </row>
    <row r="37" spans="1:105">
      <c r="A37" s="422"/>
      <c r="B37" s="422"/>
      <c r="C37" s="433"/>
      <c r="D37" s="433"/>
      <c r="E37" s="433"/>
      <c r="F37" s="433"/>
      <c r="G37" s="433"/>
      <c r="H37" s="433"/>
      <c r="I37" s="433"/>
      <c r="J37" s="433"/>
      <c r="K37" s="433"/>
      <c r="L37" s="433"/>
      <c r="M37" s="433"/>
      <c r="S37" s="422">
        <f>+C30</f>
        <v>2014</v>
      </c>
      <c r="T37" s="422">
        <f t="shared" ref="T37:AC37" si="31">+D30</f>
        <v>2015</v>
      </c>
      <c r="U37" s="422">
        <f t="shared" si="31"/>
        <v>2016</v>
      </c>
      <c r="V37" s="422">
        <f t="shared" si="31"/>
        <v>2017</v>
      </c>
      <c r="W37" s="422">
        <f t="shared" si="31"/>
        <v>2018</v>
      </c>
      <c r="X37" s="422">
        <f t="shared" si="31"/>
        <v>2019</v>
      </c>
      <c r="Y37" s="422">
        <f t="shared" si="31"/>
        <v>2020</v>
      </c>
      <c r="Z37" s="422">
        <f t="shared" si="31"/>
        <v>2021</v>
      </c>
      <c r="AA37" s="422">
        <f t="shared" si="31"/>
        <v>2022</v>
      </c>
      <c r="AB37" s="422">
        <f t="shared" si="31"/>
        <v>2023</v>
      </c>
      <c r="AC37" s="422">
        <f t="shared" si="31"/>
        <v>2024</v>
      </c>
      <c r="AE37" s="391" t="str">
        <f>+"variação "&amp;AC37&amp;"/"&amp;AB37</f>
        <v>variação 2024/2023</v>
      </c>
      <c r="AF37" s="391" t="str">
        <f>+"variação "&amp;AC37&amp;"/"&amp;S37</f>
        <v>variação 2024/2014</v>
      </c>
      <c r="AS37" s="540" t="s">
        <v>219</v>
      </c>
      <c r="AT37" s="540" t="s">
        <v>204</v>
      </c>
      <c r="AU37" s="398" t="s">
        <v>314</v>
      </c>
      <c r="AV37" s="398" t="s">
        <v>315</v>
      </c>
      <c r="AW37" s="398" t="s">
        <v>312</v>
      </c>
      <c r="AX37" s="398" t="s">
        <v>313</v>
      </c>
      <c r="AY37" s="421" t="s">
        <v>543</v>
      </c>
      <c r="AZ37" s="421" t="s">
        <v>544</v>
      </c>
      <c r="BA37" s="421" t="s">
        <v>285</v>
      </c>
      <c r="BB37" s="421" t="s">
        <v>545</v>
      </c>
      <c r="BC37" s="421" t="s">
        <v>546</v>
      </c>
      <c r="BD37" s="421" t="s">
        <v>285</v>
      </c>
      <c r="BE37" s="421" t="s">
        <v>543</v>
      </c>
      <c r="BF37" s="421" t="s">
        <v>544</v>
      </c>
      <c r="BG37" s="421" t="s">
        <v>285</v>
      </c>
      <c r="BH37" s="421" t="s">
        <v>545</v>
      </c>
      <c r="BI37" s="421" t="s">
        <v>546</v>
      </c>
      <c r="BJ37" s="421" t="s">
        <v>285</v>
      </c>
      <c r="BN37" s="502" t="s">
        <v>205</v>
      </c>
      <c r="BO37" s="502" t="s">
        <v>182</v>
      </c>
      <c r="BP37" s="398" t="s">
        <v>319</v>
      </c>
      <c r="BQ37" s="398" t="s">
        <v>320</v>
      </c>
      <c r="BR37" s="398" t="s">
        <v>321</v>
      </c>
      <c r="BS37" s="398" t="s">
        <v>322</v>
      </c>
      <c r="BT37" s="421" t="s">
        <v>543</v>
      </c>
      <c r="BU37" s="421" t="s">
        <v>544</v>
      </c>
      <c r="BV37" s="421" t="s">
        <v>285</v>
      </c>
      <c r="BW37" s="421" t="s">
        <v>545</v>
      </c>
      <c r="BX37" s="421" t="s">
        <v>546</v>
      </c>
      <c r="BY37" s="421" t="s">
        <v>285</v>
      </c>
      <c r="BZ37" s="421" t="s">
        <v>543</v>
      </c>
      <c r="CA37" s="421" t="s">
        <v>544</v>
      </c>
      <c r="CB37" s="421" t="s">
        <v>285</v>
      </c>
      <c r="CC37" s="421" t="s">
        <v>545</v>
      </c>
      <c r="CD37" s="421" t="s">
        <v>546</v>
      </c>
      <c r="CE37" s="421" t="s">
        <v>285</v>
      </c>
      <c r="CH37" s="540" t="s">
        <v>262</v>
      </c>
      <c r="CI37" s="540" t="s">
        <v>263</v>
      </c>
      <c r="CJ37" s="583" t="s">
        <v>326</v>
      </c>
      <c r="CK37" s="583" t="s">
        <v>327</v>
      </c>
      <c r="CL37" s="583" t="s">
        <v>328</v>
      </c>
      <c r="CM37" s="583" t="s">
        <v>329</v>
      </c>
      <c r="CN37" s="584" t="s">
        <v>331</v>
      </c>
      <c r="CO37" s="584" t="s">
        <v>332</v>
      </c>
      <c r="CP37" s="421" t="s">
        <v>543</v>
      </c>
      <c r="CQ37" s="421" t="s">
        <v>544</v>
      </c>
      <c r="CR37" s="421" t="s">
        <v>285</v>
      </c>
      <c r="CS37" s="421" t="s">
        <v>545</v>
      </c>
      <c r="CT37" s="421" t="s">
        <v>546</v>
      </c>
      <c r="CU37" s="421" t="s">
        <v>285</v>
      </c>
      <c r="CV37" s="421" t="s">
        <v>543</v>
      </c>
      <c r="CW37" s="421" t="s">
        <v>544</v>
      </c>
      <c r="CX37" s="421" t="s">
        <v>285</v>
      </c>
      <c r="CY37" s="421" t="s">
        <v>545</v>
      </c>
      <c r="CZ37" s="421" t="s">
        <v>546</v>
      </c>
      <c r="DA37" s="421" t="s">
        <v>285</v>
      </c>
    </row>
    <row r="38" spans="1:105">
      <c r="R38" s="395" t="s">
        <v>205</v>
      </c>
      <c r="S38" s="433">
        <f>+VLOOKUP($R$36,$B$110:$M$115,COLUMN(C111)-1,0)</f>
        <v>844718</v>
      </c>
      <c r="T38" s="433">
        <f t="shared" ref="T38:AC38" si="32">+VLOOKUP($R$36,$B$110:$M$115,COLUMN(D111)-1,0)</f>
        <v>862910</v>
      </c>
      <c r="U38" s="433">
        <f t="shared" si="32"/>
        <v>901190</v>
      </c>
      <c r="V38" s="433">
        <f t="shared" si="32"/>
        <v>934313</v>
      </c>
      <c r="W38" s="433">
        <f t="shared" si="32"/>
        <v>979056</v>
      </c>
      <c r="X38" s="433">
        <f t="shared" si="32"/>
        <v>1001279</v>
      </c>
      <c r="Y38" s="433">
        <f t="shared" si="32"/>
        <v>991460</v>
      </c>
      <c r="Z38" s="433">
        <f t="shared" si="32"/>
        <v>996023</v>
      </c>
      <c r="AA38" s="433">
        <f t="shared" si="32"/>
        <v>1083786</v>
      </c>
      <c r="AB38" s="433">
        <f t="shared" si="32"/>
        <v>1142871</v>
      </c>
      <c r="AC38" s="433">
        <f t="shared" si="32"/>
        <v>1174107</v>
      </c>
      <c r="AD38" s="433" t="str">
        <f>TEXT(AC38,"##.###")</f>
        <v>1.174.107</v>
      </c>
      <c r="AE38" s="397">
        <f>+(AC38/AB38-1)</f>
        <v>2.7331168609580514E-2</v>
      </c>
      <c r="AF38" s="397">
        <f>+(AC38/S38-1)</f>
        <v>0.38993960114499759</v>
      </c>
      <c r="AG38" s="443">
        <f>+AC38-S38</f>
        <v>329389</v>
      </c>
      <c r="AH38" s="421" t="str">
        <f>IF(AG38&gt;0,", mais",", menos")</f>
        <v>, mais</v>
      </c>
      <c r="AI38" s="421">
        <f>IF(AG38&gt;0,AG38,AG38*-1)</f>
        <v>329389</v>
      </c>
      <c r="AR38" s="423" t="s">
        <v>496</v>
      </c>
      <c r="AS38" s="433">
        <f>INDEX($B$30:$M$35,MATCH($AR$38:$AR$42,$B$30:$B$35,0),MATCH($AR$6,$B$30:$M$30,0))</f>
        <v>111564.99999999994</v>
      </c>
      <c r="AT38" s="433">
        <f>INDEX($B$70:$M$75,MATCH($AR$38:$AR$42,$B$70:$B$75,0),MATCH($AR$6,$B$70:$M$70,0))</f>
        <v>127676.00000000001</v>
      </c>
      <c r="AU38" s="446">
        <f>+AS38/$AS$31*100</f>
        <v>38.635490003913233</v>
      </c>
      <c r="AV38" s="446">
        <f>+AT38/$AT$31*100</f>
        <v>37.771059030962135</v>
      </c>
      <c r="AW38" s="436">
        <f>RANK(AS38,$AS$38:$AS$42,0)</f>
        <v>1</v>
      </c>
      <c r="AX38" s="436">
        <f>RANK(AT38,$AT$38:$AT$42,0)</f>
        <v>1</v>
      </c>
      <c r="AY38" s="433">
        <f>MAX($AS$8:$AS$15)</f>
        <v>51191</v>
      </c>
      <c r="AZ38" s="421" t="str">
        <f>VLOOKUP(AY38,$AS$8:$AY$30,7,0)</f>
        <v>Área Metropolitana do Porto</v>
      </c>
      <c r="BA38" s="421">
        <f>AY38/$AS$38*100</f>
        <v>45.884461972840967</v>
      </c>
      <c r="BB38" s="433">
        <f>MIN($AS$8:$AS$15)</f>
        <v>2432</v>
      </c>
      <c r="BC38" s="421" t="str">
        <f>VLOOKUP(BB38,$AS$8:$AY$30,7,0)</f>
        <v>Alto Tâmega</v>
      </c>
      <c r="BD38" s="421">
        <f>BB38/$AS$38*100</f>
        <v>2.179895128400485</v>
      </c>
      <c r="BE38" s="433">
        <f>MAX($AT$8:$AT$15)</f>
        <v>59738.999999999993</v>
      </c>
      <c r="BF38" s="421" t="str">
        <f>VLOOKUP(BE38,$AT$8:$AY$30,6,0)</f>
        <v>Área Metropolitana do Porto</v>
      </c>
      <c r="BG38" s="421">
        <f>BE38/$AT$38*100</f>
        <v>46.789529747172523</v>
      </c>
      <c r="BH38" s="433">
        <f>MIN($AT$8:$AT$15)</f>
        <v>2794</v>
      </c>
      <c r="BI38" s="421" t="str">
        <f>VLOOKUP(BH38,$AT$8:$AY$30,6,0)</f>
        <v>Alto Tâmega</v>
      </c>
      <c r="BJ38" s="421">
        <f>BH38/$AT$38*100</f>
        <v>2.1883517654061841</v>
      </c>
      <c r="BM38" s="423" t="s">
        <v>496</v>
      </c>
      <c r="BN38" s="433">
        <f>INDEX($B$110:$M$115,MATCH($BM$38:$BM$42,$B$110:$B$115,0),MATCH($BM$6,$B$110:$M$110,0))</f>
        <v>1269596.0000000002</v>
      </c>
      <c r="BO38" s="433">
        <f>INDEX($B$150:$M$155,MATCH($BM$38:$BM$42,$B$150:$B$155,0),MATCH($BM$6,$B$150:$M$150,0))</f>
        <v>1196817.9999999998</v>
      </c>
      <c r="BP38" s="446">
        <f>+BN38/$BN$31*100</f>
        <v>35.814164072604576</v>
      </c>
      <c r="BQ38" s="446">
        <f>+BO38/$BO$31*100</f>
        <v>35.681856668900728</v>
      </c>
      <c r="BR38" s="436">
        <f>RANK(BN38,$BN$38:$BN$42,0)</f>
        <v>1</v>
      </c>
      <c r="BS38" s="436">
        <f>RANK(BO38,$BO$38:$BO$42,0)</f>
        <v>1</v>
      </c>
      <c r="BT38" s="433">
        <f>MAX($BN$8:$BN$15)</f>
        <v>666772</v>
      </c>
      <c r="BU38" s="421" t="str">
        <f>VLOOKUP(BT38,$BN$8:$BT$31,7,0)</f>
        <v>Área Metropolitana do Porto</v>
      </c>
      <c r="BV38" s="421">
        <f>BT38/$BN$38*100</f>
        <v>52.518438936480571</v>
      </c>
      <c r="BW38" s="433">
        <f>MIN($BN$8:$BN$15)</f>
        <v>17027</v>
      </c>
      <c r="BX38" s="421" t="str">
        <f>VLOOKUP(BW38,$BN$8:$BT$31,7,0)</f>
        <v>Alto Tâmega</v>
      </c>
      <c r="BY38" s="421">
        <f>BW38/$BN$38*100</f>
        <v>1.3411352902813176</v>
      </c>
      <c r="BZ38" s="433">
        <f>MAX($BO$8:$BO$15)</f>
        <v>631342.00000000012</v>
      </c>
      <c r="CA38" s="421" t="str">
        <f>VLOOKUP(BZ38,$BO$8:$BT$31,6,0)</f>
        <v>Área Metropolitana do Porto</v>
      </c>
      <c r="CB38" s="421">
        <f>BZ38/$BO$38*100</f>
        <v>52.751713293082183</v>
      </c>
      <c r="CC38" s="433">
        <f>MIN($BO$8:$BO$15)</f>
        <v>15712.999999999998</v>
      </c>
      <c r="CD38" s="421" t="str">
        <f>VLOOKUP(CC38,$BO$8:$BT$31,6,0)</f>
        <v>Alto Tâmega</v>
      </c>
      <c r="CE38" s="421">
        <f>CC38/$BO$38*100</f>
        <v>1.3128980346218055</v>
      </c>
      <c r="CG38" s="423" t="s">
        <v>496</v>
      </c>
      <c r="CH38" s="434">
        <f>INDEX($B$190:$M$196,MATCH($CG$38:$CG$42,$B$190:$B$196,0),MATCH($CG$6,$B$190:$M$190,0))</f>
        <v>1233.0899999999999</v>
      </c>
      <c r="CI38" s="434">
        <f>INDEX($B$230:$M$236,MATCH($CG$38:$CG$42,$B$230:$B$236,0),MATCH($CG$6,$B$230:$M$230,0))</f>
        <v>1474.68</v>
      </c>
      <c r="CJ38" s="446">
        <f>+(CH38/$CH$31-1)*100</f>
        <v>-5.7962046204620528</v>
      </c>
      <c r="CK38" s="446">
        <f>+(CI38/$CI$31-1)*100</f>
        <v>-6.8279892592007503</v>
      </c>
      <c r="CL38" s="436">
        <f>RANK(CH38,$CH$38:$CH$42,0)</f>
        <v>2</v>
      </c>
      <c r="CM38" s="436">
        <f>RANK(CI38,$CI$38:$CI$42,0)</f>
        <v>2</v>
      </c>
      <c r="CN38" s="434">
        <f>+CH38-$CH$31</f>
        <v>-75.870000000000118</v>
      </c>
      <c r="CO38" s="434">
        <f>+CI38-$CI$31</f>
        <v>-108.06999999999994</v>
      </c>
      <c r="CP38" s="433">
        <f>MAX($CH$8:$CH$15)</f>
        <v>1351.51</v>
      </c>
      <c r="CQ38" s="421" t="str">
        <f>VLOOKUP(CP38,$CH$8:$CP$15,9,0)</f>
        <v>Área Metropolitana do Porto</v>
      </c>
      <c r="CR38" s="582">
        <f>(CP38/$CH$38-1)*100</f>
        <v>9.6035163694458738</v>
      </c>
      <c r="CS38" s="433">
        <f>MIN($CH$8:$CH$15)</f>
        <v>1024.3399999999999</v>
      </c>
      <c r="CT38" s="421" t="str">
        <f>VLOOKUP(CS38,$CH$8:$CP$15,9,0)</f>
        <v>Alto Tâmega</v>
      </c>
      <c r="CU38" s="582">
        <f>(CS38/$CH$38-1)*100</f>
        <v>-16.929015724724074</v>
      </c>
      <c r="CV38" s="433">
        <f>MAX($CI$8:$CI$15)</f>
        <v>1620.05</v>
      </c>
      <c r="CW38" s="421" t="str">
        <f>VLOOKUP(CV38,$CI$8:$CP$15,8,0)</f>
        <v>Área Metropolitana do Porto</v>
      </c>
      <c r="CX38" s="582">
        <f>(CV38/$CI$38-1)*100</f>
        <v>9.8577318469091466</v>
      </c>
      <c r="CY38" s="433">
        <f>MIN($CI$8:$CI$15)</f>
        <v>1207.05</v>
      </c>
      <c r="CZ38" s="421" t="str">
        <f>VLOOKUP(CY38,$CI$8:$CP$15,8,0)</f>
        <v>Alto Tâmega</v>
      </c>
      <c r="DA38" s="582">
        <f>(CY38/$CI$38-1)*100</f>
        <v>-18.14834404752218</v>
      </c>
    </row>
    <row r="39" spans="1:105">
      <c r="B39" s="422"/>
      <c r="C39" s="433"/>
      <c r="D39" s="433"/>
      <c r="E39" s="433"/>
      <c r="F39" s="433"/>
      <c r="G39" s="433"/>
      <c r="H39" s="433"/>
      <c r="I39" s="433"/>
      <c r="J39" s="433"/>
      <c r="K39" s="433"/>
      <c r="L39" s="433"/>
      <c r="M39" s="433"/>
      <c r="R39" s="395" t="s">
        <v>182</v>
      </c>
      <c r="S39" s="433">
        <f>+VLOOKUP($R$36,$B$150:$M$155,COLUMN(C151)-1,0)</f>
        <v>797999</v>
      </c>
      <c r="T39" s="433">
        <f t="shared" ref="T39:AC39" si="33">+VLOOKUP($R$36,$B$150:$M$155,COLUMN(D151)-1,0)</f>
        <v>816297</v>
      </c>
      <c r="U39" s="433">
        <f t="shared" si="33"/>
        <v>855415</v>
      </c>
      <c r="V39" s="433">
        <f t="shared" si="33"/>
        <v>888098</v>
      </c>
      <c r="W39" s="433">
        <f t="shared" si="33"/>
        <v>931712</v>
      </c>
      <c r="X39" s="433">
        <f t="shared" si="33"/>
        <v>954999</v>
      </c>
      <c r="Y39" s="433">
        <f t="shared" si="33"/>
        <v>944358</v>
      </c>
      <c r="Z39" s="433">
        <f t="shared" si="33"/>
        <v>949891</v>
      </c>
      <c r="AA39" s="433">
        <f t="shared" si="33"/>
        <v>1034482</v>
      </c>
      <c r="AB39" s="433">
        <f t="shared" si="33"/>
        <v>1092322.0000000002</v>
      </c>
      <c r="AC39" s="433">
        <f t="shared" si="33"/>
        <v>1124021</v>
      </c>
      <c r="AD39" s="433" t="str">
        <f>TEXT(AC39,"##.###")</f>
        <v>1.124.021</v>
      </c>
      <c r="AE39" s="397">
        <f>+(AC39/AB39-1)</f>
        <v>2.9019831148690445E-2</v>
      </c>
      <c r="AF39" s="397">
        <f>+(AC39/S39-1)</f>
        <v>0.40854938414709796</v>
      </c>
      <c r="AG39" s="443">
        <f>+AC39-S39</f>
        <v>326022</v>
      </c>
      <c r="AH39" s="421" t="str">
        <f>IF(AG39&gt;0,", mais",", menos")</f>
        <v>, mais</v>
      </c>
      <c r="AI39" s="421">
        <f>IF(AG39&gt;0,AG39,AG39*-1)</f>
        <v>326022</v>
      </c>
      <c r="AR39" s="423" t="s">
        <v>505</v>
      </c>
      <c r="AS39" s="433">
        <f t="shared" ref="AS39:AS42" si="34">INDEX($B$30:$M$35,MATCH($AR$38:$AR$42,$B$30:$B$35,0),MATCH($AR$6,$B$30:$M$30,0))</f>
        <v>64160.000000000015</v>
      </c>
      <c r="AT39" s="433">
        <f t="shared" ref="AT39:AT42" si="35">INDEX($B$70:$M$75,MATCH($AR$38:$AR$42,$B$70:$B$75,0),MATCH($AR$6,$B$70:$M$70,0))</f>
        <v>75721.999999999956</v>
      </c>
      <c r="AU39" s="446">
        <f t="shared" ref="AU39:AU42" si="36">+AS39/$AS$31*100</f>
        <v>22.218913087895618</v>
      </c>
      <c r="AV39" s="446">
        <f t="shared" ref="AV39:AV42" si="37">+AT39/$AT$31*100</f>
        <v>22.401235407927196</v>
      </c>
      <c r="AW39" s="436">
        <f t="shared" ref="AW39:AW42" si="38">RANK(AS39,$AS$38:$AS$42,0)</f>
        <v>3</v>
      </c>
      <c r="AX39" s="436">
        <f t="shared" ref="AX39:AX42" si="39">RANK(AT39,$AT$38:$AT$42,0)</f>
        <v>3</v>
      </c>
      <c r="AY39" s="433">
        <f>MAX($AS$16:$AS$23)</f>
        <v>11570</v>
      </c>
      <c r="AZ39" s="421" t="str">
        <f t="shared" ref="AZ39:AZ42" si="40">VLOOKUP(AY39,$AS$8:$AY$30,7,0)</f>
        <v>Oeste</v>
      </c>
      <c r="BA39" s="421">
        <f>AY39/$AS$39*100</f>
        <v>18.033042394014959</v>
      </c>
      <c r="BB39" s="433">
        <f>MIN($AS$16:$AS$23)</f>
        <v>2138</v>
      </c>
      <c r="BC39" s="421" t="str">
        <f t="shared" ref="BC39:BC42" si="41">VLOOKUP(BB39,$AS$8:$AY$30,7,0)</f>
        <v>Beira Baixa</v>
      </c>
      <c r="BD39" s="421">
        <f>BB39/$AS$39*100</f>
        <v>3.3322942643391515</v>
      </c>
      <c r="BE39" s="433">
        <f>MAX($AT$16:$AT$23)</f>
        <v>13413</v>
      </c>
      <c r="BF39" s="421" t="str">
        <f t="shared" ref="BF39:BF42" si="42">VLOOKUP(BE39,$AT$8:$AY$30,6,0)</f>
        <v>Oeste</v>
      </c>
      <c r="BG39" s="421">
        <f>BE39/$AT$39*100</f>
        <v>17.713478249385922</v>
      </c>
      <c r="BH39" s="433">
        <f>MIN($AT$16:$AT$23)</f>
        <v>2592</v>
      </c>
      <c r="BI39" s="421" t="str">
        <f t="shared" ref="BI39:BI42" si="43">VLOOKUP(BH39,$AT$8:$AY$30,6,0)</f>
        <v>Beira Baixa</v>
      </c>
      <c r="BJ39" s="421">
        <f>BH39/$AT$39*100</f>
        <v>3.4230474630886687</v>
      </c>
      <c r="BM39" s="423" t="s">
        <v>505</v>
      </c>
      <c r="BN39" s="433">
        <f t="shared" ref="BN39:BN42" si="44">INDEX($B$110:$M$115,MATCH($BM$38:$BM$42,$B$110:$B$115,0),MATCH($BM$6,$B$110:$M$110,0))</f>
        <v>702764.00000000035</v>
      </c>
      <c r="BO39" s="433">
        <f t="shared" ref="BO39:BO42" si="45">INDEX($B$150:$M$155,MATCH($BM$38:$BM$42,$B$150:$B$155,0),MATCH($BM$6,$B$150:$M$150,0))</f>
        <v>657790.99999999965</v>
      </c>
      <c r="BP39" s="446">
        <f t="shared" ref="BP39:BP42" si="46">+BN39/$BN$31*100</f>
        <v>19.824341916893161</v>
      </c>
      <c r="BQ39" s="446">
        <f t="shared" ref="BQ39:BQ41" si="47">+BO39/$BO$31*100</f>
        <v>19.611339552123106</v>
      </c>
      <c r="BR39" s="436">
        <f t="shared" ref="BR39:BR42" si="48">RANK(BN39,$BN$38:$BN$42,0)</f>
        <v>3</v>
      </c>
      <c r="BS39" s="436">
        <f t="shared" ref="BS39:BS42" si="49">RANK(BO39,$BO$38:$BO$42,0)</f>
        <v>3</v>
      </c>
      <c r="BT39" s="433">
        <f>MAX($BN$16:$BN$23)</f>
        <v>139173</v>
      </c>
      <c r="BU39" s="421" t="str">
        <f t="shared" ref="BU39:BU42" si="50">VLOOKUP(BT39,$BN$8:$BT$31,7,0)</f>
        <v>Região de Aveiro</v>
      </c>
      <c r="BV39" s="421">
        <f>BT39/$BN$39*100</f>
        <v>19.803660972958195</v>
      </c>
      <c r="BW39" s="433">
        <f>MIN($BN$16:$BN$23)</f>
        <v>19323</v>
      </c>
      <c r="BX39" s="421" t="str">
        <f t="shared" ref="BX39:BX42" si="51">VLOOKUP(BW39,$BN$8:$BT$31,7,0)</f>
        <v>Beira Baixa</v>
      </c>
      <c r="BY39" s="421">
        <f>BW39/$BN$39*100</f>
        <v>2.749571691207858</v>
      </c>
      <c r="BZ39" s="433">
        <f>MAX($BO$16:$BO$23)</f>
        <v>131216</v>
      </c>
      <c r="CA39" s="421" t="str">
        <f t="shared" ref="CA39:CA42" si="52">VLOOKUP(BZ39,$BO$8:$BT$31,6,0)</f>
        <v>Região de Aveiro</v>
      </c>
      <c r="CB39" s="421">
        <f>BZ39/$BO$39*100</f>
        <v>19.947977397075981</v>
      </c>
      <c r="CC39" s="433">
        <f>MIN($BO$16:$BO$23)</f>
        <v>18069.000000000004</v>
      </c>
      <c r="CD39" s="421" t="str">
        <f t="shared" ref="CD39:CD42" si="53">VLOOKUP(CC39,$BO$8:$BT$31,6,0)</f>
        <v>Beira Baixa</v>
      </c>
      <c r="CE39" s="421">
        <f>CC39/$BO$39*100</f>
        <v>2.7469211345244937</v>
      </c>
      <c r="CG39" s="423" t="s">
        <v>505</v>
      </c>
      <c r="CH39" s="434">
        <f t="shared" ref="CH39:CH42" si="54">INDEX($B$190:$M$196,MATCH($CG$38:$CG$42,$B$190:$B$196,0),MATCH($CG$6,$B$190:$M$190,0))</f>
        <v>1139.44</v>
      </c>
      <c r="CI39" s="434">
        <f t="shared" ref="CI39:CI42" si="55">INDEX($B$230:$M$236,MATCH($CG$38:$CG$42,$B$230:$B$236,0),MATCH($CG$6,$B$230:$M$230,0))</f>
        <v>1393.64</v>
      </c>
      <c r="CJ39" s="446">
        <f>+(CH39/$CH$31-1)*100</f>
        <v>-12.950739518396281</v>
      </c>
      <c r="CK39" s="446">
        <f>+(CI39/$CI$31-1)*100</f>
        <v>-11.948191438951184</v>
      </c>
      <c r="CL39" s="436">
        <f>RANK(CH39,$CH$38:$CH$42,0)</f>
        <v>3</v>
      </c>
      <c r="CM39" s="436">
        <f>RANK(CI39,$CI$38:$CI$42,0)</f>
        <v>3</v>
      </c>
      <c r="CN39" s="434">
        <f>+CH39-$CH$31</f>
        <v>-169.51999999999998</v>
      </c>
      <c r="CO39" s="434">
        <f>+CI39-$CI$31</f>
        <v>-189.1099999999999</v>
      </c>
      <c r="CP39" s="433">
        <f>MAX($CH$16:$CH$23)</f>
        <v>1223.23</v>
      </c>
      <c r="CQ39" s="421" t="str">
        <f>VLOOKUP(CP39,$CH$16:$CP$23,9,0)</f>
        <v>Região de Aveiro</v>
      </c>
      <c r="CR39" s="582">
        <f>(CP39/$CH$39-1)*100</f>
        <v>7.353612300779333</v>
      </c>
      <c r="CS39" s="433">
        <f>MIN($CH$16:$CH$23)</f>
        <v>1058.19</v>
      </c>
      <c r="CT39" s="421" t="str">
        <f>VLOOKUP(CS39,$CH$16:$CP$23,9,0)</f>
        <v>Beiras e Serra da Estrela</v>
      </c>
      <c r="CU39" s="582">
        <f>(CS39/$CH$39-1)*100</f>
        <v>-7.1306957803833448</v>
      </c>
      <c r="CV39" s="433">
        <f>MAX($CI$16:$CI$23)</f>
        <v>1492.3</v>
      </c>
      <c r="CW39" s="421" t="str">
        <f>VLOOKUP(CV39,$CI$16:$CP$23,8,0)</f>
        <v>Região de Aveiro</v>
      </c>
      <c r="CX39" s="582">
        <f>(CV39/$CI$39-1)*100</f>
        <v>7.0793031198874701</v>
      </c>
      <c r="CY39" s="433">
        <f>MIN($CI$16:$CI$23)</f>
        <v>1292.95</v>
      </c>
      <c r="CZ39" s="421" t="str">
        <f>VLOOKUP(CY39,$CI$16:$CP$23,8,0)</f>
        <v>Beiras e Serra da Estrela</v>
      </c>
      <c r="DA39" s="582">
        <f>(CY39/$CI$39-1)*100</f>
        <v>-7.2249648402743949</v>
      </c>
    </row>
    <row r="40" spans="1:105">
      <c r="C40" s="422">
        <f>+C30</f>
        <v>2014</v>
      </c>
      <c r="D40" s="422">
        <f t="shared" ref="D40:M40" si="56">+D30</f>
        <v>2015</v>
      </c>
      <c r="E40" s="422">
        <f t="shared" si="56"/>
        <v>2016</v>
      </c>
      <c r="F40" s="422">
        <f t="shared" si="56"/>
        <v>2017</v>
      </c>
      <c r="G40" s="422">
        <f t="shared" si="56"/>
        <v>2018</v>
      </c>
      <c r="H40" s="422">
        <f t="shared" si="56"/>
        <v>2019</v>
      </c>
      <c r="I40" s="422">
        <f t="shared" si="56"/>
        <v>2020</v>
      </c>
      <c r="J40" s="422">
        <f t="shared" si="56"/>
        <v>2021</v>
      </c>
      <c r="K40" s="422">
        <f t="shared" si="56"/>
        <v>2022</v>
      </c>
      <c r="L40" s="422">
        <f t="shared" si="56"/>
        <v>2023</v>
      </c>
      <c r="M40" s="422">
        <f t="shared" si="56"/>
        <v>2024</v>
      </c>
      <c r="AR40" s="423" t="s">
        <v>772</v>
      </c>
      <c r="AS40" s="433">
        <f t="shared" si="34"/>
        <v>74147.999999999971</v>
      </c>
      <c r="AT40" s="433">
        <f t="shared" si="35"/>
        <v>87949</v>
      </c>
      <c r="AU40" s="446">
        <f t="shared" si="36"/>
        <v>25.677804981940199</v>
      </c>
      <c r="AV40" s="446">
        <f t="shared" si="37"/>
        <v>26.018412784815375</v>
      </c>
      <c r="AW40" s="436">
        <f t="shared" si="38"/>
        <v>2</v>
      </c>
      <c r="AX40" s="436">
        <f t="shared" si="39"/>
        <v>2</v>
      </c>
      <c r="AY40" s="433">
        <f>MAX($AS$24)</f>
        <v>74147.999999999971</v>
      </c>
      <c r="AZ40" s="421" t="str">
        <f t="shared" si="40"/>
        <v>Área Metropolitana de Lisboa</v>
      </c>
      <c r="BA40" s="421">
        <f>AY40/$AS$40*100</f>
        <v>100</v>
      </c>
      <c r="BB40" s="433">
        <f>MIN($AS$24)</f>
        <v>74147.999999999971</v>
      </c>
      <c r="BC40" s="421" t="str">
        <f t="shared" si="41"/>
        <v>Área Metropolitana de Lisboa</v>
      </c>
      <c r="BD40" s="421">
        <f>BB40/$AS$40*100</f>
        <v>100</v>
      </c>
      <c r="BE40" s="433">
        <f>MAX($AT$24)</f>
        <v>87949</v>
      </c>
      <c r="BF40" s="421" t="str">
        <f t="shared" si="42"/>
        <v>Área Metropolitana de Lisboa</v>
      </c>
      <c r="BG40" s="421">
        <f>BE40/$AT$40*100</f>
        <v>100</v>
      </c>
      <c r="BH40" s="433">
        <f>MIN($AT$24)</f>
        <v>87949</v>
      </c>
      <c r="BI40" s="421" t="str">
        <f t="shared" si="43"/>
        <v>Área Metropolitana de Lisboa</v>
      </c>
      <c r="BJ40" s="421">
        <f>BH40/$AT$40*100</f>
        <v>100</v>
      </c>
      <c r="BM40" s="423" t="s">
        <v>772</v>
      </c>
      <c r="BN40" s="433">
        <f t="shared" si="44"/>
        <v>1174107</v>
      </c>
      <c r="BO40" s="433">
        <f t="shared" si="45"/>
        <v>1124021</v>
      </c>
      <c r="BP40" s="446">
        <f t="shared" si="46"/>
        <v>33.120505055776434</v>
      </c>
      <c r="BQ40" s="446">
        <f t="shared" si="47"/>
        <v>33.51149148394699</v>
      </c>
      <c r="BR40" s="436">
        <f t="shared" si="48"/>
        <v>2</v>
      </c>
      <c r="BS40" s="436">
        <f t="shared" si="49"/>
        <v>2</v>
      </c>
      <c r="BT40" s="433">
        <f>MAX($BN$24)</f>
        <v>1174107</v>
      </c>
      <c r="BU40" s="421" t="str">
        <f t="shared" si="50"/>
        <v>Área Metropolitana de Lisboa</v>
      </c>
      <c r="BV40" s="421">
        <f>BT40/$BN$40*100</f>
        <v>100</v>
      </c>
      <c r="BW40" s="433">
        <f>MIN($BN$24)</f>
        <v>1174107</v>
      </c>
      <c r="BX40" s="421" t="str">
        <f t="shared" si="51"/>
        <v>Área Metropolitana de Lisboa</v>
      </c>
      <c r="BY40" s="421">
        <f>BW40/$BN$40*100</f>
        <v>100</v>
      </c>
      <c r="BZ40" s="433">
        <f>MAX($BO$24)</f>
        <v>1124021</v>
      </c>
      <c r="CA40" s="421" t="str">
        <f t="shared" si="52"/>
        <v>Área Metropolitana de Lisboa</v>
      </c>
      <c r="CB40" s="421">
        <f>BZ40/$BO$40*100</f>
        <v>100</v>
      </c>
      <c r="CC40" s="433">
        <f>MIN($BO$24)</f>
        <v>1124021</v>
      </c>
      <c r="CD40" s="421" t="str">
        <f t="shared" si="53"/>
        <v>Área Metropolitana de Lisboa</v>
      </c>
      <c r="CE40" s="421">
        <f>CC40/$BO$40*100</f>
        <v>100</v>
      </c>
      <c r="CG40" s="423" t="s">
        <v>772</v>
      </c>
      <c r="CH40" s="434">
        <f t="shared" si="54"/>
        <v>1554.49</v>
      </c>
      <c r="CI40" s="434">
        <f t="shared" si="55"/>
        <v>1880.94</v>
      </c>
      <c r="CJ40" s="446">
        <f>+(CH40/$CH$31-1)*100</f>
        <v>18.757639652854174</v>
      </c>
      <c r="CK40" s="446">
        <f>+(CI40/$CI$31-1)*100</f>
        <v>18.839993681882806</v>
      </c>
      <c r="CL40" s="436">
        <f>RANK(CH40,$CH$38:$CH$42,0)</f>
        <v>1</v>
      </c>
      <c r="CM40" s="436">
        <f>RANK(CI40,$CI$38:$CI$42,0)</f>
        <v>1</v>
      </c>
      <c r="CN40" s="434">
        <f>+CH40-$CH$31</f>
        <v>245.52999999999997</v>
      </c>
      <c r="CO40" s="434">
        <f>+CI40-$CI$31</f>
        <v>298.19000000000005</v>
      </c>
      <c r="CP40" s="433">
        <f>MAX($CH$24)</f>
        <v>1554.49</v>
      </c>
      <c r="CQ40" s="421" t="str">
        <f>VLOOKUP(CP40,$CH$24:$CP$24,9,0)</f>
        <v>Área Metropolitana de Lisboa</v>
      </c>
      <c r="CR40" s="582">
        <f>(CP40/$CH$40-1)*100</f>
        <v>0</v>
      </c>
      <c r="CS40" s="433">
        <f>MIN($CH$24)</f>
        <v>1554.49</v>
      </c>
      <c r="CT40" s="421" t="str">
        <f>VLOOKUP(CS40,$CH$24:$CP$24,9,0)</f>
        <v>Área Metropolitana de Lisboa</v>
      </c>
      <c r="CU40" s="582">
        <f>(CS40/$CH$40-1)*100</f>
        <v>0</v>
      </c>
      <c r="CV40" s="433">
        <f>MAX($CI$24)</f>
        <v>1880.94</v>
      </c>
      <c r="CW40" s="421" t="str">
        <f>VLOOKUP(CV40,$CI$24:$CP$24,8,0)</f>
        <v>Área Metropolitana de Lisboa</v>
      </c>
      <c r="CX40" s="582">
        <f>(CV40/$CI$40-1)*100</f>
        <v>0</v>
      </c>
      <c r="CY40" s="433">
        <f>MIN($CI$24)</f>
        <v>1880.94</v>
      </c>
      <c r="CZ40" s="421" t="str">
        <f>VLOOKUP(CY40,$CI$24:$CP$24,8,0)</f>
        <v>Área Metropolitana de Lisboa</v>
      </c>
      <c r="DA40" s="582">
        <f>(CY40/$CI$40-1)*100</f>
        <v>0</v>
      </c>
    </row>
    <row r="41" spans="1:105">
      <c r="A41" s="422" t="s">
        <v>525</v>
      </c>
      <c r="B41" s="422" t="str">
        <f>+q4_b!$A$7</f>
        <v>Alto Minho</v>
      </c>
      <c r="C41" s="433">
        <f>+q4_b!$B$7</f>
        <v>7129</v>
      </c>
      <c r="D41" s="433">
        <f>+q4_b!$C$7</f>
        <v>7173</v>
      </c>
      <c r="E41" s="433">
        <f>+q4_b!$D$7</f>
        <v>7291</v>
      </c>
      <c r="F41" s="433">
        <f>+q4_b!$E$7</f>
        <v>7270</v>
      </c>
      <c r="G41" s="433">
        <f>+q4_b!$F$7</f>
        <v>7341</v>
      </c>
      <c r="H41" s="433">
        <f>+q4_b!$G$7</f>
        <v>7045</v>
      </c>
      <c r="I41" s="433">
        <f>+q4_b!$H$7</f>
        <v>7037</v>
      </c>
      <c r="J41" s="433">
        <f>+q4_b!$I$7</f>
        <v>6974</v>
      </c>
      <c r="K41" s="433">
        <f>+q4_b!$J$7</f>
        <v>7227</v>
      </c>
      <c r="L41" s="433">
        <f>+q4_b!$K$7</f>
        <v>7381</v>
      </c>
      <c r="M41" s="433">
        <f>+q4_b!$L$7</f>
        <v>7328</v>
      </c>
      <c r="AF41" s="446">
        <f>+(AC38/S38-1)*100</f>
        <v>38.993960114499757</v>
      </c>
      <c r="AR41" s="423" t="s">
        <v>518</v>
      </c>
      <c r="AS41" s="433">
        <f t="shared" si="34"/>
        <v>20715.999999999993</v>
      </c>
      <c r="AT41" s="433">
        <f t="shared" si="35"/>
        <v>24720.000000000004</v>
      </c>
      <c r="AU41" s="446">
        <f t="shared" si="36"/>
        <v>7.1740493068710318</v>
      </c>
      <c r="AV41" s="446">
        <f t="shared" si="37"/>
        <v>7.3130469253844419</v>
      </c>
      <c r="AW41" s="436">
        <f t="shared" si="38"/>
        <v>4</v>
      </c>
      <c r="AX41" s="436">
        <f t="shared" si="39"/>
        <v>4</v>
      </c>
      <c r="AY41" s="433">
        <f>MAX($AS$25:$AS$29)</f>
        <v>6181</v>
      </c>
      <c r="AZ41" s="421" t="str">
        <f t="shared" si="40"/>
        <v>Lezíria do Tejo</v>
      </c>
      <c r="BA41" s="421">
        <f>AY41/$AS$41*100</f>
        <v>29.836841089013333</v>
      </c>
      <c r="BB41" s="433">
        <f>MIN($AS$25:$AS$29)</f>
        <v>2787</v>
      </c>
      <c r="BC41" s="421" t="str">
        <f t="shared" si="41"/>
        <v>Alto Alentejo</v>
      </c>
      <c r="BD41" s="421">
        <f>BB41/$AS$41*100</f>
        <v>13.453369376327482</v>
      </c>
      <c r="BE41" s="433">
        <f>MAX($AT$25:$AT$29)</f>
        <v>7367.9999999999991</v>
      </c>
      <c r="BF41" s="421" t="str">
        <f t="shared" si="42"/>
        <v>Lezíria do Tejo</v>
      </c>
      <c r="BG41" s="421">
        <f>BE41/$AT$41*100</f>
        <v>29.805825242718438</v>
      </c>
      <c r="BH41" s="433">
        <f>MIN($AT$25:$AT$29)</f>
        <v>3351.0000000000005</v>
      </c>
      <c r="BI41" s="421" t="str">
        <f t="shared" si="43"/>
        <v>Alto Alentejo</v>
      </c>
      <c r="BJ41" s="421">
        <f>BH41/$AT$41*100</f>
        <v>13.555825242718447</v>
      </c>
      <c r="BM41" s="423" t="s">
        <v>518</v>
      </c>
      <c r="BN41" s="433">
        <f t="shared" si="44"/>
        <v>214388.99999999997</v>
      </c>
      <c r="BO41" s="433">
        <f t="shared" si="45"/>
        <v>203132.99999999997</v>
      </c>
      <c r="BP41" s="446">
        <f t="shared" si="46"/>
        <v>6.0477213391989419</v>
      </c>
      <c r="BQ41" s="446">
        <f t="shared" si="47"/>
        <v>6.0561945013559386</v>
      </c>
      <c r="BR41" s="436">
        <f t="shared" si="48"/>
        <v>4</v>
      </c>
      <c r="BS41" s="436">
        <f t="shared" si="49"/>
        <v>4</v>
      </c>
      <c r="BT41" s="433">
        <f>MAX($BN$25:$BN$29)</f>
        <v>76658</v>
      </c>
      <c r="BU41" s="421" t="str">
        <f t="shared" si="50"/>
        <v>Lezíria do Tejo</v>
      </c>
      <c r="BV41" s="421">
        <f>BT41/$BN$41*100</f>
        <v>35.756498700959476</v>
      </c>
      <c r="BW41" s="433">
        <f>MIN($BN$25:$BN$29)</f>
        <v>23829.999999999996</v>
      </c>
      <c r="BX41" s="421" t="str">
        <f t="shared" si="51"/>
        <v>Alto Alentejo</v>
      </c>
      <c r="BY41" s="421">
        <f>BW41/$BN$41*100</f>
        <v>11.115309087686402</v>
      </c>
      <c r="BZ41" s="433">
        <f>MAX($BO$25:$BO$29)</f>
        <v>72771</v>
      </c>
      <c r="CA41" s="421" t="str">
        <f t="shared" si="52"/>
        <v>Lezíria do Tejo</v>
      </c>
      <c r="CB41" s="421">
        <f>BZ41/$BO$41*100</f>
        <v>35.824312150167628</v>
      </c>
      <c r="CC41" s="433">
        <f>MIN($BO$25:$BO$29)</f>
        <v>22423</v>
      </c>
      <c r="CD41" s="421" t="str">
        <f t="shared" si="53"/>
        <v>Alto Alentejo</v>
      </c>
      <c r="CE41" s="421">
        <f>CC41/$BO$41*100</f>
        <v>11.03858063436271</v>
      </c>
      <c r="CG41" s="423" t="s">
        <v>518</v>
      </c>
      <c r="CH41" s="434">
        <f t="shared" si="54"/>
        <v>1119.54</v>
      </c>
      <c r="CI41" s="434">
        <f t="shared" si="55"/>
        <v>1393.47</v>
      </c>
      <c r="CJ41" s="446">
        <f>+(CH41/$CH$31-1)*100</f>
        <v>-14.471030436376974</v>
      </c>
      <c r="CK41" s="446">
        <f>+(CI41/$CI$31-1)*100</f>
        <v>-11.958932238193022</v>
      </c>
      <c r="CL41" s="436">
        <f>RANK(CH41,$CH$38:$CH$42,0)</f>
        <v>4</v>
      </c>
      <c r="CM41" s="436">
        <f>RANK(CI41,$CI$38:$CI$42,0)</f>
        <v>4</v>
      </c>
      <c r="CN41" s="434">
        <f>+CH41-$CH$31</f>
        <v>-189.42000000000007</v>
      </c>
      <c r="CO41" s="434">
        <f>+CI41-$CI$31</f>
        <v>-189.27999999999997</v>
      </c>
      <c r="CP41" s="433">
        <f>MAX($CH$25:$CH$29)</f>
        <v>1180.01</v>
      </c>
      <c r="CQ41" s="421" t="str">
        <f>VLOOKUP(CP41,$CH$25:$CP$29,9,0)</f>
        <v>Alentejo Litoral</v>
      </c>
      <c r="CR41" s="582">
        <f>(CP41/$CH$41-1)*100</f>
        <v>5.4013255444200325</v>
      </c>
      <c r="CS41" s="433">
        <f>MIN($CH$25:$CH$29)</f>
        <v>1064.08</v>
      </c>
      <c r="CT41" s="421" t="str">
        <f>VLOOKUP(CS41,$CH$25:$CP$29,9,0)</f>
        <v>Alto Alentejo</v>
      </c>
      <c r="CU41" s="582">
        <f>(CS41/$CH$41-1)*100</f>
        <v>-4.9538203190596208</v>
      </c>
      <c r="CV41" s="433">
        <f>MAX($CI$25:$CI$29)</f>
        <v>1480.81</v>
      </c>
      <c r="CW41" s="421" t="str">
        <f>VLOOKUP(CV41,$CI$25:$CP$29,8,0)</f>
        <v>Alentejo Litoral</v>
      </c>
      <c r="CX41" s="582">
        <f>(CV41/$CI$10-1)*100</f>
        <v>12.034045772649883</v>
      </c>
      <c r="CY41" s="433">
        <f>MIN($CI$25:$CI$29)</f>
        <v>1295.3599999999999</v>
      </c>
      <c r="CZ41" s="421" t="str">
        <f>VLOOKUP(CY41,$CI$25:$CP$29,8,0)</f>
        <v>Alto Alentejo</v>
      </c>
      <c r="DA41" s="582">
        <f>(CY41/$CI$41-1)*100</f>
        <v>-7.0406969651302216</v>
      </c>
    </row>
    <row r="42" spans="1:105">
      <c r="A42" s="422"/>
      <c r="B42" s="422" t="str">
        <f>+q4_b!$A$8</f>
        <v>Cávado</v>
      </c>
      <c r="C42" s="433">
        <f>+q4_b!$B$8</f>
        <v>13169</v>
      </c>
      <c r="D42" s="433">
        <f>+q4_b!$C$8</f>
        <v>13373</v>
      </c>
      <c r="E42" s="433">
        <f>+q4_b!$D$8</f>
        <v>13613</v>
      </c>
      <c r="F42" s="433">
        <f>+q4_b!$E$8</f>
        <v>13840</v>
      </c>
      <c r="G42" s="433">
        <f>+q4_b!$F$8</f>
        <v>13932</v>
      </c>
      <c r="H42" s="433">
        <f>+q4_b!$G$8</f>
        <v>13662</v>
      </c>
      <c r="I42" s="433">
        <f>+q4_b!$H$8</f>
        <v>13781</v>
      </c>
      <c r="J42" s="433">
        <f>+q4_b!$I$8</f>
        <v>13588</v>
      </c>
      <c r="K42" s="433">
        <f>+q4_b!$J$8</f>
        <v>14557</v>
      </c>
      <c r="L42" s="433">
        <f>+q4_b!$K$8</f>
        <v>15022.000000000002</v>
      </c>
      <c r="M42" s="433">
        <f>+q4_b!$L$8</f>
        <v>15022</v>
      </c>
      <c r="Z42" s="442" t="s">
        <v>534</v>
      </c>
      <c r="AF42" s="446">
        <f>+(AC39/S39-1)*100</f>
        <v>40.854938414709792</v>
      </c>
      <c r="AR42" s="423" t="s">
        <v>523</v>
      </c>
      <c r="AS42" s="433">
        <f t="shared" si="34"/>
        <v>18173.999999999996</v>
      </c>
      <c r="AT42" s="433">
        <f t="shared" si="35"/>
        <v>21958.999999999996</v>
      </c>
      <c r="AU42" s="446">
        <f t="shared" si="36"/>
        <v>6.2937426193799064</v>
      </c>
      <c r="AV42" s="446">
        <f t="shared" si="37"/>
        <v>6.4962458509108787</v>
      </c>
      <c r="AW42" s="436">
        <f t="shared" si="38"/>
        <v>5</v>
      </c>
      <c r="AX42" s="436">
        <f t="shared" si="39"/>
        <v>5</v>
      </c>
      <c r="AY42" s="433">
        <f>MAX($AS$30)</f>
        <v>18173.999999999996</v>
      </c>
      <c r="AZ42" s="421" t="str">
        <f t="shared" si="40"/>
        <v>Algarve</v>
      </c>
      <c r="BA42" s="421">
        <f>AY42/$AS$42*100</f>
        <v>100</v>
      </c>
      <c r="BB42" s="433">
        <f>MIN($AS$30)</f>
        <v>18173.999999999996</v>
      </c>
      <c r="BC42" s="421" t="str">
        <f t="shared" si="41"/>
        <v>Algarve</v>
      </c>
      <c r="BD42" s="421">
        <f>BB42/$AS$42*100</f>
        <v>100</v>
      </c>
      <c r="BE42" s="433">
        <f>MAX($AT$30)</f>
        <v>21958.999999999996</v>
      </c>
      <c r="BF42" s="421" t="str">
        <f t="shared" si="42"/>
        <v>Algarve</v>
      </c>
      <c r="BG42" s="421">
        <f>BE42/$AT$42*100</f>
        <v>100</v>
      </c>
      <c r="BH42" s="433">
        <f>MIN($AT$30)</f>
        <v>21958.999999999996</v>
      </c>
      <c r="BI42" s="421" t="str">
        <f t="shared" si="43"/>
        <v>Algarve</v>
      </c>
      <c r="BJ42" s="421">
        <f>BH42/$AT$42*100</f>
        <v>100</v>
      </c>
      <c r="BM42" s="423" t="s">
        <v>523</v>
      </c>
      <c r="BN42" s="433">
        <f t="shared" si="44"/>
        <v>184098.99999999997</v>
      </c>
      <c r="BO42" s="433">
        <f t="shared" si="45"/>
        <v>172373</v>
      </c>
      <c r="BP42" s="446">
        <f t="shared" si="46"/>
        <v>5.1932676155268513</v>
      </c>
      <c r="BQ42" s="446">
        <f>+BO42/$BO$31*100</f>
        <v>5.1391177936732451</v>
      </c>
      <c r="BR42" s="436">
        <f t="shared" si="48"/>
        <v>5</v>
      </c>
      <c r="BS42" s="436">
        <f t="shared" si="49"/>
        <v>5</v>
      </c>
      <c r="BT42" s="433">
        <f>MAX($BN$30)</f>
        <v>184098.99999999997</v>
      </c>
      <c r="BU42" s="421" t="str">
        <f t="shared" si="50"/>
        <v>Algarve</v>
      </c>
      <c r="BV42" s="421">
        <f>BT42/$BN$42*100</f>
        <v>100</v>
      </c>
      <c r="BW42" s="433">
        <f>MIN($BN$30)</f>
        <v>184098.99999999997</v>
      </c>
      <c r="BX42" s="421" t="str">
        <f t="shared" si="51"/>
        <v>Algarve</v>
      </c>
      <c r="BY42" s="421">
        <f>BW42/$BN$42*100</f>
        <v>100</v>
      </c>
      <c r="BZ42" s="433">
        <f>MAX($BO$30)</f>
        <v>172373</v>
      </c>
      <c r="CA42" s="421" t="str">
        <f t="shared" si="52"/>
        <v>Algarve</v>
      </c>
      <c r="CB42" s="421">
        <f>BZ42/$BO$42*100</f>
        <v>100</v>
      </c>
      <c r="CC42" s="433">
        <f>MIN($BO$30)</f>
        <v>172373</v>
      </c>
      <c r="CD42" s="421" t="str">
        <f t="shared" si="53"/>
        <v>Algarve</v>
      </c>
      <c r="CE42" s="421">
        <f>CC42/$BO$42*100</f>
        <v>100</v>
      </c>
      <c r="CG42" s="423" t="s">
        <v>523</v>
      </c>
      <c r="CH42" s="434">
        <f t="shared" si="54"/>
        <v>1095.01</v>
      </c>
      <c r="CI42" s="434">
        <f t="shared" si="55"/>
        <v>1320.22</v>
      </c>
      <c r="CJ42" s="446">
        <f>+(CH42/$CH$31-1)*100</f>
        <v>-16.345037281505938</v>
      </c>
      <c r="CK42" s="446">
        <f>+(CI42/$CI$31-1)*100</f>
        <v>-16.586953087979783</v>
      </c>
      <c r="CL42" s="436">
        <f>RANK(CH42,$CH$38:$CH$42,0)</f>
        <v>5</v>
      </c>
      <c r="CM42" s="436">
        <f>RANK(CI42,$CI$38:$CI$42,0)</f>
        <v>5</v>
      </c>
      <c r="CN42" s="434">
        <f>+CH42-$CH$31</f>
        <v>-213.95000000000005</v>
      </c>
      <c r="CO42" s="434">
        <f>+CI42-$CI$31</f>
        <v>-262.52999999999997</v>
      </c>
      <c r="CP42" s="433">
        <f>MAX($CH$30)</f>
        <v>1095.01</v>
      </c>
      <c r="CQ42" s="421" t="str">
        <f>VLOOKUP(CP42,$CH$30:$CP$30,9,0)</f>
        <v>Algarve</v>
      </c>
      <c r="CR42" s="582">
        <f>(CP42/$CH$42-1)*100</f>
        <v>0</v>
      </c>
      <c r="CS42" s="433">
        <f>MIN($CH$30)</f>
        <v>1095.01</v>
      </c>
      <c r="CT42" s="421" t="str">
        <f>VLOOKUP(CS42,$CH$30:$CP$30,9,0)</f>
        <v>Algarve</v>
      </c>
      <c r="CU42" s="582">
        <f>(CS42/$CH$42-1)*100</f>
        <v>0</v>
      </c>
      <c r="CV42" s="433">
        <f>MAX($CI$30)</f>
        <v>1320.22</v>
      </c>
      <c r="CW42" s="421" t="str">
        <f>VLOOKUP(CV42,$CI$30:$CP$30,8,0)</f>
        <v>Algarve</v>
      </c>
      <c r="CX42" s="582">
        <f>(CV42/$CI$42-1)*100</f>
        <v>0</v>
      </c>
      <c r="CY42" s="433">
        <f>MIN($CI$30)</f>
        <v>1320.22</v>
      </c>
      <c r="CZ42" s="421" t="str">
        <f>VLOOKUP(CY42,$CI$30:$CP$30,8,0)</f>
        <v>Algarve</v>
      </c>
      <c r="DA42" s="582">
        <f>(CY42/$CI$42-1)*100</f>
        <v>0</v>
      </c>
    </row>
    <row r="43" spans="1:105">
      <c r="A43" s="422"/>
      <c r="B43" s="422" t="str">
        <f>+q4_b!$A$9</f>
        <v>Ave</v>
      </c>
      <c r="C43" s="433">
        <f>+q4_b!$B$9</f>
        <v>12761</v>
      </c>
      <c r="D43" s="433">
        <f>+q4_b!$C$9</f>
        <v>12914</v>
      </c>
      <c r="E43" s="433">
        <f>+q4_b!$D$9</f>
        <v>13247</v>
      </c>
      <c r="F43" s="433">
        <f>+q4_b!$E$9</f>
        <v>13507</v>
      </c>
      <c r="G43" s="433">
        <f>+q4_b!$F$9</f>
        <v>13505</v>
      </c>
      <c r="H43" s="433">
        <f>+q4_b!$G$9</f>
        <v>13001</v>
      </c>
      <c r="I43" s="433">
        <f>+q4_b!$H$9</f>
        <v>13164</v>
      </c>
      <c r="J43" s="433">
        <f>+q4_b!$I$9</f>
        <v>12897</v>
      </c>
      <c r="K43" s="433">
        <f>+q4_b!$J$9</f>
        <v>13716</v>
      </c>
      <c r="L43" s="433">
        <f>+q4_b!$K$9</f>
        <v>13849.999999999998</v>
      </c>
      <c r="M43" s="433">
        <f>+q4_b!$L$9</f>
        <v>13685</v>
      </c>
      <c r="AR43" s="423"/>
      <c r="AS43" s="433"/>
      <c r="AT43" s="433"/>
      <c r="AU43" s="446"/>
      <c r="AV43" s="446"/>
      <c r="AW43" s="436"/>
      <c r="AX43" s="436"/>
      <c r="AY43" s="433"/>
      <c r="BB43" s="433"/>
      <c r="BE43" s="433"/>
      <c r="BH43" s="433"/>
      <c r="BN43" s="433"/>
      <c r="BO43" s="433"/>
      <c r="BP43" s="446"/>
      <c r="BQ43" s="446"/>
      <c r="BR43" s="436"/>
      <c r="BS43" s="436"/>
      <c r="BT43" s="433"/>
      <c r="BW43" s="433"/>
      <c r="BZ43" s="433"/>
      <c r="CC43" s="433"/>
    </row>
    <row r="44" spans="1:105">
      <c r="A44" s="422"/>
      <c r="B44" s="422" t="str">
        <f>+q4_b!$A$10</f>
        <v>Área Metropolitana do Porto</v>
      </c>
      <c r="C44" s="433">
        <f>+q4_b!$B$10</f>
        <v>49118</v>
      </c>
      <c r="D44" s="433">
        <f>+q4_b!$C$10</f>
        <v>49590</v>
      </c>
      <c r="E44" s="433">
        <f>+q4_b!$D$10</f>
        <v>50179</v>
      </c>
      <c r="F44" s="433">
        <f>+q4_b!$E$10</f>
        <v>50743</v>
      </c>
      <c r="G44" s="433">
        <f>+q4_b!$F$10</f>
        <v>51437</v>
      </c>
      <c r="H44" s="433">
        <f>+q4_b!$G$10</f>
        <v>50377</v>
      </c>
      <c r="I44" s="433">
        <f>+q4_b!$H$10</f>
        <v>50550</v>
      </c>
      <c r="J44" s="433">
        <f>+q4_b!$I$10</f>
        <v>49104</v>
      </c>
      <c r="K44" s="433">
        <f>+q4_b!$J$10</f>
        <v>51243</v>
      </c>
      <c r="L44" s="433">
        <f>+q4_b!$K$10</f>
        <v>52107</v>
      </c>
      <c r="M44" s="433">
        <f>+q4_b!$L$10</f>
        <v>51191</v>
      </c>
      <c r="Z44" s="501">
        <f>+AC37</f>
        <v>2024</v>
      </c>
      <c r="AA44" s="421" t="s">
        <v>398</v>
      </c>
      <c r="AB44" s="421" t="s">
        <v>536</v>
      </c>
      <c r="AR44" s="423"/>
      <c r="AS44" s="433"/>
      <c r="AT44" s="433"/>
      <c r="AU44" s="446"/>
      <c r="AV44" s="446"/>
      <c r="AW44" s="436"/>
      <c r="AX44" s="436"/>
      <c r="AY44" s="433"/>
      <c r="BB44" s="433"/>
      <c r="BE44" s="433"/>
      <c r="BH44" s="433"/>
      <c r="BN44" s="433"/>
      <c r="BO44" s="433"/>
      <c r="BP44" s="446"/>
      <c r="BQ44" s="446"/>
      <c r="BR44" s="436"/>
      <c r="BS44" s="436"/>
      <c r="BT44" s="433"/>
      <c r="BW44" s="433"/>
      <c r="BZ44" s="433"/>
      <c r="CC44" s="433"/>
    </row>
    <row r="45" spans="1:105">
      <c r="A45" s="422"/>
      <c r="B45" s="422" t="str">
        <f>+q4_b!$A$11</f>
        <v>Alto Tâmega</v>
      </c>
      <c r="C45" s="433">
        <f>+q4_b!$B$11</f>
        <v>2147</v>
      </c>
      <c r="D45" s="433">
        <f>+q4_b!$C$11</f>
        <v>2205</v>
      </c>
      <c r="E45" s="433">
        <f>+q4_b!$D$11</f>
        <v>2256</v>
      </c>
      <c r="F45" s="433">
        <f>+q4_b!$E$11</f>
        <v>2272</v>
      </c>
      <c r="G45" s="433">
        <f>+q4_b!$F$11</f>
        <v>2316</v>
      </c>
      <c r="H45" s="433">
        <f>+q4_b!$G$11</f>
        <v>2252</v>
      </c>
      <c r="I45" s="433">
        <f>+q4_b!$H$11</f>
        <v>2299</v>
      </c>
      <c r="J45" s="433">
        <f>+q4_b!$I$11</f>
        <v>2298</v>
      </c>
      <c r="K45" s="433">
        <f>+q4_b!$J$11</f>
        <v>2409</v>
      </c>
      <c r="L45" s="433">
        <f>+q4_b!$K$11</f>
        <v>2397</v>
      </c>
      <c r="M45" s="433">
        <f>+q4_b!$L$11</f>
        <v>2432</v>
      </c>
      <c r="Z45" s="421" t="s">
        <v>287</v>
      </c>
      <c r="AA45" s="421" t="str">
        <f>+R36</f>
        <v>Área Metropolitana de Lisboa</v>
      </c>
      <c r="AD45" s="959" t="str">
        <f>CONCATENATE(Z44,AA44,CHAR(10),AB44,AA45,Z46,AA47,Z48,AA49,Z50,AA51," ",AA52,AB53,AA54,Z55,AA56,Z57,AA58," ",AA59,AB60)</f>
        <v>2024:
As empresas da região Área Metropolitana de Lisboa tinham ao seu serviço 1.174.107 pessoas (variação de 39% face a 2014, ou seja, mais 329.389) e tinham 1.124.021 TCO (variação de 40,9% face a 2014, ou seja, mais 326.022).</v>
      </c>
      <c r="AE45" s="959"/>
      <c r="AF45" s="959"/>
      <c r="AG45" s="959"/>
    </row>
    <row r="46" spans="1:105">
      <c r="A46" s="422"/>
      <c r="B46" s="422" t="str">
        <f>+q4_b!$A$12</f>
        <v>Tâmega e Sousa</v>
      </c>
      <c r="C46" s="433">
        <f>+q4_b!$B$12</f>
        <v>12069</v>
      </c>
      <c r="D46" s="433">
        <f>+q4_b!$C$12</f>
        <v>12343</v>
      </c>
      <c r="E46" s="433">
        <f>+q4_b!$D$12</f>
        <v>12490</v>
      </c>
      <c r="F46" s="433">
        <f>+q4_b!$E$12</f>
        <v>12646</v>
      </c>
      <c r="G46" s="433">
        <f>+q4_b!$F$12</f>
        <v>12900</v>
      </c>
      <c r="H46" s="433">
        <f>+q4_b!$G$12</f>
        <v>12658</v>
      </c>
      <c r="I46" s="433">
        <f>+q4_b!$H$12</f>
        <v>12707</v>
      </c>
      <c r="J46" s="433">
        <f>+q4_b!$I$12</f>
        <v>12875</v>
      </c>
      <c r="K46" s="433">
        <f>+q4_b!$J$12</f>
        <v>13294</v>
      </c>
      <c r="L46" s="433">
        <f>+q4_b!$K$12</f>
        <v>13558</v>
      </c>
      <c r="M46" s="433">
        <f>+q4_b!$L$12</f>
        <v>13342</v>
      </c>
      <c r="Z46" s="421" t="s">
        <v>297</v>
      </c>
      <c r="AD46" s="959"/>
      <c r="AE46" s="959"/>
      <c r="AF46" s="959"/>
      <c r="AG46" s="959"/>
      <c r="CR46" s="446"/>
    </row>
    <row r="47" spans="1:105">
      <c r="A47" s="422"/>
      <c r="B47" s="422" t="str">
        <f>+q4_b!$A$13</f>
        <v>Douro</v>
      </c>
      <c r="C47" s="433">
        <f>+q4_b!$B$13</f>
        <v>5153</v>
      </c>
      <c r="D47" s="433">
        <f>+q4_b!$C$13</f>
        <v>5162</v>
      </c>
      <c r="E47" s="433">
        <f>+q4_b!$D$13</f>
        <v>5182</v>
      </c>
      <c r="F47" s="433">
        <f>+q4_b!$E$13</f>
        <v>5243</v>
      </c>
      <c r="G47" s="433">
        <f>+q4_b!$F$13</f>
        <v>5223</v>
      </c>
      <c r="H47" s="433">
        <f>+q4_b!$G$13</f>
        <v>5096</v>
      </c>
      <c r="I47" s="433">
        <f>+q4_b!$H$13</f>
        <v>5195</v>
      </c>
      <c r="J47" s="433">
        <f>+q4_b!$I$13</f>
        <v>5144</v>
      </c>
      <c r="K47" s="433">
        <f>+q4_b!$J$13</f>
        <v>5301</v>
      </c>
      <c r="L47" s="433">
        <f>+q4_b!$K$13</f>
        <v>5412.9999999999991</v>
      </c>
      <c r="M47" s="433">
        <f>+q4_b!$L$13</f>
        <v>5377</v>
      </c>
      <c r="Z47" s="421" t="s">
        <v>288</v>
      </c>
      <c r="AA47" s="443" t="str">
        <f>+AD38</f>
        <v>1.174.107</v>
      </c>
      <c r="AD47" s="959"/>
      <c r="AE47" s="959"/>
      <c r="AF47" s="959"/>
      <c r="AG47" s="959"/>
      <c r="CR47" s="446"/>
    </row>
    <row r="48" spans="1:105">
      <c r="A48" s="422"/>
      <c r="B48" s="422" t="str">
        <f>+q4_b!$A$14</f>
        <v>Terras de Trás-os-Montes</v>
      </c>
      <c r="C48" s="433">
        <f>+q4_b!$B$14</f>
        <v>3193</v>
      </c>
      <c r="D48" s="433">
        <f>+q4_b!$C$14</f>
        <v>3199</v>
      </c>
      <c r="E48" s="433">
        <f>+q4_b!$D$14</f>
        <v>3238</v>
      </c>
      <c r="F48" s="433">
        <f>+q4_b!$E$14</f>
        <v>3275</v>
      </c>
      <c r="G48" s="433">
        <f>+q4_b!$F$14</f>
        <v>3282</v>
      </c>
      <c r="H48" s="433">
        <f>+q4_b!$G$14</f>
        <v>3046</v>
      </c>
      <c r="I48" s="433">
        <f>+q4_b!$H$14</f>
        <v>3072</v>
      </c>
      <c r="J48" s="433">
        <f>+q4_b!$I$14</f>
        <v>3156</v>
      </c>
      <c r="K48" s="433">
        <f>+q4_b!$J$14</f>
        <v>3194</v>
      </c>
      <c r="L48" s="433">
        <f>+q4_b!$K$14</f>
        <v>3258</v>
      </c>
      <c r="M48" s="433">
        <f>+q4_b!$L$14</f>
        <v>3188</v>
      </c>
      <c r="Z48" s="421" t="s">
        <v>740</v>
      </c>
      <c r="AD48" s="959"/>
      <c r="AE48" s="959"/>
      <c r="AF48" s="959"/>
      <c r="AG48" s="959"/>
      <c r="CR48" s="446"/>
    </row>
    <row r="49" spans="1:96">
      <c r="A49" s="422"/>
      <c r="B49" s="422" t="str">
        <f>+q4_b!$A$16</f>
        <v>Oeste</v>
      </c>
      <c r="C49" s="433">
        <f>+q4_b!$B$16</f>
        <v>10433</v>
      </c>
      <c r="D49" s="433">
        <f>+q4_b!$C$16</f>
        <v>10563</v>
      </c>
      <c r="E49" s="433">
        <f>+q4_b!$D$16</f>
        <v>10676</v>
      </c>
      <c r="F49" s="433">
        <f>+q4_b!$E$16</f>
        <v>10940</v>
      </c>
      <c r="G49" s="433">
        <f>+q4_b!$F$16</f>
        <v>11025</v>
      </c>
      <c r="H49" s="433">
        <f>+q4_b!$G$16</f>
        <v>10864</v>
      </c>
      <c r="I49" s="433">
        <f>+q4_b!$H$16</f>
        <v>10952</v>
      </c>
      <c r="J49" s="433">
        <f>+q4_b!$I$16</f>
        <v>10812</v>
      </c>
      <c r="K49" s="433">
        <f>+q4_b!$J$16</f>
        <v>11295</v>
      </c>
      <c r="L49" s="433">
        <f>+q4_b!$K$16</f>
        <v>11504</v>
      </c>
      <c r="M49" s="433">
        <f>+q4_b!$L$16</f>
        <v>11570</v>
      </c>
      <c r="Z49" s="421" t="s">
        <v>290</v>
      </c>
      <c r="AA49" s="446">
        <f>ROUND(AF41,1)</f>
        <v>39</v>
      </c>
      <c r="AD49" s="959"/>
      <c r="AE49" s="959"/>
      <c r="AF49" s="959"/>
      <c r="AG49" s="959"/>
      <c r="CR49" s="446"/>
    </row>
    <row r="50" spans="1:96">
      <c r="A50" s="422"/>
      <c r="B50" s="422" t="str">
        <f>+q4_b!$A$17</f>
        <v>Região de Aveiro</v>
      </c>
      <c r="C50" s="433">
        <f>+q4_b!$B$17</f>
        <v>9205</v>
      </c>
      <c r="D50" s="433">
        <f>+q4_b!$C$17</f>
        <v>9320</v>
      </c>
      <c r="E50" s="433">
        <f>+q4_b!$D$17</f>
        <v>9561</v>
      </c>
      <c r="F50" s="433">
        <f>+q4_b!$E$17</f>
        <v>9662</v>
      </c>
      <c r="G50" s="433">
        <f>+q4_b!$F$17</f>
        <v>9814</v>
      </c>
      <c r="H50" s="433">
        <f>+q4_b!$G$17</f>
        <v>9682</v>
      </c>
      <c r="I50" s="433">
        <f>+q4_b!$H$17</f>
        <v>9658</v>
      </c>
      <c r="J50" s="433">
        <f>+q4_b!$I$17</f>
        <v>9380</v>
      </c>
      <c r="K50" s="433">
        <f>+q4_b!$J$17</f>
        <v>9676</v>
      </c>
      <c r="L50" s="433">
        <f>+q4_b!$K$17</f>
        <v>9766</v>
      </c>
      <c r="M50" s="433">
        <f>+q4_b!$L$17</f>
        <v>9773</v>
      </c>
      <c r="Z50" s="421" t="s">
        <v>895</v>
      </c>
      <c r="AD50" s="959"/>
      <c r="AE50" s="959"/>
      <c r="AF50" s="959"/>
      <c r="AG50" s="959"/>
      <c r="CR50" s="446"/>
    </row>
    <row r="51" spans="1:96">
      <c r="A51" s="422"/>
      <c r="B51" s="422" t="str">
        <f>+q4_b!$A$18</f>
        <v>Região de Coimbra</v>
      </c>
      <c r="C51" s="433">
        <f>+q4_b!$B$18</f>
        <v>10830</v>
      </c>
      <c r="D51" s="433">
        <f>+q4_b!$C$18</f>
        <v>10841</v>
      </c>
      <c r="E51" s="433">
        <f>+q4_b!$D$18</f>
        <v>10913</v>
      </c>
      <c r="F51" s="433">
        <f>+q4_b!$E$18</f>
        <v>10920</v>
      </c>
      <c r="G51" s="433">
        <f>+q4_b!$F$18</f>
        <v>10935</v>
      </c>
      <c r="H51" s="433">
        <f>+q4_b!$G$18</f>
        <v>10620</v>
      </c>
      <c r="I51" s="433">
        <f>+q4_b!$H$18</f>
        <v>10718</v>
      </c>
      <c r="J51" s="433">
        <f>+q4_b!$I$18</f>
        <v>10509</v>
      </c>
      <c r="K51" s="433">
        <f>+q4_b!$J$18</f>
        <v>11014</v>
      </c>
      <c r="L51" s="433">
        <f>+q4_b!$K$18</f>
        <v>11047.999999999998</v>
      </c>
      <c r="M51" s="433">
        <f>+q4_b!$L$18</f>
        <v>10899</v>
      </c>
      <c r="Z51" s="421" t="s">
        <v>291</v>
      </c>
      <c r="AA51" s="421" t="str">
        <f>+AH38</f>
        <v>, mais</v>
      </c>
      <c r="CR51" s="446"/>
    </row>
    <row r="52" spans="1:96">
      <c r="A52" s="422"/>
      <c r="B52" s="422" t="str">
        <f>+q4_b!$A$19</f>
        <v>Região de Leiria</v>
      </c>
      <c r="C52" s="433">
        <f>+q4_b!$B$19</f>
        <v>10176</v>
      </c>
      <c r="D52" s="433">
        <f>+q4_b!$C$19</f>
        <v>10214</v>
      </c>
      <c r="E52" s="433">
        <f>+q4_b!$D$19</f>
        <v>10313</v>
      </c>
      <c r="F52" s="433">
        <f>+q4_b!$E$19</f>
        <v>10330</v>
      </c>
      <c r="G52" s="433">
        <f>+q4_b!$F$19</f>
        <v>10275</v>
      </c>
      <c r="H52" s="433">
        <f>+q4_b!$G$19</f>
        <v>9997</v>
      </c>
      <c r="I52" s="433">
        <f>+q4_b!$H$19</f>
        <v>9987</v>
      </c>
      <c r="J52" s="433">
        <f>+q4_b!$I$19</f>
        <v>9844</v>
      </c>
      <c r="K52" s="433">
        <f>+q4_b!$J$19</f>
        <v>10184</v>
      </c>
      <c r="L52" s="433">
        <f>+q4_b!$K$19</f>
        <v>10426</v>
      </c>
      <c r="M52" s="433">
        <f>+q4_b!$L$19</f>
        <v>10282.999999999996</v>
      </c>
      <c r="Z52" s="421" t="s">
        <v>292</v>
      </c>
      <c r="AA52" s="443" t="str">
        <f>TEXT(AI38,"##.###")</f>
        <v>329.389</v>
      </c>
      <c r="CR52" s="446"/>
    </row>
    <row r="53" spans="1:96">
      <c r="A53" s="422"/>
      <c r="B53" s="422" t="str">
        <f>+q4_b!$A$20</f>
        <v>Viseu Dão Lafões</v>
      </c>
      <c r="C53" s="433">
        <f>+q4_b!$B$20</f>
        <v>6859</v>
      </c>
      <c r="D53" s="433">
        <f>+q4_b!$C$20</f>
        <v>6980</v>
      </c>
      <c r="E53" s="433">
        <f>+q4_b!$D$20</f>
        <v>7045</v>
      </c>
      <c r="F53" s="433">
        <f>+q4_b!$E$20</f>
        <v>7065</v>
      </c>
      <c r="G53" s="433">
        <f>+q4_b!$F$20</f>
        <v>7093</v>
      </c>
      <c r="H53" s="433">
        <f>+q4_b!$G$20</f>
        <v>6962</v>
      </c>
      <c r="I53" s="433">
        <f>+q4_b!$H$20</f>
        <v>6975</v>
      </c>
      <c r="J53" s="433">
        <f>+q4_b!$I$20</f>
        <v>6950</v>
      </c>
      <c r="K53" s="433">
        <f>+q4_b!$J$20</f>
        <v>7226</v>
      </c>
      <c r="L53" s="433">
        <f>+q4_b!$K$20</f>
        <v>7366</v>
      </c>
      <c r="M53" s="433">
        <f>+q4_b!$L$20</f>
        <v>7294</v>
      </c>
      <c r="AB53" s="421" t="s">
        <v>658</v>
      </c>
    </row>
    <row r="54" spans="1:96">
      <c r="A54" s="422"/>
      <c r="B54" s="422" t="str">
        <f>+q4_b!$A$21</f>
        <v>Beira Baixa</v>
      </c>
      <c r="C54" s="433">
        <f>+q4_b!$B$21</f>
        <v>2153</v>
      </c>
      <c r="D54" s="433">
        <f>+q4_b!$C$21</f>
        <v>2207</v>
      </c>
      <c r="E54" s="433">
        <f>+q4_b!$D$21</f>
        <v>2180</v>
      </c>
      <c r="F54" s="433">
        <f>+q4_b!$E$21</f>
        <v>2162</v>
      </c>
      <c r="G54" s="433">
        <f>+q4_b!$F$21</f>
        <v>2136</v>
      </c>
      <c r="H54" s="433">
        <f>+q4_b!$G$21</f>
        <v>2097</v>
      </c>
      <c r="I54" s="433">
        <f>+q4_b!$H$21</f>
        <v>2064</v>
      </c>
      <c r="J54" s="433">
        <f>+q4_b!$I$21</f>
        <v>2103</v>
      </c>
      <c r="K54" s="433">
        <f>+q4_b!$J$21</f>
        <v>2185</v>
      </c>
      <c r="L54" s="433">
        <f>+q4_b!$K$21</f>
        <v>2187</v>
      </c>
      <c r="M54" s="433">
        <f>+q4_b!$L$21</f>
        <v>2138</v>
      </c>
      <c r="Z54" s="421" t="s">
        <v>293</v>
      </c>
      <c r="AA54" s="443" t="str">
        <f>+AD39</f>
        <v>1.124.021</v>
      </c>
    </row>
    <row r="55" spans="1:96">
      <c r="A55" s="422"/>
      <c r="B55" s="422" t="str">
        <f>+q4_b!$A$22</f>
        <v>Médio Tejo</v>
      </c>
      <c r="C55" s="433">
        <f>+q4_b!$B$22</f>
        <v>6552</v>
      </c>
      <c r="D55" s="433">
        <f>+q4_b!$C$22</f>
        <v>6587</v>
      </c>
      <c r="E55" s="433">
        <f>+q4_b!$D$22</f>
        <v>6577</v>
      </c>
      <c r="F55" s="433">
        <f>+q4_b!$E$22</f>
        <v>6522</v>
      </c>
      <c r="G55" s="433">
        <f>+q4_b!$F$22</f>
        <v>6510</v>
      </c>
      <c r="H55" s="433">
        <f>+q4_b!$G$22</f>
        <v>6352</v>
      </c>
      <c r="I55" s="433">
        <f>+q4_b!$H$22</f>
        <v>6333</v>
      </c>
      <c r="J55" s="433">
        <f>+q4_b!$I$22</f>
        <v>6297</v>
      </c>
      <c r="K55" s="433">
        <f>+q4_b!$J$22</f>
        <v>6448</v>
      </c>
      <c r="L55" s="433">
        <f>+q4_b!$K$22</f>
        <v>6565.9999999999991</v>
      </c>
      <c r="M55" s="433">
        <f>+q4_b!$L$22</f>
        <v>6526.9999999999991</v>
      </c>
      <c r="Z55" s="421" t="s">
        <v>741</v>
      </c>
    </row>
    <row r="56" spans="1:96">
      <c r="A56" s="422"/>
      <c r="B56" s="422" t="str">
        <f>+q4_b!$A$23</f>
        <v>Beiras e Serra da Estrela</v>
      </c>
      <c r="C56" s="433">
        <f>+q4_b!$B$23</f>
        <v>6008</v>
      </c>
      <c r="D56" s="433">
        <f>+q4_b!$C$23</f>
        <v>5979</v>
      </c>
      <c r="E56" s="433">
        <f>+q4_b!$D$23</f>
        <v>6003</v>
      </c>
      <c r="F56" s="433">
        <f>+q4_b!$E$23</f>
        <v>6026</v>
      </c>
      <c r="G56" s="433">
        <f>+q4_b!$F$23</f>
        <v>5967</v>
      </c>
      <c r="H56" s="433">
        <f>+q4_b!$G$23</f>
        <v>5676</v>
      </c>
      <c r="I56" s="433">
        <f>+q4_b!$H$23</f>
        <v>5659</v>
      </c>
      <c r="J56" s="433">
        <f>+q4_b!$I$23</f>
        <v>5525</v>
      </c>
      <c r="K56" s="433">
        <f>+q4_b!$J$23</f>
        <v>5687</v>
      </c>
      <c r="L56" s="433">
        <f>+q4_b!$K$23</f>
        <v>5716.9999999999991</v>
      </c>
      <c r="M56" s="433">
        <f>+q4_b!$L$23</f>
        <v>5676</v>
      </c>
      <c r="Z56" s="421" t="s">
        <v>294</v>
      </c>
      <c r="AA56" s="446">
        <f>ROUND(AF42,1)</f>
        <v>40.9</v>
      </c>
    </row>
    <row r="57" spans="1:96">
      <c r="A57" s="422"/>
      <c r="B57" s="422" t="str">
        <f>+q4_b!$A$24</f>
        <v>Área Metropolitana de Lisboa</v>
      </c>
      <c r="C57" s="433">
        <f>+q4_b!$B$24</f>
        <v>67539</v>
      </c>
      <c r="D57" s="433">
        <f>+q4_b!$C$24</f>
        <v>68279</v>
      </c>
      <c r="E57" s="433">
        <f>+q4_b!$D$24</f>
        <v>68838</v>
      </c>
      <c r="F57" s="433">
        <f>+q4_b!$E$24</f>
        <v>69774</v>
      </c>
      <c r="G57" s="433">
        <f>+q4_b!$F$24</f>
        <v>71059</v>
      </c>
      <c r="H57" s="433">
        <f>+q4_b!$G$24</f>
        <v>69212</v>
      </c>
      <c r="I57" s="433">
        <f>+q4_b!$H$24</f>
        <v>70690</v>
      </c>
      <c r="J57" s="433">
        <f>+q4_b!$I$24</f>
        <v>68646</v>
      </c>
      <c r="K57" s="433">
        <f>+q4_b!$J$24</f>
        <v>72553</v>
      </c>
      <c r="L57" s="433">
        <f>+q4_b!$K$24</f>
        <v>74483.000000000029</v>
      </c>
      <c r="M57" s="433">
        <f>+q4_b!$L$24</f>
        <v>74147.999999999971</v>
      </c>
      <c r="Z57" s="421" t="s">
        <v>895</v>
      </c>
    </row>
    <row r="58" spans="1:96">
      <c r="A58" s="422"/>
      <c r="B58" s="422" t="str">
        <f>+q4_b!$A$26</f>
        <v>Alentejo Litoral</v>
      </c>
      <c r="C58" s="433">
        <f>+q4_b!$B$26</f>
        <v>2495</v>
      </c>
      <c r="D58" s="433">
        <f>+q4_b!$C$26</f>
        <v>2491</v>
      </c>
      <c r="E58" s="433">
        <f>+q4_b!$D$26</f>
        <v>2550</v>
      </c>
      <c r="F58" s="433">
        <f>+q4_b!$E$26</f>
        <v>2586</v>
      </c>
      <c r="G58" s="433">
        <f>+q4_b!$F$26</f>
        <v>2592</v>
      </c>
      <c r="H58" s="433">
        <f>+q4_b!$G$26</f>
        <v>2596</v>
      </c>
      <c r="I58" s="433">
        <f>+q4_b!$H$26</f>
        <v>2681</v>
      </c>
      <c r="J58" s="433">
        <f>+q4_b!$I$26</f>
        <v>2645</v>
      </c>
      <c r="K58" s="433">
        <f>+q4_b!$J$26</f>
        <v>2804</v>
      </c>
      <c r="L58" s="433">
        <f>+q4_b!$K$26</f>
        <v>2854</v>
      </c>
      <c r="M58" s="433">
        <f>+q4_b!$L$26</f>
        <v>2837</v>
      </c>
      <c r="Z58" s="421" t="s">
        <v>295</v>
      </c>
      <c r="AA58" s="421" t="str">
        <f>+AH39</f>
        <v>, mais</v>
      </c>
    </row>
    <row r="59" spans="1:96">
      <c r="A59" s="422"/>
      <c r="B59" s="422" t="str">
        <f>+q4_b!$A$27</f>
        <v>Baixo Alentejo</v>
      </c>
      <c r="C59" s="433">
        <f>+q4_b!$B$27</f>
        <v>3419</v>
      </c>
      <c r="D59" s="433">
        <f>+q4_b!$C$27</f>
        <v>3475</v>
      </c>
      <c r="E59" s="433">
        <f>+q4_b!$D$27</f>
        <v>3509</v>
      </c>
      <c r="F59" s="433">
        <f>+q4_b!$E$27</f>
        <v>3574</v>
      </c>
      <c r="G59" s="433">
        <f>+q4_b!$F$27</f>
        <v>3584</v>
      </c>
      <c r="H59" s="433">
        <f>+q4_b!$G$27</f>
        <v>3505</v>
      </c>
      <c r="I59" s="433">
        <f>+q4_b!$H$27</f>
        <v>3502</v>
      </c>
      <c r="J59" s="433">
        <f>+q4_b!$I$27</f>
        <v>3499</v>
      </c>
      <c r="K59" s="433">
        <f>+q4_b!$J$27</f>
        <v>3654</v>
      </c>
      <c r="L59" s="433">
        <f>+q4_b!$K$27</f>
        <v>3855.9999999999995</v>
      </c>
      <c r="M59" s="433">
        <f>+q4_b!$L$27</f>
        <v>3881</v>
      </c>
      <c r="Z59" s="421" t="s">
        <v>296</v>
      </c>
      <c r="AA59" s="443" t="str">
        <f>TEXT(AI39,"##.###")</f>
        <v>326.022</v>
      </c>
    </row>
    <row r="60" spans="1:96">
      <c r="A60" s="422"/>
      <c r="B60" s="422" t="str">
        <f>+q4_b!$A$28</f>
        <v>Lezíria do Tejo</v>
      </c>
      <c r="C60" s="433">
        <f>+q4_b!$B$28</f>
        <v>6345</v>
      </c>
      <c r="D60" s="433">
        <f>+q4_b!$C$28</f>
        <v>6363</v>
      </c>
      <c r="E60" s="433">
        <f>+q4_b!$D$28</f>
        <v>6404</v>
      </c>
      <c r="F60" s="433">
        <f>+q4_b!$E$28</f>
        <v>6418</v>
      </c>
      <c r="G60" s="433">
        <f>+q4_b!$F$28</f>
        <v>6385</v>
      </c>
      <c r="H60" s="433">
        <f>+q4_b!$G$28</f>
        <v>6208</v>
      </c>
      <c r="I60" s="433">
        <f>+q4_b!$H$28</f>
        <v>6168</v>
      </c>
      <c r="J60" s="433">
        <f>+q4_b!$I$28</f>
        <v>5957</v>
      </c>
      <c r="K60" s="433">
        <f>+q4_b!$J$28</f>
        <v>6202</v>
      </c>
      <c r="L60" s="433">
        <f>+q4_b!$K$28</f>
        <v>6284</v>
      </c>
      <c r="M60" s="433">
        <f>+q4_b!$L$28</f>
        <v>6181</v>
      </c>
      <c r="AB60" s="421" t="s">
        <v>397</v>
      </c>
    </row>
    <row r="61" spans="1:96">
      <c r="A61" s="422"/>
      <c r="B61" s="422" t="str">
        <f>+q4_b!$A$29</f>
        <v>Alto Alentejo</v>
      </c>
      <c r="C61" s="433">
        <f>+q4_b!$B$29</f>
        <v>2917</v>
      </c>
      <c r="D61" s="433">
        <f>+q4_b!$C$29</f>
        <v>2906</v>
      </c>
      <c r="E61" s="433">
        <f>+q4_b!$D$29</f>
        <v>2929</v>
      </c>
      <c r="F61" s="433">
        <f>+q4_b!$E$29</f>
        <v>2901</v>
      </c>
      <c r="G61" s="433">
        <f>+q4_b!$F$29</f>
        <v>2878</v>
      </c>
      <c r="H61" s="433">
        <f>+q4_b!$G$29</f>
        <v>2783</v>
      </c>
      <c r="I61" s="433">
        <f>+q4_b!$H$29</f>
        <v>2770</v>
      </c>
      <c r="J61" s="433">
        <f>+q4_b!$I$29</f>
        <v>2634</v>
      </c>
      <c r="K61" s="433">
        <f>+q4_b!$J$29</f>
        <v>2877</v>
      </c>
      <c r="L61" s="433">
        <f>+q4_b!$K$29</f>
        <v>2865</v>
      </c>
      <c r="M61" s="433">
        <f>+q4_b!$L$29</f>
        <v>2787</v>
      </c>
    </row>
    <row r="62" spans="1:96">
      <c r="A62" s="422"/>
      <c r="B62" s="422" t="str">
        <f>+q4_b!$A$30</f>
        <v>Alentejo Central</v>
      </c>
      <c r="C62" s="433">
        <f>+q4_b!$B$30</f>
        <v>5026</v>
      </c>
      <c r="D62" s="433">
        <f>+q4_b!$C$30</f>
        <v>5065</v>
      </c>
      <c r="E62" s="433">
        <f>+q4_b!$D$30</f>
        <v>5038</v>
      </c>
      <c r="F62" s="433">
        <f>+q4_b!$E$30</f>
        <v>5034</v>
      </c>
      <c r="G62" s="433">
        <f>+q4_b!$F$30</f>
        <v>4966</v>
      </c>
      <c r="H62" s="433">
        <f>+q4_b!$G$30</f>
        <v>4869</v>
      </c>
      <c r="I62" s="433">
        <f>+q4_b!$H$30</f>
        <v>4904</v>
      </c>
      <c r="J62" s="433">
        <f>+q4_b!$I$30</f>
        <v>4640</v>
      </c>
      <c r="K62" s="433">
        <f>+q4_b!$J$30</f>
        <v>5048</v>
      </c>
      <c r="L62" s="433">
        <f>+q4_b!$K$30</f>
        <v>5107.0000000000009</v>
      </c>
      <c r="M62" s="433">
        <f>+q4_b!$L$30</f>
        <v>5030</v>
      </c>
    </row>
    <row r="63" spans="1:96">
      <c r="A63" s="422"/>
      <c r="B63" s="422" t="str">
        <f>+q4_b!$A$31</f>
        <v>Algarve</v>
      </c>
      <c r="C63" s="433">
        <f>+q4_b!$B$31</f>
        <v>15485</v>
      </c>
      <c r="D63" s="433">
        <f>+q4_b!$C$31</f>
        <v>15831</v>
      </c>
      <c r="E63" s="433">
        <f>+q4_b!$D$31</f>
        <v>16300</v>
      </c>
      <c r="F63" s="433">
        <f>+q4_b!$E$31</f>
        <v>16481</v>
      </c>
      <c r="G63" s="433">
        <f>+q4_b!$F$31</f>
        <v>17081</v>
      </c>
      <c r="H63" s="433">
        <f>+q4_b!$G$31</f>
        <v>17191</v>
      </c>
      <c r="I63" s="433">
        <f>+q4_b!$H$31</f>
        <v>16775</v>
      </c>
      <c r="J63" s="433">
        <f>+q4_b!$I$31</f>
        <v>16329</v>
      </c>
      <c r="K63" s="433">
        <f>+q4_b!$J$31</f>
        <v>17066</v>
      </c>
      <c r="L63" s="433">
        <f>+q4_b!$K$31</f>
        <v>18237.000000000004</v>
      </c>
      <c r="M63" s="433">
        <f>+q4_b!$L$31</f>
        <v>18173.999999999996</v>
      </c>
    </row>
    <row r="64" spans="1:96">
      <c r="A64" s="422"/>
      <c r="B64" s="422" t="s">
        <v>13</v>
      </c>
      <c r="C64" s="433">
        <f>+q4_b!$B$5</f>
        <v>270181.00000000006</v>
      </c>
      <c r="D64" s="433">
        <f>+q4_b!$C$5</f>
        <v>273059.99999999988</v>
      </c>
      <c r="E64" s="433">
        <f>+q4_b!$D$5</f>
        <v>276331.99999999983</v>
      </c>
      <c r="F64" s="433">
        <f>+q4_b!$E$5</f>
        <v>279191.00000000023</v>
      </c>
      <c r="G64" s="433">
        <f>+q4_b!$F$5</f>
        <v>282236</v>
      </c>
      <c r="H64" s="433">
        <f>+q4_b!$G$5</f>
        <v>275750.99999999977</v>
      </c>
      <c r="I64" s="433">
        <f>+q4_b!$H$5</f>
        <v>277641.00000000023</v>
      </c>
      <c r="J64" s="433">
        <f>+q4_b!$I$5</f>
        <v>271806.00000000017</v>
      </c>
      <c r="K64" s="433">
        <f>+q4_b!$J$5</f>
        <v>284860</v>
      </c>
      <c r="L64" s="433">
        <f>+q4_b!$K$5</f>
        <v>291252.00000000017</v>
      </c>
      <c r="M64" s="433">
        <f>+q4_b!$L$5</f>
        <v>288762.99999999994</v>
      </c>
    </row>
    <row r="65" spans="1:89">
      <c r="C65" s="433"/>
      <c r="D65" s="433"/>
      <c r="E65" s="433"/>
      <c r="F65" s="433"/>
      <c r="G65" s="433"/>
      <c r="H65" s="433"/>
      <c r="I65" s="433"/>
      <c r="J65" s="433"/>
      <c r="K65" s="433"/>
      <c r="L65" s="433"/>
      <c r="M65" s="433"/>
    </row>
    <row r="69" spans="1:89">
      <c r="A69" s="422" t="s">
        <v>902</v>
      </c>
      <c r="D69" s="423"/>
    </row>
    <row r="70" spans="1:89">
      <c r="A70" s="547" t="s">
        <v>204</v>
      </c>
      <c r="C70" s="422">
        <f>+q8_b!$B$4</f>
        <v>2014</v>
      </c>
      <c r="D70" s="422">
        <f>+q8_b!$C$4</f>
        <v>2015</v>
      </c>
      <c r="E70" s="422">
        <f>+q8_b!$D$4</f>
        <v>2016</v>
      </c>
      <c r="F70" s="422">
        <f>+q8_b!$E$4</f>
        <v>2017</v>
      </c>
      <c r="G70" s="422">
        <f>+q8_b!$F$4</f>
        <v>2018</v>
      </c>
      <c r="H70" s="422">
        <f>+q8_b!$G$4</f>
        <v>2019</v>
      </c>
      <c r="I70" s="422">
        <f>+q8_b!$H$4</f>
        <v>2020</v>
      </c>
      <c r="J70" s="422">
        <f>+q8_b!$I$4</f>
        <v>2021</v>
      </c>
      <c r="K70" s="422">
        <f>+q8_b!$J$4</f>
        <v>2022</v>
      </c>
      <c r="L70" s="422">
        <f>+q8_b!$K$4</f>
        <v>2023</v>
      </c>
      <c r="M70" s="422">
        <f>+q8_b!$L$4</f>
        <v>2024</v>
      </c>
      <c r="R70" s="422" t="str">
        <f>INDEX($A$2:$A$8,$P$2)</f>
        <v>Área Metropolitana de Lisboa</v>
      </c>
    </row>
    <row r="71" spans="1:89">
      <c r="A71" s="422" t="s">
        <v>524</v>
      </c>
      <c r="B71" s="422" t="str">
        <f>+q8_b!$A$6</f>
        <v>Norte</v>
      </c>
      <c r="C71" s="433">
        <f>+q8_b!$B$6</f>
        <v>120246</v>
      </c>
      <c r="D71" s="433">
        <f>+q8_b!$C$6</f>
        <v>121392</v>
      </c>
      <c r="E71" s="433">
        <f>+q8_b!$D$6</f>
        <v>123068</v>
      </c>
      <c r="F71" s="433">
        <f>+q8_b!$E$6</f>
        <v>124207</v>
      </c>
      <c r="G71" s="433">
        <f>+q8_b!$F$6</f>
        <v>125524</v>
      </c>
      <c r="H71" s="433">
        <f>+q8_b!$G$6</f>
        <v>122296</v>
      </c>
      <c r="I71" s="433">
        <f>+q8_b!$H$6</f>
        <v>123094</v>
      </c>
      <c r="J71" s="433">
        <f>+q8_b!$I$6</f>
        <v>121078</v>
      </c>
      <c r="K71" s="433">
        <f>+q8_b!$J$6</f>
        <v>126463</v>
      </c>
      <c r="L71" s="433">
        <f>+q8_b!$K$6</f>
        <v>129002.00000000001</v>
      </c>
      <c r="M71" s="433">
        <f>+q8_b!$L$6</f>
        <v>127676.00000000001</v>
      </c>
      <c r="S71" s="422">
        <f>+C30</f>
        <v>2014</v>
      </c>
      <c r="T71" s="422">
        <f t="shared" ref="T71:AC71" si="57">+D30</f>
        <v>2015</v>
      </c>
      <c r="U71" s="422">
        <f t="shared" si="57"/>
        <v>2016</v>
      </c>
      <c r="V71" s="422">
        <f t="shared" si="57"/>
        <v>2017</v>
      </c>
      <c r="W71" s="422">
        <f t="shared" si="57"/>
        <v>2018</v>
      </c>
      <c r="X71" s="422">
        <f t="shared" si="57"/>
        <v>2019</v>
      </c>
      <c r="Y71" s="422">
        <f t="shared" si="57"/>
        <v>2020</v>
      </c>
      <c r="Z71" s="422">
        <f t="shared" si="57"/>
        <v>2021</v>
      </c>
      <c r="AA71" s="422">
        <f t="shared" si="57"/>
        <v>2022</v>
      </c>
      <c r="AB71" s="422">
        <f t="shared" si="57"/>
        <v>2023</v>
      </c>
      <c r="AC71" s="422">
        <f t="shared" si="57"/>
        <v>2024</v>
      </c>
      <c r="AE71" s="391" t="str">
        <f>+"variação "&amp;AC71&amp;"/"&amp;AB71</f>
        <v>variação 2024/2023</v>
      </c>
      <c r="AF71" s="391" t="str">
        <f>+"variação "&amp;AC71&amp;"/"&amp;S71</f>
        <v>variação 2024/2014</v>
      </c>
    </row>
    <row r="72" spans="1:89">
      <c r="A72" s="422"/>
      <c r="B72" s="422" t="str">
        <f>+q8_b!$A$15</f>
        <v>Centro</v>
      </c>
      <c r="C72" s="433">
        <f>+q8_b!$B$15</f>
        <v>73495</v>
      </c>
      <c r="D72" s="433">
        <f>+q8_b!$C$15</f>
        <v>73913</v>
      </c>
      <c r="E72" s="433">
        <f>+q8_b!$D$15</f>
        <v>74574</v>
      </c>
      <c r="F72" s="433">
        <f>+q8_b!$E$15</f>
        <v>74878</v>
      </c>
      <c r="G72" s="433">
        <f>+q8_b!$F$15</f>
        <v>74946</v>
      </c>
      <c r="H72" s="433">
        <f>+q8_b!$G$15</f>
        <v>73187</v>
      </c>
      <c r="I72" s="433">
        <f>+q8_b!$H$15</f>
        <v>73397</v>
      </c>
      <c r="J72" s="433">
        <f>+q8_b!$I$15</f>
        <v>72357</v>
      </c>
      <c r="K72" s="433">
        <f>+q8_b!$J$15</f>
        <v>74984</v>
      </c>
      <c r="L72" s="433">
        <f>+q8_b!$K$15</f>
        <v>76135.999999999985</v>
      </c>
      <c r="M72" s="433">
        <f>+q8_b!$L$15</f>
        <v>75721.999999999956</v>
      </c>
      <c r="R72" s="395" t="s">
        <v>262</v>
      </c>
      <c r="S72" s="582">
        <f>+VLOOKUP($R$70,$B$190:$M$195,COLUMN(C191)-1,0)</f>
        <v>1139.73</v>
      </c>
      <c r="T72" s="582">
        <f t="shared" ref="T72:AC72" si="58">+VLOOKUP($R$70,$B$190:$M$195,COLUMN(D191)-1,0)</f>
        <v>1143.49</v>
      </c>
      <c r="U72" s="582">
        <f t="shared" si="58"/>
        <v>1150.72</v>
      </c>
      <c r="V72" s="582">
        <f t="shared" si="58"/>
        <v>1166.67</v>
      </c>
      <c r="W72" s="582">
        <f t="shared" si="58"/>
        <v>1187.08</v>
      </c>
      <c r="X72" s="582">
        <f t="shared" si="58"/>
        <v>1221.83</v>
      </c>
      <c r="Y72" s="582">
        <f t="shared" si="58"/>
        <v>1257.56</v>
      </c>
      <c r="Z72" s="582">
        <f t="shared" si="58"/>
        <v>1301.0999999999999</v>
      </c>
      <c r="AA72" s="582">
        <f t="shared" si="58"/>
        <v>1376.38</v>
      </c>
      <c r="AB72" s="582">
        <f t="shared" si="58"/>
        <v>1462.95</v>
      </c>
      <c r="AC72" s="582">
        <f t="shared" si="58"/>
        <v>1554.49</v>
      </c>
      <c r="AD72" s="433" t="str">
        <f>TEXT(AC72,"##.###")</f>
        <v>1.554</v>
      </c>
      <c r="AE72" s="397">
        <f>+(AC72/AB72-1)</f>
        <v>6.2572200006835388E-2</v>
      </c>
      <c r="AF72" s="397">
        <f>+(AC72/S72-1)</f>
        <v>0.3639107507918542</v>
      </c>
      <c r="AG72" s="443">
        <f>+AC72-S72</f>
        <v>414.76</v>
      </c>
      <c r="AH72" s="421" t="str">
        <f>IF(AG72&gt;0,", +",", -")</f>
        <v>, +</v>
      </c>
      <c r="AI72" s="421">
        <f>IF(AG72&gt;0,AG72,AG72*-1)</f>
        <v>414.76</v>
      </c>
    </row>
    <row r="73" spans="1:89">
      <c r="A73" s="422"/>
      <c r="B73" s="422" t="str">
        <f>+q8_b!$A$24</f>
        <v>Área Metropolitana de Lisboa</v>
      </c>
      <c r="C73" s="433">
        <f>+q8_b!$B$24</f>
        <v>81706</v>
      </c>
      <c r="D73" s="433">
        <f>+q8_b!$C$24</f>
        <v>82356</v>
      </c>
      <c r="E73" s="433">
        <f>+q8_b!$D$24</f>
        <v>82859</v>
      </c>
      <c r="F73" s="433">
        <f>+q8_b!$E$24</f>
        <v>83567</v>
      </c>
      <c r="G73" s="433">
        <f>+q8_b!$F$24</f>
        <v>84949</v>
      </c>
      <c r="H73" s="433">
        <f>+q8_b!$G$24</f>
        <v>82771</v>
      </c>
      <c r="I73" s="433">
        <f>+q8_b!$H$24</f>
        <v>84202</v>
      </c>
      <c r="J73" s="433">
        <f>+q8_b!$I$24</f>
        <v>81787</v>
      </c>
      <c r="K73" s="433">
        <f>+q8_b!$J$24</f>
        <v>86056</v>
      </c>
      <c r="L73" s="433">
        <f>+q8_b!$K$24</f>
        <v>88188.999999999985</v>
      </c>
      <c r="M73" s="433">
        <f>+q8_b!$L$24</f>
        <v>87949</v>
      </c>
      <c r="R73" s="395" t="s">
        <v>263</v>
      </c>
      <c r="S73" s="582">
        <f>+VLOOKUP($R$70,$B$230:$M$235,COLUMN(C231)-1,0)</f>
        <v>1378.34</v>
      </c>
      <c r="T73" s="582">
        <f t="shared" ref="T73:AC73" si="59">+VLOOKUP($R$70,$B$230:$M$235,COLUMN(D231)-1,0)</f>
        <v>1380.08</v>
      </c>
      <c r="U73" s="582">
        <f t="shared" si="59"/>
        <v>1388.49</v>
      </c>
      <c r="V73" s="582">
        <f t="shared" si="59"/>
        <v>1410.52</v>
      </c>
      <c r="W73" s="582">
        <f t="shared" si="59"/>
        <v>1440.11</v>
      </c>
      <c r="X73" s="582">
        <f t="shared" si="59"/>
        <v>1477.39</v>
      </c>
      <c r="Y73" s="582">
        <f t="shared" si="59"/>
        <v>1516.42</v>
      </c>
      <c r="Z73" s="582">
        <f t="shared" si="59"/>
        <v>1562.69</v>
      </c>
      <c r="AA73" s="582">
        <f t="shared" si="59"/>
        <v>1655.56</v>
      </c>
      <c r="AB73" s="582">
        <f t="shared" si="59"/>
        <v>1765.15</v>
      </c>
      <c r="AC73" s="582">
        <f t="shared" si="59"/>
        <v>1880.94</v>
      </c>
      <c r="AD73" s="433" t="str">
        <f>TEXT(AC73,"##.###")</f>
        <v>1.881</v>
      </c>
      <c r="AE73" s="397">
        <f>+(AC73/AB73-1)</f>
        <v>6.5597824547488859E-2</v>
      </c>
      <c r="AF73" s="397">
        <f>+(AC73/S73-1)</f>
        <v>0.36464152531305793</v>
      </c>
      <c r="AG73" s="443">
        <f>+AC73-S73</f>
        <v>502.60000000000014</v>
      </c>
      <c r="AH73" s="421" t="str">
        <f>IF(AG73&gt;0,", +",", -")</f>
        <v>, +</v>
      </c>
      <c r="AI73" s="421">
        <f>IF(AG73&gt;0,AG73,AG73*-1)</f>
        <v>502.60000000000014</v>
      </c>
    </row>
    <row r="74" spans="1:89">
      <c r="A74" s="422"/>
      <c r="B74" s="422" t="str">
        <f>+q8_b!$A$25</f>
        <v>Alentejo</v>
      </c>
      <c r="C74" s="433">
        <f>+q8_b!$B$25</f>
        <v>24383</v>
      </c>
      <c r="D74" s="433">
        <f>+q8_b!$C$25</f>
        <v>24424</v>
      </c>
      <c r="E74" s="433">
        <f>+q8_b!$D$25</f>
        <v>24530</v>
      </c>
      <c r="F74" s="433">
        <f>+q8_b!$E$25</f>
        <v>24570</v>
      </c>
      <c r="G74" s="433">
        <f>+q8_b!$F$25</f>
        <v>24481</v>
      </c>
      <c r="H74" s="433">
        <f>+q8_b!$G$25</f>
        <v>23836</v>
      </c>
      <c r="I74" s="433">
        <f>+q8_b!$H$25</f>
        <v>23900</v>
      </c>
      <c r="J74" s="433">
        <f>+q8_b!$I$25</f>
        <v>23196</v>
      </c>
      <c r="K74" s="433">
        <f>+q8_b!$J$25</f>
        <v>24481</v>
      </c>
      <c r="L74" s="433">
        <f>+q8_b!$K$25</f>
        <v>25002.999999999996</v>
      </c>
      <c r="M74" s="433">
        <f>+q8_b!$L$25</f>
        <v>24720.000000000004</v>
      </c>
      <c r="AQ74" s="442" t="s">
        <v>537</v>
      </c>
      <c r="BM74" s="442" t="s">
        <v>537</v>
      </c>
      <c r="CG74" s="442" t="s">
        <v>537</v>
      </c>
    </row>
    <row r="75" spans="1:89">
      <c r="A75" s="422"/>
      <c r="B75" s="422" t="str">
        <f>+q8_b!$A$31</f>
        <v>Algarve</v>
      </c>
      <c r="C75" s="433">
        <f>+q8_b!$B$31</f>
        <v>19056</v>
      </c>
      <c r="D75" s="433">
        <f>+q8_b!$C$31</f>
        <v>19415</v>
      </c>
      <c r="E75" s="433">
        <f>+q8_b!$D$31</f>
        <v>19902</v>
      </c>
      <c r="F75" s="433">
        <f>+q8_b!$E$31</f>
        <v>20073</v>
      </c>
      <c r="G75" s="433">
        <f>+q8_b!$F$31</f>
        <v>20768</v>
      </c>
      <c r="H75" s="433">
        <f>+q8_b!$G$31</f>
        <v>20888</v>
      </c>
      <c r="I75" s="433">
        <f>+q8_b!$H$31</f>
        <v>20366</v>
      </c>
      <c r="J75" s="433">
        <f>+q8_b!$I$31</f>
        <v>19836</v>
      </c>
      <c r="K75" s="433">
        <f>+q8_b!$J$31</f>
        <v>20699</v>
      </c>
      <c r="L75" s="433">
        <f>+q8_b!$K$31</f>
        <v>22034</v>
      </c>
      <c r="M75" s="433">
        <f>+q8_b!$L$31</f>
        <v>21958.999999999996</v>
      </c>
      <c r="AF75" s="446">
        <f>+(AC72/S72-1)*100</f>
        <v>36.39107507918542</v>
      </c>
      <c r="AQ75" s="421" t="s">
        <v>540</v>
      </c>
      <c r="BM75" s="421" t="s">
        <v>557</v>
      </c>
      <c r="CG75" s="421" t="s">
        <v>559</v>
      </c>
    </row>
    <row r="76" spans="1:89">
      <c r="A76" s="422"/>
      <c r="B76" s="422" t="s">
        <v>13</v>
      </c>
      <c r="C76" s="433">
        <f>+q8_b!$B$5</f>
        <v>318885.99999999971</v>
      </c>
      <c r="D76" s="433">
        <f>+q8_b!$C$5</f>
        <v>321499.99999999988</v>
      </c>
      <c r="E76" s="433">
        <f>+q8_b!$D$5</f>
        <v>324932.99999999983</v>
      </c>
      <c r="F76" s="433">
        <f>+q8_b!$E$5</f>
        <v>327295.00000000012</v>
      </c>
      <c r="G76" s="433">
        <f>+q8_b!$F$5</f>
        <v>330667.99999999983</v>
      </c>
      <c r="H76" s="433">
        <f>+q8_b!$G$5</f>
        <v>322977.99999999988</v>
      </c>
      <c r="I76" s="433">
        <f>+q8_b!$H$5</f>
        <v>324958.99999999994</v>
      </c>
      <c r="J76" s="433">
        <f>+q8_b!$I$5</f>
        <v>318254</v>
      </c>
      <c r="K76" s="433">
        <f>+q8_b!$J$5</f>
        <v>332683.00000000006</v>
      </c>
      <c r="L76" s="433">
        <f>+q8_b!$K$5</f>
        <v>340363.99999999994</v>
      </c>
      <c r="M76" s="433">
        <f>+q8_b!$L$5</f>
        <v>338025.99999999988</v>
      </c>
      <c r="Z76" s="442" t="s">
        <v>534</v>
      </c>
      <c r="AF76" s="446">
        <f>+(AC73/S73-1)*100</f>
        <v>36.464152531305793</v>
      </c>
      <c r="AQ76" s="421" t="s">
        <v>538</v>
      </c>
      <c r="AR76" s="421">
        <f>+$AR$6</f>
        <v>2024</v>
      </c>
      <c r="BM76" s="421" t="s">
        <v>558</v>
      </c>
      <c r="BN76" s="421">
        <f>+$BM$6</f>
        <v>2024</v>
      </c>
      <c r="CG76" s="421" t="s">
        <v>560</v>
      </c>
      <c r="CH76" s="421">
        <f>+$CG$6</f>
        <v>2024</v>
      </c>
    </row>
    <row r="77" spans="1:89">
      <c r="A77" s="422"/>
      <c r="B77" s="422"/>
      <c r="C77" s="433"/>
      <c r="D77" s="433"/>
      <c r="E77" s="433"/>
      <c r="F77" s="433"/>
      <c r="G77" s="433"/>
      <c r="H77" s="433"/>
      <c r="I77" s="433"/>
      <c r="J77" s="433"/>
      <c r="K77" s="433"/>
      <c r="L77" s="433"/>
      <c r="M77" s="433"/>
      <c r="AQ77" s="421" t="s">
        <v>549</v>
      </c>
      <c r="AR77" s="421" t="str">
        <f>+$R$4</f>
        <v>Área Metropolitana de Lisboa</v>
      </c>
      <c r="AS77" s="421" t="s">
        <v>550</v>
      </c>
      <c r="BM77" s="421" t="s">
        <v>549</v>
      </c>
      <c r="BN77" s="421" t="str">
        <f>+$R$4</f>
        <v>Área Metropolitana de Lisboa</v>
      </c>
      <c r="BO77" s="421" t="s">
        <v>550</v>
      </c>
      <c r="CG77" s="421" t="s">
        <v>549</v>
      </c>
      <c r="CH77" s="421" t="str">
        <f>+$R$4</f>
        <v>Área Metropolitana de Lisboa</v>
      </c>
      <c r="CI77" s="421" t="s">
        <v>550</v>
      </c>
    </row>
    <row r="78" spans="1:89">
      <c r="B78" s="422"/>
      <c r="C78" s="433"/>
      <c r="D78" s="433"/>
      <c r="E78" s="433"/>
      <c r="F78" s="433"/>
      <c r="G78" s="433"/>
      <c r="H78" s="433"/>
      <c r="I78" s="433"/>
      <c r="J78" s="433"/>
      <c r="K78" s="433"/>
      <c r="L78" s="433"/>
      <c r="M78" s="433"/>
      <c r="Z78" s="421">
        <f>+AC71</f>
        <v>2024</v>
      </c>
      <c r="AA78" s="421" t="s">
        <v>398</v>
      </c>
      <c r="AB78" s="421" t="s">
        <v>907</v>
      </c>
      <c r="AQ78" s="421">
        <f>INDEX($AR$38:$AX$42,MATCH($AR$77,$AR$38:$AR$42,0),2)</f>
        <v>74147.999999999971</v>
      </c>
      <c r="AR78" s="421" t="str">
        <f>TEXT(AQ78,"##.###")</f>
        <v>74.148</v>
      </c>
      <c r="AS78" s="421" t="s">
        <v>464</v>
      </c>
      <c r="BM78" s="421">
        <f>INDEX($BM$38:$BS$42,MATCH($BN$77,$BM$38:$BM$42,0),2)</f>
        <v>1174107</v>
      </c>
      <c r="BN78" s="421" t="str">
        <f>TEXT(BM78,"##.###")</f>
        <v>1.174.107</v>
      </c>
      <c r="BO78" s="421" t="s">
        <v>464</v>
      </c>
      <c r="CG78" s="421">
        <f>INDEX($CG$38:$CM$42,MATCH($CH$77,$CG$38:$CG$42,0),2)</f>
        <v>1554.49</v>
      </c>
      <c r="CH78" s="421" t="str">
        <f>TEXT(CG78,"##.###")</f>
        <v>1.554</v>
      </c>
      <c r="CI78" s="421" t="s">
        <v>300</v>
      </c>
    </row>
    <row r="79" spans="1:89" ht="12.75" customHeight="1">
      <c r="B79" s="422"/>
      <c r="C79" s="433"/>
      <c r="D79" s="433"/>
      <c r="E79" s="433"/>
      <c r="F79" s="433"/>
      <c r="G79" s="433"/>
      <c r="H79" s="433"/>
      <c r="I79" s="433"/>
      <c r="J79" s="433"/>
      <c r="K79" s="433"/>
      <c r="L79" s="433"/>
      <c r="M79" s="433"/>
      <c r="Z79" s="421" t="s">
        <v>299</v>
      </c>
      <c r="AA79" s="421" t="str">
        <f>+R70</f>
        <v>Área Metropolitana de Lisboa</v>
      </c>
      <c r="AD79" s="957" t="str">
        <f>CONCATENATE(Z78,AA78,CHAR(10),AB78,AA79,Z80,AA81,Z82,AA83,Z84,AA85," ",AA86,Z87,AB87,AA88,Z89,AA90,Z91,AA92," ",AA93,Z94,AB94)</f>
        <v>2024:
Na região Área Metropolitana de Lisboa a remuneração média mensal base era de 1.554 euros (var. de 36,4% face a 2014, ou seja, + 414,8 euros) e de 1.881 euros a remuneração média mensal ganho (variação de 36,5% face a 2014, ou seja , + 502,6 euros).</v>
      </c>
      <c r="AE79" s="957"/>
      <c r="AF79" s="957"/>
      <c r="AG79" s="957"/>
      <c r="AH79" s="957"/>
      <c r="AQ79" s="421">
        <f>INDEX($AR$38:$AX$42,MATCH($AR$77,$AR$38:$AR$42,0),4)</f>
        <v>25.677804981940199</v>
      </c>
      <c r="AR79" s="421" t="str">
        <f>TEXT(AQ79,"##.###,0")</f>
        <v>25,7</v>
      </c>
      <c r="AT79" s="589"/>
      <c r="AU79" s="589"/>
      <c r="AV79" s="589"/>
      <c r="AW79" s="589"/>
      <c r="AX79" s="589"/>
      <c r="BM79" s="421">
        <f>INDEX($BM$38:$BS$42,MATCH($BN$77,$BM$38:$BM$42,0),4)</f>
        <v>33.120505055776434</v>
      </c>
      <c r="BN79" s="421" t="str">
        <f>TEXT(BM79,"##.###,0")</f>
        <v>33,1</v>
      </c>
      <c r="BP79" s="589"/>
      <c r="BQ79" s="589"/>
      <c r="BR79" s="589"/>
      <c r="BS79" s="589"/>
      <c r="BT79" s="589"/>
      <c r="CG79" s="421">
        <f>INDEX($CG$38:$CM$42,MATCH($CH$77,$CG$38:$CG$42,0),4)</f>
        <v>18.757639652854174</v>
      </c>
      <c r="CH79" s="421" t="str">
        <f>TEXT(CG79,"##.###,0")</f>
        <v>18,8</v>
      </c>
      <c r="CJ79" s="589"/>
      <c r="CK79" s="589"/>
    </row>
    <row r="80" spans="1:89">
      <c r="C80" s="422">
        <f>+C70</f>
        <v>2014</v>
      </c>
      <c r="D80" s="422">
        <f t="shared" ref="D80:M80" si="60">+D70</f>
        <v>2015</v>
      </c>
      <c r="E80" s="422">
        <f t="shared" si="60"/>
        <v>2016</v>
      </c>
      <c r="F80" s="422">
        <f t="shared" si="60"/>
        <v>2017</v>
      </c>
      <c r="G80" s="422">
        <f t="shared" si="60"/>
        <v>2018</v>
      </c>
      <c r="H80" s="422">
        <f t="shared" si="60"/>
        <v>2019</v>
      </c>
      <c r="I80" s="422">
        <f t="shared" si="60"/>
        <v>2020</v>
      </c>
      <c r="J80" s="422">
        <f t="shared" si="60"/>
        <v>2021</v>
      </c>
      <c r="K80" s="422">
        <f t="shared" si="60"/>
        <v>2022</v>
      </c>
      <c r="L80" s="422">
        <f t="shared" si="60"/>
        <v>2023</v>
      </c>
      <c r="M80" s="422">
        <f t="shared" si="60"/>
        <v>2024</v>
      </c>
      <c r="Z80" s="421" t="s">
        <v>304</v>
      </c>
      <c r="AD80" s="957"/>
      <c r="AE80" s="957"/>
      <c r="AF80" s="957"/>
      <c r="AG80" s="957"/>
      <c r="AH80" s="957"/>
      <c r="AQ80" s="421" t="s">
        <v>554</v>
      </c>
      <c r="AT80" s="589"/>
      <c r="AU80" s="589"/>
      <c r="AV80" s="589"/>
      <c r="AW80" s="589"/>
      <c r="AX80" s="589"/>
      <c r="BM80" s="421" t="s">
        <v>554</v>
      </c>
      <c r="BP80" s="589"/>
      <c r="BQ80" s="589"/>
      <c r="BR80" s="589"/>
      <c r="BS80" s="589"/>
      <c r="BT80" s="589"/>
      <c r="CG80" s="421" t="s">
        <v>561</v>
      </c>
      <c r="CJ80" s="589"/>
      <c r="CK80" s="589"/>
    </row>
    <row r="81" spans="1:97">
      <c r="A81" s="422" t="s">
        <v>525</v>
      </c>
      <c r="B81" s="422" t="str">
        <f>+q8_b!$A$7</f>
        <v>Alto Minho</v>
      </c>
      <c r="C81" s="433">
        <f>+q8_b!$B$7</f>
        <v>8188</v>
      </c>
      <c r="D81" s="433">
        <f>+q8_b!$C$7</f>
        <v>8233</v>
      </c>
      <c r="E81" s="433">
        <f>+q8_b!$D$7</f>
        <v>8364</v>
      </c>
      <c r="F81" s="433">
        <f>+q8_b!$E$7</f>
        <v>8315</v>
      </c>
      <c r="G81" s="433">
        <f>+q8_b!$F$7</f>
        <v>8400</v>
      </c>
      <c r="H81" s="433">
        <f>+q8_b!$G$7</f>
        <v>8045</v>
      </c>
      <c r="I81" s="433">
        <f>+q8_b!$H$7</f>
        <v>8065</v>
      </c>
      <c r="J81" s="433">
        <f>+q8_b!$I$7</f>
        <v>7974</v>
      </c>
      <c r="K81" s="433">
        <f>+q8_b!$J$7</f>
        <v>8261</v>
      </c>
      <c r="L81" s="433">
        <f>+q8_b!$K$7</f>
        <v>8480</v>
      </c>
      <c r="M81" s="433">
        <f>+q8_b!$L$7</f>
        <v>8424</v>
      </c>
      <c r="Z81" s="421" t="s">
        <v>298</v>
      </c>
      <c r="AA81" s="448" t="str">
        <f>+AD72</f>
        <v>1.554</v>
      </c>
      <c r="AD81" s="957"/>
      <c r="AE81" s="957"/>
      <c r="AF81" s="957"/>
      <c r="AG81" s="957"/>
      <c r="AH81" s="957"/>
      <c r="AQ81" s="421">
        <f>INDEX($AR$38:$AX$42,MATCH($AR$77,$AR$38:$AR$42,0),6)</f>
        <v>2</v>
      </c>
      <c r="AT81" s="589"/>
      <c r="AU81" s="589"/>
      <c r="AV81" s="591" t="s">
        <v>555</v>
      </c>
      <c r="AW81" s="589"/>
      <c r="AX81" s="589"/>
      <c r="BM81" s="421">
        <f>INDEX($BM$38:$BS$42,MATCH($BN$77,$BM$38:$BM$42,0),6)</f>
        <v>2</v>
      </c>
      <c r="BP81" s="589"/>
      <c r="BQ81" s="589"/>
      <c r="BR81" s="591" t="s">
        <v>555</v>
      </c>
      <c r="BS81" s="589"/>
      <c r="BT81" s="589"/>
      <c r="CG81" s="421">
        <f>INDEX($CG$38:$CM$42,MATCH($CH$77,$CG$38:$CG$42,0),6)</f>
        <v>1</v>
      </c>
      <c r="CJ81" s="589"/>
      <c r="CK81" s="589"/>
      <c r="CL81" s="591" t="s">
        <v>908</v>
      </c>
      <c r="CM81" s="589"/>
      <c r="CN81" s="589"/>
    </row>
    <row r="82" spans="1:97" ht="42.75" customHeight="1">
      <c r="A82" s="422"/>
      <c r="B82" s="422" t="str">
        <f>+q8_b!$A$8</f>
        <v>Cávado</v>
      </c>
      <c r="C82" s="433">
        <f>+q8_b!$B$8</f>
        <v>14930</v>
      </c>
      <c r="D82" s="433">
        <f>+q8_b!$C$8</f>
        <v>15116</v>
      </c>
      <c r="E82" s="433">
        <f>+q8_b!$D$8</f>
        <v>15401</v>
      </c>
      <c r="F82" s="433">
        <f>+q8_b!$E$8</f>
        <v>15634</v>
      </c>
      <c r="G82" s="433">
        <f>+q8_b!$F$8</f>
        <v>15756</v>
      </c>
      <c r="H82" s="433">
        <f>+q8_b!$G$8</f>
        <v>15412</v>
      </c>
      <c r="I82" s="433">
        <f>+q8_b!$H$8</f>
        <v>15514</v>
      </c>
      <c r="J82" s="433">
        <f>+q8_b!$I$8</f>
        <v>15289</v>
      </c>
      <c r="K82" s="433">
        <f>+q8_b!$J$8</f>
        <v>16345</v>
      </c>
      <c r="L82" s="433">
        <f>+q8_b!$K$8</f>
        <v>16873</v>
      </c>
      <c r="M82" s="433">
        <f>+q8_b!$L$8</f>
        <v>16874</v>
      </c>
      <c r="Z82" s="421" t="s">
        <v>960</v>
      </c>
      <c r="AD82" s="957"/>
      <c r="AE82" s="957"/>
      <c r="AF82" s="957"/>
      <c r="AG82" s="957"/>
      <c r="AH82" s="957"/>
      <c r="AQ82" s="421" t="s">
        <v>959</v>
      </c>
      <c r="AT82" s="589"/>
      <c r="AU82" s="589"/>
      <c r="AV82" s="958" t="str">
        <f>CONCATENATE(AQ75,CHAR(10),AQ77,AR77,AS77,AR78,AS78,AR79,AQ80,AQ81,AQ82,CHAR(10),AQ83,AS83,AQ84,AR84,AR85,AS85,AR86,AS86,AT86,AU86,AQ87,AR87,AQ88,AR88,AR89,AS89,AR90,AS90,AT90,AU90)</f>
        <v>EMPRESAS
NUTS II Área Metropolitana de Lisboa: 74.148 (25,7% do Continente; 2ª região de 5)
Sub-regiões NUTS III: Máx. da NUTS II - Área Metropolitana de Lisboa - 74.148 (100,0% do Área Metropolitana de Lisboa); Min. da NUTS II - Área Metropolitana de Lisboa - 74.148 (100,0% do Área Metropolitana de Lisboa).</v>
      </c>
      <c r="AW82" s="958"/>
      <c r="AX82" s="958"/>
      <c r="AY82" s="958"/>
      <c r="AZ82" s="958"/>
      <c r="BM82" s="421" t="s">
        <v>959</v>
      </c>
      <c r="BP82" s="589"/>
      <c r="BQ82" s="589"/>
      <c r="BR82" s="958" t="str">
        <f>CONCATENATE(BM75,CHAR(10),BM77,BN77,BO77,BN78,BO78,BN79,BM80,BM81,BM82,CHAR(10),BM83,BO83,BM84,BN84,BN85,BO85,BN86,BO86,BP86,BQ86,BM87,BN87,BM88,BN88,BN89,BO89,BN90,BO90,BP90,BQ90)</f>
        <v>PESSOAS AO SERVIÇO
NUTS II Área Metropolitana de Lisboa: 1.174.107 (33,1% do Continente; 2ª região de 5)
Sub-regiões NUTS III: Máx. da NUTS II - Área Metropolitana de Lisboa - 1.174.107 (100,0% do Área Metropolitana de Lisboa); Min. da NUTS II - Área Metropolitana de Lisboa - 1.174.107 (100,0% do Área Metropolitana de Lisboa).</v>
      </c>
      <c r="BS82" s="958"/>
      <c r="BT82" s="958"/>
      <c r="BU82" s="958"/>
      <c r="BV82" s="958"/>
      <c r="CG82" s="421" t="s">
        <v>959</v>
      </c>
      <c r="CJ82" s="589"/>
      <c r="CK82" s="589"/>
      <c r="CL82" s="958" t="str">
        <f>CONCATENATE(CG75,CHAR(10),CG77,CH77,CI77,CH78,CI78,CH79,CG80,CG81,CG82,CHAR(10),CG83,CI83,CG84,CH84,CH85,CI85,CH86,CI86,CJ86,CK86,CG87,CH87,CG88,CH88,CH89,CI89,CH90,CI90,CJ90,CK90)</f>
        <v>REMUNERAÇÃO BASE
NUTS II Área Metropolitana de Lisboa: 1.554 euros (18,8% que no Continente; 1ª região de 5)
NUTS III: Máx. da NUTS II - Área Metropolitana de Lisboa -   euros (+,0% da NUTS II); Min. da NUTS II - Área Metropolitana de Lisboa -   euros (,0% da NUTS II).</v>
      </c>
      <c r="CM82" s="958"/>
      <c r="CN82" s="958"/>
      <c r="CO82" s="958"/>
      <c r="CP82" s="958"/>
    </row>
    <row r="83" spans="1:97">
      <c r="A83" s="422"/>
      <c r="B83" s="422" t="str">
        <f>+q8_b!$A$9</f>
        <v>Ave</v>
      </c>
      <c r="C83" s="433">
        <f>+q8_b!$B$9</f>
        <v>14360</v>
      </c>
      <c r="D83" s="433">
        <f>+q8_b!$C$9</f>
        <v>14483</v>
      </c>
      <c r="E83" s="433">
        <f>+q8_b!$D$9</f>
        <v>14818</v>
      </c>
      <c r="F83" s="433">
        <f>+q8_b!$E$9</f>
        <v>15050</v>
      </c>
      <c r="G83" s="433">
        <f>+q8_b!$F$9</f>
        <v>15078</v>
      </c>
      <c r="H83" s="433">
        <f>+q8_b!$G$9</f>
        <v>14513</v>
      </c>
      <c r="I83" s="433">
        <f>+q8_b!$H$9</f>
        <v>14697</v>
      </c>
      <c r="J83" s="433">
        <f>+q8_b!$I$9</f>
        <v>14380</v>
      </c>
      <c r="K83" s="433">
        <f>+q8_b!$J$9</f>
        <v>15257</v>
      </c>
      <c r="L83" s="433">
        <f>+q8_b!$K$9</f>
        <v>15408.999999999998</v>
      </c>
      <c r="M83" s="433">
        <f>+q8_b!$L$9</f>
        <v>15255</v>
      </c>
      <c r="Z83" s="421" t="s">
        <v>301</v>
      </c>
      <c r="AA83" s="446">
        <f>ROUND(AF75,1)</f>
        <v>36.4</v>
      </c>
      <c r="AD83" s="957"/>
      <c r="AE83" s="957"/>
      <c r="AF83" s="957"/>
      <c r="AG83" s="957"/>
      <c r="AH83" s="957"/>
      <c r="AQ83" s="421" t="s">
        <v>542</v>
      </c>
      <c r="AT83" s="589"/>
      <c r="AU83" s="589"/>
      <c r="AV83" s="958"/>
      <c r="AW83" s="958"/>
      <c r="AX83" s="958"/>
      <c r="AY83" s="958"/>
      <c r="AZ83" s="958"/>
      <c r="BM83" s="421" t="s">
        <v>542</v>
      </c>
      <c r="BP83" s="589"/>
      <c r="BQ83" s="589"/>
      <c r="BR83" s="958"/>
      <c r="BS83" s="958"/>
      <c r="BT83" s="958"/>
      <c r="BU83" s="958"/>
      <c r="BV83" s="958"/>
      <c r="CG83" s="421" t="s">
        <v>924</v>
      </c>
      <c r="CJ83" s="589"/>
      <c r="CK83" s="589"/>
      <c r="CL83" s="958"/>
      <c r="CM83" s="958"/>
      <c r="CN83" s="958"/>
      <c r="CO83" s="958"/>
      <c r="CP83" s="958"/>
    </row>
    <row r="84" spans="1:97">
      <c r="A84" s="422"/>
      <c r="B84" s="422" t="str">
        <f>+q8_b!$A$10</f>
        <v>Área Metropolitana do Porto</v>
      </c>
      <c r="C84" s="433">
        <f>+q8_b!$B$10</f>
        <v>57194</v>
      </c>
      <c r="D84" s="433">
        <f>+q8_b!$C$10</f>
        <v>57692</v>
      </c>
      <c r="E84" s="433">
        <f>+q8_b!$D$10</f>
        <v>58291</v>
      </c>
      <c r="F84" s="433">
        <f>+q8_b!$E$10</f>
        <v>58794</v>
      </c>
      <c r="G84" s="433">
        <f>+q8_b!$F$10</f>
        <v>59602</v>
      </c>
      <c r="H84" s="433">
        <f>+q8_b!$G$10</f>
        <v>58375</v>
      </c>
      <c r="I84" s="433">
        <f>+q8_b!$H$10</f>
        <v>58630</v>
      </c>
      <c r="J84" s="433">
        <f>+q8_b!$I$10</f>
        <v>57051</v>
      </c>
      <c r="K84" s="433">
        <f>+q8_b!$J$10</f>
        <v>59479</v>
      </c>
      <c r="L84" s="433">
        <f>+q8_b!$K$10</f>
        <v>60584.999999999985</v>
      </c>
      <c r="M84" s="433">
        <f>+q8_b!$L$10</f>
        <v>59738.999999999993</v>
      </c>
      <c r="Z84" s="421" t="s">
        <v>895</v>
      </c>
      <c r="AD84" s="957"/>
      <c r="AE84" s="957"/>
      <c r="AF84" s="957"/>
      <c r="AG84" s="957"/>
      <c r="AH84" s="957"/>
      <c r="AQ84" s="421" t="str">
        <f>IF($AR$77="Norte",$AZ$38,IF($AR$77="Centro",$AZ$39,IF($AR$77="Área Metropolitana de Lisboa",$AZ$40,IF($AR$77="Alentejo",$AZ$41,IF($AR$77="Algarve",$AZ$42," ")))))</f>
        <v>Área Metropolitana de Lisboa</v>
      </c>
      <c r="AR84" s="421" t="s">
        <v>552</v>
      </c>
      <c r="AT84" s="589"/>
      <c r="AU84" s="589"/>
      <c r="AV84" s="958"/>
      <c r="AW84" s="958"/>
      <c r="AX84" s="958"/>
      <c r="AY84" s="958"/>
      <c r="AZ84" s="958"/>
      <c r="BM84" s="421" t="str">
        <f>IF($BN$77="Norte",$BU$38,IF($BN$77="Centro",$BU$39,IF($BN$77="Área Metropolitana de Lisboa",$BU$40,IF($BN$77="Alentejo",$BU$41,IF($BN$77="Algarve",$BU$42," ")))))</f>
        <v>Área Metropolitana de Lisboa</v>
      </c>
      <c r="BN84" s="421" t="s">
        <v>552</v>
      </c>
      <c r="BP84" s="589"/>
      <c r="BQ84" s="589"/>
      <c r="BR84" s="958"/>
      <c r="BS84" s="958"/>
      <c r="BT84" s="958"/>
      <c r="BU84" s="958"/>
      <c r="BV84" s="958"/>
      <c r="CG84" s="421" t="str">
        <f>IF($CH$77="Norte",$CQ$38,IF($CH$77="Centro",$CQ$39,IF($CH$77="Área Metropolitana de Lisboa",$CQ$40,IF($CH$77="Alentejo",$CQ$41,IF($CH$77="Algarve",$CQ$42," ")))))</f>
        <v>Área Metropolitana de Lisboa</v>
      </c>
      <c r="CH84" s="421" t="s">
        <v>552</v>
      </c>
      <c r="CJ84" s="589"/>
      <c r="CK84" s="589"/>
      <c r="CL84" s="958"/>
      <c r="CM84" s="958"/>
      <c r="CN84" s="958"/>
      <c r="CO84" s="958"/>
      <c r="CP84" s="958"/>
    </row>
    <row r="85" spans="1:97">
      <c r="A85" s="422"/>
      <c r="B85" s="422" t="str">
        <f>+q8_b!$A$11</f>
        <v>Alto Tâmega</v>
      </c>
      <c r="C85" s="433">
        <f>+q8_b!$B$11</f>
        <v>2505</v>
      </c>
      <c r="D85" s="433">
        <f>+q8_b!$C$11</f>
        <v>2562</v>
      </c>
      <c r="E85" s="433">
        <f>+q8_b!$D$11</f>
        <v>2620</v>
      </c>
      <c r="F85" s="433">
        <f>+q8_b!$E$11</f>
        <v>2636</v>
      </c>
      <c r="G85" s="433">
        <f>+q8_b!$F$11</f>
        <v>2669</v>
      </c>
      <c r="H85" s="433">
        <f>+q8_b!$G$11</f>
        <v>2590</v>
      </c>
      <c r="I85" s="433">
        <f>+q8_b!$H$11</f>
        <v>2642</v>
      </c>
      <c r="J85" s="433">
        <f>+q8_b!$I$11</f>
        <v>2629</v>
      </c>
      <c r="K85" s="433">
        <f>+q8_b!$J$11</f>
        <v>2739</v>
      </c>
      <c r="L85" s="433">
        <f>+q8_b!$K$11</f>
        <v>2746</v>
      </c>
      <c r="M85" s="433">
        <f>+q8_b!$L$11</f>
        <v>2794</v>
      </c>
      <c r="Z85" s="421" t="s">
        <v>302</v>
      </c>
      <c r="AA85" s="421" t="str">
        <f>+AH72</f>
        <v>, +</v>
      </c>
      <c r="AQ85" s="421">
        <f>IF($AR$77="Norte",$AY$38,IF($AR$77="Centro",$AY$39,IF($AR$77="Área Metropolitana de Lisboa",$AY$40,IF($AR$77="Alentejo",$AY$41,IF($AR$77="Algarve",$AY$42," ")))))</f>
        <v>74147.999999999971</v>
      </c>
      <c r="AR85" s="421" t="str">
        <f>TEXT(AQ85,"##.###")</f>
        <v>74.148</v>
      </c>
      <c r="AS85" s="421" t="s">
        <v>464</v>
      </c>
      <c r="AT85" s="589"/>
      <c r="AU85" s="589"/>
      <c r="AV85" s="958"/>
      <c r="AW85" s="958"/>
      <c r="AX85" s="958"/>
      <c r="AY85" s="958"/>
      <c r="AZ85" s="958"/>
      <c r="BM85" s="421">
        <f>IF($BN$77="Norte",$BT$38,IF($BN$77="Centro",$BT$39,IF($BN$77="Área Metropolitana de Lisboa",$BT$40,IF($BN$77="Alentejo",$BT$41,IF($BN$77="Algarve",$BT$42," ")))))</f>
        <v>1174107</v>
      </c>
      <c r="BN85" s="421" t="str">
        <f>TEXT(BM85,"##.###")</f>
        <v>1.174.107</v>
      </c>
      <c r="BO85" s="421" t="s">
        <v>464</v>
      </c>
      <c r="BP85" s="589"/>
      <c r="BQ85" s="589"/>
      <c r="BR85" s="958"/>
      <c r="BS85" s="958"/>
      <c r="BT85" s="958"/>
      <c r="BU85" s="958"/>
      <c r="BV85" s="958"/>
      <c r="CG85" s="421" t="str">
        <f>IF($CH$77="Norte",$CP$38,IF($CH$77="Centro",$CP$39,IF($CH$77="Oeste e Vale do Tejo",$CP$40,IF($CH$77="Grande Lisboa",#REF!,IF($CH$77="Península de Setúbal",#REF!,IF($CH$77="Alentejo",$CP$41,IF($CH$77="Algarve",$CP$42," ")))))))</f>
        <v xml:space="preserve"> </v>
      </c>
      <c r="CH85" s="421" t="str">
        <f>TEXT(CG85,"##.###")</f>
        <v xml:space="preserve"> </v>
      </c>
      <c r="CI85" s="421" t="s">
        <v>300</v>
      </c>
      <c r="CJ85" s="589"/>
      <c r="CK85" s="589"/>
      <c r="CL85" s="958"/>
      <c r="CM85" s="958"/>
      <c r="CN85" s="958"/>
      <c r="CO85" s="958"/>
      <c r="CP85" s="958"/>
    </row>
    <row r="86" spans="1:97">
      <c r="A86" s="422"/>
      <c r="B86" s="422" t="str">
        <f>+q8_b!$A$12</f>
        <v>Tâmega e Sousa</v>
      </c>
      <c r="C86" s="433">
        <f>+q8_b!$B$12</f>
        <v>13219</v>
      </c>
      <c r="D86" s="433">
        <f>+q8_b!$C$12</f>
        <v>13492</v>
      </c>
      <c r="E86" s="433">
        <f>+q8_b!$D$12</f>
        <v>13669</v>
      </c>
      <c r="F86" s="433">
        <f>+q8_b!$E$12</f>
        <v>13820</v>
      </c>
      <c r="G86" s="433">
        <f>+q8_b!$F$12</f>
        <v>14097</v>
      </c>
      <c r="H86" s="433">
        <f>+q8_b!$G$12</f>
        <v>13814</v>
      </c>
      <c r="I86" s="433">
        <f>+q8_b!$H$12</f>
        <v>13874</v>
      </c>
      <c r="J86" s="433">
        <f>+q8_b!$I$12</f>
        <v>14035</v>
      </c>
      <c r="K86" s="433">
        <f>+q8_b!$J$12</f>
        <v>14461</v>
      </c>
      <c r="L86" s="433">
        <f>+q8_b!$K$12</f>
        <v>14776</v>
      </c>
      <c r="M86" s="433">
        <f>+q8_b!$L$12</f>
        <v>14547</v>
      </c>
      <c r="Z86" s="421" t="s">
        <v>303</v>
      </c>
      <c r="AA86" s="443" t="str">
        <f>TEXT(AI72,"##.###,0")</f>
        <v>414,8</v>
      </c>
      <c r="AQ86" s="421">
        <f>IF($AR$77="Norte",$BA$38,IF($AR$77="Centro",$BA$39,IF($AR$77="Área Metropolitana de Lisboa",$BA$40,IF($AR$77="Alentejo",$BA$41,IF($AR$77="Algarve",$BA$42," ")))))</f>
        <v>100</v>
      </c>
      <c r="AR86" s="421" t="str">
        <f>TEXT(AQ86,"##.###,0")</f>
        <v>100,0</v>
      </c>
      <c r="AS86" s="421" t="s">
        <v>553</v>
      </c>
      <c r="AT86" s="421" t="str">
        <f>+AR77</f>
        <v>Área Metropolitana de Lisboa</v>
      </c>
      <c r="AU86" s="421" t="s">
        <v>551</v>
      </c>
      <c r="AV86" s="442" t="s">
        <v>556</v>
      </c>
      <c r="BM86" s="421">
        <f>IF($BN$77="Norte",$BV$38,IF($BN$77="Centro",$BV$39,IF($BN$77="Área Metropolitana de Lisboa",$BV$40,IF($BN$77="Alentejo",$BV$41,IF($BN$77="Algarve",$BV$42," ")))))</f>
        <v>100</v>
      </c>
      <c r="BN86" s="421" t="str">
        <f>TEXT(BM86,"##.###,0")</f>
        <v>100,0</v>
      </c>
      <c r="BO86" s="421" t="s">
        <v>553</v>
      </c>
      <c r="BP86" s="421" t="str">
        <f>+BN77</f>
        <v>Área Metropolitana de Lisboa</v>
      </c>
      <c r="BQ86" s="421" t="s">
        <v>551</v>
      </c>
      <c r="BR86" s="442" t="s">
        <v>556</v>
      </c>
      <c r="CG86" s="421">
        <f>IF($CH$77="Norte",$CR$38,IF($CH$77="Centro",$CR$39,IF($CH$77="Área Metropolitana de Lisboa",$CR$40,IF($CH$77="Alentejo",$CR$41,IF($CH$77="Algarve",$CR$42," ")))))</f>
        <v>0</v>
      </c>
      <c r="CH86" s="421" t="str">
        <f>TEXT(CG86,"+##.###,0")</f>
        <v>+,0</v>
      </c>
      <c r="CI86" s="421" t="s">
        <v>563</v>
      </c>
      <c r="CJ86" s="421" t="s">
        <v>524</v>
      </c>
      <c r="CK86" s="421" t="s">
        <v>551</v>
      </c>
      <c r="CL86" s="442" t="s">
        <v>909</v>
      </c>
    </row>
    <row r="87" spans="1:97">
      <c r="A87" s="422"/>
      <c r="B87" s="422" t="str">
        <f>+q8_b!$A$13</f>
        <v>Douro</v>
      </c>
      <c r="C87" s="433">
        <f>+q8_b!$B$13</f>
        <v>6125</v>
      </c>
      <c r="D87" s="433">
        <f>+q8_b!$C$13</f>
        <v>6090</v>
      </c>
      <c r="E87" s="433">
        <f>+q8_b!$D$13</f>
        <v>6142</v>
      </c>
      <c r="F87" s="433">
        <f>+q8_b!$E$13</f>
        <v>6166</v>
      </c>
      <c r="G87" s="433">
        <f>+q8_b!$F$13</f>
        <v>6137</v>
      </c>
      <c r="H87" s="433">
        <f>+q8_b!$G$13</f>
        <v>6006</v>
      </c>
      <c r="I87" s="433">
        <f>+q8_b!$H$13</f>
        <v>6107</v>
      </c>
      <c r="J87" s="433">
        <f>+q8_b!$I$13</f>
        <v>6046</v>
      </c>
      <c r="K87" s="433">
        <f>+q8_b!$J$13</f>
        <v>6219</v>
      </c>
      <c r="L87" s="433">
        <f>+q8_b!$K$13</f>
        <v>6355.9999999999982</v>
      </c>
      <c r="M87" s="433">
        <f>+q8_b!$L$13</f>
        <v>6331</v>
      </c>
      <c r="Z87" s="421" t="s">
        <v>736</v>
      </c>
      <c r="AB87" s="421" t="s">
        <v>659</v>
      </c>
      <c r="AQ87" s="421" t="s">
        <v>547</v>
      </c>
      <c r="AR87" s="421" t="s">
        <v>552</v>
      </c>
      <c r="BM87" s="421" t="s">
        <v>547</v>
      </c>
      <c r="BN87" s="421" t="s">
        <v>552</v>
      </c>
      <c r="CG87" s="421" t="s">
        <v>547</v>
      </c>
      <c r="CH87" s="421" t="s">
        <v>552</v>
      </c>
    </row>
    <row r="88" spans="1:97" ht="12.75" customHeight="1">
      <c r="A88" s="422"/>
      <c r="B88" s="422" t="str">
        <f>+q8_b!$A$14</f>
        <v>Terras de Trás-os-Montes</v>
      </c>
      <c r="C88" s="433">
        <f>+q8_b!$B$14</f>
        <v>3725</v>
      </c>
      <c r="D88" s="433">
        <f>+q8_b!$C$14</f>
        <v>3724</v>
      </c>
      <c r="E88" s="433">
        <f>+q8_b!$D$14</f>
        <v>3763</v>
      </c>
      <c r="F88" s="433">
        <f>+q8_b!$E$14</f>
        <v>3792</v>
      </c>
      <c r="G88" s="433">
        <f>+q8_b!$F$14</f>
        <v>3785</v>
      </c>
      <c r="H88" s="433">
        <f>+q8_b!$G$14</f>
        <v>3541</v>
      </c>
      <c r="I88" s="433">
        <f>+q8_b!$H$14</f>
        <v>3565</v>
      </c>
      <c r="J88" s="433">
        <f>+q8_b!$I$14</f>
        <v>3674</v>
      </c>
      <c r="K88" s="433">
        <f>+q8_b!$J$14</f>
        <v>3702</v>
      </c>
      <c r="L88" s="433">
        <f>+q8_b!$K$14</f>
        <v>3777.0000000000009</v>
      </c>
      <c r="M88" s="433">
        <f>+q8_b!$L$14</f>
        <v>3712</v>
      </c>
      <c r="Z88" s="421" t="s">
        <v>305</v>
      </c>
      <c r="AA88" s="443" t="str">
        <f>+AD73</f>
        <v>1.881</v>
      </c>
      <c r="AQ88" s="421" t="str">
        <f>IF($AR$77="Norte",$BC$38,IF($AR$77="Centro",$BC$39,IF($AR$77="Área Metropolitana de Lisboa",$BC$40,IF($AR$77="Alentejo",$BC$41,IF($AR$77="Algarve",$BC$42," ")))))</f>
        <v>Área Metropolitana de Lisboa</v>
      </c>
      <c r="AR88" s="421" t="s">
        <v>552</v>
      </c>
      <c r="AV88" s="959" t="str">
        <f>CONCATENATE(AQ75,CHAR(10),AQ77,AR77,AS77,AR78,AS78,AR79,AQ80,AQ81,AQ82,CHAR(10),"Esta NUTS II coincide com a NUTS III.")</f>
        <v>EMPRESAS
NUTS II Área Metropolitana de Lisboa: 74.148 (25,7% do Continente; 2ª região de 5)
Esta NUTS II coincide com a NUTS III.</v>
      </c>
      <c r="AW88" s="959"/>
      <c r="AX88" s="959"/>
      <c r="AY88" s="959"/>
      <c r="BM88" s="421" t="str">
        <f>IF($BN$77="Norte",$BX$38,IF($BN$77="Centro",$BX$39,IF($BN$77="Área Metropolitana de Lisboa",$BX$40,IF($BN$77="Alentejo",$BX$41,IF($BN$77="Algarve",$BX$42," ")))))</f>
        <v>Área Metropolitana de Lisboa</v>
      </c>
      <c r="BN88" s="421" t="s">
        <v>552</v>
      </c>
      <c r="BR88" s="959" t="str">
        <f>CONCATENATE(BM75,CHAR(10),BM77,BN77,BO77,BN78,BO78,BN79,BM80,BM81,BM82,CHAR(10),"Esta NUTS II coincide com a NUTS III.")</f>
        <v>PESSOAS AO SERVIÇO
NUTS II Área Metropolitana de Lisboa: 1.174.107 (33,1% do Continente; 2ª região de 5)
Esta NUTS II coincide com a NUTS III.</v>
      </c>
      <c r="BS88" s="959"/>
      <c r="BT88" s="959"/>
      <c r="BU88" s="959"/>
      <c r="CG88" s="421" t="str">
        <f>IF($CH$77="Norte",$CT$38,IF($CH$77="Centro",$CT$39,IF($CH$77="Área Metropolitana de Lisboa",$CT$40,IF($CH$77="Alentejo",$CT$41,IF($CH$77="Algarve",$CT$42," ")))))</f>
        <v>Área Metropolitana de Lisboa</v>
      </c>
      <c r="CH88" s="421" t="s">
        <v>552</v>
      </c>
      <c r="CL88" s="959" t="str">
        <f>CONCATENATE(CG75,CHAR(10),CG77,CH77,CI77,CH78,CI78,CH79,CG80,CG81,CG82,CHAR(10),"Esta NUTS II coincide com a NUTS III.")</f>
        <v>REMUNERAÇÃO BASE
NUTS II Área Metropolitana de Lisboa: 1.554 euros (18,8% que no Continente; 1ª região de 5)
Esta NUTS II coincide com a NUTS III.</v>
      </c>
      <c r="CM88" s="959"/>
      <c r="CN88" s="959"/>
      <c r="CO88" s="959"/>
    </row>
    <row r="89" spans="1:97">
      <c r="A89" s="422"/>
      <c r="B89" s="422" t="str">
        <f>+q8_b!$A$16</f>
        <v>Oeste</v>
      </c>
      <c r="C89" s="433">
        <f>+q8_b!$B$16</f>
        <v>12157</v>
      </c>
      <c r="D89" s="433">
        <f>+q8_b!$C$16</f>
        <v>12279</v>
      </c>
      <c r="E89" s="433">
        <f>+q8_b!$D$16</f>
        <v>12458</v>
      </c>
      <c r="F89" s="433">
        <f>+q8_b!$E$16</f>
        <v>12690</v>
      </c>
      <c r="G89" s="433">
        <f>+q8_b!$F$16</f>
        <v>12776</v>
      </c>
      <c r="H89" s="433">
        <f>+q8_b!$G$16</f>
        <v>12579</v>
      </c>
      <c r="I89" s="433">
        <f>+q8_b!$H$16</f>
        <v>12676</v>
      </c>
      <c r="J89" s="433">
        <f>+q8_b!$I$16</f>
        <v>12522</v>
      </c>
      <c r="K89" s="433">
        <f>+q8_b!$J$16</f>
        <v>13106</v>
      </c>
      <c r="L89" s="433">
        <f>+q8_b!$K$16</f>
        <v>13372</v>
      </c>
      <c r="M89" s="433">
        <f>+q8_b!$L$16</f>
        <v>13413</v>
      </c>
      <c r="Z89" s="421" t="s">
        <v>737</v>
      </c>
      <c r="AQ89" s="421">
        <f>IF($AR$77="Norte",$BB$38,IF($AR$77="Centro",$BB$39,IF($AR$77="Área Metropolitana de Lisboa",$BB$40,IF($AR$77="Alentejo",$BB$41,IF($AR$77="Algarve",$BB$42," ")))))</f>
        <v>74147.999999999971</v>
      </c>
      <c r="AR89" s="421" t="str">
        <f>TEXT(AQ89,"##.###")</f>
        <v>74.148</v>
      </c>
      <c r="AS89" s="421" t="s">
        <v>464</v>
      </c>
      <c r="AV89" s="959"/>
      <c r="AW89" s="959"/>
      <c r="AX89" s="959"/>
      <c r="AY89" s="959"/>
      <c r="BM89" s="421">
        <f>IF($BN$77="Norte",$BW$38,IF($BN$77="Centro",$BW$39,IF($BN$77="Área Metropolitana de Lisboa",$BW$40,IF($BN$77="Alentejo",$BW$41,IF($BN$77="Algarve",$BW$42," ")))))</f>
        <v>1174107</v>
      </c>
      <c r="BN89" s="421" t="str">
        <f>TEXT(BM89,"##.###")</f>
        <v>1.174.107</v>
      </c>
      <c r="BO89" s="421" t="s">
        <v>464</v>
      </c>
      <c r="BR89" s="959"/>
      <c r="BS89" s="959"/>
      <c r="BT89" s="959"/>
      <c r="BU89" s="959"/>
      <c r="CG89" s="421" t="str">
        <f>IF($CH$77="Norte",$CS$38,IF($CH$77="Centro",$CS$39,IF($CH$77="Área Metropolinata de Lisboa",$CS$40,IF($CH$77="Alentejo",$CS$41,IF($CH$77="Algarve",$CS$42," ")))))</f>
        <v xml:space="preserve"> </v>
      </c>
      <c r="CH89" s="421" t="str">
        <f>TEXT(CG89,"##.###")</f>
        <v xml:space="preserve"> </v>
      </c>
      <c r="CI89" s="421" t="s">
        <v>300</v>
      </c>
      <c r="CL89" s="959"/>
      <c r="CM89" s="959"/>
      <c r="CN89" s="959"/>
      <c r="CO89" s="959"/>
    </row>
    <row r="90" spans="1:97">
      <c r="A90" s="422"/>
      <c r="B90" s="422" t="str">
        <f>+q8_b!$A$17</f>
        <v>Região de Aveiro</v>
      </c>
      <c r="C90" s="433">
        <f>+q8_b!$B$17</f>
        <v>10771</v>
      </c>
      <c r="D90" s="433">
        <f>+q8_b!$C$17</f>
        <v>10850</v>
      </c>
      <c r="E90" s="433">
        <f>+q8_b!$D$17</f>
        <v>11109</v>
      </c>
      <c r="F90" s="433">
        <f>+q8_b!$E$17</f>
        <v>11238</v>
      </c>
      <c r="G90" s="433">
        <f>+q8_b!$F$17</f>
        <v>11392</v>
      </c>
      <c r="H90" s="433">
        <f>+q8_b!$G$17</f>
        <v>11270</v>
      </c>
      <c r="I90" s="433">
        <f>+q8_b!$H$17</f>
        <v>11291</v>
      </c>
      <c r="J90" s="433">
        <f>+q8_b!$I$17</f>
        <v>10980</v>
      </c>
      <c r="K90" s="433">
        <f>+q8_b!$J$17</f>
        <v>11325</v>
      </c>
      <c r="L90" s="433">
        <f>+q8_b!$K$17</f>
        <v>11485</v>
      </c>
      <c r="M90" s="433">
        <f>+q8_b!$L$17</f>
        <v>11509.999999999998</v>
      </c>
      <c r="Z90" s="421" t="s">
        <v>306</v>
      </c>
      <c r="AA90" s="446">
        <f>ROUND(AF76,1)</f>
        <v>36.5</v>
      </c>
      <c r="AQ90" s="421">
        <f>IF($AR$77="Norte",$BD$38,IF($AR$77="Centro",$BD$39,IF($AR$77="Área Metropolitana de Lisboa",$BD$40,IF($AR$77="Alentejo",$BD$41,IF($AR$77="Algarve",$BD$42," ")))))</f>
        <v>100</v>
      </c>
      <c r="AR90" s="421" t="str">
        <f>TEXT(AQ90,"##.###,0")</f>
        <v>100,0</v>
      </c>
      <c r="AS90" s="421" t="s">
        <v>553</v>
      </c>
      <c r="AT90" s="421" t="str">
        <f>+AR77</f>
        <v>Área Metropolitana de Lisboa</v>
      </c>
      <c r="AU90" s="421" t="s">
        <v>397</v>
      </c>
      <c r="AV90" s="959"/>
      <c r="AW90" s="959"/>
      <c r="AX90" s="959"/>
      <c r="AY90" s="959"/>
      <c r="BM90" s="421">
        <f>IF($BN$77="Norte",$BY$38,IF($BN$77="Centro",$BY$39,IF($BN$77="Área Metropolitana de Lisboa",$BY$40,IF($BN$77="Alentejo",$BY$41,IF($BN$77="Algarve",$BY$42," ")))))</f>
        <v>100</v>
      </c>
      <c r="BN90" s="421" t="str">
        <f>TEXT(BM90,"##.###,0")</f>
        <v>100,0</v>
      </c>
      <c r="BO90" s="421" t="s">
        <v>553</v>
      </c>
      <c r="BP90" s="421" t="str">
        <f>+BN77</f>
        <v>Área Metropolitana de Lisboa</v>
      </c>
      <c r="BQ90" s="421" t="s">
        <v>397</v>
      </c>
      <c r="BR90" s="959"/>
      <c r="BS90" s="959"/>
      <c r="BT90" s="959"/>
      <c r="BU90" s="959"/>
      <c r="CG90" s="421">
        <f>IF($CH$77="Norte",$CU$38,IF($CH$77="Centro",$CU$39,IF($CH$77="Área Metropolitana de Lisboa",$CU$40,IF($CH$77="Alentejo",$CU$41,IF($CH$77="Algarve",$CU$42," ")))))</f>
        <v>0</v>
      </c>
      <c r="CH90" s="421" t="str">
        <f>TEXT(CG90,"##.###,0")</f>
        <v>,0</v>
      </c>
      <c r="CI90" s="421" t="s">
        <v>563</v>
      </c>
      <c r="CJ90" s="421" t="s">
        <v>524</v>
      </c>
      <c r="CK90" s="421" t="s">
        <v>397</v>
      </c>
      <c r="CL90" s="959"/>
      <c r="CM90" s="959"/>
      <c r="CN90" s="959"/>
      <c r="CO90" s="959"/>
    </row>
    <row r="91" spans="1:97">
      <c r="A91" s="422"/>
      <c r="B91" s="422" t="str">
        <f>+q8_b!$A$18</f>
        <v>Região de Coimbra</v>
      </c>
      <c r="C91" s="433">
        <f>+q8_b!$B$18</f>
        <v>13210</v>
      </c>
      <c r="D91" s="433">
        <f>+q8_b!$C$18</f>
        <v>13220</v>
      </c>
      <c r="E91" s="433">
        <f>+q8_b!$D$18</f>
        <v>13289</v>
      </c>
      <c r="F91" s="433">
        <f>+q8_b!$E$18</f>
        <v>13260</v>
      </c>
      <c r="G91" s="433">
        <f>+q8_b!$F$18</f>
        <v>13232</v>
      </c>
      <c r="H91" s="433">
        <f>+q8_b!$G$18</f>
        <v>12834</v>
      </c>
      <c r="I91" s="433">
        <f>+q8_b!$H$18</f>
        <v>12976</v>
      </c>
      <c r="J91" s="433">
        <f>+q8_b!$I$18</f>
        <v>12780</v>
      </c>
      <c r="K91" s="433">
        <f>+q8_b!$J$18</f>
        <v>13325</v>
      </c>
      <c r="L91" s="433">
        <f>+q8_b!$K$18</f>
        <v>13431.000000000004</v>
      </c>
      <c r="M91" s="433">
        <f>+q8_b!$L$18</f>
        <v>13262.000000000002</v>
      </c>
      <c r="Z91" s="421" t="s">
        <v>896</v>
      </c>
      <c r="AU91" s="447"/>
      <c r="AV91" s="447"/>
      <c r="AW91" s="447"/>
      <c r="AX91" s="447"/>
      <c r="BQ91" s="447"/>
      <c r="BR91" s="447"/>
      <c r="BS91" s="447"/>
      <c r="BT91" s="447"/>
      <c r="CK91" s="447"/>
      <c r="CL91" s="447"/>
      <c r="CM91" s="447"/>
      <c r="CN91" s="447"/>
    </row>
    <row r="92" spans="1:97" ht="12.75" customHeight="1">
      <c r="A92" s="422"/>
      <c r="B92" s="422" t="str">
        <f>+q8_b!$A$19</f>
        <v>Região de Leiria</v>
      </c>
      <c r="C92" s="433">
        <f>+q8_b!$B$19</f>
        <v>11750</v>
      </c>
      <c r="D92" s="433">
        <f>+q8_b!$C$19</f>
        <v>11795</v>
      </c>
      <c r="E92" s="433">
        <f>+q8_b!$D$19</f>
        <v>11912</v>
      </c>
      <c r="F92" s="433">
        <f>+q8_b!$E$19</f>
        <v>11909</v>
      </c>
      <c r="G92" s="433">
        <f>+q8_b!$F$19</f>
        <v>11844</v>
      </c>
      <c r="H92" s="433">
        <f>+q8_b!$G$19</f>
        <v>11538</v>
      </c>
      <c r="I92" s="433">
        <f>+q8_b!$H$19</f>
        <v>11586</v>
      </c>
      <c r="J92" s="433">
        <f>+q8_b!$I$19</f>
        <v>11446</v>
      </c>
      <c r="K92" s="433">
        <f>+q8_b!$J$19</f>
        <v>11845</v>
      </c>
      <c r="L92" s="433">
        <f>+q8_b!$K$19</f>
        <v>12118.999999999998</v>
      </c>
      <c r="M92" s="433">
        <f>+q8_b!$L$19</f>
        <v>11964</v>
      </c>
      <c r="Z92" s="421" t="s">
        <v>307</v>
      </c>
      <c r="AA92" s="421" t="str">
        <f>+AH73</f>
        <v>, +</v>
      </c>
      <c r="AU92" s="447"/>
      <c r="AV92" s="447"/>
      <c r="AW92" s="421" t="str">
        <f>IF($AR$77="Norte",$AV$82,IF($AR$77="Centro",$AV$82,IF($AR$77="Alentejo",$AV$82,$AV$88)))</f>
        <v>EMPRESAS
NUTS II Área Metropolitana de Lisboa: 74.148 (25,7% do Continente; 2ª região de 5)
Esta NUTS II coincide com a NUTS III.</v>
      </c>
      <c r="AX92" s="447"/>
      <c r="BQ92" s="447"/>
      <c r="BR92" s="447"/>
      <c r="BS92" s="959" t="str">
        <f>IF($BN$77="Norte",$BR$82,IF($BN$77="Centro",$BR$82,IF($BN$77="Alentejo",$BR$82,$BR$88)))</f>
        <v>PESSOAS AO SERVIÇO
NUTS II Área Metropolitana de Lisboa: 1.174.107 (33,1% do Continente; 2ª região de 5)
Esta NUTS II coincide com a NUTS III.</v>
      </c>
      <c r="BT92" s="959"/>
      <c r="BU92" s="959"/>
      <c r="BV92" s="959"/>
      <c r="BW92" s="959"/>
      <c r="BX92" s="959"/>
      <c r="BY92" s="959"/>
      <c r="CK92" s="447"/>
      <c r="CL92" s="447"/>
      <c r="CM92" s="959" t="str">
        <f>IF($CH$77="Norte",$CL$82,IF($CH$77="Centro",$CL$82,IF($CH$77="Alentejo",$CL$82,$CL$88)))</f>
        <v>REMUNERAÇÃO BASE
NUTS II Área Metropolitana de Lisboa: 1.554 euros (18,8% que no Continente; 1ª região de 5)
Esta NUTS II coincide com a NUTS III.</v>
      </c>
      <c r="CN92" s="959"/>
      <c r="CO92" s="959"/>
      <c r="CP92" s="959"/>
      <c r="CQ92" s="959"/>
      <c r="CR92" s="959"/>
      <c r="CS92" s="959"/>
    </row>
    <row r="93" spans="1:97">
      <c r="A93" s="422"/>
      <c r="B93" s="422" t="str">
        <f>+q8_b!$A$20</f>
        <v>Viseu Dão Lafões</v>
      </c>
      <c r="C93" s="433">
        <f>+q8_b!$B$20</f>
        <v>8035</v>
      </c>
      <c r="D93" s="433">
        <f>+q8_b!$C$20</f>
        <v>8168</v>
      </c>
      <c r="E93" s="433">
        <f>+q8_b!$D$20</f>
        <v>8259</v>
      </c>
      <c r="F93" s="433">
        <f>+q8_b!$E$20</f>
        <v>8311</v>
      </c>
      <c r="G93" s="433">
        <f>+q8_b!$F$20</f>
        <v>8351</v>
      </c>
      <c r="H93" s="433">
        <f>+q8_b!$G$20</f>
        <v>8174</v>
      </c>
      <c r="I93" s="433">
        <f>+q8_b!$H$20</f>
        <v>8205</v>
      </c>
      <c r="J93" s="433">
        <f>+q8_b!$I$20</f>
        <v>8152</v>
      </c>
      <c r="K93" s="433">
        <f>+q8_b!$J$20</f>
        <v>8478</v>
      </c>
      <c r="L93" s="433">
        <f>+q8_b!$K$20</f>
        <v>8638</v>
      </c>
      <c r="M93" s="433">
        <f>+q8_b!$L$20</f>
        <v>8583</v>
      </c>
      <c r="Z93" s="421" t="s">
        <v>308</v>
      </c>
      <c r="AA93" s="443" t="str">
        <f>TEXT(AI73,"##.###,0")</f>
        <v>502,6</v>
      </c>
      <c r="AQ93" s="442" t="s">
        <v>537</v>
      </c>
      <c r="AV93" s="447"/>
      <c r="AW93" s="447"/>
      <c r="AX93" s="447"/>
      <c r="AY93" s="447"/>
      <c r="AZ93" s="447"/>
      <c r="BM93" s="442" t="s">
        <v>537</v>
      </c>
      <c r="BR93" s="447"/>
      <c r="BS93" s="959"/>
      <c r="BT93" s="959"/>
      <c r="BU93" s="959"/>
      <c r="BV93" s="959"/>
      <c r="BW93" s="959"/>
      <c r="BX93" s="959"/>
      <c r="BY93" s="959"/>
      <c r="CG93" s="442" t="s">
        <v>537</v>
      </c>
      <c r="CL93" s="447"/>
      <c r="CM93" s="959"/>
      <c r="CN93" s="959"/>
      <c r="CO93" s="959"/>
      <c r="CP93" s="959"/>
      <c r="CQ93" s="959"/>
      <c r="CR93" s="959"/>
      <c r="CS93" s="959"/>
    </row>
    <row r="94" spans="1:97">
      <c r="A94" s="422"/>
      <c r="B94" s="422" t="str">
        <f>+q8_b!$A$21</f>
        <v>Beira Baixa</v>
      </c>
      <c r="C94" s="433">
        <f>+q8_b!$B$21</f>
        <v>2664</v>
      </c>
      <c r="D94" s="433">
        <f>+q8_b!$C$21</f>
        <v>2707</v>
      </c>
      <c r="E94" s="433">
        <f>+q8_b!$D$21</f>
        <v>2665</v>
      </c>
      <c r="F94" s="433">
        <f>+q8_b!$E$21</f>
        <v>2645</v>
      </c>
      <c r="G94" s="433">
        <f>+q8_b!$F$21</f>
        <v>2619</v>
      </c>
      <c r="H94" s="433">
        <f>+q8_b!$G$21</f>
        <v>2574</v>
      </c>
      <c r="I94" s="433">
        <f>+q8_b!$H$21</f>
        <v>2528</v>
      </c>
      <c r="J94" s="433">
        <f>+q8_b!$I$21</f>
        <v>2555</v>
      </c>
      <c r="K94" s="433">
        <f>+q8_b!$J$21</f>
        <v>2618</v>
      </c>
      <c r="L94" s="433">
        <f>+q8_b!$K$21</f>
        <v>2642</v>
      </c>
      <c r="M94" s="433">
        <f>+q8_b!$L$21</f>
        <v>2592</v>
      </c>
      <c r="Z94" s="421" t="s">
        <v>736</v>
      </c>
      <c r="AB94" s="421" t="s">
        <v>397</v>
      </c>
      <c r="AQ94" s="421" t="s">
        <v>548</v>
      </c>
      <c r="AV94" s="447"/>
      <c r="AW94" s="447"/>
      <c r="AX94" s="447"/>
      <c r="AY94" s="447"/>
      <c r="AZ94" s="447"/>
      <c r="BM94" s="421" t="s">
        <v>182</v>
      </c>
      <c r="BR94" s="447"/>
      <c r="BS94" s="959"/>
      <c r="BT94" s="959"/>
      <c r="BU94" s="959"/>
      <c r="BV94" s="959"/>
      <c r="BW94" s="959"/>
      <c r="BX94" s="959"/>
      <c r="BY94" s="959"/>
      <c r="CG94" s="421" t="s">
        <v>562</v>
      </c>
      <c r="CL94" s="447"/>
      <c r="CM94" s="959"/>
      <c r="CN94" s="959"/>
      <c r="CO94" s="959"/>
      <c r="CP94" s="959"/>
      <c r="CQ94" s="959"/>
      <c r="CR94" s="959"/>
      <c r="CS94" s="959"/>
    </row>
    <row r="95" spans="1:97" ht="12.75" customHeight="1">
      <c r="A95" s="422"/>
      <c r="B95" s="422" t="str">
        <f>+q8_b!$A$22</f>
        <v>Médio Tejo</v>
      </c>
      <c r="C95" s="433">
        <f>+q8_b!$B$22</f>
        <v>7859</v>
      </c>
      <c r="D95" s="433">
        <f>+q8_b!$C$22</f>
        <v>7885</v>
      </c>
      <c r="E95" s="433">
        <f>+q8_b!$D$22</f>
        <v>7859</v>
      </c>
      <c r="F95" s="433">
        <f>+q8_b!$E$22</f>
        <v>7792</v>
      </c>
      <c r="G95" s="433">
        <f>+q8_b!$F$22</f>
        <v>7769</v>
      </c>
      <c r="H95" s="433">
        <f>+q8_b!$G$22</f>
        <v>7576</v>
      </c>
      <c r="I95" s="433">
        <f>+q8_b!$H$22</f>
        <v>7522</v>
      </c>
      <c r="J95" s="433">
        <f>+q8_b!$I$22</f>
        <v>7469</v>
      </c>
      <c r="K95" s="433">
        <f>+q8_b!$J$22</f>
        <v>7654</v>
      </c>
      <c r="L95" s="433">
        <f>+q8_b!$K$22</f>
        <v>7772</v>
      </c>
      <c r="M95" s="433">
        <f>+q8_b!$L$22</f>
        <v>7741.9999999999982</v>
      </c>
      <c r="AQ95" s="421" t="s">
        <v>538</v>
      </c>
      <c r="AR95" s="421">
        <f>+$AR$6</f>
        <v>2024</v>
      </c>
      <c r="AV95" s="447"/>
      <c r="AW95" s="447"/>
      <c r="AX95" s="447"/>
      <c r="AY95" s="447"/>
      <c r="AZ95" s="447"/>
      <c r="BM95" s="421" t="s">
        <v>558</v>
      </c>
      <c r="BN95" s="421">
        <f>+$BM$6</f>
        <v>2024</v>
      </c>
      <c r="BR95" s="447"/>
      <c r="BS95" s="959"/>
      <c r="BT95" s="959"/>
      <c r="BU95" s="959"/>
      <c r="BV95" s="959"/>
      <c r="BW95" s="959"/>
      <c r="BX95" s="959"/>
      <c r="BY95" s="959"/>
      <c r="CG95" s="421" t="s">
        <v>560</v>
      </c>
      <c r="CH95" s="421">
        <f>+$CG$6</f>
        <v>2024</v>
      </c>
      <c r="CL95" s="447"/>
      <c r="CM95" s="959"/>
      <c r="CN95" s="959"/>
      <c r="CO95" s="959"/>
      <c r="CP95" s="959"/>
      <c r="CQ95" s="959"/>
      <c r="CR95" s="959"/>
      <c r="CS95" s="959"/>
    </row>
    <row r="96" spans="1:97">
      <c r="A96" s="422"/>
      <c r="B96" s="422" t="str">
        <f>+q8_b!$A$23</f>
        <v>Beiras e Serra da Estrela</v>
      </c>
      <c r="C96" s="433">
        <f>+q8_b!$B$23</f>
        <v>7049</v>
      </c>
      <c r="D96" s="433">
        <f>+q8_b!$C$23</f>
        <v>7009</v>
      </c>
      <c r="E96" s="433">
        <f>+q8_b!$D$23</f>
        <v>7023</v>
      </c>
      <c r="F96" s="433">
        <f>+q8_b!$E$23</f>
        <v>7033</v>
      </c>
      <c r="G96" s="433">
        <f>+q8_b!$F$23</f>
        <v>6963</v>
      </c>
      <c r="H96" s="433">
        <f>+q8_b!$G$23</f>
        <v>6642</v>
      </c>
      <c r="I96" s="433">
        <f>+q8_b!$H$23</f>
        <v>6613</v>
      </c>
      <c r="J96" s="433">
        <f>+q8_b!$I$23</f>
        <v>6453</v>
      </c>
      <c r="K96" s="433">
        <f>+q8_b!$J$23</f>
        <v>6633</v>
      </c>
      <c r="L96" s="433">
        <f>+q8_b!$K$23</f>
        <v>6677</v>
      </c>
      <c r="M96" s="433">
        <f>+q8_b!$L$23</f>
        <v>6656</v>
      </c>
      <c r="AQ96" s="421" t="s">
        <v>549</v>
      </c>
      <c r="AR96" s="421" t="str">
        <f>+$R$4</f>
        <v>Área Metropolitana de Lisboa</v>
      </c>
      <c r="AS96" s="421" t="s">
        <v>550</v>
      </c>
      <c r="AV96" s="447"/>
      <c r="AW96" s="447"/>
      <c r="AX96" s="447"/>
      <c r="AY96" s="447"/>
      <c r="AZ96" s="447"/>
      <c r="BM96" s="421" t="s">
        <v>549</v>
      </c>
      <c r="BN96" s="421" t="str">
        <f>+$R$4</f>
        <v>Área Metropolitana de Lisboa</v>
      </c>
      <c r="BO96" s="421" t="s">
        <v>550</v>
      </c>
      <c r="BR96" s="447"/>
      <c r="BS96" s="447"/>
      <c r="BT96" s="447"/>
      <c r="BU96" s="447"/>
      <c r="BV96" s="447"/>
      <c r="CG96" s="421" t="s">
        <v>549</v>
      </c>
      <c r="CH96" s="421" t="str">
        <f>+$R$4</f>
        <v>Área Metropolitana de Lisboa</v>
      </c>
      <c r="CI96" s="421" t="s">
        <v>550</v>
      </c>
      <c r="CL96" s="447"/>
      <c r="CM96" s="959"/>
      <c r="CN96" s="959"/>
      <c r="CO96" s="959"/>
      <c r="CP96" s="959"/>
      <c r="CQ96" s="959"/>
      <c r="CR96" s="959"/>
      <c r="CS96" s="959"/>
    </row>
    <row r="97" spans="1:97">
      <c r="A97" s="422"/>
      <c r="B97" s="422" t="str">
        <f>+q8_b!$A$24</f>
        <v>Área Metropolitana de Lisboa</v>
      </c>
      <c r="C97" s="433">
        <f>+q8_b!$B$24</f>
        <v>81706</v>
      </c>
      <c r="D97" s="433">
        <f>+q8_b!$C$24</f>
        <v>82356</v>
      </c>
      <c r="E97" s="433">
        <f>+q8_b!$D$24</f>
        <v>82859</v>
      </c>
      <c r="F97" s="433">
        <f>+q8_b!$E$24</f>
        <v>83567</v>
      </c>
      <c r="G97" s="433">
        <f>+q8_b!$F$24</f>
        <v>84949</v>
      </c>
      <c r="H97" s="433">
        <f>+q8_b!$G$24</f>
        <v>82771</v>
      </c>
      <c r="I97" s="433">
        <f>+q8_b!$H$24</f>
        <v>84202</v>
      </c>
      <c r="J97" s="433">
        <f>+q8_b!$I$24</f>
        <v>81787</v>
      </c>
      <c r="K97" s="433">
        <f>+q8_b!$J$24</f>
        <v>86056</v>
      </c>
      <c r="L97" s="433">
        <f>+q8_b!$K$24</f>
        <v>88188.999999999985</v>
      </c>
      <c r="M97" s="433">
        <f>+q8_b!$L$24</f>
        <v>87949</v>
      </c>
      <c r="AQ97" s="421">
        <f>INDEX($AR$38:$AX$42,MATCH($AR$77,$AR$38:$AR$42,0),3)</f>
        <v>87949</v>
      </c>
      <c r="AR97" s="421" t="str">
        <f>TEXT(AQ97,"##.###")</f>
        <v>87.949</v>
      </c>
      <c r="AS97" s="421" t="s">
        <v>464</v>
      </c>
      <c r="AV97" s="447"/>
      <c r="AW97" s="447"/>
      <c r="AX97" s="447"/>
      <c r="AY97" s="447"/>
      <c r="AZ97" s="447"/>
      <c r="BM97" s="421">
        <f>INDEX($BM$38:$BS$42,MATCH($BN$77,$BM$38:$BM$42,0),3)</f>
        <v>1124021</v>
      </c>
      <c r="BN97" s="421" t="str">
        <f>TEXT(BM97,"##.###")</f>
        <v>1.124.021</v>
      </c>
      <c r="BO97" s="421" t="s">
        <v>464</v>
      </c>
      <c r="BR97" s="447"/>
      <c r="BS97" s="447"/>
      <c r="BT97" s="447"/>
      <c r="BU97" s="447"/>
      <c r="BV97" s="447"/>
      <c r="CG97" s="421">
        <f>INDEX($CG$38:$CM$42,MATCH($CH$77,$CG$38:$CG$42,0),3)</f>
        <v>1880.94</v>
      </c>
      <c r="CH97" s="421" t="str">
        <f>TEXT(CG97,"##.###")</f>
        <v>1.881</v>
      </c>
      <c r="CI97" s="421" t="s">
        <v>300</v>
      </c>
      <c r="CL97" s="447"/>
      <c r="CM97" s="447"/>
      <c r="CN97" s="447"/>
      <c r="CO97" s="447"/>
      <c r="CP97" s="447"/>
    </row>
    <row r="98" spans="1:97">
      <c r="A98" s="422"/>
      <c r="B98" s="422" t="str">
        <f>+q8_b!$A$26</f>
        <v>Alentejo Litoral</v>
      </c>
      <c r="C98" s="433">
        <f>+q8_b!$B$26</f>
        <v>3079</v>
      </c>
      <c r="D98" s="433">
        <f>+q8_b!$C$26</f>
        <v>3085</v>
      </c>
      <c r="E98" s="433">
        <f>+q8_b!$D$26</f>
        <v>3145</v>
      </c>
      <c r="F98" s="433">
        <f>+q8_b!$E$26</f>
        <v>3176</v>
      </c>
      <c r="G98" s="433">
        <f>+q8_b!$F$26</f>
        <v>3187</v>
      </c>
      <c r="H98" s="433">
        <f>+q8_b!$G$26</f>
        <v>3177</v>
      </c>
      <c r="I98" s="433">
        <f>+q8_b!$H$26</f>
        <v>3249</v>
      </c>
      <c r="J98" s="433">
        <f>+q8_b!$I$26</f>
        <v>3219</v>
      </c>
      <c r="K98" s="433">
        <f>+q8_b!$J$26</f>
        <v>3368</v>
      </c>
      <c r="L98" s="433">
        <f>+q8_b!$K$26</f>
        <v>3451</v>
      </c>
      <c r="M98" s="433">
        <f>+q8_b!$L$26</f>
        <v>3421</v>
      </c>
      <c r="AQ98" s="421">
        <f>INDEX($AR$38:$AX$42,MATCH($AR$77,$AR$38:$AR$42,0),5)</f>
        <v>26.018412784815375</v>
      </c>
      <c r="AR98" s="421" t="str">
        <f>TEXT(AQ98,"##.###,0")</f>
        <v>26,0</v>
      </c>
      <c r="AT98" s="589"/>
      <c r="AU98" s="589"/>
      <c r="AV98" s="447"/>
      <c r="AW98" s="447"/>
      <c r="AX98" s="447"/>
      <c r="AY98" s="447"/>
      <c r="AZ98" s="447"/>
      <c r="BM98" s="421">
        <f>INDEX($BM$38:$BS$42,MATCH($BN$77,$BM$38:$BM$42,0),5)</f>
        <v>33.51149148394699</v>
      </c>
      <c r="BN98" s="421" t="str">
        <f>TEXT(BM98,"##.###,0")</f>
        <v>33,5</v>
      </c>
      <c r="BP98" s="589"/>
      <c r="BQ98" s="589"/>
      <c r="BR98" s="447"/>
      <c r="BS98" s="447"/>
      <c r="BT98" s="447"/>
      <c r="BU98" s="447"/>
      <c r="BV98" s="447"/>
      <c r="CG98" s="421">
        <f>INDEX($CG$38:$CM$42,MATCH($CH$77,$CG$38:$CG$42,0),5)</f>
        <v>18.839993681882806</v>
      </c>
      <c r="CH98" s="421" t="str">
        <f>TEXT(CG98,"##.###,0")</f>
        <v>18,8</v>
      </c>
      <c r="CJ98" s="589"/>
      <c r="CK98" s="589"/>
      <c r="CL98" s="447"/>
      <c r="CM98" s="447"/>
      <c r="CN98" s="447"/>
      <c r="CO98" s="447"/>
      <c r="CP98" s="447"/>
    </row>
    <row r="99" spans="1:97">
      <c r="A99" s="422"/>
      <c r="B99" s="422" t="str">
        <f>+q8_b!$A$27</f>
        <v>Baixo Alentejo</v>
      </c>
      <c r="C99" s="433">
        <f>+q8_b!$B$27</f>
        <v>4090</v>
      </c>
      <c r="D99" s="433">
        <f>+q8_b!$C$27</f>
        <v>4123</v>
      </c>
      <c r="E99" s="433">
        <f>+q8_b!$D$27</f>
        <v>4152</v>
      </c>
      <c r="F99" s="433">
        <f>+q8_b!$E$27</f>
        <v>4217</v>
      </c>
      <c r="G99" s="433">
        <f>+q8_b!$F$27</f>
        <v>4208</v>
      </c>
      <c r="H99" s="433">
        <f>+q8_b!$G$27</f>
        <v>4100</v>
      </c>
      <c r="I99" s="433">
        <f>+q8_b!$H$27</f>
        <v>4108</v>
      </c>
      <c r="J99" s="433">
        <f>+q8_b!$I$27</f>
        <v>4065</v>
      </c>
      <c r="K99" s="433">
        <f>+q8_b!$J$27</f>
        <v>4263</v>
      </c>
      <c r="L99" s="433">
        <f>+q8_b!$K$27</f>
        <v>4493</v>
      </c>
      <c r="M99" s="433">
        <f>+q8_b!$L$27</f>
        <v>4522</v>
      </c>
      <c r="AQ99" s="421" t="s">
        <v>554</v>
      </c>
      <c r="AT99" s="589"/>
      <c r="AU99" s="589"/>
      <c r="AV99" s="591" t="s">
        <v>908</v>
      </c>
      <c r="BM99" s="421" t="s">
        <v>554</v>
      </c>
      <c r="BP99" s="589"/>
      <c r="BQ99" s="589"/>
      <c r="BR99" s="591" t="s">
        <v>908</v>
      </c>
      <c r="CG99" s="421" t="s">
        <v>561</v>
      </c>
      <c r="CJ99" s="589"/>
      <c r="CK99" s="589"/>
      <c r="CL99" s="591" t="s">
        <v>908</v>
      </c>
    </row>
    <row r="100" spans="1:97" ht="12.75" customHeight="1">
      <c r="A100" s="422"/>
      <c r="B100" s="422" t="str">
        <f>+q8_b!$A$28</f>
        <v>Lezíria do Tejo</v>
      </c>
      <c r="C100" s="433">
        <f>+q8_b!$B$28</f>
        <v>7565</v>
      </c>
      <c r="D100" s="433">
        <f>+q8_b!$C$28</f>
        <v>7580</v>
      </c>
      <c r="E100" s="433">
        <f>+q8_b!$D$28</f>
        <v>7623</v>
      </c>
      <c r="F100" s="433">
        <f>+q8_b!$E$28</f>
        <v>7631</v>
      </c>
      <c r="G100" s="433">
        <f>+q8_b!$F$28</f>
        <v>7613</v>
      </c>
      <c r="H100" s="433">
        <f>+q8_b!$G$28</f>
        <v>7382</v>
      </c>
      <c r="I100" s="433">
        <f>+q8_b!$H$28</f>
        <v>7339</v>
      </c>
      <c r="J100" s="433">
        <f>+q8_b!$I$28</f>
        <v>7112</v>
      </c>
      <c r="K100" s="433">
        <f>+q8_b!$J$28</f>
        <v>7366</v>
      </c>
      <c r="L100" s="433">
        <f>+q8_b!$K$28</f>
        <v>7492.0000000000018</v>
      </c>
      <c r="M100" s="433">
        <f>+q8_b!$L$28</f>
        <v>7367.9999999999991</v>
      </c>
      <c r="AQ100" s="421">
        <f>INDEX($AR$38:$AX$42,MATCH($AR$77,$AR$38:$AR$42,0),7)</f>
        <v>2</v>
      </c>
      <c r="AT100" s="589"/>
      <c r="AU100" s="589"/>
      <c r="AV100" s="958" t="str">
        <f>CONCATENATE(AQ94,CHAR(10),AQ96,AR96,AS96,AR97,AS97,AR98,AQ99,AQ100,AQ101,CHAR(10),AS101,AQ102,AS102,AQ103,AR103,AS103,AR104,AS104,AT104,AU104,AR105,AS105,AT105,AU105,AQ106,AR106,AQ107,AR107,AR108,AS108,AR109,AS109,AT109,AU109)</f>
        <v>ESTABELECIMENTOS
NUTS II Área Metropolitana de Lisboa: 87.949 (26,0% do Continente; 2ª região de 5)
Sub-regiões NUTS III: Máx. da NUTS II - Área Metropolitana de Lisboa - 87.949 (100,0% do Área Metropolitana de Lisboa); Min. da NUTS II - Área Metropolitana de Lisboa - 87.949 (100,0% do Área Metropolitana de Lisboa).</v>
      </c>
      <c r="AW100" s="958"/>
      <c r="AX100" s="958"/>
      <c r="AY100" s="958"/>
      <c r="AZ100" s="958"/>
      <c r="BM100" s="421">
        <f>INDEX($BM$38:$BS$42,MATCH($BN$77,$BM$38:$BM$42,0),7)</f>
        <v>2</v>
      </c>
      <c r="BP100" s="589"/>
      <c r="BQ100" s="589"/>
      <c r="BR100" s="958" t="str">
        <f>CONCATENATE(BM94,CHAR(10),BM96,BN96,BO96,BN97,BO97,BN98,BM99,BM100,BM101,CHAR(10),BO101,BM102,BO102,BM103,BN103,BO103,BN104,BO104,BP104,BQ104,BN105,BO105,BP105,BQ105,BM106,BN106,BM107,BN107,BN108,BO108,BN109,BO109,BP109,BQ109)</f>
        <v>TCO
NUTS II Área Metropolitana de Lisboa: 1.124.021 (33,5% do Continente; 2ª região de 5)
Sub-regiões NUTS III: Máx. da NUTS II - Área Metropolitana de Lisboa - 1.124.021 (100,0% do Área Metropolitana de Lisboa); Min. da NUTS II - Área Metropolitana de Lisboa - 1.124.021 (100,0% do Área Metropolitana de Lisboa).</v>
      </c>
      <c r="BS100" s="958"/>
      <c r="BT100" s="958"/>
      <c r="BU100" s="958"/>
      <c r="BV100" s="958"/>
      <c r="BW100" s="958"/>
      <c r="BX100" s="958"/>
      <c r="CG100" s="421">
        <f>INDEX($CG$38:$CM$42,MATCH($CH$77,$CG$38:$CG$42,0),7)</f>
        <v>1</v>
      </c>
      <c r="CJ100" s="589"/>
      <c r="CK100" s="589"/>
      <c r="CL100" s="958" t="str">
        <f>CONCATENATE(CG94,CHAR(10),CG96,CH96,CI96,CH97,CI97,CH98,CG99,CG100,CG101,CHAR(10),CI101,CG102,CI102,CG103,CH103,CI103,CH104,CI104,CJ104,CK104,CH105,CI105,CJ105,CK105,CG106,CH106,CG107,CH107,CH108,CI108,CH109,CI109,CJ109,CK109)</f>
        <v>REMUNERAÇÃO GANHO
NUTS II Área Metropolitana de Lisboa: 1.881 euros (18,8% que no Continente; 1ª região de 5)
NUTS III: Máx. da NUTS II - Área Metropolitana de Lisboa - 1.881 euros (+0,0% da NUTS II); Min. da NUTS II - Área Metropolitana de Lisboa - 1.881 euros (,0% da NUTS II).</v>
      </c>
      <c r="CM100" s="958"/>
      <c r="CN100" s="958"/>
      <c r="CO100" s="958"/>
      <c r="CP100" s="958"/>
      <c r="CQ100" s="958"/>
      <c r="CR100" s="958"/>
      <c r="CS100" s="958"/>
    </row>
    <row r="101" spans="1:97">
      <c r="A101" s="422"/>
      <c r="B101" s="422" t="str">
        <f>+q8_b!$A$29</f>
        <v>Alto Alentejo</v>
      </c>
      <c r="C101" s="433">
        <f>+q8_b!$B$29</f>
        <v>3518</v>
      </c>
      <c r="D101" s="433">
        <f>+q8_b!$C$29</f>
        <v>3504</v>
      </c>
      <c r="E101" s="433">
        <f>+q8_b!$D$29</f>
        <v>3523</v>
      </c>
      <c r="F101" s="433">
        <f>+q8_b!$E$29</f>
        <v>3473</v>
      </c>
      <c r="G101" s="433">
        <f>+q8_b!$F$29</f>
        <v>3444</v>
      </c>
      <c r="H101" s="433">
        <f>+q8_b!$G$29</f>
        <v>3298</v>
      </c>
      <c r="I101" s="433">
        <f>+q8_b!$H$29</f>
        <v>3302</v>
      </c>
      <c r="J101" s="433">
        <f>+q8_b!$I$29</f>
        <v>3192</v>
      </c>
      <c r="K101" s="433">
        <f>+q8_b!$J$29</f>
        <v>3433</v>
      </c>
      <c r="L101" s="433">
        <f>+q8_b!$K$29</f>
        <v>3430.0000000000005</v>
      </c>
      <c r="M101" s="433">
        <f>+q8_b!$L$29</f>
        <v>3351.0000000000005</v>
      </c>
      <c r="AQ101" s="421" t="s">
        <v>959</v>
      </c>
      <c r="AT101" s="589"/>
      <c r="AU101" s="589"/>
      <c r="AV101" s="958"/>
      <c r="AW101" s="958"/>
      <c r="AX101" s="958"/>
      <c r="AY101" s="958"/>
      <c r="AZ101" s="958"/>
      <c r="BM101" s="421" t="s">
        <v>959</v>
      </c>
      <c r="BP101" s="589"/>
      <c r="BQ101" s="589"/>
      <c r="BR101" s="958"/>
      <c r="BS101" s="958"/>
      <c r="BT101" s="958"/>
      <c r="BU101" s="958"/>
      <c r="BV101" s="958"/>
      <c r="BW101" s="958"/>
      <c r="BX101" s="958"/>
      <c r="CG101" s="421" t="s">
        <v>959</v>
      </c>
      <c r="CJ101" s="589"/>
      <c r="CK101" s="589"/>
      <c r="CL101" s="958"/>
      <c r="CM101" s="958"/>
      <c r="CN101" s="958"/>
      <c r="CO101" s="958"/>
      <c r="CP101" s="958"/>
      <c r="CQ101" s="958"/>
      <c r="CR101" s="958"/>
      <c r="CS101" s="958"/>
    </row>
    <row r="102" spans="1:97">
      <c r="A102" s="422"/>
      <c r="B102" s="422" t="str">
        <f>+q8_b!$A$30</f>
        <v>Alentejo Central</v>
      </c>
      <c r="C102" s="433">
        <f>+q8_b!$B$30</f>
        <v>6131</v>
      </c>
      <c r="D102" s="433">
        <f>+q8_b!$C$30</f>
        <v>6132</v>
      </c>
      <c r="E102" s="433">
        <f>+q8_b!$D$30</f>
        <v>6087</v>
      </c>
      <c r="F102" s="433">
        <f>+q8_b!$E$30</f>
        <v>6073</v>
      </c>
      <c r="G102" s="433">
        <f>+q8_b!$F$30</f>
        <v>6029</v>
      </c>
      <c r="H102" s="433">
        <f>+q8_b!$G$30</f>
        <v>5879</v>
      </c>
      <c r="I102" s="433">
        <f>+q8_b!$H$30</f>
        <v>5902</v>
      </c>
      <c r="J102" s="433">
        <f>+q8_b!$I$30</f>
        <v>5608</v>
      </c>
      <c r="K102" s="433">
        <f>+q8_b!$J$30</f>
        <v>6051</v>
      </c>
      <c r="L102" s="433">
        <f>+q8_b!$K$30</f>
        <v>6137</v>
      </c>
      <c r="M102" s="433">
        <f>+q8_b!$L$30</f>
        <v>6058</v>
      </c>
      <c r="AQ102" s="421" t="s">
        <v>542</v>
      </c>
      <c r="AT102" s="589"/>
      <c r="AU102" s="589"/>
      <c r="AV102" s="958"/>
      <c r="AW102" s="958"/>
      <c r="AX102" s="958"/>
      <c r="AY102" s="958"/>
      <c r="AZ102" s="958"/>
      <c r="BM102" s="421" t="s">
        <v>542</v>
      </c>
      <c r="BP102" s="589"/>
      <c r="BQ102" s="589"/>
      <c r="BR102" s="958"/>
      <c r="BS102" s="958"/>
      <c r="BT102" s="958"/>
      <c r="BU102" s="958"/>
      <c r="BV102" s="958"/>
      <c r="BW102" s="958"/>
      <c r="BX102" s="958"/>
      <c r="CG102" s="421" t="s">
        <v>924</v>
      </c>
      <c r="CJ102" s="589"/>
      <c r="CK102" s="589"/>
      <c r="CL102" s="958"/>
      <c r="CM102" s="958"/>
      <c r="CN102" s="958"/>
      <c r="CO102" s="958"/>
      <c r="CP102" s="958"/>
      <c r="CQ102" s="958"/>
      <c r="CR102" s="958"/>
      <c r="CS102" s="958"/>
    </row>
    <row r="103" spans="1:97">
      <c r="A103" s="422"/>
      <c r="B103" s="422" t="str">
        <f>+q8_b!$A$31</f>
        <v>Algarve</v>
      </c>
      <c r="C103" s="433">
        <f>+q8_b!$B$31</f>
        <v>19056</v>
      </c>
      <c r="D103" s="433">
        <f>+q8_b!$C$31</f>
        <v>19415</v>
      </c>
      <c r="E103" s="433">
        <f>+q8_b!$D$31</f>
        <v>19902</v>
      </c>
      <c r="F103" s="433">
        <f>+q8_b!$E$31</f>
        <v>20073</v>
      </c>
      <c r="G103" s="433">
        <f>+q8_b!$F$31</f>
        <v>20768</v>
      </c>
      <c r="H103" s="433">
        <f>+q8_b!$G$31</f>
        <v>20888</v>
      </c>
      <c r="I103" s="433">
        <f>+q8_b!$H$31</f>
        <v>20366</v>
      </c>
      <c r="J103" s="433">
        <f>+q8_b!$I$31</f>
        <v>19836</v>
      </c>
      <c r="K103" s="433">
        <f>+q8_b!$J$31</f>
        <v>20699</v>
      </c>
      <c r="L103" s="433">
        <f>+q8_b!$K$31</f>
        <v>22034</v>
      </c>
      <c r="M103" s="433">
        <f>+q8_b!$L$31</f>
        <v>21958.999999999996</v>
      </c>
      <c r="AQ103" s="421" t="str">
        <f>IF($AR$77="Norte",$BF$38,IF($AR$77="Centro",$BF$39,IF($AR$77="Área Metropolitana de Lisboa",$BF$40,IF($AR$77="Alentejo",$BF$41,IF($AR$77="Algarve",$BF$42," ")))))</f>
        <v>Área Metropolitana de Lisboa</v>
      </c>
      <c r="AR103" s="421" t="s">
        <v>552</v>
      </c>
      <c r="AT103" s="589"/>
      <c r="AU103" s="589"/>
      <c r="AV103" s="958"/>
      <c r="AW103" s="958"/>
      <c r="AX103" s="958"/>
      <c r="AY103" s="958"/>
      <c r="AZ103" s="958"/>
      <c r="BM103" s="421" t="str">
        <f>IF($BN$77="Norte",$CA$38,IF($BN$77="Centro",$CA$39,IF($BN$77="Área Metropolitana de Lisboa",$CA$40,IF($BN$77="Alentejo",$CA$41,IF($BN$77="Algarve",$CA$42," ")))))</f>
        <v>Área Metropolitana de Lisboa</v>
      </c>
      <c r="BN103" s="421" t="s">
        <v>552</v>
      </c>
      <c r="BP103" s="589"/>
      <c r="BQ103" s="589"/>
      <c r="BR103" s="958"/>
      <c r="BS103" s="958"/>
      <c r="BT103" s="958"/>
      <c r="BU103" s="958"/>
      <c r="BV103" s="958"/>
      <c r="BW103" s="958"/>
      <c r="BX103" s="958"/>
      <c r="CG103" s="421" t="str">
        <f>IF($CH$77="Norte",$CW$38,IF($CH$77="Centro",$CW$39,IF($CH$77="Área Metropolitana de Lisboa",$CW$40,IF($CH$77="Alentejo",$CW$41,IF($CH$77="Algarve",$CW$42," ")))))</f>
        <v>Área Metropolitana de Lisboa</v>
      </c>
      <c r="CH103" s="421" t="s">
        <v>552</v>
      </c>
      <c r="CJ103" s="589"/>
      <c r="CK103" s="589"/>
      <c r="CL103" s="958"/>
      <c r="CM103" s="958"/>
      <c r="CN103" s="958"/>
      <c r="CO103" s="958"/>
      <c r="CP103" s="958"/>
      <c r="CQ103" s="958"/>
      <c r="CR103" s="958"/>
      <c r="CS103" s="958"/>
    </row>
    <row r="104" spans="1:97">
      <c r="A104" s="422"/>
      <c r="B104" s="422" t="s">
        <v>13</v>
      </c>
      <c r="C104" s="433">
        <f>+q8_b!$B$5</f>
        <v>318885.99999999971</v>
      </c>
      <c r="D104" s="433">
        <f>+q8_b!$C$5</f>
        <v>321499.99999999988</v>
      </c>
      <c r="E104" s="433">
        <f>+q8_b!$D$5</f>
        <v>324932.99999999983</v>
      </c>
      <c r="F104" s="433">
        <f>+q8_b!$E$5</f>
        <v>327295.00000000012</v>
      </c>
      <c r="G104" s="433">
        <f>+q8_b!$F$5</f>
        <v>330667.99999999983</v>
      </c>
      <c r="H104" s="433">
        <f>+q8_b!$G$5</f>
        <v>322977.99999999988</v>
      </c>
      <c r="I104" s="433">
        <f>+q8_b!$H$5</f>
        <v>324958.99999999994</v>
      </c>
      <c r="J104" s="433">
        <f>+q8_b!$I$5</f>
        <v>318254</v>
      </c>
      <c r="K104" s="433">
        <f>+q8_b!$J$5</f>
        <v>332683.00000000006</v>
      </c>
      <c r="L104" s="433">
        <f>+q8_b!$K$5</f>
        <v>340363.99999999994</v>
      </c>
      <c r="M104" s="433">
        <f>+q8_b!$L$5</f>
        <v>338025.99999999988</v>
      </c>
      <c r="AQ104" s="421">
        <f>IF($AR$77="Norte",$BE$38,IF($AR$77="Centro",$BE$39,IF($AR$77="Área Metropolitana de Lisboa",$BE$40,IF($AR$77="Alentejo",$BE$41,IF($AR$77="Algarve",$BE$42," ")))))</f>
        <v>87949</v>
      </c>
      <c r="AR104" s="421" t="str">
        <f>TEXT(AQ104,"##.###")</f>
        <v>87.949</v>
      </c>
      <c r="AS104" s="421" t="s">
        <v>464</v>
      </c>
      <c r="AT104" s="589"/>
      <c r="AU104" s="589"/>
      <c r="BM104" s="421">
        <f>IF($BN$77="Norte",$BZ$38,IF($BN$77="Centro",$BZ$39,IF($BN$77="Área Metropolitana de Lisboa",$BZ$40,IF($BN$77="Alentejo",$BZ$41,IF($BN$77="Algarve",$BZ$42," ")))))</f>
        <v>1124021</v>
      </c>
      <c r="BN104" s="421" t="str">
        <f>TEXT(BM104,"##.###")</f>
        <v>1.124.021</v>
      </c>
      <c r="BO104" s="421" t="s">
        <v>464</v>
      </c>
      <c r="BP104" s="589"/>
      <c r="BQ104" s="589"/>
      <c r="CG104" s="421">
        <f>IF($CH$77="Norte",$CV$38,IF($CH$77="Centro",$CV$39,IF($CH$77="Área Metropolitana de Lisboa",$CV$40,IF($CH$77="Alentejo",$CV$41,IF($CH$77="Algarve",$CV$42," ")))))</f>
        <v>1880.94</v>
      </c>
      <c r="CH104" s="421" t="str">
        <f>TEXT(CG104,"##.###")</f>
        <v>1.881</v>
      </c>
      <c r="CI104" s="421" t="s">
        <v>300</v>
      </c>
      <c r="CJ104" s="589"/>
      <c r="CK104" s="589"/>
    </row>
    <row r="105" spans="1:97">
      <c r="B105" s="422"/>
      <c r="C105" s="433"/>
      <c r="D105" s="433"/>
      <c r="E105" s="433"/>
      <c r="F105" s="433"/>
      <c r="G105" s="433"/>
      <c r="H105" s="433"/>
      <c r="I105" s="433"/>
      <c r="J105" s="433"/>
      <c r="K105" s="433"/>
      <c r="L105" s="433"/>
      <c r="M105" s="433"/>
      <c r="AQ105" s="421">
        <f>IF($AR$77="Norte",$BG$38,IF($AR$77="Centro",$BG$39,IF($AR$77="Área Metropolitana de Lisboa",$BG$40,IF($AR$77="Alentejo",$BG$41,IF($AR$77="Algarve",$BG$42," ")))))</f>
        <v>100</v>
      </c>
      <c r="AR105" s="421" t="str">
        <f>TEXT(AQ105,"##.###,0")</f>
        <v>100,0</v>
      </c>
      <c r="AS105" s="421" t="s">
        <v>553</v>
      </c>
      <c r="AT105" s="421" t="str">
        <f>+AR96</f>
        <v>Área Metropolitana de Lisboa</v>
      </c>
      <c r="AU105" s="421" t="s">
        <v>551</v>
      </c>
      <c r="AV105" s="442" t="s">
        <v>909</v>
      </c>
      <c r="BM105" s="421">
        <f>IF($BN$77="Norte",$BV$38,IF($BN$77="Centro",$BV$39,IF($BN$77="Área Metropolitana de Lisboa",$BV$40,IF($BN$77="Alentejo",$BV$41,IF($BN$77="Algarve",$BV$42," ")))))</f>
        <v>100</v>
      </c>
      <c r="BN105" s="421" t="str">
        <f>TEXT(BM105,"##.###,0")</f>
        <v>100,0</v>
      </c>
      <c r="BO105" s="421" t="s">
        <v>553</v>
      </c>
      <c r="BP105" s="421" t="str">
        <f>+BN96</f>
        <v>Área Metropolitana de Lisboa</v>
      </c>
      <c r="BQ105" s="421" t="s">
        <v>551</v>
      </c>
      <c r="BR105" s="442" t="s">
        <v>909</v>
      </c>
      <c r="CG105" s="421">
        <f>IF($CH$77="Norte",$CX$38,IF($CH$77="Centro",$CX$39,IF($CH$77="Área Metropolitana de Lisboa",$CX$40,IF($CH$77="Alentejo",$CX$41,IF($CH$77="Algarve",$CX$42," ")))))</f>
        <v>0</v>
      </c>
      <c r="CH105" s="421" t="str">
        <f>TEXT(CG105,"+##.##0,0")</f>
        <v>+0,0</v>
      </c>
      <c r="CI105" s="421" t="s">
        <v>563</v>
      </c>
      <c r="CJ105" s="421" t="s">
        <v>524</v>
      </c>
      <c r="CK105" s="421" t="s">
        <v>551</v>
      </c>
      <c r="CL105" s="442" t="s">
        <v>909</v>
      </c>
    </row>
    <row r="106" spans="1:97">
      <c r="AQ106" s="421" t="s">
        <v>547</v>
      </c>
      <c r="AR106" s="421" t="s">
        <v>552</v>
      </c>
      <c r="BM106" s="421" t="s">
        <v>547</v>
      </c>
      <c r="BN106" s="421" t="s">
        <v>552</v>
      </c>
      <c r="CG106" s="421" t="s">
        <v>547</v>
      </c>
      <c r="CH106" s="421" t="s">
        <v>552</v>
      </c>
    </row>
    <row r="107" spans="1:97" ht="12.75" customHeight="1">
      <c r="AQ107" s="421" t="str">
        <f>IF($AR$77="Norte",$BI$38,IF($AR$77="Centro",$BI$39,IF($AR$77="Área Metropolitana de Lisboa",$BI$40,IF($AR$77="Alentejo",$BI$41,IF($AR$77="Algarve",$BI$42," ")))))</f>
        <v>Área Metropolitana de Lisboa</v>
      </c>
      <c r="AR107" s="421" t="s">
        <v>552</v>
      </c>
      <c r="AV107" s="957" t="str">
        <f>CONCATENATE(AQ94,CHAR(10),AQ96,AR96,AS96,AR97,AS97,AR98,AQ99,AQ100,AQ101,CHAR(10),"Esta NUTS II coincide com a NUTS III.")</f>
        <v>ESTABELECIMENTOS
NUTS II Área Metropolitana de Lisboa: 87.949 (26,0% do Continente; 2ª região de 5)
Esta NUTS II coincide com a NUTS III.</v>
      </c>
      <c r="AW107" s="957"/>
      <c r="AX107" s="957"/>
      <c r="AY107" s="957"/>
      <c r="AZ107" s="957"/>
      <c r="BM107" s="421" t="str">
        <f>IF($BN$77="Norte",$CD$38,IF($BN$77="Centro",$CD$39,IF($BN$77="Área Metropolitana de Lisboa",$CD$40,IF($BN$77="Alentejo",$CD$41,IF($BN$77="Algarve",$CD$42," ")))))</f>
        <v>Área Metropolitana de Lisboa</v>
      </c>
      <c r="BN107" s="421" t="s">
        <v>552</v>
      </c>
      <c r="BR107" s="957" t="str">
        <f>CONCATENATE(BM94,CHAR(10),BM96,BN96,BO96,BN97,BO97,BN98,BM99,BM100,BM101,CHAR(10),"Esta NUTS II coincide com a NUTS III.")</f>
        <v>TCO
NUTS II Área Metropolitana de Lisboa: 1.124.021 (33,5% do Continente; 2ª região de 5)
Esta NUTS II coincide com a NUTS III.</v>
      </c>
      <c r="BS107" s="957"/>
      <c r="BT107" s="957"/>
      <c r="BU107" s="957"/>
      <c r="BV107" s="957"/>
      <c r="CG107" s="421" t="str">
        <f>IF($CH$77="Norte",$CZ$38,IF($CH$77="Centro",$CZ$39,IF($CH$77="Área Metropolitana de Lisboa",$CZ$40,IF($CH$77="Alentejo",$CZ$41,IF($CH$77="Algarve",$CZ$42," ")))))</f>
        <v>Área Metropolitana de Lisboa</v>
      </c>
      <c r="CH107" s="421" t="s">
        <v>552</v>
      </c>
      <c r="CL107" s="957" t="str">
        <f>CONCATENATE(CG94,CHAR(10),CG96,CH96,CI96,CH97,CI97,CH98,CG99,CG100,CG101,CHAR(10),"Esta NUTS II coincide com a NUTS III.")</f>
        <v>REMUNERAÇÃO GANHO
NUTS II Área Metropolitana de Lisboa: 1.881 euros (18,8% que no Continente; 1ª região de 5)
Esta NUTS II coincide com a NUTS III.</v>
      </c>
      <c r="CM107" s="957"/>
      <c r="CN107" s="957"/>
      <c r="CO107" s="957"/>
      <c r="CP107" s="957"/>
    </row>
    <row r="108" spans="1:97">
      <c r="AQ108" s="421">
        <f>IF($AR$77="Norte",$BH$38,IF($AR$77="Centro",$BH$39,IF($AR$77="Área Metropolitana de Lisboa",$BH$40,IF($AR$77="Alentejo",$BH$41,IF($AR$77="Algarve",$BH$42," ")))))</f>
        <v>87949</v>
      </c>
      <c r="AR108" s="421" t="str">
        <f>TEXT(AQ108,"##.###")</f>
        <v>87.949</v>
      </c>
      <c r="AS108" s="421" t="s">
        <v>464</v>
      </c>
      <c r="AV108" s="957"/>
      <c r="AW108" s="957"/>
      <c r="AX108" s="957"/>
      <c r="AY108" s="957"/>
      <c r="AZ108" s="957"/>
      <c r="BM108" s="421">
        <f>IF($BN$77="Norte",$CC$38,IF($BN$77="Centro",$CC$39,IF($BN$77="Área Metropolitana de Lisboa",$CC$40,IF($BN$77="Alentejo",$CC$41,IF($BN$77="Algarve",$CC$42," ")))))</f>
        <v>1124021</v>
      </c>
      <c r="BN108" s="421" t="str">
        <f>TEXT(BM108,"##.###")</f>
        <v>1.124.021</v>
      </c>
      <c r="BO108" s="421" t="s">
        <v>464</v>
      </c>
      <c r="BR108" s="957"/>
      <c r="BS108" s="957"/>
      <c r="BT108" s="957"/>
      <c r="BU108" s="957"/>
      <c r="BV108" s="957"/>
      <c r="CG108" s="421">
        <f>IF($CH$77="Norte",$CY$38,IF($CH$77="Centro",$CY$39,IF($CH$77="Área Metropolitana de Lisboa",$CY$40,IF($CH$77="Alentejo",$CY$41,IF($CH$77="Algarve",$CY$42," ")))))</f>
        <v>1880.94</v>
      </c>
      <c r="CH108" s="421" t="str">
        <f>TEXT(CG108,"##.###")</f>
        <v>1.881</v>
      </c>
      <c r="CI108" s="421" t="s">
        <v>300</v>
      </c>
      <c r="CL108" s="957"/>
      <c r="CM108" s="957"/>
      <c r="CN108" s="957"/>
      <c r="CO108" s="957"/>
      <c r="CP108" s="957"/>
    </row>
    <row r="109" spans="1:97">
      <c r="A109" s="422" t="s">
        <v>903</v>
      </c>
      <c r="D109" s="423"/>
      <c r="AQ109" s="421">
        <f>IF($AR$77="Norte",$BJ$38,IF($AR$77="Centro",$BJ$39,IF($AR$77="Área Metropolitana de Lisboa",$BJ$40,IF($AR$77="Alentejo",$BJ$41,IF($AR$77="Algarve",$BJ$42," ")))))</f>
        <v>100</v>
      </c>
      <c r="AR109" s="421" t="str">
        <f>TEXT(AQ109,"##.###,0")</f>
        <v>100,0</v>
      </c>
      <c r="AS109" s="421" t="s">
        <v>553</v>
      </c>
      <c r="AT109" s="421" t="str">
        <f>+AR96</f>
        <v>Área Metropolitana de Lisboa</v>
      </c>
      <c r="AU109" s="421" t="s">
        <v>397</v>
      </c>
      <c r="AV109" s="957"/>
      <c r="AW109" s="957"/>
      <c r="AX109" s="957"/>
      <c r="AY109" s="957"/>
      <c r="AZ109" s="957"/>
      <c r="BM109" s="421">
        <f>IF($BN$77="Norte",$CE$38,IF($BN$77="Centro",$CE$39,IF($BN$77="Área Metropolitana de Lisboa",$CE$40,IF($BN$77="Alentejo",$CE$41,IF($BN$77="Algarve",$CE$42," ")))))</f>
        <v>100</v>
      </c>
      <c r="BN109" s="421" t="str">
        <f>TEXT(BM109,"##.###,0")</f>
        <v>100,0</v>
      </c>
      <c r="BO109" s="421" t="s">
        <v>553</v>
      </c>
      <c r="BP109" s="421" t="str">
        <f>+BN96</f>
        <v>Área Metropolitana de Lisboa</v>
      </c>
      <c r="BQ109" s="421" t="s">
        <v>397</v>
      </c>
      <c r="BR109" s="957"/>
      <c r="BS109" s="957"/>
      <c r="BT109" s="957"/>
      <c r="BU109" s="957"/>
      <c r="BV109" s="957"/>
      <c r="CG109" s="421">
        <f>IF($CH$77="Norte",$DA$38,IF($CH$77="Centro",$DA$39,IF($CH$77="Área Metropolitana de Lisboa",$DA$40,IF($CH$77="Alentejo",$DA$41,IF($CH$77="Algarve",$DA$42," ")))))</f>
        <v>0</v>
      </c>
      <c r="CH109" s="421" t="str">
        <f>TEXT(CG109,"##.###,0")</f>
        <v>,0</v>
      </c>
      <c r="CI109" s="421" t="s">
        <v>563</v>
      </c>
      <c r="CJ109" s="421" t="s">
        <v>524</v>
      </c>
      <c r="CK109" s="421" t="s">
        <v>397</v>
      </c>
      <c r="CL109" s="957"/>
      <c r="CM109" s="957"/>
      <c r="CN109" s="957"/>
      <c r="CO109" s="957"/>
      <c r="CP109" s="957"/>
    </row>
    <row r="110" spans="1:97">
      <c r="A110" s="547" t="s">
        <v>205</v>
      </c>
      <c r="C110" s="422">
        <f>+'q12'!$B$4</f>
        <v>2014</v>
      </c>
      <c r="D110" s="422">
        <f>+'q12'!$C$4</f>
        <v>2015</v>
      </c>
      <c r="E110" s="422">
        <f>+'q12'!$D$4</f>
        <v>2016</v>
      </c>
      <c r="F110" s="422">
        <f>+'q12'!$E$4</f>
        <v>2017</v>
      </c>
      <c r="G110" s="422">
        <f>+'q12'!$F$4</f>
        <v>2018</v>
      </c>
      <c r="H110" s="422">
        <f>+'q12'!$G$4</f>
        <v>2019</v>
      </c>
      <c r="I110" s="422">
        <f>+'q12'!$H$4</f>
        <v>2020</v>
      </c>
      <c r="J110" s="422">
        <f>+'q12'!$I$4</f>
        <v>2021</v>
      </c>
      <c r="K110" s="422">
        <f>+'q12'!$J$4</f>
        <v>2022</v>
      </c>
      <c r="L110" s="422">
        <f>+'q12'!$K$4</f>
        <v>2023</v>
      </c>
      <c r="M110" s="422">
        <f>+'q12'!$L$4</f>
        <v>2024</v>
      </c>
      <c r="AU110" s="447"/>
      <c r="AV110" s="447"/>
      <c r="AW110" s="447"/>
      <c r="AX110" s="447"/>
      <c r="AY110" s="447"/>
      <c r="AZ110" s="447"/>
      <c r="BQ110" s="447"/>
      <c r="BR110" s="447"/>
      <c r="BS110" s="447"/>
      <c r="BT110" s="447"/>
      <c r="BU110" s="447"/>
      <c r="BV110" s="447"/>
      <c r="CL110" s="447"/>
      <c r="CM110" s="447"/>
      <c r="CN110" s="447"/>
      <c r="CO110" s="447"/>
      <c r="CP110" s="447"/>
    </row>
    <row r="111" spans="1:97">
      <c r="A111" s="422" t="s">
        <v>524</v>
      </c>
      <c r="B111" s="422" t="str">
        <f>+q12_b!$A$6</f>
        <v>Norte</v>
      </c>
      <c r="C111" s="433">
        <f>+q12_b!$B$6</f>
        <v>966786.99999999988</v>
      </c>
      <c r="D111" s="433">
        <f>+q12_b!$C$6</f>
        <v>1002831</v>
      </c>
      <c r="E111" s="433">
        <f>+q12_b!$D$6</f>
        <v>1038349</v>
      </c>
      <c r="F111" s="433">
        <f>+q12_b!$E$6</f>
        <v>1090049</v>
      </c>
      <c r="G111" s="433">
        <f>+q12_b!$F$6</f>
        <v>1119718</v>
      </c>
      <c r="H111" s="433">
        <f>+q12_b!$G$6</f>
        <v>1132970</v>
      </c>
      <c r="I111" s="433">
        <f>+q12_b!$H$6</f>
        <v>1127590</v>
      </c>
      <c r="J111" s="433">
        <f>+q12_b!$I$6</f>
        <v>1137436</v>
      </c>
      <c r="K111" s="433">
        <f>+q12_b!$J$6</f>
        <v>1215310</v>
      </c>
      <c r="L111" s="433">
        <f>+q12_b!$K$6</f>
        <v>1260100.0000000002</v>
      </c>
      <c r="M111" s="433">
        <f>+q12_b!$L$6</f>
        <v>1269596.0000000002</v>
      </c>
      <c r="AU111" s="447"/>
      <c r="AV111" s="447"/>
      <c r="AW111" s="447"/>
      <c r="AX111" s="447"/>
      <c r="AY111" s="447"/>
      <c r="AZ111" s="447"/>
      <c r="BQ111" s="447"/>
      <c r="BR111" s="447"/>
      <c r="BS111" s="447"/>
      <c r="BT111" s="447"/>
      <c r="BU111" s="447"/>
      <c r="BV111" s="447"/>
      <c r="CL111" s="447"/>
      <c r="CM111" s="447"/>
      <c r="CN111" s="447"/>
      <c r="CO111" s="447"/>
      <c r="CP111" s="447"/>
    </row>
    <row r="112" spans="1:97">
      <c r="A112" s="422"/>
      <c r="B112" s="422" t="str">
        <f>+q12_b!$A$15</f>
        <v>Centro</v>
      </c>
      <c r="C112" s="433">
        <f>+q12_b!$B$15</f>
        <v>549712</v>
      </c>
      <c r="D112" s="433">
        <f>+q12_b!$C$15</f>
        <v>562609</v>
      </c>
      <c r="E112" s="433">
        <f>+q12_b!$D$15</f>
        <v>577659</v>
      </c>
      <c r="F112" s="433">
        <f>+q12_b!$E$15</f>
        <v>601687</v>
      </c>
      <c r="G112" s="433">
        <f>+q12_b!$F$15</f>
        <v>626222</v>
      </c>
      <c r="H112" s="433">
        <f>+q12_b!$G$15</f>
        <v>632357</v>
      </c>
      <c r="I112" s="433">
        <f>+q12_b!$H$15</f>
        <v>632437</v>
      </c>
      <c r="J112" s="433">
        <f>+q12_b!$I$15</f>
        <v>630906</v>
      </c>
      <c r="K112" s="433">
        <f>+q12_b!$J$15</f>
        <v>669616</v>
      </c>
      <c r="L112" s="433">
        <f>+q12_b!$K$15</f>
        <v>695874.00000000047</v>
      </c>
      <c r="M112" s="433">
        <f>+q12_b!$L$15</f>
        <v>702764.00000000035</v>
      </c>
      <c r="AU112" s="447"/>
      <c r="AV112" s="447"/>
      <c r="AW112" s="421" t="str">
        <f>IF($AR$77="Norte",$AV$100,IF($AR$77="Centro",$AV$100,IF($AR$77="Alentejo",$AV$100,$AV$107)))</f>
        <v>ESTABELECIMENTOS
NUTS II Área Metropolitana de Lisboa: 87.949 (26,0% do Continente; 2ª região de 5)
Esta NUTS II coincide com a NUTS III.</v>
      </c>
      <c r="AX112" s="447"/>
      <c r="AY112" s="447"/>
      <c r="AZ112" s="447"/>
      <c r="BQ112" s="447"/>
      <c r="BR112" s="447"/>
      <c r="BS112" s="421" t="str">
        <f>IF($BN$77="Norte",$BR$100,IF($BN$77="Centro",$BR$100,IF($BN$77="Alentejo",$BR$100,$BR$107)))</f>
        <v>TCO
NUTS II Área Metropolitana de Lisboa: 1.124.021 (33,5% do Continente; 2ª região de 5)
Esta NUTS II coincide com a NUTS III.</v>
      </c>
      <c r="BT112" s="447"/>
      <c r="BU112" s="447"/>
      <c r="BV112" s="447"/>
      <c r="CL112" s="447"/>
      <c r="CM112" s="421" t="str">
        <f>IF($CH$77="Norte",$CL$100,IF($CH$77="Centro",$CL$100,IF($CH$77="Alentejo",$CL$100,$CL$107)))</f>
        <v>REMUNERAÇÃO GANHO
NUTS II Área Metropolitana de Lisboa: 1.881 euros (18,8% que no Continente; 1ª região de 5)
Esta NUTS II coincide com a NUTS III.</v>
      </c>
      <c r="CN112" s="447"/>
      <c r="CO112" s="447"/>
      <c r="CP112" s="447"/>
    </row>
    <row r="113" spans="1:93">
      <c r="A113" s="422"/>
      <c r="B113" s="422" t="str">
        <f>+q12_b!$A$24</f>
        <v>Área Metropolitana de Lisboa</v>
      </c>
      <c r="C113" s="433">
        <f>+q12_b!$B$24</f>
        <v>844718</v>
      </c>
      <c r="D113" s="433">
        <f>+q12_b!$C$24</f>
        <v>862910</v>
      </c>
      <c r="E113" s="433">
        <f>+q12_b!$D$24</f>
        <v>901190</v>
      </c>
      <c r="F113" s="433">
        <f>+q12_b!$E$24</f>
        <v>934313</v>
      </c>
      <c r="G113" s="433">
        <f>+q12_b!$F$24</f>
        <v>979056</v>
      </c>
      <c r="H113" s="433">
        <f>+q12_b!$G$24</f>
        <v>1001279</v>
      </c>
      <c r="I113" s="433">
        <f>+q12_b!$H$24</f>
        <v>991460</v>
      </c>
      <c r="J113" s="433">
        <f>+q12_b!$I$24</f>
        <v>996023</v>
      </c>
      <c r="K113" s="433">
        <f>+q12_b!$J$24</f>
        <v>1083786</v>
      </c>
      <c r="L113" s="433">
        <f>+q12_b!$K$24</f>
        <v>1142871</v>
      </c>
      <c r="M113" s="433">
        <f>+q12_b!$L$24</f>
        <v>1174107</v>
      </c>
      <c r="AU113" s="447"/>
      <c r="AV113" s="447"/>
      <c r="AW113" s="447"/>
      <c r="AX113" s="447"/>
      <c r="AY113" s="447"/>
      <c r="AZ113" s="447"/>
    </row>
    <row r="114" spans="1:93">
      <c r="A114" s="422"/>
      <c r="B114" s="422" t="str">
        <f>+q12_b!$A$25</f>
        <v>Alentejo</v>
      </c>
      <c r="C114" s="433">
        <f>+q12_b!$B$25</f>
        <v>156204.99999999997</v>
      </c>
      <c r="D114" s="433">
        <f>+q12_b!$C$25</f>
        <v>160681</v>
      </c>
      <c r="E114" s="433">
        <f>+q12_b!$D$25</f>
        <v>166932</v>
      </c>
      <c r="F114" s="433">
        <f>+q12_b!$E$25</f>
        <v>175084</v>
      </c>
      <c r="G114" s="433">
        <f>+q12_b!$F$25</f>
        <v>181076</v>
      </c>
      <c r="H114" s="433">
        <f>+q12_b!$G$25</f>
        <v>184055</v>
      </c>
      <c r="I114" s="433">
        <f>+q12_b!$H$25</f>
        <v>189411</v>
      </c>
      <c r="J114" s="433">
        <f>+q12_b!$I$25</f>
        <v>189574</v>
      </c>
      <c r="K114" s="433">
        <f>+q12_b!$J$25</f>
        <v>202867</v>
      </c>
      <c r="L114" s="433">
        <f>+q12_b!$K$25</f>
        <v>212303.99999999997</v>
      </c>
      <c r="M114" s="433">
        <f>+q12_b!$L$25</f>
        <v>214388.99999999997</v>
      </c>
      <c r="AW114" s="447"/>
    </row>
    <row r="115" spans="1:93">
      <c r="A115" s="422"/>
      <c r="B115" s="422" t="str">
        <f>+q12_b!$A$31</f>
        <v>Algarve</v>
      </c>
      <c r="C115" s="433">
        <f>+q12_b!$B$31</f>
        <v>119459</v>
      </c>
      <c r="D115" s="433">
        <f>+q12_b!$C$31</f>
        <v>126980</v>
      </c>
      <c r="E115" s="433">
        <f>+q12_b!$D$31</f>
        <v>135848</v>
      </c>
      <c r="F115" s="433">
        <f>+q12_b!$E$31</f>
        <v>145770</v>
      </c>
      <c r="G115" s="433">
        <f>+q12_b!$F$31</f>
        <v>154417</v>
      </c>
      <c r="H115" s="433">
        <f>+q12_b!$G$31</f>
        <v>160288</v>
      </c>
      <c r="I115" s="433">
        <f>+q12_b!$H$31</f>
        <v>144668</v>
      </c>
      <c r="J115" s="433">
        <f>+q12_b!$I$31</f>
        <v>148406</v>
      </c>
      <c r="K115" s="433">
        <f>+q12_b!$J$31</f>
        <v>165503</v>
      </c>
      <c r="L115" s="433">
        <f>+q12_b!$K$31</f>
        <v>178434</v>
      </c>
      <c r="M115" s="433">
        <f>+q12_b!$L$31</f>
        <v>184098.99999999997</v>
      </c>
      <c r="AR115" s="422"/>
    </row>
    <row r="116" spans="1:93">
      <c r="A116" s="422"/>
      <c r="B116" s="422" t="s">
        <v>13</v>
      </c>
      <c r="C116" s="433">
        <f>+q12_b!$B$5</f>
        <v>2636881.0000000028</v>
      </c>
      <c r="D116" s="433">
        <f>+q12_b!$C$5</f>
        <v>2716011</v>
      </c>
      <c r="E116" s="433">
        <f>+q12_b!$D$5</f>
        <v>2819978.0000000009</v>
      </c>
      <c r="F116" s="433">
        <f>+q12_b!$E$5</f>
        <v>2946903.0000000019</v>
      </c>
      <c r="G116" s="433">
        <f>+q12_b!$F$5</f>
        <v>3060488.9999999981</v>
      </c>
      <c r="H116" s="433">
        <f>+q12_b!$G$5</f>
        <v>3110949.0000000005</v>
      </c>
      <c r="I116" s="433">
        <f>+q12_b!$H$5</f>
        <v>3085566.0000000009</v>
      </c>
      <c r="J116" s="433">
        <f>+q12_b!$I$5</f>
        <v>3102345.0000000005</v>
      </c>
      <c r="K116" s="433">
        <f>+q12_b!$J$5</f>
        <v>3337082</v>
      </c>
      <c r="L116" s="433">
        <f>+q12_b!$K$5</f>
        <v>3489582.9999999995</v>
      </c>
      <c r="M116" s="433">
        <f>+q12_b!$L$5</f>
        <v>3544955.0000000019</v>
      </c>
      <c r="AU116" s="447"/>
      <c r="AV116" s="447"/>
      <c r="AW116" s="447"/>
      <c r="AX116" s="447"/>
      <c r="AY116" s="447"/>
      <c r="AZ116" s="447"/>
    </row>
    <row r="117" spans="1:93">
      <c r="A117" s="422"/>
      <c r="B117" s="422"/>
      <c r="C117" s="433"/>
      <c r="D117" s="433"/>
      <c r="E117" s="433"/>
      <c r="F117" s="433"/>
      <c r="G117" s="433"/>
      <c r="H117" s="433"/>
      <c r="I117" s="433"/>
      <c r="J117" s="433"/>
      <c r="K117" s="433"/>
      <c r="L117" s="433"/>
      <c r="M117" s="433"/>
      <c r="AU117" s="447"/>
      <c r="AV117" s="447"/>
      <c r="AW117" s="447"/>
      <c r="AX117" s="447"/>
      <c r="AY117" s="447"/>
      <c r="AZ117" s="447"/>
    </row>
    <row r="118" spans="1:93">
      <c r="B118" s="422"/>
      <c r="C118" s="433"/>
      <c r="D118" s="433"/>
      <c r="E118" s="433"/>
      <c r="F118" s="433"/>
      <c r="G118" s="433"/>
      <c r="H118" s="433"/>
      <c r="I118" s="433"/>
      <c r="J118" s="433"/>
      <c r="K118" s="433"/>
      <c r="L118" s="433"/>
      <c r="M118" s="433"/>
      <c r="AU118" s="447"/>
      <c r="AV118" s="447"/>
      <c r="AW118" s="447"/>
      <c r="AX118" s="447"/>
      <c r="AY118" s="447"/>
      <c r="AZ118" s="447"/>
    </row>
    <row r="119" spans="1:93">
      <c r="B119" s="422"/>
      <c r="C119" s="433"/>
      <c r="D119" s="433"/>
      <c r="E119" s="433"/>
      <c r="F119" s="433"/>
      <c r="G119" s="433"/>
      <c r="H119" s="433"/>
      <c r="I119" s="433"/>
      <c r="J119" s="433"/>
      <c r="K119" s="433"/>
      <c r="L119" s="433"/>
      <c r="M119" s="433"/>
      <c r="AU119" s="447"/>
      <c r="AV119" s="447"/>
      <c r="AW119" s="447"/>
      <c r="AX119" s="447"/>
      <c r="AY119" s="447"/>
      <c r="AZ119" s="447"/>
    </row>
    <row r="120" spans="1:93">
      <c r="C120" s="422">
        <f>+C110</f>
        <v>2014</v>
      </c>
      <c r="D120" s="422">
        <f t="shared" ref="D120:M120" si="61">+D110</f>
        <v>2015</v>
      </c>
      <c r="E120" s="422">
        <f t="shared" si="61"/>
        <v>2016</v>
      </c>
      <c r="F120" s="422">
        <f t="shared" si="61"/>
        <v>2017</v>
      </c>
      <c r="G120" s="422">
        <f t="shared" si="61"/>
        <v>2018</v>
      </c>
      <c r="H120" s="422">
        <f t="shared" si="61"/>
        <v>2019</v>
      </c>
      <c r="I120" s="422">
        <f t="shared" si="61"/>
        <v>2020</v>
      </c>
      <c r="J120" s="422">
        <f t="shared" si="61"/>
        <v>2021</v>
      </c>
      <c r="K120" s="422">
        <f t="shared" si="61"/>
        <v>2022</v>
      </c>
      <c r="L120" s="422">
        <f t="shared" si="61"/>
        <v>2023</v>
      </c>
      <c r="M120" s="422">
        <f t="shared" si="61"/>
        <v>2024</v>
      </c>
      <c r="AU120" s="447"/>
      <c r="AV120" s="447"/>
      <c r="AW120" s="447"/>
      <c r="AX120" s="447"/>
      <c r="AY120" s="447"/>
      <c r="AZ120" s="447"/>
    </row>
    <row r="121" spans="1:93">
      <c r="A121" s="422" t="s">
        <v>525</v>
      </c>
      <c r="B121" s="422" t="str">
        <f>+q12_b!$A$7</f>
        <v>Alto Minho</v>
      </c>
      <c r="C121" s="433">
        <f>+q12_b!$B$7</f>
        <v>54568</v>
      </c>
      <c r="D121" s="433">
        <f>+q12_b!$C$7</f>
        <v>56865</v>
      </c>
      <c r="E121" s="433">
        <f>+q12_b!$D$7</f>
        <v>57001</v>
      </c>
      <c r="F121" s="433">
        <f>+q12_b!$E$7</f>
        <v>59646</v>
      </c>
      <c r="G121" s="433">
        <f>+q12_b!$F$7</f>
        <v>62987</v>
      </c>
      <c r="H121" s="433">
        <f>+q12_b!$G$7</f>
        <v>63449</v>
      </c>
      <c r="I121" s="433">
        <f>+q12_b!$H$7</f>
        <v>64864</v>
      </c>
      <c r="J121" s="433">
        <f>+q12_b!$I$7</f>
        <v>65112</v>
      </c>
      <c r="K121" s="433">
        <f>+q12_b!$J$7</f>
        <v>68558</v>
      </c>
      <c r="L121" s="433">
        <f>+q12_b!$K$7</f>
        <v>72633</v>
      </c>
      <c r="M121" s="433">
        <f>+q12_b!$L$7</f>
        <v>73222</v>
      </c>
      <c r="AU121" s="447"/>
      <c r="AV121" s="447"/>
      <c r="AW121" s="447"/>
      <c r="AX121" s="447"/>
      <c r="AY121" s="447"/>
      <c r="AZ121" s="447"/>
      <c r="CJ121" s="589"/>
      <c r="CK121" s="589"/>
      <c r="CL121" s="589"/>
      <c r="CM121" s="589"/>
      <c r="CN121" s="589"/>
      <c r="CO121" s="589"/>
    </row>
    <row r="122" spans="1:93">
      <c r="A122" s="422"/>
      <c r="B122" s="422" t="str">
        <f>+q12_b!$A$8</f>
        <v>Cávado</v>
      </c>
      <c r="C122" s="433">
        <f>+q12_b!$B$8</f>
        <v>112832.00000000001</v>
      </c>
      <c r="D122" s="433">
        <f>+q12_b!$C$8</f>
        <v>116890</v>
      </c>
      <c r="E122" s="433">
        <f>+q12_b!$D$8</f>
        <v>122550</v>
      </c>
      <c r="F122" s="433">
        <f>+q12_b!$E$8</f>
        <v>129416</v>
      </c>
      <c r="G122" s="433">
        <f>+q12_b!$F$8</f>
        <v>135825</v>
      </c>
      <c r="H122" s="433">
        <f>+q12_b!$G$8</f>
        <v>139055</v>
      </c>
      <c r="I122" s="433">
        <f>+q12_b!$H$8</f>
        <v>138839</v>
      </c>
      <c r="J122" s="433">
        <f>+q12_b!$I$8</f>
        <v>141395</v>
      </c>
      <c r="K122" s="433">
        <f>+q12_b!$J$8</f>
        <v>153121</v>
      </c>
      <c r="L122" s="433">
        <f>+q12_b!$K$8</f>
        <v>160086</v>
      </c>
      <c r="M122" s="433">
        <f>+q12_b!$L$8</f>
        <v>160991</v>
      </c>
      <c r="AU122" s="447"/>
      <c r="AV122" s="447"/>
      <c r="AW122" s="447"/>
      <c r="AX122" s="447"/>
      <c r="AY122" s="447"/>
      <c r="AZ122" s="447"/>
      <c r="CJ122" s="589"/>
      <c r="CK122" s="589"/>
      <c r="CL122" s="589"/>
      <c r="CM122" s="589"/>
      <c r="CN122" s="589"/>
      <c r="CO122" s="589"/>
    </row>
    <row r="123" spans="1:93">
      <c r="A123" s="422"/>
      <c r="B123" s="422" t="str">
        <f>+q12_b!$A$9</f>
        <v>Ave</v>
      </c>
      <c r="C123" s="433">
        <f>+q12_b!$B$9</f>
        <v>125966</v>
      </c>
      <c r="D123" s="433">
        <f>+q12_b!$C$9</f>
        <v>131033</v>
      </c>
      <c r="E123" s="433">
        <f>+q12_b!$D$9</f>
        <v>136891</v>
      </c>
      <c r="F123" s="433">
        <f>+q12_b!$E$9</f>
        <v>141727</v>
      </c>
      <c r="G123" s="433">
        <f>+q12_b!$F$9</f>
        <v>145043</v>
      </c>
      <c r="H123" s="433">
        <f>+q12_b!$G$9</f>
        <v>138908</v>
      </c>
      <c r="I123" s="433">
        <f>+q12_b!$H$9</f>
        <v>141054</v>
      </c>
      <c r="J123" s="433">
        <f>+q12_b!$I$9</f>
        <v>141117</v>
      </c>
      <c r="K123" s="433">
        <f>+q12_b!$J$9</f>
        <v>149246</v>
      </c>
      <c r="L123" s="433">
        <f>+q12_b!$K$9</f>
        <v>150333</v>
      </c>
      <c r="M123" s="433">
        <f>+q12_b!$L$9</f>
        <v>149150.00000000003</v>
      </c>
      <c r="CJ123" s="589"/>
      <c r="CK123" s="589"/>
      <c r="CL123" s="589"/>
      <c r="CM123" s="589"/>
      <c r="CN123" s="589"/>
      <c r="CO123" s="589"/>
    </row>
    <row r="124" spans="1:93">
      <c r="A124" s="422"/>
      <c r="B124" s="422" t="str">
        <f>+q12_b!$A$10</f>
        <v>Área Metropolitana do Porto</v>
      </c>
      <c r="C124" s="433">
        <f>+q12_b!$B$10</f>
        <v>501063.99999999994</v>
      </c>
      <c r="D124" s="433">
        <f>+q12_b!$C$10</f>
        <v>519452</v>
      </c>
      <c r="E124" s="433">
        <f>+q12_b!$D$10</f>
        <v>537773</v>
      </c>
      <c r="F124" s="433">
        <f>+q12_b!$E$10</f>
        <v>569098</v>
      </c>
      <c r="G124" s="433">
        <f>+q12_b!$F$10</f>
        <v>581232</v>
      </c>
      <c r="H124" s="433">
        <f>+q12_b!$G$10</f>
        <v>596772</v>
      </c>
      <c r="I124" s="433">
        <f>+q12_b!$H$10</f>
        <v>586860</v>
      </c>
      <c r="J124" s="433">
        <f>+q12_b!$I$10</f>
        <v>588688</v>
      </c>
      <c r="K124" s="433">
        <f>+q12_b!$J$10</f>
        <v>633694</v>
      </c>
      <c r="L124" s="433">
        <f>+q12_b!$K$10</f>
        <v>658882.00000000012</v>
      </c>
      <c r="M124" s="433">
        <f>+q12_b!$L$10</f>
        <v>666772</v>
      </c>
      <c r="CJ124" s="589"/>
      <c r="CK124" s="589"/>
      <c r="CL124" s="589"/>
      <c r="CM124" s="589"/>
      <c r="CN124" s="589"/>
      <c r="CO124" s="589"/>
    </row>
    <row r="125" spans="1:93">
      <c r="A125" s="422"/>
      <c r="B125" s="422" t="str">
        <f>+q12_b!$A$11</f>
        <v>Alto Tâmega</v>
      </c>
      <c r="C125" s="433">
        <f>+q12_b!$B$11</f>
        <v>12481</v>
      </c>
      <c r="D125" s="433">
        <f>+q12_b!$C$11</f>
        <v>12990</v>
      </c>
      <c r="E125" s="433">
        <f>+q12_b!$D$11</f>
        <v>13302</v>
      </c>
      <c r="F125" s="433">
        <f>+q12_b!$E$11</f>
        <v>14461</v>
      </c>
      <c r="G125" s="433">
        <f>+q12_b!$F$11</f>
        <v>14799</v>
      </c>
      <c r="H125" s="433">
        <f>+q12_b!$G$11</f>
        <v>15061</v>
      </c>
      <c r="I125" s="433">
        <f>+q12_b!$H$11</f>
        <v>14649</v>
      </c>
      <c r="J125" s="433">
        <f>+q12_b!$I$11</f>
        <v>14857</v>
      </c>
      <c r="K125" s="433">
        <f>+q12_b!$J$11</f>
        <v>15757</v>
      </c>
      <c r="L125" s="433">
        <f>+q12_b!$K$11</f>
        <v>16238</v>
      </c>
      <c r="M125" s="433">
        <f>+q12_b!$L$11</f>
        <v>17027</v>
      </c>
      <c r="CJ125" s="589"/>
      <c r="CK125" s="589"/>
      <c r="CL125" s="589"/>
      <c r="CM125" s="589"/>
      <c r="CN125" s="589"/>
      <c r="CO125" s="589"/>
    </row>
    <row r="126" spans="1:93">
      <c r="A126" s="422"/>
      <c r="B126" s="422" t="str">
        <f>+q12_b!$A$12</f>
        <v>Tâmega e Sousa</v>
      </c>
      <c r="C126" s="433">
        <f>+q12_b!$B$12</f>
        <v>109577</v>
      </c>
      <c r="D126" s="433">
        <f>+q12_b!$C$12</f>
        <v>113798</v>
      </c>
      <c r="E126" s="433">
        <f>+q12_b!$D$12</f>
        <v>117765</v>
      </c>
      <c r="F126" s="433">
        <f>+q12_b!$E$12</f>
        <v>121423</v>
      </c>
      <c r="G126" s="433">
        <f>+q12_b!$F$12</f>
        <v>124176</v>
      </c>
      <c r="H126" s="433">
        <f>+q12_b!$G$12</f>
        <v>123941</v>
      </c>
      <c r="I126" s="433">
        <f>+q12_b!$H$12</f>
        <v>124025</v>
      </c>
      <c r="J126" s="433">
        <f>+q12_b!$I$12</f>
        <v>127874</v>
      </c>
      <c r="K126" s="433">
        <f>+q12_b!$J$12</f>
        <v>134241</v>
      </c>
      <c r="L126" s="433">
        <f>+q12_b!$K$12</f>
        <v>138339</v>
      </c>
      <c r="M126" s="433">
        <f>+q12_b!$L$12</f>
        <v>137932</v>
      </c>
      <c r="CJ126" s="589"/>
      <c r="CK126" s="589"/>
      <c r="CL126" s="589"/>
      <c r="CM126" s="589"/>
      <c r="CN126" s="589"/>
      <c r="CO126" s="589"/>
    </row>
    <row r="127" spans="1:93">
      <c r="A127" s="422"/>
      <c r="B127" s="422" t="str">
        <f>+q12_b!$A$13</f>
        <v>Douro</v>
      </c>
      <c r="C127" s="433">
        <f>+q12_b!$B$13</f>
        <v>32882.000000000007</v>
      </c>
      <c r="D127" s="433">
        <f>+q12_b!$C$13</f>
        <v>33847</v>
      </c>
      <c r="E127" s="433">
        <f>+q12_b!$D$13</f>
        <v>34595</v>
      </c>
      <c r="F127" s="433">
        <f>+q12_b!$E$13</f>
        <v>35335</v>
      </c>
      <c r="G127" s="433">
        <f>+q12_b!$F$13</f>
        <v>36289</v>
      </c>
      <c r="H127" s="433">
        <f>+q12_b!$G$13</f>
        <v>36417</v>
      </c>
      <c r="I127" s="433">
        <f>+q12_b!$H$13</f>
        <v>37413</v>
      </c>
      <c r="J127" s="433">
        <f>+q12_b!$I$13</f>
        <v>38175</v>
      </c>
      <c r="K127" s="433">
        <f>+q12_b!$J$13</f>
        <v>40025</v>
      </c>
      <c r="L127" s="433">
        <f>+q12_b!$K$13</f>
        <v>42126.999999999993</v>
      </c>
      <c r="M127" s="433">
        <f>+q12_b!$L$13</f>
        <v>42955</v>
      </c>
      <c r="CJ127" s="589"/>
      <c r="CK127" s="589"/>
      <c r="CL127" s="589"/>
      <c r="CM127" s="589"/>
      <c r="CN127" s="589"/>
      <c r="CO127" s="589"/>
    </row>
    <row r="128" spans="1:93">
      <c r="A128" s="422"/>
      <c r="B128" s="422" t="str">
        <f>+q12_b!$A$14</f>
        <v>Terras de Trás-os-Montes</v>
      </c>
      <c r="C128" s="433">
        <f>+q12_b!$B$14</f>
        <v>17417</v>
      </c>
      <c r="D128" s="433">
        <f>+q12_b!$C$14</f>
        <v>17956</v>
      </c>
      <c r="E128" s="433">
        <f>+q12_b!$D$14</f>
        <v>18472</v>
      </c>
      <c r="F128" s="433">
        <f>+q12_b!$E$14</f>
        <v>18943</v>
      </c>
      <c r="G128" s="433">
        <f>+q12_b!$F$14</f>
        <v>19367</v>
      </c>
      <c r="H128" s="433">
        <f>+q12_b!$G$14</f>
        <v>19367</v>
      </c>
      <c r="I128" s="433">
        <f>+q12_b!$H$14</f>
        <v>19886</v>
      </c>
      <c r="J128" s="433">
        <f>+q12_b!$I$14</f>
        <v>20218</v>
      </c>
      <c r="K128" s="433">
        <f>+q12_b!$J$14</f>
        <v>20668</v>
      </c>
      <c r="L128" s="433">
        <f>+q12_b!$K$14</f>
        <v>21461.999999999993</v>
      </c>
      <c r="M128" s="433">
        <f>+q12_b!$L$14</f>
        <v>21547</v>
      </c>
    </row>
    <row r="129" spans="1:52">
      <c r="A129" s="422"/>
      <c r="B129" s="422" t="str">
        <f>+q12_b!$A$16</f>
        <v>Oeste</v>
      </c>
      <c r="C129" s="433">
        <f>+q12_b!$B$16</f>
        <v>83007</v>
      </c>
      <c r="D129" s="433">
        <f>+q12_b!$C$16</f>
        <v>85074</v>
      </c>
      <c r="E129" s="433">
        <f>+q12_b!$D$16</f>
        <v>87606</v>
      </c>
      <c r="F129" s="433">
        <f>+q12_b!$E$16</f>
        <v>92480</v>
      </c>
      <c r="G129" s="433">
        <f>+q12_b!$F$16</f>
        <v>100447</v>
      </c>
      <c r="H129" s="433">
        <f>+q12_b!$G$16</f>
        <v>102230</v>
      </c>
      <c r="I129" s="433">
        <f>+q12_b!$H$16</f>
        <v>101029</v>
      </c>
      <c r="J129" s="433">
        <f>+q12_b!$I$16</f>
        <v>99265</v>
      </c>
      <c r="K129" s="433">
        <f>+q12_b!$J$16</f>
        <v>105262</v>
      </c>
      <c r="L129" s="433">
        <f>+q12_b!$K$16</f>
        <v>111666</v>
      </c>
      <c r="M129" s="433">
        <f>+q12_b!$L$16</f>
        <v>112479</v>
      </c>
    </row>
    <row r="130" spans="1:52">
      <c r="A130" s="422"/>
      <c r="B130" s="422" t="str">
        <f>+q12_b!$A$17</f>
        <v>Região de Aveiro</v>
      </c>
      <c r="C130" s="433">
        <f>+q12_b!$B$17</f>
        <v>105834</v>
      </c>
      <c r="D130" s="433">
        <f>+q12_b!$C$17</f>
        <v>108508</v>
      </c>
      <c r="E130" s="433">
        <f>+q12_b!$D$17</f>
        <v>114017</v>
      </c>
      <c r="F130" s="433">
        <f>+q12_b!$E$17</f>
        <v>118713</v>
      </c>
      <c r="G130" s="433">
        <f>+q12_b!$F$17</f>
        <v>125109</v>
      </c>
      <c r="H130" s="433">
        <f>+q12_b!$G$17</f>
        <v>126163</v>
      </c>
      <c r="I130" s="433">
        <f>+q12_b!$H$17</f>
        <v>127075</v>
      </c>
      <c r="J130" s="433">
        <f>+q12_b!$I$17</f>
        <v>124894</v>
      </c>
      <c r="K130" s="433">
        <f>+q12_b!$J$17</f>
        <v>135023</v>
      </c>
      <c r="L130" s="433">
        <f>+q12_b!$K$17</f>
        <v>139483</v>
      </c>
      <c r="M130" s="433">
        <f>+q12_b!$L$17</f>
        <v>139173</v>
      </c>
    </row>
    <row r="131" spans="1:52">
      <c r="A131" s="422"/>
      <c r="B131" s="422" t="str">
        <f>+q12_b!$A$18</f>
        <v>Região de Coimbra</v>
      </c>
      <c r="C131" s="433">
        <f>+q12_b!$B$18</f>
        <v>98821</v>
      </c>
      <c r="D131" s="433">
        <f>+q12_b!$C$18</f>
        <v>101551</v>
      </c>
      <c r="E131" s="433">
        <f>+q12_b!$D$18</f>
        <v>103167</v>
      </c>
      <c r="F131" s="433">
        <f>+q12_b!$E$18</f>
        <v>107820</v>
      </c>
      <c r="G131" s="433">
        <f>+q12_b!$F$18</f>
        <v>109082</v>
      </c>
      <c r="H131" s="433">
        <f>+q12_b!$G$18</f>
        <v>110361</v>
      </c>
      <c r="I131" s="433">
        <f>+q12_b!$H$18</f>
        <v>111631</v>
      </c>
      <c r="J131" s="433">
        <f>+q12_b!$I$18</f>
        <v>111742</v>
      </c>
      <c r="K131" s="433">
        <f>+q12_b!$J$18</f>
        <v>119330</v>
      </c>
      <c r="L131" s="433">
        <f>+q12_b!$K$18</f>
        <v>122152</v>
      </c>
      <c r="M131" s="433">
        <f>+q12_b!$L$18</f>
        <v>125294.99999999997</v>
      </c>
    </row>
    <row r="132" spans="1:52">
      <c r="A132" s="422"/>
      <c r="B132" s="422" t="str">
        <f>+q12_b!$A$19</f>
        <v>Região de Leiria</v>
      </c>
      <c r="C132" s="433">
        <f>+q12_b!$B$19</f>
        <v>88098.000000000015</v>
      </c>
      <c r="D132" s="433">
        <f>+q12_b!$C$19</f>
        <v>90173</v>
      </c>
      <c r="E132" s="433">
        <f>+q12_b!$D$19</f>
        <v>93302</v>
      </c>
      <c r="F132" s="433">
        <f>+q12_b!$E$19</f>
        <v>96838</v>
      </c>
      <c r="G132" s="433">
        <f>+q12_b!$F$19</f>
        <v>98908</v>
      </c>
      <c r="H132" s="433">
        <f>+q12_b!$G$19</f>
        <v>99524</v>
      </c>
      <c r="I132" s="433">
        <f>+q12_b!$H$19</f>
        <v>99673</v>
      </c>
      <c r="J132" s="433">
        <f>+q12_b!$I$19</f>
        <v>101975</v>
      </c>
      <c r="K132" s="433">
        <f>+q12_b!$J$19</f>
        <v>105680</v>
      </c>
      <c r="L132" s="433">
        <f>+q12_b!$K$19</f>
        <v>109519</v>
      </c>
      <c r="M132" s="433">
        <f>+q12_b!$L$19</f>
        <v>111125.99999999999</v>
      </c>
    </row>
    <row r="133" spans="1:52">
      <c r="A133" s="422"/>
      <c r="B133" s="422" t="str">
        <f>+q12_b!$A$20</f>
        <v>Viseu Dão Lafões</v>
      </c>
      <c r="C133" s="433">
        <f>+q12_b!$B$20</f>
        <v>59194.999999999985</v>
      </c>
      <c r="D133" s="433">
        <f>+q12_b!$C$20</f>
        <v>60826</v>
      </c>
      <c r="E133" s="433">
        <f>+q12_b!$D$20</f>
        <v>62720</v>
      </c>
      <c r="F133" s="433">
        <f>+q12_b!$E$20</f>
        <v>65048</v>
      </c>
      <c r="G133" s="433">
        <f>+q12_b!$F$20</f>
        <v>68123</v>
      </c>
      <c r="H133" s="433">
        <f>+q12_b!$G$20</f>
        <v>69618</v>
      </c>
      <c r="I133" s="433">
        <f>+q12_b!$H$20</f>
        <v>69458</v>
      </c>
      <c r="J133" s="433">
        <f>+q12_b!$I$20</f>
        <v>69853</v>
      </c>
      <c r="K133" s="433">
        <f>+q12_b!$J$20</f>
        <v>74206</v>
      </c>
      <c r="L133" s="433">
        <f>+q12_b!$K$20</f>
        <v>77276</v>
      </c>
      <c r="M133" s="433">
        <f>+q12_b!$L$20</f>
        <v>79469</v>
      </c>
    </row>
    <row r="134" spans="1:52">
      <c r="A134" s="422"/>
      <c r="B134" s="422" t="str">
        <f>+q12_b!$A$21</f>
        <v>Beira Baixa</v>
      </c>
      <c r="C134" s="433">
        <f>+q12_b!$B$21</f>
        <v>17187</v>
      </c>
      <c r="D134" s="433">
        <f>+q12_b!$C$21</f>
        <v>16988</v>
      </c>
      <c r="E134" s="433">
        <f>+q12_b!$D$21</f>
        <v>16801</v>
      </c>
      <c r="F134" s="433">
        <f>+q12_b!$E$21</f>
        <v>17104</v>
      </c>
      <c r="G134" s="433">
        <f>+q12_b!$F$21</f>
        <v>18166</v>
      </c>
      <c r="H134" s="433">
        <f>+q12_b!$G$21</f>
        <v>18026</v>
      </c>
      <c r="I134" s="433">
        <f>+q12_b!$H$21</f>
        <v>17878</v>
      </c>
      <c r="J134" s="433">
        <f>+q12_b!$I$21</f>
        <v>17848</v>
      </c>
      <c r="K134" s="433">
        <f>+q12_b!$J$21</f>
        <v>18605</v>
      </c>
      <c r="L134" s="433">
        <f>+q12_b!$K$21</f>
        <v>19444</v>
      </c>
      <c r="M134" s="433">
        <f>+q12_b!$L$21</f>
        <v>19323</v>
      </c>
    </row>
    <row r="135" spans="1:52">
      <c r="A135" s="422"/>
      <c r="B135" s="422" t="str">
        <f>+q12_b!$A$22</f>
        <v>Médio Tejo</v>
      </c>
      <c r="C135" s="433">
        <f>+q12_b!$B$22</f>
        <v>53412</v>
      </c>
      <c r="D135" s="433">
        <f>+q12_b!$C$22</f>
        <v>54724</v>
      </c>
      <c r="E135" s="433">
        <f>+q12_b!$D$22</f>
        <v>54762</v>
      </c>
      <c r="F135" s="433">
        <f>+q12_b!$E$22</f>
        <v>56944</v>
      </c>
      <c r="G135" s="433">
        <f>+q12_b!$F$22</f>
        <v>58483</v>
      </c>
      <c r="H135" s="433">
        <f>+q12_b!$G$22</f>
        <v>59784</v>
      </c>
      <c r="I135" s="433">
        <f>+q12_b!$H$22</f>
        <v>59053</v>
      </c>
      <c r="J135" s="433">
        <f>+q12_b!$I$22</f>
        <v>58119</v>
      </c>
      <c r="K135" s="433">
        <f>+q12_b!$J$22</f>
        <v>62067</v>
      </c>
      <c r="L135" s="433">
        <f>+q12_b!$K$22</f>
        <v>64150</v>
      </c>
      <c r="M135" s="433">
        <f>+q12_b!$L$22</f>
        <v>64247.999999999993</v>
      </c>
      <c r="AU135" s="447"/>
      <c r="AV135" s="447"/>
      <c r="AW135" s="447"/>
      <c r="AX135" s="447"/>
      <c r="AY135" s="447"/>
      <c r="AZ135" s="447"/>
    </row>
    <row r="136" spans="1:52">
      <c r="A136" s="422"/>
      <c r="B136" s="422" t="str">
        <f>+q12_b!$A$23</f>
        <v>Beiras e Serra da Estrela</v>
      </c>
      <c r="C136" s="433">
        <f>+q12_b!$B$23</f>
        <v>44158</v>
      </c>
      <c r="D136" s="433">
        <f>+q12_b!$C$23</f>
        <v>44765</v>
      </c>
      <c r="E136" s="433">
        <f>+q12_b!$D$23</f>
        <v>45284</v>
      </c>
      <c r="F136" s="433">
        <f>+q12_b!$E$23</f>
        <v>46740</v>
      </c>
      <c r="G136" s="433">
        <f>+q12_b!$F$23</f>
        <v>47904</v>
      </c>
      <c r="H136" s="433">
        <f>+q12_b!$G$23</f>
        <v>46651</v>
      </c>
      <c r="I136" s="433">
        <f>+q12_b!$H$23</f>
        <v>46640</v>
      </c>
      <c r="J136" s="433">
        <f>+q12_b!$I$23</f>
        <v>47210</v>
      </c>
      <c r="K136" s="433">
        <f>+q12_b!$J$23</f>
        <v>49443</v>
      </c>
      <c r="L136" s="433">
        <f>+q12_b!$K$23</f>
        <v>52184</v>
      </c>
      <c r="M136" s="433">
        <f>+q12_b!$L$23</f>
        <v>51650.999999999993</v>
      </c>
      <c r="AU136" s="447"/>
      <c r="AV136" s="447"/>
      <c r="AW136" s="447"/>
      <c r="AX136" s="447"/>
      <c r="AY136" s="447"/>
      <c r="AZ136" s="447"/>
    </row>
    <row r="137" spans="1:52">
      <c r="A137" s="422"/>
      <c r="B137" s="422" t="str">
        <f>+q12_b!$A$24</f>
        <v>Área Metropolitana de Lisboa</v>
      </c>
      <c r="C137" s="433">
        <f>+q12_b!$B$24</f>
        <v>844718</v>
      </c>
      <c r="D137" s="433">
        <f>+q12_b!$C$24</f>
        <v>862910</v>
      </c>
      <c r="E137" s="433">
        <f>+q12_b!$D$24</f>
        <v>901190</v>
      </c>
      <c r="F137" s="433">
        <f>+q12_b!$E$24</f>
        <v>934313</v>
      </c>
      <c r="G137" s="433">
        <f>+q12_b!$F$24</f>
        <v>979056</v>
      </c>
      <c r="H137" s="433">
        <f>+q12_b!$G$24</f>
        <v>1001279</v>
      </c>
      <c r="I137" s="433">
        <f>+q12_b!$H$24</f>
        <v>991460</v>
      </c>
      <c r="J137" s="433">
        <f>+q12_b!$I$24</f>
        <v>996023</v>
      </c>
      <c r="K137" s="433">
        <f>+q12_b!$J$24</f>
        <v>1083786</v>
      </c>
      <c r="L137" s="433">
        <f>+q12_b!$K$24</f>
        <v>1142871</v>
      </c>
      <c r="M137" s="433">
        <f>+q12_b!$L$24</f>
        <v>1174107</v>
      </c>
      <c r="AU137" s="447"/>
      <c r="AV137" s="447"/>
      <c r="AW137" s="447"/>
      <c r="AX137" s="447"/>
      <c r="AY137" s="447"/>
      <c r="AZ137" s="447"/>
    </row>
    <row r="138" spans="1:52">
      <c r="A138" s="422"/>
      <c r="B138" s="422" t="str">
        <f>+q12_b!$A$26</f>
        <v>Alentejo Litoral</v>
      </c>
      <c r="C138" s="433">
        <f>+q12_b!$B$26</f>
        <v>21990</v>
      </c>
      <c r="D138" s="433">
        <f>+q12_b!$C$26</f>
        <v>23369</v>
      </c>
      <c r="E138" s="433">
        <f>+q12_b!$D$26</f>
        <v>24792</v>
      </c>
      <c r="F138" s="433">
        <f>+q12_b!$E$26</f>
        <v>26345</v>
      </c>
      <c r="G138" s="433">
        <f>+q12_b!$F$26</f>
        <v>27966</v>
      </c>
      <c r="H138" s="433">
        <f>+q12_b!$G$26</f>
        <v>29548</v>
      </c>
      <c r="I138" s="433">
        <f>+q12_b!$H$26</f>
        <v>33057</v>
      </c>
      <c r="J138" s="433">
        <f>+q12_b!$I$26</f>
        <v>33366</v>
      </c>
      <c r="K138" s="433">
        <f>+q12_b!$J$26</f>
        <v>35947</v>
      </c>
      <c r="L138" s="433">
        <f>+q12_b!$K$26</f>
        <v>37881</v>
      </c>
      <c r="M138" s="433">
        <f>+q12_b!$L$26</f>
        <v>36011</v>
      </c>
      <c r="AU138" s="447"/>
      <c r="AV138" s="447"/>
      <c r="AW138" s="447"/>
      <c r="AX138" s="447"/>
      <c r="AY138" s="447"/>
      <c r="AZ138" s="447"/>
    </row>
    <row r="139" spans="1:52">
      <c r="A139" s="422"/>
      <c r="B139" s="422" t="str">
        <f>+q12_b!$A$27</f>
        <v>Baixo Alentejo</v>
      </c>
      <c r="C139" s="433">
        <f>+q12_b!$B$27</f>
        <v>23979.999999999996</v>
      </c>
      <c r="D139" s="433">
        <f>+q12_b!$C$27</f>
        <v>24788</v>
      </c>
      <c r="E139" s="433">
        <f>+q12_b!$D$27</f>
        <v>25090</v>
      </c>
      <c r="F139" s="433">
        <f>+q12_b!$E$27</f>
        <v>26560</v>
      </c>
      <c r="G139" s="433">
        <f>+q12_b!$F$27</f>
        <v>26946</v>
      </c>
      <c r="H139" s="433">
        <f>+q12_b!$G$27</f>
        <v>26981</v>
      </c>
      <c r="I139" s="433">
        <f>+q12_b!$H$27</f>
        <v>26942</v>
      </c>
      <c r="J139" s="433">
        <f>+q12_b!$I$27</f>
        <v>27021</v>
      </c>
      <c r="K139" s="433">
        <f>+q12_b!$J$27</f>
        <v>29984</v>
      </c>
      <c r="L139" s="433">
        <f>+q12_b!$K$27</f>
        <v>31710.000000000004</v>
      </c>
      <c r="M139" s="433">
        <f>+q12_b!$L$27</f>
        <v>33016.999999999993</v>
      </c>
      <c r="AU139" s="447"/>
      <c r="AV139" s="447"/>
      <c r="AW139" s="447"/>
      <c r="AX139" s="447"/>
      <c r="AY139" s="447"/>
      <c r="AZ139" s="447"/>
    </row>
    <row r="140" spans="1:52">
      <c r="A140" s="422"/>
      <c r="B140" s="422" t="str">
        <f>+q12_b!$A$28</f>
        <v>Lezíria do Tejo</v>
      </c>
      <c r="C140" s="433">
        <f>+q12_b!$B$28</f>
        <v>54260</v>
      </c>
      <c r="D140" s="433">
        <f>+q12_b!$C$28</f>
        <v>55003</v>
      </c>
      <c r="E140" s="433">
        <f>+q12_b!$D$28</f>
        <v>57238</v>
      </c>
      <c r="F140" s="433">
        <f>+q12_b!$E$28</f>
        <v>61082</v>
      </c>
      <c r="G140" s="433">
        <f>+q12_b!$F$28</f>
        <v>63367</v>
      </c>
      <c r="H140" s="433">
        <f>+q12_b!$G$28</f>
        <v>64381</v>
      </c>
      <c r="I140" s="433">
        <f>+q12_b!$H$28</f>
        <v>66472</v>
      </c>
      <c r="J140" s="433">
        <f>+q12_b!$I$28</f>
        <v>66608</v>
      </c>
      <c r="K140" s="433">
        <f>+q12_b!$J$28</f>
        <v>70357</v>
      </c>
      <c r="L140" s="433">
        <f>+q12_b!$K$28</f>
        <v>73041</v>
      </c>
      <c r="M140" s="433">
        <f>+q12_b!$L$28</f>
        <v>76658</v>
      </c>
      <c r="AU140" s="447"/>
      <c r="AV140" s="447"/>
      <c r="AW140" s="447"/>
      <c r="AX140" s="447"/>
      <c r="AY140" s="447"/>
      <c r="AZ140" s="447"/>
    </row>
    <row r="141" spans="1:52">
      <c r="A141" s="422"/>
      <c r="B141" s="422" t="str">
        <f>+q12_b!$A$29</f>
        <v>Alto Alentejo</v>
      </c>
      <c r="C141" s="433">
        <f>+q12_b!$B$29</f>
        <v>20497.000000000004</v>
      </c>
      <c r="D141" s="433">
        <f>+q12_b!$C$29</f>
        <v>20704</v>
      </c>
      <c r="E141" s="433">
        <f>+q12_b!$D$29</f>
        <v>21614</v>
      </c>
      <c r="F141" s="433">
        <f>+q12_b!$E$29</f>
        <v>22068</v>
      </c>
      <c r="G141" s="433">
        <f>+q12_b!$F$29</f>
        <v>22056</v>
      </c>
      <c r="H141" s="433">
        <f>+q12_b!$G$29</f>
        <v>22201</v>
      </c>
      <c r="I141" s="433">
        <f>+q12_b!$H$29</f>
        <v>22475</v>
      </c>
      <c r="J141" s="433">
        <f>+q12_b!$I$29</f>
        <v>21854</v>
      </c>
      <c r="K141" s="433">
        <f>+q12_b!$J$29</f>
        <v>23056</v>
      </c>
      <c r="L141" s="433">
        <f>+q12_b!$K$29</f>
        <v>24444.000000000004</v>
      </c>
      <c r="M141" s="433">
        <f>+q12_b!$L$29</f>
        <v>23829.999999999996</v>
      </c>
      <c r="AU141" s="447"/>
      <c r="AV141" s="447"/>
      <c r="AW141" s="447"/>
      <c r="AX141" s="447"/>
      <c r="AY141" s="447"/>
      <c r="AZ141" s="447"/>
    </row>
    <row r="142" spans="1:52">
      <c r="A142" s="422"/>
      <c r="B142" s="422" t="str">
        <f>+q12_b!$A$30</f>
        <v>Alentejo Central</v>
      </c>
      <c r="C142" s="433">
        <f>+q12_b!$B$30</f>
        <v>35478</v>
      </c>
      <c r="D142" s="433">
        <f>+q12_b!$C$30</f>
        <v>36817</v>
      </c>
      <c r="E142" s="433">
        <f>+q12_b!$D$30</f>
        <v>38198</v>
      </c>
      <c r="F142" s="433">
        <f>+q12_b!$E$30</f>
        <v>39029</v>
      </c>
      <c r="G142" s="433">
        <f>+q12_b!$F$30</f>
        <v>40741</v>
      </c>
      <c r="H142" s="433">
        <f>+q12_b!$G$30</f>
        <v>40944</v>
      </c>
      <c r="I142" s="433">
        <f>+q12_b!$H$30</f>
        <v>40465</v>
      </c>
      <c r="J142" s="433">
        <f>+q12_b!$I$30</f>
        <v>40725</v>
      </c>
      <c r="K142" s="433">
        <f>+q12_b!$J$30</f>
        <v>43523</v>
      </c>
      <c r="L142" s="433">
        <f>+q12_b!$K$30</f>
        <v>45228</v>
      </c>
      <c r="M142" s="433">
        <f>+q12_b!$L$30</f>
        <v>44873</v>
      </c>
      <c r="AU142" s="447"/>
      <c r="AV142" s="447"/>
      <c r="AW142" s="447"/>
      <c r="AX142" s="447"/>
      <c r="AY142" s="447"/>
      <c r="AZ142" s="447"/>
    </row>
    <row r="143" spans="1:52">
      <c r="A143" s="422"/>
      <c r="B143" s="422" t="str">
        <f>+q12_b!$A$31</f>
        <v>Algarve</v>
      </c>
      <c r="C143" s="433">
        <f>+q12_b!$B$31</f>
        <v>119459</v>
      </c>
      <c r="D143" s="433">
        <f>+q12_b!$C$31</f>
        <v>126980</v>
      </c>
      <c r="E143" s="433">
        <f>+q12_b!$D$31</f>
        <v>135848</v>
      </c>
      <c r="F143" s="433">
        <f>+q12_b!$E$31</f>
        <v>145770</v>
      </c>
      <c r="G143" s="433">
        <f>+q12_b!$F$31</f>
        <v>154417</v>
      </c>
      <c r="H143" s="433">
        <f>+q12_b!$G$31</f>
        <v>160288</v>
      </c>
      <c r="I143" s="433">
        <f>+q12_b!$H$31</f>
        <v>144668</v>
      </c>
      <c r="J143" s="433">
        <f>+q12_b!$I$31</f>
        <v>148406</v>
      </c>
      <c r="K143" s="433">
        <f>+q12_b!$J$31</f>
        <v>165503</v>
      </c>
      <c r="L143" s="433">
        <f>+q12_b!$K$31</f>
        <v>178434</v>
      </c>
      <c r="M143" s="433">
        <f>+q12_b!$L$31</f>
        <v>184098.99999999997</v>
      </c>
      <c r="AU143" s="447"/>
      <c r="AV143" s="447"/>
      <c r="AW143" s="447"/>
      <c r="AX143" s="447"/>
      <c r="AY143" s="447"/>
      <c r="AZ143" s="447"/>
    </row>
    <row r="144" spans="1:52">
      <c r="A144" s="422"/>
      <c r="B144" s="422" t="s">
        <v>13</v>
      </c>
      <c r="C144" s="433">
        <f>+q12_b!$B$5</f>
        <v>2636881.0000000028</v>
      </c>
      <c r="D144" s="433">
        <f>+q12_b!$C$5</f>
        <v>2716011</v>
      </c>
      <c r="E144" s="433">
        <f>+q12_b!$D$5</f>
        <v>2819978.0000000009</v>
      </c>
      <c r="F144" s="433">
        <f>+q12_b!$E$5</f>
        <v>2946903.0000000019</v>
      </c>
      <c r="G144" s="433">
        <f>+q12_b!$F$5</f>
        <v>3060488.9999999981</v>
      </c>
      <c r="H144" s="433">
        <f>+q12_b!$G$5</f>
        <v>3110949.0000000005</v>
      </c>
      <c r="I144" s="433">
        <f>+q12_b!$H$5</f>
        <v>3085566.0000000009</v>
      </c>
      <c r="J144" s="433">
        <f>+q12_b!$I$5</f>
        <v>3102345.0000000005</v>
      </c>
      <c r="K144" s="433">
        <f>+q12_b!$J$5</f>
        <v>3337082</v>
      </c>
      <c r="L144" s="433">
        <f>+q12_b!$K$5</f>
        <v>3489582.9999999995</v>
      </c>
      <c r="M144" s="433">
        <f>+q12_b!$L$5</f>
        <v>3544955.0000000019</v>
      </c>
    </row>
    <row r="145" spans="1:47">
      <c r="B145" s="422"/>
      <c r="C145" s="433"/>
      <c r="D145" s="433"/>
      <c r="E145" s="433"/>
      <c r="F145" s="433"/>
      <c r="G145" s="433"/>
      <c r="H145" s="433"/>
      <c r="I145" s="433"/>
      <c r="J145" s="433"/>
      <c r="K145" s="433"/>
      <c r="L145" s="433"/>
      <c r="M145" s="433"/>
    </row>
    <row r="146" spans="1:47">
      <c r="AU146" s="421">
        <f>LEN(AU135)</f>
        <v>0</v>
      </c>
    </row>
    <row r="149" spans="1:47">
      <c r="A149" s="422" t="s">
        <v>904</v>
      </c>
      <c r="D149" s="423"/>
    </row>
    <row r="150" spans="1:47">
      <c r="A150" s="547" t="s">
        <v>182</v>
      </c>
      <c r="C150" s="422">
        <f>+'q16'!$B$4</f>
        <v>2014</v>
      </c>
      <c r="D150" s="422">
        <f>+'q16'!$C$4</f>
        <v>2015</v>
      </c>
      <c r="E150" s="422">
        <f>+'q16'!$D$4</f>
        <v>2016</v>
      </c>
      <c r="F150" s="422">
        <f>+'q16'!$E$4</f>
        <v>2017</v>
      </c>
      <c r="G150" s="422">
        <f>+'q16'!$F$4</f>
        <v>2018</v>
      </c>
      <c r="H150" s="422">
        <f>+'q16'!$G$4</f>
        <v>2019</v>
      </c>
      <c r="I150" s="422">
        <f>+'q16'!$H$4</f>
        <v>2020</v>
      </c>
      <c r="J150" s="422">
        <f>+'q16'!$I$4</f>
        <v>2021</v>
      </c>
      <c r="K150" s="422">
        <f>+'q16'!$J$4</f>
        <v>2022</v>
      </c>
      <c r="L150" s="422">
        <f>+'q16'!$K$4</f>
        <v>2023</v>
      </c>
      <c r="M150" s="422">
        <f>+'q16'!$L$4</f>
        <v>2024</v>
      </c>
    </row>
    <row r="151" spans="1:47">
      <c r="A151" s="422" t="s">
        <v>524</v>
      </c>
      <c r="B151" s="422" t="str">
        <f>+q16_b!$A$6</f>
        <v>Norte</v>
      </c>
      <c r="C151" s="433">
        <f>+q16_b!$B$6</f>
        <v>898201</v>
      </c>
      <c r="D151" s="433">
        <f>+q16_b!$C$6</f>
        <v>934106</v>
      </c>
      <c r="E151" s="433">
        <f>+q16_b!$D$6</f>
        <v>969358</v>
      </c>
      <c r="F151" s="433">
        <f>+q16_b!$E$6</f>
        <v>1020483</v>
      </c>
      <c r="G151" s="433">
        <f>+q16_b!$F$6</f>
        <v>1048978</v>
      </c>
      <c r="H151" s="433">
        <f>+q16_b!$G$6</f>
        <v>1063143</v>
      </c>
      <c r="I151" s="433">
        <f>+q16_b!$H$6</f>
        <v>1057090</v>
      </c>
      <c r="J151" s="433">
        <f>+q16_b!$I$6</f>
        <v>1067824</v>
      </c>
      <c r="K151" s="433">
        <f>+q16_b!$J$6</f>
        <v>1142575</v>
      </c>
      <c r="L151" s="433">
        <f>+q16_b!$K$6</f>
        <v>1186032</v>
      </c>
      <c r="M151" s="433">
        <f>+q16_b!$L$6</f>
        <v>1196817.9999999998</v>
      </c>
    </row>
    <row r="152" spans="1:47">
      <c r="A152" s="422"/>
      <c r="B152" s="422" t="str">
        <f>+q16_b!$A$15</f>
        <v>Centro</v>
      </c>
      <c r="C152" s="433">
        <f>+q16_b!$B$15</f>
        <v>506978</v>
      </c>
      <c r="D152" s="433">
        <f>+q16_b!$C$15</f>
        <v>520196</v>
      </c>
      <c r="E152" s="433">
        <f>+q16_b!$D$15</f>
        <v>535079</v>
      </c>
      <c r="F152" s="433">
        <f>+q16_b!$E$15</f>
        <v>558841</v>
      </c>
      <c r="G152" s="433">
        <f>+q16_b!$F$15</f>
        <v>583002</v>
      </c>
      <c r="H152" s="433">
        <f>+q16_b!$G$15</f>
        <v>589366</v>
      </c>
      <c r="I152" s="433">
        <f>+q16_b!$H$15</f>
        <v>588856</v>
      </c>
      <c r="J152" s="433">
        <f>+q16_b!$I$15</f>
        <v>587715</v>
      </c>
      <c r="K152" s="433">
        <f>+q16_b!$J$15</f>
        <v>624809</v>
      </c>
      <c r="L152" s="433">
        <f>+q16_b!$K$15</f>
        <v>650262</v>
      </c>
      <c r="M152" s="433">
        <f>+q16_b!$L$15</f>
        <v>657790.99999999965</v>
      </c>
    </row>
    <row r="153" spans="1:47">
      <c r="A153" s="422"/>
      <c r="B153" s="422" t="str">
        <f>+q16_b!$A$24</f>
        <v>Área Metropolitana de Lisboa</v>
      </c>
      <c r="C153" s="433">
        <f>+q16_b!$B$24</f>
        <v>797999</v>
      </c>
      <c r="D153" s="433">
        <f>+q16_b!$C$24</f>
        <v>816297</v>
      </c>
      <c r="E153" s="433">
        <f>+q16_b!$D$24</f>
        <v>855415</v>
      </c>
      <c r="F153" s="433">
        <f>+q16_b!$E$24</f>
        <v>888098</v>
      </c>
      <c r="G153" s="433">
        <f>+q16_b!$F$24</f>
        <v>931712</v>
      </c>
      <c r="H153" s="433">
        <f>+q16_b!$G$24</f>
        <v>954999</v>
      </c>
      <c r="I153" s="433">
        <f>+q16_b!$H$24</f>
        <v>944358</v>
      </c>
      <c r="J153" s="433">
        <f>+q16_b!$I$24</f>
        <v>949891</v>
      </c>
      <c r="K153" s="433">
        <f>+q16_b!$J$24</f>
        <v>1034482</v>
      </c>
      <c r="L153" s="433">
        <f>+q16_b!$K$24</f>
        <v>1092322.0000000002</v>
      </c>
      <c r="M153" s="433">
        <f>+q16_b!$L$24</f>
        <v>1124021</v>
      </c>
    </row>
    <row r="154" spans="1:47">
      <c r="A154" s="422"/>
      <c r="B154" s="422" t="str">
        <f>+q16_b!$A$25</f>
        <v>Alentejo</v>
      </c>
      <c r="C154" s="433">
        <f>+q16_b!$B$25</f>
        <v>145063</v>
      </c>
      <c r="D154" s="433">
        <f>+q16_b!$C$25</f>
        <v>149820</v>
      </c>
      <c r="E154" s="433">
        <f>+q16_b!$D$25</f>
        <v>156077</v>
      </c>
      <c r="F154" s="433">
        <f>+q16_b!$E$25</f>
        <v>164251</v>
      </c>
      <c r="G154" s="433">
        <f>+q16_b!$F$25</f>
        <v>170116</v>
      </c>
      <c r="H154" s="433">
        <f>+q16_b!$G$25</f>
        <v>173363</v>
      </c>
      <c r="I154" s="433">
        <f>+q16_b!$H$25</f>
        <v>178577</v>
      </c>
      <c r="J154" s="433">
        <f>+q16_b!$I$25</f>
        <v>178977</v>
      </c>
      <c r="K154" s="433">
        <f>+q16_b!$J$25</f>
        <v>191611</v>
      </c>
      <c r="L154" s="433">
        <f>+q16_b!$K$25</f>
        <v>200724.00000000003</v>
      </c>
      <c r="M154" s="433">
        <f>+q16_b!$L$25</f>
        <v>203132.99999999997</v>
      </c>
    </row>
    <row r="155" spans="1:47">
      <c r="A155" s="422"/>
      <c r="B155" s="422" t="str">
        <f>+q16_b!$A$31</f>
        <v>Algarve</v>
      </c>
      <c r="C155" s="433">
        <f>+q16_b!$B$31</f>
        <v>109922</v>
      </c>
      <c r="D155" s="433">
        <f>+q16_b!$C$31</f>
        <v>117234</v>
      </c>
      <c r="E155" s="433">
        <f>+q16_b!$D$31</f>
        <v>125990</v>
      </c>
      <c r="F155" s="433">
        <f>+q16_b!$E$31</f>
        <v>135848</v>
      </c>
      <c r="G155" s="433">
        <f>+q16_b!$F$31</f>
        <v>144110</v>
      </c>
      <c r="H155" s="433">
        <f>+q16_b!$G$31</f>
        <v>149611</v>
      </c>
      <c r="I155" s="433">
        <f>+q16_b!$H$31</f>
        <v>133944</v>
      </c>
      <c r="J155" s="433">
        <f>+q16_b!$I$31</f>
        <v>137936</v>
      </c>
      <c r="K155" s="433">
        <f>+q16_b!$J$31</f>
        <v>154670</v>
      </c>
      <c r="L155" s="433">
        <f>+q16_b!$K$31</f>
        <v>166794.00000000003</v>
      </c>
      <c r="M155" s="433">
        <f>+q16_b!$L$31</f>
        <v>172373</v>
      </c>
    </row>
    <row r="156" spans="1:47">
      <c r="A156" s="422"/>
      <c r="B156" s="422" t="s">
        <v>13</v>
      </c>
      <c r="C156" s="433">
        <f>+q16_b!$B$5</f>
        <v>2458163</v>
      </c>
      <c r="D156" s="433">
        <f>+q16_b!$C$5</f>
        <v>2537653.0000000028</v>
      </c>
      <c r="E156" s="433">
        <f>+q16_b!$D$5</f>
        <v>2641918.9999999977</v>
      </c>
      <c r="F156" s="433">
        <f>+q16_b!$E$5</f>
        <v>2767520.9999999977</v>
      </c>
      <c r="G156" s="433">
        <f>+q16_b!$F$5</f>
        <v>2877918.0000000005</v>
      </c>
      <c r="H156" s="433">
        <f>+q16_b!$G$5</f>
        <v>2930481.9999999995</v>
      </c>
      <c r="I156" s="433">
        <f>+q16_b!$H$5</f>
        <v>2902824.9999999981</v>
      </c>
      <c r="J156" s="433">
        <f>+q16_b!$I$5</f>
        <v>2922343.0000000014</v>
      </c>
      <c r="K156" s="433">
        <f>+q16_b!$J$5</f>
        <v>3148146.9999999995</v>
      </c>
      <c r="L156" s="433">
        <f>+q16_b!$K$5</f>
        <v>3296133.9999999981</v>
      </c>
      <c r="M156" s="433">
        <f>+q16_b!$L$5</f>
        <v>3354135.9999999991</v>
      </c>
    </row>
    <row r="157" spans="1:47">
      <c r="A157" s="422"/>
      <c r="B157" s="422"/>
      <c r="C157" s="433"/>
      <c r="D157" s="433"/>
      <c r="E157" s="433"/>
      <c r="F157" s="433"/>
      <c r="G157" s="433"/>
      <c r="H157" s="433"/>
      <c r="I157" s="433"/>
      <c r="J157" s="433"/>
      <c r="K157" s="433"/>
      <c r="L157" s="433"/>
      <c r="M157" s="433"/>
    </row>
    <row r="158" spans="1:47">
      <c r="B158" s="422"/>
      <c r="C158" s="433"/>
      <c r="D158" s="433"/>
      <c r="E158" s="433"/>
      <c r="F158" s="433"/>
      <c r="G158" s="433"/>
      <c r="H158" s="433"/>
      <c r="I158" s="433"/>
      <c r="J158" s="433"/>
      <c r="K158" s="433"/>
      <c r="L158" s="433"/>
      <c r="M158" s="433"/>
    </row>
    <row r="159" spans="1:47">
      <c r="B159" s="422"/>
      <c r="C159" s="433"/>
      <c r="D159" s="433"/>
      <c r="E159" s="433"/>
      <c r="F159" s="433"/>
      <c r="G159" s="433"/>
      <c r="H159" s="433"/>
      <c r="I159" s="433"/>
      <c r="J159" s="433"/>
      <c r="K159" s="433"/>
      <c r="L159" s="433"/>
      <c r="M159" s="433"/>
    </row>
    <row r="160" spans="1:47">
      <c r="C160" s="422">
        <f>+C150</f>
        <v>2014</v>
      </c>
      <c r="D160" s="422">
        <f t="shared" ref="D160:M160" si="62">+D150</f>
        <v>2015</v>
      </c>
      <c r="E160" s="422">
        <f t="shared" si="62"/>
        <v>2016</v>
      </c>
      <c r="F160" s="422">
        <f t="shared" si="62"/>
        <v>2017</v>
      </c>
      <c r="G160" s="422">
        <f t="shared" si="62"/>
        <v>2018</v>
      </c>
      <c r="H160" s="422">
        <f t="shared" si="62"/>
        <v>2019</v>
      </c>
      <c r="I160" s="422">
        <f t="shared" si="62"/>
        <v>2020</v>
      </c>
      <c r="J160" s="422">
        <f t="shared" si="62"/>
        <v>2021</v>
      </c>
      <c r="K160" s="422">
        <f t="shared" si="62"/>
        <v>2022</v>
      </c>
      <c r="L160" s="422">
        <f t="shared" si="62"/>
        <v>2023</v>
      </c>
      <c r="M160" s="422">
        <f t="shared" si="62"/>
        <v>2024</v>
      </c>
    </row>
    <row r="161" spans="1:13">
      <c r="A161" s="422" t="s">
        <v>525</v>
      </c>
      <c r="B161" s="422" t="str">
        <f>+q16_b!$A$7</f>
        <v>Alto Minho</v>
      </c>
      <c r="C161" s="433">
        <f>+q16_b!$B$7</f>
        <v>50225</v>
      </c>
      <c r="D161" s="433">
        <f>+q16_b!$C$7</f>
        <v>52609</v>
      </c>
      <c r="E161" s="433">
        <f>+q16_b!$D$7</f>
        <v>52622</v>
      </c>
      <c r="F161" s="433">
        <f>+q16_b!$E$7</f>
        <v>55356</v>
      </c>
      <c r="G161" s="433">
        <f>+q16_b!$F$7</f>
        <v>58686</v>
      </c>
      <c r="H161" s="433">
        <f>+q16_b!$G$7</f>
        <v>59295</v>
      </c>
      <c r="I161" s="433">
        <f>+q16_b!$H$7</f>
        <v>60629</v>
      </c>
      <c r="J161" s="433">
        <f>+q16_b!$I$7</f>
        <v>60893</v>
      </c>
      <c r="K161" s="433">
        <f>+q16_b!$J$7</f>
        <v>64187</v>
      </c>
      <c r="L161" s="433">
        <f>+q16_b!$K$7</f>
        <v>68117</v>
      </c>
      <c r="M161" s="433">
        <f>+q16_b!$L$7</f>
        <v>68763</v>
      </c>
    </row>
    <row r="162" spans="1:13">
      <c r="A162" s="422"/>
      <c r="B162" s="422" t="str">
        <f>+q16_b!$A$8</f>
        <v>Cávado</v>
      </c>
      <c r="C162" s="433">
        <f>+q16_b!$B$8</f>
        <v>104058</v>
      </c>
      <c r="D162" s="433">
        <f>+q16_b!$C$8</f>
        <v>107920</v>
      </c>
      <c r="E162" s="433">
        <f>+q16_b!$D$8</f>
        <v>113517</v>
      </c>
      <c r="F162" s="433">
        <f>+q16_b!$E$8</f>
        <v>120158</v>
      </c>
      <c r="G162" s="433">
        <f>+q16_b!$F$8</f>
        <v>126435</v>
      </c>
      <c r="H162" s="433">
        <f>+q16_b!$G$8</f>
        <v>129739</v>
      </c>
      <c r="I162" s="433">
        <f>+q16_b!$H$8</f>
        <v>129449</v>
      </c>
      <c r="J162" s="433">
        <f>+q16_b!$I$8</f>
        <v>132064</v>
      </c>
      <c r="K162" s="433">
        <f>+q16_b!$J$8</f>
        <v>143159</v>
      </c>
      <c r="L162" s="433">
        <f>+q16_b!$K$8</f>
        <v>149790</v>
      </c>
      <c r="M162" s="433">
        <f>+q16_b!$L$8</f>
        <v>150659</v>
      </c>
    </row>
    <row r="163" spans="1:13">
      <c r="A163" s="422"/>
      <c r="B163" s="422" t="str">
        <f>+q16_b!$A$9</f>
        <v>Ave</v>
      </c>
      <c r="C163" s="433">
        <f>+q16_b!$B$9</f>
        <v>117574</v>
      </c>
      <c r="D163" s="433">
        <f>+q16_b!$C$9</f>
        <v>122620</v>
      </c>
      <c r="E163" s="433">
        <f>+q16_b!$D$9</f>
        <v>128328</v>
      </c>
      <c r="F163" s="433">
        <f>+q16_b!$E$9</f>
        <v>132997</v>
      </c>
      <c r="G163" s="433">
        <f>+q16_b!$F$9</f>
        <v>136304</v>
      </c>
      <c r="H163" s="433">
        <f>+q16_b!$G$9</f>
        <v>130390</v>
      </c>
      <c r="I163" s="433">
        <f>+q16_b!$H$9</f>
        <v>132409</v>
      </c>
      <c r="J163" s="433">
        <f>+q16_b!$I$9</f>
        <v>132536</v>
      </c>
      <c r="K163" s="433">
        <f>+q16_b!$J$9</f>
        <v>140262</v>
      </c>
      <c r="L163" s="433">
        <f>+q16_b!$K$9</f>
        <v>141278</v>
      </c>
      <c r="M163" s="433">
        <f>+q16_b!$L$9</f>
        <v>140354</v>
      </c>
    </row>
    <row r="164" spans="1:13">
      <c r="A164" s="422"/>
      <c r="B164" s="422" t="str">
        <f>+q16_b!$A$10</f>
        <v>Área Metropolitana do Porto</v>
      </c>
      <c r="C164" s="433">
        <f>+q16_b!$B$10</f>
        <v>466468</v>
      </c>
      <c r="D164" s="433">
        <f>+q16_b!$C$10</f>
        <v>484890</v>
      </c>
      <c r="E164" s="433">
        <f>+q16_b!$D$10</f>
        <v>503447</v>
      </c>
      <c r="F164" s="433">
        <f>+q16_b!$E$10</f>
        <v>534642</v>
      </c>
      <c r="G164" s="433">
        <f>+q16_b!$F$10</f>
        <v>546000</v>
      </c>
      <c r="H164" s="433">
        <f>+q16_b!$G$10</f>
        <v>561884</v>
      </c>
      <c r="I164" s="433">
        <f>+q16_b!$H$10</f>
        <v>551846</v>
      </c>
      <c r="J164" s="433">
        <f>+q16_b!$I$10</f>
        <v>554585</v>
      </c>
      <c r="K164" s="433">
        <f>+q16_b!$J$10</f>
        <v>598036</v>
      </c>
      <c r="L164" s="433">
        <f>+q16_b!$K$10</f>
        <v>622620</v>
      </c>
      <c r="M164" s="433">
        <f>+q16_b!$L$10</f>
        <v>631342.00000000012</v>
      </c>
    </row>
    <row r="165" spans="1:13">
      <c r="A165" s="422"/>
      <c r="B165" s="422" t="str">
        <f>+q16_b!$A$11</f>
        <v>Alto Tâmega</v>
      </c>
      <c r="C165" s="433">
        <f>+q16_b!$B$11</f>
        <v>11285</v>
      </c>
      <c r="D165" s="433">
        <f>+q16_b!$C$11</f>
        <v>11800</v>
      </c>
      <c r="E165" s="433">
        <f>+q16_b!$D$11</f>
        <v>12071</v>
      </c>
      <c r="F165" s="433">
        <f>+q16_b!$E$11</f>
        <v>13249</v>
      </c>
      <c r="G165" s="433">
        <f>+q16_b!$F$11</f>
        <v>13544</v>
      </c>
      <c r="H165" s="433">
        <f>+q16_b!$G$11</f>
        <v>13823</v>
      </c>
      <c r="I165" s="433">
        <f>+q16_b!$H$11</f>
        <v>13398</v>
      </c>
      <c r="J165" s="433">
        <f>+q16_b!$I$11</f>
        <v>13653</v>
      </c>
      <c r="K165" s="433">
        <f>+q16_b!$J$11</f>
        <v>14446</v>
      </c>
      <c r="L165" s="433">
        <f>+q16_b!$K$11</f>
        <v>14953</v>
      </c>
      <c r="M165" s="433">
        <f>+q16_b!$L$11</f>
        <v>15712.999999999998</v>
      </c>
    </row>
    <row r="166" spans="1:13">
      <c r="A166" s="422"/>
      <c r="B166" s="422" t="str">
        <f>+q16_b!$A$12</f>
        <v>Tâmega e Sousa</v>
      </c>
      <c r="C166" s="433">
        <f>+q16_b!$B$12</f>
        <v>102491</v>
      </c>
      <c r="D166" s="433">
        <f>+q16_b!$C$12</f>
        <v>106598</v>
      </c>
      <c r="E166" s="433">
        <f>+q16_b!$D$12</f>
        <v>110512</v>
      </c>
      <c r="F166" s="433">
        <f>+q16_b!$E$12</f>
        <v>114101</v>
      </c>
      <c r="G166" s="433">
        <f>+q16_b!$F$12</f>
        <v>116671</v>
      </c>
      <c r="H166" s="433">
        <f>+q16_b!$G$12</f>
        <v>116470</v>
      </c>
      <c r="I166" s="433">
        <f>+q16_b!$H$12</f>
        <v>116377</v>
      </c>
      <c r="J166" s="433">
        <f>+q16_b!$I$12</f>
        <v>120140</v>
      </c>
      <c r="K166" s="433">
        <f>+q16_b!$J$12</f>
        <v>126318</v>
      </c>
      <c r="L166" s="433">
        <f>+q16_b!$K$12</f>
        <v>130339.99999999999</v>
      </c>
      <c r="M166" s="433">
        <f>+q16_b!$L$12</f>
        <v>130073</v>
      </c>
    </row>
    <row r="167" spans="1:13">
      <c r="A167" s="422"/>
      <c r="B167" s="422" t="str">
        <f>+q16_b!$A$13</f>
        <v>Douro</v>
      </c>
      <c r="C167" s="433">
        <f>+q16_b!$B$13</f>
        <v>30403</v>
      </c>
      <c r="D167" s="433">
        <f>+q16_b!$C$13</f>
        <v>31414</v>
      </c>
      <c r="E167" s="433">
        <f>+q16_b!$D$13</f>
        <v>32095</v>
      </c>
      <c r="F167" s="433">
        <f>+q16_b!$E$13</f>
        <v>32842</v>
      </c>
      <c r="G167" s="433">
        <f>+q16_b!$F$13</f>
        <v>33779</v>
      </c>
      <c r="H167" s="433">
        <f>+q16_b!$G$13</f>
        <v>33925</v>
      </c>
      <c r="I167" s="433">
        <f>+q16_b!$H$13</f>
        <v>34875</v>
      </c>
      <c r="J167" s="433">
        <f>+q16_b!$I$13</f>
        <v>35549</v>
      </c>
      <c r="K167" s="433">
        <f>+q16_b!$J$13</f>
        <v>37314</v>
      </c>
      <c r="L167" s="433">
        <f>+q16_b!$K$13</f>
        <v>39343</v>
      </c>
      <c r="M167" s="433">
        <f>+q16_b!$L$13</f>
        <v>40207</v>
      </c>
    </row>
    <row r="168" spans="1:13">
      <c r="A168" s="422"/>
      <c r="B168" s="422" t="str">
        <f>+q16_b!$A$14</f>
        <v>Terras de Trás-os-Montes</v>
      </c>
      <c r="C168" s="433">
        <f>+q16_b!$B$14</f>
        <v>15697</v>
      </c>
      <c r="D168" s="433">
        <f>+q16_b!$C$14</f>
        <v>16255</v>
      </c>
      <c r="E168" s="433">
        <f>+q16_b!$D$14</f>
        <v>16766</v>
      </c>
      <c r="F168" s="433">
        <f>+q16_b!$E$14</f>
        <v>17138</v>
      </c>
      <c r="G168" s="433">
        <f>+q16_b!$F$14</f>
        <v>17559</v>
      </c>
      <c r="H168" s="433">
        <f>+q16_b!$G$14</f>
        <v>17617</v>
      </c>
      <c r="I168" s="433">
        <f>+q16_b!$H$14</f>
        <v>18107</v>
      </c>
      <c r="J168" s="433">
        <f>+q16_b!$I$14</f>
        <v>18404</v>
      </c>
      <c r="K168" s="433">
        <f>+q16_b!$J$14</f>
        <v>18853</v>
      </c>
      <c r="L168" s="433">
        <f>+q16_b!$K$14</f>
        <v>19591</v>
      </c>
      <c r="M168" s="433">
        <f>+q16_b!$L$14</f>
        <v>19707</v>
      </c>
    </row>
    <row r="169" spans="1:13">
      <c r="A169" s="422"/>
      <c r="B169" s="422" t="str">
        <f>+q16_b!$A$16</f>
        <v>Oeste</v>
      </c>
      <c r="C169" s="433">
        <f>+q16_b!$B$16</f>
        <v>76041</v>
      </c>
      <c r="D169" s="433">
        <f>+q16_b!$C$16</f>
        <v>78135</v>
      </c>
      <c r="E169" s="433">
        <f>+q16_b!$D$16</f>
        <v>80561</v>
      </c>
      <c r="F169" s="433">
        <f>+q16_b!$E$16</f>
        <v>85297</v>
      </c>
      <c r="G169" s="433">
        <f>+q16_b!$F$16</f>
        <v>93248</v>
      </c>
      <c r="H169" s="433">
        <f>+q16_b!$G$16</f>
        <v>94993</v>
      </c>
      <c r="I169" s="433">
        <f>+q16_b!$H$16</f>
        <v>93635</v>
      </c>
      <c r="J169" s="433">
        <f>+q16_b!$I$16</f>
        <v>91960</v>
      </c>
      <c r="K169" s="433">
        <f>+q16_b!$J$16</f>
        <v>97506</v>
      </c>
      <c r="L169" s="433">
        <f>+q16_b!$K$16</f>
        <v>103758</v>
      </c>
      <c r="M169" s="433">
        <f>+q16_b!$L$16</f>
        <v>104588.00000000001</v>
      </c>
    </row>
    <row r="170" spans="1:13">
      <c r="A170" s="422"/>
      <c r="B170" s="422" t="str">
        <f>+q16_b!$A$17</f>
        <v>Região de Aveiro</v>
      </c>
      <c r="C170" s="433">
        <f>+q16_b!$B$17</f>
        <v>98368</v>
      </c>
      <c r="D170" s="433">
        <f>+q16_b!$C$17</f>
        <v>101027</v>
      </c>
      <c r="E170" s="433">
        <f>+q16_b!$D$17</f>
        <v>106482</v>
      </c>
      <c r="F170" s="433">
        <f>+q16_b!$E$17</f>
        <v>111036</v>
      </c>
      <c r="G170" s="433">
        <f>+q16_b!$F$17</f>
        <v>117298</v>
      </c>
      <c r="H170" s="433">
        <f>+q16_b!$G$17</f>
        <v>118389</v>
      </c>
      <c r="I170" s="433">
        <f>+q16_b!$H$17</f>
        <v>119180</v>
      </c>
      <c r="J170" s="433">
        <f>+q16_b!$I$17</f>
        <v>117166</v>
      </c>
      <c r="K170" s="433">
        <f>+q16_b!$J$17</f>
        <v>127100</v>
      </c>
      <c r="L170" s="433">
        <f>+q16_b!$K$17</f>
        <v>131410.00000000003</v>
      </c>
      <c r="M170" s="433">
        <f>+q16_b!$L$17</f>
        <v>131216</v>
      </c>
    </row>
    <row r="171" spans="1:13">
      <c r="A171" s="422"/>
      <c r="B171" s="422" t="str">
        <f>+q16_b!$A$18</f>
        <v>Região de Coimbra</v>
      </c>
      <c r="C171" s="433">
        <f>+q16_b!$B$18</f>
        <v>91037</v>
      </c>
      <c r="D171" s="433">
        <f>+q16_b!$C$18</f>
        <v>93998</v>
      </c>
      <c r="E171" s="433">
        <f>+q16_b!$D$18</f>
        <v>95633</v>
      </c>
      <c r="F171" s="433">
        <f>+q16_b!$E$18</f>
        <v>100266</v>
      </c>
      <c r="G171" s="433">
        <f>+q16_b!$F$18</f>
        <v>101543</v>
      </c>
      <c r="H171" s="433">
        <f>+q16_b!$G$18</f>
        <v>102856</v>
      </c>
      <c r="I171" s="433">
        <f>+q16_b!$H$18</f>
        <v>103975</v>
      </c>
      <c r="J171" s="433">
        <f>+q16_b!$I$18</f>
        <v>104161</v>
      </c>
      <c r="K171" s="433">
        <f>+q16_b!$J$18</f>
        <v>111437</v>
      </c>
      <c r="L171" s="433">
        <f>+q16_b!$K$18</f>
        <v>114228</v>
      </c>
      <c r="M171" s="433">
        <f>+q16_b!$L$18</f>
        <v>117601.00000000003</v>
      </c>
    </row>
    <row r="172" spans="1:13">
      <c r="A172" s="422"/>
      <c r="B172" s="422" t="str">
        <f>+q16_b!$A$19</f>
        <v>Região de Leiria</v>
      </c>
      <c r="C172" s="433">
        <f>+q16_b!$B$19</f>
        <v>81138</v>
      </c>
      <c r="D172" s="433">
        <f>+q16_b!$C$19</f>
        <v>83217</v>
      </c>
      <c r="E172" s="433">
        <f>+q16_b!$D$19</f>
        <v>86265</v>
      </c>
      <c r="F172" s="433">
        <f>+q16_b!$E$19</f>
        <v>89775</v>
      </c>
      <c r="G172" s="433">
        <f>+q16_b!$F$19</f>
        <v>91777</v>
      </c>
      <c r="H172" s="433">
        <f>+q16_b!$G$19</f>
        <v>92357</v>
      </c>
      <c r="I172" s="433">
        <f>+q16_b!$H$19</f>
        <v>92504</v>
      </c>
      <c r="J172" s="433">
        <f>+q16_b!$I$19</f>
        <v>94709</v>
      </c>
      <c r="K172" s="433">
        <f>+q16_b!$J$19</f>
        <v>98098</v>
      </c>
      <c r="L172" s="433">
        <f>+q16_b!$K$19</f>
        <v>101701</v>
      </c>
      <c r="M172" s="433">
        <f>+q16_b!$L$19</f>
        <v>103510</v>
      </c>
    </row>
    <row r="173" spans="1:13">
      <c r="A173" s="422"/>
      <c r="B173" s="422" t="str">
        <f>+q16_b!$A$20</f>
        <v>Viseu Dão Lafões</v>
      </c>
      <c r="C173" s="433">
        <f>+q16_b!$B$20</f>
        <v>54665</v>
      </c>
      <c r="D173" s="433">
        <f>+q16_b!$C$20</f>
        <v>56306</v>
      </c>
      <c r="E173" s="433">
        <f>+q16_b!$D$20</f>
        <v>58117</v>
      </c>
      <c r="F173" s="433">
        <f>+q16_b!$E$20</f>
        <v>60427</v>
      </c>
      <c r="G173" s="433">
        <f>+q16_b!$F$20</f>
        <v>63458</v>
      </c>
      <c r="H173" s="433">
        <f>+q16_b!$G$20</f>
        <v>65071</v>
      </c>
      <c r="I173" s="433">
        <f>+q16_b!$H$20</f>
        <v>64891</v>
      </c>
      <c r="J173" s="433">
        <f>+q16_b!$I$20</f>
        <v>65303</v>
      </c>
      <c r="K173" s="433">
        <f>+q16_b!$J$20</f>
        <v>69493</v>
      </c>
      <c r="L173" s="433">
        <f>+q16_b!$K$20</f>
        <v>72453</v>
      </c>
      <c r="M173" s="433">
        <f>+q16_b!$L$20</f>
        <v>74675</v>
      </c>
    </row>
    <row r="174" spans="1:13">
      <c r="A174" s="422"/>
      <c r="B174" s="422" t="str">
        <f>+q16_b!$A$21</f>
        <v>Beira Baixa</v>
      </c>
      <c r="C174" s="433">
        <f>+q16_b!$B$21</f>
        <v>16046</v>
      </c>
      <c r="D174" s="433">
        <f>+q16_b!$C$21</f>
        <v>15828</v>
      </c>
      <c r="E174" s="433">
        <f>+q16_b!$D$21</f>
        <v>15688</v>
      </c>
      <c r="F174" s="433">
        <f>+q16_b!$E$21</f>
        <v>15982</v>
      </c>
      <c r="G174" s="433">
        <f>+q16_b!$F$21</f>
        <v>17019</v>
      </c>
      <c r="H174" s="433">
        <f>+q16_b!$G$21</f>
        <v>16927</v>
      </c>
      <c r="I174" s="433">
        <f>+q16_b!$H$21</f>
        <v>16726</v>
      </c>
      <c r="J174" s="433">
        <f>+q16_b!$I$21</f>
        <v>16669</v>
      </c>
      <c r="K174" s="433">
        <f>+q16_b!$J$21</f>
        <v>17339</v>
      </c>
      <c r="L174" s="433">
        <f>+q16_b!$K$21</f>
        <v>18198</v>
      </c>
      <c r="M174" s="433">
        <f>+q16_b!$L$21</f>
        <v>18069.000000000004</v>
      </c>
    </row>
    <row r="175" spans="1:13">
      <c r="A175" s="422"/>
      <c r="B175" s="422" t="str">
        <f>+q16_b!$A$22</f>
        <v>Médio Tejo</v>
      </c>
      <c r="C175" s="433">
        <f>+q16_b!$B$22</f>
        <v>49034</v>
      </c>
      <c r="D175" s="433">
        <f>+q16_b!$C$22</f>
        <v>50346</v>
      </c>
      <c r="E175" s="433">
        <f>+q16_b!$D$22</f>
        <v>50515</v>
      </c>
      <c r="F175" s="433">
        <f>+q16_b!$E$22</f>
        <v>52713</v>
      </c>
      <c r="G175" s="433">
        <f>+q16_b!$F$22</f>
        <v>54131</v>
      </c>
      <c r="H175" s="433">
        <f>+q16_b!$G$22</f>
        <v>55339</v>
      </c>
      <c r="I175" s="433">
        <f>+q16_b!$H$22</f>
        <v>54580</v>
      </c>
      <c r="J175" s="433">
        <f>+q16_b!$I$22</f>
        <v>53706</v>
      </c>
      <c r="K175" s="433">
        <f>+q16_b!$J$22</f>
        <v>57570</v>
      </c>
      <c r="L175" s="433">
        <f>+q16_b!$K$22</f>
        <v>59524</v>
      </c>
      <c r="M175" s="433">
        <f>+q16_b!$L$22</f>
        <v>59580.999999999993</v>
      </c>
    </row>
    <row r="176" spans="1:13">
      <c r="A176" s="422"/>
      <c r="B176" s="422" t="str">
        <f>+q16_b!$A$23</f>
        <v>Beiras e Serra da Estrela</v>
      </c>
      <c r="C176" s="433">
        <f>+q16_b!$B$23</f>
        <v>40649</v>
      </c>
      <c r="D176" s="433">
        <f>+q16_b!$C$23</f>
        <v>41339</v>
      </c>
      <c r="E176" s="433">
        <f>+q16_b!$D$23</f>
        <v>41818</v>
      </c>
      <c r="F176" s="433">
        <f>+q16_b!$E$23</f>
        <v>43345</v>
      </c>
      <c r="G176" s="433">
        <f>+q16_b!$F$23</f>
        <v>44528</v>
      </c>
      <c r="H176" s="433">
        <f>+q16_b!$G$23</f>
        <v>43434</v>
      </c>
      <c r="I176" s="433">
        <f>+q16_b!$H$23</f>
        <v>43365</v>
      </c>
      <c r="J176" s="433">
        <f>+q16_b!$I$23</f>
        <v>44041</v>
      </c>
      <c r="K176" s="433">
        <f>+q16_b!$J$23</f>
        <v>46266</v>
      </c>
      <c r="L176" s="433">
        <f>+q16_b!$K$23</f>
        <v>48989.999999999993</v>
      </c>
      <c r="M176" s="433">
        <f>+q16_b!$L$23</f>
        <v>48551</v>
      </c>
    </row>
    <row r="177" spans="1:13">
      <c r="A177" s="422"/>
      <c r="B177" s="422" t="str">
        <f>+q16_b!$A$24</f>
        <v>Área Metropolitana de Lisboa</v>
      </c>
      <c r="C177" s="433">
        <f>+q16_b!$B$24</f>
        <v>797999</v>
      </c>
      <c r="D177" s="433">
        <f>+q16_b!$C$24</f>
        <v>816297</v>
      </c>
      <c r="E177" s="433">
        <f>+q16_b!$D$24</f>
        <v>855415</v>
      </c>
      <c r="F177" s="433">
        <f>+q16_b!$E$24</f>
        <v>888098</v>
      </c>
      <c r="G177" s="433">
        <f>+q16_b!$F$24</f>
        <v>931712</v>
      </c>
      <c r="H177" s="433">
        <f>+q16_b!$G$24</f>
        <v>954999</v>
      </c>
      <c r="I177" s="433">
        <f>+q16_b!$H$24</f>
        <v>944358</v>
      </c>
      <c r="J177" s="433">
        <f>+q16_b!$I$24</f>
        <v>949891</v>
      </c>
      <c r="K177" s="433">
        <f>+q16_b!$J$24</f>
        <v>1034482</v>
      </c>
      <c r="L177" s="433">
        <f>+q16_b!$K$24</f>
        <v>1092322.0000000002</v>
      </c>
      <c r="M177" s="433">
        <f>+q16_b!$L$24</f>
        <v>1124021</v>
      </c>
    </row>
    <row r="178" spans="1:13">
      <c r="A178" s="422"/>
      <c r="B178" s="422" t="str">
        <f>+q16_b!$A$26</f>
        <v>Alentejo Litoral</v>
      </c>
      <c r="C178" s="433">
        <f>+q16_b!$B$26</f>
        <v>20669</v>
      </c>
      <c r="D178" s="433">
        <f>+q16_b!$C$26</f>
        <v>22067</v>
      </c>
      <c r="E178" s="433">
        <f>+q16_b!$D$26</f>
        <v>23455</v>
      </c>
      <c r="F178" s="433">
        <f>+q16_b!$E$26</f>
        <v>25004</v>
      </c>
      <c r="G178" s="433">
        <f>+q16_b!$F$26</f>
        <v>26593</v>
      </c>
      <c r="H178" s="433">
        <f>+q16_b!$G$26</f>
        <v>28106</v>
      </c>
      <c r="I178" s="433">
        <f>+q16_b!$H$26</f>
        <v>31575</v>
      </c>
      <c r="J178" s="433">
        <f>+q16_b!$I$26</f>
        <v>31890</v>
      </c>
      <c r="K178" s="433">
        <f>+q16_b!$J$26</f>
        <v>34475</v>
      </c>
      <c r="L178" s="433">
        <f>+q16_b!$K$26</f>
        <v>36327</v>
      </c>
      <c r="M178" s="433">
        <f>+q16_b!$L$26</f>
        <v>34505</v>
      </c>
    </row>
    <row r="179" spans="1:13">
      <c r="A179" s="422"/>
      <c r="B179" s="422" t="str">
        <f>+q16_b!$A$27</f>
        <v>Baixo Alentejo</v>
      </c>
      <c r="C179" s="433">
        <f>+q16_b!$B$27</f>
        <v>22426</v>
      </c>
      <c r="D179" s="433">
        <f>+q16_b!$C$27</f>
        <v>23239</v>
      </c>
      <c r="E179" s="433">
        <f>+q16_b!$D$27</f>
        <v>23619</v>
      </c>
      <c r="F179" s="433">
        <f>+q16_b!$E$27</f>
        <v>25024</v>
      </c>
      <c r="G179" s="433">
        <f>+q16_b!$F$27</f>
        <v>25408</v>
      </c>
      <c r="H179" s="433">
        <f>+q16_b!$G$27</f>
        <v>25504</v>
      </c>
      <c r="I179" s="433">
        <f>+q16_b!$H$27</f>
        <v>25389</v>
      </c>
      <c r="J179" s="433">
        <f>+q16_b!$I$27</f>
        <v>25463</v>
      </c>
      <c r="K179" s="433">
        <f>+q16_b!$J$27</f>
        <v>28356</v>
      </c>
      <c r="L179" s="433">
        <f>+q16_b!$K$27</f>
        <v>29927.999999999993</v>
      </c>
      <c r="M179" s="433">
        <f>+q16_b!$L$27</f>
        <v>31283.999999999996</v>
      </c>
    </row>
    <row r="180" spans="1:13">
      <c r="A180" s="422"/>
      <c r="B180" s="422" t="str">
        <f>+q16_b!$A$28</f>
        <v>Lezíria do Tejo</v>
      </c>
      <c r="C180" s="433">
        <f>+q16_b!$B$28</f>
        <v>50430</v>
      </c>
      <c r="D180" s="433">
        <f>+q16_b!$C$28</f>
        <v>51190</v>
      </c>
      <c r="E180" s="433">
        <f>+q16_b!$D$28</f>
        <v>53457</v>
      </c>
      <c r="F180" s="433">
        <f>+q16_b!$E$28</f>
        <v>57261</v>
      </c>
      <c r="G180" s="433">
        <f>+q16_b!$F$28</f>
        <v>59468</v>
      </c>
      <c r="H180" s="433">
        <f>+q16_b!$G$28</f>
        <v>60670</v>
      </c>
      <c r="I180" s="433">
        <f>+q16_b!$H$28</f>
        <v>62732</v>
      </c>
      <c r="J180" s="433">
        <f>+q16_b!$I$28</f>
        <v>62898</v>
      </c>
      <c r="K180" s="433">
        <f>+q16_b!$J$28</f>
        <v>66466</v>
      </c>
      <c r="L180" s="433">
        <f>+q16_b!$K$28</f>
        <v>69095</v>
      </c>
      <c r="M180" s="433">
        <f>+q16_b!$L$28</f>
        <v>72771</v>
      </c>
    </row>
    <row r="181" spans="1:13">
      <c r="A181" s="422"/>
      <c r="B181" s="422" t="str">
        <f>+q16_b!$A$29</f>
        <v>Alto Alentejo</v>
      </c>
      <c r="C181" s="433">
        <f>+q16_b!$B$29</f>
        <v>19009</v>
      </c>
      <c r="D181" s="433">
        <f>+q16_b!$C$29</f>
        <v>19293</v>
      </c>
      <c r="E181" s="433">
        <f>+q16_b!$D$29</f>
        <v>20176</v>
      </c>
      <c r="F181" s="433">
        <f>+q16_b!$E$29</f>
        <v>20664</v>
      </c>
      <c r="G181" s="433">
        <f>+q16_b!$F$29</f>
        <v>20620</v>
      </c>
      <c r="H181" s="433">
        <f>+q16_b!$G$29</f>
        <v>20826</v>
      </c>
      <c r="I181" s="433">
        <f>+q16_b!$H$29</f>
        <v>21098</v>
      </c>
      <c r="J181" s="433">
        <f>+q16_b!$I$29</f>
        <v>20537</v>
      </c>
      <c r="K181" s="433">
        <f>+q16_b!$J$29</f>
        <v>21623</v>
      </c>
      <c r="L181" s="433">
        <f>+q16_b!$K$29</f>
        <v>22968</v>
      </c>
      <c r="M181" s="433">
        <f>+q16_b!$L$29</f>
        <v>22423</v>
      </c>
    </row>
    <row r="182" spans="1:13">
      <c r="A182" s="422"/>
      <c r="B182" s="422" t="str">
        <f>+q16_b!$A$30</f>
        <v>Alentejo Central</v>
      </c>
      <c r="C182" s="433">
        <f>+q16_b!$B$30</f>
        <v>32529</v>
      </c>
      <c r="D182" s="433">
        <f>+q16_b!$C$30</f>
        <v>34031</v>
      </c>
      <c r="E182" s="433">
        <f>+q16_b!$D$30</f>
        <v>35370</v>
      </c>
      <c r="F182" s="433">
        <f>+q16_b!$E$30</f>
        <v>36298</v>
      </c>
      <c r="G182" s="433">
        <f>+q16_b!$F$30</f>
        <v>38027</v>
      </c>
      <c r="H182" s="433">
        <f>+q16_b!$G$30</f>
        <v>38257</v>
      </c>
      <c r="I182" s="433">
        <f>+q16_b!$H$30</f>
        <v>37783</v>
      </c>
      <c r="J182" s="433">
        <f>+q16_b!$I$30</f>
        <v>38189</v>
      </c>
      <c r="K182" s="433">
        <f>+q16_b!$J$30</f>
        <v>40691</v>
      </c>
      <c r="L182" s="433">
        <f>+q16_b!$K$30</f>
        <v>42405.999999999993</v>
      </c>
      <c r="M182" s="433">
        <f>+q16_b!$L$30</f>
        <v>42150</v>
      </c>
    </row>
    <row r="183" spans="1:13">
      <c r="A183" s="422"/>
      <c r="B183" s="422" t="str">
        <f>+q16_b!$A$31</f>
        <v>Algarve</v>
      </c>
      <c r="C183" s="433">
        <f>+q16_b!$B$31</f>
        <v>109922</v>
      </c>
      <c r="D183" s="433">
        <f>+q16_b!$C$31</f>
        <v>117234</v>
      </c>
      <c r="E183" s="433">
        <f>+q16_b!$D$31</f>
        <v>125990</v>
      </c>
      <c r="F183" s="433">
        <f>+q16_b!$E$31</f>
        <v>135848</v>
      </c>
      <c r="G183" s="433">
        <f>+q16_b!$F$31</f>
        <v>144110</v>
      </c>
      <c r="H183" s="433">
        <f>+q16_b!$G$31</f>
        <v>149611</v>
      </c>
      <c r="I183" s="433">
        <f>+q16_b!$H$31</f>
        <v>133944</v>
      </c>
      <c r="J183" s="433">
        <f>+q16_b!$I$31</f>
        <v>137936</v>
      </c>
      <c r="K183" s="433">
        <f>+q16_b!$J$31</f>
        <v>154670</v>
      </c>
      <c r="L183" s="433">
        <f>+q16_b!$K$31</f>
        <v>166794.00000000003</v>
      </c>
      <c r="M183" s="433">
        <f>+q16_b!$L$31</f>
        <v>172373</v>
      </c>
    </row>
    <row r="184" spans="1:13">
      <c r="A184" s="422"/>
      <c r="B184" s="422" t="s">
        <v>13</v>
      </c>
      <c r="C184" s="433">
        <f>+q16_b!$B$5</f>
        <v>2458163</v>
      </c>
      <c r="D184" s="433">
        <f>+q16_b!$C$5</f>
        <v>2537653.0000000028</v>
      </c>
      <c r="E184" s="433">
        <f>+q16_b!$D$5</f>
        <v>2641918.9999999977</v>
      </c>
      <c r="F184" s="433">
        <f>+q16_b!$E$5</f>
        <v>2767520.9999999977</v>
      </c>
      <c r="G184" s="433">
        <f>+q16_b!$F$5</f>
        <v>2877918.0000000005</v>
      </c>
      <c r="H184" s="433">
        <f>+q16_b!$G$5</f>
        <v>2930481.9999999995</v>
      </c>
      <c r="I184" s="433">
        <f>+q16_b!$H$5</f>
        <v>2902824.9999999981</v>
      </c>
      <c r="J184" s="433">
        <f>+q16_b!$I$5</f>
        <v>2922343.0000000014</v>
      </c>
      <c r="K184" s="433">
        <f>+q16_b!$J$5</f>
        <v>3148146.9999999995</v>
      </c>
      <c r="L184" s="433">
        <f>+q16_b!$K$5</f>
        <v>3296133.9999999981</v>
      </c>
      <c r="M184" s="433">
        <f>+q16_b!$L$5</f>
        <v>3354135.9999999991</v>
      </c>
    </row>
    <row r="185" spans="1:13">
      <c r="B185" s="422"/>
      <c r="C185" s="433"/>
      <c r="D185" s="433"/>
      <c r="E185" s="433"/>
      <c r="F185" s="433"/>
      <c r="G185" s="433"/>
      <c r="H185" s="433"/>
      <c r="I185" s="433"/>
      <c r="J185" s="433"/>
      <c r="K185" s="433"/>
      <c r="L185" s="433"/>
      <c r="M185" s="433"/>
    </row>
    <row r="189" spans="1:13">
      <c r="A189" s="422" t="s">
        <v>905</v>
      </c>
      <c r="D189" s="423"/>
    </row>
    <row r="190" spans="1:13">
      <c r="A190" s="547" t="s">
        <v>268</v>
      </c>
      <c r="C190" s="422">
        <f>+'q25'!$B$4</f>
        <v>2014</v>
      </c>
      <c r="D190" s="422">
        <f>+'q25'!$C$4</f>
        <v>2015</v>
      </c>
      <c r="E190" s="422">
        <f>+'q25'!$D$4</f>
        <v>2016</v>
      </c>
      <c r="F190" s="422">
        <f>+'q25'!$E$4</f>
        <v>2017</v>
      </c>
      <c r="G190" s="422">
        <f>+'q25'!$F$4</f>
        <v>2018</v>
      </c>
      <c r="H190" s="422">
        <f>+'q25'!$G$4</f>
        <v>2019</v>
      </c>
      <c r="I190" s="422">
        <f>+'q25'!$H$4</f>
        <v>2020</v>
      </c>
      <c r="J190" s="422">
        <f>+'q25'!$I$4</f>
        <v>2021</v>
      </c>
      <c r="K190" s="422">
        <f>+'q25'!$J$4</f>
        <v>2022</v>
      </c>
      <c r="L190" s="422">
        <f>+'q25'!$K$4</f>
        <v>2023</v>
      </c>
      <c r="M190" s="422">
        <f>+'q25'!$L$4</f>
        <v>2024</v>
      </c>
    </row>
    <row r="191" spans="1:13">
      <c r="A191" s="422" t="s">
        <v>524</v>
      </c>
      <c r="B191" s="422" t="str">
        <f>+q25_b!$A$6</f>
        <v>Norte</v>
      </c>
      <c r="C191" s="582">
        <f>+q25_b!$B$6</f>
        <v>812.01</v>
      </c>
      <c r="D191" s="582">
        <f>+q25_b!$C$6</f>
        <v>820.07</v>
      </c>
      <c r="E191" s="582">
        <f>+q25_b!$D$6</f>
        <v>834.01</v>
      </c>
      <c r="F191" s="582">
        <f>+q25_b!$E$6</f>
        <v>854.76</v>
      </c>
      <c r="G191" s="582">
        <f>+q25_b!$F$6</f>
        <v>887.44</v>
      </c>
      <c r="H191" s="582">
        <f>+q25_b!$G$6</f>
        <v>924.5</v>
      </c>
      <c r="I191" s="582">
        <f>+q25_b!$H$6</f>
        <v>965.76</v>
      </c>
      <c r="J191" s="582">
        <f>+q25_b!$I$6</f>
        <v>1006.75</v>
      </c>
      <c r="K191" s="582">
        <f>+q25_b!$J$6</f>
        <v>1063.21</v>
      </c>
      <c r="L191" s="582">
        <f>+q25_b!$K$6</f>
        <v>1137.22</v>
      </c>
      <c r="M191" s="582">
        <f>+q25_b!$L$6</f>
        <v>1233.0899999999999</v>
      </c>
    </row>
    <row r="192" spans="1:13">
      <c r="A192" s="422"/>
      <c r="B192" s="422" t="str">
        <f>+q25_b!$A$15</f>
        <v>Centro</v>
      </c>
      <c r="C192" s="582">
        <f>+q25_b!$B$15</f>
        <v>788.2</v>
      </c>
      <c r="D192" s="582">
        <f>+q25_b!$C$15</f>
        <v>792.7</v>
      </c>
      <c r="E192" s="582">
        <f>+q25_b!$D$15</f>
        <v>806.27</v>
      </c>
      <c r="F192" s="582">
        <f>+q25_b!$E$15</f>
        <v>825.13</v>
      </c>
      <c r="G192" s="582">
        <f>+q25_b!$F$15</f>
        <v>851.95</v>
      </c>
      <c r="H192" s="582">
        <f>+q25_b!$G$15</f>
        <v>883.21</v>
      </c>
      <c r="I192" s="582">
        <f>+q25_b!$H$15</f>
        <v>913.29</v>
      </c>
      <c r="J192" s="582">
        <f>+q25_b!$I$15</f>
        <v>953.57</v>
      </c>
      <c r="K192" s="582">
        <f>+q25_b!$J$15</f>
        <v>997.92</v>
      </c>
      <c r="L192" s="582">
        <f>+q25_b!$K$15</f>
        <v>1065.5</v>
      </c>
      <c r="M192" s="582">
        <f>+q25_b!$L$15</f>
        <v>1139.44</v>
      </c>
    </row>
    <row r="193" spans="1:13">
      <c r="A193" s="422"/>
      <c r="B193" s="422" t="str">
        <f>+q25_b!$A$24</f>
        <v>Área Metropolitana de Lisboa</v>
      </c>
      <c r="C193" s="582">
        <f>+q25_b!$B$24</f>
        <v>1139.73</v>
      </c>
      <c r="D193" s="582">
        <f>+q25_b!$C$24</f>
        <v>1143.49</v>
      </c>
      <c r="E193" s="582">
        <f>+q25_b!$D$24</f>
        <v>1150.72</v>
      </c>
      <c r="F193" s="582">
        <f>+q25_b!$E$24</f>
        <v>1166.67</v>
      </c>
      <c r="G193" s="582">
        <f>+q25_b!$F$24</f>
        <v>1187.08</v>
      </c>
      <c r="H193" s="582">
        <f>+q25_b!$G$24</f>
        <v>1221.83</v>
      </c>
      <c r="I193" s="582">
        <f>+q25_b!$H$24</f>
        <v>1257.56</v>
      </c>
      <c r="J193" s="582">
        <f>+q25_b!$I$24</f>
        <v>1301.0999999999999</v>
      </c>
      <c r="K193" s="582">
        <f>+q25_b!$J$24</f>
        <v>1376.38</v>
      </c>
      <c r="L193" s="582">
        <f>+q25_b!$K$24</f>
        <v>1462.95</v>
      </c>
      <c r="M193" s="582">
        <f>+q25_b!$L$24</f>
        <v>1554.49</v>
      </c>
    </row>
    <row r="194" spans="1:13">
      <c r="A194" s="422"/>
      <c r="B194" s="422" t="str">
        <f>+q25_b!$A$25</f>
        <v>Alentejo</v>
      </c>
      <c r="C194" s="582">
        <f>+q25_b!$B$25</f>
        <v>804.32</v>
      </c>
      <c r="D194" s="582">
        <f>+q25_b!$C$25</f>
        <v>808.57</v>
      </c>
      <c r="E194" s="582">
        <f>+q25_b!$D$25</f>
        <v>812.82</v>
      </c>
      <c r="F194" s="582">
        <f>+q25_b!$E$25</f>
        <v>828.18</v>
      </c>
      <c r="G194" s="582">
        <f>+q25_b!$F$25</f>
        <v>849.86</v>
      </c>
      <c r="H194" s="582">
        <f>+q25_b!$G$25</f>
        <v>868.9</v>
      </c>
      <c r="I194" s="582">
        <f>+q25_b!$H$25</f>
        <v>903.07</v>
      </c>
      <c r="J194" s="582">
        <f>+q25_b!$I$25</f>
        <v>937.26</v>
      </c>
      <c r="K194" s="582">
        <f>+q25_b!$J$25</f>
        <v>983.76</v>
      </c>
      <c r="L194" s="582">
        <f>+q25_b!$K$25</f>
        <v>1047.45</v>
      </c>
      <c r="M194" s="582">
        <f>+q25_b!$L$25</f>
        <v>1119.54</v>
      </c>
    </row>
    <row r="195" spans="1:13">
      <c r="A195" s="422"/>
      <c r="B195" s="422" t="str">
        <f>+q25_b!$A$31</f>
        <v>Algarve</v>
      </c>
      <c r="C195" s="582">
        <f>+q25_b!$B$31</f>
        <v>780.52</v>
      </c>
      <c r="D195" s="582">
        <f>+q25_b!$C$31</f>
        <v>781.12</v>
      </c>
      <c r="E195" s="582">
        <f>+q25_b!$D$31</f>
        <v>793.76</v>
      </c>
      <c r="F195" s="582">
        <f>+q25_b!$E$31</f>
        <v>810.99</v>
      </c>
      <c r="G195" s="582">
        <f>+q25_b!$F$31</f>
        <v>836.09</v>
      </c>
      <c r="H195" s="582">
        <f>+q25_b!$G$31</f>
        <v>861.15</v>
      </c>
      <c r="I195" s="582">
        <f>+q25_b!$H$31</f>
        <v>897.18</v>
      </c>
      <c r="J195" s="582">
        <f>+q25_b!$I$31</f>
        <v>928.44</v>
      </c>
      <c r="K195" s="582">
        <f>+q25_b!$J$31</f>
        <v>965.83</v>
      </c>
      <c r="L195" s="582">
        <f>+q25_b!$K$31</f>
        <v>1031.25</v>
      </c>
      <c r="M195" s="582">
        <f>+q25_b!$L$31</f>
        <v>1095.01</v>
      </c>
    </row>
    <row r="196" spans="1:13">
      <c r="A196" s="422"/>
      <c r="B196" s="422" t="s">
        <v>13</v>
      </c>
      <c r="C196" s="582">
        <f>+q25_b!$B$5</f>
        <v>909.49</v>
      </c>
      <c r="D196" s="582">
        <f>+q25_b!$C$5</f>
        <v>913.93</v>
      </c>
      <c r="E196" s="582">
        <f>+q25_b!$D$5</f>
        <v>924.94</v>
      </c>
      <c r="F196" s="582">
        <f>+q25_b!$E$5</f>
        <v>943</v>
      </c>
      <c r="G196" s="582">
        <f>+q25_b!$F$5</f>
        <v>970.42</v>
      </c>
      <c r="H196" s="582">
        <f>+q25_b!$G$5</f>
        <v>1005.09</v>
      </c>
      <c r="I196" s="582">
        <f>+q25_b!$H$5</f>
        <v>1041.99</v>
      </c>
      <c r="J196" s="582">
        <f>+q25_b!$I$5</f>
        <v>1082.77</v>
      </c>
      <c r="K196" s="582">
        <f>+q25_b!$J$5</f>
        <v>1143.45</v>
      </c>
      <c r="L196" s="582">
        <f>+q25_b!$K$5</f>
        <v>1219.8699999999999</v>
      </c>
      <c r="M196" s="582">
        <f>+q25_b!$L$5</f>
        <v>1308.96</v>
      </c>
    </row>
    <row r="197" spans="1:13">
      <c r="A197" s="422"/>
      <c r="B197" s="422"/>
      <c r="C197" s="582"/>
      <c r="D197" s="582"/>
      <c r="E197" s="582"/>
      <c r="F197" s="582"/>
      <c r="G197" s="582"/>
      <c r="H197" s="582"/>
      <c r="I197" s="582"/>
      <c r="J197" s="582"/>
      <c r="K197" s="582"/>
      <c r="L197" s="582"/>
      <c r="M197" s="582"/>
    </row>
    <row r="198" spans="1:13">
      <c r="B198" s="422"/>
      <c r="C198" s="582"/>
      <c r="D198" s="582"/>
      <c r="E198" s="582"/>
      <c r="F198" s="582"/>
      <c r="G198" s="582"/>
      <c r="H198" s="582"/>
      <c r="I198" s="582"/>
      <c r="J198" s="582"/>
      <c r="K198" s="582"/>
      <c r="L198" s="582"/>
      <c r="M198" s="582"/>
    </row>
    <row r="199" spans="1:13">
      <c r="B199" s="422"/>
      <c r="C199" s="433"/>
      <c r="D199" s="433"/>
      <c r="E199" s="433"/>
      <c r="F199" s="433"/>
      <c r="G199" s="433"/>
      <c r="H199" s="433"/>
      <c r="I199" s="433"/>
      <c r="J199" s="433"/>
      <c r="K199" s="433"/>
      <c r="L199" s="433"/>
      <c r="M199" s="433"/>
    </row>
    <row r="200" spans="1:13">
      <c r="C200" s="422">
        <f>+C190</f>
        <v>2014</v>
      </c>
      <c r="D200" s="422">
        <f t="shared" ref="D200:M200" si="63">+D190</f>
        <v>2015</v>
      </c>
      <c r="E200" s="422">
        <f t="shared" si="63"/>
        <v>2016</v>
      </c>
      <c r="F200" s="422">
        <f t="shared" si="63"/>
        <v>2017</v>
      </c>
      <c r="G200" s="422">
        <f t="shared" si="63"/>
        <v>2018</v>
      </c>
      <c r="H200" s="422">
        <f t="shared" si="63"/>
        <v>2019</v>
      </c>
      <c r="I200" s="422">
        <f t="shared" si="63"/>
        <v>2020</v>
      </c>
      <c r="J200" s="422">
        <f t="shared" si="63"/>
        <v>2021</v>
      </c>
      <c r="K200" s="422">
        <f t="shared" si="63"/>
        <v>2022</v>
      </c>
      <c r="L200" s="422">
        <f t="shared" si="63"/>
        <v>2023</v>
      </c>
      <c r="M200" s="422">
        <f t="shared" si="63"/>
        <v>2024</v>
      </c>
    </row>
    <row r="201" spans="1:13">
      <c r="A201" s="422" t="s">
        <v>525</v>
      </c>
      <c r="B201" s="422" t="str">
        <f>+q25_b!$A$7</f>
        <v>Alto Minho</v>
      </c>
      <c r="C201" s="582">
        <f>+q25_b!$B$7</f>
        <v>729.89</v>
      </c>
      <c r="D201" s="582">
        <f>+q25_b!$C$7</f>
        <v>741.65</v>
      </c>
      <c r="E201" s="582">
        <f>+q25_b!$D$7</f>
        <v>746.72</v>
      </c>
      <c r="F201" s="582">
        <f>+q25_b!$E$7</f>
        <v>782.27</v>
      </c>
      <c r="G201" s="582">
        <f>+q25_b!$F$7</f>
        <v>802.92</v>
      </c>
      <c r="H201" s="582">
        <f>+q25_b!$G$7</f>
        <v>834.97</v>
      </c>
      <c r="I201" s="582">
        <f>+q25_b!$H$7</f>
        <v>865.76</v>
      </c>
      <c r="J201" s="582">
        <f>+q25_b!$I$7</f>
        <v>907.38</v>
      </c>
      <c r="K201" s="582">
        <f>+q25_b!$J$7</f>
        <v>955.67</v>
      </c>
      <c r="L201" s="582">
        <f>+q25_b!$K$7</f>
        <v>1022.16</v>
      </c>
      <c r="M201" s="582">
        <f>+q25_b!$L$7</f>
        <v>1098.82</v>
      </c>
    </row>
    <row r="202" spans="1:13">
      <c r="A202" s="422"/>
      <c r="B202" s="422" t="str">
        <f>+q25_b!$A$8</f>
        <v>Cávado</v>
      </c>
      <c r="C202" s="582">
        <f>+q25_b!$B$8</f>
        <v>759.84</v>
      </c>
      <c r="D202" s="582">
        <f>+q25_b!$C$8</f>
        <v>761.41</v>
      </c>
      <c r="E202" s="582">
        <f>+q25_b!$D$8</f>
        <v>779.14</v>
      </c>
      <c r="F202" s="582">
        <f>+q25_b!$E$8</f>
        <v>804.2</v>
      </c>
      <c r="G202" s="582">
        <f>+q25_b!$F$8</f>
        <v>837.41</v>
      </c>
      <c r="H202" s="582">
        <f>+q25_b!$G$8</f>
        <v>882.73</v>
      </c>
      <c r="I202" s="582">
        <f>+q25_b!$H$8</f>
        <v>926.11</v>
      </c>
      <c r="J202" s="582">
        <f>+q25_b!$I$8</f>
        <v>973.97</v>
      </c>
      <c r="K202" s="582">
        <f>+q25_b!$J$8</f>
        <v>1014.07</v>
      </c>
      <c r="L202" s="582">
        <f>+q25_b!$K$8</f>
        <v>1092.31</v>
      </c>
      <c r="M202" s="582">
        <f>+q25_b!$L$8</f>
        <v>1183.58</v>
      </c>
    </row>
    <row r="203" spans="1:13">
      <c r="A203" s="422"/>
      <c r="B203" s="422" t="str">
        <f>+q25_b!$A$9</f>
        <v>Ave</v>
      </c>
      <c r="C203" s="582">
        <f>+q25_b!$B$9</f>
        <v>721.62</v>
      </c>
      <c r="D203" s="582">
        <f>+q25_b!$C$9</f>
        <v>730.34</v>
      </c>
      <c r="E203" s="582">
        <f>+q25_b!$D$9</f>
        <v>747.36</v>
      </c>
      <c r="F203" s="582">
        <f>+q25_b!$E$9</f>
        <v>775.08</v>
      </c>
      <c r="G203" s="582">
        <f>+q25_b!$F$9</f>
        <v>802.78</v>
      </c>
      <c r="H203" s="582">
        <f>+q25_b!$G$9</f>
        <v>830.45</v>
      </c>
      <c r="I203" s="582">
        <f>+q25_b!$H$9</f>
        <v>871.56</v>
      </c>
      <c r="J203" s="582">
        <f>+q25_b!$I$9</f>
        <v>916.46</v>
      </c>
      <c r="K203" s="582">
        <f>+q25_b!$J$9</f>
        <v>964.07</v>
      </c>
      <c r="L203" s="582">
        <f>+q25_b!$K$9</f>
        <v>1028.49</v>
      </c>
      <c r="M203" s="582">
        <f>+q25_b!$L$9</f>
        <v>1109.23</v>
      </c>
    </row>
    <row r="204" spans="1:13">
      <c r="A204" s="422"/>
      <c r="B204" s="422" t="str">
        <f>+q25_b!$A$10</f>
        <v>Área Metropolitana do Porto</v>
      </c>
      <c r="C204" s="582">
        <f>+q25_b!$B$10</f>
        <v>899.59</v>
      </c>
      <c r="D204" s="582">
        <f>+q25_b!$C$10</f>
        <v>909.44</v>
      </c>
      <c r="E204" s="582">
        <f>+q25_b!$D$10</f>
        <v>922.09</v>
      </c>
      <c r="F204" s="582">
        <f>+q25_b!$E$10</f>
        <v>937.69</v>
      </c>
      <c r="G204" s="582">
        <f>+q25_b!$F$10</f>
        <v>975.29</v>
      </c>
      <c r="H204" s="582">
        <f>+q25_b!$G$10</f>
        <v>1012.56</v>
      </c>
      <c r="I204" s="582">
        <f>+q25_b!$H$10</f>
        <v>1057.6600000000001</v>
      </c>
      <c r="J204" s="582">
        <f>+q25_b!$I$10</f>
        <v>1099.93</v>
      </c>
      <c r="K204" s="582">
        <f>+q25_b!$J$10</f>
        <v>1165.44</v>
      </c>
      <c r="L204" s="582">
        <f>+q25_b!$K$10</f>
        <v>1242.23</v>
      </c>
      <c r="M204" s="582">
        <f>+q25_b!$L$10</f>
        <v>1351.51</v>
      </c>
    </row>
    <row r="205" spans="1:13">
      <c r="A205" s="422"/>
      <c r="B205" s="422" t="str">
        <f>+q25_b!$A$11</f>
        <v>Alto Tâmega</v>
      </c>
      <c r="C205" s="582">
        <f>+q25_b!$B$11</f>
        <v>689.68</v>
      </c>
      <c r="D205" s="582">
        <f>+q25_b!$C$11</f>
        <v>689.75</v>
      </c>
      <c r="E205" s="582">
        <f>+q25_b!$D$11</f>
        <v>723.25</v>
      </c>
      <c r="F205" s="582">
        <f>+q25_b!$E$11</f>
        <v>757.29</v>
      </c>
      <c r="G205" s="582">
        <f>+q25_b!$F$11</f>
        <v>779.47</v>
      </c>
      <c r="H205" s="582">
        <f>+q25_b!$G$11</f>
        <v>802.55</v>
      </c>
      <c r="I205" s="582">
        <f>+q25_b!$H$11</f>
        <v>831.23</v>
      </c>
      <c r="J205" s="582">
        <f>+q25_b!$I$11</f>
        <v>852.76</v>
      </c>
      <c r="K205" s="582">
        <f>+q25_b!$J$11</f>
        <v>892.27</v>
      </c>
      <c r="L205" s="582">
        <f>+q25_b!$K$11</f>
        <v>964</v>
      </c>
      <c r="M205" s="582">
        <f>+q25_b!$L$11</f>
        <v>1024.3399999999999</v>
      </c>
    </row>
    <row r="206" spans="1:13">
      <c r="A206" s="422"/>
      <c r="B206" s="422" t="str">
        <f>+q25_b!$A$12</f>
        <v>Tâmega e Sousa</v>
      </c>
      <c r="C206" s="582">
        <f>+q25_b!$B$12</f>
        <v>661.46</v>
      </c>
      <c r="D206" s="582">
        <f>+q25_b!$C$12</f>
        <v>668.83</v>
      </c>
      <c r="E206" s="582">
        <f>+q25_b!$D$12</f>
        <v>685.64</v>
      </c>
      <c r="F206" s="582">
        <f>+q25_b!$E$12</f>
        <v>704.33</v>
      </c>
      <c r="G206" s="582">
        <f>+q25_b!$F$12</f>
        <v>733.18</v>
      </c>
      <c r="H206" s="582">
        <f>+q25_b!$G$12</f>
        <v>764.65</v>
      </c>
      <c r="I206" s="582">
        <f>+q25_b!$H$12</f>
        <v>802.58</v>
      </c>
      <c r="J206" s="582">
        <f>+q25_b!$I$12</f>
        <v>845.09</v>
      </c>
      <c r="K206" s="582">
        <f>+q25_b!$J$12</f>
        <v>885.57</v>
      </c>
      <c r="L206" s="582">
        <f>+q25_b!$K$12</f>
        <v>949.32</v>
      </c>
      <c r="M206" s="582">
        <f>+q25_b!$L$12</f>
        <v>1026.48</v>
      </c>
    </row>
    <row r="207" spans="1:13">
      <c r="A207" s="422"/>
      <c r="B207" s="422" t="str">
        <f>+q25_b!$A$13</f>
        <v>Douro</v>
      </c>
      <c r="C207" s="582">
        <f>+q25_b!$B$13</f>
        <v>745.33</v>
      </c>
      <c r="D207" s="582">
        <f>+q25_b!$C$13</f>
        <v>747.62</v>
      </c>
      <c r="E207" s="582">
        <f>+q25_b!$D$13</f>
        <v>750.66</v>
      </c>
      <c r="F207" s="582">
        <f>+q25_b!$E$13</f>
        <v>766.74</v>
      </c>
      <c r="G207" s="582">
        <f>+q25_b!$F$13</f>
        <v>789.36</v>
      </c>
      <c r="H207" s="582">
        <f>+q25_b!$G$13</f>
        <v>816.21</v>
      </c>
      <c r="I207" s="582">
        <f>+q25_b!$H$13</f>
        <v>838.94</v>
      </c>
      <c r="J207" s="582">
        <f>+q25_b!$I$13</f>
        <v>872.95</v>
      </c>
      <c r="K207" s="582">
        <f>+q25_b!$J$13</f>
        <v>922.59</v>
      </c>
      <c r="L207" s="582">
        <f>+q25_b!$K$13</f>
        <v>988.16</v>
      </c>
      <c r="M207" s="582">
        <f>+q25_b!$L$13</f>
        <v>1059.6099999999999</v>
      </c>
    </row>
    <row r="208" spans="1:13">
      <c r="A208" s="422"/>
      <c r="B208" s="422" t="str">
        <f>+q25_b!$A$14</f>
        <v>Terras de Trás-os-Montes</v>
      </c>
      <c r="C208" s="582">
        <f>+q25_b!$B$14</f>
        <v>702.36</v>
      </c>
      <c r="D208" s="582">
        <f>+q25_b!$C$14</f>
        <v>711.04</v>
      </c>
      <c r="E208" s="582">
        <f>+q25_b!$D$14</f>
        <v>732.9</v>
      </c>
      <c r="F208" s="582">
        <f>+q25_b!$E$14</f>
        <v>751.28</v>
      </c>
      <c r="G208" s="582">
        <f>+q25_b!$F$14</f>
        <v>770.98</v>
      </c>
      <c r="H208" s="582">
        <f>+q25_b!$G$14</f>
        <v>799.16</v>
      </c>
      <c r="I208" s="582">
        <f>+q25_b!$H$14</f>
        <v>833.66</v>
      </c>
      <c r="J208" s="582">
        <f>+q25_b!$I$14</f>
        <v>864.26</v>
      </c>
      <c r="K208" s="582">
        <f>+q25_b!$J$14</f>
        <v>899.68</v>
      </c>
      <c r="L208" s="582">
        <f>+q25_b!$K$14</f>
        <v>965.83</v>
      </c>
      <c r="M208" s="582">
        <f>+q25_b!$L$14</f>
        <v>1033.23</v>
      </c>
    </row>
    <row r="209" spans="1:13">
      <c r="A209" s="422"/>
      <c r="B209" s="422" t="str">
        <f>+q25_b!$A$16</f>
        <v>Oeste</v>
      </c>
      <c r="C209" s="582">
        <f>+q25_b!$B$16</f>
        <v>771.78</v>
      </c>
      <c r="D209" s="582">
        <f>+q25_b!$C$16</f>
        <v>770.07</v>
      </c>
      <c r="E209" s="582">
        <f>+q25_b!$D$16</f>
        <v>785.59</v>
      </c>
      <c r="F209" s="582">
        <f>+q25_b!$E$16</f>
        <v>801.29</v>
      </c>
      <c r="G209" s="582">
        <f>+q25_b!$F$16</f>
        <v>821.95</v>
      </c>
      <c r="H209" s="582">
        <f>+q25_b!$G$16</f>
        <v>848.7</v>
      </c>
      <c r="I209" s="582">
        <f>+q25_b!$H$16</f>
        <v>884.55</v>
      </c>
      <c r="J209" s="582">
        <f>+q25_b!$I$16</f>
        <v>926.96</v>
      </c>
      <c r="K209" s="582">
        <f>+q25_b!$J$16</f>
        <v>966.4</v>
      </c>
      <c r="L209" s="582">
        <f>+q25_b!$K$16</f>
        <v>1033.98</v>
      </c>
      <c r="M209" s="582">
        <f>+q25_b!$L$16</f>
        <v>1100.1600000000001</v>
      </c>
    </row>
    <row r="210" spans="1:13">
      <c r="A210" s="422"/>
      <c r="B210" s="422" t="str">
        <f>+q25_b!$A$17</f>
        <v>Região de Aveiro</v>
      </c>
      <c r="C210" s="582">
        <f>+q25_b!$B$17</f>
        <v>840.87</v>
      </c>
      <c r="D210" s="582">
        <f>+q25_b!$C$17</f>
        <v>850.11</v>
      </c>
      <c r="E210" s="582">
        <f>+q25_b!$D$17</f>
        <v>860.22</v>
      </c>
      <c r="F210" s="582">
        <f>+q25_b!$E$17</f>
        <v>876.7</v>
      </c>
      <c r="G210" s="582">
        <f>+q25_b!$F$17</f>
        <v>907.62</v>
      </c>
      <c r="H210" s="582">
        <f>+q25_b!$G$17</f>
        <v>947.58</v>
      </c>
      <c r="I210" s="582">
        <f>+q25_b!$H$17</f>
        <v>970.59</v>
      </c>
      <c r="J210" s="582">
        <f>+q25_b!$I$17</f>
        <v>1011.7</v>
      </c>
      <c r="K210" s="582">
        <f>+q25_b!$J$17</f>
        <v>1065.4100000000001</v>
      </c>
      <c r="L210" s="582">
        <f>+q25_b!$K$17</f>
        <v>1142.06</v>
      </c>
      <c r="M210" s="582">
        <f>+q25_b!$L$17</f>
        <v>1223.23</v>
      </c>
    </row>
    <row r="211" spans="1:13">
      <c r="A211" s="422"/>
      <c r="B211" s="422" t="str">
        <f>+q25_b!$A$18</f>
        <v>Região de Coimbra</v>
      </c>
      <c r="C211" s="582">
        <f>+q25_b!$B$18</f>
        <v>798.25</v>
      </c>
      <c r="D211" s="582">
        <f>+q25_b!$C$18</f>
        <v>798.23</v>
      </c>
      <c r="E211" s="582">
        <f>+q25_b!$D$18</f>
        <v>813.19</v>
      </c>
      <c r="F211" s="582">
        <f>+q25_b!$E$18</f>
        <v>831.44</v>
      </c>
      <c r="G211" s="582">
        <f>+q25_b!$F$18</f>
        <v>860.34</v>
      </c>
      <c r="H211" s="582">
        <f>+q25_b!$G$18</f>
        <v>892.77</v>
      </c>
      <c r="I211" s="582">
        <f>+q25_b!$H$18</f>
        <v>921.46</v>
      </c>
      <c r="J211" s="582">
        <f>+q25_b!$I$18</f>
        <v>964.52</v>
      </c>
      <c r="K211" s="582">
        <f>+q25_b!$J$18</f>
        <v>1011.46</v>
      </c>
      <c r="L211" s="582">
        <f>+q25_b!$K$18</f>
        <v>1081.05</v>
      </c>
      <c r="M211" s="582">
        <f>+q25_b!$L$18</f>
        <v>1154.1500000000001</v>
      </c>
    </row>
    <row r="212" spans="1:13">
      <c r="A212" s="422"/>
      <c r="B212" s="422" t="str">
        <f>+q25_b!$A$19</f>
        <v>Região de Leiria</v>
      </c>
      <c r="C212" s="582">
        <f>+q25_b!$B$19</f>
        <v>816.84</v>
      </c>
      <c r="D212" s="582">
        <f>+q25_b!$C$19</f>
        <v>825.07</v>
      </c>
      <c r="E212" s="582">
        <f>+q25_b!$D$19</f>
        <v>839.81</v>
      </c>
      <c r="F212" s="582">
        <f>+q25_b!$E$19</f>
        <v>859.07</v>
      </c>
      <c r="G212" s="582">
        <f>+q25_b!$F$19</f>
        <v>894</v>
      </c>
      <c r="H212" s="582">
        <f>+q25_b!$G$19</f>
        <v>921.39</v>
      </c>
      <c r="I212" s="582">
        <f>+q25_b!$H$19</f>
        <v>947.75</v>
      </c>
      <c r="J212" s="582">
        <f>+q25_b!$I$19</f>
        <v>986.61</v>
      </c>
      <c r="K212" s="582">
        <f>+q25_b!$J$19</f>
        <v>1034.0899999999999</v>
      </c>
      <c r="L212" s="582">
        <f>+q25_b!$K$19</f>
        <v>1096.77</v>
      </c>
      <c r="M212" s="582">
        <f>+q25_b!$L$19</f>
        <v>1171.5899999999999</v>
      </c>
    </row>
    <row r="213" spans="1:13">
      <c r="A213" s="422"/>
      <c r="B213" s="422" t="str">
        <f>+q25_b!$A$20</f>
        <v>Viseu Dão Lafões</v>
      </c>
      <c r="C213" s="582">
        <f>+q25_b!$B$20</f>
        <v>742.83</v>
      </c>
      <c r="D213" s="582">
        <f>+q25_b!$C$20</f>
        <v>745.16</v>
      </c>
      <c r="E213" s="582">
        <f>+q25_b!$D$20</f>
        <v>757.72</v>
      </c>
      <c r="F213" s="582">
        <f>+q25_b!$E$20</f>
        <v>777.17</v>
      </c>
      <c r="G213" s="582">
        <f>+q25_b!$F$20</f>
        <v>802.22</v>
      </c>
      <c r="H213" s="582">
        <f>+q25_b!$G$20</f>
        <v>830.2</v>
      </c>
      <c r="I213" s="582">
        <f>+q25_b!$H$20</f>
        <v>862.87</v>
      </c>
      <c r="J213" s="582">
        <f>+q25_b!$I$20</f>
        <v>906.83</v>
      </c>
      <c r="K213" s="582">
        <f>+q25_b!$J$20</f>
        <v>944.07</v>
      </c>
      <c r="L213" s="582">
        <f>+q25_b!$K$20</f>
        <v>1009.72</v>
      </c>
      <c r="M213" s="582">
        <f>+q25_b!$L$20</f>
        <v>1078.24</v>
      </c>
    </row>
    <row r="214" spans="1:13">
      <c r="A214" s="422"/>
      <c r="B214" s="422" t="str">
        <f>+q25_b!$A$21</f>
        <v>Beira Baixa</v>
      </c>
      <c r="C214" s="582">
        <f>+q25_b!$B$21</f>
        <v>740.42</v>
      </c>
      <c r="D214" s="582">
        <f>+q25_b!$C$21</f>
        <v>743.42</v>
      </c>
      <c r="E214" s="582">
        <f>+q25_b!$D$21</f>
        <v>763.47</v>
      </c>
      <c r="F214" s="582">
        <f>+q25_b!$E$21</f>
        <v>777.73</v>
      </c>
      <c r="G214" s="582">
        <f>+q25_b!$F$21</f>
        <v>799.09</v>
      </c>
      <c r="H214" s="582">
        <f>+q25_b!$G$21</f>
        <v>825.89</v>
      </c>
      <c r="I214" s="582">
        <f>+q25_b!$H$21</f>
        <v>866.27</v>
      </c>
      <c r="J214" s="582">
        <f>+q25_b!$I$21</f>
        <v>908.52</v>
      </c>
      <c r="K214" s="582">
        <f>+q25_b!$J$21</f>
        <v>941.18</v>
      </c>
      <c r="L214" s="582">
        <f>+q25_b!$K$21</f>
        <v>1007.14</v>
      </c>
      <c r="M214" s="582">
        <f>+q25_b!$L$21</f>
        <v>1082.8599999999999</v>
      </c>
    </row>
    <row r="215" spans="1:13">
      <c r="A215" s="422"/>
      <c r="B215" s="422" t="str">
        <f>+q25_b!$A$22</f>
        <v>Médio Tejo</v>
      </c>
      <c r="C215" s="582">
        <f>+q25_b!$B$22</f>
        <v>777.41</v>
      </c>
      <c r="D215" s="582">
        <f>+q25_b!$C$22</f>
        <v>783.71</v>
      </c>
      <c r="E215" s="582">
        <f>+q25_b!$D$22</f>
        <v>788.65</v>
      </c>
      <c r="F215" s="582">
        <f>+q25_b!$E$22</f>
        <v>816.6</v>
      </c>
      <c r="G215" s="582">
        <f>+q25_b!$F$22</f>
        <v>835.37</v>
      </c>
      <c r="H215" s="582">
        <f>+q25_b!$G$22</f>
        <v>865.24</v>
      </c>
      <c r="I215" s="582">
        <f>+q25_b!$H$22</f>
        <v>896.69</v>
      </c>
      <c r="J215" s="582">
        <f>+q25_b!$I$22</f>
        <v>928.24</v>
      </c>
      <c r="K215" s="582">
        <f>+q25_b!$J$22</f>
        <v>961.86</v>
      </c>
      <c r="L215" s="582">
        <f>+q25_b!$K$22</f>
        <v>1027.3399999999999</v>
      </c>
      <c r="M215" s="582">
        <f>+q25_b!$L$22</f>
        <v>1099.72</v>
      </c>
    </row>
    <row r="216" spans="1:13">
      <c r="A216" s="422"/>
      <c r="B216" s="422" t="str">
        <f>+q25_b!$A$23</f>
        <v>Beiras e Serra da Estrela</v>
      </c>
      <c r="C216" s="582">
        <f>+q25_b!$B$23</f>
        <v>706.7</v>
      </c>
      <c r="D216" s="582">
        <f>+q25_b!$C$23</f>
        <v>713.67</v>
      </c>
      <c r="E216" s="582">
        <f>+q25_b!$D$23</f>
        <v>731.12</v>
      </c>
      <c r="F216" s="582">
        <f>+q25_b!$E$23</f>
        <v>752.07</v>
      </c>
      <c r="G216" s="582">
        <f>+q25_b!$F$23</f>
        <v>776.5</v>
      </c>
      <c r="H216" s="582">
        <f>+q25_b!$G$23</f>
        <v>807.38</v>
      </c>
      <c r="I216" s="582">
        <f>+q25_b!$H$23</f>
        <v>841.02</v>
      </c>
      <c r="J216" s="582">
        <f>+q25_b!$I$23</f>
        <v>877.51</v>
      </c>
      <c r="K216" s="582">
        <f>+q25_b!$J$23</f>
        <v>921.32</v>
      </c>
      <c r="L216" s="582">
        <f>+q25_b!$K$23</f>
        <v>979.61</v>
      </c>
      <c r="M216" s="582">
        <f>+q25_b!$L$23</f>
        <v>1058.19</v>
      </c>
    </row>
    <row r="217" spans="1:13">
      <c r="A217" s="422"/>
      <c r="B217" s="422" t="str">
        <f>+q25_b!$A$24</f>
        <v>Área Metropolitana de Lisboa</v>
      </c>
      <c r="C217" s="582">
        <f>+q25_b!$B$24</f>
        <v>1139.73</v>
      </c>
      <c r="D217" s="582">
        <f>+q25_b!$C$24</f>
        <v>1143.49</v>
      </c>
      <c r="E217" s="582">
        <f>+q25_b!$D$24</f>
        <v>1150.72</v>
      </c>
      <c r="F217" s="582">
        <f>+q25_b!$E$24</f>
        <v>1166.67</v>
      </c>
      <c r="G217" s="582">
        <f>+q25_b!$F$24</f>
        <v>1187.08</v>
      </c>
      <c r="H217" s="582">
        <f>+q25_b!$G$24</f>
        <v>1221.83</v>
      </c>
      <c r="I217" s="582">
        <f>+q25_b!$H$24</f>
        <v>1257.56</v>
      </c>
      <c r="J217" s="582">
        <f>+q25_b!$I$24</f>
        <v>1301.0999999999999</v>
      </c>
      <c r="K217" s="582">
        <f>+q25_b!$J$24</f>
        <v>1376.38</v>
      </c>
      <c r="L217" s="582">
        <f>+q25_b!$K$24</f>
        <v>1462.95</v>
      </c>
      <c r="M217" s="582">
        <f>+q25_b!$L$24</f>
        <v>1554.49</v>
      </c>
    </row>
    <row r="218" spans="1:13">
      <c r="A218" s="422"/>
      <c r="B218" s="422" t="str">
        <f>+q25_b!$A$26</f>
        <v>Alentejo Litoral</v>
      </c>
      <c r="C218" s="582">
        <f>+q25_b!$B$26</f>
        <v>893.32</v>
      </c>
      <c r="D218" s="582">
        <f>+q25_b!$C$26</f>
        <v>884.28</v>
      </c>
      <c r="E218" s="582">
        <f>+q25_b!$D$26</f>
        <v>882.81</v>
      </c>
      <c r="F218" s="582">
        <f>+q25_b!$E$26</f>
        <v>894.34</v>
      </c>
      <c r="G218" s="582">
        <f>+q25_b!$F$26</f>
        <v>914.74</v>
      </c>
      <c r="H218" s="582">
        <f>+q25_b!$G$26</f>
        <v>916.54</v>
      </c>
      <c r="I218" s="582">
        <f>+q25_b!$H$26</f>
        <v>952</v>
      </c>
      <c r="J218" s="582">
        <f>+q25_b!$I$26</f>
        <v>976.17</v>
      </c>
      <c r="K218" s="582">
        <f>+q25_b!$J$26</f>
        <v>1023.18</v>
      </c>
      <c r="L218" s="582">
        <f>+q25_b!$K$26</f>
        <v>1108.18</v>
      </c>
      <c r="M218" s="582">
        <f>+q25_b!$L$26</f>
        <v>1180.01</v>
      </c>
    </row>
    <row r="219" spans="1:13">
      <c r="A219" s="422"/>
      <c r="B219" s="422" t="str">
        <f>+q25_b!$A$27</f>
        <v>Baixo Alentejo</v>
      </c>
      <c r="C219" s="582">
        <f>+q25_b!$B$27</f>
        <v>786.13</v>
      </c>
      <c r="D219" s="582">
        <f>+q25_b!$C$27</f>
        <v>793.32</v>
      </c>
      <c r="E219" s="582">
        <f>+q25_b!$D$27</f>
        <v>797.44</v>
      </c>
      <c r="F219" s="582">
        <f>+q25_b!$E$27</f>
        <v>822.89</v>
      </c>
      <c r="G219" s="582">
        <f>+q25_b!$F$27</f>
        <v>852.59</v>
      </c>
      <c r="H219" s="582">
        <f>+q25_b!$G$27</f>
        <v>885.25</v>
      </c>
      <c r="I219" s="582">
        <f>+q25_b!$H$27</f>
        <v>911.63</v>
      </c>
      <c r="J219" s="582">
        <f>+q25_b!$I$27</f>
        <v>950.68</v>
      </c>
      <c r="K219" s="582">
        <f>+q25_b!$J$27</f>
        <v>994.2</v>
      </c>
      <c r="L219" s="582">
        <f>+q25_b!$K$27</f>
        <v>1044.58</v>
      </c>
      <c r="M219" s="582">
        <f>+q25_b!$L$27</f>
        <v>1119.75</v>
      </c>
    </row>
    <row r="220" spans="1:13">
      <c r="A220" s="422"/>
      <c r="B220" s="422" t="str">
        <f>+q25_b!$A$28</f>
        <v>Lezíria do Tejo</v>
      </c>
      <c r="C220" s="582">
        <f>+q25_b!$B$28</f>
        <v>802.58</v>
      </c>
      <c r="D220" s="582">
        <f>+q25_b!$C$28</f>
        <v>810.85</v>
      </c>
      <c r="E220" s="582">
        <f>+q25_b!$D$28</f>
        <v>811.7</v>
      </c>
      <c r="F220" s="582">
        <f>+q25_b!$E$28</f>
        <v>823.12</v>
      </c>
      <c r="G220" s="582">
        <f>+q25_b!$F$28</f>
        <v>841.64</v>
      </c>
      <c r="H220" s="582">
        <f>+q25_b!$G$28</f>
        <v>858.78</v>
      </c>
      <c r="I220" s="582">
        <f>+q25_b!$H$28</f>
        <v>892.52</v>
      </c>
      <c r="J220" s="582">
        <f>+q25_b!$I$28</f>
        <v>927.76</v>
      </c>
      <c r="K220" s="582">
        <f>+q25_b!$J$28</f>
        <v>973.65</v>
      </c>
      <c r="L220" s="582">
        <f>+q25_b!$K$28</f>
        <v>1036.5899999999999</v>
      </c>
      <c r="M220" s="582">
        <f>+q25_b!$L$28</f>
        <v>1104.77</v>
      </c>
    </row>
    <row r="221" spans="1:13">
      <c r="A221" s="422"/>
      <c r="B221" s="422" t="str">
        <f>+q25_b!$A$29</f>
        <v>Alto Alentejo</v>
      </c>
      <c r="C221" s="582">
        <f>+q25_b!$B$29</f>
        <v>754.22</v>
      </c>
      <c r="D221" s="582">
        <f>+q25_b!$C$29</f>
        <v>755.71</v>
      </c>
      <c r="E221" s="582">
        <f>+q25_b!$D$29</f>
        <v>767.83</v>
      </c>
      <c r="F221" s="582">
        <f>+q25_b!$E$29</f>
        <v>783.59</v>
      </c>
      <c r="G221" s="582">
        <f>+q25_b!$F$29</f>
        <v>805.96</v>
      </c>
      <c r="H221" s="582">
        <f>+q25_b!$G$29</f>
        <v>828.76</v>
      </c>
      <c r="I221" s="582">
        <f>+q25_b!$H$29</f>
        <v>863.38</v>
      </c>
      <c r="J221" s="582">
        <f>+q25_b!$I$29</f>
        <v>899.36</v>
      </c>
      <c r="K221" s="582">
        <f>+q25_b!$J$29</f>
        <v>939.13</v>
      </c>
      <c r="L221" s="582">
        <f>+q25_b!$K$29</f>
        <v>990.36</v>
      </c>
      <c r="M221" s="582">
        <f>+q25_b!$L$29</f>
        <v>1064.08</v>
      </c>
    </row>
    <row r="222" spans="1:13">
      <c r="A222" s="422"/>
      <c r="B222" s="422" t="str">
        <f>+q25_b!$A$30</f>
        <v>Alentejo Central</v>
      </c>
      <c r="C222" s="582">
        <f>+q25_b!$B$30</f>
        <v>791.91</v>
      </c>
      <c r="D222" s="582">
        <f>+q25_b!$C$30</f>
        <v>796.55</v>
      </c>
      <c r="E222" s="582">
        <f>+q25_b!$D$30</f>
        <v>804.02</v>
      </c>
      <c r="F222" s="582">
        <f>+q25_b!$E$30</f>
        <v>819.6</v>
      </c>
      <c r="G222" s="582">
        <f>+q25_b!$F$30</f>
        <v>839.16</v>
      </c>
      <c r="H222" s="582">
        <f>+q25_b!$G$30</f>
        <v>861.13</v>
      </c>
      <c r="I222" s="582">
        <f>+q25_b!$H$30</f>
        <v>898.01</v>
      </c>
      <c r="J222" s="582">
        <f>+q25_b!$I$30</f>
        <v>931.83</v>
      </c>
      <c r="K222" s="582">
        <f>+q25_b!$J$30</f>
        <v>984.11</v>
      </c>
      <c r="L222" s="582">
        <f>+q25_b!$K$30</f>
        <v>1049.8499999999999</v>
      </c>
      <c r="M222" s="582">
        <f>+q25_b!$L$30</f>
        <v>1125.55</v>
      </c>
    </row>
    <row r="223" spans="1:13">
      <c r="A223" s="422"/>
      <c r="B223" s="422" t="str">
        <f>+q25_b!$A$31</f>
        <v>Algarve</v>
      </c>
      <c r="C223" s="582">
        <f>+q25_b!$B$31</f>
        <v>780.52</v>
      </c>
      <c r="D223" s="582">
        <f>+q25_b!$C$31</f>
        <v>781.12</v>
      </c>
      <c r="E223" s="582">
        <f>+q25_b!$D$31</f>
        <v>793.76</v>
      </c>
      <c r="F223" s="582">
        <f>+q25_b!$E$31</f>
        <v>810.99</v>
      </c>
      <c r="G223" s="582">
        <f>+q25_b!$F$31</f>
        <v>836.09</v>
      </c>
      <c r="H223" s="582">
        <f>+q25_b!$G$31</f>
        <v>861.15</v>
      </c>
      <c r="I223" s="582">
        <f>+q25_b!$H$31</f>
        <v>897.18</v>
      </c>
      <c r="J223" s="582">
        <f>+q25_b!$I$31</f>
        <v>928.44</v>
      </c>
      <c r="K223" s="582">
        <f>+q25_b!$J$31</f>
        <v>965.83</v>
      </c>
      <c r="L223" s="582">
        <f>+q25_b!$K$31</f>
        <v>1031.25</v>
      </c>
      <c r="M223" s="582">
        <f>+q25_b!$L$31</f>
        <v>1095.01</v>
      </c>
    </row>
    <row r="224" spans="1:13">
      <c r="A224" s="422"/>
      <c r="B224" s="422" t="s">
        <v>13</v>
      </c>
      <c r="C224" s="582">
        <f>+q25_b!$B$5</f>
        <v>909.49</v>
      </c>
      <c r="D224" s="582">
        <f>+q25_b!$C$5</f>
        <v>913.93</v>
      </c>
      <c r="E224" s="582">
        <f>+q25_b!$D$5</f>
        <v>924.94</v>
      </c>
      <c r="F224" s="582">
        <f>+q25_b!$E$5</f>
        <v>943</v>
      </c>
      <c r="G224" s="582">
        <f>+q25_b!$F$5</f>
        <v>970.42</v>
      </c>
      <c r="H224" s="582">
        <f>+q25_b!$G$5</f>
        <v>1005.09</v>
      </c>
      <c r="I224" s="582">
        <f>+q25_b!$H$5</f>
        <v>1041.99</v>
      </c>
      <c r="J224" s="582">
        <f>+q25_b!$I$5</f>
        <v>1082.77</v>
      </c>
      <c r="K224" s="582">
        <f>+q25_b!$J$5</f>
        <v>1143.45</v>
      </c>
      <c r="L224" s="582">
        <f>+q25_b!$K$5</f>
        <v>1219.8699999999999</v>
      </c>
      <c r="M224" s="582">
        <f>+q25_b!$L$5</f>
        <v>1308.96</v>
      </c>
    </row>
    <row r="225" spans="1:13">
      <c r="B225" s="422"/>
      <c r="C225" s="582"/>
      <c r="D225" s="582"/>
      <c r="E225" s="582"/>
      <c r="F225" s="582"/>
      <c r="G225" s="582"/>
      <c r="H225" s="582"/>
      <c r="I225" s="582"/>
      <c r="J225" s="582"/>
      <c r="K225" s="582"/>
      <c r="L225" s="582"/>
      <c r="M225" s="582"/>
    </row>
    <row r="229" spans="1:13">
      <c r="A229" s="422" t="s">
        <v>906</v>
      </c>
      <c r="D229" s="423"/>
    </row>
    <row r="230" spans="1:13">
      <c r="A230" s="547" t="s">
        <v>269</v>
      </c>
      <c r="C230" s="422">
        <f>+'q37'!$B$4</f>
        <v>2014</v>
      </c>
      <c r="D230" s="422">
        <f>+'q37'!$C$4</f>
        <v>2015</v>
      </c>
      <c r="E230" s="422">
        <f>+'q37'!$D$4</f>
        <v>2016</v>
      </c>
      <c r="F230" s="422">
        <f>+'q37'!$E$4</f>
        <v>2017</v>
      </c>
      <c r="G230" s="422">
        <f>+'q37'!$F$4</f>
        <v>2018</v>
      </c>
      <c r="H230" s="422">
        <f>+'q37'!$G$4</f>
        <v>2019</v>
      </c>
      <c r="I230" s="422">
        <f>+'q37'!$H$4</f>
        <v>2020</v>
      </c>
      <c r="J230" s="422">
        <f>+'q37'!$I$4</f>
        <v>2021</v>
      </c>
      <c r="K230" s="422">
        <f>+'q37'!$J$4</f>
        <v>2022</v>
      </c>
      <c r="L230" s="422">
        <f>+'q37'!$K$4</f>
        <v>2023</v>
      </c>
      <c r="M230" s="422">
        <f>+'q37'!$L$4</f>
        <v>2024</v>
      </c>
    </row>
    <row r="231" spans="1:13">
      <c r="A231" s="422" t="s">
        <v>524</v>
      </c>
      <c r="B231" s="422" t="str">
        <f>+q37_b!$A$6</f>
        <v>Norte</v>
      </c>
      <c r="C231" s="582">
        <f>+q37_b!$B$6</f>
        <v>967.2</v>
      </c>
      <c r="D231" s="582">
        <f>+q37_b!$C$6</f>
        <v>975.01</v>
      </c>
      <c r="E231" s="582">
        <f>+q37_b!$D$6</f>
        <v>986.93</v>
      </c>
      <c r="F231" s="582">
        <f>+q37_b!$E$6</f>
        <v>1015.58</v>
      </c>
      <c r="G231" s="582">
        <f>+q37_b!$F$6</f>
        <v>1056.5999999999999</v>
      </c>
      <c r="H231" s="582">
        <f>+q37_b!$G$6</f>
        <v>1100.44</v>
      </c>
      <c r="I231" s="582">
        <f>+q37_b!$H$6</f>
        <v>1145.23</v>
      </c>
      <c r="J231" s="582">
        <f>+q37_b!$I$6</f>
        <v>1187.19</v>
      </c>
      <c r="K231" s="582">
        <f>+q37_b!$J$6</f>
        <v>1253.46</v>
      </c>
      <c r="L231" s="582">
        <f>+q37_b!$K$6</f>
        <v>1348.66</v>
      </c>
      <c r="M231" s="582">
        <f>+q37_b!$L$6</f>
        <v>1474.68</v>
      </c>
    </row>
    <row r="232" spans="1:13">
      <c r="A232" s="422"/>
      <c r="B232" s="422" t="str">
        <f>+q37_b!$A$15</f>
        <v>Centro</v>
      </c>
      <c r="C232" s="582">
        <f>+q37_b!$B$15</f>
        <v>945.62</v>
      </c>
      <c r="D232" s="582">
        <f>+q37_b!$C$15</f>
        <v>950.55</v>
      </c>
      <c r="E232" s="582">
        <f>+q37_b!$D$15</f>
        <v>966.29</v>
      </c>
      <c r="F232" s="582">
        <f>+q37_b!$E$15</f>
        <v>995.19</v>
      </c>
      <c r="G232" s="582">
        <f>+q37_b!$F$15</f>
        <v>1032.83</v>
      </c>
      <c r="H232" s="582">
        <f>+q37_b!$G$15</f>
        <v>1070.6600000000001</v>
      </c>
      <c r="I232" s="582">
        <f>+q37_b!$H$15</f>
        <v>1104.06</v>
      </c>
      <c r="J232" s="582">
        <f>+q37_b!$I$15</f>
        <v>1147.1099999999999</v>
      </c>
      <c r="K232" s="582">
        <f>+q37_b!$J$15</f>
        <v>1204.23</v>
      </c>
      <c r="L232" s="582">
        <f>+q37_b!$K$15</f>
        <v>1291.06</v>
      </c>
      <c r="M232" s="582">
        <f>+q37_b!$L$15</f>
        <v>1393.64</v>
      </c>
    </row>
    <row r="233" spans="1:13">
      <c r="A233" s="422"/>
      <c r="B233" s="422" t="str">
        <f>+q37_b!$A$24</f>
        <v>Área Metropolitana de Lisboa</v>
      </c>
      <c r="C233" s="582">
        <f>+q37_b!$B$24</f>
        <v>1378.34</v>
      </c>
      <c r="D233" s="582">
        <f>+q37_b!$C$24</f>
        <v>1380.08</v>
      </c>
      <c r="E233" s="582">
        <f>+q37_b!$D$24</f>
        <v>1388.49</v>
      </c>
      <c r="F233" s="582">
        <f>+q37_b!$E$24</f>
        <v>1410.52</v>
      </c>
      <c r="G233" s="582">
        <f>+q37_b!$F$24</f>
        <v>1440.11</v>
      </c>
      <c r="H233" s="582">
        <f>+q37_b!$G$24</f>
        <v>1477.39</v>
      </c>
      <c r="I233" s="582">
        <f>+q37_b!$H$24</f>
        <v>1516.42</v>
      </c>
      <c r="J233" s="582">
        <f>+q37_b!$I$24</f>
        <v>1562.69</v>
      </c>
      <c r="K233" s="582">
        <f>+q37_b!$J$24</f>
        <v>1655.56</v>
      </c>
      <c r="L233" s="582">
        <f>+q37_b!$K$24</f>
        <v>1765.15</v>
      </c>
      <c r="M233" s="582">
        <f>+q37_b!$L$24</f>
        <v>1880.94</v>
      </c>
    </row>
    <row r="234" spans="1:13">
      <c r="A234" s="422"/>
      <c r="B234" s="422" t="str">
        <f>+q37_b!$A$25</f>
        <v>Alentejo</v>
      </c>
      <c r="C234" s="582">
        <f>+q37_b!$B$25</f>
        <v>990.15</v>
      </c>
      <c r="D234" s="582">
        <f>+q37_b!$C$25</f>
        <v>994.42</v>
      </c>
      <c r="E234" s="582">
        <f>+q37_b!$D$25</f>
        <v>997.77</v>
      </c>
      <c r="F234" s="582">
        <f>+q37_b!$E$25</f>
        <v>1016.4</v>
      </c>
      <c r="G234" s="582">
        <f>+q37_b!$F$25</f>
        <v>1051.0899999999999</v>
      </c>
      <c r="H234" s="582">
        <f>+q37_b!$G$25</f>
        <v>1067.82</v>
      </c>
      <c r="I234" s="582">
        <f>+q37_b!$H$25</f>
        <v>1107.8499999999999</v>
      </c>
      <c r="J234" s="582">
        <f>+q37_b!$I$25</f>
        <v>1154.01</v>
      </c>
      <c r="K234" s="582">
        <f>+q37_b!$J$25</f>
        <v>1209.19</v>
      </c>
      <c r="L234" s="582">
        <f>+q37_b!$K$25</f>
        <v>1303.8800000000001</v>
      </c>
      <c r="M234" s="582">
        <f>+q37_b!$L$25</f>
        <v>1393.47</v>
      </c>
    </row>
    <row r="235" spans="1:13">
      <c r="A235" s="422"/>
      <c r="B235" s="422" t="str">
        <f>+q37_b!$A$31</f>
        <v>Algarve</v>
      </c>
      <c r="C235" s="582">
        <f>+q37_b!$B$31</f>
        <v>927.58</v>
      </c>
      <c r="D235" s="582">
        <f>+q37_b!$C$31</f>
        <v>926.13</v>
      </c>
      <c r="E235" s="582">
        <f>+q37_b!$D$31</f>
        <v>942.73</v>
      </c>
      <c r="F235" s="582">
        <f>+q37_b!$E$31</f>
        <v>968.19</v>
      </c>
      <c r="G235" s="582">
        <f>+q37_b!$F$31</f>
        <v>999.05</v>
      </c>
      <c r="H235" s="582">
        <f>+q37_b!$G$31</f>
        <v>1029.01</v>
      </c>
      <c r="I235" s="582">
        <f>+q37_b!$H$31</f>
        <v>1070.96</v>
      </c>
      <c r="J235" s="582">
        <f>+q37_b!$I$31</f>
        <v>1106.32</v>
      </c>
      <c r="K235" s="582">
        <f>+q37_b!$J$31</f>
        <v>1150.81</v>
      </c>
      <c r="L235" s="582">
        <f>+q37_b!$K$31</f>
        <v>1238.68</v>
      </c>
      <c r="M235" s="582">
        <f>+q37_b!$L$31</f>
        <v>1320.22</v>
      </c>
    </row>
    <row r="236" spans="1:13">
      <c r="A236" s="422"/>
      <c r="B236" s="422" t="s">
        <v>13</v>
      </c>
      <c r="C236" s="582">
        <f>+q37_b!$B$5</f>
        <v>1093.21</v>
      </c>
      <c r="D236" s="582">
        <f>+q37_b!$C$5</f>
        <v>1096.6600000000001</v>
      </c>
      <c r="E236" s="582">
        <f>+q37_b!$D$5</f>
        <v>1107.8599999999999</v>
      </c>
      <c r="F236" s="582">
        <f>+q37_b!$E$5</f>
        <v>1133.3399999999999</v>
      </c>
      <c r="G236" s="582">
        <f>+q37_b!$F$5</f>
        <v>1170.25</v>
      </c>
      <c r="H236" s="582">
        <f>+q37_b!$G$5</f>
        <v>1209.94</v>
      </c>
      <c r="I236" s="582">
        <f>+q37_b!$H$5</f>
        <v>1250.75</v>
      </c>
      <c r="J236" s="582">
        <f>+q37_b!$I$5</f>
        <v>1294.1099999999999</v>
      </c>
      <c r="K236" s="582">
        <f>+q37_b!$J$5</f>
        <v>1368</v>
      </c>
      <c r="L236" s="582">
        <f>+q37_b!$K$5</f>
        <v>1466.66</v>
      </c>
      <c r="M236" s="582">
        <f>+q37_b!$L$5</f>
        <v>1582.75</v>
      </c>
    </row>
    <row r="237" spans="1:13">
      <c r="A237" s="422"/>
      <c r="B237" s="422"/>
      <c r="C237" s="582"/>
      <c r="D237" s="582"/>
      <c r="E237" s="582"/>
      <c r="F237" s="582"/>
      <c r="G237" s="582"/>
      <c r="H237" s="582"/>
      <c r="I237" s="582"/>
      <c r="J237" s="582"/>
      <c r="K237" s="582"/>
      <c r="L237" s="582"/>
      <c r="M237" s="582"/>
    </row>
    <row r="238" spans="1:13">
      <c r="B238" s="422"/>
      <c r="C238" s="582"/>
      <c r="D238" s="582"/>
      <c r="E238" s="582"/>
      <c r="F238" s="582"/>
      <c r="G238" s="582"/>
      <c r="H238" s="582"/>
      <c r="I238" s="582"/>
      <c r="J238" s="582"/>
      <c r="K238" s="582"/>
      <c r="L238" s="582"/>
      <c r="M238" s="582"/>
    </row>
    <row r="239" spans="1:13">
      <c r="B239" s="422"/>
      <c r="C239" s="433"/>
      <c r="D239" s="433"/>
      <c r="E239" s="433"/>
      <c r="F239" s="433"/>
      <c r="G239" s="433"/>
      <c r="H239" s="433"/>
      <c r="I239" s="433"/>
      <c r="J239" s="433"/>
      <c r="K239" s="433"/>
      <c r="L239" s="433"/>
      <c r="M239" s="433"/>
    </row>
    <row r="240" spans="1:13">
      <c r="C240" s="422">
        <f>+C230</f>
        <v>2014</v>
      </c>
      <c r="D240" s="422">
        <f t="shared" ref="D240:M240" si="64">+D230</f>
        <v>2015</v>
      </c>
      <c r="E240" s="422">
        <f t="shared" si="64"/>
        <v>2016</v>
      </c>
      <c r="F240" s="422">
        <f t="shared" si="64"/>
        <v>2017</v>
      </c>
      <c r="G240" s="422">
        <f t="shared" si="64"/>
        <v>2018</v>
      </c>
      <c r="H240" s="422">
        <f t="shared" si="64"/>
        <v>2019</v>
      </c>
      <c r="I240" s="422">
        <f t="shared" si="64"/>
        <v>2020</v>
      </c>
      <c r="J240" s="422">
        <f t="shared" si="64"/>
        <v>2021</v>
      </c>
      <c r="K240" s="422">
        <f t="shared" si="64"/>
        <v>2022</v>
      </c>
      <c r="L240" s="422">
        <f t="shared" si="64"/>
        <v>2023</v>
      </c>
      <c r="M240" s="422">
        <f t="shared" si="64"/>
        <v>2024</v>
      </c>
    </row>
    <row r="241" spans="1:13">
      <c r="A241" s="422" t="s">
        <v>525</v>
      </c>
      <c r="B241" s="422" t="str">
        <f>+q37_b!$A$7</f>
        <v>Alto Minho</v>
      </c>
      <c r="C241" s="582">
        <f>+q37_b!$B$7</f>
        <v>881.13</v>
      </c>
      <c r="D241" s="582">
        <f>+q37_b!$C$7</f>
        <v>895.53</v>
      </c>
      <c r="E241" s="582">
        <f>+q37_b!$D$7</f>
        <v>899.57</v>
      </c>
      <c r="F241" s="582">
        <f>+q37_b!$E$7</f>
        <v>950.1</v>
      </c>
      <c r="G241" s="582">
        <f>+q37_b!$F$7</f>
        <v>978.08</v>
      </c>
      <c r="H241" s="582">
        <f>+q37_b!$G$7</f>
        <v>1013.26</v>
      </c>
      <c r="I241" s="582">
        <f>+q37_b!$H$7</f>
        <v>1057.21</v>
      </c>
      <c r="J241" s="582">
        <f>+q37_b!$I$7</f>
        <v>1094.98</v>
      </c>
      <c r="K241" s="582">
        <f>+q37_b!$J$7</f>
        <v>1154.3399999999999</v>
      </c>
      <c r="L241" s="582">
        <f>+q37_b!$K$7</f>
        <v>1237.67</v>
      </c>
      <c r="M241" s="582">
        <f>+q37_b!$L$7</f>
        <v>1340.14</v>
      </c>
    </row>
    <row r="242" spans="1:13">
      <c r="A242" s="422"/>
      <c r="B242" s="422" t="str">
        <f>+q37_b!$A$8</f>
        <v>Cávado</v>
      </c>
      <c r="C242" s="582">
        <f>+q37_b!$B$8</f>
        <v>896.26</v>
      </c>
      <c r="D242" s="582">
        <f>+q37_b!$C$8</f>
        <v>899.93</v>
      </c>
      <c r="E242" s="582">
        <f>+q37_b!$D$8</f>
        <v>913.42</v>
      </c>
      <c r="F242" s="582">
        <f>+q37_b!$E$8</f>
        <v>948.41</v>
      </c>
      <c r="G242" s="582">
        <f>+q37_b!$F$8</f>
        <v>988.7</v>
      </c>
      <c r="H242" s="582">
        <f>+q37_b!$G$8</f>
        <v>1044.54</v>
      </c>
      <c r="I242" s="582">
        <f>+q37_b!$H$8</f>
        <v>1088.49</v>
      </c>
      <c r="J242" s="582">
        <f>+q37_b!$I$8</f>
        <v>1134.32</v>
      </c>
      <c r="K242" s="582">
        <f>+q37_b!$J$8</f>
        <v>1183.08</v>
      </c>
      <c r="L242" s="582">
        <f>+q37_b!$K$8</f>
        <v>1276.47</v>
      </c>
      <c r="M242" s="582">
        <f>+q37_b!$L$8</f>
        <v>1403.34</v>
      </c>
    </row>
    <row r="243" spans="1:13">
      <c r="A243" s="422"/>
      <c r="B243" s="422" t="str">
        <f>+q37_b!$A$9</f>
        <v>Ave</v>
      </c>
      <c r="C243" s="582">
        <f>+q37_b!$B$9</f>
        <v>860.01</v>
      </c>
      <c r="D243" s="582">
        <f>+q37_b!$C$9</f>
        <v>866.17</v>
      </c>
      <c r="E243" s="582">
        <f>+q37_b!$D$9</f>
        <v>883.04</v>
      </c>
      <c r="F243" s="582">
        <f>+q37_b!$E$9</f>
        <v>916.3</v>
      </c>
      <c r="G243" s="582">
        <f>+q37_b!$F$9</f>
        <v>952.13</v>
      </c>
      <c r="H243" s="582">
        <f>+q37_b!$G$9</f>
        <v>984.13</v>
      </c>
      <c r="I243" s="582">
        <f>+q37_b!$H$9</f>
        <v>1030.3399999999999</v>
      </c>
      <c r="J243" s="582">
        <f>+q37_b!$I$9</f>
        <v>1080.78</v>
      </c>
      <c r="K243" s="582">
        <f>+q37_b!$J$9</f>
        <v>1132.33</v>
      </c>
      <c r="L243" s="582">
        <f>+q37_b!$K$9</f>
        <v>1215.1300000000001</v>
      </c>
      <c r="M243" s="582">
        <f>+q37_b!$L$9</f>
        <v>1321.75</v>
      </c>
    </row>
    <row r="244" spans="1:13">
      <c r="A244" s="422"/>
      <c r="B244" s="422" t="str">
        <f>+q37_b!$A$10</f>
        <v>Área Metropolitana do Porto</v>
      </c>
      <c r="C244" s="582">
        <f>+q37_b!$B$10</f>
        <v>1075.96</v>
      </c>
      <c r="D244" s="582">
        <f>+q37_b!$C$10</f>
        <v>1084.73</v>
      </c>
      <c r="E244" s="582">
        <f>+q37_b!$D$10</f>
        <v>1095.5</v>
      </c>
      <c r="F244" s="582">
        <f>+q37_b!$E$10</f>
        <v>1118.23</v>
      </c>
      <c r="G244" s="582">
        <f>+q37_b!$F$10</f>
        <v>1164.5899999999999</v>
      </c>
      <c r="H244" s="582">
        <f>+q37_b!$G$10</f>
        <v>1208.1300000000001</v>
      </c>
      <c r="I244" s="582">
        <f>+q37_b!$H$10</f>
        <v>1257.1099999999999</v>
      </c>
      <c r="J244" s="582">
        <f>+q37_b!$I$10</f>
        <v>1301.06</v>
      </c>
      <c r="K244" s="582">
        <f>+q37_b!$J$10</f>
        <v>1378.56</v>
      </c>
      <c r="L244" s="582">
        <f>+q37_b!$K$10</f>
        <v>1480.08</v>
      </c>
      <c r="M244" s="582">
        <f>+q37_b!$L$10</f>
        <v>1620.05</v>
      </c>
    </row>
    <row r="245" spans="1:13">
      <c r="A245" s="422"/>
      <c r="B245" s="422" t="str">
        <f>+q37_b!$A$11</f>
        <v>Alto Tâmega</v>
      </c>
      <c r="C245" s="582">
        <f>+q37_b!$B$11</f>
        <v>814.78</v>
      </c>
      <c r="D245" s="582">
        <f>+q37_b!$C$11</f>
        <v>810.7</v>
      </c>
      <c r="E245" s="582">
        <f>+q37_b!$D$11</f>
        <v>844.1</v>
      </c>
      <c r="F245" s="582">
        <f>+q37_b!$E$11</f>
        <v>919.39</v>
      </c>
      <c r="G245" s="582">
        <f>+q37_b!$F$11</f>
        <v>941.5</v>
      </c>
      <c r="H245" s="582">
        <f>+q37_b!$G$11</f>
        <v>954.21</v>
      </c>
      <c r="I245" s="582">
        <f>+q37_b!$H$11</f>
        <v>975.61</v>
      </c>
      <c r="J245" s="582">
        <f>+q37_b!$I$11</f>
        <v>995.06</v>
      </c>
      <c r="K245" s="582">
        <f>+q37_b!$J$11</f>
        <v>1043.3699999999999</v>
      </c>
      <c r="L245" s="582">
        <f>+q37_b!$K$11</f>
        <v>1128.21</v>
      </c>
      <c r="M245" s="582">
        <f>+q37_b!$L$11</f>
        <v>1207.05</v>
      </c>
    </row>
    <row r="246" spans="1:13">
      <c r="A246" s="422"/>
      <c r="B246" s="422" t="str">
        <f>+q37_b!$A$12</f>
        <v>Tâmega e Sousa</v>
      </c>
      <c r="C246" s="582">
        <f>+q37_b!$B$12</f>
        <v>773.97</v>
      </c>
      <c r="D246" s="582">
        <f>+q37_b!$C$12</f>
        <v>781.94</v>
      </c>
      <c r="E246" s="582">
        <f>+q37_b!$D$12</f>
        <v>796.84</v>
      </c>
      <c r="F246" s="582">
        <f>+q37_b!$E$12</f>
        <v>821.23</v>
      </c>
      <c r="G246" s="582">
        <f>+q37_b!$F$12</f>
        <v>858.44</v>
      </c>
      <c r="H246" s="582">
        <f>+q37_b!$G$12</f>
        <v>898.09</v>
      </c>
      <c r="I246" s="582">
        <f>+q37_b!$H$12</f>
        <v>936.96</v>
      </c>
      <c r="J246" s="582">
        <f>+q37_b!$I$12</f>
        <v>980.68</v>
      </c>
      <c r="K246" s="582">
        <f>+q37_b!$J$12</f>
        <v>1026.1300000000001</v>
      </c>
      <c r="L246" s="582">
        <f>+q37_b!$K$12</f>
        <v>1107.17</v>
      </c>
      <c r="M246" s="582">
        <f>+q37_b!$L$12</f>
        <v>1210.7</v>
      </c>
    </row>
    <row r="247" spans="1:13">
      <c r="A247" s="422"/>
      <c r="B247" s="422" t="str">
        <f>+q37_b!$A$13</f>
        <v>Douro</v>
      </c>
      <c r="C247" s="582">
        <f>+q37_b!$B$13</f>
        <v>878.1</v>
      </c>
      <c r="D247" s="582">
        <f>+q37_b!$C$13</f>
        <v>887.03</v>
      </c>
      <c r="E247" s="582">
        <f>+q37_b!$D$13</f>
        <v>882.6</v>
      </c>
      <c r="F247" s="582">
        <f>+q37_b!$E$13</f>
        <v>899.6</v>
      </c>
      <c r="G247" s="582">
        <f>+q37_b!$F$13</f>
        <v>936.21</v>
      </c>
      <c r="H247" s="582">
        <f>+q37_b!$G$13</f>
        <v>971.09</v>
      </c>
      <c r="I247" s="582">
        <f>+q37_b!$H$13</f>
        <v>993.68</v>
      </c>
      <c r="J247" s="582">
        <f>+q37_b!$I$13</f>
        <v>1031.52</v>
      </c>
      <c r="K247" s="582">
        <f>+q37_b!$J$13</f>
        <v>1089.0999999999999</v>
      </c>
      <c r="L247" s="582">
        <f>+q37_b!$K$13</f>
        <v>1168.78</v>
      </c>
      <c r="M247" s="582">
        <f>+q37_b!$L$13</f>
        <v>1268.7</v>
      </c>
    </row>
    <row r="248" spans="1:13">
      <c r="A248" s="422"/>
      <c r="B248" s="422" t="str">
        <f>+q37_b!$A$14</f>
        <v>Terras de Trás-os-Montes</v>
      </c>
      <c r="C248" s="582">
        <f>+q37_b!$B$14</f>
        <v>834.9</v>
      </c>
      <c r="D248" s="582">
        <f>+q37_b!$C$14</f>
        <v>845.13</v>
      </c>
      <c r="E248" s="582">
        <f>+q37_b!$D$14</f>
        <v>868.28</v>
      </c>
      <c r="F248" s="582">
        <f>+q37_b!$E$14</f>
        <v>890.97</v>
      </c>
      <c r="G248" s="582">
        <f>+q37_b!$F$14</f>
        <v>918.08</v>
      </c>
      <c r="H248" s="582">
        <f>+q37_b!$G$14</f>
        <v>953.02</v>
      </c>
      <c r="I248" s="582">
        <f>+q37_b!$H$14</f>
        <v>988.17</v>
      </c>
      <c r="J248" s="582">
        <f>+q37_b!$I$14</f>
        <v>1021.88</v>
      </c>
      <c r="K248" s="582">
        <f>+q37_b!$J$14</f>
        <v>1066.68</v>
      </c>
      <c r="L248" s="582">
        <f>+q37_b!$K$14</f>
        <v>1149.46</v>
      </c>
      <c r="M248" s="582">
        <f>+q37_b!$L$14</f>
        <v>1267.6300000000001</v>
      </c>
    </row>
    <row r="249" spans="1:13">
      <c r="A249" s="422"/>
      <c r="B249" s="422" t="str">
        <f>+q37_b!$A$16</f>
        <v>Oeste</v>
      </c>
      <c r="C249" s="582">
        <f>+q37_b!$B$16</f>
        <v>919.7</v>
      </c>
      <c r="D249" s="582">
        <f>+q37_b!$C$16</f>
        <v>915.03</v>
      </c>
      <c r="E249" s="582">
        <f>+q37_b!$D$16</f>
        <v>937.13</v>
      </c>
      <c r="F249" s="582">
        <f>+q37_b!$E$16</f>
        <v>958.16</v>
      </c>
      <c r="G249" s="582">
        <f>+q37_b!$F$16</f>
        <v>984.69</v>
      </c>
      <c r="H249" s="582">
        <f>+q37_b!$G$16</f>
        <v>1019.34</v>
      </c>
      <c r="I249" s="582">
        <f>+q37_b!$H$16</f>
        <v>1061.1300000000001</v>
      </c>
      <c r="J249" s="582">
        <f>+q37_b!$I$16</f>
        <v>1106.76</v>
      </c>
      <c r="K249" s="582">
        <f>+q37_b!$J$16</f>
        <v>1152.3900000000001</v>
      </c>
      <c r="L249" s="582">
        <f>+q37_b!$K$16</f>
        <v>1237.75</v>
      </c>
      <c r="M249" s="582">
        <f>+q37_b!$L$16</f>
        <v>1324.42</v>
      </c>
    </row>
    <row r="250" spans="1:13">
      <c r="A250" s="422"/>
      <c r="B250" s="422" t="str">
        <f>+q37_b!$A$17</f>
        <v>Região de Aveiro</v>
      </c>
      <c r="C250" s="582">
        <f>+q37_b!$B$17</f>
        <v>996.2</v>
      </c>
      <c r="D250" s="582">
        <f>+q37_b!$C$17</f>
        <v>1007.63</v>
      </c>
      <c r="E250" s="582">
        <f>+q37_b!$D$17</f>
        <v>1017.74</v>
      </c>
      <c r="F250" s="582">
        <f>+q37_b!$E$17</f>
        <v>1047.92</v>
      </c>
      <c r="G250" s="582">
        <f>+q37_b!$F$17</f>
        <v>1091.01</v>
      </c>
      <c r="H250" s="582">
        <f>+q37_b!$G$17</f>
        <v>1133.26</v>
      </c>
      <c r="I250" s="582">
        <f>+q37_b!$H$17</f>
        <v>1165.8699999999999</v>
      </c>
      <c r="J250" s="582">
        <f>+q37_b!$I$17</f>
        <v>1209.9100000000001</v>
      </c>
      <c r="K250" s="582">
        <f>+q37_b!$J$17</f>
        <v>1282.9000000000001</v>
      </c>
      <c r="L250" s="582">
        <f>+q37_b!$K$17</f>
        <v>1382.49</v>
      </c>
      <c r="M250" s="582">
        <f>+q37_b!$L$17</f>
        <v>1492.3</v>
      </c>
    </row>
    <row r="251" spans="1:13">
      <c r="A251" s="422"/>
      <c r="B251" s="422" t="str">
        <f>+q37_b!$A$18</f>
        <v>Região de Coimbra</v>
      </c>
      <c r="C251" s="582">
        <f>+q37_b!$B$18</f>
        <v>963.48</v>
      </c>
      <c r="D251" s="582">
        <f>+q37_b!$C$18</f>
        <v>964.08</v>
      </c>
      <c r="E251" s="582">
        <f>+q37_b!$D$18</f>
        <v>988.14</v>
      </c>
      <c r="F251" s="582">
        <f>+q37_b!$E$18</f>
        <v>1015.53</v>
      </c>
      <c r="G251" s="582">
        <f>+q37_b!$F$18</f>
        <v>1052.5</v>
      </c>
      <c r="H251" s="582">
        <f>+q37_b!$G$18</f>
        <v>1093.1500000000001</v>
      </c>
      <c r="I251" s="582">
        <f>+q37_b!$H$18</f>
        <v>1119.46</v>
      </c>
      <c r="J251" s="582">
        <f>+q37_b!$I$18</f>
        <v>1167.5999999999999</v>
      </c>
      <c r="K251" s="582">
        <f>+q37_b!$J$18</f>
        <v>1223.82</v>
      </c>
      <c r="L251" s="582">
        <f>+q37_b!$K$18</f>
        <v>1319.21</v>
      </c>
      <c r="M251" s="582">
        <f>+q37_b!$L$18</f>
        <v>1423.9</v>
      </c>
    </row>
    <row r="252" spans="1:13">
      <c r="A252" s="422"/>
      <c r="B252" s="422" t="str">
        <f>+q37_b!$A$19</f>
        <v>Região de Leiria</v>
      </c>
      <c r="C252" s="582">
        <f>+q37_b!$B$19</f>
        <v>988.89</v>
      </c>
      <c r="D252" s="582">
        <f>+q37_b!$C$19</f>
        <v>997.9</v>
      </c>
      <c r="E252" s="582">
        <f>+q37_b!$D$19</f>
        <v>1012.22</v>
      </c>
      <c r="F252" s="582">
        <f>+q37_b!$E$19</f>
        <v>1043.69</v>
      </c>
      <c r="G252" s="582">
        <f>+q37_b!$F$19</f>
        <v>1087.48</v>
      </c>
      <c r="H252" s="582">
        <f>+q37_b!$G$19</f>
        <v>1121.98</v>
      </c>
      <c r="I252" s="582">
        <f>+q37_b!$H$19</f>
        <v>1150.1300000000001</v>
      </c>
      <c r="J252" s="582">
        <f>+q37_b!$I$19</f>
        <v>1194.01</v>
      </c>
      <c r="K252" s="582">
        <f>+q37_b!$J$19</f>
        <v>1251.2</v>
      </c>
      <c r="L252" s="582">
        <f>+q37_b!$K$19</f>
        <v>1326.74</v>
      </c>
      <c r="M252" s="582">
        <f>+q37_b!$L$19</f>
        <v>1434.69</v>
      </c>
    </row>
    <row r="253" spans="1:13">
      <c r="A253" s="422"/>
      <c r="B253" s="422" t="str">
        <f>+q37_b!$A$20</f>
        <v>Viseu Dão Lafões</v>
      </c>
      <c r="C253" s="582">
        <f>+q37_b!$B$20</f>
        <v>902.75</v>
      </c>
      <c r="D253" s="582">
        <f>+q37_b!$C$20</f>
        <v>906.45</v>
      </c>
      <c r="E253" s="582">
        <f>+q37_b!$D$20</f>
        <v>913.09</v>
      </c>
      <c r="F253" s="582">
        <f>+q37_b!$E$20</f>
        <v>943.87</v>
      </c>
      <c r="G253" s="582">
        <f>+q37_b!$F$20</f>
        <v>986.58</v>
      </c>
      <c r="H253" s="582">
        <f>+q37_b!$G$20</f>
        <v>1025.08</v>
      </c>
      <c r="I253" s="582">
        <f>+q37_b!$H$20</f>
        <v>1055.3900000000001</v>
      </c>
      <c r="J253" s="582">
        <f>+q37_b!$I$20</f>
        <v>1099.74</v>
      </c>
      <c r="K253" s="582">
        <f>+q37_b!$J$20</f>
        <v>1154.72</v>
      </c>
      <c r="L253" s="582">
        <f>+q37_b!$K$20</f>
        <v>1239.6199999999999</v>
      </c>
      <c r="M253" s="582">
        <f>+q37_b!$L$20</f>
        <v>1331.89</v>
      </c>
    </row>
    <row r="254" spans="1:13">
      <c r="A254" s="422"/>
      <c r="B254" s="422" t="str">
        <f>+q37_b!$A$21</f>
        <v>Beira Baixa</v>
      </c>
      <c r="C254" s="582">
        <f>+q37_b!$B$21</f>
        <v>879</v>
      </c>
      <c r="D254" s="582">
        <f>+q37_b!$C$21</f>
        <v>881.47</v>
      </c>
      <c r="E254" s="582">
        <f>+q37_b!$D$21</f>
        <v>899.85</v>
      </c>
      <c r="F254" s="582">
        <f>+q37_b!$E$21</f>
        <v>928.19</v>
      </c>
      <c r="G254" s="582">
        <f>+q37_b!$F$21</f>
        <v>961.39</v>
      </c>
      <c r="H254" s="582">
        <f>+q37_b!$G$21</f>
        <v>995.38</v>
      </c>
      <c r="I254" s="582">
        <f>+q37_b!$H$21</f>
        <v>1036.23</v>
      </c>
      <c r="J254" s="582">
        <f>+q37_b!$I$21</f>
        <v>1082.01</v>
      </c>
      <c r="K254" s="582">
        <f>+q37_b!$J$21</f>
        <v>1129.99</v>
      </c>
      <c r="L254" s="582">
        <f>+q37_b!$K$21</f>
        <v>1214.58</v>
      </c>
      <c r="M254" s="582">
        <f>+q37_b!$L$21</f>
        <v>1306.07</v>
      </c>
    </row>
    <row r="255" spans="1:13">
      <c r="A255" s="422"/>
      <c r="B255" s="422" t="str">
        <f>+q37_b!$A$22</f>
        <v>Médio Tejo</v>
      </c>
      <c r="C255" s="582">
        <f>+q37_b!$B$22</f>
        <v>940.53</v>
      </c>
      <c r="D255" s="582">
        <f>+q37_b!$C$22</f>
        <v>946.9</v>
      </c>
      <c r="E255" s="582">
        <f>+q37_b!$D$22</f>
        <v>954.17</v>
      </c>
      <c r="F255" s="582">
        <f>+q37_b!$E$22</f>
        <v>984.54</v>
      </c>
      <c r="G255" s="582">
        <f>+q37_b!$F$22</f>
        <v>1019.1</v>
      </c>
      <c r="H255" s="582">
        <f>+q37_b!$G$22</f>
        <v>1051.55</v>
      </c>
      <c r="I255" s="582">
        <f>+q37_b!$H$22</f>
        <v>1087.0899999999999</v>
      </c>
      <c r="J255" s="582">
        <f>+q37_b!$I$22</f>
        <v>1115.82</v>
      </c>
      <c r="K255" s="582">
        <f>+q37_b!$J$22</f>
        <v>1164.27</v>
      </c>
      <c r="L255" s="582">
        <f>+q37_b!$K$22</f>
        <v>1246.74</v>
      </c>
      <c r="M255" s="582">
        <f>+q37_b!$L$22</f>
        <v>1352.82</v>
      </c>
    </row>
    <row r="256" spans="1:13">
      <c r="A256" s="422"/>
      <c r="B256" s="422" t="str">
        <f>+q37_b!$A$23</f>
        <v>Beiras e Serra da Estrela</v>
      </c>
      <c r="C256" s="582">
        <f>+q37_b!$B$23</f>
        <v>837.86</v>
      </c>
      <c r="D256" s="582">
        <f>+q37_b!$C$23</f>
        <v>845.21</v>
      </c>
      <c r="E256" s="582">
        <f>+q37_b!$D$23</f>
        <v>863.35</v>
      </c>
      <c r="F256" s="582">
        <f>+q37_b!$E$23</f>
        <v>897.58</v>
      </c>
      <c r="G256" s="582">
        <f>+q37_b!$F$23</f>
        <v>934.82</v>
      </c>
      <c r="H256" s="582">
        <f>+q37_b!$G$23</f>
        <v>974.36</v>
      </c>
      <c r="I256" s="582">
        <f>+q37_b!$H$23</f>
        <v>1013.44</v>
      </c>
      <c r="J256" s="582">
        <f>+q37_b!$I$23</f>
        <v>1051.24</v>
      </c>
      <c r="K256" s="582">
        <f>+q37_b!$J$23</f>
        <v>1107.68</v>
      </c>
      <c r="L256" s="582">
        <f>+q37_b!$K$23</f>
        <v>1180.54</v>
      </c>
      <c r="M256" s="582">
        <f>+q37_b!$L$23</f>
        <v>1292.95</v>
      </c>
    </row>
    <row r="257" spans="1:13">
      <c r="A257" s="422"/>
      <c r="B257" s="422" t="str">
        <f>+q37_b!$A$24</f>
        <v>Área Metropolitana de Lisboa</v>
      </c>
      <c r="C257" s="582">
        <f>+q37_b!$B$24</f>
        <v>1378.34</v>
      </c>
      <c r="D257" s="582">
        <f>+q37_b!$C$24</f>
        <v>1380.08</v>
      </c>
      <c r="E257" s="582">
        <f>+q37_b!$D$24</f>
        <v>1388.49</v>
      </c>
      <c r="F257" s="582">
        <f>+q37_b!$E$24</f>
        <v>1410.52</v>
      </c>
      <c r="G257" s="582">
        <f>+q37_b!$F$24</f>
        <v>1440.11</v>
      </c>
      <c r="H257" s="582">
        <f>+q37_b!$G$24</f>
        <v>1477.39</v>
      </c>
      <c r="I257" s="582">
        <f>+q37_b!$H$24</f>
        <v>1516.42</v>
      </c>
      <c r="J257" s="582">
        <f>+q37_b!$I$24</f>
        <v>1562.69</v>
      </c>
      <c r="K257" s="582">
        <f>+q37_b!$J$24</f>
        <v>1655.56</v>
      </c>
      <c r="L257" s="582">
        <f>+q37_b!$K$24</f>
        <v>1765.15</v>
      </c>
      <c r="M257" s="582">
        <f>+q37_b!$L$24</f>
        <v>1880.94</v>
      </c>
    </row>
    <row r="258" spans="1:13">
      <c r="A258" s="422"/>
      <c r="B258" s="422" t="str">
        <f>+q37_b!$A$26</f>
        <v>Alentejo Litoral</v>
      </c>
      <c r="C258" s="582">
        <f>+q37_b!$B$26</f>
        <v>1155.58</v>
      </c>
      <c r="D258" s="582">
        <f>+q37_b!$C$26</f>
        <v>1137.03</v>
      </c>
      <c r="E258" s="582">
        <f>+q37_b!$D$26</f>
        <v>1131.0999999999999</v>
      </c>
      <c r="F258" s="582">
        <f>+q37_b!$E$26</f>
        <v>1142.95</v>
      </c>
      <c r="G258" s="582">
        <f>+q37_b!$F$26</f>
        <v>1184</v>
      </c>
      <c r="H258" s="582">
        <f>+q37_b!$G$26</f>
        <v>1165.44</v>
      </c>
      <c r="I258" s="582">
        <f>+q37_b!$H$26</f>
        <v>1206.6300000000001</v>
      </c>
      <c r="J258" s="582">
        <f>+q37_b!$I$26</f>
        <v>1232.3399999999999</v>
      </c>
      <c r="K258" s="582">
        <f>+q37_b!$J$26</f>
        <v>1283.29</v>
      </c>
      <c r="L258" s="582">
        <f>+q37_b!$K$26</f>
        <v>1419.88</v>
      </c>
      <c r="M258" s="582">
        <f>+q37_b!$L$26</f>
        <v>1480.81</v>
      </c>
    </row>
    <row r="259" spans="1:13">
      <c r="A259" s="422"/>
      <c r="B259" s="422" t="str">
        <f>+q37_b!$A$27</f>
        <v>Baixo Alentejo</v>
      </c>
      <c r="C259" s="582">
        <f>+q37_b!$B$27</f>
        <v>1016.33</v>
      </c>
      <c r="D259" s="582">
        <f>+q37_b!$C$27</f>
        <v>1025.9100000000001</v>
      </c>
      <c r="E259" s="582">
        <f>+q37_b!$D$27</f>
        <v>1026.24</v>
      </c>
      <c r="F259" s="582">
        <f>+q37_b!$E$27</f>
        <v>1053.33</v>
      </c>
      <c r="G259" s="582">
        <f>+q37_b!$F$27</f>
        <v>1104.1400000000001</v>
      </c>
      <c r="H259" s="582">
        <f>+q37_b!$G$27</f>
        <v>1129.81</v>
      </c>
      <c r="I259" s="582">
        <f>+q37_b!$H$27</f>
        <v>1166.3</v>
      </c>
      <c r="J259" s="582">
        <f>+q37_b!$I$27</f>
        <v>1237.79</v>
      </c>
      <c r="K259" s="582">
        <f>+q37_b!$J$27</f>
        <v>1284.96</v>
      </c>
      <c r="L259" s="582">
        <f>+q37_b!$K$27</f>
        <v>1401.29</v>
      </c>
      <c r="M259" s="582">
        <f>+q37_b!$L$27</f>
        <v>1469.2</v>
      </c>
    </row>
    <row r="260" spans="1:13">
      <c r="A260" s="422"/>
      <c r="B260" s="422" t="str">
        <f>+q37_b!$A$28</f>
        <v>Lezíria do Tejo</v>
      </c>
      <c r="C260" s="582">
        <f>+q37_b!$B$28</f>
        <v>966.16</v>
      </c>
      <c r="D260" s="582">
        <f>+q37_b!$C$28</f>
        <v>977.93</v>
      </c>
      <c r="E260" s="582">
        <f>+q37_b!$D$28</f>
        <v>976.74</v>
      </c>
      <c r="F260" s="582">
        <f>+q37_b!$E$28</f>
        <v>989.34</v>
      </c>
      <c r="G260" s="582">
        <f>+q37_b!$F$28</f>
        <v>1016</v>
      </c>
      <c r="H260" s="582">
        <f>+q37_b!$G$28</f>
        <v>1037.32</v>
      </c>
      <c r="I260" s="582">
        <f>+q37_b!$H$28</f>
        <v>1075.1500000000001</v>
      </c>
      <c r="J260" s="582">
        <f>+q37_b!$I$28</f>
        <v>1120.1400000000001</v>
      </c>
      <c r="K260" s="582">
        <f>+q37_b!$J$28</f>
        <v>1178.0899999999999</v>
      </c>
      <c r="L260" s="582">
        <f>+q37_b!$K$28</f>
        <v>1260.73</v>
      </c>
      <c r="M260" s="582">
        <f>+q37_b!$L$28</f>
        <v>1363.59</v>
      </c>
    </row>
    <row r="261" spans="1:13">
      <c r="A261" s="422"/>
      <c r="B261" s="422" t="str">
        <f>+q37_b!$A$29</f>
        <v>Alto Alentejo</v>
      </c>
      <c r="C261" s="582">
        <f>+q37_b!$B$29</f>
        <v>897.83</v>
      </c>
      <c r="D261" s="582">
        <f>+q37_b!$C$29</f>
        <v>901.87</v>
      </c>
      <c r="E261" s="582">
        <f>+q37_b!$D$29</f>
        <v>915.42</v>
      </c>
      <c r="F261" s="582">
        <f>+q37_b!$E$29</f>
        <v>934.83</v>
      </c>
      <c r="G261" s="582">
        <f>+q37_b!$F$29</f>
        <v>968.23</v>
      </c>
      <c r="H261" s="582">
        <f>+q37_b!$G$29</f>
        <v>989.48</v>
      </c>
      <c r="I261" s="582">
        <f>+q37_b!$H$29</f>
        <v>1029.47</v>
      </c>
      <c r="J261" s="582">
        <f>+q37_b!$I$29</f>
        <v>1078.92</v>
      </c>
      <c r="K261" s="582">
        <f>+q37_b!$J$29</f>
        <v>1126.5999999999999</v>
      </c>
      <c r="L261" s="582">
        <f>+q37_b!$K$29</f>
        <v>1197.92</v>
      </c>
      <c r="M261" s="582">
        <f>+q37_b!$L$29</f>
        <v>1295.3599999999999</v>
      </c>
    </row>
    <row r="262" spans="1:13">
      <c r="A262" s="422"/>
      <c r="B262" s="422" t="str">
        <f>+q37_b!$A$30</f>
        <v>Alentejo Central</v>
      </c>
      <c r="C262" s="582">
        <f>+q37_b!$B$30</f>
        <v>955.65</v>
      </c>
      <c r="D262" s="582">
        <f>+q37_b!$C$30</f>
        <v>956.12</v>
      </c>
      <c r="E262" s="582">
        <f>+q37_b!$D$30</f>
        <v>967.64</v>
      </c>
      <c r="F262" s="582">
        <f>+q37_b!$E$30</f>
        <v>992.35</v>
      </c>
      <c r="G262" s="582">
        <f>+q37_b!$F$30</f>
        <v>1020.7</v>
      </c>
      <c r="H262" s="582">
        <f>+q37_b!$G$30</f>
        <v>1045.47</v>
      </c>
      <c r="I262" s="582">
        <f>+q37_b!$H$30</f>
        <v>1086.77</v>
      </c>
      <c r="J262" s="582">
        <f>+q37_b!$I$30</f>
        <v>1127.29</v>
      </c>
      <c r="K262" s="582">
        <f>+q37_b!$J$30</f>
        <v>1190.57</v>
      </c>
      <c r="L262" s="582">
        <f>+q37_b!$K$30</f>
        <v>1271.71</v>
      </c>
      <c r="M262" s="582">
        <f>+q37_b!$L$30</f>
        <v>1371.98</v>
      </c>
    </row>
    <row r="263" spans="1:13">
      <c r="A263" s="422"/>
      <c r="B263" s="422" t="str">
        <f>+q37_b!$A$31</f>
        <v>Algarve</v>
      </c>
      <c r="C263" s="582">
        <f>+q37_b!$B$31</f>
        <v>927.58</v>
      </c>
      <c r="D263" s="582">
        <f>+q37_b!$C$31</f>
        <v>926.13</v>
      </c>
      <c r="E263" s="582">
        <f>+q37_b!$D$31</f>
        <v>942.73</v>
      </c>
      <c r="F263" s="582">
        <f>+q37_b!$E$31</f>
        <v>968.19</v>
      </c>
      <c r="G263" s="582">
        <f>+q37_b!$F$31</f>
        <v>999.05</v>
      </c>
      <c r="H263" s="582">
        <f>+q37_b!$G$31</f>
        <v>1029.01</v>
      </c>
      <c r="I263" s="582">
        <f>+q37_b!$H$31</f>
        <v>1070.96</v>
      </c>
      <c r="J263" s="582">
        <f>+q37_b!$I$31</f>
        <v>1106.32</v>
      </c>
      <c r="K263" s="582">
        <f>+q37_b!$J$31</f>
        <v>1150.81</v>
      </c>
      <c r="L263" s="582">
        <f>+q37_b!$K$31</f>
        <v>1238.68</v>
      </c>
      <c r="M263" s="582">
        <f>+q37_b!$L$31</f>
        <v>1320.22</v>
      </c>
    </row>
    <row r="264" spans="1:13">
      <c r="A264" s="422"/>
      <c r="B264" s="422" t="s">
        <v>13</v>
      </c>
      <c r="C264" s="582">
        <f>+q37_b!$B$5</f>
        <v>1093.21</v>
      </c>
      <c r="D264" s="582">
        <f>+q37_b!$C$5</f>
        <v>1096.6600000000001</v>
      </c>
      <c r="E264" s="582">
        <f>+q37_b!$D$5</f>
        <v>1107.8599999999999</v>
      </c>
      <c r="F264" s="582">
        <f>+q37_b!$E$5</f>
        <v>1133.3399999999999</v>
      </c>
      <c r="G264" s="582">
        <f>+q37_b!$F$5</f>
        <v>1170.25</v>
      </c>
      <c r="H264" s="582">
        <f>+q37_b!$G$5</f>
        <v>1209.94</v>
      </c>
      <c r="I264" s="582">
        <f>+q37_b!$H$5</f>
        <v>1250.75</v>
      </c>
      <c r="J264" s="582">
        <f>+q37_b!$I$5</f>
        <v>1294.1099999999999</v>
      </c>
      <c r="K264" s="582">
        <f>+q37_b!$J$5</f>
        <v>1368</v>
      </c>
      <c r="L264" s="582">
        <f>+q37_b!$K$5</f>
        <v>1466.66</v>
      </c>
      <c r="M264" s="582">
        <f>+q37_b!$L$5</f>
        <v>1582.75</v>
      </c>
    </row>
    <row r="265" spans="1:13">
      <c r="B265" s="422"/>
      <c r="C265" s="582"/>
      <c r="D265" s="582"/>
      <c r="E265" s="582"/>
      <c r="F265" s="582"/>
      <c r="G265" s="582"/>
      <c r="H265" s="582"/>
      <c r="I265" s="582"/>
      <c r="J265" s="582"/>
      <c r="K265" s="582"/>
      <c r="L265" s="582"/>
      <c r="M265" s="582"/>
    </row>
  </sheetData>
  <mergeCells count="38">
    <mergeCell ref="AV107:AZ109"/>
    <mergeCell ref="BR107:BV109"/>
    <mergeCell ref="CL107:CP109"/>
    <mergeCell ref="AD45:AG50"/>
    <mergeCell ref="AD79:AH84"/>
    <mergeCell ref="AV82:AZ85"/>
    <mergeCell ref="BR82:BV85"/>
    <mergeCell ref="CL82:CP85"/>
    <mergeCell ref="AV88:AY90"/>
    <mergeCell ref="BR88:BU90"/>
    <mergeCell ref="CL88:CO90"/>
    <mergeCell ref="BS92:BY95"/>
    <mergeCell ref="CM92:CS96"/>
    <mergeCell ref="AV100:AZ103"/>
    <mergeCell ref="BR100:BX103"/>
    <mergeCell ref="CL100:CS103"/>
    <mergeCell ref="AQ25:AQ29"/>
    <mergeCell ref="BL25:BL29"/>
    <mergeCell ref="CF25:CF29"/>
    <mergeCell ref="CY36:DA36"/>
    <mergeCell ref="AY36:BA36"/>
    <mergeCell ref="BB36:BD36"/>
    <mergeCell ref="BE36:BG36"/>
    <mergeCell ref="BH36:BJ36"/>
    <mergeCell ref="BT36:BV36"/>
    <mergeCell ref="BW36:BY36"/>
    <mergeCell ref="BZ36:CB36"/>
    <mergeCell ref="CC36:CE36"/>
    <mergeCell ref="CP36:CR36"/>
    <mergeCell ref="CS36:CU36"/>
    <mergeCell ref="CV36:CX36"/>
    <mergeCell ref="AQ8:AQ15"/>
    <mergeCell ref="BL8:BL15"/>
    <mergeCell ref="CF8:CF15"/>
    <mergeCell ref="AD13:AG19"/>
    <mergeCell ref="AQ16:AQ23"/>
    <mergeCell ref="BL16:BL23"/>
    <mergeCell ref="CF16:CF23"/>
  </mergeCells>
  <pageMargins left="0.7" right="0.7" top="0.75" bottom="0.75" header="0.3" footer="0.3"/>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512001" r:id="rId4" name="Drop Down 1">
              <controlPr defaultSize="0" autoLine="0" autoPict="0">
                <anchor moveWithCells="1">
                  <from>
                    <xdr:col>16</xdr:col>
                    <xdr:colOff>266700</xdr:colOff>
                    <xdr:row>0</xdr:row>
                    <xdr:rowOff>142875</xdr:rowOff>
                  </from>
                  <to>
                    <xdr:col>17</xdr:col>
                    <xdr:colOff>942975</xdr:colOff>
                    <xdr:row>2</xdr:row>
                    <xdr:rowOff>19050</xdr:rowOff>
                  </to>
                </anchor>
              </controlPr>
            </control>
          </mc:Choice>
        </mc:AlternateContent>
        <mc:AlternateContent xmlns:mc="http://schemas.openxmlformats.org/markup-compatibility/2006">
          <mc:Choice Requires="x14">
            <control shapeId="512002" r:id="rId5" name="Drop Down 2">
              <controlPr defaultSize="0" autoLine="0" autoPict="0">
                <anchor moveWithCells="1">
                  <from>
                    <xdr:col>43</xdr:col>
                    <xdr:colOff>9525</xdr:colOff>
                    <xdr:row>1</xdr:row>
                    <xdr:rowOff>0</xdr:rowOff>
                  </from>
                  <to>
                    <xdr:col>43</xdr:col>
                    <xdr:colOff>638175</xdr:colOff>
                    <xdr:row>2</xdr:row>
                    <xdr:rowOff>19050</xdr:rowOff>
                  </to>
                </anchor>
              </controlPr>
            </control>
          </mc:Choice>
        </mc:AlternateContent>
        <mc:AlternateContent xmlns:mc="http://schemas.openxmlformats.org/markup-compatibility/2006">
          <mc:Choice Requires="x14">
            <control shapeId="512003" r:id="rId6" name="Drop Down 3">
              <controlPr defaultSize="0" autoLine="0" autoPict="0">
                <anchor moveWithCells="1">
                  <from>
                    <xdr:col>64</xdr:col>
                    <xdr:colOff>9525</xdr:colOff>
                    <xdr:row>1</xdr:row>
                    <xdr:rowOff>0</xdr:rowOff>
                  </from>
                  <to>
                    <xdr:col>65</xdr:col>
                    <xdr:colOff>28575</xdr:colOff>
                    <xdr:row>2</xdr:row>
                    <xdr:rowOff>19050</xdr:rowOff>
                  </to>
                </anchor>
              </controlPr>
            </control>
          </mc:Choice>
        </mc:AlternateContent>
        <mc:AlternateContent xmlns:mc="http://schemas.openxmlformats.org/markup-compatibility/2006">
          <mc:Choice Requires="x14">
            <control shapeId="512004" r:id="rId7" name="Drop Down 4">
              <controlPr defaultSize="0" autoLine="0" autoPict="0">
                <anchor moveWithCells="1">
                  <from>
                    <xdr:col>84</xdr:col>
                    <xdr:colOff>9525</xdr:colOff>
                    <xdr:row>1</xdr:row>
                    <xdr:rowOff>0</xdr:rowOff>
                  </from>
                  <to>
                    <xdr:col>85</xdr:col>
                    <xdr:colOff>28575</xdr:colOff>
                    <xdr:row>2</xdr:row>
                    <xdr:rowOff>19050</xdr:rowOff>
                  </to>
                </anchor>
              </controlPr>
            </control>
          </mc:Choice>
        </mc:AlternateContent>
        <mc:AlternateContent xmlns:mc="http://schemas.openxmlformats.org/markup-compatibility/2006">
          <mc:Choice Requires="x14">
            <control shapeId="512005" r:id="rId8" name="Drop Down 5">
              <controlPr defaultSize="0" autoLine="0" autoPict="0">
                <anchor moveWithCells="1">
                  <from>
                    <xdr:col>17</xdr:col>
                    <xdr:colOff>66675</xdr:colOff>
                    <xdr:row>32</xdr:row>
                    <xdr:rowOff>19050</xdr:rowOff>
                  </from>
                  <to>
                    <xdr:col>18</xdr:col>
                    <xdr:colOff>295275</xdr:colOff>
                    <xdr:row>33</xdr:row>
                    <xdr:rowOff>57150</xdr:rowOff>
                  </to>
                </anchor>
              </controlPr>
            </control>
          </mc:Choice>
        </mc:AlternateContent>
        <mc:AlternateContent xmlns:mc="http://schemas.openxmlformats.org/markup-compatibility/2006">
          <mc:Choice Requires="x14">
            <control shapeId="512006" r:id="rId9" name="Drop Down 6">
              <controlPr defaultSize="0" autoLine="0" autoPict="0">
                <anchor moveWithCells="1">
                  <from>
                    <xdr:col>23</xdr:col>
                    <xdr:colOff>457200</xdr:colOff>
                    <xdr:row>66</xdr:row>
                    <xdr:rowOff>123825</xdr:rowOff>
                  </from>
                  <to>
                    <xdr:col>25</xdr:col>
                    <xdr:colOff>495300</xdr:colOff>
                    <xdr:row>68</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A501A-1EBE-4697-9668-37AACF2D0BA7}">
  <dimension ref="A1:W71"/>
  <sheetViews>
    <sheetView zoomScaleNormal="100" workbookViewId="0">
      <selection activeCell="Y70" sqref="Y70"/>
    </sheetView>
  </sheetViews>
  <sheetFormatPr defaultRowHeight="12.75"/>
  <cols>
    <col min="2" max="2" width="16.85546875" customWidth="1"/>
    <col min="19" max="19" width="24.140625" customWidth="1"/>
    <col min="20" max="20" width="12.42578125" customWidth="1"/>
    <col min="21" max="22" width="10" bestFit="1" customWidth="1"/>
    <col min="23" max="23" width="9.28515625" bestFit="1" customWidth="1"/>
  </cols>
  <sheetData>
    <row r="1" spans="1:23">
      <c r="A1" s="424" t="s">
        <v>265</v>
      </c>
      <c r="B1" s="453"/>
      <c r="C1" s="453"/>
      <c r="D1" s="424" t="s">
        <v>354</v>
      </c>
      <c r="E1" s="453"/>
    </row>
    <row r="2" spans="1:23">
      <c r="A2" s="431">
        <f>+C16</f>
        <v>2014</v>
      </c>
      <c r="B2" s="453">
        <v>1</v>
      </c>
      <c r="C2" s="453"/>
      <c r="D2" s="453" t="s">
        <v>262</v>
      </c>
      <c r="E2" s="453">
        <v>1</v>
      </c>
    </row>
    <row r="3" spans="1:23">
      <c r="A3" s="431">
        <f>+D16</f>
        <v>2015</v>
      </c>
      <c r="B3" s="453">
        <v>2</v>
      </c>
      <c r="C3" s="453"/>
      <c r="D3" s="453" t="s">
        <v>263</v>
      </c>
      <c r="E3" s="453">
        <v>2</v>
      </c>
    </row>
    <row r="4" spans="1:23">
      <c r="A4" s="431">
        <f>+E16</f>
        <v>2016</v>
      </c>
      <c r="B4" s="453">
        <v>3</v>
      </c>
      <c r="C4" s="453"/>
      <c r="D4" s="453"/>
      <c r="E4" s="453"/>
    </row>
    <row r="5" spans="1:23">
      <c r="A5" s="431">
        <f>+F16</f>
        <v>2017</v>
      </c>
      <c r="B5" s="453">
        <v>4</v>
      </c>
      <c r="C5" s="453"/>
      <c r="D5" s="453"/>
      <c r="E5" s="453"/>
    </row>
    <row r="6" spans="1:23">
      <c r="A6" s="431">
        <f>+G16</f>
        <v>2018</v>
      </c>
      <c r="B6" s="453">
        <v>5</v>
      </c>
      <c r="C6" s="453"/>
      <c r="D6" s="453"/>
      <c r="E6" s="453"/>
    </row>
    <row r="7" spans="1:23">
      <c r="A7" s="431">
        <f>+H16</f>
        <v>2019</v>
      </c>
      <c r="B7" s="453">
        <v>6</v>
      </c>
      <c r="C7" s="453"/>
      <c r="D7" s="453"/>
      <c r="E7" s="453"/>
    </row>
    <row r="8" spans="1:23">
      <c r="A8" s="431">
        <f>+I16</f>
        <v>2020</v>
      </c>
      <c r="B8" s="453">
        <v>7</v>
      </c>
      <c r="C8" s="453"/>
      <c r="D8" s="453"/>
      <c r="E8" s="453"/>
    </row>
    <row r="9" spans="1:23">
      <c r="A9" s="431">
        <f>+J16</f>
        <v>2021</v>
      </c>
      <c r="B9" s="453">
        <v>8</v>
      </c>
      <c r="C9" s="453"/>
      <c r="D9" s="453"/>
      <c r="E9" s="453"/>
    </row>
    <row r="10" spans="1:23">
      <c r="A10" s="431">
        <f>+K16</f>
        <v>2022</v>
      </c>
      <c r="B10" s="453">
        <v>9</v>
      </c>
      <c r="C10" s="453"/>
      <c r="D10" s="453"/>
      <c r="E10" s="453"/>
    </row>
    <row r="11" spans="1:23">
      <c r="A11" s="431">
        <f>+L16</f>
        <v>2023</v>
      </c>
      <c r="B11" s="453">
        <v>10</v>
      </c>
      <c r="C11" s="453"/>
      <c r="D11" s="453"/>
      <c r="E11" s="453"/>
    </row>
    <row r="12" spans="1:23">
      <c r="A12" s="431">
        <f>+M16</f>
        <v>2024</v>
      </c>
      <c r="B12" s="453">
        <v>11</v>
      </c>
      <c r="C12" s="453"/>
      <c r="D12" s="453"/>
      <c r="E12" s="453"/>
    </row>
    <row r="14" spans="1:23">
      <c r="A14" s="384" t="s">
        <v>664</v>
      </c>
    </row>
    <row r="15" spans="1:23">
      <c r="A15" s="628" t="s">
        <v>663</v>
      </c>
      <c r="R15" s="453">
        <f>+INDEX(q17_a_q19_q26_a_q29_q38_q41_Fig!$A$2:$A$12,q17_a_q19_q26_a_q29_q38_q41_Fig!$P$9)</f>
        <v>2024</v>
      </c>
      <c r="S15" s="384" t="s">
        <v>663</v>
      </c>
      <c r="U15" s="383" t="s">
        <v>680</v>
      </c>
      <c r="V15" s="383" t="s">
        <v>680</v>
      </c>
      <c r="W15" s="383" t="s">
        <v>683</v>
      </c>
    </row>
    <row r="16" spans="1:23">
      <c r="A16" s="628" t="s">
        <v>182</v>
      </c>
      <c r="C16" s="384">
        <f>+'q19'!$C$4</f>
        <v>2014</v>
      </c>
      <c r="D16" s="384">
        <f>+'q19'!$D$4</f>
        <v>2015</v>
      </c>
      <c r="E16" s="384">
        <f>+'q19'!$E$4</f>
        <v>2016</v>
      </c>
      <c r="F16" s="384">
        <f>+'q19'!$F$4</f>
        <v>2017</v>
      </c>
      <c r="G16" s="384">
        <f>+'q19'!$G$4</f>
        <v>2018</v>
      </c>
      <c r="H16" s="384">
        <f>+'q19'!$H$4</f>
        <v>2019</v>
      </c>
      <c r="I16" s="384">
        <f>+'q19'!$I$4</f>
        <v>2020</v>
      </c>
      <c r="J16" s="384">
        <f>+'q19'!$J$4</f>
        <v>2021</v>
      </c>
      <c r="K16" s="384">
        <f>+'q19'!$K$4</f>
        <v>2022</v>
      </c>
      <c r="L16" s="384">
        <f>+'q19'!$L$4</f>
        <v>2023</v>
      </c>
      <c r="M16" s="384">
        <f>+'q19'!$M$4</f>
        <v>2024</v>
      </c>
      <c r="T16" s="384" t="s">
        <v>182</v>
      </c>
      <c r="U16" s="384" t="s">
        <v>262</v>
      </c>
      <c r="V16" s="384" t="s">
        <v>263</v>
      </c>
      <c r="W16" s="384" t="s">
        <v>262</v>
      </c>
    </row>
    <row r="17" spans="1:23">
      <c r="A17" s="420" t="s">
        <v>11</v>
      </c>
      <c r="B17" t="str">
        <f>+Aux!$C$164</f>
        <v>Repres. poder leg. e de órgãos exec., dirig., diret. e gestores executivos</v>
      </c>
      <c r="C17" s="176">
        <f>+'q19'!$C$6</f>
        <v>102919</v>
      </c>
      <c r="D17" s="176">
        <f>+'q19'!$D$6</f>
        <v>102237</v>
      </c>
      <c r="E17" s="176">
        <f>+'q19'!$E$6</f>
        <v>102101</v>
      </c>
      <c r="F17" s="176">
        <f>+'q19'!$F$6</f>
        <v>103477</v>
      </c>
      <c r="G17" s="176">
        <f>+'q19'!$G$6</f>
        <v>103469</v>
      </c>
      <c r="H17" s="176">
        <f>+'q19'!$H$6</f>
        <v>102017</v>
      </c>
      <c r="I17" s="176">
        <f>+'q19'!$I$6</f>
        <v>103372</v>
      </c>
      <c r="J17" s="176">
        <f>+'q19'!$J$6</f>
        <v>101914</v>
      </c>
      <c r="K17" s="176">
        <f>+'q19'!$K$6</f>
        <v>108618</v>
      </c>
      <c r="L17" s="176">
        <f>+'q19'!$L$6</f>
        <v>112926</v>
      </c>
      <c r="M17" s="176">
        <f>+'q19'!$M$6</f>
        <v>114787</v>
      </c>
      <c r="S17" t="s">
        <v>584</v>
      </c>
      <c r="T17" s="176">
        <f>+INDEX($B$16:$M$27,MATCH($S$17:$S$27,$B$16:$B$27,0),MATCH($R$15,$B$16:$M$16,0))</f>
        <v>114787</v>
      </c>
      <c r="U17" s="629">
        <f>+INDEX($B$31:$M$42,MATCH($S$17:$S$27,$B$31:$B$42,0),MATCH($R$15,$B$31:$M$31,0))</f>
        <v>2846.78</v>
      </c>
      <c r="V17" s="629">
        <f>+INDEX($B$60:$M$71,MATCH($S$17:$S$27,$B$60:$B$71,0),MATCH($R$15,$B$60:$M$60,0))</f>
        <v>3295.85</v>
      </c>
      <c r="W17" s="629">
        <f>+INDEX($B$45:$M$56,MATCH($S$17:$S$27,$B$45:$B$56,0),MATCH($R$15,$B$45:$M$45,0))</f>
        <v>16.54</v>
      </c>
    </row>
    <row r="18" spans="1:23">
      <c r="B18" t="str">
        <f>+Aux!$C$165</f>
        <v>Especial.das ativ.intelet.e cientif.</v>
      </c>
      <c r="C18" s="176">
        <f>+'q19'!$C$11</f>
        <v>257358</v>
      </c>
      <c r="D18" s="176">
        <f>+'q19'!$D$11</f>
        <v>268541</v>
      </c>
      <c r="E18" s="176">
        <f>+'q19'!$E$11</f>
        <v>279378</v>
      </c>
      <c r="F18" s="176">
        <f>+'q19'!$F$11</f>
        <v>293235</v>
      </c>
      <c r="G18" s="176">
        <f>+'q19'!$G$11</f>
        <v>314401</v>
      </c>
      <c r="H18" s="176">
        <f>+'q19'!$H$11</f>
        <v>332396</v>
      </c>
      <c r="I18" s="176">
        <f>+'q19'!$I$11</f>
        <v>345330</v>
      </c>
      <c r="J18" s="176">
        <f>+'q19'!$J$11</f>
        <v>358638</v>
      </c>
      <c r="K18" s="176">
        <f>+'q19'!$K$11</f>
        <v>394102</v>
      </c>
      <c r="L18" s="176">
        <f>+'q19'!$L$11</f>
        <v>416579</v>
      </c>
      <c r="M18" s="176">
        <f>+'q19'!$M$11</f>
        <v>441951</v>
      </c>
      <c r="S18" t="s">
        <v>589</v>
      </c>
      <c r="T18" s="176">
        <f t="shared" ref="T18:T27" si="0">+INDEX($B$16:$M$27,MATCH($S$17:$S$27,$B$16:$B$27,0),MATCH($R$15,$B$16:$M$16,0))</f>
        <v>441951</v>
      </c>
      <c r="U18" s="629">
        <f t="shared" ref="U18:U27" si="1">+INDEX($B$31:$M$42,MATCH($S$17:$S$27,$B$31:$B$42,0),MATCH($R$15,$B$31:$M$31,0))</f>
        <v>2032.28</v>
      </c>
      <c r="V18" s="629">
        <f t="shared" ref="V18:V27" si="2">+INDEX($B$60:$M$71,MATCH($S$17:$S$27,$B$60:$B$71,0),MATCH($R$15,$B$60:$M$60,0))</f>
        <v>2400.04</v>
      </c>
      <c r="W18" s="629">
        <f t="shared" ref="W18:W27" si="3">+INDEX($B$45:$M$56,MATCH($S$17:$S$27,$B$45:$B$56,0),MATCH($R$15,$B$45:$M$45,0))</f>
        <v>12.04</v>
      </c>
    </row>
    <row r="19" spans="1:23">
      <c r="B19" t="str">
        <f>+Aux!$C$166</f>
        <v>Técn. e prof. de nível intermédio</v>
      </c>
      <c r="C19" s="176">
        <f>+'q19'!$C$18</f>
        <v>246049</v>
      </c>
      <c r="D19" s="176">
        <f>+'q19'!$D$18</f>
        <v>251040</v>
      </c>
      <c r="E19" s="176">
        <f>+'q19'!$E$18</f>
        <v>259812</v>
      </c>
      <c r="F19" s="176">
        <f>+'q19'!$F$18</f>
        <v>269831</v>
      </c>
      <c r="G19" s="176">
        <f>+'q19'!$G$18</f>
        <v>281971</v>
      </c>
      <c r="H19" s="176">
        <f>+'q19'!$H$18</f>
        <v>289631</v>
      </c>
      <c r="I19" s="176">
        <f>+'q19'!$I$18</f>
        <v>296724</v>
      </c>
      <c r="J19" s="176">
        <f>+'q19'!$J$18</f>
        <v>303361</v>
      </c>
      <c r="K19" s="176">
        <f>+'q19'!$K$18</f>
        <v>325171</v>
      </c>
      <c r="L19" s="176">
        <f>+'q19'!$L$18</f>
        <v>340854</v>
      </c>
      <c r="M19" s="176">
        <f>+'q19'!$M$18</f>
        <v>353603</v>
      </c>
      <c r="S19" t="s">
        <v>596</v>
      </c>
      <c r="T19" s="176">
        <f t="shared" si="0"/>
        <v>353603</v>
      </c>
      <c r="U19" s="629">
        <f t="shared" si="1"/>
        <v>1589.95</v>
      </c>
      <c r="V19" s="629">
        <f t="shared" si="2"/>
        <v>1947.34</v>
      </c>
      <c r="W19" s="629">
        <f t="shared" si="3"/>
        <v>9.17</v>
      </c>
    </row>
    <row r="20" spans="1:23">
      <c r="B20" t="str">
        <f>+Aux!$C$167</f>
        <v>Pessoal administrativo</v>
      </c>
      <c r="C20" s="176">
        <f>+'q19'!$C$24</f>
        <v>329818</v>
      </c>
      <c r="D20" s="176">
        <f>+'q19'!$D$24</f>
        <v>339590</v>
      </c>
      <c r="E20" s="176">
        <f>+'q19'!$E$24</f>
        <v>354101</v>
      </c>
      <c r="F20" s="176">
        <f>+'q19'!$F$24</f>
        <v>364437</v>
      </c>
      <c r="G20" s="176">
        <f>+'q19'!$G$24</f>
        <v>379700</v>
      </c>
      <c r="H20" s="176">
        <f>+'q19'!$H$24</f>
        <v>385649</v>
      </c>
      <c r="I20" s="176">
        <f>+'q19'!$I$24</f>
        <v>383564</v>
      </c>
      <c r="J20" s="176">
        <f>+'q19'!$J$24</f>
        <v>383195</v>
      </c>
      <c r="K20" s="176">
        <f>+'q19'!$K$24</f>
        <v>421193</v>
      </c>
      <c r="L20" s="176">
        <f>+'q19'!$L$24</f>
        <v>434712</v>
      </c>
      <c r="M20" s="176">
        <f>+'q19'!$M$24</f>
        <v>435944</v>
      </c>
      <c r="S20" t="s">
        <v>602</v>
      </c>
      <c r="T20" s="176">
        <f t="shared" si="0"/>
        <v>435944</v>
      </c>
      <c r="U20" s="629">
        <f t="shared" si="1"/>
        <v>1143.01</v>
      </c>
      <c r="V20" s="629">
        <f t="shared" si="2"/>
        <v>1391.18</v>
      </c>
      <c r="W20" s="629">
        <f t="shared" si="3"/>
        <v>6.56</v>
      </c>
    </row>
    <row r="21" spans="1:23">
      <c r="B21" t="str">
        <f>+Aux!$C$168</f>
        <v>Trab.dos serv.pessoais, de prot.e segur.e vendedores</v>
      </c>
      <c r="C21" s="176">
        <f>+'q19'!$C$29</f>
        <v>522200</v>
      </c>
      <c r="D21" s="176">
        <f>+'q19'!$D$29</f>
        <v>543846</v>
      </c>
      <c r="E21" s="176">
        <f>+'q19'!$E$29</f>
        <v>569034</v>
      </c>
      <c r="F21" s="176">
        <f>+'q19'!$F$29</f>
        <v>601609</v>
      </c>
      <c r="G21" s="176">
        <f>+'q19'!$G$29</f>
        <v>617409</v>
      </c>
      <c r="H21" s="176">
        <f>+'q19'!$H$29</f>
        <v>636383</v>
      </c>
      <c r="I21" s="176">
        <f>+'q19'!$I$29</f>
        <v>600680</v>
      </c>
      <c r="J21" s="176">
        <f>+'q19'!$J$29</f>
        <v>604817</v>
      </c>
      <c r="K21" s="176">
        <f>+'q19'!$K$29</f>
        <v>658740</v>
      </c>
      <c r="L21" s="176">
        <f>+'q19'!$L$29</f>
        <v>691852</v>
      </c>
      <c r="M21" s="176">
        <f>+'q19'!$M$29</f>
        <v>700751</v>
      </c>
      <c r="S21" t="s">
        <v>607</v>
      </c>
      <c r="T21" s="176">
        <f t="shared" si="0"/>
        <v>700751</v>
      </c>
      <c r="U21" s="629">
        <f t="shared" si="1"/>
        <v>964.25</v>
      </c>
      <c r="V21" s="629">
        <f t="shared" si="2"/>
        <v>1162.67</v>
      </c>
      <c r="W21" s="629">
        <f t="shared" si="3"/>
        <v>5.57</v>
      </c>
    </row>
    <row r="22" spans="1:23">
      <c r="B22" t="str">
        <f>+Aux!$C$169</f>
        <v>Agric.e trab.qualif.da agric.,da pesca e da floresta</v>
      </c>
      <c r="C22" s="176">
        <f>+'q19'!$C$34</f>
        <v>31493</v>
      </c>
      <c r="D22" s="176">
        <f>+'q19'!$D$34</f>
        <v>32226</v>
      </c>
      <c r="E22" s="176">
        <f>+'q19'!$E$34</f>
        <v>32914</v>
      </c>
      <c r="F22" s="176">
        <f>+'q19'!$F$34</f>
        <v>33535</v>
      </c>
      <c r="G22" s="176">
        <f>+'q19'!$G$34</f>
        <v>36393</v>
      </c>
      <c r="H22" s="176">
        <f>+'q19'!$H$34</f>
        <v>36879</v>
      </c>
      <c r="I22" s="176">
        <f>+'q19'!$I$34</f>
        <v>39132</v>
      </c>
      <c r="J22" s="176">
        <f>+'q19'!$J$34</f>
        <v>36652</v>
      </c>
      <c r="K22" s="176">
        <f>+'q19'!$K$34</f>
        <v>37073</v>
      </c>
      <c r="L22" s="176">
        <f>+'q19'!$L$34</f>
        <v>37292</v>
      </c>
      <c r="M22" s="176">
        <f>+'q19'!$M$34</f>
        <v>36010</v>
      </c>
      <c r="S22" t="s">
        <v>612</v>
      </c>
      <c r="T22" s="176">
        <f t="shared" si="0"/>
        <v>36010</v>
      </c>
      <c r="U22" s="629">
        <f t="shared" si="1"/>
        <v>1015.15</v>
      </c>
      <c r="V22" s="629">
        <f t="shared" si="2"/>
        <v>1167.21</v>
      </c>
      <c r="W22" s="629">
        <f t="shared" si="3"/>
        <v>5.48</v>
      </c>
    </row>
    <row r="23" spans="1:23">
      <c r="B23" t="str">
        <f>+Aux!$C$170</f>
        <v>Trab.qualif.da ind.,constr.e artific.</v>
      </c>
      <c r="C23" s="176">
        <f>+'q19'!$C$37</f>
        <v>368809</v>
      </c>
      <c r="D23" s="176">
        <f>+'q19'!$D$37</f>
        <v>376388</v>
      </c>
      <c r="E23" s="176">
        <f>+'q19'!$E$37</f>
        <v>384741</v>
      </c>
      <c r="F23" s="176">
        <f>+'q19'!$F$37</f>
        <v>400615</v>
      </c>
      <c r="G23" s="176">
        <f>+'q19'!$G$37</f>
        <v>413669</v>
      </c>
      <c r="H23" s="176">
        <f>+'q19'!$H$37</f>
        <v>416319</v>
      </c>
      <c r="I23" s="176">
        <f>+'q19'!$I$37</f>
        <v>417902</v>
      </c>
      <c r="J23" s="176">
        <f>+'q19'!$J$37</f>
        <v>412413</v>
      </c>
      <c r="K23" s="176">
        <f>+'q19'!$K$37</f>
        <v>440677</v>
      </c>
      <c r="L23" s="176">
        <f>+'q19'!$L$37</f>
        <v>457733</v>
      </c>
      <c r="M23" s="176">
        <f>+'q19'!$M$37</f>
        <v>457922</v>
      </c>
      <c r="S23" t="s">
        <v>615</v>
      </c>
      <c r="T23" s="176">
        <f t="shared" si="0"/>
        <v>457922</v>
      </c>
      <c r="U23" s="629">
        <f t="shared" si="1"/>
        <v>1018.26</v>
      </c>
      <c r="V23" s="629">
        <f t="shared" si="2"/>
        <v>1246.3800000000001</v>
      </c>
      <c r="W23" s="629">
        <f t="shared" si="3"/>
        <v>5.8</v>
      </c>
    </row>
    <row r="24" spans="1:23">
      <c r="B24" t="str">
        <f>+Aux!$C$171</f>
        <v>Oper.de inst.e máq.e trab.mont.</v>
      </c>
      <c r="C24" s="176">
        <f>+'q19'!$C$43</f>
        <v>274804</v>
      </c>
      <c r="D24" s="176">
        <f>+'q19'!$D$43</f>
        <v>280377</v>
      </c>
      <c r="E24" s="176">
        <f>+'q19'!$E$43</f>
        <v>291313</v>
      </c>
      <c r="F24" s="176">
        <f>+'q19'!$F$43</f>
        <v>307015</v>
      </c>
      <c r="G24" s="176">
        <f>+'q19'!$G$43</f>
        <v>315599</v>
      </c>
      <c r="H24" s="176">
        <f>+'q19'!$H$43</f>
        <v>307042</v>
      </c>
      <c r="I24" s="176">
        <f>+'q19'!$I$43</f>
        <v>302090</v>
      </c>
      <c r="J24" s="176">
        <f>+'q19'!$J$43</f>
        <v>298377</v>
      </c>
      <c r="K24" s="176">
        <f>+'q19'!$K$43</f>
        <v>315144</v>
      </c>
      <c r="L24" s="176">
        <f>+'q19'!$L$43</f>
        <v>324386</v>
      </c>
      <c r="M24" s="176">
        <f>+'q19'!$M$43</f>
        <v>323244</v>
      </c>
      <c r="S24" t="s">
        <v>621</v>
      </c>
      <c r="T24" s="176">
        <f t="shared" si="0"/>
        <v>323244</v>
      </c>
      <c r="U24" s="629">
        <f t="shared" si="1"/>
        <v>1002.33</v>
      </c>
      <c r="V24" s="629">
        <f t="shared" si="2"/>
        <v>1341.97</v>
      </c>
      <c r="W24" s="629">
        <f t="shared" si="3"/>
        <v>5.72</v>
      </c>
    </row>
    <row r="25" spans="1:23">
      <c r="B25" t="str">
        <f>+Aux!$C$172</f>
        <v>Trabalhadores não qualificados</v>
      </c>
      <c r="C25" s="176">
        <f>+'q19'!$C$47</f>
        <v>322924</v>
      </c>
      <c r="D25" s="176">
        <f>+'q19'!$D$47</f>
        <v>341417</v>
      </c>
      <c r="E25" s="176">
        <f>+'q19'!$E$47</f>
        <v>366149</v>
      </c>
      <c r="F25" s="176">
        <f>+'q19'!$F$47</f>
        <v>391370</v>
      </c>
      <c r="G25" s="176">
        <f>+'q19'!$G$47</f>
        <v>413348</v>
      </c>
      <c r="H25" s="176">
        <f>+'q19'!$H$47</f>
        <v>422064</v>
      </c>
      <c r="I25" s="176">
        <f>+'q19'!$I$47</f>
        <v>411879</v>
      </c>
      <c r="J25" s="176">
        <f>+'q19'!$J$47</f>
        <v>420318</v>
      </c>
      <c r="K25" s="176">
        <f>+'q19'!$K$47</f>
        <v>444590</v>
      </c>
      <c r="L25" s="176">
        <f>+'q19'!$L$47</f>
        <v>477160</v>
      </c>
      <c r="M25" s="176">
        <f>+'q19'!$M$47</f>
        <v>485614</v>
      </c>
      <c r="S25" t="s">
        <v>625</v>
      </c>
      <c r="T25" s="176">
        <f t="shared" si="0"/>
        <v>485614</v>
      </c>
      <c r="U25" s="629">
        <f t="shared" si="1"/>
        <v>894.26</v>
      </c>
      <c r="V25" s="629">
        <f t="shared" si="2"/>
        <v>1058.49</v>
      </c>
      <c r="W25" s="629">
        <f t="shared" si="3"/>
        <v>5.12</v>
      </c>
    </row>
    <row r="26" spans="1:23">
      <c r="B26" t="str">
        <f>+Aux!$C$173</f>
        <v>Trabalhadores sem profissão atribuida</v>
      </c>
      <c r="C26" s="176">
        <f>+'q19'!$C$54</f>
        <v>1789</v>
      </c>
      <c r="D26" s="176">
        <f>+'q19'!$D$54</f>
        <v>1991</v>
      </c>
      <c r="E26" s="176">
        <f>+'q19'!$E$54</f>
        <v>2376</v>
      </c>
      <c r="F26" s="176">
        <f>+'q19'!$F$54</f>
        <v>2397</v>
      </c>
      <c r="G26" s="176">
        <f>+'q19'!$G$54</f>
        <v>1959</v>
      </c>
      <c r="H26" s="176">
        <f>+'q19'!$H$54</f>
        <v>2102</v>
      </c>
      <c r="I26" s="176">
        <f>+'q19'!$I$54</f>
        <v>2152</v>
      </c>
      <c r="J26" s="176">
        <f>+'q19'!$J$54</f>
        <v>2658</v>
      </c>
      <c r="K26" s="176">
        <f>+'q19'!$K$54</f>
        <v>2839</v>
      </c>
      <c r="L26" s="176">
        <f>+'q19'!$L$54</f>
        <v>2640</v>
      </c>
      <c r="M26" s="176">
        <f>+'q19'!$M$54</f>
        <v>4310</v>
      </c>
      <c r="S26" t="s">
        <v>632</v>
      </c>
      <c r="T26" s="176">
        <f t="shared" si="0"/>
        <v>4310</v>
      </c>
      <c r="U26" s="629">
        <f t="shared" si="1"/>
        <v>3106.87</v>
      </c>
      <c r="V26" s="629">
        <f t="shared" si="2"/>
        <v>3504.65</v>
      </c>
      <c r="W26" s="629">
        <f t="shared" si="3"/>
        <v>18.2</v>
      </c>
    </row>
    <row r="27" spans="1:23">
      <c r="B27" s="383" t="s">
        <v>11</v>
      </c>
      <c r="C27" s="176">
        <f>+'q19'!$C$5</f>
        <v>2458163</v>
      </c>
      <c r="D27" s="176">
        <f>+'q19'!$D$5</f>
        <v>2537653</v>
      </c>
      <c r="E27" s="176">
        <f>+'q19'!$E$5</f>
        <v>2641919</v>
      </c>
      <c r="F27" s="176">
        <f>+'q19'!$F$5</f>
        <v>2767521</v>
      </c>
      <c r="G27" s="176">
        <f>+'q19'!$G$5</f>
        <v>2877918</v>
      </c>
      <c r="H27" s="176">
        <f>+'q19'!$H$5</f>
        <v>2930482</v>
      </c>
      <c r="I27" s="176">
        <f>+'q19'!$I$5</f>
        <v>2902825</v>
      </c>
      <c r="J27" s="176">
        <f>+'q19'!$J$5</f>
        <v>2922343</v>
      </c>
      <c r="K27" s="176">
        <f>+'q19'!$K$5</f>
        <v>3148147</v>
      </c>
      <c r="L27" s="176">
        <f>+'q19'!$L$5</f>
        <v>3296134</v>
      </c>
      <c r="M27" s="176">
        <f>+'q19'!$M$5</f>
        <v>3354136</v>
      </c>
      <c r="S27" t="s">
        <v>11</v>
      </c>
      <c r="T27" s="176">
        <f t="shared" si="0"/>
        <v>3354136</v>
      </c>
      <c r="U27" s="629">
        <f t="shared" si="1"/>
        <v>1308.96</v>
      </c>
      <c r="V27" s="629">
        <f t="shared" si="2"/>
        <v>1582.75</v>
      </c>
      <c r="W27" s="629">
        <f t="shared" si="3"/>
        <v>7.38</v>
      </c>
    </row>
    <row r="30" spans="1:23">
      <c r="A30" s="384" t="s">
        <v>679</v>
      </c>
    </row>
    <row r="31" spans="1:23">
      <c r="A31" s="420" t="s">
        <v>268</v>
      </c>
      <c r="C31" s="384">
        <f>+'q28'!$C$4</f>
        <v>2014</v>
      </c>
      <c r="D31" s="384">
        <f>+'q28'!$D$4</f>
        <v>2015</v>
      </c>
      <c r="E31" s="384">
        <f>+'q28'!$E$4</f>
        <v>2016</v>
      </c>
      <c r="F31" s="384">
        <f>+'q28'!$F$4</f>
        <v>2017</v>
      </c>
      <c r="G31" s="384">
        <f>+'q28'!$G$4</f>
        <v>2018</v>
      </c>
      <c r="H31" s="384">
        <f>+'q28'!$H$4</f>
        <v>2019</v>
      </c>
      <c r="I31" s="384">
        <f>+'q28'!$I$4</f>
        <v>2020</v>
      </c>
      <c r="J31" s="384">
        <f>+'q28'!$J$4</f>
        <v>2021</v>
      </c>
      <c r="K31" s="384">
        <f>+'q28'!$K$4</f>
        <v>2022</v>
      </c>
      <c r="L31" s="384">
        <f>+'q28'!$L$4</f>
        <v>2023</v>
      </c>
      <c r="M31" s="384">
        <f>+'q28'!$M$4</f>
        <v>2024</v>
      </c>
    </row>
    <row r="32" spans="1:23">
      <c r="A32" s="420" t="s">
        <v>680</v>
      </c>
      <c r="B32" t="str">
        <f>+Aux!$C$164</f>
        <v>Repres. poder leg. e de órgãos exec., dirig., diret. e gestores executivos</v>
      </c>
      <c r="C32" s="472">
        <f>+'q28'!$C$6</f>
        <v>2052.4499999999998</v>
      </c>
      <c r="D32" s="472">
        <f>+'q28'!$D$6</f>
        <v>2079.75</v>
      </c>
      <c r="E32" s="472">
        <f>+'q28'!$E$6</f>
        <v>2107.9899999999998</v>
      </c>
      <c r="F32" s="472">
        <f>+'q28'!$F$6</f>
        <v>2146.0500000000002</v>
      </c>
      <c r="G32" s="472">
        <f>+'q28'!$G$6</f>
        <v>2200.1999999999998</v>
      </c>
      <c r="H32" s="472">
        <f>+'q28'!$H$6</f>
        <v>2261.4</v>
      </c>
      <c r="I32" s="472">
        <f>+'q28'!$I$6</f>
        <v>2333.06</v>
      </c>
      <c r="J32" s="472">
        <f>+'q28'!$J$6</f>
        <v>2403.16</v>
      </c>
      <c r="K32" s="472">
        <f>+'q28'!$K$6</f>
        <v>2518.79</v>
      </c>
      <c r="L32" s="472">
        <f>+'q28'!$L$6</f>
        <v>2657.57</v>
      </c>
      <c r="M32" s="472">
        <f>+'q28'!$M$6</f>
        <v>2846.78</v>
      </c>
    </row>
    <row r="33" spans="1:13">
      <c r="B33" t="str">
        <f>+Aux!$C$165</f>
        <v>Especial.das ativ.intelet.e cientif.</v>
      </c>
      <c r="C33" s="472">
        <f>+'q28'!$C$11</f>
        <v>1541.53</v>
      </c>
      <c r="D33" s="472">
        <f>+'q28'!$D$11</f>
        <v>1539.36</v>
      </c>
      <c r="E33" s="472">
        <f>+'q28'!$E$11</f>
        <v>1552.11</v>
      </c>
      <c r="F33" s="472">
        <f>+'q28'!$F$11</f>
        <v>1562.24</v>
      </c>
      <c r="G33" s="472">
        <f>+'q28'!$G$11</f>
        <v>1587.78</v>
      </c>
      <c r="H33" s="472">
        <f>+'q28'!$H$11</f>
        <v>1623</v>
      </c>
      <c r="I33" s="472">
        <f>+'q28'!$I$11</f>
        <v>1656.71</v>
      </c>
      <c r="J33" s="472">
        <f>+'q28'!$J$11</f>
        <v>1713.38</v>
      </c>
      <c r="K33" s="472">
        <f>+'q28'!$K$11</f>
        <v>1802.5</v>
      </c>
      <c r="L33" s="472">
        <f>+'q28'!$L$11</f>
        <v>1907.03</v>
      </c>
      <c r="M33" s="472">
        <f>+'q28'!$M$11</f>
        <v>2032.28</v>
      </c>
    </row>
    <row r="34" spans="1:13">
      <c r="B34" t="str">
        <f>+Aux!$C$166</f>
        <v>Técn. e prof. de nível intermédio</v>
      </c>
      <c r="C34" s="472">
        <f>+'q28'!$C$18</f>
        <v>1199.6500000000001</v>
      </c>
      <c r="D34" s="472">
        <f>+'q28'!$D$18</f>
        <v>1216.57</v>
      </c>
      <c r="E34" s="472">
        <f>+'q28'!$E$18</f>
        <v>1225.94</v>
      </c>
      <c r="F34" s="472">
        <f>+'q28'!$F$18</f>
        <v>1243.8599999999999</v>
      </c>
      <c r="G34" s="472">
        <f>+'q28'!$G$18</f>
        <v>1266.67</v>
      </c>
      <c r="H34" s="472">
        <f>+'q28'!$H$18</f>
        <v>1300.04</v>
      </c>
      <c r="I34" s="472">
        <f>+'q28'!$I$18</f>
        <v>1309.53</v>
      </c>
      <c r="J34" s="472">
        <f>+'q28'!$J$18</f>
        <v>1334.13</v>
      </c>
      <c r="K34" s="472">
        <f>+'q28'!$K$18</f>
        <v>1409.43</v>
      </c>
      <c r="L34" s="472">
        <f>+'q28'!$L$18</f>
        <v>1506.33</v>
      </c>
      <c r="M34" s="472">
        <f>+'q28'!$M$18</f>
        <v>1589.95</v>
      </c>
    </row>
    <row r="35" spans="1:13">
      <c r="B35" t="str">
        <f>+Aux!$C$167</f>
        <v>Pessoal administrativo</v>
      </c>
      <c r="C35" s="472">
        <f>+'q28'!$C$24</f>
        <v>853.64</v>
      </c>
      <c r="D35" s="472">
        <f>+'q28'!$D$24</f>
        <v>850.24</v>
      </c>
      <c r="E35" s="472">
        <f>+'q28'!$E$24</f>
        <v>858.62</v>
      </c>
      <c r="F35" s="472">
        <f>+'q28'!$F$24</f>
        <v>871.79</v>
      </c>
      <c r="G35" s="472">
        <f>+'q28'!$G$24</f>
        <v>892.08</v>
      </c>
      <c r="H35" s="472">
        <f>+'q28'!$H$24</f>
        <v>915.53</v>
      </c>
      <c r="I35" s="472">
        <f>+'q28'!$I$24</f>
        <v>939.99</v>
      </c>
      <c r="J35" s="472">
        <f>+'q28'!$J$24</f>
        <v>974.11</v>
      </c>
      <c r="K35" s="472">
        <f>+'q28'!$K$24</f>
        <v>1012.3</v>
      </c>
      <c r="L35" s="472">
        <f>+'q28'!$L$24</f>
        <v>1075.58</v>
      </c>
      <c r="M35" s="472">
        <f>+'q28'!$M$24</f>
        <v>1143.01</v>
      </c>
    </row>
    <row r="36" spans="1:13">
      <c r="B36" t="str">
        <f>+Aux!$C$168</f>
        <v>Trab.dos serv.pessoais, de prot.e segur.e vendedores</v>
      </c>
      <c r="C36" s="472">
        <f>+'q28'!$C$29</f>
        <v>643.22</v>
      </c>
      <c r="D36" s="472">
        <f>+'q28'!$D$29</f>
        <v>648.69000000000005</v>
      </c>
      <c r="E36" s="472">
        <f>+'q28'!$E$29</f>
        <v>661.51</v>
      </c>
      <c r="F36" s="472">
        <f>+'q28'!$F$29</f>
        <v>679.44</v>
      </c>
      <c r="G36" s="472">
        <f>+'q28'!$G$29</f>
        <v>701.85</v>
      </c>
      <c r="H36" s="472">
        <f>+'q28'!$H$29</f>
        <v>730.64</v>
      </c>
      <c r="I36" s="472">
        <f>+'q28'!$I$29</f>
        <v>754.92</v>
      </c>
      <c r="J36" s="472">
        <f>+'q28'!$J$29</f>
        <v>784.92</v>
      </c>
      <c r="K36" s="472">
        <f>+'q28'!$K$29</f>
        <v>833.64</v>
      </c>
      <c r="L36" s="472">
        <f>+'q28'!$L$29</f>
        <v>897.05</v>
      </c>
      <c r="M36" s="472">
        <f>+'q28'!$M$29</f>
        <v>964.25</v>
      </c>
    </row>
    <row r="37" spans="1:13">
      <c r="B37" t="str">
        <f>+Aux!$C$169</f>
        <v>Agric.e trab.qualif.da agric.,da pesca e da floresta</v>
      </c>
      <c r="C37" s="472">
        <f>+'q28'!$C$34</f>
        <v>647.64</v>
      </c>
      <c r="D37" s="472">
        <f>+'q28'!$D$34</f>
        <v>673.53</v>
      </c>
      <c r="E37" s="472">
        <f>+'q28'!$E$34</f>
        <v>705.23</v>
      </c>
      <c r="F37" s="472">
        <f>+'q28'!$F$34</f>
        <v>701.39</v>
      </c>
      <c r="G37" s="472">
        <f>+'q28'!$G$34</f>
        <v>745.46</v>
      </c>
      <c r="H37" s="472">
        <f>+'q28'!$H$34</f>
        <v>800.65</v>
      </c>
      <c r="I37" s="472">
        <f>+'q28'!$I$34</f>
        <v>772.79</v>
      </c>
      <c r="J37" s="472">
        <f>+'q28'!$J$34</f>
        <v>823.03</v>
      </c>
      <c r="K37" s="472">
        <f>+'q28'!$K$34</f>
        <v>868.03</v>
      </c>
      <c r="L37" s="472">
        <f>+'q28'!$L$34</f>
        <v>921.84</v>
      </c>
      <c r="M37" s="472">
        <f>+'q28'!$M$34</f>
        <v>1015.15</v>
      </c>
    </row>
    <row r="38" spans="1:13">
      <c r="B38" t="str">
        <f>+Aux!$C$170</f>
        <v>Trab.qualif.da ind.,constr.e artific.</v>
      </c>
      <c r="C38" s="472">
        <f>+'q28'!$C$37</f>
        <v>693.11</v>
      </c>
      <c r="D38" s="472">
        <f>+'q28'!$D$37</f>
        <v>699.07</v>
      </c>
      <c r="E38" s="472">
        <f>+'q28'!$E$37</f>
        <v>710.79</v>
      </c>
      <c r="F38" s="472">
        <f>+'q28'!$F$37</f>
        <v>729.98</v>
      </c>
      <c r="G38" s="472">
        <f>+'q28'!$G$37</f>
        <v>756.88</v>
      </c>
      <c r="H38" s="472">
        <f>+'q28'!$H$37</f>
        <v>782.92</v>
      </c>
      <c r="I38" s="472">
        <f>+'q28'!$I$37</f>
        <v>806.16</v>
      </c>
      <c r="J38" s="472">
        <f>+'q28'!$J$37</f>
        <v>840.13</v>
      </c>
      <c r="K38" s="472">
        <f>+'q28'!$K$37</f>
        <v>887.58</v>
      </c>
      <c r="L38" s="472">
        <f>+'q28'!$L$37</f>
        <v>951.56</v>
      </c>
      <c r="M38" s="472">
        <f>+'q28'!$M$37</f>
        <v>1018.26</v>
      </c>
    </row>
    <row r="39" spans="1:13">
      <c r="B39" t="str">
        <f>+Aux!$C$171</f>
        <v>Oper.de inst.e máq.e trab.mont.</v>
      </c>
      <c r="C39" s="472">
        <f>+'q28'!$C$43</f>
        <v>652.71</v>
      </c>
      <c r="D39" s="472">
        <f>+'q28'!$D$43</f>
        <v>659.28</v>
      </c>
      <c r="E39" s="472">
        <f>+'q28'!$E$43</f>
        <v>670.89</v>
      </c>
      <c r="F39" s="472">
        <f>+'q28'!$F$43</f>
        <v>689.84</v>
      </c>
      <c r="G39" s="472">
        <f>+'q28'!$G$43</f>
        <v>719.5</v>
      </c>
      <c r="H39" s="472">
        <f>+'q28'!$H$43</f>
        <v>749.68</v>
      </c>
      <c r="I39" s="472">
        <f>+'q28'!$I$43</f>
        <v>787.59</v>
      </c>
      <c r="J39" s="472">
        <f>+'q28'!$J$43</f>
        <v>816.4</v>
      </c>
      <c r="K39" s="472">
        <f>+'q28'!$K$43</f>
        <v>866.48</v>
      </c>
      <c r="L39" s="472">
        <f>+'q28'!$L$43</f>
        <v>925.47</v>
      </c>
      <c r="M39" s="472">
        <f>+'q28'!$M$43</f>
        <v>1002.33</v>
      </c>
    </row>
    <row r="40" spans="1:13">
      <c r="B40" t="str">
        <f>+Aux!$C$172</f>
        <v>Trabalhadores não qualificados</v>
      </c>
      <c r="C40" s="472">
        <f>+'q28'!$C$47</f>
        <v>575.77</v>
      </c>
      <c r="D40" s="472">
        <f>+'q28'!$D$47</f>
        <v>583.21</v>
      </c>
      <c r="E40" s="472">
        <f>+'q28'!$E$47</f>
        <v>602.21</v>
      </c>
      <c r="F40" s="472">
        <f>+'q28'!$F$47</f>
        <v>628.91999999999996</v>
      </c>
      <c r="G40" s="472">
        <f>+'q28'!$G$47</f>
        <v>660.17</v>
      </c>
      <c r="H40" s="472">
        <f>+'q28'!$H$47</f>
        <v>687.66</v>
      </c>
      <c r="I40" s="472">
        <f>+'q28'!$I$47</f>
        <v>719.43</v>
      </c>
      <c r="J40" s="472">
        <f>+'q28'!$J$47</f>
        <v>758.99</v>
      </c>
      <c r="K40" s="472">
        <f>+'q28'!$K$47</f>
        <v>801.61</v>
      </c>
      <c r="L40" s="472">
        <f>+'q28'!$L$47</f>
        <v>853.75</v>
      </c>
      <c r="M40" s="472">
        <f>+'q28'!$M$47</f>
        <v>894.26</v>
      </c>
    </row>
    <row r="41" spans="1:13">
      <c r="B41" t="str">
        <f>+Aux!$C$173</f>
        <v>Trabalhadores sem profissão atribuida</v>
      </c>
      <c r="C41" s="472">
        <f>+'q28'!$C$54</f>
        <v>1665.15</v>
      </c>
      <c r="D41" s="472">
        <f>+'q28'!$D$54</f>
        <v>1962.04</v>
      </c>
      <c r="E41" s="472">
        <f>+'q28'!$E$54</f>
        <v>1816.54</v>
      </c>
      <c r="F41" s="472">
        <f>+'q28'!$F$54</f>
        <v>1986.74</v>
      </c>
      <c r="G41" s="472">
        <f>+'q28'!$G$54</f>
        <v>1694.97</v>
      </c>
      <c r="H41" s="472">
        <f>+'q28'!$H$54</f>
        <v>1909.38</v>
      </c>
      <c r="I41" s="472">
        <f>+'q28'!$I$54</f>
        <v>2041.63</v>
      </c>
      <c r="J41" s="472">
        <f>+'q28'!$J$54</f>
        <v>2131.42</v>
      </c>
      <c r="K41" s="472">
        <f>+'q28'!$K$54</f>
        <v>2254.4699999999998</v>
      </c>
      <c r="L41" s="472">
        <f>+'q28'!$L$54</f>
        <v>2853.07</v>
      </c>
      <c r="M41" s="472">
        <f>+'q28'!$M$54</f>
        <v>3106.87</v>
      </c>
    </row>
    <row r="42" spans="1:13">
      <c r="B42" s="383" t="s">
        <v>11</v>
      </c>
      <c r="C42" s="472">
        <f>+'q28'!$C$5</f>
        <v>909.49</v>
      </c>
      <c r="D42" s="472">
        <f>+'q28'!$D$5</f>
        <v>913.93</v>
      </c>
      <c r="E42" s="472">
        <f>+'q28'!$E$5</f>
        <v>924.94</v>
      </c>
      <c r="F42" s="472">
        <f>+'q28'!$F$5</f>
        <v>943</v>
      </c>
      <c r="G42" s="472">
        <f>+'q28'!$G$5</f>
        <v>970.42</v>
      </c>
      <c r="H42" s="472">
        <f>+'q28'!$H$5</f>
        <v>1005.09</v>
      </c>
      <c r="I42" s="472">
        <f>+'q28'!$I$5</f>
        <v>1041.99</v>
      </c>
      <c r="J42" s="472">
        <f>+'q28'!$J$5</f>
        <v>1082.77</v>
      </c>
      <c r="K42" s="472">
        <f>+'q28'!$K$5</f>
        <v>1143.45</v>
      </c>
      <c r="L42" s="472">
        <f>+'q28'!$L$5</f>
        <v>1219.8699999999999</v>
      </c>
      <c r="M42" s="472">
        <f>+'q28'!$M$5</f>
        <v>1308.96</v>
      </c>
    </row>
    <row r="45" spans="1:13">
      <c r="A45" s="384" t="s">
        <v>682</v>
      </c>
      <c r="C45" s="384">
        <f>+'q29'!$C$4</f>
        <v>2014</v>
      </c>
      <c r="D45" s="384">
        <f>+'q29'!$D$4</f>
        <v>2015</v>
      </c>
      <c r="E45" s="384">
        <f>+'q29'!$E$4</f>
        <v>2016</v>
      </c>
      <c r="F45" s="384">
        <f>+'q29'!$F$4</f>
        <v>2017</v>
      </c>
      <c r="G45" s="384">
        <f>+'q29'!$G$4</f>
        <v>2018</v>
      </c>
      <c r="H45" s="384">
        <f>+'q29'!$H$4</f>
        <v>2019</v>
      </c>
      <c r="I45" s="384">
        <f>+'q29'!$I$4</f>
        <v>2020</v>
      </c>
      <c r="J45" s="384">
        <f>+'q29'!$J$4</f>
        <v>2021</v>
      </c>
      <c r="K45" s="384">
        <f>+'q29'!$K$4</f>
        <v>2022</v>
      </c>
      <c r="L45" s="384">
        <f>+'q29'!$L$4</f>
        <v>2023</v>
      </c>
      <c r="M45" s="384">
        <f>+'q29'!$M$4</f>
        <v>2024</v>
      </c>
    </row>
    <row r="46" spans="1:13">
      <c r="A46" s="420" t="s">
        <v>268</v>
      </c>
      <c r="B46" t="str">
        <f>+Aux!$C$164</f>
        <v>Repres. poder leg. e de órgãos exec., dirig., diret. e gestores executivos</v>
      </c>
      <c r="C46" s="472">
        <f>+'q29'!$C$6</f>
        <v>12.03</v>
      </c>
      <c r="D46" s="472">
        <f>+'q29'!$D$6</f>
        <v>12.14</v>
      </c>
      <c r="E46" s="472">
        <f>+'q29'!$E$6</f>
        <v>12.33</v>
      </c>
      <c r="F46" s="472">
        <f>+'q29'!$F$6</f>
        <v>12.52</v>
      </c>
      <c r="G46" s="472">
        <f>+'q29'!$G$6</f>
        <v>12.82</v>
      </c>
      <c r="H46" s="472">
        <f>+'q29'!$H$6</f>
        <v>13.15</v>
      </c>
      <c r="I46" s="472">
        <f>+'q29'!$I$6</f>
        <v>13.57</v>
      </c>
      <c r="J46" s="472">
        <f>+'q29'!$J$6</f>
        <v>14</v>
      </c>
      <c r="K46" s="472">
        <f>+'q29'!$K$6</f>
        <v>14.63</v>
      </c>
      <c r="L46" s="472">
        <f>+'q29'!$L$6</f>
        <v>15.43</v>
      </c>
      <c r="M46" s="472">
        <f>+'q29'!$M$6</f>
        <v>16.54</v>
      </c>
    </row>
    <row r="47" spans="1:13">
      <c r="A47" s="420" t="s">
        <v>681</v>
      </c>
      <c r="B47" t="str">
        <f>+Aux!$C$165</f>
        <v>Especial.das ativ.intelet.e cientif.</v>
      </c>
      <c r="C47" s="472">
        <f>+'q29'!$C$11</f>
        <v>9.26</v>
      </c>
      <c r="D47" s="472">
        <f>+'q29'!$D$11</f>
        <v>9.2200000000000006</v>
      </c>
      <c r="E47" s="472">
        <f>+'q29'!$E$11</f>
        <v>9.3000000000000007</v>
      </c>
      <c r="F47" s="472">
        <f>+'q29'!$F$11</f>
        <v>9.34</v>
      </c>
      <c r="G47" s="472">
        <f>+'q29'!$G$11</f>
        <v>9.5</v>
      </c>
      <c r="H47" s="472">
        <f>+'q29'!$H$11</f>
        <v>9.69</v>
      </c>
      <c r="I47" s="472">
        <f>+'q29'!$I$11</f>
        <v>9.9</v>
      </c>
      <c r="J47" s="472">
        <f>+'q29'!$J$11</f>
        <v>10.210000000000001</v>
      </c>
      <c r="K47" s="472">
        <f>+'q29'!$K$11</f>
        <v>10.7</v>
      </c>
      <c r="L47" s="472">
        <f>+'q29'!$L$11</f>
        <v>11.33</v>
      </c>
      <c r="M47" s="472">
        <f>+'q29'!$M$11</f>
        <v>12.04</v>
      </c>
    </row>
    <row r="48" spans="1:13">
      <c r="B48" t="str">
        <f>+Aux!$C$166</f>
        <v>Técn. e prof. de nível intermédio</v>
      </c>
      <c r="C48" s="472">
        <f>+'q29'!$C$18</f>
        <v>6.96</v>
      </c>
      <c r="D48" s="472">
        <f>+'q29'!$D$18</f>
        <v>7.07</v>
      </c>
      <c r="E48" s="472">
        <f>+'q29'!$E$18</f>
        <v>7.12</v>
      </c>
      <c r="F48" s="472">
        <f>+'q29'!$F$18</f>
        <v>7.21</v>
      </c>
      <c r="G48" s="472">
        <f>+'q29'!$G$18</f>
        <v>7.34</v>
      </c>
      <c r="H48" s="472">
        <f>+'q29'!$H$18</f>
        <v>7.52</v>
      </c>
      <c r="I48" s="472">
        <f>+'q29'!$I$18</f>
        <v>7.69</v>
      </c>
      <c r="J48" s="472">
        <f>+'q29'!$J$18</f>
        <v>7.78</v>
      </c>
      <c r="K48" s="472">
        <f>+'q29'!$K$18</f>
        <v>8.17</v>
      </c>
      <c r="L48" s="472">
        <f>+'q29'!$L$18</f>
        <v>8.6999999999999993</v>
      </c>
      <c r="M48" s="472">
        <f>+'q29'!$M$18</f>
        <v>9.17</v>
      </c>
    </row>
    <row r="49" spans="1:13">
      <c r="B49" t="str">
        <f>+Aux!$C$167</f>
        <v>Pessoal administrativo</v>
      </c>
      <c r="C49" s="472">
        <f>+'q29'!$C$24</f>
        <v>4.9400000000000004</v>
      </c>
      <c r="D49" s="472">
        <f>+'q29'!$D$24</f>
        <v>4.92</v>
      </c>
      <c r="E49" s="472">
        <f>+'q29'!$E$24</f>
        <v>4.95</v>
      </c>
      <c r="F49" s="472">
        <f>+'q29'!$F$24</f>
        <v>5.03</v>
      </c>
      <c r="G49" s="472">
        <f>+'q29'!$G$24</f>
        <v>5.14</v>
      </c>
      <c r="H49" s="472">
        <f>+'q29'!$H$24</f>
        <v>5.26</v>
      </c>
      <c r="I49" s="472">
        <f>+'q29'!$I$24</f>
        <v>5.45</v>
      </c>
      <c r="J49" s="472">
        <f>+'q29'!$J$24</f>
        <v>5.61</v>
      </c>
      <c r="K49" s="472">
        <f>+'q29'!$K$24</f>
        <v>5.81</v>
      </c>
      <c r="L49" s="472">
        <f>+'q29'!$L$24</f>
        <v>6.18</v>
      </c>
      <c r="M49" s="472">
        <f>+'q29'!$M$24</f>
        <v>6.56</v>
      </c>
    </row>
    <row r="50" spans="1:13">
      <c r="B50" t="str">
        <f>+Aux!$C$168</f>
        <v>Trab.dos serv.pessoais, de prot.e segur.e vendedores</v>
      </c>
      <c r="C50" s="472">
        <f>+'q29'!$C$29</f>
        <v>3.7</v>
      </c>
      <c r="D50" s="472">
        <f>+'q29'!$D$29</f>
        <v>3.73</v>
      </c>
      <c r="E50" s="472">
        <f>+'q29'!$E$29</f>
        <v>3.81</v>
      </c>
      <c r="F50" s="472">
        <f>+'q29'!$F$29</f>
        <v>3.91</v>
      </c>
      <c r="G50" s="472">
        <f>+'q29'!$G$29</f>
        <v>4.04</v>
      </c>
      <c r="H50" s="472">
        <f>+'q29'!$H$29</f>
        <v>4.21</v>
      </c>
      <c r="I50" s="472">
        <f>+'q29'!$I$29</f>
        <v>4.3899999999999997</v>
      </c>
      <c r="J50" s="472">
        <f>+'q29'!$J$29</f>
        <v>4.54</v>
      </c>
      <c r="K50" s="472">
        <f>+'q29'!$K$29</f>
        <v>4.8099999999999996</v>
      </c>
      <c r="L50" s="472">
        <f>+'q29'!$L$29</f>
        <v>5.18</v>
      </c>
      <c r="M50" s="472">
        <f>+'q29'!$M$29</f>
        <v>5.57</v>
      </c>
    </row>
    <row r="51" spans="1:13">
      <c r="B51" t="str">
        <f>+Aux!$C$169</f>
        <v>Agric.e trab.qualif.da agric.,da pesca e da floresta</v>
      </c>
      <c r="C51" s="472">
        <f>+'q29'!$C$34</f>
        <v>3.53</v>
      </c>
      <c r="D51" s="472">
        <f>+'q29'!$D$34</f>
        <v>3.64</v>
      </c>
      <c r="E51" s="472">
        <f>+'q29'!$E$34</f>
        <v>3.81</v>
      </c>
      <c r="F51" s="472">
        <f>+'q29'!$F$34</f>
        <v>3.85</v>
      </c>
      <c r="G51" s="472">
        <f>+'q29'!$G$34</f>
        <v>4.04</v>
      </c>
      <c r="H51" s="472">
        <f>+'q29'!$H$34</f>
        <v>4.24</v>
      </c>
      <c r="I51" s="472">
        <f>+'q29'!$I$34</f>
        <v>4.21</v>
      </c>
      <c r="J51" s="472">
        <f>+'q29'!$J$34</f>
        <v>4.41</v>
      </c>
      <c r="K51" s="472">
        <f>+'q29'!$K$34</f>
        <v>4.6900000000000004</v>
      </c>
      <c r="L51" s="472">
        <f>+'q29'!$L$34</f>
        <v>5</v>
      </c>
      <c r="M51" s="472">
        <f>+'q29'!$M$34</f>
        <v>5.48</v>
      </c>
    </row>
    <row r="52" spans="1:13">
      <c r="B52" t="str">
        <f>+Aux!$C$170</f>
        <v>Trab.qualif.da ind.,constr.e artific.</v>
      </c>
      <c r="C52" s="472">
        <f>+'q29'!$C$37</f>
        <v>3.95</v>
      </c>
      <c r="D52" s="472">
        <f>+'q29'!$D$37</f>
        <v>3.99</v>
      </c>
      <c r="E52" s="472">
        <f>+'q29'!$E$37</f>
        <v>4.0599999999999996</v>
      </c>
      <c r="F52" s="472">
        <f>+'q29'!$F$37</f>
        <v>4.16</v>
      </c>
      <c r="G52" s="472">
        <f>+'q29'!$G$37</f>
        <v>4.3099999999999996</v>
      </c>
      <c r="H52" s="472">
        <f>+'q29'!$H$37</f>
        <v>4.46</v>
      </c>
      <c r="I52" s="472">
        <f>+'q29'!$I$37</f>
        <v>4.62</v>
      </c>
      <c r="J52" s="472">
        <f>+'q29'!$J$37</f>
        <v>4.8099999999999996</v>
      </c>
      <c r="K52" s="472">
        <f>+'q29'!$K$37</f>
        <v>5.0599999999999996</v>
      </c>
      <c r="L52" s="472">
        <f>+'q29'!$L$37</f>
        <v>5.41</v>
      </c>
      <c r="M52" s="472">
        <f>+'q29'!$M$37</f>
        <v>5.8</v>
      </c>
    </row>
    <row r="53" spans="1:13">
      <c r="B53" t="str">
        <f>+Aux!$C$171</f>
        <v>Oper.de inst.e máq.e trab.mont.</v>
      </c>
      <c r="C53" s="472">
        <f>+'q29'!$C$43</f>
        <v>3.74</v>
      </c>
      <c r="D53" s="472">
        <f>+'q29'!$D$43</f>
        <v>3.77</v>
      </c>
      <c r="E53" s="472">
        <f>+'q29'!$E$43</f>
        <v>3.84</v>
      </c>
      <c r="F53" s="472">
        <f>+'q29'!$F$43</f>
        <v>3.95</v>
      </c>
      <c r="G53" s="472">
        <f>+'q29'!$G$43</f>
        <v>4.1100000000000003</v>
      </c>
      <c r="H53" s="472">
        <f>+'q29'!$H$43</f>
        <v>4.28</v>
      </c>
      <c r="I53" s="472">
        <f>+'q29'!$I$43</f>
        <v>4.5</v>
      </c>
      <c r="J53" s="472">
        <f>+'q29'!$J$43</f>
        <v>4.67</v>
      </c>
      <c r="K53" s="472">
        <f>+'q29'!$K$43</f>
        <v>4.95</v>
      </c>
      <c r="L53" s="472">
        <f>+'q29'!$L$43</f>
        <v>5.33</v>
      </c>
      <c r="M53" s="472">
        <f>+'q29'!$M$43</f>
        <v>5.72</v>
      </c>
    </row>
    <row r="54" spans="1:13">
      <c r="B54" t="str">
        <f>+Aux!$C$172</f>
        <v>Trabalhadores não qualificados</v>
      </c>
      <c r="C54" s="472">
        <f>+'q29'!$C$47</f>
        <v>3.3</v>
      </c>
      <c r="D54" s="472">
        <f>+'q29'!$D$47</f>
        <v>3.34</v>
      </c>
      <c r="E54" s="472">
        <f>+'q29'!$E$47</f>
        <v>3.45</v>
      </c>
      <c r="F54" s="472">
        <f>+'q29'!$F$47</f>
        <v>3.59</v>
      </c>
      <c r="G54" s="472">
        <f>+'q29'!$G$47</f>
        <v>3.76</v>
      </c>
      <c r="H54" s="472">
        <f>+'q29'!$H$47</f>
        <v>3.92</v>
      </c>
      <c r="I54" s="472">
        <f>+'q29'!$I$47</f>
        <v>4.1100000000000003</v>
      </c>
      <c r="J54" s="472">
        <f>+'q29'!$J$47</f>
        <v>4.32</v>
      </c>
      <c r="K54" s="472">
        <f>+'q29'!$K$47</f>
        <v>4.5599999999999996</v>
      </c>
      <c r="L54" s="472">
        <f>+'q29'!$L$47</f>
        <v>4.8600000000000003</v>
      </c>
      <c r="M54" s="472">
        <f>+'q29'!$M$47</f>
        <v>5.12</v>
      </c>
    </row>
    <row r="55" spans="1:13">
      <c r="B55" t="str">
        <f>+Aux!$C$173</f>
        <v>Trabalhadores sem profissão atribuida</v>
      </c>
      <c r="C55" s="472">
        <f>+'q29'!$C$54</f>
        <v>9.48</v>
      </c>
      <c r="D55" s="472">
        <f>+'q29'!$D$54</f>
        <v>11.05</v>
      </c>
      <c r="E55" s="472">
        <f>+'q29'!$E$54</f>
        <v>10.43</v>
      </c>
      <c r="F55" s="472">
        <f>+'q29'!$F$54</f>
        <v>11.29</v>
      </c>
      <c r="G55" s="472">
        <f>+'q29'!$G$54</f>
        <v>9.69</v>
      </c>
      <c r="H55" s="472">
        <f>+'q29'!$H$54</f>
        <v>11.13</v>
      </c>
      <c r="I55" s="472">
        <f>+'q29'!$I$54</f>
        <v>12</v>
      </c>
      <c r="J55" s="472">
        <f>+'q29'!$J$54</f>
        <v>12.53</v>
      </c>
      <c r="K55" s="472">
        <f>+'q29'!$K$54</f>
        <v>13.29</v>
      </c>
      <c r="L55" s="472">
        <f>+'q29'!$L$54</f>
        <v>16.690000000000001</v>
      </c>
      <c r="M55" s="472">
        <f>+'q29'!$M$54</f>
        <v>18.2</v>
      </c>
    </row>
    <row r="56" spans="1:13">
      <c r="B56" s="383" t="s">
        <v>11</v>
      </c>
      <c r="C56" s="472">
        <f>+'q29'!$C$5</f>
        <v>5.16</v>
      </c>
      <c r="D56" s="472">
        <f>+'q29'!$D$5</f>
        <v>5.18</v>
      </c>
      <c r="E56" s="472">
        <f>+'q29'!$E$5</f>
        <v>5.24</v>
      </c>
      <c r="F56" s="472">
        <f>+'q29'!$F$5</f>
        <v>5.34</v>
      </c>
      <c r="G56" s="472">
        <f>+'q29'!$G$5</f>
        <v>5.49</v>
      </c>
      <c r="H56" s="472">
        <f>+'q29'!$H$5</f>
        <v>5.68</v>
      </c>
      <c r="I56" s="472">
        <f>+'q29'!$I$5</f>
        <v>5.92</v>
      </c>
      <c r="J56" s="472">
        <f>+'q29'!$J$5</f>
        <v>6.13</v>
      </c>
      <c r="K56" s="472">
        <f>+'q29'!$K$5</f>
        <v>6.45</v>
      </c>
      <c r="L56" s="472">
        <f>+'q29'!$L$5</f>
        <v>6.88</v>
      </c>
      <c r="M56" s="472">
        <f>+'q29'!$M$5</f>
        <v>7.38</v>
      </c>
    </row>
    <row r="59" spans="1:13">
      <c r="A59" s="384" t="s">
        <v>917</v>
      </c>
    </row>
    <row r="60" spans="1:13">
      <c r="A60" s="420" t="s">
        <v>269</v>
      </c>
      <c r="C60" s="384">
        <f>+'q40'!$C$4</f>
        <v>2014</v>
      </c>
      <c r="D60" s="384">
        <f>+'q40'!$D$4</f>
        <v>2015</v>
      </c>
      <c r="E60" s="384">
        <f>+'q40'!$E$4</f>
        <v>2016</v>
      </c>
      <c r="F60" s="384">
        <f>+'q40'!$F$4</f>
        <v>2017</v>
      </c>
      <c r="G60" s="384">
        <f>+'q40'!$G$4</f>
        <v>2018</v>
      </c>
      <c r="H60" s="384">
        <f>+'q40'!$H$4</f>
        <v>2019</v>
      </c>
      <c r="I60" s="384">
        <f>+'q40'!$I$4</f>
        <v>2020</v>
      </c>
      <c r="J60" s="384">
        <f>+'q40'!$J$4</f>
        <v>2021</v>
      </c>
      <c r="K60" s="384">
        <f>+'q40'!$K$4</f>
        <v>2022</v>
      </c>
      <c r="L60" s="384">
        <f>+'q40'!$L$4</f>
        <v>2023</v>
      </c>
      <c r="M60" s="384">
        <f>+'q40'!$M$4</f>
        <v>2024</v>
      </c>
    </row>
    <row r="61" spans="1:13">
      <c r="A61" s="420" t="s">
        <v>680</v>
      </c>
      <c r="B61" t="str">
        <f>+Aux!$C$164</f>
        <v>Repres. poder leg. e de órgãos exec., dirig., diret. e gestores executivos</v>
      </c>
      <c r="C61" s="472">
        <f>+'q40'!$C$6</f>
        <v>2418.46</v>
      </c>
      <c r="D61" s="472">
        <f>+'q40'!$D$6</f>
        <v>2441.31</v>
      </c>
      <c r="E61" s="472">
        <f>+'q40'!$E$6</f>
        <v>2466.96</v>
      </c>
      <c r="F61" s="472">
        <f>+'q40'!$F$6</f>
        <v>2498.7199999999998</v>
      </c>
      <c r="G61" s="472">
        <f>+'q40'!$G$6</f>
        <v>2561.62</v>
      </c>
      <c r="H61" s="472">
        <f>+'q40'!$H$6</f>
        <v>2612.42</v>
      </c>
      <c r="I61" s="472">
        <f>+'q40'!$I$6</f>
        <v>2704.83</v>
      </c>
      <c r="J61" s="472">
        <f>+'q40'!$J$6</f>
        <v>2777.23</v>
      </c>
      <c r="K61" s="472">
        <f>+'q40'!$K$6</f>
        <v>2899.85</v>
      </c>
      <c r="L61" s="472">
        <f>+'q40'!$L$6</f>
        <v>3072.68</v>
      </c>
      <c r="M61" s="472">
        <f>+'q40'!$M$6</f>
        <v>3295.85</v>
      </c>
    </row>
    <row r="62" spans="1:13">
      <c r="B62" t="str">
        <f>+Aux!$C$165</f>
        <v>Especial.das ativ.intelet.e cientif.</v>
      </c>
      <c r="C62" s="472">
        <f>+'q40'!$C$11</f>
        <v>1783.54</v>
      </c>
      <c r="D62" s="472">
        <f>+'q40'!$D$11</f>
        <v>1779.9</v>
      </c>
      <c r="E62" s="472">
        <f>+'q40'!$E$11</f>
        <v>1787.99</v>
      </c>
      <c r="F62" s="472">
        <f>+'q40'!$F$11</f>
        <v>1813.14</v>
      </c>
      <c r="G62" s="472">
        <f>+'q40'!$G$11</f>
        <v>1857.37</v>
      </c>
      <c r="H62" s="472">
        <f>+'q40'!$H$11</f>
        <v>1899.12</v>
      </c>
      <c r="I62" s="472">
        <f>+'q40'!$I$11</f>
        <v>1934.48</v>
      </c>
      <c r="J62" s="472">
        <f>+'q40'!$J$11</f>
        <v>1994.66</v>
      </c>
      <c r="K62" s="472">
        <f>+'q40'!$K$11</f>
        <v>2097.65</v>
      </c>
      <c r="L62" s="472">
        <f>+'q40'!$L$11</f>
        <v>2222.79</v>
      </c>
      <c r="M62" s="472">
        <f>+'q40'!$M$11</f>
        <v>2400.04</v>
      </c>
    </row>
    <row r="63" spans="1:13">
      <c r="B63" t="str">
        <f>+Aux!$C$166</f>
        <v>Técn. e prof. de nível intermédio</v>
      </c>
      <c r="C63" s="472">
        <f>+'q40'!$C$18</f>
        <v>1469.88</v>
      </c>
      <c r="D63" s="472">
        <f>+'q40'!$D$18</f>
        <v>1484.25</v>
      </c>
      <c r="E63" s="472">
        <f>+'q40'!$E$18</f>
        <v>1494.24</v>
      </c>
      <c r="F63" s="472">
        <f>+'q40'!$F$18</f>
        <v>1518.37</v>
      </c>
      <c r="G63" s="472">
        <f>+'q40'!$G$18</f>
        <v>1554.05</v>
      </c>
      <c r="H63" s="472">
        <f>+'q40'!$H$18</f>
        <v>1583.18</v>
      </c>
      <c r="I63" s="472">
        <f>+'q40'!$I$18</f>
        <v>1589.59</v>
      </c>
      <c r="J63" s="472">
        <f>+'q40'!$J$18</f>
        <v>1608.11</v>
      </c>
      <c r="K63" s="472">
        <f>+'q40'!$K$18</f>
        <v>1705.92</v>
      </c>
      <c r="L63" s="472">
        <f>+'q40'!$L$18</f>
        <v>1836.79</v>
      </c>
      <c r="M63" s="472">
        <f>+'q40'!$M$18</f>
        <v>1947.34</v>
      </c>
    </row>
    <row r="64" spans="1:13">
      <c r="B64" t="str">
        <f>+Aux!$C$167</f>
        <v>Pessoal administrativo</v>
      </c>
      <c r="C64" s="472">
        <f>+'q40'!$C$24</f>
        <v>1052.46</v>
      </c>
      <c r="D64" s="472">
        <f>+'q40'!$D$24</f>
        <v>1042.17</v>
      </c>
      <c r="E64" s="472">
        <f>+'q40'!$E$24</f>
        <v>1046.05</v>
      </c>
      <c r="F64" s="472">
        <f>+'q40'!$F$24</f>
        <v>1063.6600000000001</v>
      </c>
      <c r="G64" s="472">
        <f>+'q40'!$G$24</f>
        <v>1088.81</v>
      </c>
      <c r="H64" s="472">
        <f>+'q40'!$H$24</f>
        <v>1114.3399999999999</v>
      </c>
      <c r="I64" s="472">
        <f>+'q40'!$I$24</f>
        <v>1141.82</v>
      </c>
      <c r="J64" s="472">
        <f>+'q40'!$J$24</f>
        <v>1173.21</v>
      </c>
      <c r="K64" s="472">
        <f>+'q40'!$K$24</f>
        <v>1218.22</v>
      </c>
      <c r="L64" s="472">
        <f>+'q40'!$L$24</f>
        <v>1303.32</v>
      </c>
      <c r="M64" s="472">
        <f>+'q40'!$M$24</f>
        <v>1391.18</v>
      </c>
    </row>
    <row r="65" spans="2:13">
      <c r="B65" t="str">
        <f>+Aux!$C$168</f>
        <v>Trab.dos serv.pessoais, de prot.e segur.e vendedores</v>
      </c>
      <c r="C65" s="472">
        <f>+'q40'!$C$29</f>
        <v>759.92</v>
      </c>
      <c r="D65" s="472">
        <f>+'q40'!$D$29</f>
        <v>767.89</v>
      </c>
      <c r="E65" s="472">
        <f>+'q40'!$E$29</f>
        <v>785.26</v>
      </c>
      <c r="F65" s="472">
        <f>+'q40'!$F$29</f>
        <v>808.9</v>
      </c>
      <c r="G65" s="472">
        <f>+'q40'!$G$29</f>
        <v>836.95</v>
      </c>
      <c r="H65" s="472">
        <f>+'q40'!$H$29</f>
        <v>873.06</v>
      </c>
      <c r="I65" s="472">
        <f>+'q40'!$I$29</f>
        <v>899.3</v>
      </c>
      <c r="J65" s="472">
        <f>+'q40'!$J$29</f>
        <v>936.3</v>
      </c>
      <c r="K65" s="472">
        <f>+'q40'!$K$29</f>
        <v>998.48</v>
      </c>
      <c r="L65" s="472">
        <f>+'q40'!$L$29</f>
        <v>1078.9100000000001</v>
      </c>
      <c r="M65" s="472">
        <f>+'q40'!$M$29</f>
        <v>1162.67</v>
      </c>
    </row>
    <row r="66" spans="2:13">
      <c r="B66" t="str">
        <f>+Aux!$C$169</f>
        <v>Agric.e trab.qualif.da agric.,da pesca e da floresta</v>
      </c>
      <c r="C66" s="472">
        <f>+'q40'!$C$34</f>
        <v>744.86</v>
      </c>
      <c r="D66" s="472">
        <f>+'q40'!$D$34</f>
        <v>767.63</v>
      </c>
      <c r="E66" s="472">
        <f>+'q40'!$E$34</f>
        <v>799.91</v>
      </c>
      <c r="F66" s="472">
        <f>+'q40'!$F$34</f>
        <v>801.18</v>
      </c>
      <c r="G66" s="472">
        <f>+'q40'!$G$34</f>
        <v>853.06</v>
      </c>
      <c r="H66" s="472">
        <f>+'q40'!$H$34</f>
        <v>914.72</v>
      </c>
      <c r="I66" s="472">
        <f>+'q40'!$I$34</f>
        <v>883.1</v>
      </c>
      <c r="J66" s="472">
        <f>+'q40'!$J$34</f>
        <v>942.8</v>
      </c>
      <c r="K66" s="472">
        <f>+'q40'!$K$34</f>
        <v>994.21</v>
      </c>
      <c r="L66" s="472">
        <f>+'q40'!$L$34</f>
        <v>1062.6099999999999</v>
      </c>
      <c r="M66" s="472">
        <f>+'q40'!$M$34</f>
        <v>1167.21</v>
      </c>
    </row>
    <row r="67" spans="2:13">
      <c r="B67" t="str">
        <f>+Aux!$C$170</f>
        <v>Trab.qualif.da ind.,constr.e artific.</v>
      </c>
      <c r="C67" s="472">
        <f>+'q40'!$C$37</f>
        <v>840</v>
      </c>
      <c r="D67" s="472">
        <f>+'q40'!$D$37</f>
        <v>846.87</v>
      </c>
      <c r="E67" s="472">
        <f>+'q40'!$E$37</f>
        <v>857.96</v>
      </c>
      <c r="F67" s="472">
        <f>+'q40'!$F$37</f>
        <v>884.52</v>
      </c>
      <c r="G67" s="472">
        <f>+'q40'!$G$37</f>
        <v>920.4</v>
      </c>
      <c r="H67" s="472">
        <f>+'q40'!$H$37</f>
        <v>953.05</v>
      </c>
      <c r="I67" s="472">
        <f>+'q40'!$I$37</f>
        <v>970.12</v>
      </c>
      <c r="J67" s="472">
        <f>+'q40'!$J$37</f>
        <v>1004.57</v>
      </c>
      <c r="K67" s="472">
        <f>+'q40'!$K$37</f>
        <v>1066.29</v>
      </c>
      <c r="L67" s="472">
        <f>+'q40'!$L$37</f>
        <v>1154.1400000000001</v>
      </c>
      <c r="M67" s="472">
        <f>+'q40'!$M$37</f>
        <v>1246.3800000000001</v>
      </c>
    </row>
    <row r="68" spans="2:13">
      <c r="B68" t="str">
        <f>+Aux!$C$171</f>
        <v>Oper.de inst.e máq.e trab.mont.</v>
      </c>
      <c r="C68" s="472">
        <f>+'q40'!$C$43</f>
        <v>842.42</v>
      </c>
      <c r="D68" s="472">
        <f>+'q40'!$D$43</f>
        <v>854.07</v>
      </c>
      <c r="E68" s="472">
        <f>+'q40'!$E$43</f>
        <v>874.93</v>
      </c>
      <c r="F68" s="472">
        <f>+'q40'!$F$43</f>
        <v>906.93</v>
      </c>
      <c r="G68" s="472">
        <f>+'q40'!$G$43</f>
        <v>946.99</v>
      </c>
      <c r="H68" s="472">
        <f>+'q40'!$H$43</f>
        <v>992.07</v>
      </c>
      <c r="I68" s="472">
        <f>+'q40'!$I$43</f>
        <v>1044.52</v>
      </c>
      <c r="J68" s="472">
        <f>+'q40'!$J$43</f>
        <v>1078.25</v>
      </c>
      <c r="K68" s="472">
        <f>+'q40'!$K$43</f>
        <v>1147.77</v>
      </c>
      <c r="L68" s="472">
        <f>+'q40'!$L$43</f>
        <v>1235.24</v>
      </c>
      <c r="M68" s="472">
        <f>+'q40'!$M$43</f>
        <v>1341.97</v>
      </c>
    </row>
    <row r="69" spans="2:13">
      <c r="B69" t="str">
        <f>+Aux!$C$172</f>
        <v>Trabalhadores não qualificados</v>
      </c>
      <c r="C69" s="472">
        <f>+'q40'!$C$47</f>
        <v>681.09</v>
      </c>
      <c r="D69" s="472">
        <f>+'q40'!$D$47</f>
        <v>688.24</v>
      </c>
      <c r="E69" s="472">
        <f>+'q40'!$E$47</f>
        <v>707.94</v>
      </c>
      <c r="F69" s="472">
        <f>+'q40'!$F$47</f>
        <v>743.43</v>
      </c>
      <c r="G69" s="472">
        <f>+'q40'!$G$47</f>
        <v>783.76</v>
      </c>
      <c r="H69" s="472">
        <f>+'q40'!$H$47</f>
        <v>816.04</v>
      </c>
      <c r="I69" s="472">
        <f>+'q40'!$I$47</f>
        <v>848.69</v>
      </c>
      <c r="J69" s="472">
        <f>+'q40'!$J$47</f>
        <v>895.67</v>
      </c>
      <c r="K69" s="472">
        <f>+'q40'!$K$47</f>
        <v>942.93</v>
      </c>
      <c r="L69" s="472">
        <f>+'q40'!$L$47</f>
        <v>1007.47</v>
      </c>
      <c r="M69" s="472">
        <f>+'q40'!$M$47</f>
        <v>1058.49</v>
      </c>
    </row>
    <row r="70" spans="2:13">
      <c r="B70" t="str">
        <f>+Aux!$C$173</f>
        <v>Trabalhadores sem profissão atribuida</v>
      </c>
      <c r="C70" s="472">
        <f>+'q40'!$C$54</f>
        <v>1872.04</v>
      </c>
      <c r="D70" s="472">
        <f>+'q40'!$D$54</f>
        <v>2276.44</v>
      </c>
      <c r="E70" s="472">
        <f>+'q40'!$E$54</f>
        <v>2020.39</v>
      </c>
      <c r="F70" s="472">
        <f>+'q40'!$F$54</f>
        <v>2216.48</v>
      </c>
      <c r="G70" s="472">
        <f>+'q40'!$G$54</f>
        <v>1911.05</v>
      </c>
      <c r="H70" s="472">
        <f>+'q40'!$H$54</f>
        <v>2143.6799999999998</v>
      </c>
      <c r="I70" s="472">
        <f>+'q40'!$I$54</f>
        <v>2275.4299999999998</v>
      </c>
      <c r="J70" s="472">
        <f>+'q40'!$J$54</f>
        <v>2387.6799999999998</v>
      </c>
      <c r="K70" s="472">
        <f>+'q40'!$K$54</f>
        <v>2512.64</v>
      </c>
      <c r="L70" s="472">
        <f>+'q40'!$L$54</f>
        <v>3169.09</v>
      </c>
      <c r="M70" s="472">
        <f>+'q40'!$M$54</f>
        <v>3504.65</v>
      </c>
    </row>
    <row r="71" spans="2:13">
      <c r="B71" s="383" t="s">
        <v>11</v>
      </c>
      <c r="C71" s="472">
        <f>+'q40'!$C$5</f>
        <v>1093.21</v>
      </c>
      <c r="D71" s="472">
        <f>+'q40'!$D$5</f>
        <v>1096.6600000000001</v>
      </c>
      <c r="E71" s="472">
        <f>+'q40'!$E$5</f>
        <v>1107.8599999999999</v>
      </c>
      <c r="F71" s="472">
        <f>+'q40'!$F$5</f>
        <v>1133.3399999999999</v>
      </c>
      <c r="G71" s="472">
        <f>+'q40'!$G$5</f>
        <v>1170.25</v>
      </c>
      <c r="H71" s="472">
        <f>+'q40'!$H$5</f>
        <v>1209.94</v>
      </c>
      <c r="I71" s="472">
        <f>+'q40'!$I$5</f>
        <v>1250.75</v>
      </c>
      <c r="J71" s="472">
        <f>+'q40'!$J$5</f>
        <v>1294.1099999999999</v>
      </c>
      <c r="K71" s="472">
        <f>+'q40'!$K$5</f>
        <v>1368</v>
      </c>
      <c r="L71" s="472">
        <f>+'q40'!$L$5</f>
        <v>1466.66</v>
      </c>
      <c r="M71" s="472">
        <f>+'q40'!$M$5</f>
        <v>1582.75</v>
      </c>
    </row>
  </sheetData>
  <pageMargins left="0.7" right="0.7" top="0.75" bottom="0.75" header="0.3" footer="0.3"/>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359425" r:id="rId4" name="Drop Down 1">
              <controlPr defaultSize="0" autoLine="0" autoPict="0">
                <anchor moveWithCells="1">
                  <from>
                    <xdr:col>19</xdr:col>
                    <xdr:colOff>9525</xdr:colOff>
                    <xdr:row>8</xdr:row>
                    <xdr:rowOff>9525</xdr:rowOff>
                  </from>
                  <to>
                    <xdr:col>19</xdr:col>
                    <xdr:colOff>771525</xdr:colOff>
                    <xdr:row>9</xdr:row>
                    <xdr:rowOff>19050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61E84-DB4C-45B7-AEA9-28705B9530F3}">
  <sheetPr codeName="Folha43"/>
  <dimension ref="A1:BF308"/>
  <sheetViews>
    <sheetView topLeftCell="K271" zoomScale="120" zoomScaleNormal="120" workbookViewId="0">
      <selection activeCell="Y70" sqref="Y70"/>
    </sheetView>
  </sheetViews>
  <sheetFormatPr defaultColWidth="8.7109375" defaultRowHeight="12"/>
  <cols>
    <col min="1" max="1" width="8.7109375" style="453"/>
    <col min="2" max="2" width="17.140625" style="453" customWidth="1"/>
    <col min="3" max="16" width="8.7109375" style="453"/>
    <col min="17" max="17" width="10.85546875" style="453" bestFit="1" customWidth="1"/>
    <col min="18" max="18" width="8.7109375" style="453"/>
    <col min="19" max="19" width="14.5703125" style="453" customWidth="1"/>
    <col min="20" max="20" width="8.7109375" style="453"/>
    <col min="21" max="21" width="8.85546875" style="453" customWidth="1"/>
    <col min="22" max="22" width="9.28515625" style="453" bestFit="1" customWidth="1"/>
    <col min="23" max="27" width="8.7109375" style="453"/>
    <col min="28" max="29" width="10.7109375" style="453" bestFit="1" customWidth="1"/>
    <col min="30" max="30" width="10.140625" style="453" customWidth="1"/>
    <col min="31" max="44" width="8.7109375" style="453"/>
    <col min="45" max="45" width="9.140625" style="453" bestFit="1" customWidth="1"/>
    <col min="46" max="16384" width="8.7109375" style="453"/>
  </cols>
  <sheetData>
    <row r="1" spans="1:31">
      <c r="A1" s="424" t="s">
        <v>265</v>
      </c>
      <c r="D1" s="424" t="s">
        <v>354</v>
      </c>
      <c r="Z1" s="960" t="str">
        <f>CONCATENATE(X2,Y2,CHAR(10),X3,X4,X5,X6,X7,CHAR(10),Y7,X8)</f>
        <v>2024:
Existiam 3.354.136 TCO, dos quais 50,2% tinham entre 25 e 44 anos; 
A taxa de feminização era de 46,8%</v>
      </c>
      <c r="AA1" s="960"/>
      <c r="AB1" s="960"/>
      <c r="AC1" s="960"/>
      <c r="AD1" s="960"/>
      <c r="AE1" s="960"/>
    </row>
    <row r="2" spans="1:31">
      <c r="A2" s="431">
        <f>+C16</f>
        <v>2014</v>
      </c>
      <c r="B2" s="453">
        <v>1</v>
      </c>
      <c r="D2" s="453" t="s">
        <v>262</v>
      </c>
      <c r="E2" s="453">
        <v>1</v>
      </c>
      <c r="X2" s="453">
        <f>+P14</f>
        <v>2024</v>
      </c>
      <c r="Y2" s="453" t="s">
        <v>398</v>
      </c>
      <c r="Z2" s="960"/>
      <c r="AA2" s="960"/>
      <c r="AB2" s="960"/>
      <c r="AC2" s="960"/>
      <c r="AD2" s="960"/>
      <c r="AE2" s="960"/>
    </row>
    <row r="3" spans="1:31">
      <c r="A3" s="431">
        <f>+D16</f>
        <v>2015</v>
      </c>
      <c r="B3" s="453">
        <v>2</v>
      </c>
      <c r="D3" s="453" t="s">
        <v>263</v>
      </c>
      <c r="E3" s="453">
        <v>2</v>
      </c>
      <c r="X3" s="453" t="s">
        <v>413</v>
      </c>
      <c r="Z3" s="960"/>
      <c r="AA3" s="960"/>
      <c r="AB3" s="960"/>
      <c r="AC3" s="960"/>
      <c r="AD3" s="960"/>
      <c r="AE3" s="960"/>
    </row>
    <row r="4" spans="1:31">
      <c r="A4" s="431">
        <f>+E16</f>
        <v>2016</v>
      </c>
      <c r="B4" s="453">
        <v>3</v>
      </c>
      <c r="X4" s="462" t="str">
        <f>TEXT(T23,"##.###")</f>
        <v>3.354.136</v>
      </c>
      <c r="Z4" s="960"/>
      <c r="AA4" s="960"/>
      <c r="AB4" s="960"/>
      <c r="AC4" s="960"/>
      <c r="AD4" s="960"/>
      <c r="AE4" s="960"/>
    </row>
    <row r="5" spans="1:31">
      <c r="A5" s="431">
        <f>+F16</f>
        <v>2017</v>
      </c>
      <c r="B5" s="453">
        <v>4</v>
      </c>
      <c r="O5" s="453" t="s">
        <v>353</v>
      </c>
      <c r="X5" s="453" t="s">
        <v>387</v>
      </c>
    </row>
    <row r="6" spans="1:31">
      <c r="A6" s="431">
        <f>+G16</f>
        <v>2018</v>
      </c>
      <c r="B6" s="453">
        <v>5</v>
      </c>
      <c r="X6" s="473" t="str">
        <f>TEXT(V18,"##.###,0%")</f>
        <v>50,2%</v>
      </c>
    </row>
    <row r="7" spans="1:31">
      <c r="A7" s="431">
        <f>+H16</f>
        <v>2019</v>
      </c>
      <c r="B7" s="453">
        <v>6</v>
      </c>
      <c r="X7" s="453" t="s">
        <v>462</v>
      </c>
      <c r="Y7" s="453" t="s">
        <v>414</v>
      </c>
    </row>
    <row r="8" spans="1:31">
      <c r="A8" s="431">
        <f>+I16</f>
        <v>2020</v>
      </c>
      <c r="B8" s="453">
        <v>7</v>
      </c>
      <c r="X8" s="473" t="str">
        <f>TEXT(S24,"##.###,0%")</f>
        <v>46,8%</v>
      </c>
    </row>
    <row r="9" spans="1:31">
      <c r="A9" s="431">
        <f>+J16</f>
        <v>2021</v>
      </c>
      <c r="B9" s="453">
        <v>8</v>
      </c>
      <c r="P9" s="453">
        <v>11</v>
      </c>
    </row>
    <row r="10" spans="1:31">
      <c r="A10" s="431">
        <f>+K16</f>
        <v>2022</v>
      </c>
      <c r="B10" s="453">
        <v>9</v>
      </c>
    </row>
    <row r="11" spans="1:31">
      <c r="A11" s="431">
        <f>+L16</f>
        <v>2023</v>
      </c>
      <c r="B11" s="453">
        <v>10</v>
      </c>
    </row>
    <row r="12" spans="1:31">
      <c r="A12" s="431">
        <f>+M16</f>
        <v>2024</v>
      </c>
      <c r="B12" s="453">
        <v>11</v>
      </c>
    </row>
    <row r="13" spans="1:31">
      <c r="P13" s="453" t="s">
        <v>182</v>
      </c>
    </row>
    <row r="14" spans="1:31">
      <c r="P14" s="453">
        <f>INDEX($A$2:$A$12,$P$9)</f>
        <v>2024</v>
      </c>
      <c r="Q14" s="423" t="s">
        <v>337</v>
      </c>
    </row>
    <row r="15" spans="1:31">
      <c r="A15" s="455" t="s">
        <v>337</v>
      </c>
      <c r="R15" s="423" t="s">
        <v>115</v>
      </c>
      <c r="S15" s="423" t="s">
        <v>116</v>
      </c>
      <c r="T15" s="423" t="s">
        <v>11</v>
      </c>
      <c r="U15" s="423"/>
    </row>
    <row r="16" spans="1:31">
      <c r="A16" s="454" t="s">
        <v>182</v>
      </c>
      <c r="C16" s="423">
        <f>+'q17'!$C$4</f>
        <v>2014</v>
      </c>
      <c r="D16" s="423">
        <f>+'q17'!$D$4</f>
        <v>2015</v>
      </c>
      <c r="E16" s="423">
        <f>+'q17'!$E$4</f>
        <v>2016</v>
      </c>
      <c r="F16" s="423">
        <f>+'q17'!$F$4</f>
        <v>2017</v>
      </c>
      <c r="G16" s="423">
        <f>+'q17'!$G$4</f>
        <v>2018</v>
      </c>
      <c r="H16" s="423">
        <f>+'q17'!$H$4</f>
        <v>2019</v>
      </c>
      <c r="I16" s="423">
        <f>+'q17'!$I$4</f>
        <v>2020</v>
      </c>
      <c r="J16" s="423">
        <f>+'q17'!$J$4</f>
        <v>2021</v>
      </c>
      <c r="K16" s="423">
        <f>+'q17'!$K$4</f>
        <v>2022</v>
      </c>
      <c r="L16" s="423">
        <f>+'q17'!$L$4</f>
        <v>2023</v>
      </c>
      <c r="M16" s="423">
        <f>+'q17'!$M$4</f>
        <v>2024</v>
      </c>
      <c r="Q16" s="453" t="s">
        <v>54</v>
      </c>
      <c r="R16" s="462">
        <f>INDEX($B$16:$M$24,MATCH($Q$16:$Q$23,$B$16:$B$24,0),MATCH($P$14,$B$16:$M$16,0))*-1</f>
        <v>-548</v>
      </c>
      <c r="S16" s="462">
        <f t="shared" ref="S16:S23" si="0">INDEX($B$25:$M$33,MATCH($Q$16:$Q$23,$B$25:$B$33,0),MATCH($P$14,$B$25:$M$25,0))</f>
        <v>413</v>
      </c>
      <c r="T16" s="462">
        <f>+S16-R16</f>
        <v>961</v>
      </c>
      <c r="U16" s="459"/>
    </row>
    <row r="17" spans="1:51">
      <c r="A17" s="454" t="s">
        <v>115</v>
      </c>
      <c r="B17" s="453" t="str">
        <f>+Aux!$B$88</f>
        <v>&lt; 18 anos</v>
      </c>
      <c r="C17" s="453">
        <f>+'q17'!$C$9</f>
        <v>378</v>
      </c>
      <c r="D17" s="453">
        <f>+'q17'!$D$9</f>
        <v>357</v>
      </c>
      <c r="E17" s="453">
        <f>+'q17'!$E$9</f>
        <v>497</v>
      </c>
      <c r="F17" s="453">
        <f>+'q17'!$F$9</f>
        <v>714</v>
      </c>
      <c r="G17" s="453">
        <f>+'q17'!$G$9</f>
        <v>775</v>
      </c>
      <c r="H17" s="453">
        <f>+'q17'!$H$9</f>
        <v>811</v>
      </c>
      <c r="I17" s="453">
        <f>+'q17'!$I$9</f>
        <v>404</v>
      </c>
      <c r="J17" s="453">
        <f>+'q17'!$J$9</f>
        <v>568</v>
      </c>
      <c r="K17" s="453">
        <f>+'q17'!$K$9</f>
        <v>802</v>
      </c>
      <c r="L17" s="453">
        <f>+'q17'!$L$9</f>
        <v>648</v>
      </c>
      <c r="M17" s="453">
        <f>+'q17'!$M$9</f>
        <v>548</v>
      </c>
      <c r="Q17" s="453" t="s">
        <v>338</v>
      </c>
      <c r="R17" s="462">
        <f t="shared" ref="R17:R22" si="1">INDEX($B$16:$M$24,MATCH($Q$16:$Q$23,$B$16:$B$24,0),MATCH($P$14,$B$16:$M$16,0))*-1</f>
        <v>-154240</v>
      </c>
      <c r="S17" s="462">
        <f t="shared" si="0"/>
        <v>124774</v>
      </c>
      <c r="T17" s="462">
        <f t="shared" ref="T17:T22" si="2">+S17-R17</f>
        <v>279014</v>
      </c>
      <c r="U17" s="459"/>
    </row>
    <row r="18" spans="1:51">
      <c r="B18" s="453" t="str">
        <f>+Aux!$B$89</f>
        <v>18 - 24 anos</v>
      </c>
      <c r="C18" s="453">
        <f>+'q17'!$C$12</f>
        <v>96570</v>
      </c>
      <c r="D18" s="453">
        <f>+'q17'!$D$12</f>
        <v>103018</v>
      </c>
      <c r="E18" s="453">
        <f>+'q17'!$E$12</f>
        <v>112378</v>
      </c>
      <c r="F18" s="453">
        <f>+'q17'!$F$12</f>
        <v>126226</v>
      </c>
      <c r="G18" s="453">
        <f>+'q17'!$G$12</f>
        <v>137590</v>
      </c>
      <c r="H18" s="453">
        <f>+'q17'!$H$12</f>
        <v>143662</v>
      </c>
      <c r="I18" s="453">
        <f>+'q17'!$I$12</f>
        <v>130505</v>
      </c>
      <c r="J18" s="453">
        <f>+'q17'!$J$12</f>
        <v>131787</v>
      </c>
      <c r="K18" s="453">
        <f>+'q17'!$K$12</f>
        <v>146876</v>
      </c>
      <c r="L18" s="453">
        <f>+'q17'!$L$12</f>
        <v>154697</v>
      </c>
      <c r="M18" s="453">
        <f>+'q17'!$M$12</f>
        <v>154240</v>
      </c>
      <c r="Q18" s="453" t="s">
        <v>339</v>
      </c>
      <c r="R18" s="462">
        <f t="shared" si="1"/>
        <v>-456663</v>
      </c>
      <c r="S18" s="462">
        <f t="shared" si="0"/>
        <v>380114</v>
      </c>
      <c r="T18" s="462">
        <f t="shared" si="2"/>
        <v>836777</v>
      </c>
      <c r="U18" s="458">
        <f>+T18/$U$23</f>
        <v>0.24953189118941535</v>
      </c>
      <c r="V18" s="541">
        <f>+U18+U19</f>
        <v>0.50222327455793203</v>
      </c>
    </row>
    <row r="19" spans="1:51">
      <c r="B19" s="453" t="str">
        <f>+Aux!$B$90</f>
        <v>25 - 34 anos</v>
      </c>
      <c r="C19" s="453">
        <f>+'q17'!$C$15+'q17'!$C$18</f>
        <v>327966</v>
      </c>
      <c r="D19" s="453">
        <f>+'q17'!$D$15+'q17'!$D$18</f>
        <v>325849</v>
      </c>
      <c r="E19" s="453">
        <f>+'q17'!$E$15+'q17'!$E$18</f>
        <v>333951</v>
      </c>
      <c r="F19" s="453">
        <f>+'q17'!$F$15+'q17'!$F$18</f>
        <v>344093</v>
      </c>
      <c r="G19" s="453">
        <f>+'q17'!$G$15+'q17'!$G$18</f>
        <v>355735</v>
      </c>
      <c r="H19" s="453">
        <f>+'q17'!$H$15+'q17'!$H$18</f>
        <v>365815</v>
      </c>
      <c r="I19" s="453">
        <f>+'q17'!$I$15+'q17'!$I$18</f>
        <v>364674</v>
      </c>
      <c r="J19" s="453">
        <f>+'q17'!$J$15+'q17'!$J$18</f>
        <v>366621</v>
      </c>
      <c r="K19" s="453">
        <f>+'q17'!$K$15+'q17'!$K$18</f>
        <v>406100</v>
      </c>
      <c r="L19" s="453">
        <f>+'q17'!$L$15+'q17'!$L$18</f>
        <v>436843</v>
      </c>
      <c r="M19" s="453">
        <f>+'q17'!$M$15+'q17'!$M$18</f>
        <v>456663</v>
      </c>
      <c r="Q19" s="453" t="s">
        <v>340</v>
      </c>
      <c r="R19" s="462">
        <f t="shared" si="1"/>
        <v>-447534</v>
      </c>
      <c r="S19" s="462">
        <f t="shared" si="0"/>
        <v>399838</v>
      </c>
      <c r="T19" s="462">
        <f t="shared" si="2"/>
        <v>847372</v>
      </c>
      <c r="U19" s="458">
        <f>+T19/$U$23</f>
        <v>0.25269138336851665</v>
      </c>
    </row>
    <row r="20" spans="1:51">
      <c r="B20" s="453" t="str">
        <f>+Aux!$B$91</f>
        <v>35 - 44 anos</v>
      </c>
      <c r="C20" s="453">
        <f>+'q17'!$C$21+'q17'!$C$24</f>
        <v>395478</v>
      </c>
      <c r="D20" s="453">
        <f>+'q17'!$D$21+'q17'!$D$24</f>
        <v>401351</v>
      </c>
      <c r="E20" s="453">
        <f>+'q17'!$E$21+'q17'!$E$24</f>
        <v>408875</v>
      </c>
      <c r="F20" s="453">
        <f>+'q17'!$F$21+'q17'!$F$24</f>
        <v>417433</v>
      </c>
      <c r="G20" s="453">
        <f>+'q17'!$G$21+'q17'!$G$24</f>
        <v>424399</v>
      </c>
      <c r="H20" s="453">
        <f>+'q17'!$H$21+'q17'!$H$24</f>
        <v>424236</v>
      </c>
      <c r="I20" s="453">
        <f>+'q17'!$I$21+'q17'!$I$24</f>
        <v>418182</v>
      </c>
      <c r="J20" s="453">
        <f>+'q17'!$J$21+'q17'!$J$24</f>
        <v>405130</v>
      </c>
      <c r="K20" s="453">
        <f>+'q17'!$K$21+'q17'!$K$24</f>
        <v>424572</v>
      </c>
      <c r="L20" s="453">
        <f>+'q17'!$L$21+'q17'!$L$24</f>
        <v>440917</v>
      </c>
      <c r="M20" s="453">
        <f>+'q17'!$M$21+'q17'!$M$24</f>
        <v>447534</v>
      </c>
      <c r="Q20" s="453" t="s">
        <v>341</v>
      </c>
      <c r="R20" s="462">
        <f t="shared" si="1"/>
        <v>-422726</v>
      </c>
      <c r="S20" s="462">
        <f t="shared" si="0"/>
        <v>402481</v>
      </c>
      <c r="T20" s="462">
        <f t="shared" si="2"/>
        <v>825207</v>
      </c>
      <c r="U20" s="459"/>
      <c r="AW20" s="465"/>
      <c r="AX20" s="464"/>
      <c r="AY20" s="464"/>
    </row>
    <row r="21" spans="1:51">
      <c r="B21" s="453" t="str">
        <f>+Aux!$B$92</f>
        <v>45 - 54 anos</v>
      </c>
      <c r="C21" s="453">
        <f>+'q17'!$C$27+'q17'!$C$30</f>
        <v>296111</v>
      </c>
      <c r="D21" s="453">
        <f>+'q17'!$D$27+'q17'!$D$30</f>
        <v>306763</v>
      </c>
      <c r="E21" s="453">
        <f>+'q17'!$E$27+'q17'!$E$30</f>
        <v>324733</v>
      </c>
      <c r="F21" s="453">
        <f>+'q17'!$F$27+'q17'!$F$30</f>
        <v>342301</v>
      </c>
      <c r="G21" s="453">
        <f>+'q17'!$G$27+'q17'!$G$30</f>
        <v>359216</v>
      </c>
      <c r="H21" s="453">
        <f>+'q17'!$H$27+'q17'!$H$30</f>
        <v>364370</v>
      </c>
      <c r="I21" s="453">
        <f>+'q17'!$I$27+'q17'!$I$30</f>
        <v>373499</v>
      </c>
      <c r="J21" s="453">
        <f>+'q17'!$J$27+'q17'!$J$30</f>
        <v>377126</v>
      </c>
      <c r="K21" s="453">
        <f>+'q17'!$K$27+'q17'!$K$30</f>
        <v>402776</v>
      </c>
      <c r="L21" s="453">
        <f>+'q17'!$L$27+'q17'!$L$30</f>
        <v>417868</v>
      </c>
      <c r="M21" s="453">
        <f>+'q17'!$M$27+'q17'!$M$30</f>
        <v>422726</v>
      </c>
      <c r="Q21" s="453" t="s">
        <v>342</v>
      </c>
      <c r="R21" s="462">
        <f t="shared" si="1"/>
        <v>-262183</v>
      </c>
      <c r="S21" s="462">
        <f t="shared" si="0"/>
        <v>235405</v>
      </c>
      <c r="T21" s="462">
        <f t="shared" si="2"/>
        <v>497588</v>
      </c>
      <c r="U21" s="459"/>
      <c r="AW21" s="462"/>
      <c r="AX21" s="462"/>
      <c r="AY21" s="462"/>
    </row>
    <row r="22" spans="1:51">
      <c r="B22" s="453" t="str">
        <f>+Aux!$B$93</f>
        <v>55 - 64 anos</v>
      </c>
      <c r="C22" s="453">
        <f>+'q17'!$C$33+'q17'!$C$36</f>
        <v>148316</v>
      </c>
      <c r="D22" s="453">
        <f>+'q17'!$D$33+'q17'!$D$36</f>
        <v>158690</v>
      </c>
      <c r="E22" s="453">
        <f>+'q17'!$E$33+'q17'!$E$36</f>
        <v>169708</v>
      </c>
      <c r="F22" s="453">
        <f>+'q17'!$F$33+'q17'!$F$36</f>
        <v>186920</v>
      </c>
      <c r="G22" s="453">
        <f>+'q17'!$G$33+'q17'!$G$36</f>
        <v>199133</v>
      </c>
      <c r="H22" s="453">
        <f>+'q17'!$H$33+'q17'!$H$36</f>
        <v>205220</v>
      </c>
      <c r="I22" s="453">
        <f>+'q17'!$I$33+'q17'!$I$36</f>
        <v>213255</v>
      </c>
      <c r="J22" s="453">
        <f>+'q17'!$J$33+'q17'!$J$36</f>
        <v>221117</v>
      </c>
      <c r="K22" s="453">
        <f>+'q17'!$K$33+'q17'!$K$36</f>
        <v>240751</v>
      </c>
      <c r="L22" s="453">
        <f>+'q17'!$L$33+'q17'!$L$36</f>
        <v>256266</v>
      </c>
      <c r="M22" s="453">
        <f>+'q17'!$M$33+'q17'!$M$36</f>
        <v>262183</v>
      </c>
      <c r="Q22" s="453" t="s">
        <v>64</v>
      </c>
      <c r="R22" s="462">
        <f t="shared" si="1"/>
        <v>-39491</v>
      </c>
      <c r="S22" s="462">
        <f t="shared" si="0"/>
        <v>26977</v>
      </c>
      <c r="T22" s="462">
        <f t="shared" si="2"/>
        <v>66468</v>
      </c>
      <c r="U22" s="459"/>
      <c r="AW22" s="463"/>
      <c r="AX22" s="463"/>
      <c r="AY22" s="463"/>
    </row>
    <row r="23" spans="1:51">
      <c r="B23" s="453" t="str">
        <f>+Aux!$B$94</f>
        <v>65 e + anos</v>
      </c>
      <c r="C23" s="453">
        <f>+'q17'!$C$39</f>
        <v>12687</v>
      </c>
      <c r="D23" s="453">
        <f>+'q17'!$D$39</f>
        <v>14235</v>
      </c>
      <c r="E23" s="453">
        <f>+'q17'!$E$39</f>
        <v>15954</v>
      </c>
      <c r="F23" s="453">
        <f>+'q17'!$F$39</f>
        <v>18372</v>
      </c>
      <c r="G23" s="453">
        <f>+'q17'!$G$39</f>
        <v>21276</v>
      </c>
      <c r="H23" s="453">
        <f>+'q17'!$H$39</f>
        <v>24844</v>
      </c>
      <c r="I23" s="453">
        <f>+'q17'!$I$39</f>
        <v>25548</v>
      </c>
      <c r="J23" s="453">
        <f>+'q17'!$J$39</f>
        <v>27505</v>
      </c>
      <c r="K23" s="453">
        <f>+'q17'!$K$39</f>
        <v>31840</v>
      </c>
      <c r="L23" s="453">
        <f>+'q17'!$L$39</f>
        <v>36069</v>
      </c>
      <c r="M23" s="453">
        <f>+'q17'!$M$39</f>
        <v>39491</v>
      </c>
      <c r="Q23" s="453" t="s">
        <v>11</v>
      </c>
      <c r="R23" s="462">
        <f>INDEX($B$16:$M$24,MATCH($Q$16:$Q$23,$B$16:$B$24,0),MATCH($P$14,$B$16:$M$16,0))</f>
        <v>1783712</v>
      </c>
      <c r="S23" s="462">
        <f t="shared" si="0"/>
        <v>1570424</v>
      </c>
      <c r="T23" s="462">
        <f>+R23+S23</f>
        <v>3354136</v>
      </c>
      <c r="U23" s="462">
        <f>SUM(T16:T22)</f>
        <v>3353387</v>
      </c>
      <c r="AW23" s="463"/>
      <c r="AX23" s="463"/>
      <c r="AY23" s="463"/>
    </row>
    <row r="24" spans="1:51">
      <c r="B24" s="453" t="str">
        <f>+Aux!$B$95</f>
        <v>Total</v>
      </c>
      <c r="C24" s="453">
        <f>+'q17'!$C$6</f>
        <v>1278921</v>
      </c>
      <c r="D24" s="453">
        <f>+'q17'!$D$6</f>
        <v>1311721</v>
      </c>
      <c r="E24" s="453">
        <f>+'q17'!$E$6</f>
        <v>1367705</v>
      </c>
      <c r="F24" s="453">
        <f>+'q17'!$F$6</f>
        <v>1437729</v>
      </c>
      <c r="G24" s="453">
        <f>+'q17'!$G$6</f>
        <v>1499993</v>
      </c>
      <c r="H24" s="453">
        <f>+'q17'!$H$6</f>
        <v>1529276</v>
      </c>
      <c r="I24" s="453">
        <f>+'q17'!$I$6</f>
        <v>1526297</v>
      </c>
      <c r="J24" s="453">
        <f>+'q17'!$J$6</f>
        <v>1530240</v>
      </c>
      <c r="K24" s="453">
        <f>+'q17'!$K$6</f>
        <v>1653917</v>
      </c>
      <c r="L24" s="453">
        <f>+'q17'!$L$6</f>
        <v>1743311</v>
      </c>
      <c r="M24" s="453">
        <f>+'q17'!$M$6</f>
        <v>1783712</v>
      </c>
      <c r="R24" s="473">
        <f>+R23/T23</f>
        <v>0.53179477516713691</v>
      </c>
      <c r="S24" s="538">
        <f>+S23/T23</f>
        <v>0.46820522483286309</v>
      </c>
      <c r="T24" s="473"/>
    </row>
    <row r="25" spans="1:51">
      <c r="C25" s="423">
        <f>+'q17'!$C$4</f>
        <v>2014</v>
      </c>
      <c r="D25" s="423">
        <f>+'q17'!$D$4</f>
        <v>2015</v>
      </c>
      <c r="E25" s="423">
        <f>+'q17'!$E$4</f>
        <v>2016</v>
      </c>
      <c r="F25" s="423">
        <f>+'q17'!$F$4</f>
        <v>2017</v>
      </c>
      <c r="G25" s="423">
        <f>+'q17'!$G$4</f>
        <v>2018</v>
      </c>
      <c r="H25" s="423">
        <f>+'q17'!$H$4</f>
        <v>2019</v>
      </c>
      <c r="I25" s="423">
        <f>+'q17'!$I$4</f>
        <v>2020</v>
      </c>
      <c r="J25" s="423">
        <f>+'q17'!$J$4</f>
        <v>2021</v>
      </c>
      <c r="K25" s="423">
        <f>+'q17'!$K$4</f>
        <v>2022</v>
      </c>
      <c r="L25" s="423">
        <f>+'q17'!$L$4</f>
        <v>2023</v>
      </c>
      <c r="M25" s="423">
        <f>+'q17'!$M$4</f>
        <v>2024</v>
      </c>
      <c r="P25" s="535"/>
      <c r="Q25" s="535"/>
    </row>
    <row r="26" spans="1:51">
      <c r="A26" s="454" t="s">
        <v>116</v>
      </c>
      <c r="B26" s="453" t="str">
        <f>+Aux!$B$88</f>
        <v>&lt; 18 anos</v>
      </c>
      <c r="C26" s="453">
        <f>+'q17'!$C$10</f>
        <v>309</v>
      </c>
      <c r="D26" s="453">
        <f>+'q17'!$D$10</f>
        <v>319</v>
      </c>
      <c r="E26" s="453">
        <f>+'q17'!$E$10</f>
        <v>368</v>
      </c>
      <c r="F26" s="453">
        <f>+'q17'!$F$10</f>
        <v>556</v>
      </c>
      <c r="G26" s="453">
        <f>+'q17'!$G$10</f>
        <v>691</v>
      </c>
      <c r="H26" s="453">
        <f>+'q17'!$H$10</f>
        <v>733</v>
      </c>
      <c r="I26" s="453">
        <f>+'q17'!$I$10</f>
        <v>242</v>
      </c>
      <c r="J26" s="453">
        <f>+'q17'!$J$10</f>
        <v>427</v>
      </c>
      <c r="K26" s="453">
        <f>+'q17'!$K$10</f>
        <v>618</v>
      </c>
      <c r="L26" s="453">
        <f>+'q17'!$L$10</f>
        <v>484</v>
      </c>
      <c r="M26" s="453">
        <f>+'q17'!$M$10</f>
        <v>413</v>
      </c>
    </row>
    <row r="27" spans="1:51">
      <c r="B27" s="453" t="str">
        <f>+Aux!$B$89</f>
        <v>18 - 24 anos</v>
      </c>
      <c r="C27" s="453">
        <f>+'q17'!$C$13</f>
        <v>85046</v>
      </c>
      <c r="D27" s="453">
        <f>+'q17'!$D$13</f>
        <v>91879</v>
      </c>
      <c r="E27" s="453">
        <f>+'q17'!$E$13</f>
        <v>98331</v>
      </c>
      <c r="F27" s="453">
        <f>+'q17'!$F$13</f>
        <v>109526</v>
      </c>
      <c r="G27" s="453">
        <f>+'q17'!$G$13</f>
        <v>116467</v>
      </c>
      <c r="H27" s="453">
        <f>+'q17'!$H$13</f>
        <v>121187</v>
      </c>
      <c r="I27" s="453">
        <f>+'q17'!$I$13</f>
        <v>106029</v>
      </c>
      <c r="J27" s="453">
        <f>+'q17'!$J$13</f>
        <v>111823</v>
      </c>
      <c r="K27" s="453">
        <f>+'q17'!$K$13</f>
        <v>124121</v>
      </c>
      <c r="L27" s="453">
        <f>+'q17'!$L$13</f>
        <v>126764</v>
      </c>
      <c r="M27" s="453">
        <f>+'q17'!$M$13</f>
        <v>124774</v>
      </c>
    </row>
    <row r="28" spans="1:51">
      <c r="B28" s="453" t="str">
        <f>+Aux!$B$90</f>
        <v>25 - 34 anos</v>
      </c>
      <c r="C28" s="453">
        <f>+'q17'!$C$16+'q17'!$C$19</f>
        <v>318964</v>
      </c>
      <c r="D28" s="453">
        <f>+'q17'!$D$16+'q17'!$D$19</f>
        <v>319955</v>
      </c>
      <c r="E28" s="453">
        <f>+'q17'!$E$16+'q17'!$E$19</f>
        <v>323339</v>
      </c>
      <c r="F28" s="453">
        <f>+'q17'!$F$16+'q17'!$F$19</f>
        <v>328494</v>
      </c>
      <c r="G28" s="453">
        <f>+'q17'!$G$16+'q17'!$G$19</f>
        <v>334537</v>
      </c>
      <c r="H28" s="453">
        <f>+'q17'!$H$16+'q17'!$H$19</f>
        <v>337779</v>
      </c>
      <c r="I28" s="453">
        <f>+'q17'!$I$16+'q17'!$I$19</f>
        <v>326462</v>
      </c>
      <c r="J28" s="453">
        <f>+'q17'!$J$16+'q17'!$J$19</f>
        <v>328267</v>
      </c>
      <c r="K28" s="453">
        <f>+'q17'!$K$16+'q17'!$K$19</f>
        <v>355301</v>
      </c>
      <c r="L28" s="453">
        <f>+'q17'!$L$16+'q17'!$L$19</f>
        <v>371113</v>
      </c>
      <c r="M28" s="453">
        <f>+'q17'!$M$16+'q17'!$M$19</f>
        <v>380114</v>
      </c>
      <c r="Q28" s="423"/>
    </row>
    <row r="29" spans="1:51">
      <c r="B29" s="453" t="str">
        <f>+Aux!$B$91</f>
        <v>35 - 44 anos</v>
      </c>
      <c r="C29" s="453">
        <f>+'q17'!$C$22+'q17'!$C$25</f>
        <v>375893</v>
      </c>
      <c r="D29" s="453">
        <f>+'q17'!$D$22+'q17'!$D$25</f>
        <v>388130</v>
      </c>
      <c r="E29" s="453">
        <f>+'q17'!$E$22+'q17'!$E$25</f>
        <v>396862</v>
      </c>
      <c r="F29" s="453">
        <f>+'q17'!$F$22+'q17'!$F$25</f>
        <v>404509</v>
      </c>
      <c r="G29" s="453">
        <f>+'q17'!$G$22+'q17'!$G$25</f>
        <v>409620</v>
      </c>
      <c r="H29" s="453">
        <f>+'q17'!$H$22+'q17'!$H$25</f>
        <v>406376</v>
      </c>
      <c r="I29" s="453">
        <f>+'q17'!$I$22+'q17'!$I$25</f>
        <v>394478</v>
      </c>
      <c r="J29" s="453">
        <f>+'q17'!$J$22+'q17'!$J$25</f>
        <v>383128</v>
      </c>
      <c r="K29" s="453">
        <f>+'q17'!$K$22+'q17'!$K$25</f>
        <v>396810</v>
      </c>
      <c r="L29" s="453">
        <f>+'q17'!$L$22+'q17'!$L$25</f>
        <v>402903</v>
      </c>
      <c r="M29" s="453">
        <f>+'q17'!$M$22+'q17'!$M$25</f>
        <v>399838</v>
      </c>
      <c r="R29" s="423"/>
      <c r="S29" s="423"/>
      <c r="T29" s="423"/>
    </row>
    <row r="30" spans="1:51">
      <c r="B30" s="453" t="str">
        <f>+Aux!$B$92</f>
        <v>45 - 54 anos</v>
      </c>
      <c r="C30" s="453">
        <f>+'q17'!$C$28+'q17'!$C$31</f>
        <v>269234</v>
      </c>
      <c r="D30" s="453">
        <f>+'q17'!$D$28+'q17'!$D$31</f>
        <v>283425</v>
      </c>
      <c r="E30" s="453">
        <f>+'q17'!$E$28+'q17'!$E$31</f>
        <v>301028</v>
      </c>
      <c r="F30" s="453">
        <f>+'q17'!$F$28+'q17'!$F$31</f>
        <v>317379</v>
      </c>
      <c r="G30" s="453">
        <f>+'q17'!$G$28+'q17'!$G$31</f>
        <v>333545</v>
      </c>
      <c r="H30" s="453">
        <f>+'q17'!$H$28+'q17'!$H$31</f>
        <v>341849</v>
      </c>
      <c r="I30" s="453">
        <f>+'q17'!$I$28+'q17'!$I$31</f>
        <v>347916</v>
      </c>
      <c r="J30" s="453">
        <f>+'q17'!$J$28+'q17'!$J$31</f>
        <v>356405</v>
      </c>
      <c r="K30" s="453">
        <f>+'q17'!$K$28+'q17'!$K$31</f>
        <v>383284</v>
      </c>
      <c r="L30" s="453">
        <f>+'q17'!$L$28+'q17'!$L$31</f>
        <v>398478</v>
      </c>
      <c r="M30" s="453">
        <f>+'q17'!$M$28+'q17'!$M$31</f>
        <v>402481</v>
      </c>
      <c r="R30" s="463"/>
      <c r="S30" s="463"/>
      <c r="T30" s="463"/>
    </row>
    <row r="31" spans="1:51">
      <c r="B31" s="453" t="str">
        <f>+Aux!$B$93</f>
        <v>55 - 64 anos</v>
      </c>
      <c r="C31" s="453">
        <f>+'q17'!$C$34+'q17'!$C$37</f>
        <v>119801</v>
      </c>
      <c r="D31" s="453">
        <f>+'q17'!$D$34+'q17'!$D$37</f>
        <v>130663</v>
      </c>
      <c r="E31" s="453">
        <f>+'q17'!$E$34+'q17'!$E$37</f>
        <v>141160</v>
      </c>
      <c r="F31" s="453">
        <f>+'q17'!$F$34+'q17'!$F$37</f>
        <v>154756</v>
      </c>
      <c r="G31" s="453">
        <f>+'q17'!$G$34+'q17'!$G$37</f>
        <v>166521</v>
      </c>
      <c r="H31" s="453">
        <f>+'q17'!$H$34+'q17'!$H$37</f>
        <v>175498</v>
      </c>
      <c r="I31" s="453">
        <f>+'q17'!$I$34+'q17'!$I$37</f>
        <v>183233</v>
      </c>
      <c r="J31" s="453">
        <f>+'q17'!$J$34+'q17'!$J$37</f>
        <v>192090</v>
      </c>
      <c r="K31" s="453">
        <f>+'q17'!$K$34+'q17'!$K$37</f>
        <v>211925</v>
      </c>
      <c r="L31" s="453">
        <f>+'q17'!$L$34+'q17'!$L$37</f>
        <v>228479</v>
      </c>
      <c r="M31" s="453">
        <f>+'q17'!$M$34+'q17'!$M$37</f>
        <v>235405</v>
      </c>
      <c r="R31" s="463"/>
      <c r="S31" s="463"/>
      <c r="T31" s="463"/>
    </row>
    <row r="32" spans="1:51">
      <c r="B32" s="453" t="str">
        <f>+Aux!$B$94</f>
        <v>65 e + anos</v>
      </c>
      <c r="C32" s="453">
        <f>+'q17'!$C$40</f>
        <v>9183</v>
      </c>
      <c r="D32" s="453">
        <f>+'q17'!$D$40</f>
        <v>10667</v>
      </c>
      <c r="E32" s="453">
        <f>+'q17'!$E$40</f>
        <v>12181</v>
      </c>
      <c r="F32" s="453">
        <f>+'q17'!$F$40</f>
        <v>13559</v>
      </c>
      <c r="G32" s="453">
        <f>+'q17'!$G$40</f>
        <v>15426</v>
      </c>
      <c r="H32" s="453">
        <f>+'q17'!$H$40</f>
        <v>17310</v>
      </c>
      <c r="I32" s="453">
        <f>+'q17'!$I$40</f>
        <v>17936</v>
      </c>
      <c r="J32" s="453">
        <f>+'q17'!$J$40</f>
        <v>19391</v>
      </c>
      <c r="K32" s="453">
        <f>+'q17'!$K$40</f>
        <v>21994</v>
      </c>
      <c r="L32" s="453">
        <f>+'q17'!$L$40</f>
        <v>24598</v>
      </c>
      <c r="M32" s="453">
        <f>+'q17'!$M$40</f>
        <v>26977</v>
      </c>
      <c r="R32" s="463"/>
      <c r="S32" s="463"/>
      <c r="T32" s="463"/>
    </row>
    <row r="33" spans="1:21">
      <c r="B33" s="453" t="str">
        <f>+Aux!$B$95</f>
        <v>Total</v>
      </c>
      <c r="C33" s="453">
        <f>+'q17'!$C$7</f>
        <v>1179242</v>
      </c>
      <c r="D33" s="453">
        <f>+'q17'!$D$7</f>
        <v>1225932</v>
      </c>
      <c r="E33" s="453">
        <f>+'q17'!$E$7</f>
        <v>1274214</v>
      </c>
      <c r="F33" s="453">
        <f>+'q17'!$F$7</f>
        <v>1329792</v>
      </c>
      <c r="G33" s="453">
        <f>+'q17'!$G$7</f>
        <v>1377925</v>
      </c>
      <c r="H33" s="453">
        <f>+'q17'!$H$7</f>
        <v>1401206</v>
      </c>
      <c r="I33" s="453">
        <f>+'q17'!$I$7</f>
        <v>1376528</v>
      </c>
      <c r="J33" s="453">
        <f>+'q17'!$J$7</f>
        <v>1392103</v>
      </c>
      <c r="K33" s="453">
        <f>+'q17'!$K$7</f>
        <v>1494230</v>
      </c>
      <c r="L33" s="453">
        <f>+'q17'!$L$7</f>
        <v>1552823</v>
      </c>
      <c r="M33" s="453">
        <f>+'q17'!$M$7</f>
        <v>1570424</v>
      </c>
      <c r="R33" s="463"/>
      <c r="S33" s="463"/>
      <c r="T33" s="463"/>
    </row>
    <row r="34" spans="1:21">
      <c r="R34" s="463"/>
      <c r="S34" s="463"/>
      <c r="T34" s="463"/>
    </row>
    <row r="35" spans="1:21">
      <c r="A35" s="461" t="s">
        <v>343</v>
      </c>
      <c r="C35" s="423">
        <f>+'q17'!$C$4</f>
        <v>2014</v>
      </c>
      <c r="D35" s="423">
        <f>+'q17'!$D$4</f>
        <v>2015</v>
      </c>
      <c r="E35" s="423">
        <f>+'q17'!$E$4</f>
        <v>2016</v>
      </c>
      <c r="F35" s="423">
        <f>+'q17'!$F$4</f>
        <v>2017</v>
      </c>
      <c r="G35" s="423">
        <f>+'q17'!$G$4</f>
        <v>2018</v>
      </c>
      <c r="H35" s="423">
        <f>+'q17'!$H$4</f>
        <v>2019</v>
      </c>
      <c r="I35" s="423">
        <f>+'q17'!$I$4</f>
        <v>2020</v>
      </c>
      <c r="J35" s="423">
        <f>+'q17'!$J$4</f>
        <v>2021</v>
      </c>
      <c r="K35" s="423">
        <f>+'q17'!$K$4</f>
        <v>2022</v>
      </c>
      <c r="L35" s="423">
        <f>+'q17'!$L$4</f>
        <v>2023</v>
      </c>
      <c r="M35" s="423">
        <f>+'q17'!$M$4</f>
        <v>2024</v>
      </c>
      <c r="R35" s="463"/>
      <c r="S35" s="463"/>
      <c r="T35" s="463"/>
    </row>
    <row r="36" spans="1:21">
      <c r="A36" s="461" t="s">
        <v>115</v>
      </c>
      <c r="B36" s="453" t="str">
        <f>+Aux!$B$88</f>
        <v>&lt; 18 anos</v>
      </c>
      <c r="C36" s="458">
        <f>+q26_Aux!$R$9</f>
        <v>751.18</v>
      </c>
      <c r="D36" s="458">
        <f>+q26_Aux!$S$9</f>
        <v>701.72</v>
      </c>
      <c r="E36" s="458">
        <f>+q26_Aux!$T$9</f>
        <v>744.59</v>
      </c>
      <c r="F36" s="458">
        <f>+q26_Aux!$U$9</f>
        <v>727.96</v>
      </c>
      <c r="G36" s="458">
        <f>+q26_Aux!$V$9</f>
        <v>733.3</v>
      </c>
      <c r="H36" s="458">
        <f>+q26_Aux!$W$9</f>
        <v>1031.6600000000001</v>
      </c>
      <c r="I36" s="458">
        <f>+q26_Aux!$X$9</f>
        <v>1255.5999999999999</v>
      </c>
      <c r="J36" s="458">
        <f>+q26_Aux!$Y$9</f>
        <v>1222.71</v>
      </c>
      <c r="K36" s="458">
        <f>+q26_Aux!$Z$9</f>
        <v>1184.3699999999999</v>
      </c>
      <c r="L36" s="458">
        <f>+q26_Aux!$AA$9</f>
        <v>1204.42</v>
      </c>
      <c r="M36" s="458">
        <f>+q26_Aux!$AB$9</f>
        <v>1446.9</v>
      </c>
      <c r="N36" s="458"/>
      <c r="R36" s="463"/>
      <c r="S36" s="463"/>
      <c r="T36" s="463"/>
    </row>
    <row r="37" spans="1:21">
      <c r="B37" s="453" t="str">
        <f>+Aux!$B$89</f>
        <v>18 - 24 anos</v>
      </c>
      <c r="C37" s="458">
        <f>+q26_Aux!$R$12</f>
        <v>629.14</v>
      </c>
      <c r="D37" s="458">
        <f>+q26_Aux!$S$12</f>
        <v>644.54999999999995</v>
      </c>
      <c r="E37" s="458">
        <f>+q26_Aux!$T$12</f>
        <v>660.61</v>
      </c>
      <c r="F37" s="458">
        <f>+q26_Aux!$U$12</f>
        <v>682.81</v>
      </c>
      <c r="G37" s="458">
        <f>+q26_Aux!$V$12</f>
        <v>713.13</v>
      </c>
      <c r="H37" s="458">
        <f>+q26_Aux!$W$12</f>
        <v>749.74</v>
      </c>
      <c r="I37" s="458">
        <f>+q26_Aux!$X$12</f>
        <v>781.78</v>
      </c>
      <c r="J37" s="458">
        <f>+q26_Aux!$Y$12</f>
        <v>817.96</v>
      </c>
      <c r="K37" s="458">
        <f>+q26_Aux!$Z$12</f>
        <v>881.22</v>
      </c>
      <c r="L37" s="458">
        <f>+q26_Aux!$AA$12</f>
        <v>950.5</v>
      </c>
      <c r="M37" s="458">
        <f>+q26_Aux!$AB$12</f>
        <v>1025.51</v>
      </c>
      <c r="N37" s="458"/>
      <c r="R37" s="463"/>
      <c r="S37" s="463"/>
      <c r="T37" s="463"/>
    </row>
    <row r="38" spans="1:21">
      <c r="B38" s="453" t="str">
        <f>+Aux!$B$90</f>
        <v>25 - 34 anos</v>
      </c>
      <c r="C38" s="458">
        <f>(q26_Aux!$R$15+q26_Aux!$R$18)/(q17a!$C$15+q17a!$C$18)</f>
        <v>811.2205927119843</v>
      </c>
      <c r="D38" s="458">
        <f>(q26_Aux!$S$15+q26_Aux!$S$18)/(q17a!$D$15+q17a!$D$18)</f>
        <v>820.68228979577816</v>
      </c>
      <c r="E38" s="458">
        <f>(q26_Aux!$T$15+q26_Aux!$T$18)/(q17a!$E$15+q17a!$E$18)</f>
        <v>834.01871508422005</v>
      </c>
      <c r="F38" s="458">
        <f>(q26_Aux!$U$15+q26_Aux!$U$18)/(q17a!$F$15+q17a!$F$18)</f>
        <v>862.04737512473719</v>
      </c>
      <c r="G38" s="458">
        <f>(q26_Aux!$V$15+q26_Aux!$V$18)/(q17a!$G$15+q17a!$G$18)</f>
        <v>900.74322875191501</v>
      </c>
      <c r="H38" s="458">
        <f>(q26_Aux!$W$15+q26_Aux!$W$18)/(q17a!$H$15+q17a!$H$18)</f>
        <v>944.4022670607352</v>
      </c>
      <c r="I38" s="458">
        <f>(q26_Aux!$X$15+q26_Aux!$X$18)/(q17a!$I$15+q17a!$I$18)</f>
        <v>980.72332146549149</v>
      </c>
      <c r="J38" s="458">
        <f>(q26_Aux!$Y$15+q26_Aux!$Y$18)/(q17a!$J$15+q17a!$J$18)</f>
        <v>1035.4481536873018</v>
      </c>
      <c r="K38" s="458">
        <f>(q26_Aux!$Z$15+q26_Aux!$Z$18)/(q17a!$K$15+q17a!$K$18)</f>
        <v>1107.3156311957869</v>
      </c>
      <c r="L38" s="458">
        <f>(q26_Aux!$AA$15+q26_Aux!$AA$18)/(q17a!$L$15+q17a!$L$18)</f>
        <v>1171.3786871588275</v>
      </c>
      <c r="M38" s="458">
        <f>(q26_Aux!$AB$15+q26_Aux!$AB$18)/(q17a!$M$15+q17a!$M$18)</f>
        <v>1250.965635030389</v>
      </c>
      <c r="N38" s="458"/>
    </row>
    <row r="39" spans="1:21">
      <c r="B39" s="453" t="str">
        <f>+Aux!$B$91</f>
        <v>35 - 44 anos</v>
      </c>
      <c r="C39" s="458">
        <f>(q26_Aux!$R$21+q26_Aux!$R$24)/(q17a!$C$21+q17a!$C$24)</f>
        <v>1035.5380608580608</v>
      </c>
      <c r="D39" s="458">
        <f>(q26_Aux!$S$21+q26_Aux!$S$24)/(q17a!$D$21+q17a!$D$24)</f>
        <v>1034.9893870905901</v>
      </c>
      <c r="E39" s="458">
        <f>(q26_Aux!$T$21+q26_Aux!$T$24)/(q17a!$E$21+q17a!$E$24)</f>
        <v>1040.6937600774979</v>
      </c>
      <c r="F39" s="458">
        <f>(q26_Aux!$U$21+q26_Aux!$U$24)/(q17a!$F$21+q17a!$F$24)</f>
        <v>1052.1219862368455</v>
      </c>
      <c r="G39" s="458">
        <f>(q26_Aux!$V$21+q26_Aux!$V$24)/(q17a!$G$21+q17a!$G$24)</f>
        <v>1077.9502122907882</v>
      </c>
      <c r="H39" s="458">
        <f>(q26_Aux!$W$21+q26_Aux!$W$24)/(q17a!$H$21+q17a!$H$24)</f>
        <v>1114.9897521923201</v>
      </c>
      <c r="I39" s="458">
        <f>(q26_Aux!$X$21+q26_Aux!$X$24)/(q17a!$I$21+q17a!$I$24)</f>
        <v>1140.5485597183776</v>
      </c>
      <c r="J39" s="458">
        <f>(q26_Aux!$Y$21+q26_Aux!$Y$24)/(q17a!$J$21+q17a!$J$24)</f>
        <v>1188.9395169692955</v>
      </c>
      <c r="K39" s="458">
        <f>(q26_Aux!$Z$21+q26_Aux!$Z$24)/(q17a!$K$21+q17a!$K$24)</f>
        <v>1261.7020085043102</v>
      </c>
      <c r="L39" s="458">
        <f>(q26_Aux!$AA$21+q26_Aux!$AA$24)/(q17a!$L$21+q17a!$L$24)</f>
        <v>1340.615528721723</v>
      </c>
      <c r="M39" s="458">
        <f>(q26_Aux!$AB$21+q26_Aux!$AB$24)/(q17a!$M$21+q17a!$M$24)</f>
        <v>1434.8524908108961</v>
      </c>
      <c r="N39" s="458"/>
      <c r="R39" s="463"/>
    </row>
    <row r="40" spans="1:21">
      <c r="B40" s="453" t="str">
        <f>+Aux!$B$92</f>
        <v>45 - 54 anos</v>
      </c>
      <c r="C40" s="458">
        <f>(q26_Aux!$R$27+q26_Aux!$R$30)/(q17a!$C$27+q17a!$C$30)</f>
        <v>1086.3486142905654</v>
      </c>
      <c r="D40" s="458">
        <f>(q26_Aux!$S$27+q26_Aux!$S$30)/(q17a!$D$27+q17a!$D$30)</f>
        <v>1089.2644091178304</v>
      </c>
      <c r="E40" s="458">
        <f>(q26_Aux!$T$27+q26_Aux!$T$30)/(q17a!$E$27+q17a!$E$30)</f>
        <v>1095.5059233732159</v>
      </c>
      <c r="F40" s="458">
        <f>(q26_Aux!$U$27+q26_Aux!$U$30)/(q17a!$F$27+q17a!$F$30)</f>
        <v>1111.2836541779127</v>
      </c>
      <c r="G40" s="458">
        <f>(q26_Aux!$V$27+q26_Aux!$V$30)/(q17a!$G$27+q17a!$G$30)</f>
        <v>1139.4382829562794</v>
      </c>
      <c r="H40" s="458">
        <f>(q26_Aux!$W$27+q26_Aux!$W$30)/(q17a!$H$27+q17a!$H$30)</f>
        <v>1178.5319597088157</v>
      </c>
      <c r="I40" s="458">
        <f>(q26_Aux!$X$27+q26_Aux!$X$30)/(q17a!$I$27+q17a!$I$30)</f>
        <v>1214.2868425885083</v>
      </c>
      <c r="J40" s="458">
        <f>(q26_Aux!$Y$27+q26_Aux!$Y$30)/(q17a!$J$27+q17a!$J$30)</f>
        <v>1255.2723137073342</v>
      </c>
      <c r="K40" s="458">
        <f>(q26_Aux!$Z$27+q26_Aux!$Z$30)/(q17a!$K$27+q17a!$K$30)</f>
        <v>1326.4460571833663</v>
      </c>
      <c r="L40" s="458">
        <f>(q26_Aux!$AA$27+q26_Aux!$AA$30)/(q17a!$L$27+q17a!$L$30)</f>
        <v>1419.5283084168145</v>
      </c>
      <c r="M40" s="458">
        <f>(q26_Aux!$AB$27+q26_Aux!$AB$30)/(q17a!$M$27+q17a!$M$30)</f>
        <v>1520.8383123051801</v>
      </c>
      <c r="N40" s="458"/>
    </row>
    <row r="41" spans="1:21">
      <c r="B41" s="453" t="str">
        <f>+Aux!$B$93</f>
        <v>55 - 64 anos</v>
      </c>
      <c r="C41" s="458">
        <f>(q26_Aux!$R$33+q26_Aux!$R$36)/(q17a!$C$33+q17a!$C$36)</f>
        <v>1164.218332688401</v>
      </c>
      <c r="D41" s="458">
        <f>(q26_Aux!$S$33+q26_Aux!$S$36)/(q17a!$D$33+q17a!$D$36)</f>
        <v>1159.9815759827241</v>
      </c>
      <c r="E41" s="458">
        <f>(q26_Aux!$T$33+q26_Aux!$T$36)/(q17a!$E$33+q17a!$E$36)</f>
        <v>1151.0438716018432</v>
      </c>
      <c r="F41" s="458">
        <f>(q26_Aux!$U$33+q26_Aux!$U$36)/(q17a!$F$33+q17a!$F$36)</f>
        <v>1140.1261780391085</v>
      </c>
      <c r="G41" s="458">
        <f>(q26_Aux!$V$33+q26_Aux!$V$36)/(q17a!$G$33+q17a!$G$36)</f>
        <v>1150.4833537469085</v>
      </c>
      <c r="H41" s="458">
        <f>(q26_Aux!$W$33+q26_Aux!$W$36)/(q17a!$H$33+q17a!$H$36)</f>
        <v>1162.1972389501195</v>
      </c>
      <c r="I41" s="458">
        <f>(q26_Aux!$X$33+q26_Aux!$X$36)/(q17a!$I$33+q17a!$I$36)</f>
        <v>1192.4583427561004</v>
      </c>
      <c r="J41" s="458">
        <f>(q26_Aux!$Y$33+q26_Aux!$Y$36)/(q17a!$J$33+q17a!$J$36)</f>
        <v>1211.6757067134824</v>
      </c>
      <c r="K41" s="458">
        <f>(q26_Aux!$Z$33+q26_Aux!$Z$36)/(q17a!$K$33+q17a!$K$36)</f>
        <v>1263.3914328988719</v>
      </c>
      <c r="L41" s="458">
        <f>(q26_Aux!$AA$33+q26_Aux!$AA$36)/(q17a!$L$33+q17a!$L$36)</f>
        <v>1344.0285848928534</v>
      </c>
      <c r="M41" s="458">
        <f>(q26_Aux!$AB$33+q26_Aux!$AB$36)/(q17a!$M$33+q17a!$M$36)</f>
        <v>1434.3463126994259</v>
      </c>
      <c r="N41" s="458"/>
    </row>
    <row r="42" spans="1:21">
      <c r="B42" s="453" t="str">
        <f>+Aux!$B$94</f>
        <v>65 e + anos</v>
      </c>
      <c r="C42" s="458">
        <f>+q26_Aux!$R$39</f>
        <v>1342.71</v>
      </c>
      <c r="D42" s="458">
        <f>+q26_Aux!$S$39</f>
        <v>1365.22</v>
      </c>
      <c r="E42" s="458">
        <f>+q26_Aux!$T$39</f>
        <v>1356.01</v>
      </c>
      <c r="F42" s="458">
        <f>+q26_Aux!$U$39</f>
        <v>1353.73</v>
      </c>
      <c r="G42" s="458">
        <f>+q26_Aux!$V$39</f>
        <v>1329.78</v>
      </c>
      <c r="H42" s="458">
        <f>+q26_Aux!$W$39</f>
        <v>1356.39</v>
      </c>
      <c r="I42" s="458">
        <f>+q26_Aux!$X$39</f>
        <v>1428.29</v>
      </c>
      <c r="J42" s="458">
        <f>+q26_Aux!$Y$39</f>
        <v>1426.24</v>
      </c>
      <c r="K42" s="458">
        <f>+q26_Aux!$Z$39</f>
        <v>1419.42</v>
      </c>
      <c r="L42" s="458">
        <f>+q26_Aux!$AA$39</f>
        <v>1456.5</v>
      </c>
      <c r="M42" s="458">
        <f>+q26_Aux!$AB$39</f>
        <v>1519.75</v>
      </c>
      <c r="N42" s="458"/>
      <c r="P42" s="453" t="s">
        <v>182</v>
      </c>
    </row>
    <row r="43" spans="1:21">
      <c r="B43" s="453" t="str">
        <f>+Aux!$B$95</f>
        <v>Total</v>
      </c>
      <c r="C43" s="458">
        <f>+q26_Aux!$C$6</f>
        <v>985.02</v>
      </c>
      <c r="D43" s="458">
        <f>+q26_Aux!$D$6</f>
        <v>990.05</v>
      </c>
      <c r="E43" s="458">
        <f>+q26_Aux!$E$6</f>
        <v>997.38</v>
      </c>
      <c r="F43" s="458">
        <f>+q26_Aux!$F$6</f>
        <v>1012.25</v>
      </c>
      <c r="G43" s="458">
        <f>+q26_Aux!$G$6</f>
        <v>1039.08</v>
      </c>
      <c r="H43" s="458">
        <f>+q26_Aux!$H$6</f>
        <v>1073.82</v>
      </c>
      <c r="I43" s="458">
        <f>+q26_Aux!$I$6</f>
        <v>1109.21</v>
      </c>
      <c r="J43" s="458">
        <f>+q26_Aux!$J$6</f>
        <v>1152.24</v>
      </c>
      <c r="K43" s="458">
        <f>+q26_Aux!$K$6</f>
        <v>1217.33</v>
      </c>
      <c r="L43" s="458">
        <f>+q26_Aux!$L$6</f>
        <v>1294.03</v>
      </c>
      <c r="M43" s="458">
        <f>+q26_Aux!$M$6</f>
        <v>1383.38</v>
      </c>
      <c r="N43" s="458"/>
      <c r="P43" s="453">
        <f>INDEX($A$2:$A$12,$P$9)</f>
        <v>2024</v>
      </c>
      <c r="Q43" s="423" t="s">
        <v>349</v>
      </c>
    </row>
    <row r="44" spans="1:21">
      <c r="C44" s="423">
        <f>+'q17'!$C$4</f>
        <v>2014</v>
      </c>
      <c r="D44" s="423">
        <f>+'q17'!$D$4</f>
        <v>2015</v>
      </c>
      <c r="E44" s="423">
        <f>+'q17'!$E$4</f>
        <v>2016</v>
      </c>
      <c r="F44" s="423">
        <f>+'q17'!$F$4</f>
        <v>2017</v>
      </c>
      <c r="G44" s="423">
        <f>+'q17'!$G$4</f>
        <v>2018</v>
      </c>
      <c r="H44" s="423">
        <f>+'q17'!$H$4</f>
        <v>2019</v>
      </c>
      <c r="I44" s="423">
        <f>+'q17'!$I$4</f>
        <v>2020</v>
      </c>
      <c r="J44" s="423">
        <f>+'q17'!$J$4</f>
        <v>2021</v>
      </c>
      <c r="K44" s="423">
        <f>+'q17'!$K$4</f>
        <v>2022</v>
      </c>
      <c r="L44" s="423">
        <f>+'q17'!$L$4</f>
        <v>2023</v>
      </c>
      <c r="M44" s="423">
        <f>+'q17'!$M$4</f>
        <v>2024</v>
      </c>
      <c r="R44" s="423" t="s">
        <v>115</v>
      </c>
      <c r="S44" s="423" t="s">
        <v>116</v>
      </c>
      <c r="T44" s="423" t="s">
        <v>11</v>
      </c>
      <c r="U44" s="423"/>
    </row>
    <row r="45" spans="1:21">
      <c r="A45" s="461" t="s">
        <v>116</v>
      </c>
      <c r="B45" s="453" t="str">
        <f>+Aux!$B$88</f>
        <v>&lt; 18 anos</v>
      </c>
      <c r="C45" s="458">
        <f>+q26_Aux!$R$10</f>
        <v>523.85</v>
      </c>
      <c r="D45" s="458">
        <f>+q26_Aux!$S$10</f>
        <v>525.66</v>
      </c>
      <c r="E45" s="458">
        <f>+q26_Aux!$T$10</f>
        <v>546.78</v>
      </c>
      <c r="F45" s="458">
        <f>+q26_Aux!$U$10</f>
        <v>564.61</v>
      </c>
      <c r="G45" s="458">
        <f>+q26_Aux!$V$10</f>
        <v>609.04999999999995</v>
      </c>
      <c r="H45" s="458">
        <f>+q26_Aux!$W$10</f>
        <v>698</v>
      </c>
      <c r="I45" s="458">
        <f>+q26_Aux!$X$10</f>
        <v>662.49</v>
      </c>
      <c r="J45" s="458">
        <f>+q26_Aux!$Y$10</f>
        <v>686.48</v>
      </c>
      <c r="K45" s="458">
        <f>+q26_Aux!$Z$10</f>
        <v>743.66</v>
      </c>
      <c r="L45" s="458">
        <f>+q26_Aux!$AA$10</f>
        <v>801.79</v>
      </c>
      <c r="M45" s="458">
        <f>+q26_Aux!$AB$10</f>
        <v>888.86</v>
      </c>
      <c r="P45" s="458">
        <f>+S45/T45</f>
        <v>0.48504249784735576</v>
      </c>
      <c r="Q45" s="453" t="s">
        <v>47</v>
      </c>
      <c r="R45" s="462">
        <f>INDEX($B$98:$M$107,MATCH($Q$45:$Q$52,$B$98:$B$107,0),MATCH($P$43,$B$98:$M$98,0))*-1</f>
        <v>-171641</v>
      </c>
      <c r="S45" s="462">
        <f>INDEX($B$109:$M$118,MATCH($Q$45:$Q$53,$B$109:$B$118,0),MATCH($P$43,$B$109:$M$109,0))</f>
        <v>161670</v>
      </c>
      <c r="T45" s="462">
        <f>+S45-R45</f>
        <v>333311</v>
      </c>
      <c r="U45" s="538">
        <f t="shared" ref="U45:U52" si="3">+T45/$T$53</f>
        <v>9.9373132156835617E-2</v>
      </c>
    </row>
    <row r="46" spans="1:21">
      <c r="B46" s="453" t="str">
        <f>+Aux!$B$89</f>
        <v>18 - 24 anos</v>
      </c>
      <c r="C46" s="458">
        <f>+q26_Aux!$R$13</f>
        <v>579.35</v>
      </c>
      <c r="D46" s="458">
        <f>+q26_Aux!$S$13</f>
        <v>590.6</v>
      </c>
      <c r="E46" s="458">
        <f>+q26_Aux!$T$13</f>
        <v>612.13</v>
      </c>
      <c r="F46" s="458">
        <f>+q26_Aux!$U$13</f>
        <v>640.24</v>
      </c>
      <c r="G46" s="458">
        <f>+q26_Aux!$V$13</f>
        <v>667.73</v>
      </c>
      <c r="H46" s="458">
        <f>+q26_Aux!$W$13</f>
        <v>698.92</v>
      </c>
      <c r="I46" s="458">
        <f>+q26_Aux!$X$13</f>
        <v>734.65</v>
      </c>
      <c r="J46" s="458">
        <f>+q26_Aux!$Y$13</f>
        <v>774.37</v>
      </c>
      <c r="K46" s="458">
        <f>+q26_Aux!$Z$13</f>
        <v>827.2</v>
      </c>
      <c r="L46" s="458">
        <f>+q26_Aux!$AA$13</f>
        <v>891.28</v>
      </c>
      <c r="M46" s="458">
        <f>+q26_Aux!$AB$13</f>
        <v>956.09</v>
      </c>
      <c r="P46" s="458">
        <f t="shared" ref="P46:P52" si="4">+S46/T46</f>
        <v>0.48853841553206778</v>
      </c>
      <c r="Q46" s="453" t="s">
        <v>48</v>
      </c>
      <c r="R46" s="462">
        <f t="shared" ref="R46:R51" si="5">INDEX($B$98:$M$107,MATCH($Q$45:$Q$52,$B$98:$B$107,0),MATCH($P$43,$B$98:$M$98,0))*-1</f>
        <v>-101765</v>
      </c>
      <c r="S46" s="462">
        <f t="shared" ref="S46:S53" si="6">INDEX($B$109:$M$118,MATCH($Q$45:$Q$53,$B$109:$B$118,0),MATCH($P$43,$B$109:$M$109,0))</f>
        <v>97204</v>
      </c>
      <c r="T46" s="462">
        <f t="shared" ref="T46:T51" si="7">+S46-R46</f>
        <v>198969</v>
      </c>
      <c r="U46" s="538">
        <f t="shared" si="3"/>
        <v>5.9320492669349127E-2</v>
      </c>
    </row>
    <row r="47" spans="1:21">
      <c r="B47" s="453" t="str">
        <f>+Aux!$B$90</f>
        <v>25 - 34 anos</v>
      </c>
      <c r="C47" s="458">
        <f>(q26_Aux!$R$16+q26_Aux!$R$19)/(q17a!$C$16+q17a!$C$19)</f>
        <v>757.73318874027154</v>
      </c>
      <c r="D47" s="458">
        <f>(q26_Aux!$S$16+q26_Aux!$S$19)/(q17a!$D$16+q17a!$D$19)</f>
        <v>758.7870588877505</v>
      </c>
      <c r="E47" s="458">
        <f>(q26_Aux!$T$16+q26_Aux!$T$19)/(q17a!$E$16+q17a!$E$19)</f>
        <v>773.91937513120445</v>
      </c>
      <c r="F47" s="458">
        <f>(q26_Aux!$U$16+q26_Aux!$U$19)/(q17a!$F$16+q17a!$F$19)</f>
        <v>796.10198983124371</v>
      </c>
      <c r="G47" s="458">
        <f>(q26_Aux!$V$16+q26_Aux!$V$19)/(q17a!$G$16+q17a!$G$19)</f>
        <v>823.32530249022341</v>
      </c>
      <c r="H47" s="458">
        <f>(q26_Aux!$W$16+q26_Aux!$W$19)/(q17a!$H$16+q17a!$H$19)</f>
        <v>864.16169581493648</v>
      </c>
      <c r="I47" s="458">
        <f>(q26_Aux!$X$16+q26_Aux!$X$19)/(q17a!$I$16+q17a!$I$19)</f>
        <v>904.68688814100346</v>
      </c>
      <c r="J47" s="458">
        <f>(q26_Aux!$Y$16+q26_Aux!$Y$19)/(q17a!$J$16+q17a!$J$19)</f>
        <v>951.62449444539402</v>
      </c>
      <c r="K47" s="458">
        <f>(q26_Aux!$Z$16+q26_Aux!$Z$19)/(q17a!$K$16+q17a!$K$19)</f>
        <v>1018.4881964179812</v>
      </c>
      <c r="L47" s="458">
        <f>(q26_Aux!$AA$16+q26_Aux!$AA$19)/(q17a!$L$16+q17a!$L$19)</f>
        <v>1089.5295678527075</v>
      </c>
      <c r="M47" s="458">
        <f>(q26_Aux!$AB$16+q26_Aux!$AB$19)/(q17a!$M$16+q17a!$M$19)</f>
        <v>1176.5559239708268</v>
      </c>
      <c r="P47" s="458">
        <f t="shared" si="4"/>
        <v>0.39686055289706335</v>
      </c>
      <c r="Q47" s="453" t="s">
        <v>352</v>
      </c>
      <c r="R47" s="462">
        <f t="shared" si="5"/>
        <v>-96673</v>
      </c>
      <c r="S47" s="462">
        <f t="shared" si="6"/>
        <v>63610</v>
      </c>
      <c r="T47" s="462">
        <f t="shared" si="7"/>
        <v>160283</v>
      </c>
      <c r="U47" s="538">
        <f t="shared" si="3"/>
        <v>4.7786672931568665E-2</v>
      </c>
    </row>
    <row r="48" spans="1:21">
      <c r="B48" s="453" t="str">
        <f>+Aux!$B$91</f>
        <v>35 - 44 anos</v>
      </c>
      <c r="C48" s="458">
        <f>(q26_Aux!$R$22+q26_Aux!$R$25)/(q17a!$C$22+q17a!$C$25)</f>
        <v>888.7594919336882</v>
      </c>
      <c r="D48" s="458">
        <f>(q26_Aux!$S$22+q26_Aux!$S$25)/(q17a!$D$22+q17a!$D$25)</f>
        <v>892.22147371208325</v>
      </c>
      <c r="E48" s="458">
        <f>(q26_Aux!$T$22+q26_Aux!$T$25)/(q17a!$E$22+q17a!$E$25)</f>
        <v>906.23855305891425</v>
      </c>
      <c r="F48" s="458">
        <f>(q26_Aux!$U$22+q26_Aux!$U$25)/(q17a!$F$22+q17a!$F$25)</f>
        <v>925.70237376800117</v>
      </c>
      <c r="G48" s="458">
        <f>(q26_Aux!$V$22+q26_Aux!$V$25)/(q17a!$G$22+q17a!$G$25)</f>
        <v>950.5870488909527</v>
      </c>
      <c r="H48" s="458">
        <f>(q26_Aux!$W$22+q26_Aux!$W$25)/(q17a!$H$22+q17a!$H$25)</f>
        <v>983.94709824665915</v>
      </c>
      <c r="I48" s="458">
        <f>(q26_Aux!$X$22+q26_Aux!$X$25)/(q17a!$I$22+q17a!$I$25)</f>
        <v>1015.7466479400748</v>
      </c>
      <c r="J48" s="458">
        <f>(q26_Aux!$Y$22+q26_Aux!$Y$25)/(q17a!$J$22+q17a!$J$25)</f>
        <v>1050.7653760869564</v>
      </c>
      <c r="K48" s="458">
        <f>(q26_Aux!$Z$22+q26_Aux!$Z$25)/(q17a!$K$22+q17a!$K$25)</f>
        <v>1104.2713421455369</v>
      </c>
      <c r="L48" s="458">
        <f>(q26_Aux!$AA$22+q26_Aux!$AA$25)/(q17a!$L$22+q17a!$L$25)</f>
        <v>1178.8709557441496</v>
      </c>
      <c r="M48" s="458">
        <f>(q26_Aux!$AB$22+q26_Aux!$AB$25)/(q17a!$M$22+q17a!$M$25)</f>
        <v>1270.4699891197349</v>
      </c>
      <c r="P48" s="458">
        <f t="shared" si="4"/>
        <v>0.49554959410134258</v>
      </c>
      <c r="Q48" s="453" t="s">
        <v>350</v>
      </c>
      <c r="R48" s="462">
        <f t="shared" si="5"/>
        <v>-158519</v>
      </c>
      <c r="S48" s="462">
        <f t="shared" si="6"/>
        <v>155722</v>
      </c>
      <c r="T48" s="462">
        <f t="shared" si="7"/>
        <v>314241</v>
      </c>
      <c r="U48" s="538">
        <f t="shared" si="3"/>
        <v>9.3687614336449093E-2</v>
      </c>
    </row>
    <row r="49" spans="1:30">
      <c r="B49" s="453" t="str">
        <f>+Aux!$B$92</f>
        <v>45 - 54 anos</v>
      </c>
      <c r="C49" s="458">
        <f>(q26_Aux!$R$28+q26_Aux!$R$31)/(q17a!$C$28+q17a!$C$31)</f>
        <v>841.08724221348655</v>
      </c>
      <c r="D49" s="458">
        <f>(q26_Aux!$S$28+q26_Aux!$S$31)/(q17a!$D$28+q17a!$D$31)</f>
        <v>849.03192335377355</v>
      </c>
      <c r="E49" s="458">
        <f>(q26_Aux!$T$28+q26_Aux!$T$31)/(q17a!$E$28+q17a!$E$31)</f>
        <v>868.74594893825838</v>
      </c>
      <c r="F49" s="458">
        <f>(q26_Aux!$U$28+q26_Aux!$U$31)/(q17a!$F$28+q17a!$F$31)</f>
        <v>894.33222776293087</v>
      </c>
      <c r="G49" s="458">
        <f>(q26_Aux!$V$28+q26_Aux!$V$31)/(q17a!$G$28+q17a!$G$31)</f>
        <v>929.11582089669446</v>
      </c>
      <c r="H49" s="458">
        <f>(q26_Aux!$W$28+q26_Aux!$W$31)/(q17a!$H$28+q17a!$H$31)</f>
        <v>967.89328599514283</v>
      </c>
      <c r="I49" s="458">
        <f>(q26_Aux!$X$28+q26_Aux!$X$31)/(q17a!$I$28+q17a!$I$31)</f>
        <v>1005.6592366076593</v>
      </c>
      <c r="J49" s="458">
        <f>(q26_Aux!$Y$28+q26_Aux!$Y$31)/(q17a!$J$28+q17a!$J$31)</f>
        <v>1047.6398747223816</v>
      </c>
      <c r="K49" s="458">
        <f>(q26_Aux!$Z$28+q26_Aux!$Z$31)/(q17a!$K$28+q17a!$K$31)</f>
        <v>1107.7813019559071</v>
      </c>
      <c r="L49" s="458">
        <f>(q26_Aux!$AA$28+q26_Aux!$AA$31)/(q17a!$L$28+q17a!$L$31)</f>
        <v>1194.5282294044509</v>
      </c>
      <c r="M49" s="458">
        <f>(q26_Aux!$AB$28+q26_Aux!$AB$31)/(q17a!$M$28+q17a!$M$31)</f>
        <v>1288.1139574240785</v>
      </c>
      <c r="P49" s="458">
        <f t="shared" si="4"/>
        <v>0.41426808968301926</v>
      </c>
      <c r="Q49" s="453" t="s">
        <v>49</v>
      </c>
      <c r="R49" s="462">
        <f t="shared" si="5"/>
        <v>-696010</v>
      </c>
      <c r="S49" s="462">
        <f t="shared" si="6"/>
        <v>492264</v>
      </c>
      <c r="T49" s="462">
        <f t="shared" si="7"/>
        <v>1188274</v>
      </c>
      <c r="U49" s="538">
        <f t="shared" si="3"/>
        <v>0.35427126389627611</v>
      </c>
      <c r="V49" s="473">
        <f>+U49+U50</f>
        <v>0.55862016328497111</v>
      </c>
    </row>
    <row r="50" spans="1:30">
      <c r="B50" s="453" t="str">
        <f>+Aux!$B$93</f>
        <v>55 - 64 anos</v>
      </c>
      <c r="C50" s="458">
        <f>(q26_Aux!$R$34+q26_Aux!$R$37)/(q17a!$C$34+q17a!$C$37)</f>
        <v>836.76552001827633</v>
      </c>
      <c r="D50" s="458">
        <f>(q26_Aux!$S$34+q26_Aux!$S$37)/(q17a!$D$34+q17a!$D$37)</f>
        <v>842.50826478270449</v>
      </c>
      <c r="E50" s="458">
        <f>(q26_Aux!$T$34+q26_Aux!$T$37)/(q17a!$E$34+q17a!$E$37)</f>
        <v>849.58772889995714</v>
      </c>
      <c r="F50" s="458">
        <f>(q26_Aux!$U$34+q26_Aux!$U$37)/(q17a!$F$34+q17a!$F$37)</f>
        <v>865.19630121855948</v>
      </c>
      <c r="G50" s="458">
        <f>(q26_Aux!$V$34+q26_Aux!$V$37)/(q17a!$G$34+q17a!$G$37)</f>
        <v>887.78719043344768</v>
      </c>
      <c r="H50" s="458">
        <f>(q26_Aux!$W$34+q26_Aux!$W$37)/(q17a!$H$34+q17a!$H$37)</f>
        <v>907.92285662542952</v>
      </c>
      <c r="I50" s="458">
        <f>(q26_Aux!$X$34+q26_Aux!$X$37)/(q17a!$I$34+q17a!$I$37)</f>
        <v>940.88365418159901</v>
      </c>
      <c r="J50" s="458">
        <f>(q26_Aux!$Y$34+q26_Aux!$Y$37)/(q17a!$J$34+q17a!$J$37)</f>
        <v>973.20046958291243</v>
      </c>
      <c r="K50" s="458">
        <f>(q26_Aux!$Z$34+q26_Aux!$Z$37)/(q17a!$K$34+q17a!$K$37)</f>
        <v>1015.1706121963628</v>
      </c>
      <c r="L50" s="458">
        <f>(q26_Aux!$AA$34+q26_Aux!$AA$37)/(q17a!$L$34+q17a!$L$37)</f>
        <v>1087.881585360592</v>
      </c>
      <c r="M50" s="458">
        <f>(q26_Aux!$AB$34+q26_Aux!$AB$37)/(q17a!$M$34+q17a!$M$37)</f>
        <v>1167.6433434357841</v>
      </c>
      <c r="P50" s="458">
        <f t="shared" si="4"/>
        <v>0.56156862859527235</v>
      </c>
      <c r="Q50" s="453" t="s">
        <v>351</v>
      </c>
      <c r="R50" s="462">
        <f t="shared" si="5"/>
        <v>-300507</v>
      </c>
      <c r="S50" s="462">
        <f t="shared" si="6"/>
        <v>384907</v>
      </c>
      <c r="T50" s="462">
        <f t="shared" si="7"/>
        <v>685414</v>
      </c>
      <c r="U50" s="538">
        <f t="shared" si="3"/>
        <v>0.20434889938869502</v>
      </c>
    </row>
    <row r="51" spans="1:30">
      <c r="B51" s="453" t="str">
        <f>+Aux!$B$94</f>
        <v>65 e + anos</v>
      </c>
      <c r="C51" s="458">
        <f>+q26_Aux!$R$40</f>
        <v>875.04</v>
      </c>
      <c r="D51" s="458">
        <f>+q26_Aux!$S$40</f>
        <v>894.55</v>
      </c>
      <c r="E51" s="458">
        <f>+q26_Aux!$T$40</f>
        <v>909.95</v>
      </c>
      <c r="F51" s="458">
        <f>+q26_Aux!$U$40</f>
        <v>899.85</v>
      </c>
      <c r="G51" s="458">
        <f>+q26_Aux!$V$40</f>
        <v>929.87</v>
      </c>
      <c r="H51" s="458">
        <f>+q26_Aux!$W$40</f>
        <v>982.74</v>
      </c>
      <c r="I51" s="458">
        <f>+q26_Aux!$X$40</f>
        <v>1024.3399999999999</v>
      </c>
      <c r="J51" s="458">
        <f>+q26_Aux!$Y$40</f>
        <v>1065.1300000000001</v>
      </c>
      <c r="K51" s="458">
        <f>+q26_Aux!$Z$40</f>
        <v>1093.93</v>
      </c>
      <c r="L51" s="458">
        <f>+q26_Aux!$AA$40</f>
        <v>1157.69</v>
      </c>
      <c r="M51" s="458">
        <f>+q26_Aux!$AB$40</f>
        <v>1234.77</v>
      </c>
      <c r="P51" s="458">
        <f t="shared" si="4"/>
        <v>0.45974105454308317</v>
      </c>
      <c r="Q51" s="453" t="s">
        <v>50</v>
      </c>
      <c r="R51" s="462">
        <f t="shared" si="5"/>
        <v>-215398</v>
      </c>
      <c r="S51" s="462">
        <f t="shared" si="6"/>
        <v>183296</v>
      </c>
      <c r="T51" s="462">
        <f t="shared" si="7"/>
        <v>398694</v>
      </c>
      <c r="U51" s="538">
        <f t="shared" si="3"/>
        <v>0.11886637870378541</v>
      </c>
    </row>
    <row r="52" spans="1:30">
      <c r="B52" s="453" t="str">
        <f>+Aux!$B$95</f>
        <v>Total</v>
      </c>
      <c r="C52" s="458">
        <f>+q26_Aux!$C$7</f>
        <v>820.25</v>
      </c>
      <c r="D52" s="458">
        <f>+q26_Aux!$D$7</f>
        <v>824.99</v>
      </c>
      <c r="E52" s="458">
        <f>+q26_Aux!$E$7</f>
        <v>840.26</v>
      </c>
      <c r="F52" s="458">
        <f>+q26_Aux!$F$7</f>
        <v>861.17</v>
      </c>
      <c r="G52" s="458">
        <f>+q26_Aux!$G$7</f>
        <v>888.56</v>
      </c>
      <c r="H52" s="458">
        <f>+q26_Aux!$H$7</f>
        <v>922.63</v>
      </c>
      <c r="I52" s="458">
        <f>+q26_Aux!$I$7</f>
        <v>960.27</v>
      </c>
      <c r="J52" s="458">
        <f>+q26_Aux!$J$7</f>
        <v>999.33</v>
      </c>
      <c r="K52" s="458">
        <f>+q26_Aux!$K$7</f>
        <v>1054.3599999999999</v>
      </c>
      <c r="L52" s="458">
        <f>+q26_Aux!$L$7</f>
        <v>1129.6400000000001</v>
      </c>
      <c r="M52" s="458">
        <f>+q26_Aux!$M$7</f>
        <v>1216.8499999999999</v>
      </c>
      <c r="P52" s="458">
        <f t="shared" si="4"/>
        <v>0.4236290860573716</v>
      </c>
      <c r="Q52" s="453" t="s">
        <v>51</v>
      </c>
      <c r="R52" s="462">
        <f>INDEX($B$98:$M$107,MATCH($Q$45:$Q$53,$B$98:$B$107,0),MATCH($P$43,$B$98:$M$98,0))*-1</f>
        <v>-43199</v>
      </c>
      <c r="S52" s="462">
        <f t="shared" si="6"/>
        <v>31751</v>
      </c>
      <c r="T52" s="462">
        <f>+S52-R52</f>
        <v>74950</v>
      </c>
      <c r="U52" s="538">
        <f t="shared" si="3"/>
        <v>2.2345545917040931E-2</v>
      </c>
    </row>
    <row r="53" spans="1:30">
      <c r="C53" s="423">
        <f>+'q17'!$C$4</f>
        <v>2014</v>
      </c>
      <c r="D53" s="423">
        <f>+'q17'!$D$4</f>
        <v>2015</v>
      </c>
      <c r="E53" s="423">
        <f>+'q17'!$E$4</f>
        <v>2016</v>
      </c>
      <c r="F53" s="423">
        <f>+'q17'!$F$4</f>
        <v>2017</v>
      </c>
      <c r="G53" s="423">
        <f>+'q17'!$G$4</f>
        <v>2018</v>
      </c>
      <c r="H53" s="423">
        <f>+'q17'!$H$4</f>
        <v>2019</v>
      </c>
      <c r="I53" s="423">
        <f>+'q17'!$I$4</f>
        <v>2020</v>
      </c>
      <c r="J53" s="423">
        <f>+'q17'!$J$4</f>
        <v>2021</v>
      </c>
      <c r="K53" s="423">
        <f>+'q17'!$K$4</f>
        <v>2022</v>
      </c>
      <c r="L53" s="423">
        <f>+'q17'!$L$4</f>
        <v>2023</v>
      </c>
      <c r="M53" s="423">
        <f>+'q17'!$M$4</f>
        <v>2024</v>
      </c>
      <c r="Q53" s="453" t="s">
        <v>11</v>
      </c>
      <c r="R53" s="462">
        <f>INDEX($B$98:$M$107,MATCH($Q$45:$Q$53,$B$98:$B$107,0),MATCH($P$43,$B$98:$M$98,0))</f>
        <v>1783712</v>
      </c>
      <c r="S53" s="462">
        <f t="shared" si="6"/>
        <v>1570424</v>
      </c>
      <c r="T53" s="462">
        <f>+R53+S53</f>
        <v>3354136</v>
      </c>
      <c r="U53" s="459"/>
    </row>
    <row r="54" spans="1:30">
      <c r="A54" s="461" t="s">
        <v>11</v>
      </c>
      <c r="B54" s="453" t="str">
        <f>+Aux!$B$88</f>
        <v>&lt; 18 anos</v>
      </c>
      <c r="C54" s="458">
        <f>+q26_Aux!$R$8</f>
        <v>673.39</v>
      </c>
      <c r="D54" s="458">
        <f>+q26_Aux!$S$8</f>
        <v>645.97</v>
      </c>
      <c r="E54" s="458">
        <f>+q26_Aux!$T$8</f>
        <v>688.29</v>
      </c>
      <c r="F54" s="458">
        <f>+q26_Aux!$U$8</f>
        <v>682.82</v>
      </c>
      <c r="G54" s="458">
        <f>+q26_Aux!$V$8</f>
        <v>693.22</v>
      </c>
      <c r="H54" s="458">
        <f>+q26_Aux!$W$8</f>
        <v>939.88</v>
      </c>
      <c r="I54" s="458">
        <f>+q26_Aux!$X$8</f>
        <v>1150.33</v>
      </c>
      <c r="J54" s="458">
        <f>+q26_Aux!$Y$8</f>
        <v>1101.01</v>
      </c>
      <c r="K54" s="458">
        <f>+q26_Aux!$Z$8</f>
        <v>1066.3</v>
      </c>
      <c r="L54" s="458">
        <f>+q26_Aux!$AA$8</f>
        <v>1101.81</v>
      </c>
      <c r="M54" s="458">
        <f>+q26_Aux!$AB$8</f>
        <v>1321.63</v>
      </c>
    </row>
    <row r="55" spans="1:30">
      <c r="B55" s="453" t="str">
        <f>+Aux!$B$89</f>
        <v>18 - 24 anos</v>
      </c>
      <c r="C55" s="458">
        <f>+q26_Aux!$R$11</f>
        <v>607.62</v>
      </c>
      <c r="D55" s="458">
        <f>+q26_Aux!$S$11</f>
        <v>621.04999999999995</v>
      </c>
      <c r="E55" s="458">
        <f>+q26_Aux!$T$11</f>
        <v>639.49</v>
      </c>
      <c r="F55" s="458">
        <f>+q26_Aux!$U$11</f>
        <v>664.29</v>
      </c>
      <c r="G55" s="458">
        <f>+q26_Aux!$V$11</f>
        <v>693.67</v>
      </c>
      <c r="H55" s="458">
        <f>+q26_Aux!$W$11</f>
        <v>727.92</v>
      </c>
      <c r="I55" s="458">
        <f>+q26_Aux!$X$11</f>
        <v>762.02</v>
      </c>
      <c r="J55" s="458">
        <f>+q26_Aux!$Y$11</f>
        <v>799.28</v>
      </c>
      <c r="K55" s="458">
        <f>+q26_Aux!$Z$11</f>
        <v>857.95</v>
      </c>
      <c r="L55" s="458">
        <f>+q26_Aux!$AA$11</f>
        <v>925.26</v>
      </c>
      <c r="M55" s="458">
        <f>+q26_Aux!$AB$11</f>
        <v>996.39</v>
      </c>
    </row>
    <row r="56" spans="1:30">
      <c r="B56" s="453" t="str">
        <f>+Aux!$B$90</f>
        <v>25 - 34 anos</v>
      </c>
      <c r="C56" s="458">
        <f>(q26_Aux!$R$14+q26_Aux!$R$17)/(q17a!$C$14+q17a!$C$17)</f>
        <v>785.84739425785688</v>
      </c>
      <c r="D56" s="458">
        <f>(q26_Aux!$S$14+q26_Aux!$S$17)/(q17a!$D$14+q17a!$D$17)</f>
        <v>791.20702799265052</v>
      </c>
      <c r="E56" s="458">
        <f>(q26_Aux!$T$14+q26_Aux!$T$17)/(q17a!$E$14+q17a!$E$17)</f>
        <v>805.58821237549535</v>
      </c>
      <c r="F56" s="458">
        <f>(q26_Aux!$U$14+q26_Aux!$U$17)/(q17a!$F$14+q17a!$F$17)</f>
        <v>831.12683772551702</v>
      </c>
      <c r="G56" s="458">
        <f>(q26_Aux!$V$14+q26_Aux!$V$17)/(q17a!$G$14+q17a!$G$17)</f>
        <v>864.8008203081655</v>
      </c>
      <c r="H56" s="458">
        <f>(q26_Aux!$W$14+q26_Aux!$W$17)/(q17a!$H$14+q17a!$H$17)</f>
        <v>907.41890616210026</v>
      </c>
      <c r="I56" s="458">
        <f>(q26_Aux!$X$14+q26_Aux!$X$17)/(q17a!$I$14+q17a!$I$17)</f>
        <v>946.16184900854432</v>
      </c>
      <c r="J56" s="458">
        <f>(q26_Aux!$Y$14+q26_Aux!$Y$17)/(q17a!$J$14+q17a!$J$17)</f>
        <v>997.27479420469217</v>
      </c>
      <c r="K56" s="458">
        <f>(q26_Aux!$Z$14+q26_Aux!$Z$17)/(q17a!$K$14+q17a!$K$17)</f>
        <v>1067.3999975480526</v>
      </c>
      <c r="L56" s="458">
        <f>(q26_Aux!$AA$14+q26_Aux!$AA$17)/(q17a!$L$14+q17a!$L$17)</f>
        <v>1134.9691398728628</v>
      </c>
      <c r="M56" s="458">
        <f>(q26_Aux!$AB$14+q26_Aux!$AB$17)/(q17a!$M$14+q17a!$M$17)</f>
        <v>1218.3837835621853</v>
      </c>
      <c r="P56" s="535"/>
      <c r="Q56" s="535"/>
      <c r="R56" s="535"/>
      <c r="S56" s="535"/>
      <c r="T56" s="535"/>
    </row>
    <row r="57" spans="1:30" ht="12" customHeight="1">
      <c r="B57" s="453" t="str">
        <f>+Aux!$B$91</f>
        <v>35 - 44 anos</v>
      </c>
      <c r="C57" s="458">
        <f>(q26_Aux!$R$20+q26_Aux!$R$23)/(q17a!$C$20+q17a!$C$23)</f>
        <v>966.44910178784937</v>
      </c>
      <c r="D57" s="458">
        <f>(q26_Aux!$S$20+q26_Aux!$S$23)/(q17a!$D$20+q17a!$D$23)</f>
        <v>967.27220168507608</v>
      </c>
      <c r="E57" s="458">
        <f>(q26_Aux!$T$20+q26_Aux!$T$23)/(q17a!$E$20+q17a!$E$23)</f>
        <v>976.82987352553675</v>
      </c>
      <c r="F57" s="458">
        <f>(q26_Aux!$U$20+q26_Aux!$U$23)/(q17a!$F$20+q17a!$F$23)</f>
        <v>992.24269918728669</v>
      </c>
      <c r="G57" s="458">
        <f>(q26_Aux!$V$20+q26_Aux!$V$23)/(q17a!$G$20+q17a!$G$23)</f>
        <v>1017.8946955645403</v>
      </c>
      <c r="H57" s="458">
        <f>(q26_Aux!$W$20+q26_Aux!$W$23)/(q17a!$H$20+q17a!$H$23)</f>
        <v>1053.6463234095174</v>
      </c>
      <c r="I57" s="458">
        <f>(q26_Aux!$X$20+q26_Aux!$X$23)/(q17a!$I$20+q17a!$I$23)</f>
        <v>1082.5929293152901</v>
      </c>
      <c r="J57" s="458">
        <f>(q26_Aux!$Y$20+q26_Aux!$Y$23)/(q17a!$J$20+q17a!$J$23)</f>
        <v>1124.778221899493</v>
      </c>
      <c r="K57" s="458">
        <f>(q26_Aux!$Z$20+q26_Aux!$Z$23)/(q17a!$K$20+q17a!$K$23)</f>
        <v>1189.0122756408252</v>
      </c>
      <c r="L57" s="458">
        <f>(q26_Aux!$AA$20+q26_Aux!$AA$23)/(q17a!$L$20+q17a!$L$23)</f>
        <v>1266.5928282166901</v>
      </c>
      <c r="M57" s="458">
        <f>(q26_Aux!$AB$20+q26_Aux!$AB$23)/(q17a!$M$20+q17a!$M$23)</f>
        <v>1360.9851196135858</v>
      </c>
      <c r="P57" s="535"/>
      <c r="Q57" s="535"/>
      <c r="R57" s="535"/>
      <c r="S57" s="535"/>
      <c r="T57" s="535"/>
      <c r="Y57" s="960" t="str">
        <f>CONCATENATE(W58,X58,CHAR(10),W59,W60,W61," ",W62,W63," ",W64,W65)</f>
        <v>2024:
55,9% dos TCO eram profissionais qualificados e semi-qualificados, onde a taxa de feminização era de  41,4% e de 56,2%, respetivamente.</v>
      </c>
      <c r="Z57" s="960"/>
      <c r="AA57" s="960"/>
      <c r="AB57" s="960"/>
      <c r="AC57" s="960"/>
      <c r="AD57" s="960"/>
    </row>
    <row r="58" spans="1:30">
      <c r="B58" s="453" t="str">
        <f>+Aux!$B$92</f>
        <v>45 - 54 anos</v>
      </c>
      <c r="C58" s="458">
        <f>(q26_Aux!$R$26+q26_Aux!$R$29)/(q17a!$C$26+q17a!$C$29)</f>
        <v>974.93762269811566</v>
      </c>
      <c r="D58" s="458">
        <f>(q26_Aux!$S$26+q26_Aux!$S$29)/(q17a!$D$26+q17a!$D$29)</f>
        <v>979.294847972973</v>
      </c>
      <c r="E58" s="458">
        <f>(q26_Aux!$T$26+q26_Aux!$T$29)/(q17a!$E$26+q17a!$E$29)</f>
        <v>991.38945268754503</v>
      </c>
      <c r="F58" s="458">
        <f>(q26_Aux!$U$26+q26_Aux!$U$29)/(q17a!$F$26+q17a!$F$29)</f>
        <v>1011.9434192559409</v>
      </c>
      <c r="G58" s="458">
        <f>(q26_Aux!$V$26+q26_Aux!$V$29)/(q17a!$G$26+q17a!$G$29)</f>
        <v>1043.1209500657196</v>
      </c>
      <c r="H58" s="458">
        <f>(q26_Aux!$W$26+q26_Aux!$W$29)/(q17a!$H$26+q17a!$H$29)</f>
        <v>1081.87579734422</v>
      </c>
      <c r="I58" s="458">
        <f>(q26_Aux!$X$26+q26_Aux!$X$29)/(q17a!$I$26+q17a!$I$29)</f>
        <v>1118.5980386850276</v>
      </c>
      <c r="J58" s="458">
        <f>(q26_Aux!$Y$26+q26_Aux!$Y$29)/(q17a!$J$26+q17a!$J$29)</f>
        <v>1158.7734341856565</v>
      </c>
      <c r="K58" s="458">
        <f>(q26_Aux!$Z$26+q26_Aux!$Z$29)/(q17a!$K$26+q17a!$K$29)</f>
        <v>1224.3068725982714</v>
      </c>
      <c r="L58" s="458">
        <f>(q26_Aux!$AA$26+q26_Aux!$AA$29)/(q17a!$L$26+q17a!$L$29)</f>
        <v>1314.2108032221263</v>
      </c>
      <c r="M58" s="458">
        <f>(q26_Aux!$AB$26+q26_Aux!$AB$29)/(q17a!$M$26+q17a!$M$29)</f>
        <v>1412.1448217241295</v>
      </c>
      <c r="P58" s="535"/>
      <c r="Q58" s="535"/>
      <c r="R58" s="535"/>
      <c r="S58" s="535"/>
      <c r="T58" s="535"/>
      <c r="W58" s="453">
        <f>+P43</f>
        <v>2024</v>
      </c>
      <c r="X58" s="453" t="s">
        <v>398</v>
      </c>
      <c r="Y58" s="960"/>
      <c r="Z58" s="960"/>
      <c r="AA58" s="960"/>
      <c r="AB58" s="960"/>
      <c r="AC58" s="960"/>
      <c r="AD58" s="960"/>
    </row>
    <row r="59" spans="1:30">
      <c r="B59" s="453" t="str">
        <f>+Aux!$B$93</f>
        <v>55 - 64 anos</v>
      </c>
      <c r="C59" s="458">
        <f>(q26_Aux!$R$32+q26_Aux!$R$35)/(q17a!$C$32+q17a!$C$35)</f>
        <v>1028.7361212539406</v>
      </c>
      <c r="D59" s="458">
        <f>(q26_Aux!$S$32+q26_Aux!$S$35)/(q17a!$D$32+q17a!$D$35)</f>
        <v>1027.1053867734413</v>
      </c>
      <c r="E59" s="458">
        <f>(q26_Aux!$T$32+q26_Aux!$T$35)/(q17a!$E$32+q17a!$E$35)</f>
        <v>1023.6258350842712</v>
      </c>
      <c r="F59" s="458">
        <f>(q26_Aux!$U$32+q26_Aux!$U$35)/(q17a!$F$32+q17a!$F$35)</f>
        <v>1024.5613717001218</v>
      </c>
      <c r="G59" s="458">
        <f>(q26_Aux!$V$32+q26_Aux!$V$35)/(q17a!$G$32+q17a!$G$35)</f>
        <v>1039.1877519779352</v>
      </c>
      <c r="H59" s="458">
        <f>(q26_Aux!$W$32+q26_Aux!$W$35)/(q17a!$H$32+q17a!$H$35)</f>
        <v>1053.8106765937009</v>
      </c>
      <c r="I59" s="458">
        <f>(q26_Aux!$X$32+q26_Aux!$X$35)/(q17a!$I$32+q17a!$I$35)</f>
        <v>1084.9770251136447</v>
      </c>
      <c r="J59" s="458">
        <f>(q26_Aux!$Y$32+q26_Aux!$Y$35)/(q17a!$J$32+q17a!$J$35)</f>
        <v>1108.4561717962138</v>
      </c>
      <c r="K59" s="458">
        <f>(q26_Aux!$Z$32+q26_Aux!$Z$35)/(q17a!$K$32+q17a!$K$35)</f>
        <v>1154.6307363603999</v>
      </c>
      <c r="L59" s="458">
        <f>(q26_Aux!$AA$32+q26_Aux!$AA$35)/(q17a!$L$32+q17a!$L$35)</f>
        <v>1231.2502046094103</v>
      </c>
      <c r="M59" s="458">
        <f>(q26_Aux!$AB$32+q26_Aux!$AB$35)/(q17a!$M$32+q17a!$M$35)</f>
        <v>1316.1852411793977</v>
      </c>
      <c r="P59" s="535"/>
      <c r="Q59" s="509"/>
      <c r="R59" s="535"/>
      <c r="S59" s="535"/>
      <c r="T59" s="535"/>
      <c r="W59" s="473" t="str">
        <f>TEXT(V49,"##.###,0%")</f>
        <v>55,9%</v>
      </c>
      <c r="Y59" s="960"/>
      <c r="Z59" s="960"/>
      <c r="AA59" s="960"/>
      <c r="AB59" s="960"/>
      <c r="AC59" s="960"/>
      <c r="AD59" s="960"/>
    </row>
    <row r="60" spans="1:30">
      <c r="B60" s="453" t="str">
        <f>+Aux!$B$94</f>
        <v>65 e + anos</v>
      </c>
      <c r="C60" s="458">
        <f>+q26_Aux!$R$38</f>
        <v>1170.01</v>
      </c>
      <c r="D60" s="458">
        <f>+q26_Aux!$S$38</f>
        <v>1185.02</v>
      </c>
      <c r="E60" s="458">
        <f>+q26_Aux!$T$38</f>
        <v>1181.94</v>
      </c>
      <c r="F60" s="458">
        <f>+q26_Aux!$U$38</f>
        <v>1181.47</v>
      </c>
      <c r="G60" s="458">
        <f>+q26_Aux!$V$38</f>
        <v>1177.69</v>
      </c>
      <c r="H60" s="458">
        <f>+q26_Aux!$W$38</f>
        <v>1219.73</v>
      </c>
      <c r="I60" s="458">
        <f>+q26_Aux!$X$38</f>
        <v>1280.79</v>
      </c>
      <c r="J60" s="458">
        <f>+q26_Aux!$Y$38</f>
        <v>1291.3499999999999</v>
      </c>
      <c r="K60" s="458">
        <f>+q26_Aux!$Z$38</f>
        <v>1298</v>
      </c>
      <c r="L60" s="458">
        <f>+q26_Aux!$AA$38</f>
        <v>1345.46</v>
      </c>
      <c r="M60" s="458">
        <f>+q26_Aux!$AB$38</f>
        <v>1413.77</v>
      </c>
      <c r="P60" s="535"/>
      <c r="Q60" s="535"/>
      <c r="R60" s="509"/>
      <c r="S60" s="509"/>
      <c r="T60" s="509"/>
      <c r="W60" s="453" t="s">
        <v>470</v>
      </c>
      <c r="Y60" s="960"/>
      <c r="Z60" s="960"/>
      <c r="AA60" s="960"/>
      <c r="AB60" s="960"/>
      <c r="AC60" s="960"/>
      <c r="AD60" s="960"/>
    </row>
    <row r="61" spans="1:30">
      <c r="B61" s="453" t="str">
        <f>+Aux!$B$95</f>
        <v>Total</v>
      </c>
      <c r="C61" s="458">
        <f>+q26_Aux!$C$5</f>
        <v>909.49</v>
      </c>
      <c r="D61" s="458">
        <f>+q26_Aux!$D$5</f>
        <v>913.93</v>
      </c>
      <c r="E61" s="458">
        <f>+q26_Aux!$E$5</f>
        <v>924.94</v>
      </c>
      <c r="F61" s="458">
        <f>+q26_Aux!$F$5</f>
        <v>943</v>
      </c>
      <c r="G61" s="458">
        <f>+q26_Aux!$G$5</f>
        <v>970.42</v>
      </c>
      <c r="H61" s="458">
        <f>+q26_Aux!$H$5</f>
        <v>1005.09</v>
      </c>
      <c r="I61" s="458">
        <f>+q26_Aux!$I$5</f>
        <v>1041.99</v>
      </c>
      <c r="J61" s="458">
        <f>+q26_Aux!$J$5</f>
        <v>1082.77</v>
      </c>
      <c r="K61" s="458">
        <f>+q26_Aux!$K$5</f>
        <v>1143.45</v>
      </c>
      <c r="L61" s="458">
        <f>+q26_Aux!$L$5</f>
        <v>1219.8699999999999</v>
      </c>
      <c r="M61" s="458">
        <f>+q26_Aux!$M$5</f>
        <v>1308.96</v>
      </c>
      <c r="P61" s="535"/>
      <c r="Q61" s="535"/>
      <c r="R61" s="537"/>
      <c r="S61" s="537"/>
      <c r="T61" s="537"/>
      <c r="W61" s="453" t="s">
        <v>388</v>
      </c>
    </row>
    <row r="62" spans="1:30">
      <c r="P62" s="535"/>
      <c r="Q62" s="535"/>
      <c r="R62" s="537"/>
      <c r="S62" s="537"/>
      <c r="T62" s="537"/>
      <c r="W62" s="473" t="str">
        <f>TEXT(P49,"##.###,0%")</f>
        <v>41,4%</v>
      </c>
    </row>
    <row r="63" spans="1:30">
      <c r="A63" s="460" t="s">
        <v>348</v>
      </c>
      <c r="C63" s="423">
        <f>+'q17'!$C$4</f>
        <v>2014</v>
      </c>
      <c r="D63" s="423">
        <f>+'q17'!$D$4</f>
        <v>2015</v>
      </c>
      <c r="E63" s="423">
        <f>+'q17'!$E$4</f>
        <v>2016</v>
      </c>
      <c r="F63" s="423">
        <f>+'q17'!$F$4</f>
        <v>2017</v>
      </c>
      <c r="G63" s="423">
        <f>+'q17'!$G$4</f>
        <v>2018</v>
      </c>
      <c r="H63" s="423">
        <f>+'q17'!$H$4</f>
        <v>2019</v>
      </c>
      <c r="I63" s="423">
        <f>+'q17'!$I$4</f>
        <v>2020</v>
      </c>
      <c r="J63" s="423">
        <f>+'q17'!$J$4</f>
        <v>2021</v>
      </c>
      <c r="K63" s="423">
        <f>+'q17'!$K$4</f>
        <v>2022</v>
      </c>
      <c r="L63" s="423">
        <f>+'q17'!$L$4</f>
        <v>2023</v>
      </c>
      <c r="M63" s="423">
        <f>+'q17'!$M$4</f>
        <v>2024</v>
      </c>
      <c r="P63" s="535"/>
      <c r="Q63" s="535"/>
      <c r="R63" s="537"/>
      <c r="S63" s="537"/>
      <c r="T63" s="537"/>
      <c r="W63" s="453" t="s">
        <v>471</v>
      </c>
    </row>
    <row r="64" spans="1:30">
      <c r="A64" s="460" t="s">
        <v>115</v>
      </c>
      <c r="B64" s="453" t="str">
        <f>+Aux!$B$88</f>
        <v>&lt; 18 anos</v>
      </c>
      <c r="C64" s="458">
        <f>+q38_Aux!$R$9</f>
        <v>837.34</v>
      </c>
      <c r="D64" s="458">
        <f>+q38_Aux!$S$9</f>
        <v>767.94</v>
      </c>
      <c r="E64" s="458">
        <f>+q38_Aux!$T$9</f>
        <v>814.54</v>
      </c>
      <c r="F64" s="458">
        <f>+q38_Aux!$U$9</f>
        <v>805.1</v>
      </c>
      <c r="G64" s="458">
        <f>+q38_Aux!$V$9</f>
        <v>813.3</v>
      </c>
      <c r="H64" s="458">
        <f>+q38_Aux!$W$9</f>
        <v>1105.51</v>
      </c>
      <c r="I64" s="458">
        <f>+q38_Aux!$X$9</f>
        <v>1339.07</v>
      </c>
      <c r="J64" s="458">
        <f>+q38_Aux!$Y$9</f>
        <v>1291.68</v>
      </c>
      <c r="K64" s="458">
        <f>+q38_Aux!$Z$9</f>
        <v>1255.19</v>
      </c>
      <c r="L64" s="458">
        <f>+q38_Aux!$AA$9</f>
        <v>1290.02</v>
      </c>
      <c r="M64" s="458">
        <f>+q38_Aux!$AB$9</f>
        <v>1544.65</v>
      </c>
      <c r="P64" s="535"/>
      <c r="Q64" s="535"/>
      <c r="R64" s="537"/>
      <c r="S64" s="537"/>
      <c r="T64" s="537"/>
      <c r="W64" s="473" t="str">
        <f>TEXT(P50,"##.###,0%")</f>
        <v>56,2%</v>
      </c>
    </row>
    <row r="65" spans="1:23">
      <c r="B65" s="453" t="str">
        <f>+Aux!$B$89</f>
        <v>18 - 24 anos</v>
      </c>
      <c r="C65" s="458">
        <f>+q38_Aux!$R$12</f>
        <v>752.86</v>
      </c>
      <c r="D65" s="458">
        <f>+q38_Aux!$S$12</f>
        <v>768.96</v>
      </c>
      <c r="E65" s="458">
        <f>+q38_Aux!$T$12</f>
        <v>785.59</v>
      </c>
      <c r="F65" s="458">
        <f>+q38_Aux!$U$12</f>
        <v>818.25</v>
      </c>
      <c r="G65" s="458">
        <f>+q38_Aux!$V$12</f>
        <v>858.87</v>
      </c>
      <c r="H65" s="458">
        <f>+q38_Aux!$W$12</f>
        <v>904.02</v>
      </c>
      <c r="I65" s="458">
        <f>+q38_Aux!$X$12</f>
        <v>939.89</v>
      </c>
      <c r="J65" s="458">
        <f>+q38_Aux!$Y$12</f>
        <v>975.75</v>
      </c>
      <c r="K65" s="458">
        <f>+q38_Aux!$Z$12</f>
        <v>1047.2</v>
      </c>
      <c r="L65" s="458">
        <f>+q38_Aux!$AA$12</f>
        <v>1135</v>
      </c>
      <c r="M65" s="458">
        <f>+q38_Aux!$AB$12</f>
        <v>1230.2</v>
      </c>
      <c r="P65" s="535"/>
      <c r="Q65" s="535"/>
      <c r="R65" s="537"/>
      <c r="S65" s="537"/>
      <c r="T65" s="537"/>
      <c r="W65" s="453" t="s">
        <v>472</v>
      </c>
    </row>
    <row r="66" spans="1:23">
      <c r="B66" s="453" t="str">
        <f>+Aux!$B$90</f>
        <v>25 - 34 anos</v>
      </c>
      <c r="C66" s="458">
        <f>(q38_Aux!$R$15+q38_Aux!$R$18)/(q17a!$C$15+q17a!$C$18)</f>
        <v>979.42560590279106</v>
      </c>
      <c r="D66" s="458">
        <f>(q38_Aux!$S$15+q38_Aux!$S$18)/(q17a!$D$15+q17a!$D$18)</f>
        <v>988.94765891023178</v>
      </c>
      <c r="E66" s="458">
        <f>(q38_Aux!$T$15+q38_Aux!$T$18)/(q17a!$E$15+q17a!$E$18)</f>
        <v>1002.7521601706637</v>
      </c>
      <c r="F66" s="458">
        <f>(q38_Aux!$U$15+q38_Aux!$U$18)/(q17a!$F$15+q17a!$F$18)</f>
        <v>1040.4067085955421</v>
      </c>
      <c r="G66" s="458">
        <f>(q38_Aux!$V$15+q38_Aux!$V$18)/(q17a!$G$15+q17a!$G$18)</f>
        <v>1090.5079991929636</v>
      </c>
      <c r="H66" s="458">
        <f>(q38_Aux!$W$15+q38_Aux!$W$18)/(q17a!$H$15+q17a!$H$18)</f>
        <v>1141.2349278630659</v>
      </c>
      <c r="I66" s="458">
        <f>(q38_Aux!$X$15+q38_Aux!$X$18)/(q17a!$I$15+q17a!$I$18)</f>
        <v>1179.0551420526426</v>
      </c>
      <c r="J66" s="458">
        <f>(q38_Aux!$Y$15+q38_Aux!$Y$18)/(q17a!$J$15+q17a!$J$18)</f>
        <v>1237.7919683593373</v>
      </c>
      <c r="K66" s="458">
        <f>(q38_Aux!$Z$15+q38_Aux!$Z$18)/(q17a!$K$15+q17a!$K$18)</f>
        <v>1322.174098190314</v>
      </c>
      <c r="L66" s="458">
        <f>(q38_Aux!$AA$15+q38_Aux!$AA$18)/(q17a!$L$15+q17a!$L$18)</f>
        <v>1407.9649789743371</v>
      </c>
      <c r="M66" s="458">
        <f>(q38_Aux!$AB$15+q38_Aux!$AB$18)/(q17a!$M$15+q17a!$M$18)</f>
        <v>1510.0488478925288</v>
      </c>
      <c r="P66" s="535"/>
      <c r="Q66" s="535"/>
      <c r="R66" s="537"/>
      <c r="S66" s="537"/>
      <c r="T66" s="537"/>
    </row>
    <row r="67" spans="1:23">
      <c r="B67" s="453" t="str">
        <f>+Aux!$B$91</f>
        <v>35 - 44 anos</v>
      </c>
      <c r="C67" s="458">
        <f>(q38_Aux!$R$21+q38_Aux!$R$24)/(q17a!$C$21+q17a!$C$24)</f>
        <v>1263.3239162339164</v>
      </c>
      <c r="D67" s="458">
        <f>(q38_Aux!$S$21+q38_Aux!$S$24)/(q17a!$D$21+q17a!$D$24)</f>
        <v>1261.0269444485407</v>
      </c>
      <c r="E67" s="458">
        <f>(q38_Aux!$T$21+q38_Aux!$T$24)/(q17a!$E$21+q17a!$E$24)</f>
        <v>1266.9325657171034</v>
      </c>
      <c r="F67" s="458">
        <f>(q38_Aux!$U$21+q38_Aux!$U$24)/(q17a!$F$21+q17a!$F$24)</f>
        <v>1285.2364685676209</v>
      </c>
      <c r="G67" s="458">
        <f>(q38_Aux!$V$21+q38_Aux!$V$24)/(q17a!$G$21+q17a!$G$24)</f>
        <v>1322.5097081108077</v>
      </c>
      <c r="H67" s="458">
        <f>(q38_Aux!$W$21+q38_Aux!$W$24)/(q17a!$H$21+q17a!$H$24)</f>
        <v>1364.2437640100513</v>
      </c>
      <c r="I67" s="458">
        <f>(q38_Aux!$X$21+q38_Aux!$X$24)/(q17a!$I$21+q17a!$I$24)</f>
        <v>1387.9189023509157</v>
      </c>
      <c r="J67" s="458">
        <f>(q38_Aux!$Y$21+q38_Aux!$Y$24)/(q17a!$J$21+q17a!$J$24)</f>
        <v>1440.6788638505072</v>
      </c>
      <c r="K67" s="458">
        <f>(q38_Aux!$Z$21+q38_Aux!$Z$24)/(q17a!$K$21+q17a!$K$24)</f>
        <v>1529.7375763877594</v>
      </c>
      <c r="L67" s="458">
        <f>(q38_Aux!$AA$21+q38_Aux!$AA$24)/(q17a!$L$21+q17a!$L$24)</f>
        <v>1633.6152324644449</v>
      </c>
      <c r="M67" s="458">
        <f>(q38_Aux!$AB$21+q38_Aux!$AB$24)/(q17a!$M$21+q17a!$M$24)</f>
        <v>1756.2152658357013</v>
      </c>
      <c r="P67" s="535"/>
      <c r="Q67" s="535"/>
      <c r="R67" s="537"/>
      <c r="S67" s="537"/>
      <c r="T67" s="537"/>
    </row>
    <row r="68" spans="1:23">
      <c r="B68" s="453" t="str">
        <f>+Aux!$B$92</f>
        <v>45 - 54 anos</v>
      </c>
      <c r="C68" s="458">
        <f>(q38_Aux!$R$27+q38_Aux!$R$30)/(q17a!$C$27+q17a!$C$30)</f>
        <v>1345.8113154351688</v>
      </c>
      <c r="D68" s="458">
        <f>(q38_Aux!$S$27+q38_Aux!$S$30)/(q17a!$D$27+q17a!$D$30)</f>
        <v>1348.1394156173803</v>
      </c>
      <c r="E68" s="458">
        <f>(q38_Aux!$T$27+q38_Aux!$T$30)/(q17a!$E$27+q17a!$E$30)</f>
        <v>1354.9789802585899</v>
      </c>
      <c r="F68" s="458">
        <f>(q38_Aux!$U$27+q38_Aux!$U$30)/(q17a!$F$27+q17a!$F$30)</f>
        <v>1376.3732827151562</v>
      </c>
      <c r="G68" s="458">
        <f>(q38_Aux!$V$27+q38_Aux!$V$30)/(q17a!$G$27+q17a!$G$30)</f>
        <v>1414.8437443110197</v>
      </c>
      <c r="H68" s="458">
        <f>(q38_Aux!$W$27+q38_Aux!$W$30)/(q17a!$H$27+q17a!$H$30)</f>
        <v>1457.0114294773521</v>
      </c>
      <c r="I68" s="458">
        <f>(q38_Aux!$X$27+q38_Aux!$X$30)/(q17a!$I$27+q17a!$I$30)</f>
        <v>1494.2195461778497</v>
      </c>
      <c r="J68" s="458">
        <f>(q38_Aux!$Y$27+q38_Aux!$Y$30)/(q17a!$J$27+q17a!$J$30)</f>
        <v>1539.20042182062</v>
      </c>
      <c r="K68" s="458">
        <f>(q38_Aux!$Z$27+q38_Aux!$Z$30)/(q17a!$K$27+q17a!$K$30)</f>
        <v>1630.4877356006516</v>
      </c>
      <c r="L68" s="458">
        <f>(q38_Aux!$AA$27+q38_Aux!$AA$30)/(q17a!$L$27+q17a!$L$30)</f>
        <v>1751.7699752233802</v>
      </c>
      <c r="M68" s="458">
        <f>(q38_Aux!$AB$27+q38_Aux!$AB$30)/(q17a!$M$27+q17a!$M$30)</f>
        <v>1884.0243925337686</v>
      </c>
      <c r="P68" s="535"/>
      <c r="Q68" s="535"/>
      <c r="R68" s="537"/>
      <c r="S68" s="537"/>
      <c r="T68" s="537"/>
    </row>
    <row r="69" spans="1:23">
      <c r="B69" s="453" t="str">
        <f>+Aux!$B$93</f>
        <v>55 - 64 anos</v>
      </c>
      <c r="C69" s="458">
        <f>(q38_Aux!$R$33+q38_Aux!$R$36)/(q17a!$C$33+q17a!$C$36)</f>
        <v>1431.898728354455</v>
      </c>
      <c r="D69" s="458">
        <f>(q38_Aux!$S$33+q38_Aux!$S$36)/(q17a!$D$33+q17a!$D$36)</f>
        <v>1425.1228859541823</v>
      </c>
      <c r="E69" s="458">
        <f>(q38_Aux!$T$33+q38_Aux!$T$36)/(q17a!$E$33+q17a!$E$36)</f>
        <v>1411.3194058700776</v>
      </c>
      <c r="F69" s="458">
        <f>(q38_Aux!$U$33+q38_Aux!$U$36)/(q17a!$F$33+q17a!$F$36)</f>
        <v>1401.2831835674242</v>
      </c>
      <c r="G69" s="458">
        <f>(q38_Aux!$V$33+q38_Aux!$V$36)/(q17a!$G$33+q17a!$G$36)</f>
        <v>1418.7636846811845</v>
      </c>
      <c r="H69" s="458">
        <f>(q38_Aux!$W$33+q38_Aux!$W$36)/(q17a!$H$33+q17a!$H$36)</f>
        <v>1426.1792149217492</v>
      </c>
      <c r="I69" s="458">
        <f>(q38_Aux!$X$33+q38_Aux!$X$36)/(q17a!$I$33+q17a!$I$36)</f>
        <v>1457.4482235324731</v>
      </c>
      <c r="J69" s="458">
        <f>(q38_Aux!$Y$33+q38_Aux!$Y$36)/(q17a!$J$33+q17a!$J$36)</f>
        <v>1476.9971912084943</v>
      </c>
      <c r="K69" s="458">
        <f>(q38_Aux!$Z$33+q38_Aux!$Z$36)/(q17a!$K$33+q17a!$K$36)</f>
        <v>1547.5641622791202</v>
      </c>
      <c r="L69" s="458">
        <f>(q38_Aux!$AA$33+q38_Aux!$AA$36)/(q17a!$L$33+q17a!$L$36)</f>
        <v>1655.5514476389026</v>
      </c>
      <c r="M69" s="458">
        <f>(q38_Aux!$AB$33+q38_Aux!$AB$36)/(q17a!$M$33+q17a!$M$36)</f>
        <v>1776.1291780472241</v>
      </c>
      <c r="P69" s="535"/>
      <c r="Q69" s="535"/>
      <c r="R69" s="537"/>
      <c r="S69" s="537"/>
      <c r="T69" s="537"/>
    </row>
    <row r="70" spans="1:23">
      <c r="B70" s="453" t="str">
        <f>+Aux!$B$94</f>
        <v>65 e + anos</v>
      </c>
      <c r="C70" s="458">
        <f>+q38_Aux!$R$39</f>
        <v>1528.66</v>
      </c>
      <c r="D70" s="458">
        <f>+q38_Aux!$S$39</f>
        <v>1547.17</v>
      </c>
      <c r="E70" s="458">
        <f>+q38_Aux!$T$39</f>
        <v>1537.86</v>
      </c>
      <c r="F70" s="458">
        <f>+q38_Aux!$U$39</f>
        <v>1547.82</v>
      </c>
      <c r="G70" s="458">
        <f>+q38_Aux!$V$39</f>
        <v>1534.46</v>
      </c>
      <c r="H70" s="458">
        <f>+q38_Aux!$W$39</f>
        <v>1560.37</v>
      </c>
      <c r="I70" s="458">
        <f>+q38_Aux!$X$39</f>
        <v>1639.16</v>
      </c>
      <c r="J70" s="458">
        <f>+q38_Aux!$Y$39</f>
        <v>1631.35</v>
      </c>
      <c r="K70" s="458">
        <f>+q38_Aux!$Z$39</f>
        <v>1636.3</v>
      </c>
      <c r="L70" s="458">
        <f>+q38_Aux!$AA$39</f>
        <v>1696.46</v>
      </c>
      <c r="M70" s="458">
        <f>+q38_Aux!$AB$39</f>
        <v>1785.68</v>
      </c>
    </row>
    <row r="71" spans="1:23">
      <c r="B71" s="453" t="str">
        <f>+Aux!$B$95</f>
        <v>Total</v>
      </c>
      <c r="C71" s="458">
        <f>+q38_Aux!$C$6</f>
        <v>1203.32</v>
      </c>
      <c r="D71" s="458">
        <f>+q38_Aux!$D$6</f>
        <v>1207.76</v>
      </c>
      <c r="E71" s="458">
        <f>+q38_Aux!$E$6</f>
        <v>1215.1099999999999</v>
      </c>
      <c r="F71" s="458">
        <f>+q38_Aux!$F$6</f>
        <v>1236.8499999999999</v>
      </c>
      <c r="G71" s="458">
        <f>+q38_Aux!$G$6</f>
        <v>1273.99</v>
      </c>
      <c r="H71" s="458">
        <f>+q38_Aux!$H$6</f>
        <v>1312.43</v>
      </c>
      <c r="I71" s="458">
        <f>+q38_Aux!$I$6</f>
        <v>1349.35</v>
      </c>
      <c r="J71" s="458">
        <f>+q38_Aux!$J$6</f>
        <v>1395.7</v>
      </c>
      <c r="K71" s="458">
        <f>+q38_Aux!$K$6</f>
        <v>1476.2</v>
      </c>
      <c r="L71" s="458">
        <f>+q38_Aux!$L$6</f>
        <v>1577.33</v>
      </c>
      <c r="M71" s="458">
        <f>+q38_Aux!$M$6</f>
        <v>1693.55</v>
      </c>
    </row>
    <row r="72" spans="1:23">
      <c r="C72" s="423">
        <f>+'q17'!$C$4</f>
        <v>2014</v>
      </c>
      <c r="D72" s="423">
        <f>+'q17'!$D$4</f>
        <v>2015</v>
      </c>
      <c r="E72" s="423">
        <f>+'q17'!$E$4</f>
        <v>2016</v>
      </c>
      <c r="F72" s="423">
        <f>+'q17'!$F$4</f>
        <v>2017</v>
      </c>
      <c r="G72" s="423">
        <f>+'q17'!$G$4</f>
        <v>2018</v>
      </c>
      <c r="H72" s="423">
        <f>+'q17'!$H$4</f>
        <v>2019</v>
      </c>
      <c r="I72" s="423">
        <f>+'q17'!$I$4</f>
        <v>2020</v>
      </c>
      <c r="J72" s="423">
        <f>+'q17'!$J$4</f>
        <v>2021</v>
      </c>
      <c r="K72" s="423">
        <f>+'q17'!$K$4</f>
        <v>2022</v>
      </c>
      <c r="L72" s="423">
        <f>+'q17'!$L$4</f>
        <v>2023</v>
      </c>
      <c r="M72" s="423">
        <f>+'q17'!$M$4</f>
        <v>2024</v>
      </c>
      <c r="S72" s="454"/>
    </row>
    <row r="73" spans="1:23">
      <c r="A73" s="460" t="s">
        <v>116</v>
      </c>
      <c r="B73" s="453" t="str">
        <f>+Aux!$B$88</f>
        <v>&lt; 18 anos</v>
      </c>
      <c r="C73" s="458">
        <f>+q38_Aux!$R$10</f>
        <v>590.63</v>
      </c>
      <c r="D73" s="458">
        <f>+q38_Aux!$S$10</f>
        <v>590.91999999999996</v>
      </c>
      <c r="E73" s="458">
        <f>+q38_Aux!$T$10</f>
        <v>620.16</v>
      </c>
      <c r="F73" s="458">
        <f>+q38_Aux!$U$10</f>
        <v>647.80999999999995</v>
      </c>
      <c r="G73" s="458">
        <f>+q38_Aux!$V$10</f>
        <v>696.86</v>
      </c>
      <c r="H73" s="458">
        <f>+q38_Aux!$W$10</f>
        <v>782.86</v>
      </c>
      <c r="I73" s="458">
        <f>+q38_Aux!$X$10</f>
        <v>744.24</v>
      </c>
      <c r="J73" s="458">
        <f>+q38_Aux!$Y$10</f>
        <v>762.78</v>
      </c>
      <c r="K73" s="458">
        <f>+q38_Aux!$Z$10</f>
        <v>833.07</v>
      </c>
      <c r="L73" s="458">
        <f>+q38_Aux!$AA$10</f>
        <v>912.59</v>
      </c>
      <c r="M73" s="458">
        <f>+q38_Aux!$AB$10</f>
        <v>1023.65</v>
      </c>
    </row>
    <row r="74" spans="1:23">
      <c r="B74" s="453" t="str">
        <f>+Aux!$B$89</f>
        <v>18 - 24 anos</v>
      </c>
      <c r="C74" s="458">
        <f>+q38_Aux!$R$13</f>
        <v>675</v>
      </c>
      <c r="D74" s="458">
        <f>+q38_Aux!$S$13</f>
        <v>688.01</v>
      </c>
      <c r="E74" s="458">
        <f>+q38_Aux!$T$13</f>
        <v>711.72</v>
      </c>
      <c r="F74" s="458">
        <f>+q38_Aux!$U$13</f>
        <v>749.37</v>
      </c>
      <c r="G74" s="458">
        <f>+q38_Aux!$V$13</f>
        <v>786.48</v>
      </c>
      <c r="H74" s="458">
        <f>+q38_Aux!$W$13</f>
        <v>827.95</v>
      </c>
      <c r="I74" s="458">
        <f>+q38_Aux!$X$13</f>
        <v>870.5</v>
      </c>
      <c r="J74" s="458">
        <f>+q38_Aux!$Y$13</f>
        <v>912.9</v>
      </c>
      <c r="K74" s="458">
        <f>+q38_Aux!$Z$13</f>
        <v>974.41</v>
      </c>
      <c r="L74" s="458">
        <f>+q38_Aux!$AA$13</f>
        <v>1053.73</v>
      </c>
      <c r="M74" s="458">
        <f>+q38_Aux!$AB$13</f>
        <v>1137.02</v>
      </c>
      <c r="P74" s="423" t="s">
        <v>358</v>
      </c>
    </row>
    <row r="75" spans="1:23">
      <c r="B75" s="453" t="str">
        <f>+Aux!$B$90</f>
        <v>25 - 34 anos</v>
      </c>
      <c r="C75" s="458">
        <f>(q38_Aux!$R$16+q38_Aux!$R$19)/(q17a!$C$16+q17a!$C$19)</f>
        <v>884.35962753950344</v>
      </c>
      <c r="D75" s="458">
        <f>(q38_Aux!$S$16+q38_Aux!$S$19)/(q17a!$D$16+q17a!$D$19)</f>
        <v>884.39027306548871</v>
      </c>
      <c r="E75" s="458">
        <f>(q38_Aux!$T$16+q38_Aux!$T$19)/(q17a!$E$16+q17a!$E$19)</f>
        <v>900.34577551243194</v>
      </c>
      <c r="F75" s="458">
        <f>(q38_Aux!$U$16+q38_Aux!$U$19)/(q17a!$F$16+q17a!$F$19)</f>
        <v>931.1102329053947</v>
      </c>
      <c r="G75" s="458">
        <f>(q38_Aux!$V$16+q38_Aux!$V$19)/(q17a!$G$16+q17a!$G$19)</f>
        <v>967.4122262011216</v>
      </c>
      <c r="H75" s="458">
        <f>(q38_Aux!$W$16+q38_Aux!$W$19)/(q17a!$H$16+q17a!$H$19)</f>
        <v>1018.6624595951736</v>
      </c>
      <c r="I75" s="458">
        <f>(q38_Aux!$X$16+q38_Aux!$X$19)/(q17a!$I$16+q17a!$I$19)</f>
        <v>1065.0166244535426</v>
      </c>
      <c r="J75" s="458">
        <f>(q38_Aux!$Y$16+q38_Aux!$Y$19)/(q17a!$J$16+q17a!$J$19)</f>
        <v>1116.266193043924</v>
      </c>
      <c r="K75" s="458">
        <f>(q38_Aux!$Z$16+q38_Aux!$Z$19)/(q17a!$K$16+q17a!$K$19)</f>
        <v>1193.8440320246707</v>
      </c>
      <c r="L75" s="458">
        <f>(q38_Aux!$AA$16+q38_Aux!$AA$19)/(q17a!$L$16+q17a!$L$19)</f>
        <v>1283.0776747445054</v>
      </c>
      <c r="M75" s="458">
        <f>(q38_Aux!$AB$16+q38_Aux!$AB$19)/(q17a!$M$16+q17a!$M$19)</f>
        <v>1395.2639475107721</v>
      </c>
      <c r="P75" s="453">
        <f>INDEX($A$2:$A$12,$P$9)</f>
        <v>2024</v>
      </c>
      <c r="Q75" s="423" t="s">
        <v>355</v>
      </c>
    </row>
    <row r="76" spans="1:23">
      <c r="B76" s="453" t="str">
        <f>+Aux!$B$91</f>
        <v>35 - 44 anos</v>
      </c>
      <c r="C76" s="458">
        <f>(q38_Aux!$R$22+q38_Aux!$R$25)/(q17a!$C$22+q17a!$C$25)</f>
        <v>1046.0377585369311</v>
      </c>
      <c r="D76" s="458">
        <f>(q38_Aux!$S$22+q38_Aux!$S$25)/(q17a!$D$22+q17a!$D$25)</f>
        <v>1047.7701304670466</v>
      </c>
      <c r="E76" s="458">
        <f>(q38_Aux!$T$22+q38_Aux!$T$25)/(q17a!$E$22+q17a!$E$25)</f>
        <v>1060.7392852696726</v>
      </c>
      <c r="F76" s="458">
        <f>(q38_Aux!$U$22+q38_Aux!$U$25)/(q17a!$F$22+q17a!$F$25)</f>
        <v>1087.8159710448372</v>
      </c>
      <c r="G76" s="458">
        <f>(q38_Aux!$V$22+q38_Aux!$V$25)/(q17a!$G$22+q17a!$G$25)</f>
        <v>1119.9342907440507</v>
      </c>
      <c r="H76" s="458">
        <f>(q38_Aux!$W$22+q38_Aux!$W$25)/(q17a!$H$22+q17a!$H$25)</f>
        <v>1158.2264907930178</v>
      </c>
      <c r="I76" s="458">
        <f>(q38_Aux!$X$22+q38_Aux!$X$25)/(q17a!$I$22+q17a!$I$25)</f>
        <v>1194.5679098242581</v>
      </c>
      <c r="J76" s="458">
        <f>(q38_Aux!$Y$22+q38_Aux!$Y$25)/(q17a!$J$22+q17a!$J$25)</f>
        <v>1230.2914277699858</v>
      </c>
      <c r="K76" s="458">
        <f>(q38_Aux!$Z$22+q38_Aux!$Z$25)/(q17a!$K$22+q17a!$K$25)</f>
        <v>1293.6450266126737</v>
      </c>
      <c r="L76" s="458">
        <f>(q38_Aux!$AA$22+q38_Aux!$AA$25)/(q17a!$L$22+q17a!$L$25)</f>
        <v>1388.7278106261283</v>
      </c>
      <c r="M76" s="458">
        <f>(q38_Aux!$AB$22+q38_Aux!$AB$25)/(q17a!$M$22+q17a!$M$25)</f>
        <v>1509.7697170094814</v>
      </c>
      <c r="R76" s="423" t="s">
        <v>182</v>
      </c>
      <c r="S76" s="423" t="s">
        <v>359</v>
      </c>
      <c r="T76" s="423"/>
    </row>
    <row r="77" spans="1:23">
      <c r="B77" s="453" t="str">
        <f>+Aux!$B$92</f>
        <v>45 - 54 anos</v>
      </c>
      <c r="C77" s="458">
        <f>(q38_Aux!$R$28+q38_Aux!$R$31)/(q17a!$C$28+q17a!$C$31)</f>
        <v>992.19005442999696</v>
      </c>
      <c r="D77" s="458">
        <f>(q38_Aux!$S$28+q38_Aux!$S$31)/(q17a!$D$28+q17a!$D$31)</f>
        <v>999.77822179296777</v>
      </c>
      <c r="E77" s="458">
        <f>(q38_Aux!$T$28+q38_Aux!$T$31)/(q17a!$E$28+q17a!$E$31)</f>
        <v>1022.0808632111816</v>
      </c>
      <c r="F77" s="458">
        <f>(q38_Aux!$U$28+q38_Aux!$U$31)/(q17a!$F$28+q17a!$F$31)</f>
        <v>1056.2989717478763</v>
      </c>
      <c r="G77" s="458">
        <f>(q38_Aux!$V$28+q38_Aux!$V$31)/(q17a!$G$28+q17a!$G$31)</f>
        <v>1100.5702988719665</v>
      </c>
      <c r="H77" s="458">
        <f>(q38_Aux!$W$28+q38_Aux!$W$31)/(q17a!$H$28+q17a!$H$31)</f>
        <v>1145.9944885702171</v>
      </c>
      <c r="I77" s="458">
        <f>(q38_Aux!$X$28+q38_Aux!$X$31)/(q17a!$I$28+q17a!$I$31)</f>
        <v>1191.6004595626516</v>
      </c>
      <c r="J77" s="458">
        <f>(q38_Aux!$Y$28+q38_Aux!$Y$31)/(q17a!$J$28+q17a!$J$31)</f>
        <v>1236.4034258482986</v>
      </c>
      <c r="K77" s="458">
        <f>(q38_Aux!$Z$28+q38_Aux!$Z$31)/(q17a!$K$28+q17a!$K$31)</f>
        <v>1309.6340481433153</v>
      </c>
      <c r="L77" s="458">
        <f>(q38_Aux!$AA$28+q38_Aux!$AA$31)/(q17a!$L$28+q17a!$L$31)</f>
        <v>1416.7996478544317</v>
      </c>
      <c r="M77" s="458">
        <f>(q38_Aux!$AB$28+q38_Aux!$AB$31)/(q17a!$M$28+q17a!$M$31)</f>
        <v>1538.3108694972445</v>
      </c>
      <c r="Q77" s="453" t="s">
        <v>356</v>
      </c>
      <c r="R77" s="462">
        <f t="shared" ref="R77:R82" si="8">INDEX($B$202:$M$208,MATCH($Q$71:$Q$82,$B$202:$B$208,0),MATCH($P$75,$B$202:$M$202,0))</f>
        <v>6694</v>
      </c>
      <c r="S77" s="463">
        <f t="shared" ref="S77:S82" si="9">IF($S$74=1,INDEX($B$212:$M$218,MATCH($Q$77:$Q$82,$B$212:$B$218,0),MATCH($P$75,$B$212:$M$212,0)),INDEX($B$222:$M$228,MATCH($Q$77:$Q$82,$B$222:$B$228,0),MATCH($P$75,$B$222:$M$222,0)))</f>
        <v>1032.94</v>
      </c>
      <c r="T77" s="534">
        <f>+R77/$R$82</f>
        <v>2.6702184481220115E-3</v>
      </c>
    </row>
    <row r="78" spans="1:23">
      <c r="B78" s="453" t="str">
        <f>+Aux!$B$93</f>
        <v>55 - 64 anos</v>
      </c>
      <c r="C78" s="458">
        <f>(q38_Aux!$R$34+q38_Aux!$R$37)/(q17a!$C$34+q17a!$C$37)</f>
        <v>983.53937232280532</v>
      </c>
      <c r="D78" s="458">
        <f>(q38_Aux!$S$34+q38_Aux!$S$37)/(q17a!$D$34+q17a!$D$37)</f>
        <v>987.11651047403257</v>
      </c>
      <c r="E78" s="458">
        <f>(q38_Aux!$T$34+q38_Aux!$T$37)/(q17a!$E$34+q17a!$E$37)</f>
        <v>991.87087697964898</v>
      </c>
      <c r="F78" s="458">
        <f>(q38_Aux!$U$34+q38_Aux!$U$37)/(q17a!$F$34+q17a!$F$37)</f>
        <v>1011.0021613491258</v>
      </c>
      <c r="G78" s="458">
        <f>(q38_Aux!$V$34+q38_Aux!$V$37)/(q17a!$G$34+q17a!$G$37)</f>
        <v>1039.8267382787924</v>
      </c>
      <c r="H78" s="458">
        <f>(q38_Aux!$W$34+q38_Aux!$W$37)/(q17a!$H$34+q17a!$H$37)</f>
        <v>1060.3666618910022</v>
      </c>
      <c r="I78" s="458">
        <f>(q38_Aux!$X$34+q38_Aux!$X$37)/(q17a!$I$34+q17a!$I$37)</f>
        <v>1099.1122244774983</v>
      </c>
      <c r="J78" s="458">
        <f>(q38_Aux!$Y$34+q38_Aux!$Y$37)/(q17a!$J$34+q17a!$J$37)</f>
        <v>1132.1153484085496</v>
      </c>
      <c r="K78" s="458">
        <f>(q38_Aux!$Z$34+q38_Aux!$Z$37)/(q17a!$K$34+q17a!$K$37)</f>
        <v>1182.8287407926118</v>
      </c>
      <c r="L78" s="458">
        <f>(q38_Aux!$AA$34+q38_Aux!$AA$37)/(q17a!$L$34+q17a!$L$37)</f>
        <v>1274.8774038965282</v>
      </c>
      <c r="M78" s="458">
        <f>(q38_Aux!$AB$34+q38_Aux!$AB$37)/(q17a!$M$34+q17a!$M$37)</f>
        <v>1379.1083256079298</v>
      </c>
      <c r="Q78" s="453" t="s">
        <v>188</v>
      </c>
      <c r="R78" s="462">
        <f t="shared" si="8"/>
        <v>918964</v>
      </c>
      <c r="S78" s="463">
        <f t="shared" si="9"/>
        <v>1209.6199999999999</v>
      </c>
      <c r="T78" s="534">
        <f t="shared" ref="T78:T81" si="10">+R78/$R$82</f>
        <v>0.36657224767851748</v>
      </c>
    </row>
    <row r="79" spans="1:23">
      <c r="B79" s="453" t="str">
        <f>+Aux!$B$94</f>
        <v>65 e + anos</v>
      </c>
      <c r="C79" s="458">
        <f>+q38_Aux!$R$40</f>
        <v>986.9</v>
      </c>
      <c r="D79" s="458">
        <f>+q38_Aux!$S$40</f>
        <v>1010.31</v>
      </c>
      <c r="E79" s="458">
        <f>+q38_Aux!$T$40</f>
        <v>1024.6099999999999</v>
      </c>
      <c r="F79" s="458">
        <f>+q38_Aux!$U$40</f>
        <v>1018.23</v>
      </c>
      <c r="G79" s="458">
        <f>+q38_Aux!$V$40</f>
        <v>1057.3800000000001</v>
      </c>
      <c r="H79" s="458">
        <f>+q38_Aux!$W$40</f>
        <v>1112.47</v>
      </c>
      <c r="I79" s="458">
        <f>+q38_Aux!$X$40</f>
        <v>1155.7</v>
      </c>
      <c r="J79" s="458">
        <f>+q38_Aux!$Y$40</f>
        <v>1202</v>
      </c>
      <c r="K79" s="458">
        <f>+q38_Aux!$Z$40</f>
        <v>1240.21</v>
      </c>
      <c r="L79" s="458">
        <f>+q38_Aux!$AA$40</f>
        <v>1323.72</v>
      </c>
      <c r="M79" s="458">
        <f>+q38_Aux!$AB$40</f>
        <v>1424.15</v>
      </c>
      <c r="Q79" s="453" t="s">
        <v>192</v>
      </c>
      <c r="R79" s="462">
        <f t="shared" si="8"/>
        <v>894978</v>
      </c>
      <c r="S79" s="463">
        <f t="shared" si="9"/>
        <v>1382.39</v>
      </c>
      <c r="T79" s="534">
        <f t="shared" si="10"/>
        <v>0.35700429732048722</v>
      </c>
      <c r="U79" s="538">
        <f>+T79+T80</f>
        <v>0.62699593244435081</v>
      </c>
    </row>
    <row r="80" spans="1:23">
      <c r="B80" s="453" t="str">
        <f>+Aux!$B$95</f>
        <v>Total</v>
      </c>
      <c r="C80" s="458">
        <f>+q38_Aux!$C$7</f>
        <v>963.12</v>
      </c>
      <c r="D80" s="458">
        <f>+q38_Aux!$D$7</f>
        <v>966.85</v>
      </c>
      <c r="E80" s="458">
        <f>+q38_Aux!$E$7</f>
        <v>982.49</v>
      </c>
      <c r="F80" s="458">
        <f>+q38_Aux!$F$7</f>
        <v>1011.02</v>
      </c>
      <c r="G80" s="458">
        <f>+q38_Aux!$G$7</f>
        <v>1046.5899999999999</v>
      </c>
      <c r="H80" s="458">
        <f>+q38_Aux!$H$7</f>
        <v>1086.97</v>
      </c>
      <c r="I80" s="458">
        <f>+q38_Aux!$I$7</f>
        <v>1130.8699999999999</v>
      </c>
      <c r="J80" s="458">
        <f>+q38_Aux!$J$7</f>
        <v>1172.08</v>
      </c>
      <c r="K80" s="458">
        <f>+q38_Aux!$K$7</f>
        <v>1237.52</v>
      </c>
      <c r="L80" s="458">
        <f>+q38_Aux!$L$7</f>
        <v>1332.02</v>
      </c>
      <c r="M80" s="458">
        <f>+q38_Aux!$M$7</f>
        <v>1445.59</v>
      </c>
      <c r="Q80" s="453" t="s">
        <v>360</v>
      </c>
      <c r="R80" s="462">
        <f t="shared" si="8"/>
        <v>676845</v>
      </c>
      <c r="S80" s="463">
        <f t="shared" si="9"/>
        <v>2363.21</v>
      </c>
      <c r="T80" s="534">
        <f t="shared" si="10"/>
        <v>0.26999163512386359</v>
      </c>
    </row>
    <row r="81" spans="1:58">
      <c r="C81" s="423">
        <f>+'q17'!$C$4</f>
        <v>2014</v>
      </c>
      <c r="D81" s="423">
        <f>+'q17'!$D$4</f>
        <v>2015</v>
      </c>
      <c r="E81" s="423">
        <f>+'q17'!$E$4</f>
        <v>2016</v>
      </c>
      <c r="F81" s="423">
        <f>+'q17'!$F$4</f>
        <v>2017</v>
      </c>
      <c r="G81" s="423">
        <f>+'q17'!$G$4</f>
        <v>2018</v>
      </c>
      <c r="H81" s="423">
        <f>+'q17'!$H$4</f>
        <v>2019</v>
      </c>
      <c r="I81" s="423">
        <f>+'q17'!$I$4</f>
        <v>2020</v>
      </c>
      <c r="J81" s="423">
        <f>+'q17'!$J$4</f>
        <v>2021</v>
      </c>
      <c r="K81" s="423">
        <f>+'q17'!$K$4</f>
        <v>2022</v>
      </c>
      <c r="L81" s="423">
        <f>+'q17'!$L$4</f>
        <v>2023</v>
      </c>
      <c r="M81" s="423">
        <f>+'q17'!$M$4</f>
        <v>2024</v>
      </c>
      <c r="Q81" s="453" t="s">
        <v>12</v>
      </c>
      <c r="R81" s="462">
        <f t="shared" si="8"/>
        <v>9430</v>
      </c>
      <c r="S81" s="463">
        <f t="shared" si="9"/>
        <v>1331.59</v>
      </c>
      <c r="T81" s="534">
        <f t="shared" si="10"/>
        <v>3.7616014290096458E-3</v>
      </c>
    </row>
    <row r="82" spans="1:58">
      <c r="A82" s="460" t="s">
        <v>11</v>
      </c>
      <c r="B82" s="453" t="str">
        <f>+Aux!$B$88</f>
        <v>&lt; 18 anos</v>
      </c>
      <c r="C82" s="458">
        <f>+q38_Aux!$R$8</f>
        <v>752.91</v>
      </c>
      <c r="D82" s="458">
        <f>+q38_Aux!$S$8</f>
        <v>711.88</v>
      </c>
      <c r="E82" s="458">
        <f>+q38_Aux!$T$8</f>
        <v>759.21</v>
      </c>
      <c r="F82" s="458">
        <f>+q38_Aux!$U$8</f>
        <v>761.64</v>
      </c>
      <c r="G82" s="458">
        <f>+q38_Aux!$V$8</f>
        <v>775.74</v>
      </c>
      <c r="H82" s="458">
        <f>+q38_Aux!$W$8</f>
        <v>1016.76</v>
      </c>
      <c r="I82" s="458">
        <f>+q38_Aux!$X$8</f>
        <v>1233.5</v>
      </c>
      <c r="J82" s="458">
        <f>+q38_Aux!$Y$8</f>
        <v>1171.6400000000001</v>
      </c>
      <c r="K82" s="458">
        <f>+q38_Aux!$Z$8</f>
        <v>1142.0999999999999</v>
      </c>
      <c r="L82" s="458">
        <f>+q38_Aux!$AA$8</f>
        <v>1193.83</v>
      </c>
      <c r="M82" s="458">
        <f>+q38_Aux!$AB$8</f>
        <v>1427.69</v>
      </c>
      <c r="Q82" s="453" t="s">
        <v>11</v>
      </c>
      <c r="R82" s="462">
        <f t="shared" si="8"/>
        <v>2506911</v>
      </c>
      <c r="S82" s="463">
        <f t="shared" si="9"/>
        <v>1582.75</v>
      </c>
      <c r="T82" s="470"/>
    </row>
    <row r="83" spans="1:58">
      <c r="B83" s="453" t="str">
        <f>+Aux!$B$89</f>
        <v>18 - 24 anos</v>
      </c>
      <c r="C83" s="458">
        <f>+q38_Aux!$R$11</f>
        <v>719.2</v>
      </c>
      <c r="D83" s="458">
        <f>+q38_Aux!$S$11</f>
        <v>733.69</v>
      </c>
      <c r="E83" s="458">
        <f>+q38_Aux!$T$11</f>
        <v>753.41</v>
      </c>
      <c r="F83" s="458">
        <f>+q38_Aux!$U$11</f>
        <v>788.29</v>
      </c>
      <c r="G83" s="458">
        <f>+q38_Aux!$V$11</f>
        <v>827.84</v>
      </c>
      <c r="H83" s="458">
        <f>+q38_Aux!$W$11</f>
        <v>871.35</v>
      </c>
      <c r="I83" s="458">
        <f>+q38_Aux!$X$11</f>
        <v>910.8</v>
      </c>
      <c r="J83" s="458">
        <f>+q38_Aux!$Y$11</f>
        <v>948.81</v>
      </c>
      <c r="K83" s="458">
        <f>+q38_Aux!$Z$11</f>
        <v>1015.84</v>
      </c>
      <c r="L83" s="458">
        <f>+q38_Aux!$AA$11</f>
        <v>1100.3599999999999</v>
      </c>
      <c r="M83" s="458">
        <f>+q38_Aux!$AB$11</f>
        <v>1191.1199999999999</v>
      </c>
      <c r="R83" s="462"/>
    </row>
    <row r="84" spans="1:58">
      <c r="B84" s="453" t="str">
        <f>+Aux!$B$90</f>
        <v>25 - 34 anos</v>
      </c>
      <c r="C84" s="458">
        <f>(q38_Aux!$R$14+q38_Aux!$R$17)/(q17a!$C$14+q17a!$C$17)</f>
        <v>934.32325048450582</v>
      </c>
      <c r="D84" s="458">
        <f>(q38_Aux!$S$14+q38_Aux!$S$17)/(q17a!$D$14+q17a!$D$17)</f>
        <v>939.1642290275048</v>
      </c>
      <c r="E84" s="458">
        <f>(q38_Aux!$T$14+q38_Aux!$T$17)/(q17a!$E$14+q17a!$E$17)</f>
        <v>954.30683432804688</v>
      </c>
      <c r="F84" s="458">
        <f>(q38_Aux!$U$14+q38_Aux!$U$17)/(q17a!$F$14+q17a!$F$17)</f>
        <v>989.16168552290605</v>
      </c>
      <c r="G84" s="458">
        <f>(q38_Aux!$V$14+q38_Aux!$V$17)/(q17a!$G$14+q17a!$G$17)</f>
        <v>1033.3593355729606</v>
      </c>
      <c r="H84" s="458">
        <f>(q38_Aux!$W$14+q38_Aux!$W$17)/(q17a!$H$14+q17a!$H$17)</f>
        <v>1084.744468098361</v>
      </c>
      <c r="I84" s="458">
        <f>(q38_Aux!$X$14+q38_Aux!$X$17)/(q17a!$I$14+q17a!$I$17)</f>
        <v>1127.2105629748796</v>
      </c>
      <c r="J84" s="458">
        <f>(q38_Aux!$Y$14+q38_Aux!$Y$17)/(q17a!$J$14+q17a!$J$17)</f>
        <v>1182.4511681678352</v>
      </c>
      <c r="K84" s="458">
        <f>(q38_Aux!$Z$14+q38_Aux!$Z$17)/(q17a!$K$14+q17a!$K$17)</f>
        <v>1264.5018730388865</v>
      </c>
      <c r="L84" s="458">
        <f>(q38_Aux!$AA$14+q38_Aux!$AA$17)/(q17a!$L$14+q17a!$L$17)</f>
        <v>1352.4112985865575</v>
      </c>
      <c r="M84" s="458">
        <f>(q38_Aux!$AB$14+q38_Aux!$AB$17)/(q17a!$M$14+q17a!$M$17)</f>
        <v>1459.7882770853512</v>
      </c>
      <c r="R84" s="462"/>
      <c r="AX84" s="454" t="s">
        <v>891</v>
      </c>
      <c r="BC84" s="454" t="s">
        <v>892</v>
      </c>
    </row>
    <row r="85" spans="1:58" ht="12" customHeight="1">
      <c r="B85" s="453" t="str">
        <f>+Aux!$B$91</f>
        <v>35 - 44 anos</v>
      </c>
      <c r="C85" s="458">
        <f>(q38_Aux!$R$20+q38_Aux!$R$23)/(q17a!$C$20+q17a!$C$23)</f>
        <v>1161.0463477787252</v>
      </c>
      <c r="D85" s="458">
        <f>(q38_Aux!$S$20+q38_Aux!$S$23)/(q17a!$D$20+q17a!$D$23)</f>
        <v>1159.8838887303941</v>
      </c>
      <c r="E85" s="458">
        <f>(q38_Aux!$T$20+q38_Aux!$T$23)/(q17a!$E$20+q17a!$E$23)</f>
        <v>1168.990362572383</v>
      </c>
      <c r="F85" s="458">
        <f>(q38_Aux!$U$20+q38_Aux!$U$23)/(q17a!$F$20+q17a!$F$23)</f>
        <v>1191.7310318101008</v>
      </c>
      <c r="G85" s="458">
        <f>(q38_Aux!$V$20+q38_Aux!$V$23)/(q17a!$G$20+q17a!$G$23)</f>
        <v>1226.9919137742797</v>
      </c>
      <c r="H85" s="458">
        <f>(q38_Aux!$W$20+q38_Aux!$W$23)/(q17a!$H$20+q17a!$H$23)</f>
        <v>1267.8098977714603</v>
      </c>
      <c r="I85" s="458">
        <f>(q38_Aux!$X$20+q38_Aux!$X$23)/(q17a!$I$20+q17a!$I$23)</f>
        <v>1298.1402712529523</v>
      </c>
      <c r="J85" s="458">
        <f>(q38_Aux!$Y$20+q38_Aux!$Y$23)/(q17a!$J$20+q17a!$J$23)</f>
        <v>1342.9873002054685</v>
      </c>
      <c r="K85" s="458">
        <f>(q38_Aux!$Z$20+q38_Aux!$Z$23)/(q17a!$K$20+q17a!$K$23)</f>
        <v>1420.7299027584093</v>
      </c>
      <c r="L85" s="458">
        <f>(q38_Aux!$AA$20+q38_Aux!$AA$23)/(q17a!$L$20+q17a!$L$23)</f>
        <v>1521.5461508740502</v>
      </c>
      <c r="M85" s="458">
        <f>(q38_Aux!$AB$20+q38_Aux!$AB$23)/(q17a!$M$20+q17a!$M$23)</f>
        <v>1645.469162122856</v>
      </c>
      <c r="X85" s="471"/>
      <c r="Y85" s="471"/>
      <c r="Z85" s="471"/>
      <c r="AA85" s="495"/>
      <c r="AB85" s="495"/>
      <c r="AM85" s="453">
        <f>+P95</f>
        <v>2024</v>
      </c>
      <c r="AN85" s="453" t="s">
        <v>415</v>
      </c>
      <c r="AX85" s="454" t="s">
        <v>749</v>
      </c>
      <c r="BC85" s="454" t="s">
        <v>748</v>
      </c>
    </row>
    <row r="86" spans="1:58" ht="15.75" customHeight="1">
      <c r="B86" s="453" t="str">
        <f>+Aux!$B$92</f>
        <v>45 - 54 anos</v>
      </c>
      <c r="C86" s="458">
        <f>(q38_Aux!$R$26+q38_Aux!$R$29)/(q17a!$C$26+q17a!$C$29)</f>
        <v>1185.1796197721119</v>
      </c>
      <c r="D86" s="458">
        <f>(q38_Aux!$S$26+q38_Aux!$S$29)/(q17a!$D$26+q17a!$D$29)</f>
        <v>1188.671702702703</v>
      </c>
      <c r="E86" s="458">
        <f>(q38_Aux!$T$26+q38_Aux!$T$29)/(q17a!$E$26+q17a!$E$29)</f>
        <v>1202.1262688632162</v>
      </c>
      <c r="F86" s="458">
        <f>(q38_Aux!$U$26+q38_Aux!$U$29)/(q17a!$F$26+q17a!$F$29)</f>
        <v>1229.8147572502503</v>
      </c>
      <c r="G86" s="458">
        <f>(q38_Aux!$V$26+q38_Aux!$V$29)/(q17a!$G$26+q17a!$G$29)</f>
        <v>1270.9175971633604</v>
      </c>
      <c r="H86" s="458">
        <f>(q38_Aux!$W$26+q38_Aux!$W$29)/(q17a!$H$26+q17a!$H$29)</f>
        <v>1314.3027640700259</v>
      </c>
      <c r="I86" s="458">
        <f>(q38_Aux!$X$26+q38_Aux!$X$29)/(q17a!$I$26+q17a!$I$29)</f>
        <v>1355.4263411074849</v>
      </c>
      <c r="J86" s="458">
        <f>(q38_Aux!$Y$26+q38_Aux!$Y$29)/(q17a!$J$26+q17a!$J$29)</f>
        <v>1398.4728428460587</v>
      </c>
      <c r="K86" s="458">
        <f>(q38_Aux!$Z$26+q38_Aux!$Z$29)/(q17a!$K$26+q17a!$K$29)</f>
        <v>1480.6128226312073</v>
      </c>
      <c r="L86" s="458">
        <f>(q38_Aux!$AA$26+q38_Aux!$AA$29)/(q17a!$L$26+q17a!$L$29)</f>
        <v>1594.9782009025278</v>
      </c>
      <c r="M86" s="458">
        <f>(q38_Aux!$AB$26+q38_Aux!$AB$29)/(q17a!$M$26+q17a!$M$29)</f>
        <v>1722.5511225340456</v>
      </c>
      <c r="U86" s="453">
        <f>+P75</f>
        <v>2024</v>
      </c>
      <c r="V86" s="453" t="s">
        <v>398</v>
      </c>
      <c r="W86" s="471" t="str">
        <f>CONCATENATE(U86,V86,CHAR(10),U87,U88)</f>
        <v>2024:
62,7% dos TCO tinham os Ensinos Secundário e Superior completos.</v>
      </c>
      <c r="X86" s="471"/>
      <c r="Y86" s="471"/>
      <c r="Z86" s="471"/>
      <c r="AA86" s="495"/>
      <c r="AB86" s="495"/>
      <c r="AM86" s="453" t="s">
        <v>750</v>
      </c>
      <c r="AP86" s="453" t="s">
        <v>751</v>
      </c>
      <c r="AR86" s="453" t="s">
        <v>402</v>
      </c>
      <c r="AT86" s="453" t="s">
        <v>403</v>
      </c>
      <c r="AX86" s="960" t="str">
        <f>CONCATENATE(AM85," - ",AN85,CHAR(10),AM86," ",AM87,AM88," ",AN89,AM90,AM91,AM92," ",AN93,AM94,AM95,AN95,CHAR(10),AP86," ",AP87," ",AQ88," ",AP90," ",AQ91,AO92)</f>
        <v>2024 - Continente:
Base:  82,7% do Ganho, entre  996 € (18 - 24 anos) e  1.414 €  (65 e + anos).
Ganho:  Entre  1.191 € e 1.723 €, nos mesmos grupos etários, respetivamente.</v>
      </c>
      <c r="AY86" s="960"/>
      <c r="AZ86" s="960"/>
      <c r="BA86" s="960"/>
      <c r="BC86" s="961" t="str">
        <f>CONCATENATE(AM85," - ",AN85,CHAR(10),AM86,AM87,AM88,AN89,AM90,AM91,AM92,AN93,AM94,AM95,AN95,CHAR(10),AP86,AP87,AQ88,AM90,AP89,AM92,AQ91,AM94,AP92,AN95)</f>
        <v>2024 - Continente:
Base: 82,7% do Ganho, entre 996 € (18 - 24 anos) e 1.414 €  (65 e + anos).
Ganho: Entre 1.191 € (18 - 24 anos) e 1.723 €  (45 - 54 anos).</v>
      </c>
      <c r="BD86" s="961"/>
      <c r="BE86" s="961"/>
      <c r="BF86" s="961"/>
    </row>
    <row r="87" spans="1:58">
      <c r="B87" s="453" t="str">
        <f>+Aux!$B$93</f>
        <v>55 - 64 anos</v>
      </c>
      <c r="C87" s="458">
        <f>(q38_Aux!$R$32+q38_Aux!$R$35)/(q17a!$C$32+q17a!$C$35)</f>
        <v>1246.3943797645436</v>
      </c>
      <c r="D87" s="458">
        <f>(q38_Aux!$S$32+q38_Aux!$S$35)/(q17a!$D$32+q17a!$D$35)</f>
        <v>1241.8010266981019</v>
      </c>
      <c r="E87" s="458">
        <f>(q38_Aux!$T$32+q38_Aux!$T$35)/(q17a!$E$32+q17a!$E$35)</f>
        <v>1234.0276594038726</v>
      </c>
      <c r="F87" s="458">
        <f>(q38_Aux!$U$32+q38_Aux!$U$35)/(q17a!$F$32+q17a!$F$35)</f>
        <v>1237.2338333698203</v>
      </c>
      <c r="G87" s="458">
        <f>(q38_Aux!$V$32+q38_Aux!$V$35)/(q17a!$G$32+q17a!$G$35)</f>
        <v>1258.2143274664659</v>
      </c>
      <c r="H87" s="458">
        <f>(q38_Aux!$W$32+q38_Aux!$W$35)/(q17a!$H$32+q17a!$H$35)</f>
        <v>1270.2434831537776</v>
      </c>
      <c r="I87" s="458">
        <f>(q38_Aux!$X$32+q38_Aux!$X$35)/(q17a!$I$32+q17a!$I$35)</f>
        <v>1304.3535235656361</v>
      </c>
      <c r="J87" s="458">
        <f>(q38_Aux!$Y$32+q38_Aux!$Y$35)/(q17a!$J$32+q17a!$J$35)</f>
        <v>1327.722061605627</v>
      </c>
      <c r="K87" s="458">
        <f>(q38_Aux!$Z$32+q38_Aux!$Z$35)/(q17a!$K$32+q17a!$K$35)</f>
        <v>1387.7511262493379</v>
      </c>
      <c r="L87" s="458">
        <f>(q38_Aux!$AA$32+q38_Aux!$AA$35)/(q17a!$L$32+q17a!$L$35)</f>
        <v>1487.9493190902751</v>
      </c>
      <c r="M87" s="458">
        <f>(q38_Aux!$AB$32+q38_Aux!$AB$35)/(q17a!$M$32+q17a!$M$35)</f>
        <v>1600.2360382917216</v>
      </c>
      <c r="U87" s="473" t="str">
        <f>TEXT(U79,"##.###,0%")</f>
        <v>62,7%</v>
      </c>
      <c r="AK87" s="453">
        <f>+COLUMN(AC96)</f>
        <v>29</v>
      </c>
      <c r="AM87" s="483" t="str">
        <f>+TEXT(Y104,"##.###,0%")</f>
        <v>82,7%</v>
      </c>
      <c r="AP87" s="483" t="s">
        <v>696</v>
      </c>
      <c r="AR87" s="483" t="str">
        <f>TEXT($AA$104,"##.###,0%")</f>
        <v>88,0%</v>
      </c>
      <c r="AS87" s="453" t="s">
        <v>467</v>
      </c>
      <c r="AT87" s="483" t="str">
        <f>TEXT($AB$104,"##.###,0%")</f>
        <v>85,4%</v>
      </c>
      <c r="AU87" s="453" t="s">
        <v>468</v>
      </c>
      <c r="AX87" s="960"/>
      <c r="AY87" s="960"/>
      <c r="AZ87" s="960"/>
      <c r="BA87" s="960"/>
      <c r="BC87" s="961"/>
      <c r="BD87" s="961"/>
      <c r="BE87" s="961"/>
      <c r="BF87" s="961"/>
    </row>
    <row r="88" spans="1:58">
      <c r="B88" s="453" t="str">
        <f>+Aux!$B$94</f>
        <v>65 e + anos</v>
      </c>
      <c r="C88" s="458">
        <f>+q38_Aux!$R$38</f>
        <v>1328.61</v>
      </c>
      <c r="D88" s="458">
        <f>+q38_Aux!$S$38</f>
        <v>1341.63</v>
      </c>
      <c r="E88" s="458">
        <f>+q38_Aux!$T$38</f>
        <v>1337.56</v>
      </c>
      <c r="F88" s="458">
        <f>+q38_Aux!$U$38</f>
        <v>1346.83</v>
      </c>
      <c r="G88" s="458">
        <f>+q38_Aux!$V$38</f>
        <v>1353.02</v>
      </c>
      <c r="H88" s="458">
        <f>+q38_Aux!$W$38</f>
        <v>1396.55</v>
      </c>
      <c r="I88" s="458">
        <f>+q38_Aux!$X$38</f>
        <v>1462.63</v>
      </c>
      <c r="J88" s="458">
        <f>+q38_Aux!$Y$38</f>
        <v>1470.97</v>
      </c>
      <c r="K88" s="458">
        <f>+q38_Aux!$Z$38</f>
        <v>1488.54</v>
      </c>
      <c r="L88" s="458">
        <f>+q38_Aux!$AA$38</f>
        <v>1557.94</v>
      </c>
      <c r="M88" s="458">
        <f>+q38_Aux!$AB$38</f>
        <v>1651.23</v>
      </c>
      <c r="U88" s="453" t="s">
        <v>474</v>
      </c>
      <c r="AK88" s="453">
        <f>+COLUMN(Z96)</f>
        <v>26</v>
      </c>
      <c r="AM88" s="453" t="s">
        <v>694</v>
      </c>
      <c r="AP88" s="483">
        <f>+SMALL(X97:X103,1)</f>
        <v>1191.1199999999999</v>
      </c>
      <c r="AQ88" s="453" t="str">
        <f>+TEXT(AP88,"##.### €")</f>
        <v>1.191 €</v>
      </c>
      <c r="AR88" s="453">
        <f>+SMALL($AA$97:$AA$103,1)</f>
        <v>0.61432027092404451</v>
      </c>
      <c r="AS88" s="453" t="str">
        <f>+TEXT(AR88,"##.###,#%")</f>
        <v>61,4%</v>
      </c>
      <c r="AT88" s="453">
        <f>+SMALL($AB$97:$AB$103,1)</f>
        <v>0.66270676204965517</v>
      </c>
      <c r="AU88" s="453" t="str">
        <f>+TEXT(AT88,"##.###,#%")</f>
        <v>66,3%</v>
      </c>
      <c r="AX88" s="960"/>
      <c r="AY88" s="960"/>
      <c r="AZ88" s="960"/>
      <c r="BA88" s="960"/>
      <c r="BC88" s="961"/>
      <c r="BD88" s="961"/>
      <c r="BE88" s="961"/>
      <c r="BF88" s="961"/>
    </row>
    <row r="89" spans="1:58">
      <c r="B89" s="453" t="str">
        <f>+Aux!$B$95</f>
        <v>Total</v>
      </c>
      <c r="C89" s="458">
        <f>+q38_Aux!$C$5</f>
        <v>1093.21</v>
      </c>
      <c r="D89" s="458">
        <f>+q38_Aux!$D$5</f>
        <v>1096.6600000000001</v>
      </c>
      <c r="E89" s="458">
        <f>+q38_Aux!$E$5</f>
        <v>1107.8599999999999</v>
      </c>
      <c r="F89" s="458">
        <f>+q38_Aux!$F$5</f>
        <v>1133.3399999999999</v>
      </c>
      <c r="G89" s="458">
        <f>+q38_Aux!$G$5</f>
        <v>1170.25</v>
      </c>
      <c r="H89" s="458">
        <f>+q38_Aux!$H$5</f>
        <v>1209.94</v>
      </c>
      <c r="I89" s="458">
        <f>+q38_Aux!$I$5</f>
        <v>1250.75</v>
      </c>
      <c r="J89" s="458">
        <f>+q38_Aux!$J$5</f>
        <v>1294.1099999999999</v>
      </c>
      <c r="K89" s="458">
        <f>+q38_Aux!$K$5</f>
        <v>1368</v>
      </c>
      <c r="L89" s="458">
        <f>+q38_Aux!$L$5</f>
        <v>1466.66</v>
      </c>
      <c r="M89" s="458">
        <f>+q38_Aux!$M$5</f>
        <v>1582.75</v>
      </c>
      <c r="AK89" s="453">
        <f>+COLUMN(Z96)</f>
        <v>26</v>
      </c>
      <c r="AM89" s="453">
        <f>+SMALL(W97:W103,1)</f>
        <v>996.39</v>
      </c>
      <c r="AN89" s="453" t="str">
        <f>+TEXT(AM89,"##.### €")</f>
        <v>996 €</v>
      </c>
      <c r="AP89" s="453" t="str">
        <f>+AB108</f>
        <v>18 - 24 anos</v>
      </c>
      <c r="AR89" s="453" t="s">
        <v>469</v>
      </c>
      <c r="AT89" s="453" t="s">
        <v>469</v>
      </c>
      <c r="AX89" s="960"/>
      <c r="AY89" s="960"/>
      <c r="AZ89" s="960"/>
      <c r="BA89" s="960"/>
      <c r="BC89" s="961"/>
      <c r="BD89" s="961"/>
      <c r="BE89" s="961"/>
      <c r="BF89" s="961"/>
    </row>
    <row r="90" spans="1:58" ht="12" customHeight="1">
      <c r="AM90" s="453" t="s">
        <v>464</v>
      </c>
      <c r="AP90" s="453" t="s">
        <v>421</v>
      </c>
      <c r="AQ90" s="503"/>
      <c r="AR90" s="483" t="str">
        <f>+VLOOKUP($AR$88,$AA$96:$AC$103,COLUMN($AC$96)-26,0)</f>
        <v>&lt; 18 anos</v>
      </c>
      <c r="AS90" s="503" t="s">
        <v>396</v>
      </c>
      <c r="AT90" s="483" t="str">
        <f>+VLOOKUP($AT$88,$AB$96:$AC$103,COLUMN($AC$96)-27,0)</f>
        <v>&lt; 18 anos</v>
      </c>
      <c r="AU90" s="503" t="s">
        <v>396</v>
      </c>
      <c r="AX90" s="960"/>
      <c r="AY90" s="960"/>
      <c r="AZ90" s="960"/>
      <c r="BA90" s="960"/>
      <c r="BC90" s="961"/>
      <c r="BD90" s="961"/>
      <c r="BE90" s="961"/>
      <c r="BF90" s="961"/>
    </row>
    <row r="91" spans="1:58">
      <c r="AM91" s="483" t="str">
        <f>+VLOOKUP($AM$89,$W$96:$AC$103,COLUMN($AC$96)-22,0)</f>
        <v>18 - 24 anos</v>
      </c>
      <c r="AP91" s="483">
        <f>+LARGE(X97:X103,1)</f>
        <v>1722.5511225340456</v>
      </c>
      <c r="AQ91" s="453" t="str">
        <f>+TEXT(AP91,"##.### €")</f>
        <v>1.723 €</v>
      </c>
      <c r="AR91" s="503">
        <f>+LARGE(AA97:AA103,1)</f>
        <v>0.94051818133456999</v>
      </c>
      <c r="AS91" s="453" t="str">
        <f>+TEXT(AR91,"##.###,#%")</f>
        <v>94,1%</v>
      </c>
      <c r="AT91" s="503">
        <f>+LARGE($AB$97:$AB$103,1)</f>
        <v>0.92425621850105666</v>
      </c>
      <c r="AU91" s="453" t="str">
        <f>+TEXT(AT91,"##.###,#%")</f>
        <v>92,4%</v>
      </c>
      <c r="AV91" s="503"/>
    </row>
    <row r="92" spans="1:58">
      <c r="AM92" s="453" t="s">
        <v>418</v>
      </c>
      <c r="AO92" s="453" t="s">
        <v>466</v>
      </c>
      <c r="AP92" s="453" t="str">
        <f>+AD108</f>
        <v>45 - 54 anos</v>
      </c>
      <c r="AQ92" s="503"/>
      <c r="AR92" s="503" t="s">
        <v>464</v>
      </c>
      <c r="AT92" s="503" t="s">
        <v>464</v>
      </c>
      <c r="AV92" s="503"/>
      <c r="AX92" s="961" t="str">
        <f>CONCATENATE(AM85,":",CHAR(10),AR86," ",AR87,AS87," ",AS88,AR89,AR90,AS90," ",AS91,AR92,AR93,AS93,CHAR(10),AT86," ",AT87,AU87," ",AU88,AT89,AT90,AU90," ",AU91,AT92,AT93,AU93)</f>
        <v>2024:
Base Mulheres = 88,0% da dos Homens (H), entre  61,4% da dos H (&lt; 18 anos) e 94,1% (25 - 34 anos).
Ganho Mulheres = 85,4% da dos H, entre  66,3% da dos H (&lt; 18 anos) e 92,4% (18 - 24 anos).</v>
      </c>
      <c r="AY92" s="961"/>
      <c r="AZ92" s="961"/>
      <c r="BA92" s="961"/>
    </row>
    <row r="93" spans="1:58">
      <c r="P93" s="453" t="s">
        <v>361</v>
      </c>
      <c r="AL93" s="453" t="str">
        <f>+AD107</f>
        <v>65 e + anos</v>
      </c>
      <c r="AM93" s="453">
        <f>+LARGE(W97:W103,1)</f>
        <v>1413.77</v>
      </c>
      <c r="AN93" s="453" t="str">
        <f>+TEXT(AM93,"##.### €")</f>
        <v>1.414 €</v>
      </c>
      <c r="AQ93" s="503"/>
      <c r="AR93" s="483" t="str">
        <f>+VLOOKUP($AR$91,$AA$96:$AC$103,COLUMN($AC$96)-26,0)</f>
        <v>25 - 34 anos</v>
      </c>
      <c r="AS93" s="503" t="s">
        <v>397</v>
      </c>
      <c r="AT93" s="483" t="str">
        <f>+VLOOKUP($AT$91,$AB$96:$AC$103,COLUMN($AC$96)-27,0)</f>
        <v>18 - 24 anos</v>
      </c>
      <c r="AU93" s="503" t="s">
        <v>397</v>
      </c>
      <c r="AV93" s="503"/>
      <c r="AX93" s="961"/>
      <c r="AY93" s="961"/>
      <c r="AZ93" s="961"/>
      <c r="BA93" s="961"/>
    </row>
    <row r="94" spans="1:58">
      <c r="AM94" s="453" t="s">
        <v>465</v>
      </c>
      <c r="AO94" s="483"/>
      <c r="AQ94" s="503"/>
      <c r="AR94" s="503"/>
      <c r="AS94" s="503"/>
      <c r="AT94" s="503"/>
      <c r="AU94" s="503"/>
      <c r="AV94" s="503"/>
      <c r="AX94" s="961"/>
      <c r="AY94" s="961"/>
      <c r="AZ94" s="961"/>
      <c r="BA94" s="961"/>
    </row>
    <row r="95" spans="1:58">
      <c r="P95" s="453">
        <f>INDEX($A$2:$A$12,$P$9)</f>
        <v>2024</v>
      </c>
      <c r="Q95" s="423" t="s">
        <v>337</v>
      </c>
      <c r="AM95" s="483" t="str">
        <f>+VLOOKUP($AM$93,$W$96:$AC$103,COLUMN($AC$96)-22,0)</f>
        <v>65 e + anos</v>
      </c>
      <c r="AN95" s="453" t="s">
        <v>397</v>
      </c>
      <c r="AX95" s="961"/>
      <c r="AY95" s="961"/>
      <c r="AZ95" s="961"/>
      <c r="BA95" s="961"/>
    </row>
    <row r="96" spans="1:58">
      <c r="S96" s="423" t="s">
        <v>364</v>
      </c>
      <c r="T96" s="423" t="s">
        <v>368</v>
      </c>
      <c r="U96" s="423" t="s">
        <v>365</v>
      </c>
      <c r="V96" s="423" t="s">
        <v>369</v>
      </c>
      <c r="W96" s="423" t="s">
        <v>366</v>
      </c>
      <c r="X96" s="423" t="s">
        <v>367</v>
      </c>
      <c r="Y96" s="502" t="s">
        <v>417</v>
      </c>
      <c r="Z96" s="453" t="s">
        <v>263</v>
      </c>
      <c r="AA96" s="453" t="s">
        <v>422</v>
      </c>
      <c r="AB96" s="453" t="s">
        <v>423</v>
      </c>
      <c r="AX96" s="961"/>
      <c r="AY96" s="961"/>
      <c r="AZ96" s="961"/>
      <c r="BA96" s="961"/>
    </row>
    <row r="97" spans="1:50">
      <c r="A97" s="455" t="s">
        <v>349</v>
      </c>
      <c r="Q97" s="471"/>
      <c r="R97" s="453" t="s">
        <v>54</v>
      </c>
      <c r="S97" s="463">
        <f>INDEX($B$35:$M$43,MATCH($R$97,$B$35:$B$43,0),MATCH($P$95,$B$35:$M$35,0))*-1</f>
        <v>-1446.9</v>
      </c>
      <c r="T97" s="463">
        <f>INDEX($B$63:$M$71,MATCH($R$97,$B$63:$B$71,0),MATCH($P$95,$B$63:$M$63,0))*-1</f>
        <v>-1544.65</v>
      </c>
      <c r="U97" s="463">
        <f>INDEX($B$44:$M$52,MATCH($R$97,$B$44:$B$52,0),MATCH($P$95,$B$44:$M$44,0))</f>
        <v>888.86</v>
      </c>
      <c r="V97" s="463">
        <f>INDEX($B$72:$M$80,MATCH($R$97,$B$72:$B$80,0),MATCH($P$95,$B$72:$M$72,0))</f>
        <v>1023.65</v>
      </c>
      <c r="W97" s="463">
        <f>INDEX($B$53:$M$61,MATCH($R$97,$B$53:$B$61,0),MATCH($P$95,$B$53:$M$53,0))</f>
        <v>1321.63</v>
      </c>
      <c r="X97" s="463">
        <f>INDEX($B$81:$M$89,MATCH($R$97,$B$81:$B$89,0),MATCH($P$95,$B$81:$M$81,0))</f>
        <v>1427.69</v>
      </c>
      <c r="Y97" s="536">
        <f t="shared" ref="Y97:Y104" si="11">W97/X97</f>
        <v>0.92571216440543824</v>
      </c>
      <c r="Z97" s="463">
        <f>+X97</f>
        <v>1427.69</v>
      </c>
      <c r="AA97" s="536">
        <f t="shared" ref="AA97:AB104" si="12">+(U97/(S97*-1))</f>
        <v>0.61432027092404451</v>
      </c>
      <c r="AB97" s="536">
        <f t="shared" si="12"/>
        <v>0.66270676204965517</v>
      </c>
      <c r="AC97" s="453" t="str">
        <f t="shared" ref="AC97:AC104" si="13">+R97</f>
        <v>&lt; 18 anos</v>
      </c>
    </row>
    <row r="98" spans="1:50">
      <c r="A98" s="454" t="s">
        <v>182</v>
      </c>
      <c r="C98" s="423">
        <f>+'q17'!$C$4</f>
        <v>2014</v>
      </c>
      <c r="D98" s="423">
        <f>+'q17'!$D$4</f>
        <v>2015</v>
      </c>
      <c r="E98" s="423">
        <f>+'q17'!$E$4</f>
        <v>2016</v>
      </c>
      <c r="F98" s="423">
        <f>+'q17'!$F$4</f>
        <v>2017</v>
      </c>
      <c r="G98" s="423">
        <f>+'q17'!$G$4</f>
        <v>2018</v>
      </c>
      <c r="H98" s="423">
        <f>+'q17'!$H$4</f>
        <v>2019</v>
      </c>
      <c r="I98" s="423">
        <f>+'q17'!$I$4</f>
        <v>2020</v>
      </c>
      <c r="J98" s="423">
        <f>+'q17'!$J$4</f>
        <v>2021</v>
      </c>
      <c r="K98" s="423">
        <f>+'q17'!$K$4</f>
        <v>2022</v>
      </c>
      <c r="L98" s="423">
        <f>+'q17'!$L$4</f>
        <v>2023</v>
      </c>
      <c r="M98" s="423">
        <f>+'q17'!$M$4</f>
        <v>2024</v>
      </c>
      <c r="Q98" s="471"/>
      <c r="R98" s="453" t="s">
        <v>338</v>
      </c>
      <c r="S98" s="463">
        <f>INDEX($B$35:$M$43,MATCH($R$98,$B$35:$B$43,0),MATCH($P$95,$B$35:$M$35,0))*-1</f>
        <v>-1025.51</v>
      </c>
      <c r="T98" s="463">
        <f>INDEX($B$63:$M$71,MATCH($R$98,$B$63:$B$71,0),MATCH($P$95,$B$63:$M$63,0))*-1</f>
        <v>-1230.2</v>
      </c>
      <c r="U98" s="463">
        <f>INDEX($B$44:$M$52,MATCH($R$98,$B$44:$B$52,0),MATCH($P$95,$B$44:$M$44,0))</f>
        <v>956.09</v>
      </c>
      <c r="V98" s="463">
        <f>INDEX($B$72:$M$80,MATCH($R$98,$B$72:$B$80,0),MATCH($P$95,$B$72:$M$72,0))</f>
        <v>1137.02</v>
      </c>
      <c r="W98" s="463">
        <f>INDEX($B$53:$M$61,MATCH($R$98,$B$53:$B$61,0),MATCH($P$95,$B$53:$M$53,0))</f>
        <v>996.39</v>
      </c>
      <c r="X98" s="463">
        <f>INDEX($B$81:$M$89,MATCH($R$98,$B$81:$B$89,0),MATCH($P$95,$B$81:$M$81,0))</f>
        <v>1191.1199999999999</v>
      </c>
      <c r="Y98" s="536">
        <f t="shared" si="11"/>
        <v>0.83651521257304051</v>
      </c>
      <c r="Z98" s="463">
        <f t="shared" ref="Z98:Z104" si="14">+X98</f>
        <v>1191.1199999999999</v>
      </c>
      <c r="AA98" s="536">
        <f t="shared" si="12"/>
        <v>0.93230685220036869</v>
      </c>
      <c r="AB98" s="536">
        <f t="shared" si="12"/>
        <v>0.92425621850105666</v>
      </c>
      <c r="AC98" s="453" t="str">
        <f t="shared" si="13"/>
        <v>18 - 24 anos</v>
      </c>
      <c r="AM98" s="423"/>
    </row>
    <row r="99" spans="1:50">
      <c r="A99" s="454" t="s">
        <v>115</v>
      </c>
      <c r="B99" s="453" t="str">
        <f>+Aux!$B$107</f>
        <v>Quadros superiores</v>
      </c>
      <c r="C99" s="453">
        <f>+'q18'!$C$9</f>
        <v>107935</v>
      </c>
      <c r="D99" s="453">
        <f>+'q18'!$D$9</f>
        <v>110245</v>
      </c>
      <c r="E99" s="453">
        <f>+'q18'!$E$9</f>
        <v>112923</v>
      </c>
      <c r="F99" s="453">
        <f>+'q18'!$F$9</f>
        <v>116590</v>
      </c>
      <c r="G99" s="453">
        <f>+'q18'!$G$9</f>
        <v>122652</v>
      </c>
      <c r="H99" s="453">
        <f>+'q18'!$H$9</f>
        <v>129834</v>
      </c>
      <c r="I99" s="453">
        <f>+'q18'!$I$9</f>
        <v>136643</v>
      </c>
      <c r="J99" s="453">
        <f>+'q18'!$J$9</f>
        <v>142391</v>
      </c>
      <c r="K99" s="453">
        <f>+'q18'!$K$9</f>
        <v>154897</v>
      </c>
      <c r="L99" s="453">
        <f>+'q18'!$L$9</f>
        <v>162389</v>
      </c>
      <c r="M99" s="453">
        <f>+'q18'!$M$9</f>
        <v>171641</v>
      </c>
      <c r="Q99" s="471"/>
      <c r="R99" s="453" t="s">
        <v>339</v>
      </c>
      <c r="S99" s="463">
        <f>INDEX($B$35:$M$43,MATCH($R$99,$B$35:$B$43,0),MATCH($P$95,$B$35:$M$35,0))*-1</f>
        <v>-1250.965635030389</v>
      </c>
      <c r="T99" s="463">
        <f>INDEX($B$63:$M$71,MATCH($R$99,$B$63:$B$71,0),MATCH($P$95,$B$63:$M$63,0))*-1</f>
        <v>-1510.0488478925288</v>
      </c>
      <c r="U99" s="463">
        <f>INDEX($B$44:$M$52,MATCH($R$99,$B$44:$B$52,0),MATCH($P$95,$B$44:$M$44,0))</f>
        <v>1176.5559239708268</v>
      </c>
      <c r="V99" s="463">
        <f>INDEX($B$72:$M$80,MATCH($R$99,$B$72:$B$80,0),MATCH($P$95,$B$72:$M$72,0))</f>
        <v>1395.2639475107721</v>
      </c>
      <c r="W99" s="463">
        <f>INDEX($B$53:$M$61,MATCH($R$99,$B$53:$B$61,0),MATCH($P$95,$B$53:$M$53,0))</f>
        <v>1218.3837835621853</v>
      </c>
      <c r="X99" s="463">
        <f>INDEX($B$81:$M$89,MATCH($R$99,$B$81:$B$89,0),MATCH($P$95,$B$81:$M$81,0))</f>
        <v>1459.7882770853512</v>
      </c>
      <c r="Y99" s="536">
        <f t="shared" si="11"/>
        <v>0.83463047531443391</v>
      </c>
      <c r="Z99" s="463">
        <f t="shared" si="14"/>
        <v>1459.7882770853512</v>
      </c>
      <c r="AA99" s="536">
        <f t="shared" si="12"/>
        <v>0.94051818133456999</v>
      </c>
      <c r="AB99" s="536">
        <f t="shared" si="12"/>
        <v>0.92398596870428795</v>
      </c>
      <c r="AC99" s="453" t="str">
        <f t="shared" si="13"/>
        <v>25 - 34 anos</v>
      </c>
      <c r="AM99" s="423" t="str">
        <f>+IF(OR(P9=1,P9=3,P9=5,P9=6,P9=7,P9=8,P9=9),AX86,BC86)</f>
        <v>2024 - Continente:
Base: 82,7% do Ganho, entre 996 € (18 - 24 anos) e 1.414 €  (65 e + anos).
Ganho: Entre 1.191 € (18 - 24 anos) e 1.723 €  (45 - 54 anos).</v>
      </c>
      <c r="AN99" s="423"/>
      <c r="AO99" s="423"/>
      <c r="AP99" s="423"/>
      <c r="AQ99" s="423"/>
      <c r="AR99" s="423"/>
      <c r="AS99" s="423"/>
      <c r="AT99" s="423"/>
      <c r="AU99" s="423"/>
      <c r="AV99" s="423"/>
      <c r="AW99" s="423"/>
      <c r="AX99" s="423"/>
    </row>
    <row r="100" spans="1:50">
      <c r="B100" s="453" t="str">
        <f>+Aux!$B$108</f>
        <v>Quadros médios</v>
      </c>
      <c r="C100" s="453">
        <f>+'q18'!$C$12</f>
        <v>72941</v>
      </c>
      <c r="D100" s="453">
        <f>+'q18'!$D$12</f>
        <v>74247</v>
      </c>
      <c r="E100" s="453">
        <f>+'q18'!$E$12</f>
        <v>76819</v>
      </c>
      <c r="F100" s="453">
        <f>+'q18'!$F$12</f>
        <v>81167</v>
      </c>
      <c r="G100" s="453">
        <f>+'q18'!$G$12</f>
        <v>84803</v>
      </c>
      <c r="H100" s="453">
        <f>+'q18'!$H$12</f>
        <v>83836</v>
      </c>
      <c r="I100" s="453">
        <f>+'q18'!$I$12</f>
        <v>87718</v>
      </c>
      <c r="J100" s="453">
        <f>+'q18'!$J$12</f>
        <v>89330</v>
      </c>
      <c r="K100" s="453">
        <f>+'q18'!$K$12</f>
        <v>97684</v>
      </c>
      <c r="L100" s="453">
        <f>+'q18'!$L$12</f>
        <v>100757</v>
      </c>
      <c r="M100" s="453">
        <f>+'q18'!$M$12</f>
        <v>101765</v>
      </c>
      <c r="Q100" s="471"/>
      <c r="R100" s="453" t="s">
        <v>340</v>
      </c>
      <c r="S100" s="463">
        <f>INDEX($B$35:$M$43,MATCH($R$100,$B$35:$B$43,0),MATCH($P$95,$B$35:$M$35,0))*-1</f>
        <v>-1434.8524908108961</v>
      </c>
      <c r="T100" s="463">
        <f>INDEX($B$63:$M$71,MATCH($R$100,$B$63:$B$71,0),MATCH($P$95,$B$63:$M$63,0))*-1</f>
        <v>-1756.2152658357013</v>
      </c>
      <c r="U100" s="463">
        <f>INDEX($B$44:$M$52,MATCH($R$100,$B$44:$B$52,0),MATCH($P$95,$B$44:$M$44,0))</f>
        <v>1270.4699891197349</v>
      </c>
      <c r="V100" s="463">
        <f>INDEX($B$72:$M$80,MATCH($R$100,$B$72:$B$80,0),MATCH($P$95,$B$72:$M$72,0))</f>
        <v>1509.7697170094814</v>
      </c>
      <c r="W100" s="463">
        <f>INDEX($B$53:$M$61,MATCH($R$100,$B$53:$B$61,0),MATCH($P$95,$B$53:$M$53,0))</f>
        <v>1360.9851196135858</v>
      </c>
      <c r="X100" s="463">
        <f>INDEX($B$81:$M$89,MATCH($R$100,$B$81:$B$89,0),MATCH($P$95,$B$81:$M$81,0))</f>
        <v>1645.469162122856</v>
      </c>
      <c r="Y100" s="536">
        <f t="shared" si="11"/>
        <v>0.82711068122221687</v>
      </c>
      <c r="Z100" s="463">
        <f t="shared" si="14"/>
        <v>1645.469162122856</v>
      </c>
      <c r="AA100" s="536">
        <f t="shared" si="12"/>
        <v>0.88543595753298532</v>
      </c>
      <c r="AB100" s="536">
        <f t="shared" si="12"/>
        <v>0.85967235701658251</v>
      </c>
      <c r="AC100" s="453" t="str">
        <f t="shared" si="13"/>
        <v>35 - 44 anos</v>
      </c>
      <c r="AM100" s="423"/>
      <c r="AN100" s="458"/>
      <c r="AO100" s="458"/>
      <c r="AP100" s="458"/>
      <c r="AQ100" s="458"/>
      <c r="AR100" s="458"/>
      <c r="AS100" s="458"/>
      <c r="AT100" s="458"/>
      <c r="AU100" s="458"/>
      <c r="AV100" s="458"/>
      <c r="AW100" s="458"/>
      <c r="AX100" s="458"/>
    </row>
    <row r="101" spans="1:50">
      <c r="B101" s="453" t="str">
        <f>+Aux!$B$109</f>
        <v>Encarregados, contramestres e chefes de equipa</v>
      </c>
      <c r="C101" s="453">
        <f>+'q18'!$C$15</f>
        <v>77240</v>
      </c>
      <c r="D101" s="453">
        <f>+'q18'!$D$15</f>
        <v>77620</v>
      </c>
      <c r="E101" s="453">
        <f>+'q18'!$E$15</f>
        <v>80653</v>
      </c>
      <c r="F101" s="453">
        <f>+'q18'!$F$15</f>
        <v>83817</v>
      </c>
      <c r="G101" s="453">
        <f>+'q18'!$G$15</f>
        <v>87877</v>
      </c>
      <c r="H101" s="453">
        <f>+'q18'!$H$15</f>
        <v>85329</v>
      </c>
      <c r="I101" s="453">
        <f>+'q18'!$I$15</f>
        <v>83980</v>
      </c>
      <c r="J101" s="453">
        <f>+'q18'!$J$15</f>
        <v>86890</v>
      </c>
      <c r="K101" s="453">
        <f>+'q18'!$K$15</f>
        <v>94376</v>
      </c>
      <c r="L101" s="453">
        <f>+'q18'!$L$15</f>
        <v>101143</v>
      </c>
      <c r="M101" s="453">
        <f>+'q18'!$M$15</f>
        <v>96673</v>
      </c>
      <c r="Q101" s="471"/>
      <c r="R101" s="453" t="s">
        <v>341</v>
      </c>
      <c r="S101" s="463">
        <f>INDEX($B$35:$M$43,MATCH($R$101,$B$35:$B$43,0),MATCH($P$95,$B$35:$M$35,0))*-1</f>
        <v>-1520.8383123051801</v>
      </c>
      <c r="T101" s="463">
        <f>INDEX($B$63:$M$71,MATCH($R$101,$B$63:$B$71,0),MATCH($P$95,$B$63:$M$63,0))*-1</f>
        <v>-1884.0243925337686</v>
      </c>
      <c r="U101" s="463">
        <f>INDEX($B$44:$M$52,MATCH($R$101,$B$44:$B$52,0),MATCH($P$95,$B$44:$M$44,0))</f>
        <v>1288.1139574240785</v>
      </c>
      <c r="V101" s="463">
        <f>INDEX($B$72:$M$80,MATCH($R$101,$B$72:$B$80,0),MATCH($P$95,$B$72:$M$72,0))</f>
        <v>1538.3108694972445</v>
      </c>
      <c r="W101" s="463">
        <f>INDEX($B$53:$M$61,MATCH($R$101,$B$53:$B$61,0),MATCH($P$95,$B$53:$M$53,0))</f>
        <v>1412.1448217241295</v>
      </c>
      <c r="X101" s="463">
        <f>INDEX($B$81:$M$89,MATCH($R$101,$B$81:$B$89,0),MATCH($P$95,$B$81:$M$81,0))</f>
        <v>1722.5511225340456</v>
      </c>
      <c r="Y101" s="536">
        <f t="shared" si="11"/>
        <v>0.819798497269981</v>
      </c>
      <c r="Z101" s="463">
        <f t="shared" si="14"/>
        <v>1722.5511225340456</v>
      </c>
      <c r="AA101" s="536">
        <f t="shared" si="12"/>
        <v>0.84697626762942713</v>
      </c>
      <c r="AB101" s="536">
        <f t="shared" si="12"/>
        <v>0.81650262894336301</v>
      </c>
      <c r="AC101" s="453" t="str">
        <f t="shared" si="13"/>
        <v>45 - 54 anos</v>
      </c>
      <c r="AM101" s="423"/>
      <c r="AN101" s="458"/>
      <c r="AO101" s="458"/>
      <c r="AP101" s="458"/>
      <c r="AQ101" s="458"/>
      <c r="AR101" s="458"/>
      <c r="AS101" s="458"/>
      <c r="AT101" s="458"/>
      <c r="AU101" s="458"/>
      <c r="AV101" s="458"/>
      <c r="AW101" s="458"/>
      <c r="AX101" s="458"/>
    </row>
    <row r="102" spans="1:50">
      <c r="B102" s="453" t="str">
        <f>+Aux!$B$110</f>
        <v>Profissionais altamente qualificados</v>
      </c>
      <c r="C102" s="453">
        <f>+'q18'!$C$18</f>
        <v>91459</v>
      </c>
      <c r="D102" s="453">
        <f>+'q18'!$D$18</f>
        <v>93730</v>
      </c>
      <c r="E102" s="453">
        <f>+'q18'!$E$18</f>
        <v>99603</v>
      </c>
      <c r="F102" s="453">
        <f>+'q18'!$F$18</f>
        <v>106415</v>
      </c>
      <c r="G102" s="453">
        <f>+'q18'!$G$18</f>
        <v>110781</v>
      </c>
      <c r="H102" s="453">
        <f>+'q18'!$H$18</f>
        <v>121613</v>
      </c>
      <c r="I102" s="453">
        <f>+'q18'!$I$18</f>
        <v>125955</v>
      </c>
      <c r="J102" s="453">
        <f>+'q18'!$J$18</f>
        <v>129812</v>
      </c>
      <c r="K102" s="453">
        <f>+'q18'!$K$18</f>
        <v>141741</v>
      </c>
      <c r="L102" s="453">
        <f>+'q18'!$L$18</f>
        <v>149227</v>
      </c>
      <c r="M102" s="453">
        <f>+'q18'!$M$18</f>
        <v>158519</v>
      </c>
      <c r="Q102" s="471"/>
      <c r="R102" s="453" t="s">
        <v>342</v>
      </c>
      <c r="S102" s="463">
        <f>INDEX($B$35:$M$43,MATCH($R$102,$B$35:$B$43,0),MATCH($P$95,$B$35:$M$35,0))*-1</f>
        <v>-1434.3463126994259</v>
      </c>
      <c r="T102" s="463">
        <f>INDEX($B$63:$M$71,MATCH($R$102,$B$63:$B$71,0),MATCH($P$95,$B$63:$M$63,0))*-1</f>
        <v>-1776.1291780472241</v>
      </c>
      <c r="U102" s="463">
        <f>INDEX($B$44:$M$52,MATCH($R$102,$B$44:$B$52,0),MATCH($P$95,$B$44:$M$44,0))</f>
        <v>1167.6433434357841</v>
      </c>
      <c r="V102" s="463">
        <f>INDEX($B$72:$M$80,MATCH($R$102,$B$72:$B$80,0),MATCH($P$95,$B$72:$M$72,0))</f>
        <v>1379.1083256079298</v>
      </c>
      <c r="W102" s="463">
        <f>INDEX($B$53:$M$61,MATCH($R$102,$B$53:$B$61,0),MATCH($P$95,$B$53:$M$53,0))</f>
        <v>1316.1852411793977</v>
      </c>
      <c r="X102" s="463">
        <f>INDEX($B$81:$M$89,MATCH($R$102,$B$81:$B$89,0),MATCH($P$95,$B$81:$M$81,0))</f>
        <v>1600.2360382917216</v>
      </c>
      <c r="Y102" s="536">
        <f t="shared" si="11"/>
        <v>0.82249443812329537</v>
      </c>
      <c r="Z102" s="463">
        <f t="shared" si="14"/>
        <v>1600.2360382917216</v>
      </c>
      <c r="AA102" s="536">
        <f t="shared" si="12"/>
        <v>0.81405957061951839</v>
      </c>
      <c r="AB102" s="536">
        <f t="shared" si="12"/>
        <v>0.77646848137712532</v>
      </c>
      <c r="AC102" s="453" t="str">
        <f t="shared" si="13"/>
        <v>55 - 64 anos</v>
      </c>
      <c r="AM102" s="423"/>
      <c r="AN102" s="458"/>
      <c r="AO102" s="458"/>
      <c r="AP102" s="458"/>
      <c r="AQ102" s="458"/>
      <c r="AR102" s="458"/>
      <c r="AS102" s="458"/>
      <c r="AT102" s="458"/>
      <c r="AU102" s="458"/>
      <c r="AV102" s="458"/>
      <c r="AW102" s="458"/>
      <c r="AX102" s="458"/>
    </row>
    <row r="103" spans="1:50">
      <c r="B103" s="453" t="str">
        <f>+Aux!$B$111</f>
        <v>Profissionais qualificados</v>
      </c>
      <c r="C103" s="453">
        <f>+'q18'!$C$21</f>
        <v>541440</v>
      </c>
      <c r="D103" s="453">
        <f>+'q18'!$D$21</f>
        <v>558904</v>
      </c>
      <c r="E103" s="453">
        <f>+'q18'!$E$21</f>
        <v>577377</v>
      </c>
      <c r="F103" s="453">
        <f>+'q18'!$F$21</f>
        <v>623424</v>
      </c>
      <c r="G103" s="453">
        <f>+'q18'!$G$21</f>
        <v>656464</v>
      </c>
      <c r="H103" s="453">
        <f>+'q18'!$H$21</f>
        <v>631996</v>
      </c>
      <c r="I103" s="453">
        <f>+'q18'!$I$21</f>
        <v>627429</v>
      </c>
      <c r="J103" s="453">
        <f>+'q18'!$J$21</f>
        <v>617966</v>
      </c>
      <c r="K103" s="453">
        <f>+'q18'!$K$21</f>
        <v>660462</v>
      </c>
      <c r="L103" s="453">
        <f>+'q18'!$L$21</f>
        <v>686194</v>
      </c>
      <c r="M103" s="453">
        <f>+'q18'!$M$21</f>
        <v>696010</v>
      </c>
      <c r="Q103" s="471"/>
      <c r="R103" s="453" t="s">
        <v>64</v>
      </c>
      <c r="S103" s="463">
        <f>INDEX($B$35:$M$43,MATCH($R$103,$B$35:$B$43,0),MATCH($P$95,$B$35:$M$35,0))*-1</f>
        <v>-1519.75</v>
      </c>
      <c r="T103" s="463">
        <f>INDEX($B$63:$M$71,MATCH($R$103,$B$63:$B$71,0),MATCH($P$95,$B$63:$M$63,0))*-1</f>
        <v>-1785.68</v>
      </c>
      <c r="U103" s="463">
        <f>INDEX($B$44:$M$52,MATCH($R$103,$B$44:$B$52,0),MATCH($P$95,$B$44:$M$44,0))</f>
        <v>1234.77</v>
      </c>
      <c r="V103" s="463">
        <f>INDEX($B$72:$M$80,MATCH($R$103,$B$72:$B$80,0),MATCH($P$95,$B$72:$M$72,0))</f>
        <v>1424.15</v>
      </c>
      <c r="W103" s="463">
        <f>INDEX($B$53:$M$61,MATCH($R$103,$B$53:$B$61,0),MATCH($P$95,$B$53:$M$53,0))</f>
        <v>1413.77</v>
      </c>
      <c r="X103" s="463">
        <f>INDEX($B$81:$M$89,MATCH($R$103,$B$81:$B$89,0),MATCH($P$95,$B$81:$M$81,0))</f>
        <v>1651.23</v>
      </c>
      <c r="Y103" s="536">
        <f t="shared" si="11"/>
        <v>0.8561920507742713</v>
      </c>
      <c r="Z103" s="463">
        <f t="shared" si="14"/>
        <v>1651.23</v>
      </c>
      <c r="AA103" s="536">
        <f t="shared" si="12"/>
        <v>0.81248231617042277</v>
      </c>
      <c r="AB103" s="536">
        <f t="shared" si="12"/>
        <v>0.79753931275480494</v>
      </c>
      <c r="AC103" s="453" t="str">
        <f t="shared" si="13"/>
        <v>65 e + anos</v>
      </c>
      <c r="AM103" s="423"/>
      <c r="AN103" s="458"/>
      <c r="AO103" s="458"/>
      <c r="AP103" s="458"/>
      <c r="AQ103" s="458"/>
      <c r="AR103" s="458"/>
      <c r="AS103" s="458"/>
      <c r="AT103" s="458"/>
      <c r="AU103" s="458"/>
      <c r="AV103" s="458"/>
      <c r="AW103" s="458"/>
      <c r="AX103" s="458"/>
    </row>
    <row r="104" spans="1:50">
      <c r="B104" s="453" t="str">
        <f>+Aux!$B$112</f>
        <v>Profissionais semi-qualificados</v>
      </c>
      <c r="C104" s="453">
        <f>+'q18'!$C$24</f>
        <v>233306</v>
      </c>
      <c r="D104" s="453">
        <f>+'q18'!$D$24</f>
        <v>237914</v>
      </c>
      <c r="E104" s="453">
        <f>+'q18'!$E$24</f>
        <v>254447</v>
      </c>
      <c r="F104" s="453">
        <f>+'q18'!$F$24</f>
        <v>248727</v>
      </c>
      <c r="G104" s="453">
        <f>+'q18'!$G$24</f>
        <v>255362</v>
      </c>
      <c r="H104" s="453">
        <f>+'q18'!$H$24</f>
        <v>257099</v>
      </c>
      <c r="I104" s="453">
        <f>+'q18'!$I$24</f>
        <v>251110</v>
      </c>
      <c r="J104" s="453">
        <f>+'q18'!$J$24</f>
        <v>240263</v>
      </c>
      <c r="K104" s="453">
        <f>+'q18'!$K$24</f>
        <v>260895</v>
      </c>
      <c r="L104" s="453">
        <f>+'q18'!$L$24</f>
        <v>289714</v>
      </c>
      <c r="M104" s="453">
        <f>+'q18'!$M$24</f>
        <v>300507</v>
      </c>
      <c r="Q104" s="471"/>
      <c r="R104" s="453" t="s">
        <v>11</v>
      </c>
      <c r="S104" s="463">
        <f>INDEX($B$35:$M$43,MATCH($R$104,$B$35:$B$43,0),MATCH($P$95,$B$35:$M$35,0))*-1</f>
        <v>-1383.38</v>
      </c>
      <c r="T104" s="463">
        <f>INDEX($B$63:$M$71,MATCH($R$104,$B$63:$B$71,0),MATCH($P$95,$B$63:$M$63,0))*-1</f>
        <v>-1693.55</v>
      </c>
      <c r="U104" s="463">
        <f>INDEX($B$44:$M$52,MATCH($R$104,$B$44:$B$52,0),MATCH($P$95,$B$44:$M$44,0))</f>
        <v>1216.8499999999999</v>
      </c>
      <c r="V104" s="463">
        <f>INDEX($B$72:$M$80,MATCH($R$104,$B$72:$B$80,0),MATCH($P$95,$B$72:$M$72,0))</f>
        <v>1445.59</v>
      </c>
      <c r="W104" s="463">
        <f>INDEX($B$53:$M$61,MATCH($R$104,$B$53:$B$61,0),MATCH($P$95,$B$53:$M$53,0))</f>
        <v>1308.96</v>
      </c>
      <c r="X104" s="463">
        <f>INDEX($B$81:$M$89,MATCH($R$104,$B$81:$B$89,0),MATCH($P$95,$B$81:$M$81,0))</f>
        <v>1582.75</v>
      </c>
      <c r="Y104" s="536">
        <f t="shared" si="11"/>
        <v>0.82701626915179283</v>
      </c>
      <c r="Z104" s="463">
        <f t="shared" si="14"/>
        <v>1582.75</v>
      </c>
      <c r="AA104" s="536">
        <f t="shared" si="12"/>
        <v>0.87962092845060635</v>
      </c>
      <c r="AB104" s="536">
        <f t="shared" si="12"/>
        <v>0.85358566325174923</v>
      </c>
      <c r="AC104" s="453" t="str">
        <f t="shared" si="13"/>
        <v>Total</v>
      </c>
      <c r="AM104" s="423"/>
      <c r="AN104" s="458"/>
      <c r="AO104" s="458"/>
      <c r="AP104" s="458"/>
      <c r="AQ104" s="458"/>
      <c r="AR104" s="458"/>
      <c r="AS104" s="458"/>
      <c r="AT104" s="458"/>
      <c r="AU104" s="458"/>
      <c r="AV104" s="458"/>
      <c r="AW104" s="458"/>
      <c r="AX104" s="458"/>
    </row>
    <row r="105" spans="1:50">
      <c r="B105" s="453" t="str">
        <f>+Aux!$B$113</f>
        <v>Profissionais não qualificados</v>
      </c>
      <c r="C105" s="453">
        <f>+'q18'!$C$27</f>
        <v>117350</v>
      </c>
      <c r="D105" s="453">
        <f>+'q18'!$D$27</f>
        <v>120466</v>
      </c>
      <c r="E105" s="453">
        <f>+'q18'!$E$27</f>
        <v>127061</v>
      </c>
      <c r="F105" s="453">
        <f>+'q18'!$F$27</f>
        <v>136792</v>
      </c>
      <c r="G105" s="453">
        <f>+'q18'!$G$27</f>
        <v>139286</v>
      </c>
      <c r="H105" s="453">
        <f>+'q18'!$H$27</f>
        <v>175214</v>
      </c>
      <c r="I105" s="453">
        <f>+'q18'!$I$27</f>
        <v>175948</v>
      </c>
      <c r="J105" s="453">
        <f>+'q18'!$J$27</f>
        <v>183201</v>
      </c>
      <c r="K105" s="453">
        <f>+'q18'!$K$27</f>
        <v>202071</v>
      </c>
      <c r="L105" s="453">
        <f>+'q18'!$L$27</f>
        <v>210562</v>
      </c>
      <c r="M105" s="453">
        <f>+'q18'!$M$27</f>
        <v>215398</v>
      </c>
      <c r="Q105" s="471"/>
      <c r="S105" s="463"/>
      <c r="U105" s="483">
        <f>+U104/S104*(-1)*100</f>
        <v>87.962092845060639</v>
      </c>
      <c r="V105" s="483">
        <f>+V104/T104*(-1)*100</f>
        <v>85.35856632517492</v>
      </c>
      <c r="AM105" s="423"/>
      <c r="AN105" s="458"/>
      <c r="AO105" s="458"/>
      <c r="AP105" s="458"/>
      <c r="AQ105" s="458"/>
      <c r="AR105" s="458"/>
      <c r="AS105" s="458"/>
      <c r="AT105" s="458"/>
      <c r="AU105" s="458"/>
      <c r="AV105" s="458"/>
      <c r="AW105" s="458"/>
      <c r="AX105" s="458"/>
    </row>
    <row r="106" spans="1:50">
      <c r="B106" s="453" t="str">
        <f>+Aux!$B$114</f>
        <v>Praticantes e aprendizes</v>
      </c>
      <c r="C106" s="453">
        <f>+'q18'!$C$30</f>
        <v>37250</v>
      </c>
      <c r="D106" s="453">
        <f>+'q18'!$D$30</f>
        <v>38595</v>
      </c>
      <c r="E106" s="453">
        <f>+'q18'!$E$30</f>
        <v>38822</v>
      </c>
      <c r="F106" s="453">
        <f>+'q18'!$F$30</f>
        <v>40797</v>
      </c>
      <c r="G106" s="453">
        <f>+'q18'!$G$30</f>
        <v>42768</v>
      </c>
      <c r="H106" s="453">
        <f>+'q18'!$H$30</f>
        <v>44355</v>
      </c>
      <c r="I106" s="453">
        <f>+'q18'!$I$30</f>
        <v>37514</v>
      </c>
      <c r="J106" s="453">
        <f>+'q18'!$J$30</f>
        <v>40387</v>
      </c>
      <c r="K106" s="453">
        <f>+'q18'!$K$30</f>
        <v>41791</v>
      </c>
      <c r="L106" s="453">
        <f>+'q18'!$L$30</f>
        <v>43325</v>
      </c>
      <c r="M106" s="453">
        <f>+'q18'!$M$30</f>
        <v>43199</v>
      </c>
      <c r="R106" s="453" t="s">
        <v>11</v>
      </c>
      <c r="S106" s="453" t="s">
        <v>54</v>
      </c>
      <c r="T106" s="453" t="s">
        <v>338</v>
      </c>
      <c r="U106" s="453" t="s">
        <v>339</v>
      </c>
      <c r="V106" s="453" t="s">
        <v>340</v>
      </c>
      <c r="W106" s="453" t="s">
        <v>341</v>
      </c>
      <c r="X106" s="453" t="s">
        <v>342</v>
      </c>
      <c r="Y106" s="453" t="s">
        <v>64</v>
      </c>
      <c r="AA106" s="453" t="s">
        <v>271</v>
      </c>
      <c r="AC106" s="453" t="s">
        <v>270</v>
      </c>
      <c r="AM106" s="423"/>
      <c r="AN106" s="458"/>
      <c r="AO106" s="458"/>
      <c r="AP106" s="458"/>
      <c r="AQ106" s="458"/>
      <c r="AR106" s="458"/>
      <c r="AS106" s="458"/>
      <c r="AT106" s="458"/>
      <c r="AU106" s="458"/>
      <c r="AV106" s="458"/>
      <c r="AW106" s="458"/>
      <c r="AX106" s="458"/>
    </row>
    <row r="107" spans="1:50">
      <c r="B107" s="453" t="str">
        <f>+Aux!$B$115</f>
        <v>Total</v>
      </c>
      <c r="C107" s="453">
        <f>+'q18'!$C$6</f>
        <v>1278921</v>
      </c>
      <c r="D107" s="453">
        <f>+'q18'!$D$6</f>
        <v>1311721</v>
      </c>
      <c r="E107" s="453">
        <f>+'q18'!$E$6</f>
        <v>1367705</v>
      </c>
      <c r="F107" s="453">
        <f>+'q18'!$F$6</f>
        <v>1437729</v>
      </c>
      <c r="G107" s="453">
        <f>+'q18'!$G$6</f>
        <v>1499993</v>
      </c>
      <c r="H107" s="453">
        <f>+'q18'!$H$6</f>
        <v>1529276</v>
      </c>
      <c r="I107" s="453">
        <f>+'q18'!$I$6</f>
        <v>1526297</v>
      </c>
      <c r="J107" s="453">
        <f>+'q18'!$J$6</f>
        <v>1530240</v>
      </c>
      <c r="K107" s="453">
        <f>+'q18'!$K$6</f>
        <v>1653917</v>
      </c>
      <c r="L107" s="453">
        <f>+'q18'!$L$6</f>
        <v>1743311</v>
      </c>
      <c r="M107" s="453">
        <f>+'q18'!$M$6</f>
        <v>1783712</v>
      </c>
      <c r="Q107" s="423" t="s">
        <v>370</v>
      </c>
      <c r="R107" s="463">
        <f>INDEX($B$53:$M$61,MATCH($R$104,$B$53:$B$61,0),MATCH($P$95,$B$53:$M$53,0))</f>
        <v>1308.96</v>
      </c>
      <c r="S107" s="463">
        <f>INDEX($B$53:$M$61,MATCH($R$97,$B$53:$B$61,0),MATCH($P$95,$B$53:$M$53,0))</f>
        <v>1321.63</v>
      </c>
      <c r="T107" s="463">
        <f>INDEX($B$53:$M$61,MATCH($R$98,$B$53:$B$61,0),MATCH($P$95,$B$53:$M$53,0))</f>
        <v>996.39</v>
      </c>
      <c r="U107" s="463">
        <f>INDEX($B$53:$M$61,MATCH($R$99,$B$53:$B$61,0),MATCH($P$95,$B$53:$M$53,0))</f>
        <v>1218.3837835621853</v>
      </c>
      <c r="V107" s="463">
        <f>INDEX($B$53:$M$61,MATCH($R$100,$B$53:$B$61,0),MATCH($P$95,$B$53:$M$53,0))</f>
        <v>1360.9851196135858</v>
      </c>
      <c r="W107" s="463">
        <f>INDEX($B$53:$M$61,MATCH($R$101,$B$53:$B$61,0),MATCH($P$95,$B$53:$M$53,0))</f>
        <v>1412.1448217241295</v>
      </c>
      <c r="X107" s="463">
        <f>INDEX($B$53:$M$61,MATCH($R$102,$B$53:$B$61,0),MATCH($P$95,$B$53:$M$53,0))</f>
        <v>1316.1852411793977</v>
      </c>
      <c r="Y107" s="463">
        <f>INDEX($B$53:$M$61,MATCH($R$103,$B$53:$B$61,0),MATCH($P$95,$B$53:$M$53,0))</f>
        <v>1413.77</v>
      </c>
      <c r="AA107" s="453">
        <f>+SMALL(S107:Y107,1)</f>
        <v>996.39</v>
      </c>
      <c r="AB107" s="453" t="str">
        <f>+HLOOKUP(AA107,$S$107:$Y$109,3,0)</f>
        <v>18 - 24 anos</v>
      </c>
      <c r="AC107" s="453">
        <f>+LARGE(S107:Y107,1)</f>
        <v>1413.77</v>
      </c>
      <c r="AD107" s="453" t="str">
        <f>+HLOOKUP(AC107,$S$107:$Y$109,3,0)</f>
        <v>65 e + anos</v>
      </c>
      <c r="AM107" s="423"/>
    </row>
    <row r="108" spans="1:50">
      <c r="Q108" s="423" t="s">
        <v>263</v>
      </c>
      <c r="R108" s="463">
        <f>INDEX($B$81:$M$89,MATCH($R$104,$B$81:$B$89,0),MATCH($P$95,$B$81:$M$81,0))</f>
        <v>1582.75</v>
      </c>
      <c r="S108" s="463">
        <f>INDEX($B$81:$M$89,MATCH($R$97,$B$81:$B$89,0),MATCH($P$95,$B$81:$M$81,0))</f>
        <v>1427.69</v>
      </c>
      <c r="T108" s="463">
        <f>INDEX($B$81:$M$89,MATCH($R$98,$B$81:$B$89,0),MATCH($P$95,$B$81:$M$81,0))</f>
        <v>1191.1199999999999</v>
      </c>
      <c r="U108" s="463">
        <f>INDEX($B$81:$M$89,MATCH($R$99,$B$81:$B$89,0),MATCH($P$95,$B$81:$M$81,0))</f>
        <v>1459.7882770853512</v>
      </c>
      <c r="V108" s="463">
        <f>INDEX($B$81:$M$89,MATCH($R$100,$B$81:$B$89,0),MATCH($P$95,$B$81:$M$81,0))</f>
        <v>1645.469162122856</v>
      </c>
      <c r="W108" s="463">
        <f>INDEX($B$81:$M$89,MATCH($R$101,$B$81:$B$89,0),MATCH($P$95,$B$81:$M$81,0))</f>
        <v>1722.5511225340456</v>
      </c>
      <c r="X108" s="463">
        <f>INDEX($B$81:$M$89,MATCH($R$102,$B$81:$B$89,0),MATCH($P$95,$B$81:$M$81,0))</f>
        <v>1600.2360382917216</v>
      </c>
      <c r="Y108" s="463">
        <f>INDEX($B$81:$M$89,MATCH($R$103,$B$81:$B$89,0),MATCH($P$95,$B$81:$M$81,0))</f>
        <v>1651.23</v>
      </c>
      <c r="AA108" s="453">
        <f>+SMALL(S108:Y108,1)</f>
        <v>1191.1199999999999</v>
      </c>
      <c r="AB108" s="453" t="str">
        <f>+HLOOKUP(AA108,$S$108:$Y$109,2,0)</f>
        <v>18 - 24 anos</v>
      </c>
      <c r="AC108" s="458">
        <f>+LARGE(S108:Y108,1)</f>
        <v>1722.5511225340456</v>
      </c>
      <c r="AD108" s="453" t="str">
        <f>+HLOOKUP(AC108,$S$108:$Y$109,2,0)</f>
        <v>45 - 54 anos</v>
      </c>
      <c r="AM108" s="423"/>
    </row>
    <row r="109" spans="1:50">
      <c r="C109" s="423">
        <f>+'q17'!$C$4</f>
        <v>2014</v>
      </c>
      <c r="D109" s="423">
        <f>+'q17'!$D$4</f>
        <v>2015</v>
      </c>
      <c r="E109" s="423">
        <f>+'q17'!$E$4</f>
        <v>2016</v>
      </c>
      <c r="F109" s="423">
        <f>+'q17'!$F$4</f>
        <v>2017</v>
      </c>
      <c r="G109" s="423">
        <f>+'q17'!$G$4</f>
        <v>2018</v>
      </c>
      <c r="H109" s="423">
        <f>+'q17'!$H$4</f>
        <v>2019</v>
      </c>
      <c r="I109" s="423">
        <f>+'q17'!$I$4</f>
        <v>2020</v>
      </c>
      <c r="J109" s="423">
        <f>+'q17'!$J$4</f>
        <v>2021</v>
      </c>
      <c r="K109" s="423">
        <f>+'q17'!$K$4</f>
        <v>2022</v>
      </c>
      <c r="L109" s="423">
        <f>+'q17'!$L$4</f>
        <v>2023</v>
      </c>
      <c r="M109" s="423">
        <f>+'q17'!$M$4</f>
        <v>2024</v>
      </c>
      <c r="Q109" s="471"/>
      <c r="R109" s="463"/>
      <c r="S109" s="463" t="str">
        <f>+S106</f>
        <v>&lt; 18 anos</v>
      </c>
      <c r="T109" s="463" t="str">
        <f t="shared" ref="T109:Y109" si="15">+T106</f>
        <v>18 - 24 anos</v>
      </c>
      <c r="U109" s="463" t="str">
        <f t="shared" si="15"/>
        <v>25 - 34 anos</v>
      </c>
      <c r="V109" s="463" t="str">
        <f t="shared" si="15"/>
        <v>35 - 44 anos</v>
      </c>
      <c r="W109" s="463" t="str">
        <f t="shared" si="15"/>
        <v>45 - 54 anos</v>
      </c>
      <c r="X109" s="463" t="str">
        <f t="shared" si="15"/>
        <v>55 - 64 anos</v>
      </c>
      <c r="Y109" s="463" t="str">
        <f t="shared" si="15"/>
        <v>65 e + anos</v>
      </c>
      <c r="AM109" s="423"/>
      <c r="AN109" s="423"/>
      <c r="AO109" s="423"/>
      <c r="AP109" s="423"/>
      <c r="AQ109" s="423"/>
      <c r="AR109" s="423"/>
      <c r="AS109" s="423"/>
      <c r="AT109" s="423"/>
      <c r="AU109" s="423"/>
      <c r="AV109" s="423"/>
      <c r="AW109" s="423"/>
      <c r="AX109" s="423"/>
    </row>
    <row r="110" spans="1:50">
      <c r="A110" s="454" t="s">
        <v>116</v>
      </c>
      <c r="B110" s="453" t="str">
        <f>+Aux!$B$107</f>
        <v>Quadros superiores</v>
      </c>
      <c r="C110" s="453">
        <f>+'q18'!$C$10</f>
        <v>90293</v>
      </c>
      <c r="D110" s="453">
        <f>+'q18'!$D$10</f>
        <v>94721</v>
      </c>
      <c r="E110" s="453">
        <f>+'q18'!$E$10</f>
        <v>99374</v>
      </c>
      <c r="F110" s="453">
        <f>+'q18'!$F$10</f>
        <v>103531</v>
      </c>
      <c r="G110" s="453">
        <f>+'q18'!$G$10</f>
        <v>110528</v>
      </c>
      <c r="H110" s="453">
        <f>+'q18'!$H$10</f>
        <v>118071</v>
      </c>
      <c r="I110" s="453">
        <f>+'q18'!$I$10</f>
        <v>125514</v>
      </c>
      <c r="J110" s="453">
        <f>+'q18'!$J$10</f>
        <v>132879</v>
      </c>
      <c r="K110" s="453">
        <f>+'q18'!$K$10</f>
        <v>142625</v>
      </c>
      <c r="L110" s="453">
        <f>+'q18'!$L$10</f>
        <v>152799</v>
      </c>
      <c r="M110" s="453">
        <f>+'q18'!$M$10</f>
        <v>161670</v>
      </c>
      <c r="Q110" s="471"/>
      <c r="R110" s="463"/>
      <c r="S110" s="463"/>
      <c r="T110" s="463"/>
      <c r="U110" s="463"/>
      <c r="V110" s="463"/>
      <c r="W110" s="463"/>
      <c r="X110" s="463"/>
      <c r="Y110" s="463"/>
      <c r="AB110" s="454" t="b">
        <f>+EXACT(AB107,AB108)</f>
        <v>1</v>
      </c>
      <c r="AD110" s="454" t="b">
        <f>+EXACT(AD107,AD108)</f>
        <v>0</v>
      </c>
      <c r="AM110" s="423"/>
      <c r="AN110" s="458"/>
      <c r="AO110" s="458"/>
      <c r="AP110" s="458"/>
      <c r="AQ110" s="458"/>
      <c r="AR110" s="458"/>
      <c r="AS110" s="458"/>
      <c r="AT110" s="458"/>
      <c r="AU110" s="458"/>
      <c r="AV110" s="458"/>
      <c r="AW110" s="458"/>
      <c r="AX110" s="458"/>
    </row>
    <row r="111" spans="1:50">
      <c r="B111" s="453" t="str">
        <f>+Aux!$B$108</f>
        <v>Quadros médios</v>
      </c>
      <c r="C111" s="453">
        <f>+'q18'!$C$13</f>
        <v>66043</v>
      </c>
      <c r="D111" s="453">
        <f>+'q18'!$D$13</f>
        <v>68953</v>
      </c>
      <c r="E111" s="453">
        <f>+'q18'!$E$13</f>
        <v>72959</v>
      </c>
      <c r="F111" s="453">
        <f>+'q18'!$F$13</f>
        <v>76328</v>
      </c>
      <c r="G111" s="453">
        <f>+'q18'!$G$13</f>
        <v>80800</v>
      </c>
      <c r="H111" s="453">
        <f>+'q18'!$H$13</f>
        <v>81556</v>
      </c>
      <c r="I111" s="453">
        <f>+'q18'!$I$13</f>
        <v>85119</v>
      </c>
      <c r="J111" s="453">
        <f>+'q18'!$J$13</f>
        <v>87328</v>
      </c>
      <c r="K111" s="453">
        <f>+'q18'!$K$13</f>
        <v>94678</v>
      </c>
      <c r="L111" s="453">
        <f>+'q18'!$L$13</f>
        <v>96479</v>
      </c>
      <c r="M111" s="453">
        <f>+'q18'!$M$13</f>
        <v>97204</v>
      </c>
      <c r="Q111" s="471"/>
      <c r="R111" s="463"/>
      <c r="S111" s="463"/>
      <c r="T111" s="463"/>
      <c r="U111" s="463">
        <v>800</v>
      </c>
      <c r="V111" s="470"/>
      <c r="W111" s="463"/>
      <c r="X111" s="463"/>
      <c r="Y111" s="463"/>
      <c r="AA111" s="453" t="s">
        <v>743</v>
      </c>
      <c r="AB111" s="453" t="s">
        <v>745</v>
      </c>
      <c r="AM111" s="423"/>
      <c r="AN111" s="458"/>
      <c r="AO111" s="458"/>
      <c r="AP111" s="458"/>
      <c r="AQ111" s="458"/>
      <c r="AR111" s="458"/>
      <c r="AS111" s="458"/>
      <c r="AT111" s="458"/>
      <c r="AU111" s="458"/>
      <c r="AV111" s="458"/>
      <c r="AW111" s="458"/>
      <c r="AX111" s="458"/>
    </row>
    <row r="112" spans="1:50">
      <c r="B112" s="453" t="str">
        <f>+Aux!$B$109</f>
        <v>Encarregados, contramestres e chefes de equipa</v>
      </c>
      <c r="C112" s="453">
        <f>+'q18'!$C$16</f>
        <v>44524</v>
      </c>
      <c r="D112" s="453">
        <f>+'q18'!$D$16</f>
        <v>45857</v>
      </c>
      <c r="E112" s="453">
        <f>+'q18'!$E$16</f>
        <v>49443</v>
      </c>
      <c r="F112" s="453">
        <f>+'q18'!$F$16</f>
        <v>53054</v>
      </c>
      <c r="G112" s="453">
        <f>+'q18'!$G$16</f>
        <v>56466</v>
      </c>
      <c r="H112" s="453">
        <f>+'q18'!$H$16</f>
        <v>52920</v>
      </c>
      <c r="I112" s="453">
        <f>+'q18'!$I$16</f>
        <v>51983</v>
      </c>
      <c r="J112" s="453">
        <f>+'q18'!$J$16</f>
        <v>55052</v>
      </c>
      <c r="K112" s="453">
        <f>+'q18'!$K$16</f>
        <v>61796</v>
      </c>
      <c r="L112" s="453">
        <f>+'q18'!$L$16</f>
        <v>68210</v>
      </c>
      <c r="M112" s="453">
        <f>+'q18'!$M$16</f>
        <v>63610</v>
      </c>
      <c r="Q112" s="471"/>
      <c r="R112" s="463"/>
      <c r="S112" s="463"/>
      <c r="T112" s="463"/>
      <c r="U112" s="463">
        <v>1050</v>
      </c>
      <c r="V112" s="463"/>
      <c r="W112" s="463"/>
      <c r="X112" s="463"/>
      <c r="Y112" s="463"/>
      <c r="AA112" s="453" t="s">
        <v>744</v>
      </c>
      <c r="AB112" s="453" t="s">
        <v>746</v>
      </c>
      <c r="AM112" s="423"/>
      <c r="AN112" s="458"/>
      <c r="AO112" s="458"/>
      <c r="AP112" s="458"/>
      <c r="AQ112" s="458"/>
      <c r="AR112" s="458"/>
      <c r="AS112" s="458"/>
      <c r="AT112" s="458"/>
      <c r="AU112" s="458"/>
      <c r="AV112" s="458"/>
      <c r="AW112" s="458"/>
      <c r="AX112" s="458"/>
    </row>
    <row r="113" spans="1:51">
      <c r="B113" s="453" t="str">
        <f>+Aux!$B$110</f>
        <v>Profissionais altamente qualificados</v>
      </c>
      <c r="C113" s="453">
        <f>+'q18'!$C$19</f>
        <v>91170</v>
      </c>
      <c r="D113" s="453">
        <f>+'q18'!$D$19</f>
        <v>95815</v>
      </c>
      <c r="E113" s="453">
        <f>+'q18'!$E$19</f>
        <v>102335</v>
      </c>
      <c r="F113" s="453">
        <f>+'q18'!$F$19</f>
        <v>107156</v>
      </c>
      <c r="G113" s="453">
        <f>+'q18'!$G$19</f>
        <v>112783</v>
      </c>
      <c r="H113" s="453">
        <f>+'q18'!$H$19</f>
        <v>121557</v>
      </c>
      <c r="I113" s="453">
        <f>+'q18'!$I$19</f>
        <v>128771</v>
      </c>
      <c r="J113" s="453">
        <f>+'q18'!$J$19</f>
        <v>133721</v>
      </c>
      <c r="K113" s="453">
        <f>+'q18'!$K$19</f>
        <v>143050</v>
      </c>
      <c r="L113" s="453">
        <f>+'q18'!$L$19</f>
        <v>147330</v>
      </c>
      <c r="M113" s="453">
        <f>+'q18'!$M$19</f>
        <v>155722</v>
      </c>
      <c r="U113" s="481">
        <f>+U111/U112</f>
        <v>0.76190476190476186</v>
      </c>
      <c r="Z113" s="454" t="s">
        <v>747</v>
      </c>
      <c r="AM113" s="423"/>
      <c r="AN113" s="458"/>
      <c r="AO113" s="458"/>
      <c r="AP113" s="458"/>
      <c r="AQ113" s="458"/>
      <c r="AR113" s="458"/>
      <c r="AS113" s="458"/>
      <c r="AT113" s="458"/>
      <c r="AU113" s="458"/>
      <c r="AV113" s="458"/>
      <c r="AW113" s="458"/>
      <c r="AX113" s="458"/>
    </row>
    <row r="114" spans="1:51">
      <c r="B114" s="453" t="str">
        <f>+Aux!$B$111</f>
        <v>Profissionais qualificados</v>
      </c>
      <c r="C114" s="453">
        <f>+'q18'!$C$22</f>
        <v>386308</v>
      </c>
      <c r="D114" s="453">
        <f>+'q18'!$D$22</f>
        <v>399801</v>
      </c>
      <c r="E114" s="453">
        <f>+'q18'!$E$22</f>
        <v>416339</v>
      </c>
      <c r="F114" s="453">
        <f>+'q18'!$F$22</f>
        <v>468834</v>
      </c>
      <c r="G114" s="453">
        <f>+'q18'!$G$22</f>
        <v>492818</v>
      </c>
      <c r="H114" s="453">
        <f>+'q18'!$H$22</f>
        <v>459477</v>
      </c>
      <c r="I114" s="453">
        <f>+'q18'!$I$22</f>
        <v>445660</v>
      </c>
      <c r="J114" s="453">
        <f>+'q18'!$J$22</f>
        <v>448264</v>
      </c>
      <c r="K114" s="453">
        <f>+'q18'!$K$22</f>
        <v>480610</v>
      </c>
      <c r="L114" s="453">
        <f>+'q18'!$L$22</f>
        <v>493181</v>
      </c>
      <c r="M114" s="453">
        <f>+'q18'!$M$22</f>
        <v>492264</v>
      </c>
      <c r="Q114" s="471" t="s">
        <v>364</v>
      </c>
      <c r="R114" s="463">
        <f>+S104*-1</f>
        <v>1383.38</v>
      </c>
      <c r="AM114" s="423"/>
      <c r="AN114" s="458"/>
      <c r="AO114" s="458"/>
      <c r="AP114" s="458"/>
      <c r="AQ114" s="458"/>
      <c r="AR114" s="458"/>
      <c r="AS114" s="458"/>
      <c r="AT114" s="458"/>
      <c r="AU114" s="458"/>
      <c r="AV114" s="458"/>
      <c r="AW114" s="458"/>
      <c r="AX114" s="458"/>
    </row>
    <row r="115" spans="1:51">
      <c r="B115" s="453" t="str">
        <f>+Aux!$B$112</f>
        <v>Profissionais semi-qualificados</v>
      </c>
      <c r="C115" s="453">
        <f>+'q18'!$C$25</f>
        <v>302604</v>
      </c>
      <c r="D115" s="453">
        <f>+'q18'!$D$25</f>
        <v>317309</v>
      </c>
      <c r="E115" s="453">
        <f>+'q18'!$E$25</f>
        <v>330993</v>
      </c>
      <c r="F115" s="453">
        <f>+'q18'!$F$25</f>
        <v>320414</v>
      </c>
      <c r="G115" s="453">
        <f>+'q18'!$G$25</f>
        <v>327004</v>
      </c>
      <c r="H115" s="453">
        <f>+'q18'!$H$25</f>
        <v>337227</v>
      </c>
      <c r="I115" s="453">
        <f>+'q18'!$I$25</f>
        <v>324043</v>
      </c>
      <c r="J115" s="453">
        <f>+'q18'!$J$25</f>
        <v>315376</v>
      </c>
      <c r="K115" s="453">
        <f>+'q18'!$K$25</f>
        <v>341469</v>
      </c>
      <c r="L115" s="453">
        <f>+'q18'!$L$25</f>
        <v>375328</v>
      </c>
      <c r="M115" s="453">
        <f>+'q18'!$M$25</f>
        <v>384907</v>
      </c>
      <c r="Q115" s="471" t="s">
        <v>368</v>
      </c>
      <c r="R115" s="463">
        <f>+T104*-1</f>
        <v>1693.55</v>
      </c>
      <c r="AM115" s="423"/>
      <c r="AN115" s="458"/>
      <c r="AO115" s="458"/>
      <c r="AP115" s="458"/>
      <c r="AQ115" s="458"/>
      <c r="AR115" s="458"/>
      <c r="AS115" s="458"/>
      <c r="AT115" s="458"/>
      <c r="AU115" s="458"/>
      <c r="AV115" s="458"/>
      <c r="AW115" s="458"/>
      <c r="AX115" s="458"/>
    </row>
    <row r="116" spans="1:51">
      <c r="B116" s="453" t="str">
        <f>+Aux!$B$113</f>
        <v>Profissionais não qualificados</v>
      </c>
      <c r="C116" s="453">
        <f>+'q18'!$C$28</f>
        <v>159634</v>
      </c>
      <c r="D116" s="453">
        <f>+'q18'!$D$28</f>
        <v>164339</v>
      </c>
      <c r="E116" s="453">
        <f>+'q18'!$E$28</f>
        <v>164261</v>
      </c>
      <c r="F116" s="453">
        <f>+'q18'!$F$28</f>
        <v>161046</v>
      </c>
      <c r="G116" s="453">
        <f>+'q18'!$G$28</f>
        <v>157015</v>
      </c>
      <c r="H116" s="453">
        <f>+'q18'!$H$28</f>
        <v>191141</v>
      </c>
      <c r="I116" s="453">
        <f>+'q18'!$I$28</f>
        <v>185578</v>
      </c>
      <c r="J116" s="453">
        <f>+'q18'!$J$28</f>
        <v>187921</v>
      </c>
      <c r="K116" s="453">
        <f>+'q18'!$K$28</f>
        <v>194661</v>
      </c>
      <c r="L116" s="453">
        <f>+'q18'!$L$28</f>
        <v>185755</v>
      </c>
      <c r="M116" s="453">
        <f>+'q18'!$M$28</f>
        <v>183296</v>
      </c>
      <c r="Q116" s="471"/>
      <c r="AM116" s="423"/>
      <c r="AN116" s="458"/>
      <c r="AO116" s="458"/>
      <c r="AP116" s="458"/>
      <c r="AQ116" s="458"/>
      <c r="AR116" s="458"/>
      <c r="AS116" s="458"/>
      <c r="AT116" s="458"/>
      <c r="AU116" s="458"/>
      <c r="AV116" s="458"/>
      <c r="AW116" s="458"/>
      <c r="AX116" s="458"/>
    </row>
    <row r="117" spans="1:51">
      <c r="B117" s="453" t="str">
        <f>+Aux!$B$114</f>
        <v>Praticantes e aprendizes</v>
      </c>
      <c r="C117" s="453">
        <f>+'q18'!$C$31</f>
        <v>38666</v>
      </c>
      <c r="D117" s="453">
        <f>+'q18'!$D$31</f>
        <v>39137</v>
      </c>
      <c r="E117" s="453">
        <f>+'q18'!$E$31</f>
        <v>38510</v>
      </c>
      <c r="F117" s="453">
        <f>+'q18'!$F$31</f>
        <v>39429</v>
      </c>
      <c r="G117" s="453">
        <f>+'q18'!$G$31</f>
        <v>40511</v>
      </c>
      <c r="H117" s="453">
        <f>+'q18'!$H$31</f>
        <v>39257</v>
      </c>
      <c r="I117" s="453">
        <f>+'q18'!$I$31</f>
        <v>29860</v>
      </c>
      <c r="J117" s="453">
        <f>+'q18'!$J$31</f>
        <v>31562</v>
      </c>
      <c r="K117" s="453">
        <f>+'q18'!$K$31</f>
        <v>35341</v>
      </c>
      <c r="L117" s="453">
        <f>+'q18'!$L$31</f>
        <v>33741</v>
      </c>
      <c r="M117" s="453">
        <f>+'q18'!$M$31</f>
        <v>31751</v>
      </c>
      <c r="Q117" s="471"/>
    </row>
    <row r="118" spans="1:51">
      <c r="B118" s="453" t="str">
        <f>+Aux!$B$115</f>
        <v>Total</v>
      </c>
      <c r="C118" s="453">
        <f>+'q18'!$C$7</f>
        <v>1179242</v>
      </c>
      <c r="D118" s="453">
        <f>+'q18'!$D$7</f>
        <v>1225932</v>
      </c>
      <c r="E118" s="453">
        <f>+'q18'!$E$7</f>
        <v>1274214</v>
      </c>
      <c r="F118" s="453">
        <f>+'q18'!$F$7</f>
        <v>1329792</v>
      </c>
      <c r="G118" s="453">
        <f>+'q18'!$G$7</f>
        <v>1377925</v>
      </c>
      <c r="H118" s="453">
        <f>+'q18'!$H$7</f>
        <v>1401206</v>
      </c>
      <c r="I118" s="453">
        <f>+'q18'!$I$7</f>
        <v>1376528</v>
      </c>
      <c r="J118" s="453">
        <f>+'q18'!$J$7</f>
        <v>1392103</v>
      </c>
      <c r="K118" s="453">
        <f>+'q18'!$K$7</f>
        <v>1494230</v>
      </c>
      <c r="L118" s="453">
        <f>+'q18'!$L$7</f>
        <v>1552823</v>
      </c>
      <c r="M118" s="453">
        <f>+'q18'!$M$7</f>
        <v>1570424</v>
      </c>
      <c r="AC118" s="463"/>
    </row>
    <row r="119" spans="1:51">
      <c r="P119" s="453">
        <f>INDEX($A$2:$A$12,$P$9)</f>
        <v>2024</v>
      </c>
      <c r="Q119" s="423" t="s">
        <v>349</v>
      </c>
      <c r="AQ119" s="504"/>
      <c r="AR119" s="504"/>
      <c r="AS119" s="504"/>
      <c r="AT119" s="504"/>
      <c r="AU119" s="504"/>
      <c r="AV119" s="504"/>
    </row>
    <row r="120" spans="1:51">
      <c r="C120" s="423">
        <f>+'q17'!$C$4</f>
        <v>2014</v>
      </c>
      <c r="D120" s="423">
        <f>+'q17'!$D$4</f>
        <v>2015</v>
      </c>
      <c r="E120" s="423">
        <f>+'q17'!$E$4</f>
        <v>2016</v>
      </c>
      <c r="F120" s="423">
        <f>+'q17'!$F$4</f>
        <v>2017</v>
      </c>
      <c r="G120" s="423">
        <f>+'q17'!$G$4</f>
        <v>2018</v>
      </c>
      <c r="H120" s="423">
        <f>+'q17'!$H$4</f>
        <v>2019</v>
      </c>
      <c r="I120" s="423">
        <f>+'q17'!$I$4</f>
        <v>2020</v>
      </c>
      <c r="J120" s="423">
        <f>+'q17'!$J$4</f>
        <v>2021</v>
      </c>
      <c r="K120" s="423">
        <f>+'q17'!$K$4</f>
        <v>2022</v>
      </c>
      <c r="L120" s="423">
        <f>+'q17'!$L$4</f>
        <v>2023</v>
      </c>
      <c r="M120" s="423">
        <f>+'q17'!$M$4</f>
        <v>2024</v>
      </c>
      <c r="R120" s="423" t="s">
        <v>364</v>
      </c>
      <c r="S120" s="423" t="s">
        <v>368</v>
      </c>
      <c r="T120" s="423" t="s">
        <v>365</v>
      </c>
      <c r="U120" s="423" t="s">
        <v>369</v>
      </c>
      <c r="V120" s="423" t="s">
        <v>366</v>
      </c>
      <c r="W120" s="423" t="s">
        <v>367</v>
      </c>
      <c r="Y120" s="453" t="s">
        <v>389</v>
      </c>
      <c r="Z120" s="502" t="s">
        <v>417</v>
      </c>
      <c r="AA120" s="453" t="s">
        <v>263</v>
      </c>
      <c r="AB120" s="453" t="s">
        <v>422</v>
      </c>
      <c r="AC120" s="453" t="s">
        <v>423</v>
      </c>
      <c r="AN120" s="453">
        <f>+COLUMN(AD120)</f>
        <v>30</v>
      </c>
      <c r="AQ120" s="504"/>
      <c r="AR120" s="504"/>
      <c r="AS120" s="504"/>
      <c r="AT120" s="504"/>
      <c r="AU120" s="504"/>
      <c r="AV120" s="504"/>
    </row>
    <row r="121" spans="1:51">
      <c r="A121" s="454" t="s">
        <v>11</v>
      </c>
      <c r="B121" s="453" t="str">
        <f>+Aux!$B$107</f>
        <v>Quadros superiores</v>
      </c>
      <c r="C121" s="453">
        <f>+'q18'!$C$8</f>
        <v>198228</v>
      </c>
      <c r="D121" s="453">
        <f>+'q18'!$D$8</f>
        <v>204966</v>
      </c>
      <c r="E121" s="453">
        <f>+'q18'!$E$8</f>
        <v>212297</v>
      </c>
      <c r="F121" s="453">
        <f>+'q18'!$F$8</f>
        <v>220121</v>
      </c>
      <c r="G121" s="453">
        <f>+'q18'!$G$8</f>
        <v>233180</v>
      </c>
      <c r="H121" s="453">
        <f>+'q18'!$H$8</f>
        <v>247905</v>
      </c>
      <c r="I121" s="453">
        <f>+'q18'!$I$8</f>
        <v>262157</v>
      </c>
      <c r="J121" s="453">
        <f>+'q18'!$J$8</f>
        <v>275270</v>
      </c>
      <c r="K121" s="453">
        <f>+'q18'!$K$8</f>
        <v>297522</v>
      </c>
      <c r="L121" s="453">
        <f>+'q18'!$L$8</f>
        <v>315188</v>
      </c>
      <c r="M121" s="453">
        <f>+'q18'!$M$8</f>
        <v>333311</v>
      </c>
      <c r="Q121" s="453" t="s">
        <v>47</v>
      </c>
      <c r="R121" s="463">
        <f>INDEX($B$131:$M$140,MATCH($Q$121,$B$131:$B$140,0),MATCH($P$119,$B$131:$M$131,0))*-1</f>
        <v>-2865.98</v>
      </c>
      <c r="S121" s="463">
        <f>INDEX($B$164:$M$173,MATCH($Q$121,$B$164:$B$173,0),MATCH($P$119,$B$164:$M$164,0))*-1</f>
        <v>-3378.31</v>
      </c>
      <c r="T121" s="463">
        <f>INDEX($B$142:$M$151,MATCH($Q$121,$B$142:$B$151,0),MATCH($P$119,$B$142:$M$142,0))</f>
        <v>2136.92</v>
      </c>
      <c r="U121" s="463">
        <f>INDEX($B$175:$M$184,MATCH($Q$121,$B$175:$B$184,0),MATCH($P$119,$B$175:$M$175,0))</f>
        <v>2523.38</v>
      </c>
      <c r="V121" s="463">
        <f>INDEX($B$153:$M$162,MATCH($Q$121,$B$153:$B$162,0),MATCH($P$119,$B$153:$M$153,0))</f>
        <v>2526.42</v>
      </c>
      <c r="W121" s="463">
        <f>INDEX($B$186:$M$195,MATCH($Q$121,$B$186:$B$195,0),MATCH($P$119,$B$186:$M$186,0))</f>
        <v>2980.13</v>
      </c>
      <c r="X121" s="483">
        <f>+V121/$V$129</f>
        <v>1.9300971763843051</v>
      </c>
      <c r="Y121" s="483">
        <f>(T121/R121*(-1)-1)*100</f>
        <v>-25.438418970125397</v>
      </c>
      <c r="Z121" s="536">
        <f>V121/W121</f>
        <v>0.84775496370963677</v>
      </c>
      <c r="AA121" s="463">
        <f>+W121</f>
        <v>2980.13</v>
      </c>
      <c r="AB121" s="470">
        <f>+(T121/(R121*-1))</f>
        <v>0.74561581029874602</v>
      </c>
      <c r="AC121" s="470">
        <f>+(U121/(S121*-1))</f>
        <v>0.74693559797650311</v>
      </c>
      <c r="AD121" s="453" t="str">
        <f>+Q121</f>
        <v>Quadros superiores</v>
      </c>
      <c r="AQ121" s="504"/>
      <c r="AR121" s="504"/>
      <c r="AS121" s="504"/>
      <c r="AT121" s="504"/>
      <c r="AU121" s="504"/>
      <c r="AV121" s="504"/>
    </row>
    <row r="122" spans="1:51">
      <c r="B122" s="453" t="str">
        <f>+Aux!$B$108</f>
        <v>Quadros médios</v>
      </c>
      <c r="C122" s="453">
        <f>+'q18'!$C$11</f>
        <v>138984</v>
      </c>
      <c r="D122" s="453">
        <f>+'q18'!$D$11</f>
        <v>143200</v>
      </c>
      <c r="E122" s="453">
        <f>+'q18'!$E$11</f>
        <v>149778</v>
      </c>
      <c r="F122" s="453">
        <f>+'q18'!$F$11</f>
        <v>157495</v>
      </c>
      <c r="G122" s="453">
        <f>+'q18'!$G$11</f>
        <v>165603</v>
      </c>
      <c r="H122" s="453">
        <f>+'q18'!$H$11</f>
        <v>165392</v>
      </c>
      <c r="I122" s="453">
        <f>+'q18'!$I$11</f>
        <v>172837</v>
      </c>
      <c r="J122" s="453">
        <f>+'q18'!$J$11</f>
        <v>176658</v>
      </c>
      <c r="K122" s="453">
        <f>+'q18'!$K$11</f>
        <v>192362</v>
      </c>
      <c r="L122" s="453">
        <f>+'q18'!$L$11</f>
        <v>197236</v>
      </c>
      <c r="M122" s="453">
        <f>+'q18'!$M$11</f>
        <v>198969</v>
      </c>
      <c r="Q122" s="453" t="s">
        <v>48</v>
      </c>
      <c r="R122" s="463">
        <f>INDEX($B$131:$M$140,MATCH($Q$122,$B$131:$B$140,0),MATCH($P$119,$B$131:$M$131,0))*-1</f>
        <v>-1964.59</v>
      </c>
      <c r="S122" s="463">
        <f>INDEX($B$164:$M$173,MATCH($Q$122,$B$164:$B$173,0),MATCH($P$119,$B$164:$M$164,0))*-1</f>
        <v>-2362.9899999999998</v>
      </c>
      <c r="T122" s="463">
        <f>INDEX($B$142:$M$151,MATCH($Q$122,$B$142:$B$151,0),MATCH($P$119,$B$142:$M$142,0))</f>
        <v>1658.94</v>
      </c>
      <c r="U122" s="463">
        <f>INDEX($B$175:$M$184,MATCH($Q$122,$B$175:$B$184,0),MATCH($P$119,$B$175:$M$175,0))</f>
        <v>1974.13</v>
      </c>
      <c r="V122" s="463">
        <f>INDEX($B$153:$M$162,MATCH($Q$122,$B$153:$B$162,0),MATCH($P$119,$B$153:$M$153,0))</f>
        <v>1819.65</v>
      </c>
      <c r="W122" s="463">
        <f>INDEX($B$186:$M$195,MATCH($Q$122,$B$186:$B$195,0),MATCH($P$119,$B$186:$M$186,0))</f>
        <v>2178.6</v>
      </c>
      <c r="X122" s="483">
        <f t="shared" ref="X122:X128" si="16">+V122/$V$129</f>
        <v>1.3901494316098277</v>
      </c>
      <c r="Y122" s="483">
        <f t="shared" ref="Y122:Y128" si="17">(T122/R122*(-1)-1)*100</f>
        <v>-15.557953567920013</v>
      </c>
      <c r="Z122" s="536">
        <f t="shared" ref="Z122:Z129" si="18">V122/W122</f>
        <v>0.83523822638391632</v>
      </c>
      <c r="AA122" s="463">
        <f t="shared" ref="AA122:AA129" si="19">+W122</f>
        <v>2178.6</v>
      </c>
      <c r="AB122" s="470">
        <f t="shared" ref="AB122:AB129" si="20">+(T122/(R122*-1))</f>
        <v>0.84442046432079987</v>
      </c>
      <c r="AC122" s="470">
        <f t="shared" ref="AC122:AC129" si="21">+(U122/(S122*-1))</f>
        <v>0.83543730612486733</v>
      </c>
      <c r="AD122" s="453" t="str">
        <f t="shared" ref="AD122:AD128" si="22">+Q122</f>
        <v>Quadros médios</v>
      </c>
      <c r="AN122" s="453">
        <f>+P119</f>
        <v>2024</v>
      </c>
      <c r="AO122" s="453" t="s">
        <v>415</v>
      </c>
    </row>
    <row r="123" spans="1:51">
      <c r="B123" s="453" t="str">
        <f>+Aux!$B$109</f>
        <v>Encarregados, contramestres e chefes de equipa</v>
      </c>
      <c r="C123" s="453">
        <f>+'q18'!$C$14</f>
        <v>121764</v>
      </c>
      <c r="D123" s="453">
        <f>+'q18'!$D$14</f>
        <v>123477</v>
      </c>
      <c r="E123" s="453">
        <f>+'q18'!$E$14</f>
        <v>130096</v>
      </c>
      <c r="F123" s="453">
        <f>+'q18'!$F$14</f>
        <v>136871</v>
      </c>
      <c r="G123" s="453">
        <f>+'q18'!$G$14</f>
        <v>144343</v>
      </c>
      <c r="H123" s="453">
        <f>+'q18'!$H$14</f>
        <v>138249</v>
      </c>
      <c r="I123" s="453">
        <f>+'q18'!$I$14</f>
        <v>135963</v>
      </c>
      <c r="J123" s="453">
        <f>+'q18'!$J$14</f>
        <v>141942</v>
      </c>
      <c r="K123" s="453">
        <f>+'q18'!$K$14</f>
        <v>156172</v>
      </c>
      <c r="L123" s="453">
        <f>+'q18'!$L$14</f>
        <v>169353</v>
      </c>
      <c r="M123" s="453">
        <f>+'q18'!$M$14</f>
        <v>160283</v>
      </c>
      <c r="Q123" s="453" t="s">
        <v>352</v>
      </c>
      <c r="R123" s="463">
        <f>INDEX($B$131:$M$140,MATCH($Q$123,$B$131:$B$140,0),MATCH($P$119,$B$131:$M$131,0))*-1</f>
        <v>-1828.64</v>
      </c>
      <c r="S123" s="463">
        <f>INDEX($B$164:$M$173,MATCH($Q$123,$B$164:$B$173,0),MATCH($P$119,$B$164:$M$164,0))*-1</f>
        <v>-2221.7800000000002</v>
      </c>
      <c r="T123" s="463">
        <f>INDEX($B$142:$M$151,MATCH($Q$123,$B$142:$B$151,0),MATCH($P$119,$B$142:$M$142,0))</f>
        <v>1725.98</v>
      </c>
      <c r="U123" s="463">
        <f>INDEX($B$175:$M$184,MATCH($Q$123,$B$175:$B$184,0),MATCH($P$119,$B$175:$M$175,0))</f>
        <v>2059.3200000000002</v>
      </c>
      <c r="V123" s="463">
        <f>INDEX($B$153:$M$162,MATCH($Q$123,$B$153:$B$162,0),MATCH($P$119,$B$153:$M$153,0))</f>
        <v>1789.03</v>
      </c>
      <c r="W123" s="463">
        <f>INDEX($B$186:$M$195,MATCH($Q$123,$B$186:$B$195,0),MATCH($P$119,$B$186:$M$186,0))</f>
        <v>2159.09</v>
      </c>
      <c r="X123" s="483">
        <f t="shared" si="16"/>
        <v>1.3667568145703459</v>
      </c>
      <c r="Y123" s="483">
        <f t="shared" si="17"/>
        <v>-5.6140082246915801</v>
      </c>
      <c r="Z123" s="536">
        <f t="shared" si="18"/>
        <v>0.82860371730682825</v>
      </c>
      <c r="AA123" s="463">
        <f t="shared" si="19"/>
        <v>2159.09</v>
      </c>
      <c r="AB123" s="470">
        <f t="shared" si="20"/>
        <v>0.9438599177530842</v>
      </c>
      <c r="AC123" s="470">
        <f t="shared" si="21"/>
        <v>0.92687844881131343</v>
      </c>
      <c r="AD123" s="453" t="str">
        <f t="shared" si="22"/>
        <v>Encarregados, contramestres e chefes de equipa</v>
      </c>
      <c r="AN123" s="453" t="s">
        <v>416</v>
      </c>
      <c r="AQ123" s="453" t="s">
        <v>419</v>
      </c>
      <c r="AS123" s="453" t="s">
        <v>402</v>
      </c>
      <c r="AU123" s="453" t="s">
        <v>403</v>
      </c>
    </row>
    <row r="124" spans="1:51">
      <c r="B124" s="453" t="str">
        <f>+Aux!$B$110</f>
        <v>Profissionais altamente qualificados</v>
      </c>
      <c r="C124" s="453">
        <f>+'q18'!$C$17</f>
        <v>182629</v>
      </c>
      <c r="D124" s="453">
        <f>+'q18'!$D$17</f>
        <v>189545</v>
      </c>
      <c r="E124" s="453">
        <f>+'q18'!$E$17</f>
        <v>201938</v>
      </c>
      <c r="F124" s="453">
        <f>+'q18'!$F$17</f>
        <v>213571</v>
      </c>
      <c r="G124" s="453">
        <f>+'q18'!$G$17</f>
        <v>223564</v>
      </c>
      <c r="H124" s="453">
        <f>+'q18'!$H$17</f>
        <v>243170</v>
      </c>
      <c r="I124" s="453">
        <f>+'q18'!$I$17</f>
        <v>254726</v>
      </c>
      <c r="J124" s="453">
        <f>+'q18'!$J$17</f>
        <v>263533</v>
      </c>
      <c r="K124" s="453">
        <f>+'q18'!$K$17</f>
        <v>284791</v>
      </c>
      <c r="L124" s="453">
        <f>+'q18'!$L$17</f>
        <v>296557</v>
      </c>
      <c r="M124" s="453">
        <f>+'q18'!$M$17</f>
        <v>314241</v>
      </c>
      <c r="Q124" s="453" t="s">
        <v>350</v>
      </c>
      <c r="R124" s="463">
        <f>INDEX($B$131:$M$140,MATCH($Q$124,$B$131:$B$140,0),MATCH($P$119,$B$131:$M$131,0))*-1</f>
        <v>-1516.81</v>
      </c>
      <c r="S124" s="463">
        <f>INDEX($B$164:$M$173,MATCH($Q$124,$B$164:$B$173,0),MATCH($P$119,$B$164:$M$164,0))*-1</f>
        <v>-1932.22</v>
      </c>
      <c r="T124" s="463">
        <f>INDEX($B$142:$M$151,MATCH($Q$124,$B$142:$B$151,0),MATCH($P$119,$B$142:$M$142,0))</f>
        <v>1299.2</v>
      </c>
      <c r="U124" s="463">
        <f>INDEX($B$175:$M$184,MATCH($Q$124,$B$175:$B$184,0),MATCH($P$119,$B$175:$M$175,0))</f>
        <v>1570.29</v>
      </c>
      <c r="V124" s="463">
        <f>INDEX($B$153:$M$162,MATCH($Q$124,$B$153:$B$162,0),MATCH($P$119,$B$153:$M$153,0))</f>
        <v>1412.04</v>
      </c>
      <c r="W124" s="463">
        <f>INDEX($B$186:$M$195,MATCH($Q$124,$B$186:$B$195,0),MATCH($P$119,$B$186:$M$186,0))</f>
        <v>1757.96</v>
      </c>
      <c r="X124" s="483">
        <f t="shared" si="16"/>
        <v>1.0787495416208286</v>
      </c>
      <c r="Y124" s="483">
        <f t="shared" si="17"/>
        <v>-14.346556259518328</v>
      </c>
      <c r="Z124" s="536">
        <f t="shared" si="18"/>
        <v>0.80322646704134337</v>
      </c>
      <c r="AA124" s="463">
        <f t="shared" si="19"/>
        <v>1757.96</v>
      </c>
      <c r="AB124" s="470">
        <f t="shared" si="20"/>
        <v>0.85653443740481672</v>
      </c>
      <c r="AC124" s="470">
        <f t="shared" si="21"/>
        <v>0.8126869611120886</v>
      </c>
      <c r="AD124" s="453" t="str">
        <f t="shared" si="22"/>
        <v>Profissionais altamente qualificados</v>
      </c>
      <c r="AN124" s="483" t="str">
        <f>TEXT(Z129,"##.###,0%")</f>
        <v>82,7%</v>
      </c>
      <c r="AQ124" s="483" t="s">
        <v>420</v>
      </c>
      <c r="AS124" s="483" t="str">
        <f>TEXT($AB$129,"##.###,0%")</f>
        <v>88,0%</v>
      </c>
      <c r="AT124" s="453" t="s">
        <v>467</v>
      </c>
      <c r="AU124" s="483" t="str">
        <f>TEXT($AC$129,"##.###,0%")</f>
        <v>85,4%</v>
      </c>
      <c r="AV124" s="453" t="s">
        <v>468</v>
      </c>
    </row>
    <row r="125" spans="1:51">
      <c r="B125" s="453" t="str">
        <f>+Aux!$B$111</f>
        <v>Profissionais qualificados</v>
      </c>
      <c r="C125" s="453">
        <f>+'q18'!$C$20</f>
        <v>927748</v>
      </c>
      <c r="D125" s="453">
        <f>+'q18'!$D$20</f>
        <v>958705</v>
      </c>
      <c r="E125" s="453">
        <f>+'q18'!$E$20</f>
        <v>993716</v>
      </c>
      <c r="F125" s="453">
        <f>+'q18'!$F$20</f>
        <v>1092258</v>
      </c>
      <c r="G125" s="453">
        <f>+'q18'!$G$20</f>
        <v>1149282</v>
      </c>
      <c r="H125" s="453">
        <f>+'q18'!$H$20</f>
        <v>1091473</v>
      </c>
      <c r="I125" s="453">
        <f>+'q18'!$I$20</f>
        <v>1073089</v>
      </c>
      <c r="J125" s="453">
        <f>+'q18'!$J$20</f>
        <v>1066230</v>
      </c>
      <c r="K125" s="453">
        <f>+'q18'!$K$20</f>
        <v>1141072</v>
      </c>
      <c r="L125" s="453">
        <f>+'q18'!$L$20</f>
        <v>1179375</v>
      </c>
      <c r="M125" s="453">
        <f>+'q18'!$M$20</f>
        <v>1188274</v>
      </c>
      <c r="Q125" s="453" t="s">
        <v>49</v>
      </c>
      <c r="R125" s="463">
        <f>INDEX($B$131:$M$140,MATCH($Q$125,$B$131:$B$140,0),MATCH($P$119,$B$131:$M$131,0))*-1</f>
        <v>-1083.82</v>
      </c>
      <c r="S125" s="463">
        <f>INDEX($B$164:$M$173,MATCH($Q$125,$B$164:$B$173,0),MATCH($P$119,$B$164:$M$164,0))*-1</f>
        <v>-1354.16</v>
      </c>
      <c r="T125" s="463">
        <f>INDEX($B$142:$M$151,MATCH($Q$125,$B$142:$B$151,0),MATCH($P$119,$B$142:$M$142,0))</f>
        <v>1014.54</v>
      </c>
      <c r="U125" s="463">
        <f>INDEX($B$175:$M$184,MATCH($Q$125,$B$175:$B$184,0),MATCH($P$119,$B$175:$M$175,0))</f>
        <v>1207.9100000000001</v>
      </c>
      <c r="V125" s="463">
        <f>INDEX($B$153:$M$162,MATCH($Q$125,$B$153:$B$162,0),MATCH($P$119,$B$153:$M$153,0))</f>
        <v>1055.9100000000001</v>
      </c>
      <c r="W125" s="463">
        <f>INDEX($B$186:$M$195,MATCH($Q$125,$B$186:$B$195,0),MATCH($P$119,$B$186:$M$186,0))</f>
        <v>1295.24</v>
      </c>
      <c r="X125" s="483">
        <f t="shared" si="16"/>
        <v>0.8066785845251192</v>
      </c>
      <c r="Y125" s="483">
        <f t="shared" si="17"/>
        <v>-6.3922053477514673</v>
      </c>
      <c r="Z125" s="536">
        <f t="shared" si="18"/>
        <v>0.81522343349495086</v>
      </c>
      <c r="AA125" s="463">
        <f t="shared" si="19"/>
        <v>1295.24</v>
      </c>
      <c r="AB125" s="470">
        <f t="shared" si="20"/>
        <v>0.93607794652248533</v>
      </c>
      <c r="AC125" s="470">
        <f t="shared" si="21"/>
        <v>0.89199946830507471</v>
      </c>
      <c r="AD125" s="453" t="str">
        <f t="shared" si="22"/>
        <v>Profissionais qualificados</v>
      </c>
      <c r="AN125" s="453" t="s">
        <v>463</v>
      </c>
      <c r="AQ125" s="483">
        <f>+SMALL($AA$121:$AA$128,1)</f>
        <v>1023.82</v>
      </c>
      <c r="AR125" s="453" t="str">
        <f>+TEXT(AQ125,"##.### €")</f>
        <v>1.024 €</v>
      </c>
      <c r="AS125" s="453">
        <f>+SMALL(AB121:AB128,1)</f>
        <v>0.74561581029874602</v>
      </c>
      <c r="AT125" s="453" t="str">
        <f>+TEXT(AS125,"##.###,0%")</f>
        <v>74,6%</v>
      </c>
      <c r="AU125" s="453">
        <f>+SMALL(AC121:AC128,1)</f>
        <v>0.74693559797650311</v>
      </c>
      <c r="AV125" s="453" t="str">
        <f>+TEXT(AU125,"##.###,0%")</f>
        <v>74,7%</v>
      </c>
      <c r="AX125" s="423"/>
      <c r="AY125" s="423"/>
    </row>
    <row r="126" spans="1:51">
      <c r="B126" s="453" t="str">
        <f>+Aux!$B$112</f>
        <v>Profissionais semi-qualificados</v>
      </c>
      <c r="C126" s="453">
        <f>+'q18'!$C$23</f>
        <v>535910</v>
      </c>
      <c r="D126" s="453">
        <f>+'q18'!$D$23</f>
        <v>555223</v>
      </c>
      <c r="E126" s="453">
        <f>+'q18'!$E$23</f>
        <v>585440</v>
      </c>
      <c r="F126" s="453">
        <f>+'q18'!$F$23</f>
        <v>569141</v>
      </c>
      <c r="G126" s="453">
        <f>+'q18'!$G$23</f>
        <v>582366</v>
      </c>
      <c r="H126" s="453">
        <f>+'q18'!$H$23</f>
        <v>594326</v>
      </c>
      <c r="I126" s="453">
        <f>+'q18'!$I$23</f>
        <v>575153</v>
      </c>
      <c r="J126" s="453">
        <f>+'q18'!$J$23</f>
        <v>555639</v>
      </c>
      <c r="K126" s="453">
        <f>+'q18'!$K$23</f>
        <v>602364</v>
      </c>
      <c r="L126" s="453">
        <f>+'q18'!$L$23</f>
        <v>665042</v>
      </c>
      <c r="M126" s="453">
        <f>+'q18'!$M$23</f>
        <v>685414</v>
      </c>
      <c r="Q126" s="453" t="s">
        <v>351</v>
      </c>
      <c r="R126" s="463">
        <f>INDEX($B$131:$M$140,MATCH($Q$126,$B$131:$B$140,0),MATCH($P$119,$B$131:$M$131,0))*-1</f>
        <v>-945.97</v>
      </c>
      <c r="S126" s="463">
        <f>INDEX($B$164:$M$173,MATCH($Q$126,$B$164:$B$173,0),MATCH($P$119,$B$164:$M$164,0))*-1</f>
        <v>-1171.3399999999999</v>
      </c>
      <c r="T126" s="463">
        <f>INDEX($B$142:$M$151,MATCH($Q$126,$B$142:$B$151,0),MATCH($P$119,$B$142:$M$142,0))</f>
        <v>880.36</v>
      </c>
      <c r="U126" s="463">
        <f>INDEX($B$175:$M$184,MATCH($Q$126,$B$175:$B$184,0),MATCH($P$119,$B$175:$M$175,0))</f>
        <v>1045.28</v>
      </c>
      <c r="V126" s="463">
        <f>INDEX($B$153:$M$162,MATCH($Q$126,$B$153:$B$162,0),MATCH($P$119,$B$153:$M$153,0))</f>
        <v>911.18</v>
      </c>
      <c r="W126" s="463">
        <f>INDEX($B$186:$M$195,MATCH($Q$126,$B$186:$B$195,0),MATCH($P$119,$B$186:$M$186,0))</f>
        <v>1104.49</v>
      </c>
      <c r="X126" s="483">
        <f t="shared" si="16"/>
        <v>0.69610988876665436</v>
      </c>
      <c r="Y126" s="483">
        <f t="shared" si="17"/>
        <v>-6.9357379198071829</v>
      </c>
      <c r="Z126" s="536">
        <f t="shared" si="18"/>
        <v>0.82497804416518028</v>
      </c>
      <c r="AA126" s="463">
        <f t="shared" si="19"/>
        <v>1104.49</v>
      </c>
      <c r="AB126" s="470">
        <f t="shared" si="20"/>
        <v>0.93064262080192817</v>
      </c>
      <c r="AC126" s="470">
        <f t="shared" si="21"/>
        <v>0.89237966773097477</v>
      </c>
      <c r="AD126" s="453" t="str">
        <f t="shared" si="22"/>
        <v>Profissionais semi-qualificados</v>
      </c>
      <c r="AN126" s="453">
        <f>+SMALL(V121:V128,1)</f>
        <v>862.05</v>
      </c>
      <c r="AO126" s="453" t="str">
        <f>+TEXT(AN126,"##.### €")</f>
        <v>862 €</v>
      </c>
      <c r="AS126" s="453" t="s">
        <v>469</v>
      </c>
      <c r="AU126" s="453" t="s">
        <v>469</v>
      </c>
      <c r="AX126" s="458"/>
      <c r="AY126" s="458"/>
    </row>
    <row r="127" spans="1:51">
      <c r="B127" s="453" t="str">
        <f>+Aux!$B$113</f>
        <v>Profissionais não qualificados</v>
      </c>
      <c r="C127" s="453">
        <f>+'q18'!$C$26</f>
        <v>276984</v>
      </c>
      <c r="D127" s="453">
        <f>+'q18'!$D$26</f>
        <v>284805</v>
      </c>
      <c r="E127" s="453">
        <f>+'q18'!$E$26</f>
        <v>291322</v>
      </c>
      <c r="F127" s="453">
        <f>+'q18'!$F$26</f>
        <v>297838</v>
      </c>
      <c r="G127" s="453">
        <f>+'q18'!$G$26</f>
        <v>296301</v>
      </c>
      <c r="H127" s="453">
        <f>+'q18'!$H$26</f>
        <v>366355</v>
      </c>
      <c r="I127" s="453">
        <f>+'q18'!$I$26</f>
        <v>361526</v>
      </c>
      <c r="J127" s="453">
        <f>+'q18'!$J$26</f>
        <v>371122</v>
      </c>
      <c r="K127" s="453">
        <f>+'q18'!$K$26</f>
        <v>396732</v>
      </c>
      <c r="L127" s="453">
        <f>+'q18'!$L$26</f>
        <v>396317</v>
      </c>
      <c r="M127" s="453">
        <f>+'q18'!$M$26</f>
        <v>398694</v>
      </c>
      <c r="Q127" s="453" t="s">
        <v>50</v>
      </c>
      <c r="R127" s="463">
        <f>INDEX($B$131:$M$140,MATCH($Q$127,$B$131:$B$140,0),MATCH($P$119,$B$131:$M$131,0))*-1</f>
        <v>-876.05</v>
      </c>
      <c r="S127" s="463">
        <f>INDEX($B$164:$M$173,MATCH($Q$127,$B$164:$B$173,0),MATCH($P$119,$B$164:$M$164,0))*-1</f>
        <v>-1059.8399999999999</v>
      </c>
      <c r="T127" s="463">
        <f>INDEX($B$142:$M$151,MATCH($Q$127,$B$142:$B$151,0),MATCH($P$119,$B$142:$M$142,0))</f>
        <v>842.94</v>
      </c>
      <c r="U127" s="463">
        <f>INDEX($B$175:$M$184,MATCH($Q$127,$B$175:$B$184,0),MATCH($P$119,$B$175:$M$175,0))</f>
        <v>974.64</v>
      </c>
      <c r="V127" s="463">
        <f>INDEX($B$153:$M$162,MATCH($Q$127,$B$153:$B$162,0),MATCH($P$119,$B$153:$M$153,0))</f>
        <v>862.05</v>
      </c>
      <c r="W127" s="463">
        <f>INDEX($B$186:$M$195,MATCH($Q$127,$B$186:$B$195,0),MATCH($P$119,$B$186:$M$186,0))</f>
        <v>1023.82</v>
      </c>
      <c r="X127" s="483">
        <f t="shared" si="16"/>
        <v>0.65857627429409604</v>
      </c>
      <c r="Y127" s="483">
        <f t="shared" si="17"/>
        <v>-3.7794646424290756</v>
      </c>
      <c r="Z127" s="536">
        <f t="shared" si="18"/>
        <v>0.84199370983180633</v>
      </c>
      <c r="AA127" s="463">
        <f t="shared" si="19"/>
        <v>1023.82</v>
      </c>
      <c r="AB127" s="470">
        <f t="shared" si="20"/>
        <v>0.96220535357570924</v>
      </c>
      <c r="AC127" s="470">
        <f t="shared" si="21"/>
        <v>0.91961050724637683</v>
      </c>
      <c r="AD127" s="453" t="str">
        <f t="shared" si="22"/>
        <v>Profissionais não qualificados</v>
      </c>
      <c r="AN127" s="453" t="s">
        <v>465</v>
      </c>
      <c r="AQ127" s="453" t="s">
        <v>421</v>
      </c>
      <c r="AR127" s="503"/>
      <c r="AS127" s="483" t="str">
        <f>+VLOOKUP(AS125,$AB$120:$AD$128,COLUMN($AD$120)-27,0)</f>
        <v>Quadros superiores</v>
      </c>
      <c r="AT127" s="503" t="s">
        <v>396</v>
      </c>
      <c r="AU127" s="483" t="str">
        <f>+VLOOKUP(AU125,$AC$120:$AD$128,COLUMN($AD$120)-28,0)</f>
        <v>Quadros superiores</v>
      </c>
      <c r="AV127" s="503" t="s">
        <v>396</v>
      </c>
      <c r="AX127" s="458"/>
      <c r="AY127" s="458"/>
    </row>
    <row r="128" spans="1:51">
      <c r="B128" s="453" t="str">
        <f>+Aux!$B$114</f>
        <v>Praticantes e aprendizes</v>
      </c>
      <c r="C128" s="453">
        <f>+'q18'!$C$29</f>
        <v>75916</v>
      </c>
      <c r="D128" s="453">
        <f>+'q18'!$D$29</f>
        <v>77732</v>
      </c>
      <c r="E128" s="453">
        <f>+'q18'!$E$29</f>
        <v>77332</v>
      </c>
      <c r="F128" s="453">
        <f>+'q18'!$F$29</f>
        <v>80226</v>
      </c>
      <c r="G128" s="453">
        <f>+'q18'!$G$29</f>
        <v>83279</v>
      </c>
      <c r="H128" s="453">
        <f>+'q18'!$H$29</f>
        <v>83612</v>
      </c>
      <c r="I128" s="453">
        <f>+'q18'!$I$29</f>
        <v>67374</v>
      </c>
      <c r="J128" s="453">
        <f>+'q18'!$J$29</f>
        <v>71949</v>
      </c>
      <c r="K128" s="453">
        <f>+'q18'!$K$29</f>
        <v>77132</v>
      </c>
      <c r="L128" s="453">
        <f>+'q18'!$L$29</f>
        <v>77066</v>
      </c>
      <c r="M128" s="453">
        <f>+'q18'!$M$29</f>
        <v>74950</v>
      </c>
      <c r="Q128" s="453" t="s">
        <v>51</v>
      </c>
      <c r="R128" s="463">
        <f>INDEX($B$131:$M$140,MATCH($Q$128,$B$131:$B$140,0),MATCH($P$119,$B$131:$M$131,0))*-1</f>
        <v>-891.14</v>
      </c>
      <c r="S128" s="463">
        <f>INDEX($B$164:$M$173,MATCH($Q$128,$B$164:$B$173,0),MATCH($P$119,$B$164:$M$164,0))*-1</f>
        <v>-1064.74</v>
      </c>
      <c r="T128" s="463">
        <f>INDEX($B$142:$M$151,MATCH($Q$128,$B$142:$B$151,0),MATCH($P$119,$B$142:$M$142,0))</f>
        <v>874.36</v>
      </c>
      <c r="U128" s="463">
        <f>INDEX($B$175:$M$184,MATCH($Q$128,$B$175:$B$184,0),MATCH($P$119,$B$175:$M$175,0))</f>
        <v>1024.3699999999999</v>
      </c>
      <c r="V128" s="463">
        <f>INDEX($B$153:$M$162,MATCH($Q$128,$B$153:$B$162,0),MATCH($P$119,$B$153:$M$153,0))</f>
        <v>884.68</v>
      </c>
      <c r="W128" s="463">
        <f>INDEX($B$186:$M$195,MATCH($Q$128,$B$186:$B$195,0),MATCH($P$119,$B$186:$M$186,0))</f>
        <v>1049.19</v>
      </c>
      <c r="X128" s="483">
        <f t="shared" si="16"/>
        <v>0.67586480870309251</v>
      </c>
      <c r="Y128" s="483">
        <f t="shared" si="17"/>
        <v>-1.8829813497318049</v>
      </c>
      <c r="Z128" s="536">
        <f t="shared" si="18"/>
        <v>0.84320285172371057</v>
      </c>
      <c r="AA128" s="463">
        <f t="shared" si="19"/>
        <v>1049.19</v>
      </c>
      <c r="AB128" s="470">
        <f t="shared" si="20"/>
        <v>0.98117018650268195</v>
      </c>
      <c r="AC128" s="470">
        <f t="shared" si="21"/>
        <v>0.96208464038168928</v>
      </c>
      <c r="AD128" s="453" t="str">
        <f t="shared" si="22"/>
        <v>Praticantes e aprendizes</v>
      </c>
      <c r="AN128" s="483" t="str">
        <f>+VLOOKUP(AN126,$V$120:$AE$1283,COLUMN($AD$120)-21,0)</f>
        <v>Profissionais não qualificados</v>
      </c>
      <c r="AQ128" s="483">
        <f>+LARGE($AA$121:$AA$128,1)</f>
        <v>2980.13</v>
      </c>
      <c r="AR128" s="453" t="str">
        <f>+TEXT(AQ128,"##.### €")</f>
        <v>2.980 €</v>
      </c>
      <c r="AS128" s="503">
        <f>+LARGE(AB121:AB128,1)</f>
        <v>0.98117018650268195</v>
      </c>
      <c r="AT128" s="453" t="str">
        <f>+TEXT(AS128,"##.###,0%")</f>
        <v>98,1%</v>
      </c>
      <c r="AU128" s="503">
        <f>+LARGE(AC121:AC128,1)</f>
        <v>0.96208464038168928</v>
      </c>
      <c r="AV128" s="453" t="str">
        <f>+TEXT(AU128,"##.###,0%")</f>
        <v>96,2%</v>
      </c>
      <c r="AW128" s="503"/>
      <c r="AX128" s="458"/>
      <c r="AY128" s="458"/>
    </row>
    <row r="129" spans="1:51">
      <c r="B129" s="453" t="str">
        <f>+Aux!$B$115</f>
        <v>Total</v>
      </c>
      <c r="C129" s="453">
        <f>+'q18'!$C$5</f>
        <v>2458163</v>
      </c>
      <c r="D129" s="453">
        <f>+'q18'!$D$5</f>
        <v>2537653</v>
      </c>
      <c r="E129" s="453">
        <f>+'q18'!$E$5</f>
        <v>2641919</v>
      </c>
      <c r="F129" s="453">
        <f>+'q18'!$F$5</f>
        <v>2767521</v>
      </c>
      <c r="G129" s="453">
        <f>+'q18'!$G$5</f>
        <v>2877918</v>
      </c>
      <c r="H129" s="453">
        <f>+'q18'!$H$5</f>
        <v>2930482</v>
      </c>
      <c r="I129" s="453">
        <f>+'q18'!$I$5</f>
        <v>2902825</v>
      </c>
      <c r="J129" s="453">
        <f>+'q18'!$J$5</f>
        <v>2922343</v>
      </c>
      <c r="K129" s="453">
        <f>+'q18'!$K$5</f>
        <v>3148147</v>
      </c>
      <c r="L129" s="453">
        <f>+'q18'!$L$5</f>
        <v>3296134</v>
      </c>
      <c r="M129" s="453">
        <f>+'q18'!$M$5</f>
        <v>3354136</v>
      </c>
      <c r="Q129" s="453" t="s">
        <v>11</v>
      </c>
      <c r="R129" s="463">
        <f>INDEX($B$131:$M$140,MATCH($Q$129,$B$131:$B$140,0),MATCH($P$119,$B$131:$M$131,0))*-1</f>
        <v>-1383.38</v>
      </c>
      <c r="S129" s="463">
        <f>INDEX($B$164:$M$173,MATCH($Q$129,$B$164:$B$173,0),MATCH($P$119,$B$164:$M$164,0))*-1</f>
        <v>-1693.55</v>
      </c>
      <c r="T129" s="463">
        <f>INDEX($B$142:$M$151,MATCH($Q$129,$B$142:$B$151,0),MATCH($P$119,$B$142:$M$142,0))</f>
        <v>1216.8499999999999</v>
      </c>
      <c r="U129" s="463">
        <f>INDEX($B$175:$M$184,MATCH($Q$129,$B$175:$B$184,0),MATCH($P$119,$B$175:$M$175,0))</f>
        <v>1445.59</v>
      </c>
      <c r="V129" s="463">
        <f>INDEX($B$153:$M$162,MATCH($Q$129,$B$153:$B$162,0),MATCH($P$119,$B$153:$M$153,0))</f>
        <v>1308.96</v>
      </c>
      <c r="W129" s="463">
        <f>INDEX($B$186:$M$195,MATCH($Q$129,$B$186:$B$195,0),MATCH($P$119,$B$186:$M$186,0))</f>
        <v>1582.75</v>
      </c>
      <c r="Y129" s="483"/>
      <c r="Z129" s="536">
        <f t="shared" si="18"/>
        <v>0.82701626915179283</v>
      </c>
      <c r="AA129" s="463">
        <f t="shared" si="19"/>
        <v>1582.75</v>
      </c>
      <c r="AB129" s="536">
        <f t="shared" si="20"/>
        <v>0.87962092845060635</v>
      </c>
      <c r="AC129" s="470">
        <f t="shared" si="21"/>
        <v>0.85358566325174923</v>
      </c>
      <c r="AN129" s="453" t="s">
        <v>418</v>
      </c>
      <c r="AQ129" s="453" t="s">
        <v>473</v>
      </c>
      <c r="AR129" s="503"/>
      <c r="AS129" s="503" t="s">
        <v>464</v>
      </c>
      <c r="AU129" s="503" t="s">
        <v>464</v>
      </c>
      <c r="AW129" s="503"/>
      <c r="AX129" s="458"/>
      <c r="AY129" s="458"/>
    </row>
    <row r="130" spans="1:51">
      <c r="R130" s="483"/>
      <c r="T130" s="483"/>
      <c r="AN130" s="453">
        <f>+LARGE(V121:V128,1)</f>
        <v>2526.42</v>
      </c>
      <c r="AO130" s="453" t="str">
        <f>+TEXT(AN130,"##.### €")</f>
        <v>2.526 €</v>
      </c>
      <c r="AR130" s="503"/>
      <c r="AS130" s="483" t="str">
        <f>+VLOOKUP(AS128,$AB$120:$AD$128,COLUMN($AD$120)-27,0)</f>
        <v>Praticantes e aprendizes</v>
      </c>
      <c r="AT130" s="503" t="s">
        <v>397</v>
      </c>
      <c r="AU130" s="483" t="str">
        <f>+VLOOKUP(AU128,$AC$120:$AD$128,COLUMN($AD$120)-28,0)</f>
        <v>Praticantes e aprendizes</v>
      </c>
      <c r="AV130" s="503" t="s">
        <v>397</v>
      </c>
      <c r="AW130" s="503"/>
      <c r="AX130" s="458"/>
      <c r="AY130" s="458"/>
    </row>
    <row r="131" spans="1:51">
      <c r="A131" s="461" t="s">
        <v>343</v>
      </c>
      <c r="C131" s="423">
        <f>+'q17'!$C$4</f>
        <v>2014</v>
      </c>
      <c r="D131" s="423">
        <f>+'q17'!$D$4</f>
        <v>2015</v>
      </c>
      <c r="E131" s="423">
        <f>+'q17'!$E$4</f>
        <v>2016</v>
      </c>
      <c r="F131" s="423">
        <f>+'q17'!$F$4</f>
        <v>2017</v>
      </c>
      <c r="G131" s="423">
        <f>+'q17'!$G$4</f>
        <v>2018</v>
      </c>
      <c r="H131" s="423">
        <f>+'q17'!$H$4</f>
        <v>2019</v>
      </c>
      <c r="I131" s="423">
        <f>+'q17'!$I$4</f>
        <v>2020</v>
      </c>
      <c r="J131" s="423">
        <f>+'q17'!$J$4</f>
        <v>2021</v>
      </c>
      <c r="K131" s="423">
        <f>+'q17'!$K$4</f>
        <v>2022</v>
      </c>
      <c r="L131" s="423">
        <f>+'q17'!$L$4</f>
        <v>2023</v>
      </c>
      <c r="M131" s="423">
        <f>+'q17'!$M$4</f>
        <v>2024</v>
      </c>
      <c r="R131" s="453" t="s">
        <v>11</v>
      </c>
      <c r="S131" s="453" t="s">
        <v>47</v>
      </c>
      <c r="T131" s="453" t="s">
        <v>48</v>
      </c>
      <c r="U131" s="453" t="s">
        <v>352</v>
      </c>
      <c r="V131" s="453" t="s">
        <v>350</v>
      </c>
      <c r="W131" s="453" t="s">
        <v>49</v>
      </c>
      <c r="X131" s="453" t="s">
        <v>351</v>
      </c>
      <c r="Y131" s="453" t="s">
        <v>50</v>
      </c>
      <c r="Z131" s="453" t="s">
        <v>51</v>
      </c>
      <c r="AN131" s="453" t="s">
        <v>465</v>
      </c>
      <c r="AP131" s="483"/>
      <c r="AR131" s="503"/>
      <c r="AS131" s="503"/>
      <c r="AT131" s="503"/>
      <c r="AU131" s="503"/>
      <c r="AV131" s="503"/>
      <c r="AW131" s="503"/>
      <c r="AX131" s="458"/>
      <c r="AY131" s="458"/>
    </row>
    <row r="132" spans="1:51">
      <c r="A132" s="461" t="s">
        <v>115</v>
      </c>
      <c r="B132" s="453" t="str">
        <f>+Aux!$B$107</f>
        <v>Quadros superiores</v>
      </c>
      <c r="C132" s="458">
        <f>+'q27'!$C$9</f>
        <v>2309.1799999999998</v>
      </c>
      <c r="D132" s="458">
        <f>+'q27'!$D$9</f>
        <v>2316.87</v>
      </c>
      <c r="E132" s="458">
        <f>+'q27'!$E$9</f>
        <v>2318.81</v>
      </c>
      <c r="F132" s="458">
        <f>+'q27'!$F$9</f>
        <v>2339.4699999999998</v>
      </c>
      <c r="G132" s="458">
        <f>+'q27'!$G$9</f>
        <v>2364.11</v>
      </c>
      <c r="H132" s="458">
        <f>+'q27'!$H$9</f>
        <v>2384.6799999999998</v>
      </c>
      <c r="I132" s="458">
        <f>+'q27'!$I$9</f>
        <v>2391.21</v>
      </c>
      <c r="J132" s="458">
        <f>+'q27'!$J$9</f>
        <v>2428.31</v>
      </c>
      <c r="K132" s="458">
        <f>+'q27'!$K$9</f>
        <v>2558.3000000000002</v>
      </c>
      <c r="L132" s="458">
        <f>+'q27'!$L$9</f>
        <v>2702.18</v>
      </c>
      <c r="M132" s="458">
        <f>+'q27'!$M$9</f>
        <v>2865.98</v>
      </c>
      <c r="Q132" s="423" t="s">
        <v>370</v>
      </c>
      <c r="R132" s="463">
        <f>INDEX($B$153:$M$162,MATCH($Q$129,$B$153:$B$162,0),MATCH($P$119,$B$153:$M$153,0))</f>
        <v>1308.96</v>
      </c>
      <c r="S132" s="463">
        <f>INDEX($B$153:$M$162,MATCH($Q$121,$B$153:$B$162,0),MATCH($P$119,$B$153:$M$153,0))</f>
        <v>2526.42</v>
      </c>
      <c r="T132" s="463">
        <f>INDEX($B$153:$M$162,MATCH($Q$122,$B$153:$B$162,0),MATCH($P$119,$B$153:$M$153,0))</f>
        <v>1819.65</v>
      </c>
      <c r="U132" s="463">
        <f>INDEX($B$153:$M$162,MATCH($Q$123,$B$153:$B$162,0),MATCH($P$119,$B$153:$M$153,0))</f>
        <v>1789.03</v>
      </c>
      <c r="V132" s="463">
        <f>INDEX($B$153:$M$162,MATCH($Q$124,$B$153:$B$162,0),MATCH($P$119,$B$153:$M$153,0))</f>
        <v>1412.04</v>
      </c>
      <c r="W132" s="463">
        <f>INDEX($B$153:$M$162,MATCH($Q$125,$B$153:$B$162,0),MATCH($P$119,$B$153:$M$153,0))</f>
        <v>1055.9100000000001</v>
      </c>
      <c r="X132" s="463">
        <f>INDEX($B$153:$M$162,MATCH($Q$126,$B$153:$B$162,0),MATCH($P$119,$B$153:$M$153,0))</f>
        <v>911.18</v>
      </c>
      <c r="Y132" s="463">
        <f>INDEX($B$153:$M$162,MATCH($Q$127,$B$153:$B$162,0),MATCH($P$119,$B$153:$M$153,0))</f>
        <v>862.05</v>
      </c>
      <c r="Z132" s="463">
        <f>INDEX($B$153:$M$162,MATCH($Q$128,$B$153:$B$162,0),MATCH($P$119,$B$153:$M$153,0))</f>
        <v>884.68</v>
      </c>
      <c r="AA132" s="463"/>
      <c r="AB132" s="463"/>
      <c r="AN132" s="483" t="str">
        <f>+VLOOKUP(AN130,$V$120:$AE$1283,COLUMN($AD$120)-21,0)</f>
        <v>Quadros superiores</v>
      </c>
      <c r="AO132" s="453" t="s">
        <v>397</v>
      </c>
      <c r="AX132" s="458"/>
      <c r="AY132" s="458"/>
    </row>
    <row r="133" spans="1:51">
      <c r="B133" s="453" t="str">
        <f>+Aux!$B$108</f>
        <v>Quadros médios</v>
      </c>
      <c r="C133" s="458">
        <f>+'q27'!$C$12</f>
        <v>1510.77</v>
      </c>
      <c r="D133" s="458">
        <f>+'q27'!$D$12</f>
        <v>1523.32</v>
      </c>
      <c r="E133" s="458">
        <f>+'q27'!$E$12</f>
        <v>1525.48</v>
      </c>
      <c r="F133" s="458">
        <f>+'q27'!$F$12</f>
        <v>1538.7</v>
      </c>
      <c r="G133" s="458">
        <f>+'q27'!$G$12</f>
        <v>1560.48</v>
      </c>
      <c r="H133" s="458">
        <f>+'q27'!$H$12</f>
        <v>1591.61</v>
      </c>
      <c r="I133" s="458">
        <f>+'q27'!$I$12</f>
        <v>1597.2</v>
      </c>
      <c r="J133" s="458">
        <f>+'q27'!$J$12</f>
        <v>1632.07</v>
      </c>
      <c r="K133" s="458">
        <f>+'q27'!$K$12</f>
        <v>1748.11</v>
      </c>
      <c r="L133" s="458">
        <f>+'q27'!$L$12</f>
        <v>1872.23</v>
      </c>
      <c r="M133" s="458">
        <f>+'q27'!$M$12</f>
        <v>1964.59</v>
      </c>
      <c r="Q133" s="423" t="s">
        <v>263</v>
      </c>
      <c r="R133" s="463">
        <f>INDEX($B$186:$M$195,MATCH($Q$129,$B$186:$B$195,0),MATCH($P$119,$B$186:$M$186,0))</f>
        <v>1582.75</v>
      </c>
      <c r="S133" s="463">
        <f>INDEX($B$186:$M$195,MATCH($Q$121,$B$186:$B$195,0),MATCH($P$119,$B$186:$M$186,0))</f>
        <v>2980.13</v>
      </c>
      <c r="T133" s="463">
        <f>INDEX($B$186:$M$195,MATCH($Q$122,$B$186:$B$195,0),MATCH($P$119,$B$186:$M$186,0))</f>
        <v>2178.6</v>
      </c>
      <c r="U133" s="463">
        <f>INDEX($B$186:$M$195,MATCH($Q$123,$B$186:$B$195,0),MATCH($P$119,$B$186:$M$186,0))</f>
        <v>2159.09</v>
      </c>
      <c r="V133" s="463">
        <f>INDEX($B$186:$M$195,MATCH($Q$124,$B$186:$B$195,0),MATCH($P$119,$B$186:$M$186,0))</f>
        <v>1757.96</v>
      </c>
      <c r="W133" s="463">
        <f>INDEX($B$186:$M$195,MATCH($Q$125,$B$186:$B$195,0),MATCH($P$119,$B$186:$M$186,0))</f>
        <v>1295.24</v>
      </c>
      <c r="X133" s="463">
        <f>INDEX($B$186:$M$195,MATCH($Q$126,$B$186:$B$195,0),MATCH($P$119,$B$186:$M$186,0))</f>
        <v>1104.49</v>
      </c>
      <c r="Y133" s="463">
        <f>INDEX($B$186:$M$195,MATCH($Q$127,$B$186:$B$195,0),MATCH($P$119,$B$186:$M$186,0))</f>
        <v>1023.82</v>
      </c>
      <c r="Z133" s="463">
        <f>INDEX($B$186:$M$195,MATCH($Q$128,$B$186:$B$195,0),MATCH($P$119,$B$186:$M$186,0))</f>
        <v>1049.19</v>
      </c>
      <c r="AA133" s="463"/>
      <c r="AB133" s="463"/>
      <c r="AN133" s="423"/>
      <c r="AO133" s="458"/>
      <c r="AP133" s="458"/>
      <c r="AQ133" s="458"/>
      <c r="AR133" s="458"/>
      <c r="AS133" s="458"/>
      <c r="AT133" s="458"/>
      <c r="AU133" s="458"/>
      <c r="AV133" s="458"/>
      <c r="AW133" s="458"/>
      <c r="AX133" s="458"/>
      <c r="AY133" s="458"/>
    </row>
    <row r="134" spans="1:51">
      <c r="B134" s="453" t="str">
        <f>+Aux!$B$109</f>
        <v>Encarregados, contramestres e chefes de equipa</v>
      </c>
      <c r="C134" s="458">
        <f>+'q27'!$C$15</f>
        <v>1324.49</v>
      </c>
      <c r="D134" s="458">
        <f>+'q27'!$D$15</f>
        <v>1337.21</v>
      </c>
      <c r="E134" s="458">
        <f>+'q27'!$E$15</f>
        <v>1360.2</v>
      </c>
      <c r="F134" s="458">
        <f>+'q27'!$F$15</f>
        <v>1373.74</v>
      </c>
      <c r="G134" s="458">
        <f>+'q27'!$G$15</f>
        <v>1400.55</v>
      </c>
      <c r="H134" s="458">
        <f>+'q27'!$H$15</f>
        <v>1449.64</v>
      </c>
      <c r="I134" s="458">
        <f>+'q27'!$I$15</f>
        <v>1490.41</v>
      </c>
      <c r="J134" s="458">
        <f>+'q27'!$J$15</f>
        <v>1535.87</v>
      </c>
      <c r="K134" s="458">
        <f>+'q27'!$K$15</f>
        <v>1609.69</v>
      </c>
      <c r="L134" s="458">
        <f>+'q27'!$L$15</f>
        <v>1701.91</v>
      </c>
      <c r="M134" s="458">
        <f>+'q27'!$M$15</f>
        <v>1828.64</v>
      </c>
    </row>
    <row r="135" spans="1:51" ht="12" customHeight="1">
      <c r="B135" s="453" t="str">
        <f>+Aux!$B$110</f>
        <v>Profissionais altamente qualificados</v>
      </c>
      <c r="C135" s="458">
        <f>+'q27'!$C$18</f>
        <v>1228.08</v>
      </c>
      <c r="D135" s="458">
        <f>+'q27'!$D$18</f>
        <v>1255.19</v>
      </c>
      <c r="E135" s="458">
        <f>+'q27'!$E$18</f>
        <v>1253.52</v>
      </c>
      <c r="F135" s="458">
        <f>+'q27'!$F$18</f>
        <v>1259.5999999999999</v>
      </c>
      <c r="G135" s="458">
        <f>+'q27'!$G$18</f>
        <v>1281.42</v>
      </c>
      <c r="H135" s="458">
        <f>+'q27'!$H$18</f>
        <v>1260.44</v>
      </c>
      <c r="I135" s="458">
        <f>+'q27'!$I$18</f>
        <v>1284.72</v>
      </c>
      <c r="J135" s="458">
        <f>+'q27'!$J$18</f>
        <v>1304.53</v>
      </c>
      <c r="K135" s="458">
        <f>+'q27'!$K$18</f>
        <v>1348.41</v>
      </c>
      <c r="L135" s="458">
        <f>+'q27'!$L$18</f>
        <v>1437.35</v>
      </c>
      <c r="M135" s="458">
        <f>+'q27'!$M$18</f>
        <v>1516.81</v>
      </c>
      <c r="AN135" s="502" t="str">
        <f>CONCATENATE(AN122," - ",AO122,CHAR(10),AN123," ",AN124,AN125," ",AO126,AN127,AN128,AN129," ",AO130,AN131,AN132,AO132,CHAR(10),AQ123," ",AQ124," ",AR125," "," ",AQ127," ",AR128,AQ129)</f>
        <v>2024 - Continente:
Base: 82,7% do Ganho, entre 862 €  (Profissionais não qualificados) e  2.526 €  (Quadros superiores).
Ganho: Entre 1.024 €  e 2.980 €, nos mesmos níveis de qualificação, respetivamente.</v>
      </c>
      <c r="AO135" s="539"/>
      <c r="AP135" s="539"/>
      <c r="AQ135" s="539"/>
      <c r="AR135" s="539"/>
      <c r="AS135" s="539"/>
      <c r="AT135" s="539"/>
      <c r="AU135" s="539"/>
      <c r="AV135" s="539"/>
    </row>
    <row r="136" spans="1:51">
      <c r="B136" s="453" t="str">
        <f>+Aux!$B$111</f>
        <v>Profissionais qualificados</v>
      </c>
      <c r="C136" s="458">
        <f>+'q27'!$C$21</f>
        <v>755.75</v>
      </c>
      <c r="D136" s="458">
        <f>+'q27'!$D$21</f>
        <v>762.14</v>
      </c>
      <c r="E136" s="458">
        <f>+'q27'!$E$21</f>
        <v>768.86</v>
      </c>
      <c r="F136" s="458">
        <f>+'q27'!$F$21</f>
        <v>774.33</v>
      </c>
      <c r="G136" s="458">
        <f>+'q27'!$G$21</f>
        <v>798.21</v>
      </c>
      <c r="H136" s="458">
        <f>+'q27'!$H$21</f>
        <v>840.48</v>
      </c>
      <c r="I136" s="458">
        <f>+'q27'!$I$21</f>
        <v>866.46</v>
      </c>
      <c r="J136" s="458">
        <f>+'q27'!$J$21</f>
        <v>897.9</v>
      </c>
      <c r="K136" s="458">
        <f>+'q27'!$K$21</f>
        <v>944.17</v>
      </c>
      <c r="L136" s="458">
        <f>+'q27'!$L$21</f>
        <v>1006.52</v>
      </c>
      <c r="M136" s="458">
        <f>+'q27'!$M$21</f>
        <v>1083.82</v>
      </c>
      <c r="Q136" s="471" t="s">
        <v>364</v>
      </c>
      <c r="R136" s="463">
        <f>+R129*-1</f>
        <v>1383.38</v>
      </c>
      <c r="AN136" s="539"/>
      <c r="AO136" s="539"/>
      <c r="AP136" s="539"/>
      <c r="AQ136" s="539"/>
      <c r="AR136" s="539"/>
      <c r="AS136" s="539"/>
      <c r="AT136" s="539"/>
      <c r="AU136" s="539"/>
      <c r="AV136" s="539"/>
      <c r="AW136" s="423"/>
      <c r="AX136" s="423"/>
      <c r="AY136" s="423"/>
    </row>
    <row r="137" spans="1:51">
      <c r="B137" s="453" t="str">
        <f>+Aux!$B$112</f>
        <v>Profissionais semi-qualificados</v>
      </c>
      <c r="C137" s="458">
        <f>+'q27'!$C$24</f>
        <v>640.07000000000005</v>
      </c>
      <c r="D137" s="458">
        <f>+'q27'!$D$24</f>
        <v>635.4</v>
      </c>
      <c r="E137" s="458">
        <f>+'q27'!$E$24</f>
        <v>647.95000000000005</v>
      </c>
      <c r="F137" s="458">
        <f>+'q27'!$F$24</f>
        <v>682.16</v>
      </c>
      <c r="G137" s="458">
        <f>+'q27'!$G$24</f>
        <v>706.7</v>
      </c>
      <c r="H137" s="458">
        <f>+'q27'!$H$24</f>
        <v>739.94</v>
      </c>
      <c r="I137" s="458">
        <f>+'q27'!$I$24</f>
        <v>766.71</v>
      </c>
      <c r="J137" s="458">
        <f>+'q27'!$J$24</f>
        <v>807.22</v>
      </c>
      <c r="K137" s="458">
        <f>+'q27'!$K$24</f>
        <v>851.03</v>
      </c>
      <c r="L137" s="458">
        <f>+'q27'!$L$24</f>
        <v>890.82</v>
      </c>
      <c r="M137" s="458">
        <f>+'q27'!$M$24</f>
        <v>945.97</v>
      </c>
      <c r="Q137" s="471" t="s">
        <v>368</v>
      </c>
      <c r="R137" s="463">
        <f>+S129*-1</f>
        <v>1693.55</v>
      </c>
      <c r="AN137" s="540" t="str">
        <f>+CONCATENATE(AN122,":",CHAR(10),AS123," ",AS124," ",AT124," ",AT125,AS126,AS127," ",AT127," ",AT128,AS129,AS130,AT130,CHAR(10),AU123," ",AU124,AV124,AV125,AU126,AU127,AV127," ",AV128,AU129,AU130,AV130)</f>
        <v>2024:
Base Mulheres = 88,0%  da dos Homens (H), entre  74,6% da dos H (Quadros superiores ) e 98,1% (Praticantes e aprendizes).
Ganho Mulheres = 85,4% da dos H, entre 74,7% da dos H (Quadros superiores) e 96,2% (Praticantes e aprendizes).</v>
      </c>
      <c r="AO137" s="539"/>
      <c r="AP137" s="539"/>
      <c r="AQ137" s="539"/>
      <c r="AR137" s="539"/>
      <c r="AS137" s="539"/>
      <c r="AT137" s="539"/>
      <c r="AU137" s="539"/>
      <c r="AV137" s="539"/>
      <c r="AW137" s="458"/>
      <c r="AX137" s="458"/>
      <c r="AY137" s="458"/>
    </row>
    <row r="138" spans="1:51">
      <c r="B138" s="453" t="str">
        <f>+Aux!$B$113</f>
        <v>Profissionais não qualificados</v>
      </c>
      <c r="C138" s="458">
        <f>+'q27'!$C$27</f>
        <v>597.67999999999995</v>
      </c>
      <c r="D138" s="458">
        <f>+'q27'!$D$27</f>
        <v>598.42999999999995</v>
      </c>
      <c r="E138" s="458">
        <f>+'q27'!$E$27</f>
        <v>610.32000000000005</v>
      </c>
      <c r="F138" s="458">
        <f>+'q27'!$F$27</f>
        <v>629.11</v>
      </c>
      <c r="G138" s="458">
        <f>+'q27'!$G$27</f>
        <v>648.84</v>
      </c>
      <c r="H138" s="458">
        <f>+'q27'!$H$27</f>
        <v>667.65</v>
      </c>
      <c r="I138" s="458">
        <f>+'q27'!$I$27</f>
        <v>702.96</v>
      </c>
      <c r="J138" s="458">
        <f>+'q27'!$J$27</f>
        <v>730.65</v>
      </c>
      <c r="K138" s="458">
        <f>+'q27'!$K$27</f>
        <v>762.66</v>
      </c>
      <c r="L138" s="458">
        <f>+'q27'!$L$27</f>
        <v>820.99</v>
      </c>
      <c r="M138" s="458">
        <f>+'q27'!$M$27</f>
        <v>876.05</v>
      </c>
      <c r="AN138" s="539"/>
      <c r="AO138" s="539"/>
      <c r="AP138" s="539"/>
      <c r="AQ138" s="539"/>
      <c r="AR138" s="539"/>
      <c r="AS138" s="539"/>
      <c r="AT138" s="539"/>
      <c r="AU138" s="539"/>
      <c r="AV138" s="539"/>
      <c r="AW138" s="458"/>
      <c r="AX138" s="458"/>
      <c r="AY138" s="458"/>
    </row>
    <row r="139" spans="1:51">
      <c r="B139" s="453" t="str">
        <f>+Aux!$B$114</f>
        <v>Praticantes e aprendizes</v>
      </c>
      <c r="C139" s="458">
        <f>+'q27'!$C$30</f>
        <v>576.71</v>
      </c>
      <c r="D139" s="458">
        <f>+'q27'!$D$30</f>
        <v>577.57000000000005</v>
      </c>
      <c r="E139" s="458">
        <f>+'q27'!$E$30</f>
        <v>591.55999999999995</v>
      </c>
      <c r="F139" s="458">
        <f>+'q27'!$F$30</f>
        <v>616.5</v>
      </c>
      <c r="G139" s="458">
        <f>+'q27'!$G$30</f>
        <v>643.97</v>
      </c>
      <c r="H139" s="458">
        <f>+'q27'!$H$30</f>
        <v>668.26</v>
      </c>
      <c r="I139" s="458">
        <f>+'q27'!$I$30</f>
        <v>700.41</v>
      </c>
      <c r="J139" s="458">
        <f>+'q27'!$J$30</f>
        <v>734</v>
      </c>
      <c r="K139" s="458">
        <f>+'q27'!$K$30</f>
        <v>775.21</v>
      </c>
      <c r="L139" s="458">
        <f>+'q27'!$L$30</f>
        <v>832.8</v>
      </c>
      <c r="M139" s="458">
        <f>+'q27'!$M$30</f>
        <v>891.14</v>
      </c>
      <c r="AN139" s="539"/>
      <c r="AO139" s="539"/>
      <c r="AP139" s="539"/>
      <c r="AQ139" s="539"/>
      <c r="AR139" s="539"/>
      <c r="AS139" s="539"/>
      <c r="AT139" s="539"/>
      <c r="AU139" s="539"/>
      <c r="AV139" s="539"/>
      <c r="AW139" s="458"/>
      <c r="AX139" s="458"/>
      <c r="AY139" s="458"/>
    </row>
    <row r="140" spans="1:51">
      <c r="B140" s="453" t="str">
        <f>+Aux!$B$115</f>
        <v>Total</v>
      </c>
      <c r="C140" s="458">
        <f>+'q27'!$C$6</f>
        <v>985.02</v>
      </c>
      <c r="D140" s="458">
        <f>+'q27'!$D$6</f>
        <v>990.05</v>
      </c>
      <c r="E140" s="458">
        <f>+'q27'!$E$6</f>
        <v>997.38</v>
      </c>
      <c r="F140" s="458">
        <f>+'q27'!$F$6</f>
        <v>1012.25</v>
      </c>
      <c r="G140" s="458">
        <f>+'q27'!$G$6</f>
        <v>1039.08</v>
      </c>
      <c r="H140" s="458">
        <f>+'q27'!$H$6</f>
        <v>1073.82</v>
      </c>
      <c r="I140" s="458">
        <f>+'q27'!$I$6</f>
        <v>1109.21</v>
      </c>
      <c r="J140" s="458">
        <f>+'q27'!$J$6</f>
        <v>1152.24</v>
      </c>
      <c r="K140" s="458">
        <f>+'q27'!$K$6</f>
        <v>1217.33</v>
      </c>
      <c r="L140" s="458">
        <f>+'q27'!$L$6</f>
        <v>1294.03</v>
      </c>
      <c r="M140" s="458">
        <f>+'q27'!$M$6</f>
        <v>1383.38</v>
      </c>
      <c r="AN140" s="423"/>
      <c r="AO140" s="458"/>
      <c r="AP140" s="458"/>
      <c r="AQ140" s="458"/>
      <c r="AR140" s="458"/>
      <c r="AS140" s="458"/>
      <c r="AT140" s="458"/>
      <c r="AU140" s="458"/>
      <c r="AV140" s="458"/>
      <c r="AW140" s="458"/>
      <c r="AX140" s="458"/>
      <c r="AY140" s="458"/>
    </row>
    <row r="141" spans="1:51" ht="12" customHeight="1">
      <c r="AO141" s="540"/>
      <c r="AP141" s="540"/>
      <c r="AQ141" s="540"/>
      <c r="AR141" s="540"/>
      <c r="AS141" s="540"/>
      <c r="AT141" s="540"/>
      <c r="AU141" s="540"/>
      <c r="AV141" s="540"/>
      <c r="AW141" s="458"/>
      <c r="AX141" s="458"/>
      <c r="AY141" s="458"/>
    </row>
    <row r="142" spans="1:51">
      <c r="C142" s="423">
        <f>+'q17'!$C$4</f>
        <v>2014</v>
      </c>
      <c r="D142" s="423">
        <f>+'q17'!$D$4</f>
        <v>2015</v>
      </c>
      <c r="E142" s="423">
        <f>+'q17'!$E$4</f>
        <v>2016</v>
      </c>
      <c r="F142" s="423">
        <f>+'q17'!$F$4</f>
        <v>2017</v>
      </c>
      <c r="G142" s="423">
        <f>+'q17'!$G$4</f>
        <v>2018</v>
      </c>
      <c r="H142" s="423">
        <f>+'q17'!$H$4</f>
        <v>2019</v>
      </c>
      <c r="I142" s="423">
        <f>+'q17'!$I$4</f>
        <v>2020</v>
      </c>
      <c r="J142" s="423">
        <f>+'q17'!$J$4</f>
        <v>2021</v>
      </c>
      <c r="K142" s="423">
        <f>+'q17'!$K$4</f>
        <v>2022</v>
      </c>
      <c r="L142" s="423">
        <f>+'q17'!$L$4</f>
        <v>2023</v>
      </c>
      <c r="M142" s="423">
        <f>+'q17'!$M$4</f>
        <v>2024</v>
      </c>
      <c r="AN142" s="540"/>
      <c r="AO142" s="540"/>
      <c r="AP142" s="540"/>
      <c r="AQ142" s="540"/>
      <c r="AR142" s="540"/>
      <c r="AS142" s="540"/>
      <c r="AT142" s="540"/>
      <c r="AU142" s="540"/>
      <c r="AV142" s="540"/>
      <c r="AW142" s="458"/>
      <c r="AX142" s="458"/>
      <c r="AY142" s="458"/>
    </row>
    <row r="143" spans="1:51">
      <c r="A143" s="461" t="s">
        <v>116</v>
      </c>
      <c r="B143" s="453" t="str">
        <f>+Aux!$B$107</f>
        <v>Quadros superiores</v>
      </c>
      <c r="C143" s="458">
        <f>+'q27'!$C$10</f>
        <v>1702.62</v>
      </c>
      <c r="D143" s="458">
        <f>+'q27'!$D$10</f>
        <v>1705.89</v>
      </c>
      <c r="E143" s="458">
        <f>+'q27'!$E$10</f>
        <v>1710.84</v>
      </c>
      <c r="F143" s="458">
        <f>+'q27'!$F$10</f>
        <v>1722.33</v>
      </c>
      <c r="G143" s="458">
        <f>+'q27'!$G$10</f>
        <v>1746.3</v>
      </c>
      <c r="H143" s="458">
        <f>+'q27'!$H$10</f>
        <v>1777.19</v>
      </c>
      <c r="I143" s="458">
        <f>+'q27'!$I$10</f>
        <v>1799.18</v>
      </c>
      <c r="J143" s="458">
        <f>+'q27'!$J$10</f>
        <v>1832.68</v>
      </c>
      <c r="K143" s="458">
        <f>+'q27'!$K$10</f>
        <v>1914.19</v>
      </c>
      <c r="L143" s="458">
        <f>+'q27'!$L$10</f>
        <v>1999.71</v>
      </c>
      <c r="M143" s="458">
        <f>+'q27'!$M$10</f>
        <v>2136.92</v>
      </c>
      <c r="AN143" s="540"/>
      <c r="AO143" s="540"/>
      <c r="AP143" s="540"/>
      <c r="AQ143" s="540"/>
      <c r="AR143" s="540"/>
      <c r="AS143" s="540"/>
      <c r="AT143" s="540"/>
      <c r="AU143" s="540"/>
      <c r="AV143" s="540"/>
      <c r="AW143" s="458"/>
      <c r="AX143" s="458"/>
      <c r="AY143" s="458"/>
    </row>
    <row r="144" spans="1:51">
      <c r="B144" s="453" t="str">
        <f>+Aux!$B$108</f>
        <v>Quadros médios</v>
      </c>
      <c r="C144" s="458">
        <f>+'q27'!$C$13</f>
        <v>1300.3499999999999</v>
      </c>
      <c r="D144" s="458">
        <f>+'q27'!$D$13</f>
        <v>1311.12</v>
      </c>
      <c r="E144" s="458">
        <f>+'q27'!$E$13</f>
        <v>1323.46</v>
      </c>
      <c r="F144" s="458">
        <f>+'q27'!$F$13</f>
        <v>1330.76</v>
      </c>
      <c r="G144" s="458">
        <f>+'q27'!$G$13</f>
        <v>1351.69</v>
      </c>
      <c r="H144" s="458">
        <f>+'q27'!$H$13</f>
        <v>1371.16</v>
      </c>
      <c r="I144" s="458">
        <f>+'q27'!$I$13</f>
        <v>1377.46</v>
      </c>
      <c r="J144" s="458">
        <f>+'q27'!$J$13</f>
        <v>1399.77</v>
      </c>
      <c r="K144" s="458">
        <f>+'q27'!$K$13</f>
        <v>1481.46</v>
      </c>
      <c r="L144" s="458">
        <f>+'q27'!$L$13</f>
        <v>1585.82</v>
      </c>
      <c r="M144" s="458">
        <f>+'q27'!$M$13</f>
        <v>1658.94</v>
      </c>
      <c r="Z144" s="453">
        <f>+COLUMN(Z147)</f>
        <v>26</v>
      </c>
      <c r="AN144" s="540"/>
      <c r="AO144" s="540"/>
      <c r="AP144" s="540"/>
      <c r="AQ144" s="540"/>
      <c r="AR144" s="540"/>
      <c r="AS144" s="540"/>
      <c r="AT144" s="540"/>
      <c r="AU144" s="540"/>
      <c r="AV144" s="540"/>
      <c r="AW144" s="458"/>
      <c r="AX144" s="458"/>
      <c r="AY144" s="458"/>
    </row>
    <row r="145" spans="1:51">
      <c r="B145" s="453" t="str">
        <f>+Aux!$B$109</f>
        <v>Encarregados, contramestres e chefes de equipa</v>
      </c>
      <c r="C145" s="458">
        <f>+'q27'!$C$16</f>
        <v>1219.03</v>
      </c>
      <c r="D145" s="458">
        <f>+'q27'!$D$16</f>
        <v>1230.75</v>
      </c>
      <c r="E145" s="458">
        <f>+'q27'!$E$16</f>
        <v>1247.82</v>
      </c>
      <c r="F145" s="458">
        <f>+'q27'!$F$16</f>
        <v>1272.5999999999999</v>
      </c>
      <c r="G145" s="458">
        <f>+'q27'!$G$16</f>
        <v>1283.8699999999999</v>
      </c>
      <c r="H145" s="458">
        <f>+'q27'!$H$16</f>
        <v>1330.71</v>
      </c>
      <c r="I145" s="458">
        <f>+'q27'!$I$16</f>
        <v>1366.73</v>
      </c>
      <c r="J145" s="458">
        <f>+'q27'!$J$16</f>
        <v>1411.97</v>
      </c>
      <c r="K145" s="458">
        <f>+'q27'!$K$16</f>
        <v>1484.75</v>
      </c>
      <c r="L145" s="458">
        <f>+'q27'!$L$16</f>
        <v>1574.82</v>
      </c>
      <c r="M145" s="458">
        <f>+'q27'!$M$16</f>
        <v>1725.98</v>
      </c>
      <c r="AN145" s="540"/>
      <c r="AO145" s="540"/>
      <c r="AP145" s="540"/>
      <c r="AQ145" s="540"/>
      <c r="AR145" s="540"/>
      <c r="AS145" s="540"/>
      <c r="AT145" s="540"/>
      <c r="AU145" s="540"/>
      <c r="AV145" s="540"/>
    </row>
    <row r="146" spans="1:51">
      <c r="B146" s="453" t="str">
        <f>+Aux!$B$110</f>
        <v>Profissionais altamente qualificados</v>
      </c>
      <c r="C146" s="458">
        <f>+'q27'!$C$19</f>
        <v>1046.44</v>
      </c>
      <c r="D146" s="458">
        <f>+'q27'!$D$19</f>
        <v>1041.9100000000001</v>
      </c>
      <c r="E146" s="458">
        <f>+'q27'!$E$19</f>
        <v>1033.3499999999999</v>
      </c>
      <c r="F146" s="458">
        <f>+'q27'!$F$19</f>
        <v>1038.5</v>
      </c>
      <c r="G146" s="458">
        <f>+'q27'!$G$19</f>
        <v>1056.81</v>
      </c>
      <c r="H146" s="458">
        <f>+'q27'!$H$19</f>
        <v>1066</v>
      </c>
      <c r="I146" s="458">
        <f>+'q27'!$I$19</f>
        <v>1075.79</v>
      </c>
      <c r="J146" s="458">
        <f>+'q27'!$J$19</f>
        <v>1089.94</v>
      </c>
      <c r="K146" s="458">
        <f>+'q27'!$K$19</f>
        <v>1138.8</v>
      </c>
      <c r="L146" s="458">
        <f>+'q27'!$L$19</f>
        <v>1225.3</v>
      </c>
      <c r="M146" s="458">
        <f>+'q27'!$M$19</f>
        <v>1299.2</v>
      </c>
      <c r="P146" s="453">
        <f>INDEX($A$2:$A$12,$P$9)</f>
        <v>2024</v>
      </c>
      <c r="Q146" s="423" t="s">
        <v>355</v>
      </c>
      <c r="R146" s="962" t="s">
        <v>362</v>
      </c>
      <c r="S146" s="962"/>
      <c r="T146" s="962" t="s">
        <v>363</v>
      </c>
      <c r="U146" s="962"/>
      <c r="X146" s="453" t="s">
        <v>362</v>
      </c>
      <c r="Y146" s="453" t="s">
        <v>363</v>
      </c>
      <c r="AN146" s="423"/>
    </row>
    <row r="147" spans="1:51">
      <c r="B147" s="453" t="str">
        <f>+Aux!$B$111</f>
        <v>Profissionais qualificados</v>
      </c>
      <c r="C147" s="458">
        <f>+'q27'!$C$22</f>
        <v>680.56</v>
      </c>
      <c r="D147" s="458">
        <f>+'q27'!$D$22</f>
        <v>682.7</v>
      </c>
      <c r="E147" s="458">
        <f>+'q27'!$E$22</f>
        <v>692.64</v>
      </c>
      <c r="F147" s="458">
        <f>+'q27'!$F$22</f>
        <v>698.75</v>
      </c>
      <c r="G147" s="458">
        <f>+'q27'!$G$22</f>
        <v>720.02</v>
      </c>
      <c r="H147" s="458">
        <f>+'q27'!$H$22</f>
        <v>764.19</v>
      </c>
      <c r="I147" s="458">
        <f>+'q27'!$I$22</f>
        <v>794.98</v>
      </c>
      <c r="J147" s="458">
        <f>+'q27'!$J$22</f>
        <v>823.41</v>
      </c>
      <c r="K147" s="458">
        <f>+'q27'!$K$22</f>
        <v>871.09</v>
      </c>
      <c r="L147" s="458">
        <f>+'q27'!$L$22</f>
        <v>933.93</v>
      </c>
      <c r="M147" s="458">
        <f>+'q27'!$M$22</f>
        <v>1014.54</v>
      </c>
      <c r="R147" s="423" t="s">
        <v>262</v>
      </c>
      <c r="S147" s="423" t="s">
        <v>263</v>
      </c>
      <c r="T147" s="423" t="s">
        <v>262</v>
      </c>
      <c r="U147" s="423" t="s">
        <v>263</v>
      </c>
      <c r="X147" s="453" t="s">
        <v>417</v>
      </c>
      <c r="Y147" s="453" t="s">
        <v>417</v>
      </c>
      <c r="AN147" s="423"/>
      <c r="AO147" s="423"/>
      <c r="AP147" s="423"/>
      <c r="AQ147" s="423"/>
      <c r="AR147" s="423"/>
      <c r="AS147" s="423"/>
      <c r="AT147" s="423"/>
      <c r="AU147" s="423"/>
      <c r="AV147" s="423"/>
      <c r="AW147" s="423"/>
      <c r="AX147" s="423"/>
      <c r="AY147" s="423"/>
    </row>
    <row r="148" spans="1:51">
      <c r="B148" s="453" t="str">
        <f>+Aux!$B$112</f>
        <v>Profissionais semi-qualificados</v>
      </c>
      <c r="C148" s="458">
        <f>+'q27'!$C$25</f>
        <v>566.28</v>
      </c>
      <c r="D148" s="458">
        <f>+'q27'!$D$25</f>
        <v>571.28</v>
      </c>
      <c r="E148" s="458">
        <f>+'q27'!$E$25</f>
        <v>586.14</v>
      </c>
      <c r="F148" s="458">
        <f>+'q27'!$F$25</f>
        <v>614.77</v>
      </c>
      <c r="G148" s="458">
        <f>+'q27'!$G$25</f>
        <v>637.49</v>
      </c>
      <c r="H148" s="458">
        <f>+'q27'!$H$25</f>
        <v>662.35</v>
      </c>
      <c r="I148" s="458">
        <f>+'q27'!$I$25</f>
        <v>688.8</v>
      </c>
      <c r="J148" s="458">
        <f>+'q27'!$J$25</f>
        <v>724.31</v>
      </c>
      <c r="K148" s="458">
        <f>+'q27'!$K$25</f>
        <v>766.5</v>
      </c>
      <c r="L148" s="458">
        <f>+'q27'!$L$25</f>
        <v>820.02</v>
      </c>
      <c r="M148" s="458">
        <f>+'q27'!$M$25</f>
        <v>880.36</v>
      </c>
      <c r="Q148" s="453" t="s">
        <v>356</v>
      </c>
      <c r="R148" s="463">
        <f>INDEX($B$212:$M$218,MATCH($Q$148,$B$212:$B$218,0),MATCH($P$146,$B$212:$M$212,0))</f>
        <v>880.14</v>
      </c>
      <c r="S148" s="463">
        <f>INDEX($B$222:$M$228,MATCH($Q$148,$B$222:$B$228,0),MATCH($P$146,$B$222:$M$222,0))</f>
        <v>1032.94</v>
      </c>
      <c r="T148" s="463">
        <f>INDEX($B$232:$M$238,MATCH($Q$148,$B$232:$B$238,0),MATCH($P$146,$B$232:$M$232,0))</f>
        <v>820</v>
      </c>
      <c r="U148" s="463">
        <f>INDEX($B$242:$M$248,MATCH($Q$148,$B$242:$B$248,0),MATCH($P$146,$B$242:$M$242,0))</f>
        <v>958</v>
      </c>
      <c r="X148" s="536">
        <f>(R148/S148)</f>
        <v>0.85207272445640592</v>
      </c>
      <c r="Y148" s="536">
        <f>(T148/U148)</f>
        <v>0.85594989561586643</v>
      </c>
      <c r="Z148" s="453" t="str">
        <f>+Q148</f>
        <v>&lt; 1.º ciclo do ensino básico</v>
      </c>
      <c r="AN148" s="423"/>
      <c r="AO148" s="458"/>
      <c r="AP148" s="458"/>
      <c r="AQ148" s="458"/>
      <c r="AR148" s="458"/>
      <c r="AS148" s="458"/>
      <c r="AT148" s="458"/>
      <c r="AU148" s="458"/>
      <c r="AV148" s="458"/>
      <c r="AW148" s="458"/>
      <c r="AX148" s="458"/>
      <c r="AY148" s="458"/>
    </row>
    <row r="149" spans="1:51">
      <c r="B149" s="453" t="str">
        <f>+Aux!$B$113</f>
        <v>Profissionais não qualificados</v>
      </c>
      <c r="C149" s="458">
        <f>+'q27'!$C$28</f>
        <v>534.14</v>
      </c>
      <c r="D149" s="458">
        <f>+'q27'!$D$28</f>
        <v>535.83000000000004</v>
      </c>
      <c r="E149" s="458">
        <f>+'q27'!$E$28</f>
        <v>556.63</v>
      </c>
      <c r="F149" s="458">
        <f>+'q27'!$F$28</f>
        <v>581.58000000000004</v>
      </c>
      <c r="G149" s="458">
        <f>+'q27'!$G$28</f>
        <v>604.03</v>
      </c>
      <c r="H149" s="458">
        <f>+'q27'!$H$28</f>
        <v>622.26</v>
      </c>
      <c r="I149" s="458">
        <f>+'q27'!$I$28</f>
        <v>653.70000000000005</v>
      </c>
      <c r="J149" s="458">
        <f>+'q27'!$J$28</f>
        <v>685.46</v>
      </c>
      <c r="K149" s="458">
        <f>+'q27'!$K$28</f>
        <v>725.85</v>
      </c>
      <c r="L149" s="458">
        <f>+'q27'!$L$28</f>
        <v>785.16</v>
      </c>
      <c r="M149" s="458">
        <f>+'q27'!$M$28</f>
        <v>842.94</v>
      </c>
      <c r="Q149" s="453" t="s">
        <v>188</v>
      </c>
      <c r="R149" s="463">
        <f>INDEX($B$212:$M$218,MATCH($Q$149,$B$212:$B$218,0),MATCH($P$146,$B$212:$M$212,0))</f>
        <v>995.25</v>
      </c>
      <c r="S149" s="463">
        <f>INDEX($B$222:$M$228,MATCH($Q$149,$B$222:$B$228,0),MATCH($P$146,$B$222:$M$222,0))</f>
        <v>1209.6199999999999</v>
      </c>
      <c r="T149" s="463">
        <f>INDEX($B$232:$M$238,MATCH($Q$149,$B$232:$B$238,0),MATCH($P$146,$B$232:$M$232,0))</f>
        <v>870</v>
      </c>
      <c r="U149" s="463">
        <f>INDEX($B$242:$M$248,MATCH($Q$149,$B$242:$B$248,0),MATCH($P$146,$B$242:$M$242,0))</f>
        <v>1047.94</v>
      </c>
      <c r="X149" s="536">
        <f t="shared" ref="X149:X153" si="23">(R149/S149)</f>
        <v>0.82277905457912415</v>
      </c>
      <c r="Y149" s="536">
        <f t="shared" ref="Y149:Y153" si="24">(T149/U149)</f>
        <v>0.83020020230165847</v>
      </c>
      <c r="Z149" s="453" t="str">
        <f t="shared" ref="Z149:Z152" si="25">+Q149</f>
        <v>Ensino básico</v>
      </c>
      <c r="AN149" s="423"/>
      <c r="AO149" s="458"/>
      <c r="AP149" s="458"/>
      <c r="AQ149" s="458"/>
      <c r="AR149" s="458"/>
      <c r="AS149" s="458"/>
      <c r="AT149" s="458"/>
      <c r="AU149" s="458"/>
      <c r="AV149" s="458"/>
      <c r="AW149" s="458"/>
      <c r="AX149" s="458"/>
      <c r="AY149" s="458"/>
    </row>
    <row r="150" spans="1:51">
      <c r="B150" s="453" t="str">
        <f>+Aux!$B$114</f>
        <v>Praticantes e aprendizes</v>
      </c>
      <c r="C150" s="458">
        <f>+'q27'!$C$31</f>
        <v>548.47</v>
      </c>
      <c r="D150" s="458">
        <f>+'q27'!$D$31</f>
        <v>549.49</v>
      </c>
      <c r="E150" s="458">
        <f>+'q27'!$E$31</f>
        <v>567.96</v>
      </c>
      <c r="F150" s="458">
        <f>+'q27'!$F$31</f>
        <v>593.07000000000005</v>
      </c>
      <c r="G150" s="458">
        <f>+'q27'!$G$31</f>
        <v>619.01</v>
      </c>
      <c r="H150" s="458">
        <f>+'q27'!$H$31</f>
        <v>640.91</v>
      </c>
      <c r="I150" s="458">
        <f>+'q27'!$I$31</f>
        <v>672.36</v>
      </c>
      <c r="J150" s="458">
        <f>+'q27'!$J$31</f>
        <v>706.34</v>
      </c>
      <c r="K150" s="458">
        <f>+'q27'!$K$31</f>
        <v>749.2</v>
      </c>
      <c r="L150" s="458">
        <f>+'q27'!$L$31</f>
        <v>812.84</v>
      </c>
      <c r="M150" s="458">
        <f>+'q27'!$M$31</f>
        <v>874.36</v>
      </c>
      <c r="Q150" s="453" t="s">
        <v>192</v>
      </c>
      <c r="R150" s="463">
        <f>INDEX($B$212:$M$218,MATCH($Q$150,$B$212:$B$218,0),MATCH($P$146,$B$212:$M$212,0))</f>
        <v>1120.8900000000001</v>
      </c>
      <c r="S150" s="463">
        <f>INDEX($B$222:$M$228,MATCH($Q$150,$B$222:$B$228,0),MATCH($P$146,$B$222:$M$222,0))</f>
        <v>1382.39</v>
      </c>
      <c r="T150" s="463">
        <f>INDEX($B$232:$M$238,MATCH($Q$150,$B$232:$B$238,0),MATCH($P$146,$B$232:$M$232,0))</f>
        <v>903.8</v>
      </c>
      <c r="U150" s="463">
        <f>INDEX($B$242:$M$248,MATCH($Q$150,$B$242:$B$248,0),MATCH($P$146,$B$242:$M$242,0))</f>
        <v>1132.5</v>
      </c>
      <c r="V150" s="465" t="s">
        <v>73</v>
      </c>
      <c r="W150" s="465" t="s">
        <v>79</v>
      </c>
      <c r="X150" s="536">
        <f t="shared" si="23"/>
        <v>0.81083485846975167</v>
      </c>
      <c r="Y150" s="536">
        <f t="shared" si="24"/>
        <v>0.79805739514348784</v>
      </c>
      <c r="Z150" s="453" t="str">
        <f t="shared" si="25"/>
        <v>Ensino secundário + pós sec. não superior nível IV</v>
      </c>
      <c r="AN150" s="423"/>
      <c r="AO150" s="458"/>
      <c r="AP150" s="458"/>
      <c r="AQ150" s="458"/>
      <c r="AR150" s="458"/>
      <c r="AS150" s="458"/>
      <c r="AT150" s="458"/>
      <c r="AU150" s="458"/>
      <c r="AV150" s="458"/>
      <c r="AW150" s="458"/>
      <c r="AX150" s="458"/>
      <c r="AY150" s="458"/>
    </row>
    <row r="151" spans="1:51">
      <c r="B151" s="453" t="str">
        <f>+Aux!$B$115</f>
        <v>Total</v>
      </c>
      <c r="C151" s="458">
        <f>+'q27'!$C$7</f>
        <v>820.25</v>
      </c>
      <c r="D151" s="458">
        <f>+'q27'!$D$7</f>
        <v>824.99</v>
      </c>
      <c r="E151" s="458">
        <f>+'q27'!$E$7</f>
        <v>840.26</v>
      </c>
      <c r="F151" s="458">
        <f>+'q27'!$F$7</f>
        <v>861.17</v>
      </c>
      <c r="G151" s="458">
        <f>+'q27'!$G$7</f>
        <v>888.56</v>
      </c>
      <c r="H151" s="458">
        <f>+'q27'!$H$7</f>
        <v>922.63</v>
      </c>
      <c r="I151" s="458">
        <f>+'q27'!$I$7</f>
        <v>960.27</v>
      </c>
      <c r="J151" s="458">
        <f>+'q27'!$J$7</f>
        <v>999.33</v>
      </c>
      <c r="K151" s="458">
        <f>+'q27'!$K$7</f>
        <v>1054.3599999999999</v>
      </c>
      <c r="L151" s="458">
        <f>+'q27'!$L$7</f>
        <v>1129.6400000000001</v>
      </c>
      <c r="M151" s="458">
        <f>+'q27'!$M$7</f>
        <v>1216.8499999999999</v>
      </c>
      <c r="Q151" s="453" t="s">
        <v>360</v>
      </c>
      <c r="R151" s="463">
        <f>INDEX($B$212:$M$218,MATCH($Q$151,$B$212:$B$218,0),MATCH($P$146,$B$212:$M$212,0))</f>
        <v>1990.45</v>
      </c>
      <c r="S151" s="463">
        <f>INDEX($B$222:$M$228,MATCH($Q$151,$B$222:$B$228,0),MATCH($P$146,$B$222:$M$222,0))</f>
        <v>2363.21</v>
      </c>
      <c r="T151" s="463">
        <f>INDEX($B$232:$M$238,MATCH($Q$151,$B$232:$B$238,0),MATCH($P$146,$B$232:$M$232,0))</f>
        <v>1544</v>
      </c>
      <c r="U151" s="463">
        <f>INDEX($B$242:$M$248,MATCH($Q$151,$B$242:$B$248,0),MATCH($P$146,$B$242:$M$242,0))</f>
        <v>1853</v>
      </c>
      <c r="V151" s="483">
        <f>(R151/R153-1)</f>
        <v>0.5206347023591249</v>
      </c>
      <c r="W151" s="483">
        <f>(S151/S153-1)</f>
        <v>0.49310377507502756</v>
      </c>
      <c r="X151" s="536">
        <f t="shared" si="23"/>
        <v>0.84226539325747607</v>
      </c>
      <c r="Y151" s="536">
        <f t="shared" si="24"/>
        <v>0.83324338909875872</v>
      </c>
      <c r="Z151" s="453" t="str">
        <f t="shared" si="25"/>
        <v>Ensino superior**</v>
      </c>
      <c r="AN151" s="423"/>
      <c r="AO151" s="458"/>
      <c r="AP151" s="458"/>
      <c r="AQ151" s="458"/>
      <c r="AR151" s="458"/>
      <c r="AS151" s="458"/>
      <c r="AT151" s="458"/>
      <c r="AU151" s="458"/>
      <c r="AV151" s="458"/>
      <c r="AW151" s="458"/>
      <c r="AX151" s="458"/>
      <c r="AY151" s="458"/>
    </row>
    <row r="152" spans="1:51">
      <c r="C152" s="458"/>
      <c r="D152" s="458"/>
      <c r="E152" s="458"/>
      <c r="F152" s="458"/>
      <c r="G152" s="458"/>
      <c r="H152" s="458"/>
      <c r="I152" s="458"/>
      <c r="J152" s="458"/>
      <c r="K152" s="458"/>
      <c r="L152" s="458"/>
      <c r="M152" s="458"/>
      <c r="Q152" s="453" t="s">
        <v>12</v>
      </c>
      <c r="R152" s="463">
        <f>INDEX($B$212:$M$218,MATCH($Q$152,$B$212:$B$218,0),MATCH($P$146,$B$212:$M$212,0))</f>
        <v>1120.2</v>
      </c>
      <c r="S152" s="463">
        <f>INDEX($B$222:$M$228,MATCH($Q$152,$B$222:$B$228,0),MATCH($P$146,$B$222:$M$222,0))</f>
        <v>1331.59</v>
      </c>
      <c r="T152" s="463">
        <f>INDEX($B$232:$M$238,MATCH($Q$152,$B$232:$B$238,0),MATCH($P$146,$B$232:$M$232,0))</f>
        <v>830</v>
      </c>
      <c r="U152" s="463">
        <f>INDEX($B$242:$M$248,MATCH($Q$152,$B$242:$B$248,0),MATCH($P$146,$B$242:$M$242,0))</f>
        <v>1014.94</v>
      </c>
      <c r="X152" s="536">
        <f t="shared" si="23"/>
        <v>0.84124993428908301</v>
      </c>
      <c r="Y152" s="536">
        <f t="shared" si="24"/>
        <v>0.81778233196050998</v>
      </c>
      <c r="Z152" s="453" t="str">
        <f t="shared" si="25"/>
        <v>Ignorado</v>
      </c>
      <c r="AN152" s="423"/>
      <c r="AO152" s="458"/>
      <c r="AP152" s="458"/>
      <c r="AQ152" s="458"/>
      <c r="AR152" s="458"/>
      <c r="AS152" s="458"/>
      <c r="AT152" s="458"/>
      <c r="AU152" s="458"/>
      <c r="AV152" s="458"/>
      <c r="AW152" s="458"/>
      <c r="AX152" s="458"/>
      <c r="AY152" s="458"/>
    </row>
    <row r="153" spans="1:51">
      <c r="C153" s="423">
        <f>+'q17'!$C$4</f>
        <v>2014</v>
      </c>
      <c r="D153" s="423">
        <f>+'q17'!$D$4</f>
        <v>2015</v>
      </c>
      <c r="E153" s="423">
        <f>+'q17'!$E$4</f>
        <v>2016</v>
      </c>
      <c r="F153" s="423">
        <f>+'q17'!$F$4</f>
        <v>2017</v>
      </c>
      <c r="G153" s="423">
        <f>+'q17'!$G$4</f>
        <v>2018</v>
      </c>
      <c r="H153" s="423">
        <f>+'q17'!$H$4</f>
        <v>2019</v>
      </c>
      <c r="I153" s="423">
        <f>+'q17'!$I$4</f>
        <v>2020</v>
      </c>
      <c r="J153" s="423">
        <f>+'q17'!$J$4</f>
        <v>2021</v>
      </c>
      <c r="K153" s="423">
        <f>+'q17'!$K$4</f>
        <v>2022</v>
      </c>
      <c r="L153" s="423">
        <f>+'q17'!$L$4</f>
        <v>2023</v>
      </c>
      <c r="M153" s="423">
        <f>+'q17'!$M$4</f>
        <v>2024</v>
      </c>
      <c r="Q153" s="453" t="s">
        <v>11</v>
      </c>
      <c r="R153" s="463">
        <f>INDEX($B$212:$M$218,MATCH($Q$153,$B$212:$B$218,0),MATCH($P$146,$B$212:$M$212,0))</f>
        <v>1308.96</v>
      </c>
      <c r="S153" s="463">
        <f>INDEX($B$222:$M$228,MATCH($Q$153,$B$222:$B$228,0),MATCH($P$146,$B$222:$M$222,0))</f>
        <v>1582.75</v>
      </c>
      <c r="T153" s="463">
        <f>INDEX($B$232:$M$238,MATCH($Q$153,$B$232:$B$238,0),MATCH($P$146,$B$232:$M$232,0))</f>
        <v>950</v>
      </c>
      <c r="U153" s="463">
        <f>INDEX($B$242:$M$248,MATCH($Q$153,$B$242:$B$248,0),MATCH($P$146,$B$242:$M$242,0))</f>
        <v>1191.02</v>
      </c>
      <c r="X153" s="536">
        <f t="shared" si="23"/>
        <v>0.82701626915179283</v>
      </c>
      <c r="Y153" s="536">
        <f t="shared" si="24"/>
        <v>0.79763564003962995</v>
      </c>
      <c r="AN153" s="423"/>
      <c r="AO153" s="458"/>
      <c r="AP153" s="458"/>
      <c r="AQ153" s="458"/>
      <c r="AR153" s="458"/>
      <c r="AS153" s="458"/>
      <c r="AT153" s="458"/>
      <c r="AU153" s="458"/>
      <c r="AV153" s="458"/>
      <c r="AW153" s="458"/>
      <c r="AX153" s="458"/>
      <c r="AY153" s="458"/>
    </row>
    <row r="154" spans="1:51">
      <c r="A154" s="461" t="s">
        <v>11</v>
      </c>
      <c r="B154" s="453" t="str">
        <f>+Aux!$B$107</f>
        <v>Quadros superiores</v>
      </c>
      <c r="C154" s="458">
        <f>+'q27'!$C$8</f>
        <v>2040.59</v>
      </c>
      <c r="D154" s="458">
        <f>+'q27'!$D$8</f>
        <v>2042.63</v>
      </c>
      <c r="E154" s="458">
        <f>+'q27'!$E$8</f>
        <v>2042.11</v>
      </c>
      <c r="F154" s="458">
        <f>+'q27'!$F$8</f>
        <v>2057.33</v>
      </c>
      <c r="G154" s="458">
        <f>+'q27'!$G$8</f>
        <v>2079.73</v>
      </c>
      <c r="H154" s="458">
        <f>+'q27'!$H$8</f>
        <v>2104.34</v>
      </c>
      <c r="I154" s="458">
        <f>+'q27'!$I$8</f>
        <v>2116.66</v>
      </c>
      <c r="J154" s="458">
        <f>+'q27'!$J$8</f>
        <v>2148.96</v>
      </c>
      <c r="K154" s="458">
        <f>+'q27'!$K$8</f>
        <v>2260.27</v>
      </c>
      <c r="L154" s="458">
        <f>+'q27'!$L$8</f>
        <v>2373.94</v>
      </c>
      <c r="M154" s="458">
        <f>+'q27'!$M$8</f>
        <v>2526.42</v>
      </c>
      <c r="N154" s="458"/>
      <c r="AN154" s="423"/>
      <c r="AO154" s="458"/>
      <c r="AP154" s="458"/>
      <c r="AQ154" s="458"/>
      <c r="AR154" s="458"/>
      <c r="AS154" s="458"/>
      <c r="AT154" s="458"/>
      <c r="AU154" s="458"/>
      <c r="AV154" s="458"/>
      <c r="AW154" s="458"/>
      <c r="AX154" s="458"/>
      <c r="AY154" s="458"/>
    </row>
    <row r="155" spans="1:51">
      <c r="B155" s="453" t="str">
        <f>+Aux!$B$108</f>
        <v>Quadros médios</v>
      </c>
      <c r="C155" s="458">
        <f>+'q27'!$C$11</f>
        <v>1411.9</v>
      </c>
      <c r="D155" s="458">
        <f>+'q27'!$D$11</f>
        <v>1422.35</v>
      </c>
      <c r="E155" s="458">
        <f>+'q27'!$E$11</f>
        <v>1428.87</v>
      </c>
      <c r="F155" s="458">
        <f>+'q27'!$F$11</f>
        <v>1439.33</v>
      </c>
      <c r="G155" s="458">
        <f>+'q27'!$G$11</f>
        <v>1460.73</v>
      </c>
      <c r="H155" s="458">
        <f>+'q27'!$H$11</f>
        <v>1484.6</v>
      </c>
      <c r="I155" s="458">
        <f>+'q27'!$I$11</f>
        <v>1490.62</v>
      </c>
      <c r="J155" s="458">
        <f>+'q27'!$J$11</f>
        <v>1519.56</v>
      </c>
      <c r="K155" s="458">
        <f>+'q27'!$K$11</f>
        <v>1620.26</v>
      </c>
      <c r="L155" s="458">
        <f>+'q27'!$L$11</f>
        <v>1735.82</v>
      </c>
      <c r="M155" s="458">
        <f>+'q27'!$M$11</f>
        <v>1819.65</v>
      </c>
      <c r="N155" s="458"/>
      <c r="P155" s="423" t="s">
        <v>362</v>
      </c>
      <c r="R155" s="453" t="s">
        <v>11</v>
      </c>
      <c r="S155" s="453" t="s">
        <v>356</v>
      </c>
      <c r="T155" s="453" t="s">
        <v>188</v>
      </c>
      <c r="U155" s="453" t="s">
        <v>192</v>
      </c>
      <c r="V155" s="453" t="s">
        <v>360</v>
      </c>
      <c r="W155" s="453" t="s">
        <v>12</v>
      </c>
      <c r="AN155" s="423"/>
      <c r="AO155" s="458"/>
      <c r="AP155" s="458"/>
      <c r="AQ155" s="458"/>
      <c r="AR155" s="458"/>
      <c r="AS155" s="458"/>
      <c r="AT155" s="458"/>
      <c r="AU155" s="458"/>
      <c r="AV155" s="458"/>
      <c r="AW155" s="458"/>
      <c r="AX155" s="458"/>
      <c r="AY155" s="458"/>
    </row>
    <row r="156" spans="1:51">
      <c r="B156" s="453" t="str">
        <f>+Aux!$B$109</f>
        <v>Encarregados, contramestres e chefes de equipa</v>
      </c>
      <c r="C156" s="458">
        <f>+'q27'!$C$14</f>
        <v>1286.72</v>
      </c>
      <c r="D156" s="458">
        <f>+'q27'!$D$14</f>
        <v>1298.54</v>
      </c>
      <c r="E156" s="458">
        <f>+'q27'!$E$14</f>
        <v>1318.37</v>
      </c>
      <c r="F156" s="458">
        <f>+'q27'!$F$14</f>
        <v>1335.53</v>
      </c>
      <c r="G156" s="458">
        <f>+'q27'!$G$14</f>
        <v>1356.05</v>
      </c>
      <c r="H156" s="458">
        <f>+'q27'!$H$14</f>
        <v>1405.33</v>
      </c>
      <c r="I156" s="458">
        <f>+'q27'!$I$14</f>
        <v>1444.54</v>
      </c>
      <c r="J156" s="458">
        <f>+'q27'!$J$14</f>
        <v>1489.21</v>
      </c>
      <c r="K156" s="458">
        <f>+'q27'!$K$14</f>
        <v>1561.37</v>
      </c>
      <c r="L156" s="458">
        <f>+'q27'!$L$14</f>
        <v>1651.96</v>
      </c>
      <c r="M156" s="458">
        <f>+'q27'!$M$14</f>
        <v>1789.03</v>
      </c>
      <c r="N156" s="458"/>
      <c r="Q156" s="423" t="s">
        <v>262</v>
      </c>
      <c r="R156" s="463">
        <f>INDEX($B$212:$M$218,MATCH($Q$153,$B$212:$B$218,0),MATCH($P$146,$B$212:$M$212,0))</f>
        <v>1308.96</v>
      </c>
      <c r="S156" s="463">
        <f>INDEX($B$212:$M$218,MATCH($Q$148,$B$212:$B$218,0),MATCH($P$146,$B$212:$M$212,0))</f>
        <v>880.14</v>
      </c>
      <c r="T156" s="463">
        <f>INDEX($B$212:$M$218,MATCH($Q$149,$B$212:$B$218,0),MATCH($P$146,$B$212:$M$212,0))</f>
        <v>995.25</v>
      </c>
      <c r="U156" s="463">
        <f>INDEX($B$212:$M$218,MATCH($Q$150,$B$212:$B$218,0),MATCH($P$146,$B$212:$M$212,0))</f>
        <v>1120.8900000000001</v>
      </c>
      <c r="V156" s="463">
        <f>INDEX($B$212:$M$218,MATCH($Q$151,$B$212:$B$218,0),MATCH($P$146,$B$212:$M$212,0))</f>
        <v>1990.45</v>
      </c>
      <c r="W156" s="463">
        <f>INDEX($B$212:$M$218,MATCH($Q$152,$B$212:$B$218,0),MATCH($P$146,$B$212:$M$212,0))</f>
        <v>1120.2</v>
      </c>
    </row>
    <row r="157" spans="1:51">
      <c r="B157" s="453" t="str">
        <f>+Aux!$B$110</f>
        <v>Profissionais altamente qualificados</v>
      </c>
      <c r="C157" s="458">
        <f>+'q27'!$C$17</f>
        <v>1139.3499999999999</v>
      </c>
      <c r="D157" s="458">
        <f>+'q27'!$D$17</f>
        <v>1149.42</v>
      </c>
      <c r="E157" s="458">
        <f>+'q27'!$E$17</f>
        <v>1144.23</v>
      </c>
      <c r="F157" s="458">
        <f>+'q27'!$F$17</f>
        <v>1150.46</v>
      </c>
      <c r="G157" s="458">
        <f>+'q27'!$G$17</f>
        <v>1170.1199999999999</v>
      </c>
      <c r="H157" s="458">
        <f>+'q27'!$H$17</f>
        <v>1165.3699999999999</v>
      </c>
      <c r="I157" s="458">
        <f>+'q27'!$I$17</f>
        <v>1182.19</v>
      </c>
      <c r="J157" s="458">
        <f>+'q27'!$J$17</f>
        <v>1197.56</v>
      </c>
      <c r="K157" s="458">
        <f>+'q27'!$K$17</f>
        <v>1245.69</v>
      </c>
      <c r="L157" s="458">
        <f>+'q27'!$L$17</f>
        <v>1334.45</v>
      </c>
      <c r="M157" s="458">
        <f>+'q27'!$M$17</f>
        <v>1412.04</v>
      </c>
      <c r="N157" s="458"/>
      <c r="Q157" s="423" t="s">
        <v>263</v>
      </c>
      <c r="R157" s="463">
        <f>INDEX($B$222:$M$228,MATCH($Q$153,$B$222:$B$228,0),MATCH($P$146,$B$222:$M$222,0))</f>
        <v>1582.75</v>
      </c>
      <c r="S157" s="463">
        <f>INDEX($B$222:$M$228,MATCH($Q$148,$B$222:$B$228,0),MATCH($P$146,$B$222:$M$222,0))</f>
        <v>1032.94</v>
      </c>
      <c r="T157" s="463">
        <f>INDEX($B$222:$M$228,MATCH($Q$149,$B$222:$B$228,0),MATCH($P$146,$B$222:$M$222,0))</f>
        <v>1209.6199999999999</v>
      </c>
      <c r="U157" s="463">
        <f>INDEX($B$222:$M$228,MATCH($Q$150,$B$222:$B$228,0),MATCH($P$146,$B$222:$M$222,0))</f>
        <v>1382.39</v>
      </c>
      <c r="V157" s="463">
        <f>INDEX($B$222:$M$228,MATCH($Q$151,$B$222:$B$228,0),MATCH($P$146,$B$222:$M$222,0))</f>
        <v>2363.21</v>
      </c>
      <c r="W157" s="463">
        <f>INDEX($B$222:$M$228,MATCH($Q$152,$B$222:$B$228,0),MATCH($P$146,$B$222:$M$222,0))</f>
        <v>1331.59</v>
      </c>
    </row>
    <row r="158" spans="1:51">
      <c r="B158" s="453" t="str">
        <f>+Aux!$B$111</f>
        <v>Profissionais qualificados</v>
      </c>
      <c r="C158" s="458">
        <f>+'q27'!$C$20</f>
        <v>725.06</v>
      </c>
      <c r="D158" s="458">
        <f>+'q27'!$D$20</f>
        <v>729.84</v>
      </c>
      <c r="E158" s="458">
        <f>+'q27'!$E$20</f>
        <v>737.74</v>
      </c>
      <c r="F158" s="458">
        <f>+'q27'!$F$20</f>
        <v>742.75</v>
      </c>
      <c r="G158" s="458">
        <f>+'q27'!$G$20</f>
        <v>765.76</v>
      </c>
      <c r="H158" s="458">
        <f>+'q27'!$H$20</f>
        <v>809.49</v>
      </c>
      <c r="I158" s="458">
        <f>+'q27'!$I$20</f>
        <v>837.73</v>
      </c>
      <c r="J158" s="458">
        <f>+'q27'!$J$20</f>
        <v>867.55</v>
      </c>
      <c r="K158" s="458">
        <f>+'q27'!$K$20</f>
        <v>914.26</v>
      </c>
      <c r="L158" s="458">
        <f>+'q27'!$L$20</f>
        <v>976.9</v>
      </c>
      <c r="M158" s="458">
        <f>+'q27'!$M$20</f>
        <v>1055.9100000000001</v>
      </c>
      <c r="N158" s="458"/>
    </row>
    <row r="159" spans="1:51">
      <c r="B159" s="453" t="str">
        <f>+Aux!$B$112</f>
        <v>Profissionais semi-qualificados</v>
      </c>
      <c r="C159" s="458">
        <f>+'q27'!$C$23</f>
        <v>599.25</v>
      </c>
      <c r="D159" s="458">
        <f>+'q27'!$D$23</f>
        <v>599.55999999999995</v>
      </c>
      <c r="E159" s="458">
        <f>+'q27'!$E$23</f>
        <v>613.83000000000004</v>
      </c>
      <c r="F159" s="458">
        <f>+'q27'!$F$23</f>
        <v>645.88</v>
      </c>
      <c r="G159" s="458">
        <f>+'q27'!$G$23</f>
        <v>669.7</v>
      </c>
      <c r="H159" s="458">
        <f>+'q27'!$H$23</f>
        <v>697.76</v>
      </c>
      <c r="I159" s="458">
        <f>+'q27'!$I$23</f>
        <v>724.7</v>
      </c>
      <c r="J159" s="458">
        <f>+'q27'!$J$23</f>
        <v>762.49</v>
      </c>
      <c r="K159" s="458">
        <f>+'q27'!$K$23</f>
        <v>805.44</v>
      </c>
      <c r="L159" s="458">
        <f>+'q27'!$L$23</f>
        <v>852.76</v>
      </c>
      <c r="M159" s="458">
        <f>+'q27'!$M$23</f>
        <v>911.18</v>
      </c>
      <c r="N159" s="458"/>
    </row>
    <row r="160" spans="1:51">
      <c r="B160" s="453" t="str">
        <f>+Aux!$B$113</f>
        <v>Profissionais não qualificados</v>
      </c>
      <c r="C160" s="458">
        <f>+'q27'!$C$26</f>
        <v>566.11</v>
      </c>
      <c r="D160" s="458">
        <f>+'q27'!$D$26</f>
        <v>567.04</v>
      </c>
      <c r="E160" s="458">
        <f>+'q27'!$E$26</f>
        <v>583.67999999999995</v>
      </c>
      <c r="F160" s="458">
        <f>+'q27'!$F$26</f>
        <v>606.53</v>
      </c>
      <c r="G160" s="458">
        <f>+'q27'!$G$26</f>
        <v>627.78</v>
      </c>
      <c r="H160" s="458">
        <f>+'q27'!$H$26</f>
        <v>646.65</v>
      </c>
      <c r="I160" s="458">
        <f>+'q27'!$I$26</f>
        <v>680.49</v>
      </c>
      <c r="J160" s="458">
        <f>+'q27'!$J$26</f>
        <v>710.22</v>
      </c>
      <c r="K160" s="458">
        <f>+'q27'!$K$26</f>
        <v>746.19</v>
      </c>
      <c r="L160" s="458">
        <f>+'q27'!$L$26</f>
        <v>805.63</v>
      </c>
      <c r="M160" s="458">
        <f>+'q27'!$M$26</f>
        <v>862.05</v>
      </c>
      <c r="N160" s="458"/>
      <c r="P160" s="423" t="s">
        <v>363</v>
      </c>
      <c r="R160" s="453" t="s">
        <v>11</v>
      </c>
      <c r="S160" s="453" t="s">
        <v>356</v>
      </c>
      <c r="T160" s="453" t="s">
        <v>188</v>
      </c>
      <c r="U160" s="453" t="s">
        <v>192</v>
      </c>
      <c r="V160" s="453" t="s">
        <v>360</v>
      </c>
      <c r="W160" s="453" t="s">
        <v>12</v>
      </c>
    </row>
    <row r="161" spans="1:33">
      <c r="B161" s="453" t="str">
        <f>+Aux!$B$114</f>
        <v>Praticantes e aprendizes</v>
      </c>
      <c r="C161" s="458">
        <f>+'q27'!$C$29</f>
        <v>562.79</v>
      </c>
      <c r="D161" s="458">
        <f>+'q27'!$D$29</f>
        <v>563.92999999999995</v>
      </c>
      <c r="E161" s="458">
        <f>+'q27'!$E$29</f>
        <v>580.29999999999995</v>
      </c>
      <c r="F161" s="458">
        <f>+'q27'!$F$29</f>
        <v>605.47</v>
      </c>
      <c r="G161" s="458">
        <f>+'q27'!$G$29</f>
        <v>632.38</v>
      </c>
      <c r="H161" s="458">
        <f>+'q27'!$H$29</f>
        <v>656.07</v>
      </c>
      <c r="I161" s="458">
        <f>+'q27'!$I$29</f>
        <v>688.77</v>
      </c>
      <c r="J161" s="458">
        <f>+'q27'!$J$29</f>
        <v>722.49</v>
      </c>
      <c r="K161" s="458">
        <f>+'q27'!$K$29</f>
        <v>764.34</v>
      </c>
      <c r="L161" s="458">
        <f>+'q27'!$L$29</f>
        <v>824.83</v>
      </c>
      <c r="M161" s="458">
        <f>+'q27'!$M$29</f>
        <v>884.68</v>
      </c>
      <c r="N161" s="458"/>
      <c r="Q161" s="423" t="s">
        <v>262</v>
      </c>
      <c r="R161" s="463">
        <f>INDEX($B$232:$M$238,MATCH($Q$153,$B$232:$B$238,0),MATCH($P$146,$B$232:$M$232,0))</f>
        <v>950</v>
      </c>
      <c r="S161" s="463">
        <f>INDEX($B$232:$M$238,MATCH($Q$148,$B$232:$B$238,0),MATCH($P$146,$B$232:$M$232,0))</f>
        <v>820</v>
      </c>
      <c r="T161" s="463">
        <f>INDEX($B$232:$M$238,MATCH($Q$149,$B$232:$B$238,0),MATCH($P$146,$B$232:$M$232,0))</f>
        <v>870</v>
      </c>
      <c r="U161" s="463">
        <f>INDEX($B$232:$M$238,MATCH($Q$150,$B$232:$B$238,0),MATCH($P$146,$B$232:$M$232,0))</f>
        <v>903.8</v>
      </c>
      <c r="V161" s="463">
        <f>INDEX($B$232:$M$238,MATCH($Q$151,$B$232:$B$238,0),MATCH($P$146,$B$232:$M$232,0))</f>
        <v>1544</v>
      </c>
      <c r="W161" s="463">
        <f>INDEX($B$232:$M$238,MATCH($Q$152,$B$232:$B$238,0),MATCH($P$146,$B$232:$M$232,0))</f>
        <v>830</v>
      </c>
    </row>
    <row r="162" spans="1:33">
      <c r="B162" s="453" t="str">
        <f>+Aux!$B$115</f>
        <v>Total</v>
      </c>
      <c r="C162" s="458">
        <f>+'q27'!$C$5</f>
        <v>909.49</v>
      </c>
      <c r="D162" s="458">
        <f>+'q27'!$D$5</f>
        <v>913.93</v>
      </c>
      <c r="E162" s="458">
        <f>+'q27'!$E$5</f>
        <v>924.94</v>
      </c>
      <c r="F162" s="458">
        <f>+'q27'!$F$5</f>
        <v>943</v>
      </c>
      <c r="G162" s="458">
        <f>+'q27'!$G$5</f>
        <v>970.42</v>
      </c>
      <c r="H162" s="458">
        <f>+'q27'!$H$5</f>
        <v>1005.09</v>
      </c>
      <c r="I162" s="458">
        <f>+'q27'!$I$5</f>
        <v>1041.99</v>
      </c>
      <c r="J162" s="458">
        <f>+'q27'!$J$5</f>
        <v>1082.77</v>
      </c>
      <c r="K162" s="458">
        <f>+'q27'!$K$5</f>
        <v>1143.45</v>
      </c>
      <c r="L162" s="458">
        <f>+'q27'!$L$5</f>
        <v>1219.8699999999999</v>
      </c>
      <c r="M162" s="458">
        <f>+'q27'!$M$5</f>
        <v>1308.96</v>
      </c>
      <c r="Q162" s="423" t="s">
        <v>263</v>
      </c>
      <c r="R162" s="463">
        <f>INDEX($B$242:$M$248,MATCH($Q$153,$B$242:$B$248,0),MATCH($P$146,$B$242:$M$242,0))</f>
        <v>1191.02</v>
      </c>
      <c r="S162" s="463">
        <f>INDEX($B$242:$M$248,MATCH($Q$148,$B$242:$B$248,0),MATCH($P$146,$B$242:$M$242,0))</f>
        <v>958</v>
      </c>
      <c r="T162" s="463">
        <f>INDEX($B$242:$M$248,MATCH($Q$149,$B$242:$B$248,0),MATCH($P$146,$B$242:$M$242,0))</f>
        <v>1047.94</v>
      </c>
      <c r="U162" s="463">
        <f>INDEX($B$242:$M$248,MATCH($Q$150,$B$242:$B$248,0),MATCH($P$146,$B$242:$M$242,0))</f>
        <v>1132.5</v>
      </c>
      <c r="V162" s="463">
        <f>INDEX($B$242:$M$248,MATCH($Q$151,$B$242:$B$248,0),MATCH($P$146,$B$242:$M$242,0))</f>
        <v>1853</v>
      </c>
      <c r="W162" s="463">
        <f>INDEX($B$242:$M$248,MATCH($Q$152,$B$242:$B$248,0),MATCH($P$146,$B$242:$M$242,0))</f>
        <v>1014.94</v>
      </c>
    </row>
    <row r="164" spans="1:33">
      <c r="A164" s="460" t="s">
        <v>348</v>
      </c>
      <c r="C164" s="423">
        <f>+'q17'!$C$4</f>
        <v>2014</v>
      </c>
      <c r="D164" s="423">
        <f>+'q17'!$D$4</f>
        <v>2015</v>
      </c>
      <c r="E164" s="423">
        <f>+'q17'!$E$4</f>
        <v>2016</v>
      </c>
      <c r="F164" s="423">
        <f>+'q17'!$F$4</f>
        <v>2017</v>
      </c>
      <c r="G164" s="423">
        <f>+'q17'!$G$4</f>
        <v>2018</v>
      </c>
      <c r="H164" s="423">
        <f>+'q17'!$H$4</f>
        <v>2019</v>
      </c>
      <c r="I164" s="423">
        <f>+'q17'!$I$4</f>
        <v>2020</v>
      </c>
      <c r="J164" s="423">
        <f>+'q17'!$J$4</f>
        <v>2021</v>
      </c>
      <c r="K164" s="423">
        <f>+'q17'!$K$4</f>
        <v>2022</v>
      </c>
      <c r="L164" s="423">
        <f>+'q17'!$L$4</f>
        <v>2023</v>
      </c>
      <c r="M164" s="423">
        <f>+'q17'!$M$4</f>
        <v>2024</v>
      </c>
      <c r="Y164" s="453">
        <f>+P146</f>
        <v>2024</v>
      </c>
      <c r="Z164" s="453" t="s">
        <v>13</v>
      </c>
    </row>
    <row r="165" spans="1:33">
      <c r="A165" s="460" t="s">
        <v>115</v>
      </c>
      <c r="B165" s="453" t="str">
        <f>+Aux!$B$107</f>
        <v>Quadros superiores</v>
      </c>
      <c r="C165" s="458">
        <f>+'q39'!$C$9</f>
        <v>2704.73</v>
      </c>
      <c r="D165" s="458">
        <f>+'q39'!$D$9</f>
        <v>2709.33</v>
      </c>
      <c r="E165" s="458">
        <f>+'q39'!$E$9</f>
        <v>2707.71</v>
      </c>
      <c r="F165" s="458">
        <f>+'q39'!$F$9</f>
        <v>2735.76</v>
      </c>
      <c r="G165" s="458">
        <f>+'q39'!$G$9</f>
        <v>2778.56</v>
      </c>
      <c r="H165" s="458">
        <f>+'q39'!$H$9</f>
        <v>2793.19</v>
      </c>
      <c r="I165" s="458">
        <f>+'q39'!$I$9</f>
        <v>2791.22</v>
      </c>
      <c r="J165" s="458">
        <f>+'q39'!$J$9</f>
        <v>2823.58</v>
      </c>
      <c r="K165" s="458">
        <f>+'q39'!$K$9</f>
        <v>2978.02</v>
      </c>
      <c r="L165" s="458">
        <f>+'q39'!$L$9</f>
        <v>3162.63</v>
      </c>
      <c r="M165" s="458">
        <f>+'q39'!$M$9</f>
        <v>3378.31</v>
      </c>
      <c r="Y165" s="453" t="s">
        <v>424</v>
      </c>
      <c r="AA165" s="453" t="s">
        <v>425</v>
      </c>
      <c r="AD165" s="453" t="s">
        <v>426</v>
      </c>
      <c r="AF165" s="453" t="s">
        <v>427</v>
      </c>
    </row>
    <row r="166" spans="1:33">
      <c r="B166" s="453" t="str">
        <f>+Aux!$B$108</f>
        <v>Quadros médios</v>
      </c>
      <c r="C166" s="458">
        <f>+'q39'!$C$12</f>
        <v>1850.06</v>
      </c>
      <c r="D166" s="458">
        <f>+'q39'!$D$12</f>
        <v>1856.52</v>
      </c>
      <c r="E166" s="458">
        <f>+'q39'!$E$12</f>
        <v>1851.23</v>
      </c>
      <c r="F166" s="458">
        <f>+'q39'!$F$12</f>
        <v>1864.79</v>
      </c>
      <c r="G166" s="458">
        <f>+'q39'!$G$12</f>
        <v>1897.44</v>
      </c>
      <c r="H166" s="458">
        <f>+'q39'!$H$12</f>
        <v>1917.32</v>
      </c>
      <c r="I166" s="458">
        <f>+'q39'!$I$12</f>
        <v>1927.3</v>
      </c>
      <c r="J166" s="458">
        <f>+'q39'!$J$12</f>
        <v>1953.25</v>
      </c>
      <c r="K166" s="458">
        <f>+'q39'!$K$12</f>
        <v>2087.2800000000002</v>
      </c>
      <c r="L166" s="458">
        <f>+'q39'!$L$12</f>
        <v>2243.9499999999998</v>
      </c>
      <c r="M166" s="458">
        <f>+'q39'!$M$12</f>
        <v>2362.9899999999998</v>
      </c>
      <c r="Y166" s="483" t="str">
        <f>TEXT($X$153,"##.###,0%")</f>
        <v>82,7%</v>
      </c>
      <c r="AA166" s="483" t="s">
        <v>420</v>
      </c>
      <c r="AD166" s="483" t="str">
        <f>TEXT($Y$153,"##.###,0%")</f>
        <v>79,8%</v>
      </c>
      <c r="AF166" s="483" t="s">
        <v>420</v>
      </c>
    </row>
    <row r="167" spans="1:33">
      <c r="B167" s="453" t="str">
        <f>+Aux!$B$109</f>
        <v>Encarregados, contramestres e chefes de equipa</v>
      </c>
      <c r="C167" s="458">
        <f>+'q39'!$C$15</f>
        <v>1582.61</v>
      </c>
      <c r="D167" s="458">
        <f>+'q39'!$D$15</f>
        <v>1597.88</v>
      </c>
      <c r="E167" s="458">
        <f>+'q39'!$E$15</f>
        <v>1631.39</v>
      </c>
      <c r="F167" s="458">
        <f>+'q39'!$F$15</f>
        <v>1660.87</v>
      </c>
      <c r="G167" s="458">
        <f>+'q39'!$G$15</f>
        <v>1699.76</v>
      </c>
      <c r="H167" s="458">
        <f>+'q39'!$H$15</f>
        <v>1753.78</v>
      </c>
      <c r="I167" s="458">
        <f>+'q39'!$I$15</f>
        <v>1799.22</v>
      </c>
      <c r="J167" s="458">
        <f>+'q39'!$J$15</f>
        <v>1852.51</v>
      </c>
      <c r="K167" s="458">
        <f>+'q39'!$K$15</f>
        <v>1948.92</v>
      </c>
      <c r="L167" s="458">
        <f>+'q39'!$L$15</f>
        <v>2066.9499999999998</v>
      </c>
      <c r="M167" s="458">
        <f>+'q39'!$M$15</f>
        <v>2221.7800000000002</v>
      </c>
      <c r="Y167" s="453" t="s">
        <v>463</v>
      </c>
      <c r="AA167" s="483">
        <f>+SMALL($S$148:$S$152,1)</f>
        <v>1032.94</v>
      </c>
      <c r="AB167" s="453" t="str">
        <f>+TEXT(AA167,"##.### €")</f>
        <v>1.033 €</v>
      </c>
      <c r="AD167" s="453" t="s">
        <v>463</v>
      </c>
      <c r="AF167" s="483">
        <f>+SMALL($U$148:$U$152,1)</f>
        <v>958</v>
      </c>
      <c r="AG167" s="453" t="str">
        <f>+TEXT(AF167,"##.### €")</f>
        <v>958 €</v>
      </c>
    </row>
    <row r="168" spans="1:33">
      <c r="B168" s="453" t="str">
        <f>+Aux!$B$110</f>
        <v>Profissionais altamente qualificados</v>
      </c>
      <c r="C168" s="458">
        <f>+'q39'!$C$18</f>
        <v>1548.14</v>
      </c>
      <c r="D168" s="458">
        <f>+'q39'!$D$18</f>
        <v>1572.9</v>
      </c>
      <c r="E168" s="458">
        <f>+'q39'!$E$18</f>
        <v>1572.6</v>
      </c>
      <c r="F168" s="458">
        <f>+'q39'!$F$18</f>
        <v>1584.64</v>
      </c>
      <c r="G168" s="458">
        <f>+'q39'!$G$18</f>
        <v>1610.47</v>
      </c>
      <c r="H168" s="458">
        <f>+'q39'!$H$18</f>
        <v>1589.57</v>
      </c>
      <c r="I168" s="458">
        <f>+'q39'!$I$18</f>
        <v>1610.33</v>
      </c>
      <c r="J168" s="458">
        <f>+'q39'!$J$18</f>
        <v>1629.33</v>
      </c>
      <c r="K168" s="458">
        <f>+'q39'!$K$18</f>
        <v>1696.32</v>
      </c>
      <c r="L168" s="458">
        <f>+'q39'!$L$18</f>
        <v>1817.72</v>
      </c>
      <c r="M168" s="458">
        <f>+'q39'!$M$18</f>
        <v>1932.22</v>
      </c>
      <c r="P168" s="473"/>
      <c r="Q168" s="473"/>
      <c r="R168" s="473"/>
      <c r="S168" s="473"/>
      <c r="T168" s="473"/>
      <c r="U168" s="473"/>
      <c r="V168" s="473"/>
      <c r="W168" s="473"/>
      <c r="X168" s="473"/>
      <c r="Y168" s="453">
        <f>+SMALL($R$148:$R$152,1)</f>
        <v>880.14</v>
      </c>
      <c r="Z168" s="453" t="str">
        <f>+TEXT(Y168,"##.### €")</f>
        <v>880 €</v>
      </c>
      <c r="AB168" s="473"/>
      <c r="AD168" s="453">
        <f>+SMALL($T$148:$T$152,1)</f>
        <v>820</v>
      </c>
      <c r="AE168" s="453" t="str">
        <f>+TEXT(AD168,"##.### €")</f>
        <v>820 €</v>
      </c>
      <c r="AG168" s="473"/>
    </row>
    <row r="169" spans="1:33">
      <c r="B169" s="453" t="str">
        <f>+Aux!$B$111</f>
        <v>Profissionais qualificados</v>
      </c>
      <c r="C169" s="458">
        <f>+'q39'!$C$21</f>
        <v>942.04</v>
      </c>
      <c r="D169" s="458">
        <f>+'q39'!$D$21</f>
        <v>952.22</v>
      </c>
      <c r="E169" s="458">
        <f>+'q39'!$E$21</f>
        <v>959.35</v>
      </c>
      <c r="F169" s="458">
        <f>+'q39'!$F$21</f>
        <v>967.68</v>
      </c>
      <c r="G169" s="458">
        <f>+'q39'!$G$21</f>
        <v>999.9</v>
      </c>
      <c r="H169" s="458">
        <f>+'q39'!$H$21</f>
        <v>1049.6400000000001</v>
      </c>
      <c r="I169" s="458">
        <f>+'q39'!$I$21</f>
        <v>1076.96</v>
      </c>
      <c r="J169" s="458">
        <f>+'q39'!$J$21</f>
        <v>1111.47</v>
      </c>
      <c r="K169" s="458">
        <f>+'q39'!$K$21</f>
        <v>1170.18</v>
      </c>
      <c r="L169" s="458">
        <f>+'q39'!$L$21</f>
        <v>1254.57</v>
      </c>
      <c r="M169" s="458">
        <f>+'q39'!$M$21</f>
        <v>1354.16</v>
      </c>
      <c r="P169" s="473"/>
      <c r="Q169" s="473"/>
      <c r="R169" s="473"/>
      <c r="S169" s="473"/>
      <c r="T169" s="473"/>
      <c r="U169" s="473"/>
      <c r="V169" s="473"/>
      <c r="W169" s="473"/>
      <c r="X169" s="473"/>
      <c r="Y169" s="453" t="s">
        <v>464</v>
      </c>
      <c r="AA169" s="453" t="s">
        <v>421</v>
      </c>
      <c r="AB169" s="473"/>
      <c r="AD169" s="453" t="s">
        <v>464</v>
      </c>
      <c r="AF169" s="453" t="s">
        <v>421</v>
      </c>
      <c r="AG169" s="473"/>
    </row>
    <row r="170" spans="1:33">
      <c r="B170" s="453" t="str">
        <f>+Aux!$B$112</f>
        <v>Profissionais semi-qualificados</v>
      </c>
      <c r="C170" s="458">
        <f>+'q39'!$C$24</f>
        <v>796.15</v>
      </c>
      <c r="D170" s="458">
        <f>+'q39'!$D$24</f>
        <v>780.11</v>
      </c>
      <c r="E170" s="458">
        <f>+'q39'!$E$24</f>
        <v>793.47</v>
      </c>
      <c r="F170" s="458">
        <f>+'q39'!$F$24</f>
        <v>841.11</v>
      </c>
      <c r="G170" s="458">
        <f>+'q39'!$G$24</f>
        <v>876.25</v>
      </c>
      <c r="H170" s="458">
        <f>+'q39'!$H$24</f>
        <v>915.74</v>
      </c>
      <c r="I170" s="458">
        <f>+'q39'!$I$24</f>
        <v>944.01</v>
      </c>
      <c r="J170" s="458">
        <f>+'q39'!$J$24</f>
        <v>987.75</v>
      </c>
      <c r="K170" s="458">
        <f>+'q39'!$K$24</f>
        <v>1039.5</v>
      </c>
      <c r="L170" s="458">
        <f>+'q39'!$L$24</f>
        <v>1097.93</v>
      </c>
      <c r="M170" s="458">
        <f>+'q39'!$M$24</f>
        <v>1171.3399999999999</v>
      </c>
      <c r="P170" s="473"/>
      <c r="Q170" s="473"/>
      <c r="R170" s="473"/>
      <c r="S170" s="473"/>
      <c r="T170" s="473"/>
      <c r="U170" s="473"/>
      <c r="V170" s="473"/>
      <c r="W170" s="473"/>
      <c r="X170" s="473"/>
      <c r="Y170" s="483" t="str">
        <f>+VLOOKUP(Y168,$R$147:$Z$152,COLUMN($Z$147)-17,0)</f>
        <v>&lt; 1.º ciclo do ensino básico</v>
      </c>
      <c r="AA170" s="483">
        <f>+LARGE($S$148:$S$152,1)</f>
        <v>2363.21</v>
      </c>
      <c r="AB170" s="453" t="str">
        <f>+TEXT(AA170,"##.### €")</f>
        <v>2.363 €</v>
      </c>
      <c r="AD170" s="483" t="str">
        <f>+VLOOKUP(AD168,$T$147:$Z$152,COLUMN($Z$147)-19,0)</f>
        <v>&lt; 1.º ciclo do ensino básico</v>
      </c>
      <c r="AF170" s="483">
        <f>+LARGE($U$148:$U$152,1)</f>
        <v>1853</v>
      </c>
      <c r="AG170" s="453" t="str">
        <f>+TEXT(AF170,"##.### €")</f>
        <v>1.853 €</v>
      </c>
    </row>
    <row r="171" spans="1:33">
      <c r="B171" s="453" t="str">
        <f>+Aux!$B$113</f>
        <v>Profissionais não qualificados</v>
      </c>
      <c r="C171" s="458">
        <f>+'q39'!$C$27</f>
        <v>718.39</v>
      </c>
      <c r="D171" s="458">
        <f>+'q39'!$D$27</f>
        <v>725.24</v>
      </c>
      <c r="E171" s="458">
        <f>+'q39'!$E$27</f>
        <v>734.37</v>
      </c>
      <c r="F171" s="458">
        <f>+'q39'!$F$27</f>
        <v>760.16</v>
      </c>
      <c r="G171" s="458">
        <f>+'q39'!$G$27</f>
        <v>788.9</v>
      </c>
      <c r="H171" s="458">
        <f>+'q39'!$H$27</f>
        <v>809.64</v>
      </c>
      <c r="I171" s="458">
        <f>+'q39'!$I$27</f>
        <v>841.62</v>
      </c>
      <c r="J171" s="458">
        <f>+'q39'!$J$27</f>
        <v>875.97</v>
      </c>
      <c r="K171" s="458">
        <f>+'q39'!$K$27</f>
        <v>916.09</v>
      </c>
      <c r="L171" s="458">
        <f>+'q39'!$L$27</f>
        <v>985.99</v>
      </c>
      <c r="M171" s="458">
        <f>+'q39'!$M$27</f>
        <v>1059.8399999999999</v>
      </c>
      <c r="P171" s="473"/>
      <c r="Q171" s="473"/>
      <c r="R171" s="473"/>
      <c r="S171" s="473"/>
      <c r="T171" s="473"/>
      <c r="U171" s="473"/>
      <c r="V171" s="473"/>
      <c r="W171" s="473"/>
      <c r="X171" s="473"/>
      <c r="Y171" s="453" t="s">
        <v>418</v>
      </c>
      <c r="AA171" s="453" t="s">
        <v>475</v>
      </c>
      <c r="AB171" s="473"/>
      <c r="AD171" s="453" t="s">
        <v>418</v>
      </c>
      <c r="AF171" s="453" t="s">
        <v>475</v>
      </c>
      <c r="AG171" s="473"/>
    </row>
    <row r="172" spans="1:33">
      <c r="B172" s="453" t="str">
        <f>+Aux!$B$114</f>
        <v>Praticantes e aprendizes</v>
      </c>
      <c r="C172" s="458">
        <f>+'q39'!$C$30</f>
        <v>692.79</v>
      </c>
      <c r="D172" s="458">
        <f>+'q39'!$D$30</f>
        <v>693.71</v>
      </c>
      <c r="E172" s="458">
        <f>+'q39'!$E$30</f>
        <v>705.06</v>
      </c>
      <c r="F172" s="458">
        <f>+'q39'!$F$30</f>
        <v>741.7</v>
      </c>
      <c r="G172" s="458">
        <f>+'q39'!$G$30</f>
        <v>776.13</v>
      </c>
      <c r="H172" s="458">
        <f>+'q39'!$H$30</f>
        <v>806.73</v>
      </c>
      <c r="I172" s="458">
        <f>+'q39'!$I$30</f>
        <v>837.55</v>
      </c>
      <c r="J172" s="458">
        <f>+'q39'!$J$30</f>
        <v>872.98</v>
      </c>
      <c r="K172" s="458">
        <f>+'q39'!$K$30</f>
        <v>921.18</v>
      </c>
      <c r="L172" s="458">
        <f>+'q39'!$L$30</f>
        <v>997.54</v>
      </c>
      <c r="M172" s="458">
        <f>+'q39'!$M$30</f>
        <v>1064.74</v>
      </c>
      <c r="Y172" s="453">
        <f>+LARGE(R148:R152,1)</f>
        <v>1990.45</v>
      </c>
      <c r="Z172" s="453" t="str">
        <f>+TEXT(Y172,"##.### €")</f>
        <v>1.990 €</v>
      </c>
      <c r="AD172" s="453">
        <f>+LARGE($T$148:$T$152,1)</f>
        <v>1544</v>
      </c>
      <c r="AE172" s="453" t="str">
        <f>+TEXT(AD172,"##.### €")</f>
        <v>1.544 €</v>
      </c>
    </row>
    <row r="173" spans="1:33">
      <c r="B173" s="453" t="str">
        <f>+Aux!$B$115</f>
        <v>Total</v>
      </c>
      <c r="C173" s="458">
        <f>+'q39'!$C$6</f>
        <v>1203.32</v>
      </c>
      <c r="D173" s="458">
        <f>+'q39'!$D$6</f>
        <v>1207.76</v>
      </c>
      <c r="E173" s="458">
        <f>+'q39'!$E$6</f>
        <v>1215.1099999999999</v>
      </c>
      <c r="F173" s="458">
        <f>+'q39'!$F$6</f>
        <v>1236.8499999999999</v>
      </c>
      <c r="G173" s="458">
        <f>+'q39'!$G$6</f>
        <v>1273.99</v>
      </c>
      <c r="H173" s="458">
        <f>+'q39'!$H$6</f>
        <v>1312.43</v>
      </c>
      <c r="I173" s="458">
        <f>+'q39'!$I$6</f>
        <v>1349.35</v>
      </c>
      <c r="J173" s="458">
        <f>+'q39'!$J$6</f>
        <v>1395.7</v>
      </c>
      <c r="K173" s="458">
        <f>+'q39'!$K$6</f>
        <v>1476.2</v>
      </c>
      <c r="L173" s="458">
        <f>+'q39'!$L$6</f>
        <v>1577.33</v>
      </c>
      <c r="M173" s="458">
        <f>+'q39'!$M$6</f>
        <v>1693.55</v>
      </c>
      <c r="P173" s="458"/>
      <c r="Y173" s="453" t="s">
        <v>464</v>
      </c>
      <c r="AD173" s="453" t="s">
        <v>464</v>
      </c>
    </row>
    <row r="174" spans="1:33">
      <c r="Y174" s="483" t="str">
        <f>+VLOOKUP(Y172,$R$147:$Z$152,COLUMN($Z$147)-17,0)</f>
        <v>Ensino superior**</v>
      </c>
      <c r="Z174" s="453" t="s">
        <v>397</v>
      </c>
      <c r="AD174" s="483" t="str">
        <f>+VLOOKUP(AD172,$T$147:$Z$152,COLUMN($Z$147)-19,0)</f>
        <v>Ensino superior**</v>
      </c>
      <c r="AE174" s="453" t="s">
        <v>397</v>
      </c>
    </row>
    <row r="175" spans="1:33">
      <c r="C175" s="423">
        <f>+'q17'!$C$4</f>
        <v>2014</v>
      </c>
      <c r="D175" s="423">
        <f>+'q17'!$D$4</f>
        <v>2015</v>
      </c>
      <c r="E175" s="423">
        <f>+'q17'!$E$4</f>
        <v>2016</v>
      </c>
      <c r="F175" s="423">
        <f>+'q17'!$F$4</f>
        <v>2017</v>
      </c>
      <c r="G175" s="423">
        <f>+'q17'!$G$4</f>
        <v>2018</v>
      </c>
      <c r="H175" s="423">
        <f>+'q17'!$H$4</f>
        <v>2019</v>
      </c>
      <c r="I175" s="423">
        <f>+'q17'!$I$4</f>
        <v>2020</v>
      </c>
      <c r="J175" s="423">
        <f>+'q17'!$J$4</f>
        <v>2021</v>
      </c>
      <c r="K175" s="423">
        <f>+'q17'!$K$4</f>
        <v>2022</v>
      </c>
      <c r="L175" s="423">
        <f>+'q17'!$L$4</f>
        <v>2023</v>
      </c>
      <c r="M175" s="423">
        <f>+'q17'!$M$4</f>
        <v>2024</v>
      </c>
    </row>
    <row r="176" spans="1:33">
      <c r="A176" s="460" t="s">
        <v>116</v>
      </c>
      <c r="B176" s="453" t="str">
        <f>+Aux!$B$107</f>
        <v>Quadros superiores</v>
      </c>
      <c r="C176" s="458">
        <f>+'q39'!$C$10</f>
        <v>1951.13</v>
      </c>
      <c r="D176" s="458">
        <f>+'q39'!$D$10</f>
        <v>1954.51</v>
      </c>
      <c r="E176" s="458">
        <f>+'q39'!$E$10</f>
        <v>1958.78</v>
      </c>
      <c r="F176" s="458">
        <f>+'q39'!$F$10</f>
        <v>1980.48</v>
      </c>
      <c r="G176" s="458">
        <f>+'q39'!$G$10</f>
        <v>2020.57</v>
      </c>
      <c r="H176" s="458">
        <f>+'q39'!$H$10</f>
        <v>2054.39</v>
      </c>
      <c r="I176" s="458">
        <f>+'q39'!$I$10</f>
        <v>2088.9699999999998</v>
      </c>
      <c r="J176" s="458">
        <f>+'q39'!$J$10</f>
        <v>2122.5500000000002</v>
      </c>
      <c r="K176" s="458">
        <f>+'q39'!$K$10</f>
        <v>2217.06</v>
      </c>
      <c r="L176" s="458">
        <f>+'q39'!$L$10</f>
        <v>2323.69</v>
      </c>
      <c r="M176" s="458">
        <f>+'q39'!$M$10</f>
        <v>2523.38</v>
      </c>
    </row>
    <row r="177" spans="1:37">
      <c r="B177" s="453" t="str">
        <f>+Aux!$B$108</f>
        <v>Quadros médios</v>
      </c>
      <c r="C177" s="458">
        <f>+'q39'!$C$13</f>
        <v>1523.64</v>
      </c>
      <c r="D177" s="458">
        <f>+'q39'!$D$13</f>
        <v>1532.07</v>
      </c>
      <c r="E177" s="458">
        <f>+'q39'!$E$13</f>
        <v>1542.53</v>
      </c>
      <c r="F177" s="458">
        <f>+'q39'!$F$13</f>
        <v>1559.89</v>
      </c>
      <c r="G177" s="458">
        <f>+'q39'!$G$13</f>
        <v>1596.09</v>
      </c>
      <c r="H177" s="458">
        <f>+'q39'!$H$13</f>
        <v>1621.86</v>
      </c>
      <c r="I177" s="458">
        <f>+'q39'!$I$13</f>
        <v>1631.51</v>
      </c>
      <c r="J177" s="458">
        <f>+'q39'!$J$13</f>
        <v>1651.81</v>
      </c>
      <c r="K177" s="458">
        <f>+'q39'!$K$13</f>
        <v>1745.69</v>
      </c>
      <c r="L177" s="458">
        <f>+'q39'!$L$13</f>
        <v>1876.78</v>
      </c>
      <c r="M177" s="458">
        <f>+'q39'!$M$13</f>
        <v>1974.13</v>
      </c>
      <c r="AA177" s="960" t="str">
        <f>CONCATENATE(Y164," - ",Z164,":",CHAR(10),Y165," ",Y166,Y167," ",Z168,Y169,Y170,Y171," ",Z172,Y173,Y174,Z174,CHAR(10),AA165,AA166," ",AB167,AA168," ",AA169," ",AB170,AA171)</f>
        <v>2024 - Continente:
Base média: 82,7% do Ganho, entre 880 € (&lt; 1.º ciclo do ensino básico) e  1.990 € (Ensino superior**).
Ganho médio:Entre 1.033 € e 2.363 €, nos mesmos níveis de habilitação, respetivamente.</v>
      </c>
      <c r="AB177" s="960"/>
      <c r="AC177" s="960"/>
      <c r="AD177" s="960"/>
      <c r="AE177" s="960"/>
      <c r="AG177" s="960" t="str">
        <f>+CONCATENATE(Y164," - ",Z164,":",CHAR(10),AD165," ",AD166,AD167," ",AE168,AD169,AD170,AD171," ",AE172,AD173,AD174,AE174,CHAR(10),AF165," ",AF166," ",AG167,AF168," ",AF169," ",AG170,AF171)</f>
        <v>2024 - Continente:
Base mediana: 79,8% do Ganho, entre 820 € (&lt; 1.º ciclo do ensino básico) e  1.544 € (Ensino superior**).
Ganho mediano: Entre 958 € e 1.853 €, nos mesmos níveis de habilitação, respetivamente.</v>
      </c>
      <c r="AH177" s="960"/>
      <c r="AI177" s="960"/>
      <c r="AJ177" s="960"/>
      <c r="AK177" s="960"/>
    </row>
    <row r="178" spans="1:37">
      <c r="B178" s="453" t="str">
        <f>+Aux!$B$109</f>
        <v>Encarregados, contramestres e chefes de equipa</v>
      </c>
      <c r="C178" s="458">
        <f>+'q39'!$C$16</f>
        <v>1422.69</v>
      </c>
      <c r="D178" s="458">
        <f>+'q39'!$D$16</f>
        <v>1433.86</v>
      </c>
      <c r="E178" s="458">
        <f>+'q39'!$E$16</f>
        <v>1461.62</v>
      </c>
      <c r="F178" s="458">
        <f>+'q39'!$F$16</f>
        <v>1504.83</v>
      </c>
      <c r="G178" s="458">
        <f>+'q39'!$G$16</f>
        <v>1522.83</v>
      </c>
      <c r="H178" s="458">
        <f>+'q39'!$H$16</f>
        <v>1577.75</v>
      </c>
      <c r="I178" s="458">
        <f>+'q39'!$I$16</f>
        <v>1616.78</v>
      </c>
      <c r="J178" s="458">
        <f>+'q39'!$J$16</f>
        <v>1667.24</v>
      </c>
      <c r="K178" s="458">
        <f>+'q39'!$K$16</f>
        <v>1762.74</v>
      </c>
      <c r="L178" s="458">
        <f>+'q39'!$L$16</f>
        <v>1874.53</v>
      </c>
      <c r="M178" s="458">
        <f>+'q39'!$M$16</f>
        <v>2059.3200000000002</v>
      </c>
      <c r="AA178" s="960"/>
      <c r="AB178" s="960"/>
      <c r="AC178" s="960"/>
      <c r="AD178" s="960"/>
      <c r="AE178" s="960"/>
      <c r="AG178" s="960"/>
      <c r="AH178" s="960"/>
      <c r="AI178" s="960"/>
      <c r="AJ178" s="960"/>
      <c r="AK178" s="960"/>
    </row>
    <row r="179" spans="1:37">
      <c r="B179" s="453" t="str">
        <f>+Aux!$B$110</f>
        <v>Profissionais altamente qualificados</v>
      </c>
      <c r="C179" s="458">
        <f>+'q39'!$C$19</f>
        <v>1257.99</v>
      </c>
      <c r="D179" s="458">
        <f>+'q39'!$D$19</f>
        <v>1254.3499999999999</v>
      </c>
      <c r="E179" s="458">
        <f>+'q39'!$E$19</f>
        <v>1239</v>
      </c>
      <c r="F179" s="458">
        <f>+'q39'!$F$19</f>
        <v>1248.8800000000001</v>
      </c>
      <c r="G179" s="458">
        <f>+'q39'!$G$19</f>
        <v>1273.29</v>
      </c>
      <c r="H179" s="458">
        <f>+'q39'!$H$19</f>
        <v>1273.3800000000001</v>
      </c>
      <c r="I179" s="458">
        <f>+'q39'!$I$19</f>
        <v>1284.77</v>
      </c>
      <c r="J179" s="458">
        <f>+'q39'!$J$19</f>
        <v>1299.05</v>
      </c>
      <c r="K179" s="458">
        <f>+'q39'!$K$19</f>
        <v>1355.27</v>
      </c>
      <c r="L179" s="458">
        <f>+'q39'!$L$19</f>
        <v>1471.6</v>
      </c>
      <c r="M179" s="458">
        <f>+'q39'!$M$19</f>
        <v>1570.29</v>
      </c>
      <c r="AA179" s="960"/>
      <c r="AB179" s="960"/>
      <c r="AC179" s="960"/>
      <c r="AD179" s="960"/>
      <c r="AE179" s="960"/>
      <c r="AG179" s="960"/>
      <c r="AH179" s="960"/>
      <c r="AI179" s="960"/>
      <c r="AJ179" s="960"/>
      <c r="AK179" s="960"/>
    </row>
    <row r="180" spans="1:37">
      <c r="B180" s="453" t="str">
        <f>+Aux!$B$111</f>
        <v>Profissionais qualificados</v>
      </c>
      <c r="C180" s="458">
        <f>+'q39'!$C$22</f>
        <v>809.38</v>
      </c>
      <c r="D180" s="458">
        <f>+'q39'!$D$22</f>
        <v>808.86</v>
      </c>
      <c r="E180" s="458">
        <f>+'q39'!$E$22</f>
        <v>817.35</v>
      </c>
      <c r="F180" s="458">
        <f>+'q39'!$F$22</f>
        <v>826.04</v>
      </c>
      <c r="G180" s="458">
        <f>+'q39'!$G$22</f>
        <v>852.62</v>
      </c>
      <c r="H180" s="458">
        <f>+'q39'!$H$22</f>
        <v>904.67</v>
      </c>
      <c r="I180" s="458">
        <f>+'q39'!$I$22</f>
        <v>938.34</v>
      </c>
      <c r="J180" s="458">
        <f>+'q39'!$J$22</f>
        <v>966.28</v>
      </c>
      <c r="K180" s="458">
        <f>+'q39'!$K$22</f>
        <v>1025</v>
      </c>
      <c r="L180" s="458">
        <f>+'q39'!$L$22</f>
        <v>1105.1600000000001</v>
      </c>
      <c r="M180" s="458">
        <f>+'q39'!$M$22</f>
        <v>1207.9100000000001</v>
      </c>
      <c r="AA180" s="960"/>
      <c r="AB180" s="960"/>
      <c r="AC180" s="960"/>
      <c r="AD180" s="960"/>
      <c r="AE180" s="960"/>
      <c r="AG180" s="960"/>
      <c r="AH180" s="960"/>
      <c r="AI180" s="960"/>
      <c r="AJ180" s="960"/>
      <c r="AK180" s="960"/>
    </row>
    <row r="181" spans="1:37">
      <c r="B181" s="453" t="str">
        <f>+Aux!$B$112</f>
        <v>Profissionais semi-qualificados</v>
      </c>
      <c r="C181" s="458">
        <f>+'q39'!$C$25</f>
        <v>665.11</v>
      </c>
      <c r="D181" s="458">
        <f>+'q39'!$D$25</f>
        <v>668.41</v>
      </c>
      <c r="E181" s="458">
        <f>+'q39'!$E$25</f>
        <v>684.5</v>
      </c>
      <c r="F181" s="458">
        <f>+'q39'!$F$25</f>
        <v>720.6</v>
      </c>
      <c r="G181" s="458">
        <f>+'q39'!$G$25</f>
        <v>748.16</v>
      </c>
      <c r="H181" s="458">
        <f>+'q39'!$H$25</f>
        <v>783.48</v>
      </c>
      <c r="I181" s="458">
        <f>+'q39'!$I$25</f>
        <v>815.2</v>
      </c>
      <c r="J181" s="458">
        <f>+'q39'!$J$25</f>
        <v>852.28</v>
      </c>
      <c r="K181" s="458">
        <f>+'q39'!$K$25</f>
        <v>901.44</v>
      </c>
      <c r="L181" s="458">
        <f>+'q39'!$L$25</f>
        <v>969.55</v>
      </c>
      <c r="M181" s="458">
        <f>+'q39'!$M$25</f>
        <v>1045.28</v>
      </c>
      <c r="AA181" s="960"/>
      <c r="AB181" s="960"/>
      <c r="AC181" s="960"/>
      <c r="AD181" s="960"/>
      <c r="AE181" s="960"/>
      <c r="AG181" s="960"/>
      <c r="AH181" s="960"/>
      <c r="AI181" s="960"/>
      <c r="AJ181" s="960"/>
      <c r="AK181" s="960"/>
    </row>
    <row r="182" spans="1:37">
      <c r="B182" s="453" t="str">
        <f>+Aux!$B$113</f>
        <v>Profissionais não qualificados</v>
      </c>
      <c r="C182" s="458">
        <f>+'q39'!$C$28</f>
        <v>613.38</v>
      </c>
      <c r="D182" s="458">
        <f>+'q39'!$D$28</f>
        <v>617.4</v>
      </c>
      <c r="E182" s="458">
        <f>+'q39'!$E$28</f>
        <v>638.89</v>
      </c>
      <c r="F182" s="458">
        <f>+'q39'!$F$28</f>
        <v>670.42</v>
      </c>
      <c r="G182" s="458">
        <f>+'q39'!$G$28</f>
        <v>697.79</v>
      </c>
      <c r="H182" s="458">
        <f>+'q39'!$H$28</f>
        <v>722.65</v>
      </c>
      <c r="I182" s="458">
        <f>+'q39'!$I$28</f>
        <v>757.86</v>
      </c>
      <c r="J182" s="458">
        <f>+'q39'!$J$28</f>
        <v>791.4</v>
      </c>
      <c r="K182" s="458">
        <f>+'q39'!$K$28</f>
        <v>837.38</v>
      </c>
      <c r="L182" s="458">
        <f>+'q39'!$L$28</f>
        <v>902.36</v>
      </c>
      <c r="M182" s="458">
        <f>+'q39'!$M$28</f>
        <v>974.64</v>
      </c>
      <c r="AA182" s="960"/>
      <c r="AB182" s="960"/>
      <c r="AC182" s="960"/>
      <c r="AD182" s="960"/>
      <c r="AE182" s="960"/>
      <c r="AG182" s="960"/>
      <c r="AH182" s="960"/>
      <c r="AI182" s="960"/>
      <c r="AJ182" s="960"/>
      <c r="AK182" s="960"/>
    </row>
    <row r="183" spans="1:37">
      <c r="B183" s="453" t="str">
        <f>+Aux!$B$114</f>
        <v>Praticantes e aprendizes</v>
      </c>
      <c r="C183" s="458">
        <f>+'q39'!$C$31</f>
        <v>639.35</v>
      </c>
      <c r="D183" s="458">
        <f>+'q39'!$D$31</f>
        <v>638.33000000000004</v>
      </c>
      <c r="E183" s="458">
        <f>+'q39'!$E$31</f>
        <v>657.48</v>
      </c>
      <c r="F183" s="458">
        <f>+'q39'!$F$31</f>
        <v>691.32</v>
      </c>
      <c r="G183" s="458">
        <f>+'q39'!$G$31</f>
        <v>726.2</v>
      </c>
      <c r="H183" s="458">
        <f>+'q39'!$H$31</f>
        <v>758.26</v>
      </c>
      <c r="I183" s="458">
        <f>+'q39'!$I$31</f>
        <v>786.47</v>
      </c>
      <c r="J183" s="458">
        <f>+'q39'!$J$31</f>
        <v>825</v>
      </c>
      <c r="K183" s="458">
        <f>+'q39'!$K$31</f>
        <v>875.73</v>
      </c>
      <c r="L183" s="458">
        <f>+'q39'!$L$31</f>
        <v>951.06</v>
      </c>
      <c r="M183" s="458">
        <f>+'q39'!$M$31</f>
        <v>1024.3699999999999</v>
      </c>
    </row>
    <row r="184" spans="1:37">
      <c r="B184" s="453" t="str">
        <f>+Aux!$B$115</f>
        <v>Total</v>
      </c>
      <c r="C184" s="458">
        <f>+'q39'!$C$7</f>
        <v>963.12</v>
      </c>
      <c r="D184" s="458">
        <f>+'q39'!$D$7</f>
        <v>966.85</v>
      </c>
      <c r="E184" s="458">
        <f>+'q39'!$E$7</f>
        <v>982.49</v>
      </c>
      <c r="F184" s="458">
        <f>+'q39'!$F$7</f>
        <v>1011.02</v>
      </c>
      <c r="G184" s="458">
        <f>+'q39'!$G$7</f>
        <v>1046.5899999999999</v>
      </c>
      <c r="H184" s="458">
        <f>+'q39'!$H$7</f>
        <v>1086.97</v>
      </c>
      <c r="I184" s="458">
        <f>+'q39'!$I$7</f>
        <v>1130.8699999999999</v>
      </c>
      <c r="J184" s="458">
        <f>+'q39'!$J$7</f>
        <v>1172.08</v>
      </c>
      <c r="K184" s="458">
        <f>+'q39'!$K$7</f>
        <v>1237.52</v>
      </c>
      <c r="L184" s="458">
        <f>+'q39'!$L$7</f>
        <v>1332.02</v>
      </c>
      <c r="M184" s="458">
        <f>+'q39'!$M$7</f>
        <v>1445.59</v>
      </c>
    </row>
    <row r="186" spans="1:37">
      <c r="C186" s="423">
        <f>+'q17'!$C$4</f>
        <v>2014</v>
      </c>
      <c r="D186" s="423">
        <f>+'q17'!$D$4</f>
        <v>2015</v>
      </c>
      <c r="E186" s="423">
        <f>+'q17'!$E$4</f>
        <v>2016</v>
      </c>
      <c r="F186" s="423">
        <f>+'q17'!$F$4</f>
        <v>2017</v>
      </c>
      <c r="G186" s="423">
        <f>+'q17'!$G$4</f>
        <v>2018</v>
      </c>
      <c r="H186" s="423">
        <f>+'q17'!$H$4</f>
        <v>2019</v>
      </c>
      <c r="I186" s="423">
        <f>+'q17'!$I$4</f>
        <v>2020</v>
      </c>
      <c r="J186" s="423">
        <f>+'q17'!$J$4</f>
        <v>2021</v>
      </c>
      <c r="K186" s="423">
        <f>+'q17'!$K$4</f>
        <v>2022</v>
      </c>
      <c r="L186" s="423">
        <f>+'q17'!$L$4</f>
        <v>2023</v>
      </c>
      <c r="M186" s="423">
        <f>+'q17'!$M$4</f>
        <v>2024</v>
      </c>
    </row>
    <row r="187" spans="1:37">
      <c r="A187" s="460" t="s">
        <v>11</v>
      </c>
      <c r="B187" s="453" t="str">
        <f>+Aux!$B$107</f>
        <v>Quadros superiores</v>
      </c>
      <c r="C187" s="458">
        <f>+'q39'!$C$8</f>
        <v>2371.0300000000002</v>
      </c>
      <c r="D187" s="458">
        <f>+'q39'!$D$8</f>
        <v>2370.5300000000002</v>
      </c>
      <c r="E187" s="458">
        <f>+'q39'!$E$8</f>
        <v>2366.86</v>
      </c>
      <c r="F187" s="458">
        <f>+'q39'!$F$8</f>
        <v>2390.46</v>
      </c>
      <c r="G187" s="458">
        <f>+'q39'!$G$8</f>
        <v>2429.65</v>
      </c>
      <c r="H187" s="458">
        <f>+'q39'!$H$8</f>
        <v>2452.2399999999998</v>
      </c>
      <c r="I187" s="458">
        <f>+'q39'!$I$8</f>
        <v>2465.5500000000002</v>
      </c>
      <c r="J187" s="458">
        <f>+'q39'!$J$8</f>
        <v>2494.79</v>
      </c>
      <c r="K187" s="458">
        <f>+'q39'!$K$8</f>
        <v>2625.92</v>
      </c>
      <c r="L187" s="458">
        <f>+'q39'!$L$8</f>
        <v>2770.63</v>
      </c>
      <c r="M187" s="458">
        <f>+'q39'!$M$8</f>
        <v>2980.13</v>
      </c>
    </row>
    <row r="188" spans="1:37">
      <c r="B188" s="453" t="str">
        <f>+Aux!$B$108</f>
        <v>Quadros médios</v>
      </c>
      <c r="C188" s="458">
        <f>+'q39'!$C$11</f>
        <v>1696.68</v>
      </c>
      <c r="D188" s="458">
        <f>+'q39'!$D$11</f>
        <v>1702.15</v>
      </c>
      <c r="E188" s="458">
        <f>+'q39'!$E$11</f>
        <v>1703.6</v>
      </c>
      <c r="F188" s="458">
        <f>+'q39'!$F$11</f>
        <v>1719.08</v>
      </c>
      <c r="G188" s="458">
        <f>+'q39'!$G$11</f>
        <v>1753.47</v>
      </c>
      <c r="H188" s="458">
        <f>+'q39'!$H$11</f>
        <v>1773.89</v>
      </c>
      <c r="I188" s="458">
        <f>+'q39'!$I$11</f>
        <v>1783.83</v>
      </c>
      <c r="J188" s="458">
        <f>+'q39'!$J$11</f>
        <v>1807.26</v>
      </c>
      <c r="K188" s="458">
        <f>+'q39'!$K$11</f>
        <v>1923.5</v>
      </c>
      <c r="L188" s="458">
        <f>+'q39'!$L$11</f>
        <v>2069.0700000000002</v>
      </c>
      <c r="M188" s="458">
        <f>+'q39'!$M$11</f>
        <v>2178.6</v>
      </c>
    </row>
    <row r="189" spans="1:37">
      <c r="B189" s="453" t="str">
        <f>+Aux!$B$109</f>
        <v>Encarregados, contramestres e chefes de equipa</v>
      </c>
      <c r="C189" s="458">
        <f>+'q39'!$C$14</f>
        <v>1525.33</v>
      </c>
      <c r="D189" s="458">
        <f>+'q39'!$D$14</f>
        <v>1538.3</v>
      </c>
      <c r="E189" s="458">
        <f>+'q39'!$E$14</f>
        <v>1568.2</v>
      </c>
      <c r="F189" s="458">
        <f>+'q39'!$F$14</f>
        <v>1601.93</v>
      </c>
      <c r="G189" s="458">
        <f>+'q39'!$G$14</f>
        <v>1632.29</v>
      </c>
      <c r="H189" s="458">
        <f>+'q39'!$H$14</f>
        <v>1688.2</v>
      </c>
      <c r="I189" s="458">
        <f>+'q39'!$I$14</f>
        <v>1731.57</v>
      </c>
      <c r="J189" s="458">
        <f>+'q39'!$J$14</f>
        <v>1782.73</v>
      </c>
      <c r="K189" s="458">
        <f>+'q39'!$K$14</f>
        <v>1876.91</v>
      </c>
      <c r="L189" s="458">
        <f>+'q39'!$L$14</f>
        <v>1991.34</v>
      </c>
      <c r="M189" s="458">
        <f>+'q39'!$M$14</f>
        <v>2159.09</v>
      </c>
    </row>
    <row r="190" spans="1:37">
      <c r="B190" s="453" t="str">
        <f>+Aux!$B$110</f>
        <v>Profissionais altamente qualificados</v>
      </c>
      <c r="C190" s="458">
        <f>+'q39'!$C$17</f>
        <v>1406.4</v>
      </c>
      <c r="D190" s="458">
        <f>+'q39'!$D$17</f>
        <v>1414.92</v>
      </c>
      <c r="E190" s="458">
        <f>+'q39'!$E$17</f>
        <v>1407</v>
      </c>
      <c r="F190" s="458">
        <f>+'q39'!$F$17</f>
        <v>1418.91</v>
      </c>
      <c r="G190" s="458">
        <f>+'q39'!$G$17</f>
        <v>1443.4</v>
      </c>
      <c r="H190" s="458">
        <f>+'q39'!$H$17</f>
        <v>1434.98</v>
      </c>
      <c r="I190" s="458">
        <f>+'q39'!$I$17</f>
        <v>1450.57</v>
      </c>
      <c r="J190" s="458">
        <f>+'q39'!$J$17</f>
        <v>1464.69</v>
      </c>
      <c r="K190" s="458">
        <f>+'q39'!$K$17</f>
        <v>1529.19</v>
      </c>
      <c r="L190" s="458">
        <f>+'q39'!$L$17</f>
        <v>1649.77</v>
      </c>
      <c r="M190" s="458">
        <f>+'q39'!$M$17</f>
        <v>1757.96</v>
      </c>
    </row>
    <row r="191" spans="1:37">
      <c r="B191" s="453" t="str">
        <f>+Aux!$B$111</f>
        <v>Profissionais qualificados</v>
      </c>
      <c r="C191" s="458">
        <f>+'q39'!$C$20</f>
        <v>887.88</v>
      </c>
      <c r="D191" s="458">
        <f>+'q39'!$D$20</f>
        <v>893.94</v>
      </c>
      <c r="E191" s="458">
        <f>+'q39'!$E$20</f>
        <v>901.37</v>
      </c>
      <c r="F191" s="458">
        <f>+'q39'!$F$20</f>
        <v>908.5</v>
      </c>
      <c r="G191" s="458">
        <f>+'q39'!$G$20</f>
        <v>938.77</v>
      </c>
      <c r="H191" s="458">
        <f>+'q39'!$H$20</f>
        <v>990.76</v>
      </c>
      <c r="I191" s="458">
        <f>+'q39'!$I$20</f>
        <v>1021.24</v>
      </c>
      <c r="J191" s="458">
        <f>+'q39'!$J$20</f>
        <v>1052.31</v>
      </c>
      <c r="K191" s="458">
        <f>+'q39'!$K$20</f>
        <v>1110.75</v>
      </c>
      <c r="L191" s="458">
        <f>+'q39'!$L$20</f>
        <v>1193.5999999999999</v>
      </c>
      <c r="M191" s="458">
        <f>+'q39'!$M$20</f>
        <v>1295.24</v>
      </c>
    </row>
    <row r="192" spans="1:37">
      <c r="B192" s="453" t="str">
        <f>+Aux!$B$112</f>
        <v>Profissionais semi-qualificados</v>
      </c>
      <c r="C192" s="458">
        <f>+'q39'!$C$23</f>
        <v>723.66</v>
      </c>
      <c r="D192" s="458">
        <f>+'q39'!$D$23</f>
        <v>717.68</v>
      </c>
      <c r="E192" s="458">
        <f>+'q39'!$E$23</f>
        <v>733.32</v>
      </c>
      <c r="F192" s="458">
        <f>+'q39'!$F$23</f>
        <v>776.23</v>
      </c>
      <c r="G192" s="458">
        <f>+'q39'!$G$23</f>
        <v>807.78</v>
      </c>
      <c r="H192" s="458">
        <f>+'q39'!$H$23</f>
        <v>843.85</v>
      </c>
      <c r="I192" s="458">
        <f>+'q39'!$I$23</f>
        <v>874.56</v>
      </c>
      <c r="J192" s="458">
        <f>+'q39'!$J$23</f>
        <v>914.67</v>
      </c>
      <c r="K192" s="458">
        <f>+'q39'!$K$23</f>
        <v>965.04</v>
      </c>
      <c r="L192" s="458">
        <f>+'q39'!$L$23</f>
        <v>1028.9100000000001</v>
      </c>
      <c r="M192" s="458">
        <f>+'q39'!$M$23</f>
        <v>1104.49</v>
      </c>
    </row>
    <row r="193" spans="1:13">
      <c r="B193" s="453" t="str">
        <f>+Aux!$B$113</f>
        <v>Profissionais não qualificados</v>
      </c>
      <c r="C193" s="458">
        <f>+'q39'!$C$26</f>
        <v>666.22</v>
      </c>
      <c r="D193" s="458">
        <f>+'q39'!$D$26</f>
        <v>671.16</v>
      </c>
      <c r="E193" s="458">
        <f>+'q39'!$E$26</f>
        <v>687</v>
      </c>
      <c r="F193" s="458">
        <f>+'q39'!$F$26</f>
        <v>717.54</v>
      </c>
      <c r="G193" s="458">
        <f>+'q39'!$G$26</f>
        <v>746.09</v>
      </c>
      <c r="H193" s="458">
        <f>+'q39'!$H$26</f>
        <v>769.39</v>
      </c>
      <c r="I193" s="458">
        <f>+'q39'!$I$26</f>
        <v>803.41</v>
      </c>
      <c r="J193" s="458">
        <f>+'q39'!$J$26</f>
        <v>837.74</v>
      </c>
      <c r="K193" s="458">
        <f>+'q39'!$K$26</f>
        <v>880.87</v>
      </c>
      <c r="L193" s="458">
        <f>+'q39'!$L$26</f>
        <v>950.15</v>
      </c>
      <c r="M193" s="458">
        <f>+'q39'!$M$26</f>
        <v>1023.82</v>
      </c>
    </row>
    <row r="194" spans="1:13">
      <c r="B194" s="453" t="str">
        <f>+Aux!$B$114</f>
        <v>Praticantes e aprendizes</v>
      </c>
      <c r="C194" s="458">
        <f>+'q39'!$C$29</f>
        <v>666.45</v>
      </c>
      <c r="D194" s="458">
        <f>+'q39'!$D$29</f>
        <v>666.8</v>
      </c>
      <c r="E194" s="458">
        <f>+'q39'!$E$29</f>
        <v>682.36</v>
      </c>
      <c r="F194" s="458">
        <f>+'q39'!$F$29</f>
        <v>717.97</v>
      </c>
      <c r="G194" s="458">
        <f>+'q39'!$G$29</f>
        <v>752.95</v>
      </c>
      <c r="H194" s="458">
        <f>+'q39'!$H$29</f>
        <v>785.14</v>
      </c>
      <c r="I194" s="458">
        <f>+'q39'!$I$29</f>
        <v>816.36</v>
      </c>
      <c r="J194" s="458">
        <f>+'q39'!$J$29</f>
        <v>853.02</v>
      </c>
      <c r="K194" s="458">
        <f>+'q39'!$K$29</f>
        <v>902.18</v>
      </c>
      <c r="L194" s="458">
        <f>+'q39'!$L$29</f>
        <v>979</v>
      </c>
      <c r="M194" s="458">
        <f>+'q39'!$M$29</f>
        <v>1049.19</v>
      </c>
    </row>
    <row r="195" spans="1:13">
      <c r="B195" s="453" t="str">
        <f>+Aux!$B$115</f>
        <v>Total</v>
      </c>
      <c r="C195" s="458">
        <f>+'q39'!$C$5</f>
        <v>1093.21</v>
      </c>
      <c r="D195" s="458">
        <f>+'q39'!$D$5</f>
        <v>1096.6600000000001</v>
      </c>
      <c r="E195" s="458">
        <f>+'q39'!$E$5</f>
        <v>1107.8599999999999</v>
      </c>
      <c r="F195" s="458">
        <f>+'q39'!$F$5</f>
        <v>1133.3399999999999</v>
      </c>
      <c r="G195" s="458">
        <f>+'q39'!$G$5</f>
        <v>1170.25</v>
      </c>
      <c r="H195" s="458">
        <f>+'q39'!$H$5</f>
        <v>1209.94</v>
      </c>
      <c r="I195" s="458">
        <f>+'q39'!$I$5</f>
        <v>1250.75</v>
      </c>
      <c r="J195" s="458">
        <f>+'q39'!$J$5</f>
        <v>1294.1099999999999</v>
      </c>
      <c r="K195" s="458">
        <f>+'q39'!$K$5</f>
        <v>1368</v>
      </c>
      <c r="L195" s="458">
        <f>+'q39'!$L$5</f>
        <v>1466.66</v>
      </c>
      <c r="M195" s="458">
        <f>+'q39'!$M$5</f>
        <v>1582.75</v>
      </c>
    </row>
    <row r="199" spans="1:13">
      <c r="A199" s="423" t="s">
        <v>358</v>
      </c>
    </row>
    <row r="201" spans="1:13">
      <c r="A201" s="455" t="s">
        <v>355</v>
      </c>
    </row>
    <row r="202" spans="1:13">
      <c r="A202" s="454" t="s">
        <v>182</v>
      </c>
      <c r="C202" s="423">
        <f>+'q41'!$D$4</f>
        <v>2014</v>
      </c>
      <c r="D202" s="423">
        <f>+'q41'!$E$4</f>
        <v>2015</v>
      </c>
      <c r="E202" s="423">
        <f>+'q41'!$F$4</f>
        <v>2016</v>
      </c>
      <c r="F202" s="423">
        <f>+'q41'!$G$4</f>
        <v>2017</v>
      </c>
      <c r="G202" s="423">
        <f>+'q41'!$H$4</f>
        <v>2018</v>
      </c>
      <c r="H202" s="423">
        <f>+'q41'!$I$4</f>
        <v>2019</v>
      </c>
      <c r="I202" s="423">
        <f>+'q41'!$J$4</f>
        <v>2020</v>
      </c>
      <c r="J202" s="423">
        <f>+'q41'!$K$4</f>
        <v>2021</v>
      </c>
      <c r="K202" s="423">
        <f>+'q41'!$L$4</f>
        <v>2022</v>
      </c>
      <c r="L202" s="423">
        <f>+'q41'!$M$4</f>
        <v>2023</v>
      </c>
      <c r="M202" s="423">
        <f>+'q41'!$N$4</f>
        <v>2024</v>
      </c>
    </row>
    <row r="203" spans="1:13">
      <c r="A203" s="454"/>
      <c r="B203" s="453" t="str">
        <f>+Aux!$B$121</f>
        <v>&lt; 1.º ciclo do ensino básico</v>
      </c>
      <c r="C203" s="453">
        <f>+'q41'!$D$14</f>
        <v>10057</v>
      </c>
      <c r="D203" s="453">
        <f>+'q41'!$E$14</f>
        <v>8484</v>
      </c>
      <c r="E203" s="453">
        <f>+'q41'!$F$14</f>
        <v>8353</v>
      </c>
      <c r="F203" s="453">
        <f>+'q41'!$G$14</f>
        <v>8132</v>
      </c>
      <c r="G203" s="453">
        <f>+'q41'!$H$14</f>
        <v>7494</v>
      </c>
      <c r="H203" s="453">
        <f>+'q41'!$I$14</f>
        <v>7345</v>
      </c>
      <c r="I203" s="453">
        <f>+'q41'!$J$14</f>
        <v>6405</v>
      </c>
      <c r="J203" s="453">
        <f>+'q41'!$K$14</f>
        <v>6063</v>
      </c>
      <c r="K203" s="453">
        <f>+'q41'!$L$14</f>
        <v>5907</v>
      </c>
      <c r="L203" s="453">
        <f>+'q41'!$M$14</f>
        <v>6162</v>
      </c>
      <c r="M203" s="453">
        <f>+'q41'!$N$14</f>
        <v>6694</v>
      </c>
    </row>
    <row r="204" spans="1:13">
      <c r="B204" s="453" t="str">
        <f>+Aux!$B$122</f>
        <v>Ensino básico</v>
      </c>
      <c r="C204" s="453">
        <f>+'q41'!$D$19</f>
        <v>1028192</v>
      </c>
      <c r="D204" s="453">
        <f>+'q41'!$E$19</f>
        <v>1031891</v>
      </c>
      <c r="E204" s="453">
        <f>+'q41'!$F$19</f>
        <v>1036344</v>
      </c>
      <c r="F204" s="453">
        <f>+'q41'!$G$19</f>
        <v>1043381</v>
      </c>
      <c r="G204" s="453">
        <f>+'q41'!$H$19</f>
        <v>1039158</v>
      </c>
      <c r="H204" s="453">
        <f>+'q41'!$I$19</f>
        <v>1007442</v>
      </c>
      <c r="I204" s="453">
        <f>+'q41'!$J$19</f>
        <v>943206</v>
      </c>
      <c r="J204" s="453">
        <f>+'q41'!$K$19</f>
        <v>923652</v>
      </c>
      <c r="K204" s="453">
        <f>+'q41'!$L$19</f>
        <v>953672</v>
      </c>
      <c r="L204" s="453">
        <f>+'q41'!$M$19</f>
        <v>946247</v>
      </c>
      <c r="M204" s="453">
        <f>+'q41'!$N$19</f>
        <v>918964</v>
      </c>
    </row>
    <row r="205" spans="1:13">
      <c r="B205" s="453" t="str">
        <f>+Aux!$B$123</f>
        <v>Ensino secundário + pós sec. não superior nível IV</v>
      </c>
      <c r="C205" s="453">
        <f>+'q41'!$D$24</f>
        <v>502817</v>
      </c>
      <c r="D205" s="453">
        <f>+'q41'!$E$24</f>
        <v>537397</v>
      </c>
      <c r="E205" s="453">
        <f>+'q41'!$F$24</f>
        <v>574341</v>
      </c>
      <c r="F205" s="453">
        <f>+'q41'!$G$24</f>
        <v>614973</v>
      </c>
      <c r="G205" s="453">
        <f>+'q41'!$H$24</f>
        <v>661451</v>
      </c>
      <c r="H205" s="453">
        <f>+'q41'!$I$24</f>
        <v>692025</v>
      </c>
      <c r="I205" s="453">
        <f>+'q41'!$J$24</f>
        <v>678980</v>
      </c>
      <c r="J205" s="453">
        <f>+'q41'!$K$24</f>
        <v>708685</v>
      </c>
      <c r="K205" s="453">
        <f>+'q41'!$L$24</f>
        <v>796744</v>
      </c>
      <c r="L205" s="453">
        <f>+'q41'!$M$24</f>
        <v>861654</v>
      </c>
      <c r="M205" s="453">
        <f>+'q41'!$N$24</f>
        <v>894978</v>
      </c>
    </row>
    <row r="206" spans="1:13">
      <c r="B206" s="453" t="str">
        <f>+Aux!$B$124</f>
        <v>Ensino superior</v>
      </c>
      <c r="C206" s="453">
        <f>+'q41'!$D$29</f>
        <v>383510</v>
      </c>
      <c r="D206" s="453">
        <f>+'q41'!$E$29</f>
        <v>408683</v>
      </c>
      <c r="E206" s="453">
        <f>+'q41'!$F$29</f>
        <v>431481</v>
      </c>
      <c r="F206" s="453">
        <f>+'q41'!$G$29</f>
        <v>461446</v>
      </c>
      <c r="G206" s="453">
        <f>+'q41'!$H$29</f>
        <v>492822</v>
      </c>
      <c r="H206" s="453">
        <f>+'q41'!$I$29</f>
        <v>519903</v>
      </c>
      <c r="I206" s="453">
        <f>+'q41'!$J$29</f>
        <v>529942</v>
      </c>
      <c r="J206" s="453">
        <f>+'q41'!$K$29</f>
        <v>557063</v>
      </c>
      <c r="K206" s="453">
        <f>+'q41'!$L$29</f>
        <v>613051</v>
      </c>
      <c r="L206" s="453">
        <f>+'q41'!$M$29</f>
        <v>645431</v>
      </c>
      <c r="M206" s="453">
        <f>+'q41'!$N$29</f>
        <v>676845</v>
      </c>
    </row>
    <row r="207" spans="1:13">
      <c r="B207" s="453" t="str">
        <f>+Aux!$B$125</f>
        <v>Ignorado</v>
      </c>
      <c r="C207" s="453">
        <f>+'q41'!$D$34</f>
        <v>3731</v>
      </c>
      <c r="D207" s="453">
        <f>+'q41'!$E$34</f>
        <v>4676</v>
      </c>
      <c r="E207" s="453">
        <f>+'q41'!$F$34</f>
        <v>4392</v>
      </c>
      <c r="F207" s="453">
        <f>+'q41'!$G$34</f>
        <v>4011</v>
      </c>
      <c r="G207" s="453">
        <f>+'q41'!$H$34</f>
        <v>4524</v>
      </c>
      <c r="H207" s="453">
        <f>+'q41'!$I$34</f>
        <v>5685</v>
      </c>
      <c r="I207" s="453">
        <f>+'q41'!$J$34</f>
        <v>5585</v>
      </c>
      <c r="J207" s="453">
        <f>+'q41'!$K$34</f>
        <v>5131</v>
      </c>
      <c r="K207" s="453">
        <f>+'q41'!$L$34</f>
        <v>6741</v>
      </c>
      <c r="L207" s="453">
        <f>+'q41'!$M$34</f>
        <v>8106</v>
      </c>
      <c r="M207" s="453">
        <f>+'q41'!$N$34</f>
        <v>9430</v>
      </c>
    </row>
    <row r="208" spans="1:13">
      <c r="B208" s="453" t="str">
        <f>+Aux!$B$126</f>
        <v>Total</v>
      </c>
      <c r="C208" s="453">
        <f>+'q41'!$D$9</f>
        <v>1928307</v>
      </c>
      <c r="D208" s="453">
        <f>+'q41'!$E$9</f>
        <v>1991131</v>
      </c>
      <c r="E208" s="453">
        <f>+'q41'!$F$9</f>
        <v>2054911</v>
      </c>
      <c r="F208" s="453">
        <f>+'q41'!$G$9</f>
        <v>2131943</v>
      </c>
      <c r="G208" s="453">
        <f>+'q41'!$H$9</f>
        <v>2205449</v>
      </c>
      <c r="H208" s="453">
        <f>+'q41'!$I$9</f>
        <v>2232400</v>
      </c>
      <c r="I208" s="453">
        <f>+'q41'!$J$9</f>
        <v>2164118</v>
      </c>
      <c r="J208" s="453">
        <f>+'q41'!$K$9</f>
        <v>2200594</v>
      </c>
      <c r="K208" s="453">
        <f>+'q41'!$L$9</f>
        <v>2376115</v>
      </c>
      <c r="L208" s="453">
        <f>+'q41'!$M$9</f>
        <v>2467600</v>
      </c>
      <c r="M208" s="453">
        <f>+'q41'!$N$9</f>
        <v>2506911</v>
      </c>
    </row>
    <row r="210" spans="1:13">
      <c r="A210" s="461" t="s">
        <v>362</v>
      </c>
    </row>
    <row r="211" spans="1:13">
      <c r="A211" s="468" t="s">
        <v>355</v>
      </c>
    </row>
    <row r="212" spans="1:13">
      <c r="A212" s="461" t="s">
        <v>262</v>
      </c>
      <c r="C212" s="423">
        <f>+'q41'!$D$4</f>
        <v>2014</v>
      </c>
      <c r="D212" s="423">
        <f>+'q41'!$E$4</f>
        <v>2015</v>
      </c>
      <c r="E212" s="423">
        <f>+'q41'!$F$4</f>
        <v>2016</v>
      </c>
      <c r="F212" s="423">
        <f>+'q41'!$G$4</f>
        <v>2017</v>
      </c>
      <c r="G212" s="423">
        <f>+'q41'!$H$4</f>
        <v>2018</v>
      </c>
      <c r="H212" s="423">
        <f>+'q41'!$I$4</f>
        <v>2019</v>
      </c>
      <c r="I212" s="423">
        <f>+'q41'!$J$4</f>
        <v>2020</v>
      </c>
      <c r="J212" s="423">
        <f>+'q41'!$K$4</f>
        <v>2021</v>
      </c>
      <c r="K212" s="423">
        <f>+'q41'!$L$4</f>
        <v>2022</v>
      </c>
      <c r="L212" s="423">
        <f>+'q41'!$M$4</f>
        <v>2023</v>
      </c>
      <c r="M212" s="423">
        <f>+'q41'!$N$4</f>
        <v>2024</v>
      </c>
    </row>
    <row r="213" spans="1:13">
      <c r="A213" s="461"/>
      <c r="B213" s="453" t="str">
        <f>+Aux!$B$121</f>
        <v>&lt; 1.º ciclo do ensino básico</v>
      </c>
      <c r="C213" s="458">
        <f>+'q41'!$D$10</f>
        <v>583.58000000000004</v>
      </c>
      <c r="D213" s="458">
        <f>+'q41'!$E$10</f>
        <v>592.89</v>
      </c>
      <c r="E213" s="458">
        <f>+'q41'!$F$10</f>
        <v>608.30999999999995</v>
      </c>
      <c r="F213" s="458">
        <f>+'q41'!$G$10</f>
        <v>622.04999999999995</v>
      </c>
      <c r="G213" s="458">
        <f>+'q41'!$H$10</f>
        <v>647.99</v>
      </c>
      <c r="H213" s="458">
        <f>+'q41'!$I$10</f>
        <v>668.91</v>
      </c>
      <c r="I213" s="458">
        <f>+'q41'!$J$10</f>
        <v>696.57</v>
      </c>
      <c r="J213" s="458">
        <f>+'q41'!$K$10</f>
        <v>726.29</v>
      </c>
      <c r="K213" s="458">
        <f>+'q41'!$L$10</f>
        <v>766.17</v>
      </c>
      <c r="L213" s="458">
        <f>+'q41'!$M$10</f>
        <v>821.44</v>
      </c>
      <c r="M213" s="458">
        <f>+'q41'!$N$10</f>
        <v>880.14</v>
      </c>
    </row>
    <row r="214" spans="1:13">
      <c r="B214" s="453" t="str">
        <f>+Aux!$B$122</f>
        <v>Ensino básico</v>
      </c>
      <c r="C214" s="458">
        <f>+'q41'!$D$15</f>
        <v>681.33</v>
      </c>
      <c r="D214" s="458">
        <f>+'q41'!$E$15</f>
        <v>685.64</v>
      </c>
      <c r="E214" s="458">
        <f>+'q41'!$F$15</f>
        <v>696.14</v>
      </c>
      <c r="F214" s="458">
        <f>+'q41'!$G$15</f>
        <v>714.43</v>
      </c>
      <c r="G214" s="458">
        <f>+'q41'!$H$15</f>
        <v>738.36</v>
      </c>
      <c r="H214" s="458">
        <f>+'q41'!$I$15</f>
        <v>763.83</v>
      </c>
      <c r="I214" s="458">
        <f>+'q41'!$J$15</f>
        <v>791.06</v>
      </c>
      <c r="J214" s="458">
        <f>+'q41'!$K$15</f>
        <v>822.51</v>
      </c>
      <c r="K214" s="458">
        <f>+'q41'!$L$15</f>
        <v>866.98</v>
      </c>
      <c r="L214" s="458">
        <f>+'q41'!$M$15</f>
        <v>927.83</v>
      </c>
      <c r="M214" s="458">
        <f>+'q41'!$N$15</f>
        <v>995.25</v>
      </c>
    </row>
    <row r="215" spans="1:13">
      <c r="B215" s="453" t="str">
        <f>+Aux!$B$123</f>
        <v>Ensino secundário + pós sec. não superior nível IV</v>
      </c>
      <c r="C215" s="458">
        <f>+'q41'!$D$20</f>
        <v>881.23</v>
      </c>
      <c r="D215" s="458">
        <f>+'q41'!$E$20</f>
        <v>873.9</v>
      </c>
      <c r="E215" s="458">
        <f>+'q41'!$F$20</f>
        <v>872.76</v>
      </c>
      <c r="F215" s="458">
        <f>+'q41'!$G$20</f>
        <v>878.03</v>
      </c>
      <c r="G215" s="458">
        <f>+'q41'!$H$20</f>
        <v>891.3</v>
      </c>
      <c r="H215" s="458">
        <f>+'q41'!$I$20</f>
        <v>910.03</v>
      </c>
      <c r="I215" s="458">
        <f>+'q41'!$J$20</f>
        <v>929.85</v>
      </c>
      <c r="J215" s="458">
        <f>+'q41'!$K$20</f>
        <v>955.65</v>
      </c>
      <c r="K215" s="458">
        <f>+'q41'!$L$20</f>
        <v>997.48</v>
      </c>
      <c r="L215" s="458">
        <f>+'q41'!$M$20</f>
        <v>1057.23</v>
      </c>
      <c r="M215" s="458">
        <f>+'q41'!$N$20</f>
        <v>1120.8900000000001</v>
      </c>
    </row>
    <row r="216" spans="1:13">
      <c r="B216" s="453" t="str">
        <f>+Aux!$B$124</f>
        <v>Ensino superior</v>
      </c>
      <c r="C216" s="458">
        <f>+'q41'!$D$25</f>
        <v>1566.87</v>
      </c>
      <c r="D216" s="458">
        <f>+'q41'!$E$25</f>
        <v>1550.64</v>
      </c>
      <c r="E216" s="458">
        <f>+'q41'!$F$25</f>
        <v>1550.37</v>
      </c>
      <c r="F216" s="458">
        <f>+'q41'!$G$25</f>
        <v>1551.97</v>
      </c>
      <c r="G216" s="458">
        <f>+'q41'!$H$25</f>
        <v>1571.08</v>
      </c>
      <c r="H216" s="458">
        <f>+'q41'!$I$25</f>
        <v>1604.7</v>
      </c>
      <c r="I216" s="458">
        <f>+'q41'!$J$25</f>
        <v>1637.25</v>
      </c>
      <c r="J216" s="458">
        <f>+'q41'!$K$25</f>
        <v>1680.39</v>
      </c>
      <c r="K216" s="458">
        <f>+'q41'!$L$25</f>
        <v>1767.51</v>
      </c>
      <c r="L216" s="458">
        <f>+'q41'!$M$25</f>
        <v>1870.81</v>
      </c>
      <c r="M216" s="458">
        <f>+'q41'!$N$25</f>
        <v>1990.45</v>
      </c>
    </row>
    <row r="217" spans="1:13">
      <c r="B217" s="453" t="str">
        <f>+Aux!$B$125</f>
        <v>Ignorado</v>
      </c>
      <c r="C217" s="458">
        <f>+'q41'!$D$30</f>
        <v>900.34</v>
      </c>
      <c r="D217" s="458">
        <f>+'q41'!$E$30</f>
        <v>824.37</v>
      </c>
      <c r="E217" s="458">
        <f>+'q41'!$F$30</f>
        <v>895.27</v>
      </c>
      <c r="F217" s="458">
        <f>+'q41'!$G$30</f>
        <v>954.09</v>
      </c>
      <c r="G217" s="458">
        <f>+'q41'!$H$30</f>
        <v>942.93</v>
      </c>
      <c r="H217" s="458">
        <f>+'q41'!$I$30</f>
        <v>929.22</v>
      </c>
      <c r="I217" s="458">
        <f>+'q41'!$J$30</f>
        <v>967.95</v>
      </c>
      <c r="J217" s="458">
        <f>+'q41'!$K$30</f>
        <v>1031</v>
      </c>
      <c r="K217" s="458">
        <f>+'q41'!$L$30</f>
        <v>1083.75</v>
      </c>
      <c r="L217" s="458">
        <f>+'q41'!$M$30</f>
        <v>1071.4000000000001</v>
      </c>
      <c r="M217" s="458">
        <f>+'q41'!$N$30</f>
        <v>1120.2</v>
      </c>
    </row>
    <row r="218" spans="1:13">
      <c r="B218" s="453" t="str">
        <f>+Aux!$B$126</f>
        <v>Total</v>
      </c>
      <c r="C218" s="458">
        <f>+'q41'!$D$5</f>
        <v>909.49</v>
      </c>
      <c r="D218" s="458">
        <f>+'q41'!$E$5</f>
        <v>913.93</v>
      </c>
      <c r="E218" s="458">
        <f>+'q41'!$F$5</f>
        <v>924.94</v>
      </c>
      <c r="F218" s="458">
        <f>+'q41'!$G$5</f>
        <v>943</v>
      </c>
      <c r="G218" s="458">
        <f>+'q41'!$H$5</f>
        <v>970.42</v>
      </c>
      <c r="H218" s="458">
        <f>+'q41'!$I$5</f>
        <v>1005.09</v>
      </c>
      <c r="I218" s="458">
        <f>+'q41'!$J$5</f>
        <v>1041.99</v>
      </c>
      <c r="J218" s="458">
        <f>+'q41'!$K$5</f>
        <v>1082.77</v>
      </c>
      <c r="K218" s="458">
        <f>+'q41'!$L$5</f>
        <v>1143.45</v>
      </c>
      <c r="L218" s="458">
        <f>+'q41'!$M$5</f>
        <v>1219.8699999999999</v>
      </c>
      <c r="M218" s="458">
        <f>+'q41'!$N$5</f>
        <v>1308.96</v>
      </c>
    </row>
    <row r="220" spans="1:13">
      <c r="A220" s="460" t="s">
        <v>362</v>
      </c>
    </row>
    <row r="221" spans="1:13">
      <c r="A221" s="467" t="s">
        <v>355</v>
      </c>
    </row>
    <row r="222" spans="1:13">
      <c r="A222" s="460" t="s">
        <v>263</v>
      </c>
      <c r="C222" s="423">
        <f>+'q41'!$D$4</f>
        <v>2014</v>
      </c>
      <c r="D222" s="423">
        <f>+'q41'!$E$4</f>
        <v>2015</v>
      </c>
      <c r="E222" s="423">
        <f>+'q41'!$F$4</f>
        <v>2016</v>
      </c>
      <c r="F222" s="423">
        <f>+'q41'!$G$4</f>
        <v>2017</v>
      </c>
      <c r="G222" s="423">
        <f>+'q41'!$H$4</f>
        <v>2018</v>
      </c>
      <c r="H222" s="423">
        <f>+'q41'!$I$4</f>
        <v>2019</v>
      </c>
      <c r="I222" s="423">
        <f>+'q41'!$J$4</f>
        <v>2020</v>
      </c>
      <c r="J222" s="423">
        <f>+'q41'!$K$4</f>
        <v>2021</v>
      </c>
      <c r="K222" s="423">
        <f>+'q41'!$L$4</f>
        <v>2022</v>
      </c>
      <c r="L222" s="423">
        <f>+'q41'!$M$4</f>
        <v>2023</v>
      </c>
      <c r="M222" s="423">
        <f>+'q41'!$N$4</f>
        <v>2024</v>
      </c>
    </row>
    <row r="223" spans="1:13">
      <c r="A223" s="460"/>
      <c r="B223" s="453" t="str">
        <f>+Aux!$B$121</f>
        <v>&lt; 1.º ciclo do ensino básico</v>
      </c>
      <c r="C223" s="458">
        <f>+'q41'!$D$12</f>
        <v>685.6</v>
      </c>
      <c r="D223" s="458">
        <f>+'q41'!$E$12</f>
        <v>700.54</v>
      </c>
      <c r="E223" s="458">
        <f>+'q41'!$F$12</f>
        <v>711.01</v>
      </c>
      <c r="F223" s="458">
        <f>+'q41'!$G$12</f>
        <v>730.56</v>
      </c>
      <c r="G223" s="458">
        <f>+'q41'!$H$12</f>
        <v>767.66</v>
      </c>
      <c r="H223" s="458">
        <f>+'q41'!$I$12</f>
        <v>789.07</v>
      </c>
      <c r="I223" s="458">
        <f>+'q41'!$J$12</f>
        <v>817.39</v>
      </c>
      <c r="J223" s="458">
        <f>+'q41'!$K$12</f>
        <v>849.53</v>
      </c>
      <c r="K223" s="458">
        <f>+'q41'!$L$12</f>
        <v>892.87</v>
      </c>
      <c r="L223" s="458">
        <f>+'q41'!$M$12</f>
        <v>968.17</v>
      </c>
      <c r="M223" s="458">
        <f>+'q41'!$N$12</f>
        <v>1032.94</v>
      </c>
    </row>
    <row r="224" spans="1:13">
      <c r="B224" s="453" t="str">
        <f>+Aux!$B$122</f>
        <v>Ensino básico</v>
      </c>
      <c r="C224" s="458">
        <f>+'q41'!$D$17</f>
        <v>821.84</v>
      </c>
      <c r="D224" s="458">
        <f>+'q41'!$E$17</f>
        <v>826.46</v>
      </c>
      <c r="E224" s="458">
        <f>+'q41'!$F$17</f>
        <v>838.61</v>
      </c>
      <c r="F224" s="458">
        <f>+'q41'!$G$17</f>
        <v>863.74</v>
      </c>
      <c r="G224" s="458">
        <f>+'q41'!$H$17</f>
        <v>895.35</v>
      </c>
      <c r="H224" s="458">
        <f>+'q41'!$I$17</f>
        <v>926.56</v>
      </c>
      <c r="I224" s="458">
        <f>+'q41'!$J$17</f>
        <v>955.61</v>
      </c>
      <c r="J224" s="458">
        <f>+'q41'!$K$17</f>
        <v>990.55</v>
      </c>
      <c r="K224" s="458">
        <f>+'q41'!$L$17</f>
        <v>1044.03</v>
      </c>
      <c r="L224" s="458">
        <f>+'q41'!$M$17</f>
        <v>1122.23</v>
      </c>
      <c r="M224" s="458">
        <f>+'q41'!$N$17</f>
        <v>1209.6199999999999</v>
      </c>
    </row>
    <row r="225" spans="1:13">
      <c r="B225" s="453" t="str">
        <f>+Aux!$B$123</f>
        <v>Ensino secundário + pós sec. não superior nível IV</v>
      </c>
      <c r="C225" s="458">
        <f>+'q41'!$D$22</f>
        <v>1086.31</v>
      </c>
      <c r="D225" s="458">
        <f>+'q41'!$E$22</f>
        <v>1072.77</v>
      </c>
      <c r="E225" s="458">
        <f>+'q41'!$F$22</f>
        <v>1068.6500000000001</v>
      </c>
      <c r="F225" s="458">
        <f>+'q41'!$G$22</f>
        <v>1078.5899999999999</v>
      </c>
      <c r="G225" s="458">
        <f>+'q41'!$H$22</f>
        <v>1097.03</v>
      </c>
      <c r="H225" s="458">
        <f>+'q41'!$I$22</f>
        <v>1117.3800000000001</v>
      </c>
      <c r="I225" s="458">
        <f>+'q41'!$J$22</f>
        <v>1138.6300000000001</v>
      </c>
      <c r="J225" s="458">
        <f>+'q41'!$K$22</f>
        <v>1163.52</v>
      </c>
      <c r="K225" s="458">
        <f>+'q41'!$L$22</f>
        <v>1217.57</v>
      </c>
      <c r="L225" s="458">
        <f>+'q41'!$M$22</f>
        <v>1297.5899999999999</v>
      </c>
      <c r="M225" s="458">
        <f>+'q41'!$N$22</f>
        <v>1382.39</v>
      </c>
    </row>
    <row r="226" spans="1:13">
      <c r="B226" s="453" t="str">
        <f>+Aux!$B$124</f>
        <v>Ensino superior</v>
      </c>
      <c r="C226" s="458">
        <f>+'q41'!$D$27</f>
        <v>1841.04</v>
      </c>
      <c r="D226" s="458">
        <f>+'q41'!$E$27</f>
        <v>1820.24</v>
      </c>
      <c r="E226" s="458">
        <f>+'q41'!$F$27</f>
        <v>1815.28</v>
      </c>
      <c r="F226" s="458">
        <f>+'q41'!$G$27</f>
        <v>1823.4</v>
      </c>
      <c r="G226" s="458">
        <f>+'q41'!$H$27</f>
        <v>1854.84</v>
      </c>
      <c r="H226" s="458">
        <f>+'q41'!$I$27</f>
        <v>1889.56</v>
      </c>
      <c r="I226" s="458">
        <f>+'q41'!$J$27</f>
        <v>1926.07</v>
      </c>
      <c r="J226" s="458">
        <f>+'q41'!$K$27</f>
        <v>1969.18</v>
      </c>
      <c r="K226" s="458">
        <f>+'q41'!$L$27</f>
        <v>2072.86</v>
      </c>
      <c r="L226" s="458">
        <f>+'q41'!$M$27</f>
        <v>2204.65</v>
      </c>
      <c r="M226" s="458">
        <f>+'q41'!$N$27</f>
        <v>2363.21</v>
      </c>
    </row>
    <row r="227" spans="1:13">
      <c r="B227" s="453" t="str">
        <f>+Aux!$B$125</f>
        <v>Ignorado</v>
      </c>
      <c r="C227" s="458">
        <f>+'q41'!$D$32</f>
        <v>1036.97</v>
      </c>
      <c r="D227" s="458">
        <f>+'q41'!$E$32</f>
        <v>946.93</v>
      </c>
      <c r="E227" s="458">
        <f>+'q41'!$F$32</f>
        <v>1022.25</v>
      </c>
      <c r="F227" s="458">
        <f>+'q41'!$G$32</f>
        <v>1089.48</v>
      </c>
      <c r="G227" s="458">
        <f>+'q41'!$H$32</f>
        <v>1112.81</v>
      </c>
      <c r="H227" s="458">
        <f>+'q41'!$I$32</f>
        <v>1085.9000000000001</v>
      </c>
      <c r="I227" s="458">
        <f>+'q41'!$J$32</f>
        <v>1145.42</v>
      </c>
      <c r="J227" s="458">
        <f>+'q41'!$K$32</f>
        <v>1210.72</v>
      </c>
      <c r="K227" s="458">
        <f>+'q41'!$L$32</f>
        <v>1293.6400000000001</v>
      </c>
      <c r="L227" s="458">
        <f>+'q41'!$M$32</f>
        <v>1260.92</v>
      </c>
      <c r="M227" s="458">
        <f>+'q41'!$N$32</f>
        <v>1331.59</v>
      </c>
    </row>
    <row r="228" spans="1:13">
      <c r="B228" s="453" t="str">
        <f>+Aux!$B$126</f>
        <v>Total</v>
      </c>
      <c r="C228" s="458">
        <f>+'q41'!$D$7</f>
        <v>1093.21</v>
      </c>
      <c r="D228" s="458">
        <f>+'q41'!$E$7</f>
        <v>1096.6600000000001</v>
      </c>
      <c r="E228" s="458">
        <f>+'q41'!$F$7</f>
        <v>1107.8599999999999</v>
      </c>
      <c r="F228" s="458">
        <f>+'q41'!$G$7</f>
        <v>1133.3399999999999</v>
      </c>
      <c r="G228" s="458">
        <f>+'q41'!$H$7</f>
        <v>1170.25</v>
      </c>
      <c r="H228" s="458">
        <f>+'q41'!$I$7</f>
        <v>1209.94</v>
      </c>
      <c r="I228" s="458">
        <f>+'q41'!$J$7</f>
        <v>1250.75</v>
      </c>
      <c r="J228" s="458">
        <f>+'q41'!$K$7</f>
        <v>1294.1099999999999</v>
      </c>
      <c r="K228" s="458">
        <f>+'q41'!$L$7</f>
        <v>1368</v>
      </c>
      <c r="L228" s="458">
        <f>+'q41'!$M$7</f>
        <v>1466.66</v>
      </c>
      <c r="M228" s="458">
        <f>+'q41'!$N$7</f>
        <v>1582.75</v>
      </c>
    </row>
    <row r="230" spans="1:13">
      <c r="A230" s="461" t="s">
        <v>363</v>
      </c>
    </row>
    <row r="231" spans="1:13">
      <c r="A231" s="468" t="s">
        <v>355</v>
      </c>
    </row>
    <row r="232" spans="1:13">
      <c r="A232" s="461" t="s">
        <v>262</v>
      </c>
      <c r="C232" s="423">
        <f>+'q41'!$D$4</f>
        <v>2014</v>
      </c>
      <c r="D232" s="423">
        <f>+'q41'!$E$4</f>
        <v>2015</v>
      </c>
      <c r="E232" s="423">
        <f>+'q41'!$F$4</f>
        <v>2016</v>
      </c>
      <c r="F232" s="423">
        <f>+'q41'!$G$4</f>
        <v>2017</v>
      </c>
      <c r="G232" s="423">
        <f>+'q41'!$H$4</f>
        <v>2018</v>
      </c>
      <c r="H232" s="423">
        <f>+'q41'!$I$4</f>
        <v>2019</v>
      </c>
      <c r="I232" s="423">
        <f>+'q41'!$J$4</f>
        <v>2020</v>
      </c>
      <c r="J232" s="423">
        <f>+'q41'!$K$4</f>
        <v>2021</v>
      </c>
      <c r="K232" s="423">
        <f>+'q41'!$L$4</f>
        <v>2022</v>
      </c>
      <c r="L232" s="423">
        <f>+'q41'!$M$4</f>
        <v>2023</v>
      </c>
      <c r="M232" s="423">
        <f>+'q41'!$N$4</f>
        <v>2024</v>
      </c>
    </row>
    <row r="233" spans="1:13">
      <c r="A233" s="461"/>
      <c r="B233" s="453" t="str">
        <f>+Aux!$B$121</f>
        <v>&lt; 1.º ciclo do ensino básico</v>
      </c>
      <c r="C233" s="458">
        <f>+'q41'!$D$11</f>
        <v>519.29999999999995</v>
      </c>
      <c r="D233" s="458">
        <f>+'q41'!$E$11</f>
        <v>525.99</v>
      </c>
      <c r="E233" s="458">
        <f>+'q41'!$F$11</f>
        <v>540</v>
      </c>
      <c r="F233" s="458">
        <f>+'q41'!$G$11</f>
        <v>560</v>
      </c>
      <c r="G233" s="458">
        <f>+'q41'!$H$11</f>
        <v>585</v>
      </c>
      <c r="H233" s="458">
        <f>+'q41'!$I$11</f>
        <v>607</v>
      </c>
      <c r="I233" s="458">
        <f>+'q41'!$J$11</f>
        <v>635</v>
      </c>
      <c r="J233" s="458">
        <f>+'q41'!$K$11</f>
        <v>666</v>
      </c>
      <c r="K233" s="458">
        <f>+'q41'!$L$11</f>
        <v>705</v>
      </c>
      <c r="L233" s="458">
        <f>+'q41'!$M$11</f>
        <v>764</v>
      </c>
      <c r="M233" s="458">
        <f>+'q41'!$N$11</f>
        <v>820</v>
      </c>
    </row>
    <row r="234" spans="1:13">
      <c r="B234" s="453" t="str">
        <f>+Aux!$B$122</f>
        <v>Ensino básico</v>
      </c>
      <c r="C234" s="458">
        <f>+'q41'!$D$16</f>
        <v>569.73</v>
      </c>
      <c r="D234" s="458">
        <f>+'q41'!$E$16</f>
        <v>573</v>
      </c>
      <c r="E234" s="458">
        <f>+'q41'!$F$16</f>
        <v>580</v>
      </c>
      <c r="F234" s="458">
        <f>+'q41'!$G$16</f>
        <v>600</v>
      </c>
      <c r="G234" s="458">
        <f>+'q41'!$H$16</f>
        <v>620</v>
      </c>
      <c r="H234" s="458">
        <f>+'q41'!$I$16</f>
        <v>642</v>
      </c>
      <c r="I234" s="458">
        <f>+'q41'!$J$16</f>
        <v>667.22</v>
      </c>
      <c r="J234" s="458">
        <f>+'q41'!$K$16</f>
        <v>700</v>
      </c>
      <c r="K234" s="458">
        <f>+'q41'!$L$16</f>
        <v>746</v>
      </c>
      <c r="L234" s="458">
        <f>+'q41'!$M$16</f>
        <v>800</v>
      </c>
      <c r="M234" s="458">
        <f>+'q41'!$N$16</f>
        <v>870</v>
      </c>
    </row>
    <row r="235" spans="1:13">
      <c r="B235" s="453" t="str">
        <f>+Aux!$B$123</f>
        <v>Ensino secundário + pós sec. não superior nível IV</v>
      </c>
      <c r="C235" s="458">
        <f>+'q41'!$D$21</f>
        <v>666.41</v>
      </c>
      <c r="D235" s="458">
        <f>+'q41'!$E$21</f>
        <v>651.55999999999995</v>
      </c>
      <c r="E235" s="458">
        <f>+'q41'!$F$21</f>
        <v>651.55999999999995</v>
      </c>
      <c r="F235" s="458">
        <f>+'q41'!$G$21</f>
        <v>658.97</v>
      </c>
      <c r="G235" s="458">
        <f>+'q41'!$H$21</f>
        <v>680</v>
      </c>
      <c r="H235" s="458">
        <f>+'q41'!$I$21</f>
        <v>700</v>
      </c>
      <c r="I235" s="458">
        <f>+'q41'!$J$21</f>
        <v>720</v>
      </c>
      <c r="J235" s="458">
        <f>+'q41'!$K$21</f>
        <v>750</v>
      </c>
      <c r="K235" s="458">
        <f>+'q41'!$L$21</f>
        <v>798.57</v>
      </c>
      <c r="L235" s="458">
        <f>+'q41'!$M$21</f>
        <v>850</v>
      </c>
      <c r="M235" s="458">
        <f>+'q41'!$N$21</f>
        <v>903.8</v>
      </c>
    </row>
    <row r="236" spans="1:13">
      <c r="B236" s="453" t="str">
        <f>+Aux!$B$124</f>
        <v>Ensino superior</v>
      </c>
      <c r="C236" s="458">
        <f>+'q41'!$D$26</f>
        <v>1200</v>
      </c>
      <c r="D236" s="458">
        <f>+'q41'!$E$26</f>
        <v>1201</v>
      </c>
      <c r="E236" s="458">
        <f>+'q41'!$F$26</f>
        <v>1201</v>
      </c>
      <c r="F236" s="458">
        <f>+'q41'!$G$26</f>
        <v>1201</v>
      </c>
      <c r="G236" s="458">
        <f>+'q41'!$H$26</f>
        <v>1201</v>
      </c>
      <c r="H236" s="458">
        <f>+'q41'!$I$26</f>
        <v>1235</v>
      </c>
      <c r="I236" s="458">
        <f>+'q41'!$J$26</f>
        <v>1260.32</v>
      </c>
      <c r="J236" s="458">
        <f>+'q41'!$K$26</f>
        <v>1300</v>
      </c>
      <c r="K236" s="458">
        <f>+'q41'!$L$26</f>
        <v>1376</v>
      </c>
      <c r="L236" s="458">
        <f>+'q41'!$M$26</f>
        <v>1452.5</v>
      </c>
      <c r="M236" s="458">
        <f>+'q41'!$N$26</f>
        <v>1544</v>
      </c>
    </row>
    <row r="237" spans="1:13">
      <c r="B237" s="453" t="str">
        <f>+Aux!$B$125</f>
        <v>Ignorado</v>
      </c>
      <c r="C237" s="458">
        <f>+'q41'!$D$31</f>
        <v>600</v>
      </c>
      <c r="D237" s="458">
        <f>+'q41'!$E$31</f>
        <v>550</v>
      </c>
      <c r="E237" s="458">
        <f>+'q41'!$F$31</f>
        <v>560</v>
      </c>
      <c r="F237" s="458">
        <f>+'q41'!$G$31</f>
        <v>591.54999999999995</v>
      </c>
      <c r="G237" s="458">
        <f>+'q41'!$H$31</f>
        <v>600</v>
      </c>
      <c r="H237" s="458">
        <f>+'q41'!$I$31</f>
        <v>615</v>
      </c>
      <c r="I237" s="458">
        <f>+'q41'!$J$31</f>
        <v>647.57000000000005</v>
      </c>
      <c r="J237" s="458">
        <f>+'q41'!$K$31</f>
        <v>700</v>
      </c>
      <c r="K237" s="458">
        <f>+'q41'!$L$31</f>
        <v>750</v>
      </c>
      <c r="L237" s="458">
        <f>+'q41'!$M$31</f>
        <v>775</v>
      </c>
      <c r="M237" s="458">
        <f>+'q41'!$N$31</f>
        <v>830</v>
      </c>
    </row>
    <row r="238" spans="1:13">
      <c r="B238" s="453" t="str">
        <f>+Aux!$B$126</f>
        <v>Total</v>
      </c>
      <c r="C238" s="458">
        <f>+'q41'!$D$6</f>
        <v>641.92999999999995</v>
      </c>
      <c r="D238" s="458">
        <f>+'q41'!$E$6</f>
        <v>650</v>
      </c>
      <c r="E238" s="458">
        <f>+'q41'!$F$6</f>
        <v>650</v>
      </c>
      <c r="F238" s="458">
        <f>+'q41'!$G$6</f>
        <v>660</v>
      </c>
      <c r="G238" s="458">
        <f>+'q41'!$H$6</f>
        <v>690</v>
      </c>
      <c r="H238" s="458">
        <f>+'q41'!$I$6</f>
        <v>720</v>
      </c>
      <c r="I238" s="458">
        <f>+'q41'!$J$6</f>
        <v>750</v>
      </c>
      <c r="J238" s="458">
        <f>+'q41'!$K$6</f>
        <v>786</v>
      </c>
      <c r="K238" s="458">
        <f>+'q41'!$L$6</f>
        <v>816.21</v>
      </c>
      <c r="L238" s="458">
        <f>+'q41'!$M$6</f>
        <v>880</v>
      </c>
      <c r="M238" s="458">
        <f>+'q41'!$N$6</f>
        <v>950</v>
      </c>
    </row>
    <row r="240" spans="1:13">
      <c r="A240" s="460" t="s">
        <v>363</v>
      </c>
    </row>
    <row r="241" spans="1:26">
      <c r="A241" s="467" t="s">
        <v>355</v>
      </c>
    </row>
    <row r="242" spans="1:26">
      <c r="A242" s="460" t="s">
        <v>263</v>
      </c>
      <c r="C242" s="423">
        <f>+'q41'!$D$4</f>
        <v>2014</v>
      </c>
      <c r="D242" s="423">
        <f>+'q41'!$E$4</f>
        <v>2015</v>
      </c>
      <c r="E242" s="423">
        <f>+'q41'!$F$4</f>
        <v>2016</v>
      </c>
      <c r="F242" s="423">
        <f>+'q41'!$G$4</f>
        <v>2017</v>
      </c>
      <c r="G242" s="423">
        <f>+'q41'!$H$4</f>
        <v>2018</v>
      </c>
      <c r="H242" s="423">
        <f>+'q41'!$I$4</f>
        <v>2019</v>
      </c>
      <c r="I242" s="423">
        <f>+'q41'!$J$4</f>
        <v>2020</v>
      </c>
      <c r="J242" s="423">
        <f>+'q41'!$K$4</f>
        <v>2021</v>
      </c>
      <c r="K242" s="423">
        <f>+'q41'!$L$4</f>
        <v>2022</v>
      </c>
      <c r="L242" s="423">
        <f>+'q41'!$M$4</f>
        <v>2023</v>
      </c>
      <c r="M242" s="423">
        <f>+'q41'!$N$4</f>
        <v>2024</v>
      </c>
    </row>
    <row r="243" spans="1:26">
      <c r="A243" s="460"/>
      <c r="B243" s="453" t="str">
        <f>+Aux!$B$121</f>
        <v>&lt; 1.º ciclo do ensino básico</v>
      </c>
      <c r="C243" s="458">
        <f>+'q41'!$D$13</f>
        <v>625</v>
      </c>
      <c r="D243" s="458">
        <f>+'q41'!$E$13</f>
        <v>631.25</v>
      </c>
      <c r="E243" s="458">
        <f>+'q41'!$F$13</f>
        <v>642</v>
      </c>
      <c r="F243" s="458">
        <f>+'q41'!$G$13</f>
        <v>670.93</v>
      </c>
      <c r="G243" s="458">
        <f>+'q41'!$H$13</f>
        <v>701.5</v>
      </c>
      <c r="H243" s="458">
        <f>+'q41'!$I$13</f>
        <v>728.52</v>
      </c>
      <c r="I243" s="458">
        <f>+'q41'!$J$13</f>
        <v>753</v>
      </c>
      <c r="J243" s="458">
        <f>+'q41'!$K$13</f>
        <v>780.25</v>
      </c>
      <c r="K243" s="458">
        <f>+'q41'!$L$13</f>
        <v>825</v>
      </c>
      <c r="L243" s="458">
        <f>+'q41'!$M$13</f>
        <v>893.11</v>
      </c>
      <c r="M243" s="458">
        <f>+'q41'!$N$13</f>
        <v>958</v>
      </c>
    </row>
    <row r="244" spans="1:26">
      <c r="B244" s="453" t="str">
        <f>+Aux!$B$122</f>
        <v>Ensino básico</v>
      </c>
      <c r="C244" s="458">
        <f>+'q41'!$D$18</f>
        <v>686.25</v>
      </c>
      <c r="D244" s="458">
        <f>+'q41'!$E$18</f>
        <v>690</v>
      </c>
      <c r="E244" s="458">
        <f>+'q41'!$F$18</f>
        <v>699.11</v>
      </c>
      <c r="F244" s="458">
        <f>+'q41'!$G$18</f>
        <v>722.52</v>
      </c>
      <c r="G244" s="458">
        <f>+'q41'!$H$18</f>
        <v>752</v>
      </c>
      <c r="H244" s="458">
        <f>+'q41'!$I$18</f>
        <v>783.62</v>
      </c>
      <c r="I244" s="458">
        <f>+'q41'!$J$18</f>
        <v>810.23</v>
      </c>
      <c r="J244" s="458">
        <f>+'q41'!$K$18</f>
        <v>845.4</v>
      </c>
      <c r="K244" s="458">
        <f>+'q41'!$L$18</f>
        <v>891.6</v>
      </c>
      <c r="L244" s="458">
        <f>+'q41'!$M$18</f>
        <v>964</v>
      </c>
      <c r="M244" s="458">
        <f>+'q41'!$N$18</f>
        <v>1047.94</v>
      </c>
    </row>
    <row r="245" spans="1:26">
      <c r="B245" s="453" t="str">
        <f>+Aux!$B$123</f>
        <v>Ensino secundário + pós sec. não superior nível IV</v>
      </c>
      <c r="C245" s="458">
        <f>+'q41'!$D$23</f>
        <v>817.76</v>
      </c>
      <c r="D245" s="458">
        <f>+'q41'!$E$23</f>
        <v>807.1</v>
      </c>
      <c r="E245" s="458">
        <f>+'q41'!$F$23</f>
        <v>807.17</v>
      </c>
      <c r="F245" s="458">
        <f>+'q41'!$G$23</f>
        <v>823.5</v>
      </c>
      <c r="G245" s="458">
        <f>+'q41'!$H$23</f>
        <v>846.69</v>
      </c>
      <c r="H245" s="458">
        <f>+'q41'!$I$23</f>
        <v>872.97</v>
      </c>
      <c r="I245" s="458">
        <f>+'q41'!$J$23</f>
        <v>900.99</v>
      </c>
      <c r="J245" s="458">
        <f>+'q41'!$K$23</f>
        <v>927.28</v>
      </c>
      <c r="K245" s="458">
        <f>+'q41'!$L$23</f>
        <v>977.7</v>
      </c>
      <c r="L245" s="458">
        <f>+'q41'!$M$23</f>
        <v>1050.8</v>
      </c>
      <c r="M245" s="458">
        <f>+'q41'!$N$23</f>
        <v>1132.5</v>
      </c>
    </row>
    <row r="246" spans="1:26">
      <c r="B246" s="453" t="str">
        <f>+Aux!$B$124</f>
        <v>Ensino superior</v>
      </c>
      <c r="C246" s="458">
        <f>+'q41'!$D$28</f>
        <v>1402.52</v>
      </c>
      <c r="D246" s="458">
        <f>+'q41'!$E$28</f>
        <v>1385.74</v>
      </c>
      <c r="E246" s="458">
        <f>+'q41'!$F$28</f>
        <v>1380</v>
      </c>
      <c r="F246" s="458">
        <f>+'q41'!$G$28</f>
        <v>1388.06</v>
      </c>
      <c r="G246" s="458">
        <f>+'q41'!$H$28</f>
        <v>1425.49</v>
      </c>
      <c r="H246" s="458">
        <f>+'q41'!$I$28</f>
        <v>1470.43</v>
      </c>
      <c r="I246" s="458">
        <f>+'q41'!$J$28</f>
        <v>1508.15</v>
      </c>
      <c r="J246" s="458">
        <f>+'q41'!$K$28</f>
        <v>1545.1</v>
      </c>
      <c r="K246" s="458">
        <f>+'q41'!$L$28</f>
        <v>1621.95</v>
      </c>
      <c r="L246" s="458">
        <f>+'q41'!$M$28</f>
        <v>1734.72</v>
      </c>
      <c r="M246" s="458">
        <f>+'q41'!$N$28</f>
        <v>1853</v>
      </c>
    </row>
    <row r="247" spans="1:26">
      <c r="B247" s="453" t="str">
        <f>+Aux!$B$125</f>
        <v>Ignorado</v>
      </c>
      <c r="C247" s="458">
        <f>+'q41'!$D$33</f>
        <v>700</v>
      </c>
      <c r="D247" s="458">
        <f>+'q41'!$E$33</f>
        <v>650</v>
      </c>
      <c r="E247" s="458">
        <f>+'q41'!$F$33</f>
        <v>662.5</v>
      </c>
      <c r="F247" s="458">
        <f>+'q41'!$G$33</f>
        <v>700</v>
      </c>
      <c r="G247" s="458">
        <f>+'q41'!$H$33</f>
        <v>750.96</v>
      </c>
      <c r="H247" s="458">
        <f>+'q41'!$I$33</f>
        <v>742</v>
      </c>
      <c r="I247" s="458">
        <f>+'q41'!$J$33</f>
        <v>785.36</v>
      </c>
      <c r="J247" s="458">
        <f>+'q41'!$K$33</f>
        <v>850</v>
      </c>
      <c r="K247" s="458">
        <f>+'q41'!$L$33</f>
        <v>908.5</v>
      </c>
      <c r="L247" s="458">
        <f>+'q41'!$M$33</f>
        <v>930.01</v>
      </c>
      <c r="M247" s="458">
        <f>+'q41'!$N$33</f>
        <v>1014.94</v>
      </c>
    </row>
    <row r="248" spans="1:26">
      <c r="B248" s="453" t="str">
        <f>+Aux!$B$126</f>
        <v>Total</v>
      </c>
      <c r="C248" s="458">
        <f>+'q41'!$D$8</f>
        <v>786.99</v>
      </c>
      <c r="D248" s="458">
        <f>+'q41'!$E$8</f>
        <v>790.03</v>
      </c>
      <c r="E248" s="458">
        <f>+'q41'!$F$8</f>
        <v>800</v>
      </c>
      <c r="F248" s="458">
        <f>+'q41'!$G$8</f>
        <v>822.95</v>
      </c>
      <c r="G248" s="458">
        <f>+'q41'!$H$8</f>
        <v>854.8</v>
      </c>
      <c r="H248" s="458">
        <f>+'q41'!$I$8</f>
        <v>892.01</v>
      </c>
      <c r="I248" s="458">
        <f>+'q41'!$J$8</f>
        <v>926.14</v>
      </c>
      <c r="J248" s="458">
        <f>+'q41'!$K$8</f>
        <v>962.2</v>
      </c>
      <c r="K248" s="458">
        <f>+'q41'!$L$8</f>
        <v>1017.5</v>
      </c>
      <c r="L248" s="458">
        <f>+'q41'!$M$8</f>
        <v>1100.17</v>
      </c>
      <c r="M248" s="458">
        <f>+'q41'!$N$8</f>
        <v>1191.02</v>
      </c>
    </row>
    <row r="251" spans="1:26">
      <c r="A251" s="423" t="s">
        <v>664</v>
      </c>
      <c r="R251" s="21"/>
      <c r="S251" s="21"/>
      <c r="T251" s="21"/>
      <c r="U251" s="21"/>
      <c r="V251" s="21"/>
      <c r="W251" s="21"/>
      <c r="X251" s="21"/>
    </row>
    <row r="252" spans="1:26">
      <c r="A252" s="455" t="s">
        <v>663</v>
      </c>
      <c r="R252" s="453">
        <f>+INDEX(q17_a_q19_q26_a_q29_q38_q41_Fig!$A$2:$A$12,q17_a_q19_q26_a_q29_q38_q41_Fig!$P$9)</f>
        <v>2024</v>
      </c>
      <c r="S252" s="630" t="s">
        <v>663</v>
      </c>
      <c r="T252" s="21"/>
      <c r="U252" s="21" t="s">
        <v>680</v>
      </c>
      <c r="V252" s="21" t="s">
        <v>680</v>
      </c>
      <c r="W252" s="21" t="s">
        <v>683</v>
      </c>
      <c r="X252" s="21"/>
    </row>
    <row r="253" spans="1:26">
      <c r="A253" s="455" t="s">
        <v>182</v>
      </c>
      <c r="C253" s="423">
        <f>+'q19'!$C$4</f>
        <v>2014</v>
      </c>
      <c r="D253" s="423">
        <f>+'q19'!$D$4</f>
        <v>2015</v>
      </c>
      <c r="E253" s="423">
        <f>+'q19'!$E$4</f>
        <v>2016</v>
      </c>
      <c r="F253" s="423">
        <f>+'q19'!$F$4</f>
        <v>2017</v>
      </c>
      <c r="G253" s="423">
        <f>+'q19'!$G$4</f>
        <v>2018</v>
      </c>
      <c r="H253" s="423">
        <f>+'q19'!$H$4</f>
        <v>2019</v>
      </c>
      <c r="I253" s="423">
        <f>+'q19'!$I$4</f>
        <v>2020</v>
      </c>
      <c r="J253" s="423">
        <f>+'q19'!$J$4</f>
        <v>2021</v>
      </c>
      <c r="K253" s="423">
        <f>+'q19'!$K$4</f>
        <v>2022</v>
      </c>
      <c r="L253" s="423">
        <f>+'q19'!$L$4</f>
        <v>2023</v>
      </c>
      <c r="M253" s="423">
        <f>+'q19'!$M$4</f>
        <v>2024</v>
      </c>
      <c r="R253" s="21"/>
      <c r="S253" s="21"/>
      <c r="T253" s="630" t="s">
        <v>182</v>
      </c>
      <c r="U253" s="630" t="s">
        <v>262</v>
      </c>
      <c r="V253" s="630" t="s">
        <v>263</v>
      </c>
      <c r="W253" s="630" t="s">
        <v>262</v>
      </c>
      <c r="X253" s="21"/>
      <c r="Y253" s="453" t="s">
        <v>686</v>
      </c>
    </row>
    <row r="254" spans="1:26">
      <c r="A254" s="454" t="s">
        <v>11</v>
      </c>
      <c r="B254" s="453" t="str">
        <f>+Aux!$C$164</f>
        <v>Repres. poder leg. e de órgãos exec., dirig., diret. e gestores executivos</v>
      </c>
      <c r="C254" s="462">
        <f>+'q19'!$C$6</f>
        <v>102919</v>
      </c>
      <c r="D254" s="462">
        <f>+'q19'!$D$6</f>
        <v>102237</v>
      </c>
      <c r="E254" s="462">
        <f>+'q19'!$E$6</f>
        <v>102101</v>
      </c>
      <c r="F254" s="462">
        <f>+'q19'!$F$6</f>
        <v>103477</v>
      </c>
      <c r="G254" s="462">
        <f>+'q19'!$G$6</f>
        <v>103469</v>
      </c>
      <c r="H254" s="462">
        <f>+'q19'!$H$6</f>
        <v>102017</v>
      </c>
      <c r="I254" s="462">
        <f>+'q19'!$I$6</f>
        <v>103372</v>
      </c>
      <c r="J254" s="462">
        <f>+'q19'!$J$6</f>
        <v>101914</v>
      </c>
      <c r="K254" s="462">
        <f>+'q19'!$K$6</f>
        <v>108618</v>
      </c>
      <c r="L254" s="462">
        <f>+'q19'!$L$6</f>
        <v>112926</v>
      </c>
      <c r="M254" s="462">
        <f>+'q19'!$M$6</f>
        <v>114787</v>
      </c>
      <c r="R254" s="21"/>
      <c r="S254" s="21" t="s">
        <v>584</v>
      </c>
      <c r="T254" s="631">
        <f>+INDEX($B$253:$M$264,MATCH($S$254:$S$264,$B$253:$B$264,0),MATCH($R$252,$B$253:$M$253,0))</f>
        <v>114787</v>
      </c>
      <c r="U254" s="632">
        <f>+INDEX($B$268:$M$279,MATCH($S$254:$S$264,$B$268:$B$279,0),MATCH($R$252,$B$268:$M$268,0))</f>
        <v>2846.78</v>
      </c>
      <c r="V254" s="632">
        <f>+INDEX($B$297:$M$308,MATCH($S$254:$S$264,$B$297:$B$308,0),MATCH($R$252,$B$297:$M$297,0))</f>
        <v>3295.85</v>
      </c>
      <c r="W254" s="632">
        <f>+INDEX($B$282:$M$293,MATCH($S$254:$S$264,$B$282:$B$293,0),MATCH($R$252,$B$282:$M$282,0))</f>
        <v>16.54</v>
      </c>
      <c r="X254" s="633">
        <f>+T254/$T$264</f>
        <v>3.4222524071772877E-2</v>
      </c>
      <c r="Y254" s="536">
        <f>+U254/V254</f>
        <v>0.86374683313864409</v>
      </c>
      <c r="Z254" s="535" t="str">
        <f t="shared" ref="Z254:Z263" si="26">+S254</f>
        <v>Repres. poder leg. e de órgãos exec., dirig., diret. e gestores executivos</v>
      </c>
    </row>
    <row r="255" spans="1:26">
      <c r="B255" s="453" t="str">
        <f>+Aux!$C$165</f>
        <v>Especial.das ativ.intelet.e cientif.</v>
      </c>
      <c r="C255" s="462">
        <f>+'q19'!$C$11</f>
        <v>257358</v>
      </c>
      <c r="D255" s="462">
        <f>+'q19'!$D$11</f>
        <v>268541</v>
      </c>
      <c r="E255" s="462">
        <f>+'q19'!$E$11</f>
        <v>279378</v>
      </c>
      <c r="F255" s="462">
        <f>+'q19'!$F$11</f>
        <v>293235</v>
      </c>
      <c r="G255" s="462">
        <f>+'q19'!$G$11</f>
        <v>314401</v>
      </c>
      <c r="H255" s="462">
        <f>+'q19'!$H$11</f>
        <v>332396</v>
      </c>
      <c r="I255" s="462">
        <f>+'q19'!$I$11</f>
        <v>345330</v>
      </c>
      <c r="J255" s="462">
        <f>+'q19'!$J$11</f>
        <v>358638</v>
      </c>
      <c r="K255" s="462">
        <f>+'q19'!$K$11</f>
        <v>394102</v>
      </c>
      <c r="L255" s="462">
        <f>+'q19'!$L$11</f>
        <v>416579</v>
      </c>
      <c r="M255" s="462">
        <f>+'q19'!$M$11</f>
        <v>441951</v>
      </c>
      <c r="R255" s="21"/>
      <c r="S255" s="21" t="s">
        <v>589</v>
      </c>
      <c r="T255" s="631">
        <f t="shared" ref="T255:T264" si="27">+INDEX($B$253:$M$264,MATCH($S$254:$S$264,$B$253:$B$264,0),MATCH($R$252,$B$253:$M$253,0))</f>
        <v>441951</v>
      </c>
      <c r="U255" s="632">
        <f t="shared" ref="U255:U264" si="28">+INDEX($B$268:$M$279,MATCH($S$254:$S$264,$B$268:$B$279,0),MATCH($R$252,$B$268:$M$268,0))</f>
        <v>2032.28</v>
      </c>
      <c r="V255" s="632">
        <f t="shared" ref="V255:V264" si="29">+INDEX($B$297:$M$308,MATCH($S$254:$S$264,$B$297:$B$308,0),MATCH($R$252,$B$297:$M$297,0))</f>
        <v>2400.04</v>
      </c>
      <c r="W255" s="632">
        <f t="shared" ref="W255:W264" si="30">+INDEX($B$282:$M$293,MATCH($S$254:$S$264,$B$282:$B$293,0),MATCH($R$252,$B$282:$M$282,0))</f>
        <v>12.04</v>
      </c>
      <c r="X255" s="633">
        <f t="shared" ref="X255:X263" si="31">+T255/$T$264</f>
        <v>0.13176299351010215</v>
      </c>
      <c r="Y255" s="536">
        <f t="shared" ref="Y255:Y264" si="32">+U255/V255</f>
        <v>0.84676922051299142</v>
      </c>
      <c r="Z255" s="535" t="str">
        <f t="shared" si="26"/>
        <v>Especial.das ativ.intelet.e cientif.</v>
      </c>
    </row>
    <row r="256" spans="1:26">
      <c r="B256" s="453" t="str">
        <f>+Aux!$C$166</f>
        <v>Técn. e prof. de nível intermédio</v>
      </c>
      <c r="C256" s="462">
        <f>+'q19'!$C$18</f>
        <v>246049</v>
      </c>
      <c r="D256" s="462">
        <f>+'q19'!$D$18</f>
        <v>251040</v>
      </c>
      <c r="E256" s="462">
        <f>+'q19'!$E$18</f>
        <v>259812</v>
      </c>
      <c r="F256" s="462">
        <f>+'q19'!$F$18</f>
        <v>269831</v>
      </c>
      <c r="G256" s="462">
        <f>+'q19'!$G$18</f>
        <v>281971</v>
      </c>
      <c r="H256" s="462">
        <f>+'q19'!$H$18</f>
        <v>289631</v>
      </c>
      <c r="I256" s="462">
        <f>+'q19'!$I$18</f>
        <v>296724</v>
      </c>
      <c r="J256" s="462">
        <f>+'q19'!$J$18</f>
        <v>303361</v>
      </c>
      <c r="K256" s="462">
        <f>+'q19'!$K$18</f>
        <v>325171</v>
      </c>
      <c r="L256" s="462">
        <f>+'q19'!$L$18</f>
        <v>340854</v>
      </c>
      <c r="M256" s="462">
        <f>+'q19'!$M$18</f>
        <v>353603</v>
      </c>
      <c r="R256" s="21"/>
      <c r="S256" s="21" t="s">
        <v>596</v>
      </c>
      <c r="T256" s="631">
        <f t="shared" si="27"/>
        <v>353603</v>
      </c>
      <c r="U256" s="632">
        <f t="shared" si="28"/>
        <v>1589.95</v>
      </c>
      <c r="V256" s="632">
        <f t="shared" si="29"/>
        <v>1947.34</v>
      </c>
      <c r="W256" s="632">
        <f t="shared" si="30"/>
        <v>9.17</v>
      </c>
      <c r="X256" s="633">
        <f t="shared" si="31"/>
        <v>0.10542297628957203</v>
      </c>
      <c r="Y256" s="536">
        <f t="shared" si="32"/>
        <v>0.81647272689925754</v>
      </c>
      <c r="Z256" s="535" t="str">
        <f t="shared" si="26"/>
        <v>Técn. e prof. de nível intermédio</v>
      </c>
    </row>
    <row r="257" spans="1:30">
      <c r="B257" s="453" t="str">
        <f>+Aux!$C$167</f>
        <v>Pessoal administrativo</v>
      </c>
      <c r="C257" s="462">
        <f>+'q19'!$C$24</f>
        <v>329818</v>
      </c>
      <c r="D257" s="462">
        <f>+'q19'!$D$24</f>
        <v>339590</v>
      </c>
      <c r="E257" s="462">
        <f>+'q19'!$E$24</f>
        <v>354101</v>
      </c>
      <c r="F257" s="462">
        <f>+'q19'!$F$24</f>
        <v>364437</v>
      </c>
      <c r="G257" s="462">
        <f>+'q19'!$G$24</f>
        <v>379700</v>
      </c>
      <c r="H257" s="462">
        <f>+'q19'!$H$24</f>
        <v>385649</v>
      </c>
      <c r="I257" s="462">
        <f>+'q19'!$I$24</f>
        <v>383564</v>
      </c>
      <c r="J257" s="462">
        <f>+'q19'!$J$24</f>
        <v>383195</v>
      </c>
      <c r="K257" s="462">
        <f>+'q19'!$K$24</f>
        <v>421193</v>
      </c>
      <c r="L257" s="462">
        <f>+'q19'!$L$24</f>
        <v>434712</v>
      </c>
      <c r="M257" s="462">
        <f>+'q19'!$M$24</f>
        <v>435944</v>
      </c>
      <c r="R257" s="21"/>
      <c r="S257" s="21" t="s">
        <v>602</v>
      </c>
      <c r="T257" s="631">
        <f t="shared" si="27"/>
        <v>435944</v>
      </c>
      <c r="U257" s="632">
        <f t="shared" si="28"/>
        <v>1143.01</v>
      </c>
      <c r="V257" s="632">
        <f t="shared" si="29"/>
        <v>1391.18</v>
      </c>
      <c r="W257" s="632">
        <f t="shared" si="30"/>
        <v>6.56</v>
      </c>
      <c r="X257" s="633">
        <f t="shared" si="31"/>
        <v>0.12997207030364899</v>
      </c>
      <c r="Y257" s="536">
        <f t="shared" si="32"/>
        <v>0.82161186906079731</v>
      </c>
      <c r="Z257" s="535" t="str">
        <f t="shared" si="26"/>
        <v>Pessoal administrativo</v>
      </c>
    </row>
    <row r="258" spans="1:30">
      <c r="B258" s="453" t="str">
        <f>+Aux!$C$168</f>
        <v>Trab.dos serv.pessoais, de prot.e segur.e vendedores</v>
      </c>
      <c r="C258" s="462">
        <f>+'q19'!$C$29</f>
        <v>522200</v>
      </c>
      <c r="D258" s="462">
        <f>+'q19'!$D$29</f>
        <v>543846</v>
      </c>
      <c r="E258" s="462">
        <f>+'q19'!$E$29</f>
        <v>569034</v>
      </c>
      <c r="F258" s="462">
        <f>+'q19'!$F$29</f>
        <v>601609</v>
      </c>
      <c r="G258" s="462">
        <f>+'q19'!$G$29</f>
        <v>617409</v>
      </c>
      <c r="H258" s="462">
        <f>+'q19'!$H$29</f>
        <v>636383</v>
      </c>
      <c r="I258" s="462">
        <f>+'q19'!$I$29</f>
        <v>600680</v>
      </c>
      <c r="J258" s="462">
        <f>+'q19'!$J$29</f>
        <v>604817</v>
      </c>
      <c r="K258" s="462">
        <f>+'q19'!$K$29</f>
        <v>658740</v>
      </c>
      <c r="L258" s="462">
        <f>+'q19'!$L$29</f>
        <v>691852</v>
      </c>
      <c r="M258" s="462">
        <f>+'q19'!$M$29</f>
        <v>700751</v>
      </c>
      <c r="R258" s="21"/>
      <c r="S258" s="21" t="s">
        <v>607</v>
      </c>
      <c r="T258" s="631">
        <f t="shared" si="27"/>
        <v>700751</v>
      </c>
      <c r="U258" s="632">
        <f t="shared" si="28"/>
        <v>964.25</v>
      </c>
      <c r="V258" s="632">
        <f t="shared" si="29"/>
        <v>1162.67</v>
      </c>
      <c r="W258" s="632">
        <f t="shared" si="30"/>
        <v>5.57</v>
      </c>
      <c r="X258" s="633">
        <f t="shared" si="31"/>
        <v>0.20892146293412073</v>
      </c>
      <c r="Y258" s="536">
        <f t="shared" si="32"/>
        <v>0.82934108560468567</v>
      </c>
      <c r="Z258" s="535" t="str">
        <f t="shared" si="26"/>
        <v>Trab.dos serv.pessoais, de prot.e segur.e vendedores</v>
      </c>
    </row>
    <row r="259" spans="1:30">
      <c r="B259" s="453" t="str">
        <f>+Aux!$C$169</f>
        <v>Agric.e trab.qualif.da agric.,da pesca e da floresta</v>
      </c>
      <c r="C259" s="462">
        <f>+'q19'!$C$34</f>
        <v>31493</v>
      </c>
      <c r="D259" s="462">
        <f>+'q19'!$D$34</f>
        <v>32226</v>
      </c>
      <c r="E259" s="462">
        <f>+'q19'!$E$34</f>
        <v>32914</v>
      </c>
      <c r="F259" s="462">
        <f>+'q19'!$F$34</f>
        <v>33535</v>
      </c>
      <c r="G259" s="462">
        <f>+'q19'!$G$34</f>
        <v>36393</v>
      </c>
      <c r="H259" s="462">
        <f>+'q19'!$H$34</f>
        <v>36879</v>
      </c>
      <c r="I259" s="462">
        <f>+'q19'!$I$34</f>
        <v>39132</v>
      </c>
      <c r="J259" s="462">
        <f>+'q19'!$J$34</f>
        <v>36652</v>
      </c>
      <c r="K259" s="462">
        <f>+'q19'!$K$34</f>
        <v>37073</v>
      </c>
      <c r="L259" s="462">
        <f>+'q19'!$L$34</f>
        <v>37292</v>
      </c>
      <c r="M259" s="462">
        <f>+'q19'!$M$34</f>
        <v>36010</v>
      </c>
      <c r="R259" s="21"/>
      <c r="S259" s="21" t="s">
        <v>612</v>
      </c>
      <c r="T259" s="631">
        <f t="shared" si="27"/>
        <v>36010</v>
      </c>
      <c r="U259" s="632">
        <f t="shared" si="28"/>
        <v>1015.15</v>
      </c>
      <c r="V259" s="632">
        <f t="shared" si="29"/>
        <v>1167.21</v>
      </c>
      <c r="W259" s="632">
        <f t="shared" si="30"/>
        <v>5.48</v>
      </c>
      <c r="X259" s="633">
        <f t="shared" si="31"/>
        <v>1.0735998778821133E-2</v>
      </c>
      <c r="Y259" s="536">
        <f t="shared" si="32"/>
        <v>0.86972352875660763</v>
      </c>
      <c r="Z259" s="535" t="str">
        <f t="shared" si="26"/>
        <v>Agric.e trab.qualif.da agric.,da pesca e da floresta</v>
      </c>
    </row>
    <row r="260" spans="1:30">
      <c r="B260" s="453" t="str">
        <f>+Aux!$C$170</f>
        <v>Trab.qualif.da ind.,constr.e artific.</v>
      </c>
      <c r="C260" s="462">
        <f>+'q19'!$C$37</f>
        <v>368809</v>
      </c>
      <c r="D260" s="462">
        <f>+'q19'!$D$37</f>
        <v>376388</v>
      </c>
      <c r="E260" s="462">
        <f>+'q19'!$E$37</f>
        <v>384741</v>
      </c>
      <c r="F260" s="462">
        <f>+'q19'!$F$37</f>
        <v>400615</v>
      </c>
      <c r="G260" s="462">
        <f>+'q19'!$G$37</f>
        <v>413669</v>
      </c>
      <c r="H260" s="462">
        <f>+'q19'!$H$37</f>
        <v>416319</v>
      </c>
      <c r="I260" s="462">
        <f>+'q19'!$I$37</f>
        <v>417902</v>
      </c>
      <c r="J260" s="462">
        <f>+'q19'!$J$37</f>
        <v>412413</v>
      </c>
      <c r="K260" s="462">
        <f>+'q19'!$K$37</f>
        <v>440677</v>
      </c>
      <c r="L260" s="462">
        <f>+'q19'!$L$37</f>
        <v>457733</v>
      </c>
      <c r="M260" s="462">
        <f>+'q19'!$M$37</f>
        <v>457922</v>
      </c>
      <c r="R260" s="21"/>
      <c r="S260" s="21" t="s">
        <v>615</v>
      </c>
      <c r="T260" s="631">
        <f t="shared" si="27"/>
        <v>457922</v>
      </c>
      <c r="U260" s="632">
        <f t="shared" si="28"/>
        <v>1018.26</v>
      </c>
      <c r="V260" s="632">
        <f t="shared" si="29"/>
        <v>1246.3800000000001</v>
      </c>
      <c r="W260" s="632">
        <f t="shared" si="30"/>
        <v>5.8</v>
      </c>
      <c r="X260" s="870">
        <f t="shared" si="31"/>
        <v>0.13652457741725441</v>
      </c>
      <c r="Y260" s="536">
        <f t="shared" si="32"/>
        <v>0.81697395657825056</v>
      </c>
      <c r="Z260" s="535" t="str">
        <f t="shared" si="26"/>
        <v>Trab.qualif.da ind.,constr.e artific.</v>
      </c>
    </row>
    <row r="261" spans="1:30">
      <c r="B261" s="453" t="str">
        <f>+Aux!$C$171</f>
        <v>Oper.de inst.e máq.e trab.mont.</v>
      </c>
      <c r="C261" s="462">
        <f>+'q19'!$C$43</f>
        <v>274804</v>
      </c>
      <c r="D261" s="462">
        <f>+'q19'!$D$43</f>
        <v>280377</v>
      </c>
      <c r="E261" s="462">
        <f>+'q19'!$E$43</f>
        <v>291313</v>
      </c>
      <c r="F261" s="462">
        <f>+'q19'!$F$43</f>
        <v>307015</v>
      </c>
      <c r="G261" s="462">
        <f>+'q19'!$G$43</f>
        <v>315599</v>
      </c>
      <c r="H261" s="462">
        <f>+'q19'!$H$43</f>
        <v>307042</v>
      </c>
      <c r="I261" s="462">
        <f>+'q19'!$I$43</f>
        <v>302090</v>
      </c>
      <c r="J261" s="462">
        <f>+'q19'!$J$43</f>
        <v>298377</v>
      </c>
      <c r="K261" s="462">
        <f>+'q19'!$K$43</f>
        <v>315144</v>
      </c>
      <c r="L261" s="462">
        <f>+'q19'!$L$43</f>
        <v>324386</v>
      </c>
      <c r="M261" s="462">
        <f>+'q19'!$M$43</f>
        <v>323244</v>
      </c>
      <c r="R261" s="21"/>
      <c r="S261" s="21" t="s">
        <v>621</v>
      </c>
      <c r="T261" s="631">
        <f t="shared" si="27"/>
        <v>323244</v>
      </c>
      <c r="U261" s="632">
        <f t="shared" si="28"/>
        <v>1002.33</v>
      </c>
      <c r="V261" s="632">
        <f t="shared" si="29"/>
        <v>1341.97</v>
      </c>
      <c r="W261" s="632">
        <f t="shared" si="30"/>
        <v>5.72</v>
      </c>
      <c r="X261" s="633">
        <f t="shared" si="31"/>
        <v>9.637176310084028E-2</v>
      </c>
      <c r="Y261" s="536">
        <f t="shared" si="32"/>
        <v>0.74690939439778836</v>
      </c>
      <c r="Z261" s="535" t="str">
        <f t="shared" si="26"/>
        <v>Oper.de inst.e máq.e trab.mont.</v>
      </c>
    </row>
    <row r="262" spans="1:30">
      <c r="B262" s="453" t="str">
        <f>+Aux!$C$172</f>
        <v>Trabalhadores não qualificados</v>
      </c>
      <c r="C262" s="462">
        <f>+'q19'!$C$47</f>
        <v>322924</v>
      </c>
      <c r="D262" s="462">
        <f>+'q19'!$D$47</f>
        <v>341417</v>
      </c>
      <c r="E262" s="462">
        <f>+'q19'!$E$47</f>
        <v>366149</v>
      </c>
      <c r="F262" s="462">
        <f>+'q19'!$F$47</f>
        <v>391370</v>
      </c>
      <c r="G262" s="462">
        <f>+'q19'!$G$47</f>
        <v>413348</v>
      </c>
      <c r="H262" s="462">
        <f>+'q19'!$H$47</f>
        <v>422064</v>
      </c>
      <c r="I262" s="462">
        <f>+'q19'!$I$47</f>
        <v>411879</v>
      </c>
      <c r="J262" s="462">
        <f>+'q19'!$J$47</f>
        <v>420318</v>
      </c>
      <c r="K262" s="462">
        <f>+'q19'!$K$47</f>
        <v>444590</v>
      </c>
      <c r="L262" s="462">
        <f>+'q19'!$L$47</f>
        <v>477160</v>
      </c>
      <c r="M262" s="462">
        <f>+'q19'!$M$47</f>
        <v>485614</v>
      </c>
      <c r="R262" s="21"/>
      <c r="S262" s="21" t="s">
        <v>625</v>
      </c>
      <c r="T262" s="631">
        <f t="shared" si="27"/>
        <v>485614</v>
      </c>
      <c r="U262" s="632">
        <f t="shared" si="28"/>
        <v>894.26</v>
      </c>
      <c r="V262" s="632">
        <f t="shared" si="29"/>
        <v>1058.49</v>
      </c>
      <c r="W262" s="632">
        <f t="shared" si="30"/>
        <v>5.12</v>
      </c>
      <c r="X262" s="870">
        <f t="shared" si="31"/>
        <v>0.1447806529013731</v>
      </c>
      <c r="Y262" s="536">
        <f t="shared" si="32"/>
        <v>0.84484501506863552</v>
      </c>
      <c r="Z262" s="535" t="str">
        <f t="shared" si="26"/>
        <v>Trabalhadores não qualificados</v>
      </c>
    </row>
    <row r="263" spans="1:30">
      <c r="B263" s="453" t="str">
        <f>+Aux!$C$173</f>
        <v>Trabalhadores sem profissão atribuida</v>
      </c>
      <c r="C263" s="462">
        <f>+'q19'!$C$54</f>
        <v>1789</v>
      </c>
      <c r="D263" s="462">
        <f>+'q19'!$D$54</f>
        <v>1991</v>
      </c>
      <c r="E263" s="462">
        <f>+'q19'!$E$54</f>
        <v>2376</v>
      </c>
      <c r="F263" s="462">
        <f>+'q19'!$F$54</f>
        <v>2397</v>
      </c>
      <c r="G263" s="462">
        <f>+'q19'!$G$54</f>
        <v>1959</v>
      </c>
      <c r="H263" s="462">
        <f>+'q19'!$H$54</f>
        <v>2102</v>
      </c>
      <c r="I263" s="462">
        <f>+'q19'!$I$54</f>
        <v>2152</v>
      </c>
      <c r="J263" s="462">
        <f>+'q19'!$J$54</f>
        <v>2658</v>
      </c>
      <c r="K263" s="462">
        <f>+'q19'!$K$54</f>
        <v>2839</v>
      </c>
      <c r="L263" s="462">
        <f>+'q19'!$L$54</f>
        <v>2640</v>
      </c>
      <c r="M263" s="462">
        <f>+'q19'!$M$54</f>
        <v>4310</v>
      </c>
      <c r="R263" s="21"/>
      <c r="S263" s="21" t="s">
        <v>632</v>
      </c>
      <c r="T263" s="631">
        <f t="shared" si="27"/>
        <v>4310</v>
      </c>
      <c r="U263" s="632">
        <f t="shared" si="28"/>
        <v>3106.87</v>
      </c>
      <c r="V263" s="632">
        <f t="shared" si="29"/>
        <v>3504.65</v>
      </c>
      <c r="W263" s="632">
        <f t="shared" si="30"/>
        <v>18.2</v>
      </c>
      <c r="X263" s="633">
        <f t="shared" si="31"/>
        <v>1.2849806924942818E-3</v>
      </c>
      <c r="Y263" s="536">
        <f t="shared" si="32"/>
        <v>0.88649936512918548</v>
      </c>
      <c r="Z263" s="535" t="str">
        <f t="shared" si="26"/>
        <v>Trabalhadores sem profissão atribuida</v>
      </c>
    </row>
    <row r="264" spans="1:30">
      <c r="B264" s="453" t="s">
        <v>11</v>
      </c>
      <c r="C264" s="462">
        <f>+'q19'!$C$5</f>
        <v>2458163</v>
      </c>
      <c r="D264" s="462">
        <f>+'q19'!$D$5</f>
        <v>2537653</v>
      </c>
      <c r="E264" s="462">
        <f>+'q19'!$E$5</f>
        <v>2641919</v>
      </c>
      <c r="F264" s="462">
        <f>+'q19'!$F$5</f>
        <v>2767521</v>
      </c>
      <c r="G264" s="462">
        <f>+'q19'!$G$5</f>
        <v>2877918</v>
      </c>
      <c r="H264" s="462">
        <f>+'q19'!$H$5</f>
        <v>2930482</v>
      </c>
      <c r="I264" s="462">
        <f>+'q19'!$I$5</f>
        <v>2902825</v>
      </c>
      <c r="J264" s="462">
        <f>+'q19'!$J$5</f>
        <v>2922343</v>
      </c>
      <c r="K264" s="462">
        <f>+'q19'!$K$5</f>
        <v>3148147</v>
      </c>
      <c r="L264" s="462">
        <f>+'q19'!$L$5</f>
        <v>3296134</v>
      </c>
      <c r="M264" s="462">
        <f>+'q19'!$M$5</f>
        <v>3354136</v>
      </c>
      <c r="R264" s="21"/>
      <c r="S264" s="21" t="s">
        <v>11</v>
      </c>
      <c r="T264" s="631">
        <f t="shared" si="27"/>
        <v>3354136</v>
      </c>
      <c r="U264" s="632">
        <f t="shared" si="28"/>
        <v>1308.96</v>
      </c>
      <c r="V264" s="632">
        <f t="shared" si="29"/>
        <v>1582.75</v>
      </c>
      <c r="W264" s="632">
        <f t="shared" si="30"/>
        <v>7.38</v>
      </c>
      <c r="X264" s="21"/>
      <c r="Y264" s="536">
        <f t="shared" si="32"/>
        <v>0.82701626915179283</v>
      </c>
    </row>
    <row r="265" spans="1:30">
      <c r="R265" s="21"/>
      <c r="S265" s="21"/>
      <c r="T265" s="21"/>
      <c r="U265" s="21"/>
      <c r="V265" s="21"/>
      <c r="W265" s="21"/>
      <c r="X265" s="21"/>
    </row>
    <row r="266" spans="1:30">
      <c r="R266" s="21"/>
      <c r="S266" s="21"/>
      <c r="T266" s="21"/>
      <c r="U266" s="21"/>
      <c r="V266" s="21"/>
      <c r="W266" s="21" t="s">
        <v>687</v>
      </c>
      <c r="X266" s="633">
        <f>+LARGE($X$254:$X$263,1)</f>
        <v>0.20892146293412073</v>
      </c>
      <c r="Y266" s="453" t="str">
        <f>+VLOOKUP(X266,$X$254:$Z$263,COLUMN($X$265)-21,0)</f>
        <v>Trab.dos serv.pessoais, de prot.e segur.e vendedores</v>
      </c>
      <c r="Z266" s="453" t="s">
        <v>690</v>
      </c>
      <c r="AA266" s="453">
        <f>+SMALL($U$254:$U$263,1)</f>
        <v>894.26</v>
      </c>
      <c r="AB266" s="453" t="str">
        <f>+VLOOKUP(AA266,$U$254:$Z$263,COLUMN($U$265)-15,0)</f>
        <v>Trabalhadores não qualificados</v>
      </c>
    </row>
    <row r="267" spans="1:30">
      <c r="A267" s="423" t="s">
        <v>679</v>
      </c>
      <c r="S267" s="453">
        <f>+COLUMN(W265)</f>
        <v>23</v>
      </c>
      <c r="T267" s="453">
        <f>+COLUMN(V265)</f>
        <v>22</v>
      </c>
      <c r="U267" s="453">
        <f>+COLUMN(U265)</f>
        <v>21</v>
      </c>
      <c r="V267" s="453">
        <f>+COLUMN(X265)</f>
        <v>24</v>
      </c>
      <c r="W267" s="453" t="s">
        <v>688</v>
      </c>
      <c r="X267" s="541">
        <f>+LARGE($X$254:$X$263,2)</f>
        <v>0.1447806529013731</v>
      </c>
      <c r="Y267" s="453" t="str">
        <f>+VLOOKUP(X267,$X$254:$Z$263,COLUMN($X$265)-21,0)</f>
        <v>Trabalhadores não qualificados</v>
      </c>
      <c r="Z267" s="453" t="s">
        <v>689</v>
      </c>
      <c r="AA267" s="453">
        <f>+LARGE($U$254:$U$263,1)</f>
        <v>3106.87</v>
      </c>
      <c r="AB267" s="453" t="str">
        <f>+VLOOKUP(AA267,$U$254:$Z$263,COLUMN($U$265)-15,0)</f>
        <v>Trabalhadores sem profissão atribuida</v>
      </c>
    </row>
    <row r="268" spans="1:30">
      <c r="A268" s="454" t="s">
        <v>268</v>
      </c>
      <c r="C268" s="423">
        <f>+'q28'!$C$4</f>
        <v>2014</v>
      </c>
      <c r="D268" s="423">
        <f>+'q28'!$D$4</f>
        <v>2015</v>
      </c>
      <c r="E268" s="423">
        <f>+'q28'!$E$4</f>
        <v>2016</v>
      </c>
      <c r="F268" s="423">
        <f>+'q28'!$F$4</f>
        <v>2017</v>
      </c>
      <c r="G268" s="423">
        <f>+'q28'!$G$4</f>
        <v>2018</v>
      </c>
      <c r="H268" s="423">
        <f>+'q28'!$H$4</f>
        <v>2019</v>
      </c>
      <c r="I268" s="423">
        <f>+'q28'!$I$4</f>
        <v>2020</v>
      </c>
      <c r="J268" s="423">
        <f>+'q28'!$J$4</f>
        <v>2021</v>
      </c>
      <c r="K268" s="423">
        <f>+'q28'!$K$4</f>
        <v>2022</v>
      </c>
      <c r="L268" s="423">
        <f>+'q28'!$L$4</f>
        <v>2023</v>
      </c>
      <c r="M268" s="423">
        <f>+'q28'!$M$4</f>
        <v>2024</v>
      </c>
      <c r="S268" s="453">
        <v>19</v>
      </c>
      <c r="T268" s="453">
        <v>17</v>
      </c>
      <c r="U268" s="453">
        <v>15</v>
      </c>
      <c r="V268" s="453">
        <v>21</v>
      </c>
      <c r="X268" s="538">
        <f>+X266+X267</f>
        <v>0.35370211583549382</v>
      </c>
    </row>
    <row r="269" spans="1:30">
      <c r="A269" s="454" t="s">
        <v>680</v>
      </c>
      <c r="B269" s="453" t="str">
        <f>+Aux!$C$164</f>
        <v>Repres. poder leg. e de órgãos exec., dirig., diret. e gestores executivos</v>
      </c>
      <c r="C269" s="470">
        <f>+'q28'!$C$6</f>
        <v>2052.4499999999998</v>
      </c>
      <c r="D269" s="470">
        <f>+'q28'!$D$6</f>
        <v>2079.75</v>
      </c>
      <c r="E269" s="470">
        <f>+'q28'!$E$6</f>
        <v>2107.9899999999998</v>
      </c>
      <c r="F269" s="470">
        <f>+'q28'!$F$6</f>
        <v>2146.0500000000002</v>
      </c>
      <c r="G269" s="470">
        <f>+'q28'!$G$6</f>
        <v>2200.1999999999998</v>
      </c>
      <c r="H269" s="470">
        <f>+'q28'!$H$6</f>
        <v>2261.4</v>
      </c>
      <c r="I269" s="470">
        <f>+'q28'!$I$6</f>
        <v>2333.06</v>
      </c>
      <c r="J269" s="470">
        <f>+'q28'!$J$6</f>
        <v>2403.16</v>
      </c>
      <c r="K269" s="470">
        <f>+'q28'!$K$6</f>
        <v>2518.79</v>
      </c>
      <c r="L269" s="470">
        <f>+'q28'!$L$6</f>
        <v>2657.57</v>
      </c>
      <c r="M269" s="470">
        <f>+'q28'!$M$6</f>
        <v>2846.78</v>
      </c>
      <c r="S269" s="453">
        <f>+S267-S268</f>
        <v>4</v>
      </c>
      <c r="T269" s="453">
        <f>+T267-T268</f>
        <v>5</v>
      </c>
      <c r="U269" s="453">
        <f>+U267-U268</f>
        <v>6</v>
      </c>
      <c r="V269" s="453">
        <f>+V267-V268</f>
        <v>3</v>
      </c>
      <c r="Z269" s="453" t="s">
        <v>691</v>
      </c>
      <c r="AA269" s="453">
        <f>+SMALL($V$254:$V$263,1)</f>
        <v>1058.49</v>
      </c>
      <c r="AB269" s="453" t="str">
        <f>+VLOOKUP(AA269,$V$254:$Z$263,COLUMN($V$265)-17,0)</f>
        <v>Trabalhadores não qualificados</v>
      </c>
      <c r="AC269" s="454" t="b">
        <f>+EXACT(AB269,AB266)</f>
        <v>1</v>
      </c>
      <c r="AD269" s="453" t="s">
        <v>701</v>
      </c>
    </row>
    <row r="270" spans="1:30">
      <c r="B270" s="453" t="str">
        <f>+Aux!$C$165</f>
        <v>Especial.das ativ.intelet.e cientif.</v>
      </c>
      <c r="C270" s="470">
        <f>+'q28'!$C$11</f>
        <v>1541.53</v>
      </c>
      <c r="D270" s="470">
        <f>+'q28'!$D$11</f>
        <v>1539.36</v>
      </c>
      <c r="E270" s="470">
        <f>+'q28'!$E$11</f>
        <v>1552.11</v>
      </c>
      <c r="F270" s="470">
        <f>+'q28'!$F$11</f>
        <v>1562.24</v>
      </c>
      <c r="G270" s="470">
        <f>+'q28'!$G$11</f>
        <v>1587.78</v>
      </c>
      <c r="H270" s="470">
        <f>+'q28'!$H$11</f>
        <v>1623</v>
      </c>
      <c r="I270" s="470">
        <f>+'q28'!$I$11</f>
        <v>1656.71</v>
      </c>
      <c r="J270" s="470">
        <f>+'q28'!$J$11</f>
        <v>1713.38</v>
      </c>
      <c r="K270" s="470">
        <f>+'q28'!$K$11</f>
        <v>1802.5</v>
      </c>
      <c r="L270" s="470">
        <f>+'q28'!$L$11</f>
        <v>1907.03</v>
      </c>
      <c r="M270" s="470">
        <f>+'q28'!$M$11</f>
        <v>2032.28</v>
      </c>
      <c r="S270" s="423" t="s">
        <v>685</v>
      </c>
      <c r="Z270" s="453" t="s">
        <v>692</v>
      </c>
      <c r="AA270" s="453">
        <f>+LARGE($V$254:$V$263,1)</f>
        <v>3504.65</v>
      </c>
      <c r="AB270" s="453" t="str">
        <f>+VLOOKUP(AA270,$V$254:$Z$263,COLUMN($V$265)-17,0)</f>
        <v>Trabalhadores sem profissão atribuida</v>
      </c>
      <c r="AC270" s="454" t="b">
        <f>+EXACT(AB270,AB267)</f>
        <v>1</v>
      </c>
    </row>
    <row r="271" spans="1:30">
      <c r="B271" s="453" t="str">
        <f>+Aux!$C$166</f>
        <v>Técn. e prof. de nível intermédio</v>
      </c>
      <c r="C271" s="470">
        <f>+'q28'!$C$18</f>
        <v>1199.6500000000001</v>
      </c>
      <c r="D271" s="470">
        <f>+'q28'!$D$18</f>
        <v>1216.57</v>
      </c>
      <c r="E271" s="470">
        <f>+'q28'!$E$18</f>
        <v>1225.94</v>
      </c>
      <c r="F271" s="470">
        <f>+'q28'!$F$18</f>
        <v>1243.8599999999999</v>
      </c>
      <c r="G271" s="470">
        <f>+'q28'!$G$18</f>
        <v>1266.67</v>
      </c>
      <c r="H271" s="470">
        <f>+'q28'!$H$18</f>
        <v>1300.04</v>
      </c>
      <c r="I271" s="470">
        <f>+'q28'!$I$18</f>
        <v>1309.53</v>
      </c>
      <c r="J271" s="470">
        <f>+'q28'!$J$18</f>
        <v>1334.13</v>
      </c>
      <c r="K271" s="470">
        <f>+'q28'!$K$18</f>
        <v>1409.43</v>
      </c>
      <c r="L271" s="470">
        <f>+'q28'!$L$18</f>
        <v>1506.33</v>
      </c>
      <c r="M271" s="470">
        <f>+'q28'!$M$18</f>
        <v>1589.95</v>
      </c>
      <c r="S271" s="453">
        <f>+R252</f>
        <v>2024</v>
      </c>
      <c r="T271" s="453" t="s">
        <v>398</v>
      </c>
      <c r="W271" s="453" t="s">
        <v>893</v>
      </c>
      <c r="X271" s="541">
        <f>+LARGE($X$254:$X$263,3)</f>
        <v>0.13652457741725441</v>
      </c>
      <c r="Y271" s="453" t="str">
        <f>+VLOOKUP(X271,$X$254:$Z$263,COLUMN($X$265)-21,0)</f>
        <v>Trab.qualif.da ind.,constr.e artific.</v>
      </c>
    </row>
    <row r="272" spans="1:30">
      <c r="B272" s="453" t="str">
        <f>+Aux!$C$167</f>
        <v>Pessoal administrativo</v>
      </c>
      <c r="C272" s="470">
        <f>+'q28'!$C$24</f>
        <v>853.64</v>
      </c>
      <c r="D272" s="470">
        <f>+'q28'!$D$24</f>
        <v>850.24</v>
      </c>
      <c r="E272" s="470">
        <f>+'q28'!$E$24</f>
        <v>858.62</v>
      </c>
      <c r="F272" s="470">
        <f>+'q28'!$F$24</f>
        <v>871.79</v>
      </c>
      <c r="G272" s="470">
        <f>+'q28'!$G$24</f>
        <v>892.08</v>
      </c>
      <c r="H272" s="470">
        <f>+'q28'!$H$24</f>
        <v>915.53</v>
      </c>
      <c r="I272" s="470">
        <f>+'q28'!$I$24</f>
        <v>939.99</v>
      </c>
      <c r="J272" s="470">
        <f>+'q28'!$J$24</f>
        <v>974.11</v>
      </c>
      <c r="K272" s="470">
        <f>+'q28'!$K$24</f>
        <v>1012.3</v>
      </c>
      <c r="L272" s="470">
        <f>+'q28'!$L$24</f>
        <v>1075.58</v>
      </c>
      <c r="M272" s="470">
        <f>+'q28'!$M$24</f>
        <v>1143.01</v>
      </c>
      <c r="S272" s="473" t="str">
        <f>TEXT(X268,"##.###,0%")</f>
        <v>35,4%</v>
      </c>
      <c r="T272" s="453" t="s">
        <v>752</v>
      </c>
      <c r="X272" s="538">
        <f>+X268+X271</f>
        <v>0.49022669325274826</v>
      </c>
      <c r="Z272" s="453" t="s">
        <v>704</v>
      </c>
      <c r="AA272" s="453">
        <f>+SMALL($W$254:$W$263,1)</f>
        <v>5.12</v>
      </c>
      <c r="AB272" s="453" t="str">
        <f>+VLOOKUP(AA272,$W$254:$Z$263,COLUMN($W$265)-19,0)</f>
        <v>Trabalhadores não qualificados</v>
      </c>
    </row>
    <row r="273" spans="1:30">
      <c r="B273" s="453" t="str">
        <f>+Aux!$C$168</f>
        <v>Trab.dos serv.pessoais, de prot.e segur.e vendedores</v>
      </c>
      <c r="C273" s="470">
        <f>+'q28'!$C$29</f>
        <v>643.22</v>
      </c>
      <c r="D273" s="470">
        <f>+'q28'!$D$29</f>
        <v>648.69000000000005</v>
      </c>
      <c r="E273" s="470">
        <f>+'q28'!$E$29</f>
        <v>661.51</v>
      </c>
      <c r="F273" s="470">
        <f>+'q28'!$F$29</f>
        <v>679.44</v>
      </c>
      <c r="G273" s="470">
        <f>+'q28'!$G$29</f>
        <v>701.85</v>
      </c>
      <c r="H273" s="470">
        <f>+'q28'!$H$29</f>
        <v>730.64</v>
      </c>
      <c r="I273" s="470">
        <f>+'q28'!$I$29</f>
        <v>754.92</v>
      </c>
      <c r="J273" s="470">
        <f>+'q28'!$J$29</f>
        <v>784.92</v>
      </c>
      <c r="K273" s="470">
        <f>+'q28'!$K$29</f>
        <v>833.64</v>
      </c>
      <c r="L273" s="470">
        <f>+'q28'!$L$29</f>
        <v>897.05</v>
      </c>
      <c r="M273" s="470">
        <f>+'q28'!$M$29</f>
        <v>964.25</v>
      </c>
      <c r="S273" s="453" t="s">
        <v>699</v>
      </c>
      <c r="T273" s="453" t="str">
        <f>+VLOOKUP(Y266,Aux!$C$164:$D$173,COLUMN(Aux!$C$163)-1,0)</f>
        <v>Trabalhadores dos serviços pessoais, de protecção e segurança e vendedores</v>
      </c>
      <c r="U273" s="453" t="s">
        <v>464</v>
      </c>
      <c r="V273" s="473" t="str">
        <f>TEXT(X266,"##.###,0%")</f>
        <v>20,9%</v>
      </c>
      <c r="W273" s="453" t="s">
        <v>684</v>
      </c>
      <c r="Z273" s="453" t="s">
        <v>705</v>
      </c>
      <c r="AA273" s="453">
        <f>+LARGE($W$254:$W$263,1)</f>
        <v>18.2</v>
      </c>
      <c r="AB273" s="453" t="str">
        <f>+VLOOKUP(AA273,$W$254:$Z$263,COLUMN($W$265)-19,0)</f>
        <v>Trabalhadores sem profissão atribuida</v>
      </c>
    </row>
    <row r="274" spans="1:30">
      <c r="B274" s="453" t="str">
        <f>+Aux!$C$169</f>
        <v>Agric.e trab.qualif.da agric.,da pesca e da floresta</v>
      </c>
      <c r="C274" s="470">
        <f>+'q28'!$C$34</f>
        <v>647.64</v>
      </c>
      <c r="D274" s="470">
        <f>+'q28'!$D$34</f>
        <v>673.53</v>
      </c>
      <c r="E274" s="470">
        <f>+'q28'!$E$34</f>
        <v>705.23</v>
      </c>
      <c r="F274" s="470">
        <f>+'q28'!$F$34</f>
        <v>701.39</v>
      </c>
      <c r="G274" s="470">
        <f>+'q28'!$G$34</f>
        <v>745.46</v>
      </c>
      <c r="H274" s="470">
        <f>+'q28'!$H$34</f>
        <v>800.65</v>
      </c>
      <c r="I274" s="470">
        <f>+'q28'!$I$34</f>
        <v>772.79</v>
      </c>
      <c r="J274" s="470">
        <f>+'q28'!$J$34</f>
        <v>823.03</v>
      </c>
      <c r="K274" s="470">
        <f>+'q28'!$K$34</f>
        <v>868.03</v>
      </c>
      <c r="L274" s="470">
        <f>+'q28'!$L$34</f>
        <v>921.84</v>
      </c>
      <c r="M274" s="470">
        <f>+'q28'!$M$34</f>
        <v>1015.15</v>
      </c>
      <c r="T274" s="453" t="s">
        <v>443</v>
      </c>
      <c r="X274" s="473" t="str">
        <f>TEXT(X272,"##.###,0%")</f>
        <v>49,0%</v>
      </c>
    </row>
    <row r="275" spans="1:30">
      <c r="B275" s="453" t="str">
        <f>+Aux!$C$170</f>
        <v>Trab.qualif.da ind.,constr.e artific.</v>
      </c>
      <c r="C275" s="470">
        <f>+'q28'!$C$37</f>
        <v>693.11</v>
      </c>
      <c r="D275" s="470">
        <f>+'q28'!$D$37</f>
        <v>699.07</v>
      </c>
      <c r="E275" s="470">
        <f>+'q28'!$E$37</f>
        <v>710.79</v>
      </c>
      <c r="F275" s="470">
        <f>+'q28'!$F$37</f>
        <v>729.98</v>
      </c>
      <c r="G275" s="470">
        <f>+'q28'!$G$37</f>
        <v>756.88</v>
      </c>
      <c r="H275" s="470">
        <f>+'q28'!$H$37</f>
        <v>782.92</v>
      </c>
      <c r="I275" s="470">
        <f>+'q28'!$I$37</f>
        <v>806.16</v>
      </c>
      <c r="J275" s="470">
        <f>+'q28'!$J$37</f>
        <v>840.13</v>
      </c>
      <c r="K275" s="470">
        <f>+'q28'!$K$37</f>
        <v>887.58</v>
      </c>
      <c r="L275" s="470">
        <f>+'q28'!$L$37</f>
        <v>951.56</v>
      </c>
      <c r="M275" s="470">
        <f>+'q28'!$M$37</f>
        <v>1018.26</v>
      </c>
      <c r="T275" s="453" t="str">
        <f>+VLOOKUP(Y267,Aux!$C$164:$D$173,COLUMN(Aux!$C$163)-1,0)</f>
        <v xml:space="preserve">Trabalhadores não qualificados </v>
      </c>
      <c r="U275" s="453" t="s">
        <v>464</v>
      </c>
      <c r="V275" s="473" t="str">
        <f>TEXT(X267,"##.###,0%")</f>
        <v>14,5%</v>
      </c>
      <c r="W275" s="453" t="s">
        <v>397</v>
      </c>
    </row>
    <row r="276" spans="1:30">
      <c r="B276" s="453" t="str">
        <f>+Aux!$C$171</f>
        <v>Oper.de inst.e máq.e trab.mont.</v>
      </c>
      <c r="C276" s="470">
        <f>+'q28'!$C$43</f>
        <v>652.71</v>
      </c>
      <c r="D276" s="470">
        <f>+'q28'!$D$43</f>
        <v>659.28</v>
      </c>
      <c r="E276" s="470">
        <f>+'q28'!$E$43</f>
        <v>670.89</v>
      </c>
      <c r="F276" s="470">
        <f>+'q28'!$F$43</f>
        <v>689.84</v>
      </c>
      <c r="G276" s="470">
        <f>+'q28'!$G$43</f>
        <v>719.5</v>
      </c>
      <c r="H276" s="470">
        <f>+'q28'!$H$43</f>
        <v>749.68</v>
      </c>
      <c r="I276" s="470">
        <f>+'q28'!$I$43</f>
        <v>787.59</v>
      </c>
      <c r="J276" s="470">
        <f>+'q28'!$J$43</f>
        <v>816.4</v>
      </c>
      <c r="K276" s="470">
        <f>+'q28'!$K$43</f>
        <v>866.48</v>
      </c>
      <c r="L276" s="470">
        <f>+'q28'!$L$43</f>
        <v>925.47</v>
      </c>
      <c r="M276" s="470">
        <f>+'q28'!$M$43</f>
        <v>1002.33</v>
      </c>
    </row>
    <row r="277" spans="1:30">
      <c r="B277" s="453" t="str">
        <f>+Aux!$C$172</f>
        <v>Trabalhadores não qualificados</v>
      </c>
      <c r="C277" s="470">
        <f>+'q28'!$C$47</f>
        <v>575.77</v>
      </c>
      <c r="D277" s="470">
        <f>+'q28'!$D$47</f>
        <v>583.21</v>
      </c>
      <c r="E277" s="470">
        <f>+'q28'!$E$47</f>
        <v>602.21</v>
      </c>
      <c r="F277" s="470">
        <f>+'q28'!$F$47</f>
        <v>628.91999999999996</v>
      </c>
      <c r="G277" s="470">
        <f>+'q28'!$G$47</f>
        <v>660.17</v>
      </c>
      <c r="H277" s="470">
        <f>+'q28'!$H$47</f>
        <v>687.66</v>
      </c>
      <c r="I277" s="470">
        <f>+'q28'!$I$47</f>
        <v>719.43</v>
      </c>
      <c r="J277" s="470">
        <f>+'q28'!$J$47</f>
        <v>758.99</v>
      </c>
      <c r="K277" s="470">
        <f>+'q28'!$K$47</f>
        <v>801.61</v>
      </c>
      <c r="L277" s="470">
        <f>+'q28'!$L$47</f>
        <v>853.75</v>
      </c>
      <c r="M277" s="470">
        <f>+'q28'!$M$47</f>
        <v>894.26</v>
      </c>
    </row>
    <row r="278" spans="1:30">
      <c r="B278" s="453" t="str">
        <f>+Aux!$C$173</f>
        <v>Trabalhadores sem profissão atribuida</v>
      </c>
      <c r="C278" s="470">
        <f>+'q28'!$C$54</f>
        <v>1665.15</v>
      </c>
      <c r="D278" s="470">
        <f>+'q28'!$D$54</f>
        <v>1962.04</v>
      </c>
      <c r="E278" s="470">
        <f>+'q28'!$E$54</f>
        <v>1816.54</v>
      </c>
      <c r="F278" s="470">
        <f>+'q28'!$F$54</f>
        <v>1986.74</v>
      </c>
      <c r="G278" s="470">
        <f>+'q28'!$G$54</f>
        <v>1694.97</v>
      </c>
      <c r="H278" s="470">
        <f>+'q28'!$H$54</f>
        <v>1909.38</v>
      </c>
      <c r="I278" s="470">
        <f>+'q28'!$I$54</f>
        <v>2041.63</v>
      </c>
      <c r="J278" s="470">
        <f>+'q28'!$J$54</f>
        <v>2131.42</v>
      </c>
      <c r="K278" s="470">
        <f>+'q28'!$K$54</f>
        <v>2254.4699999999998</v>
      </c>
      <c r="L278" s="470">
        <f>+'q28'!$L$54</f>
        <v>2853.07</v>
      </c>
      <c r="M278" s="470">
        <f>+'q28'!$M$54</f>
        <v>3106.87</v>
      </c>
      <c r="S278" s="453" t="str">
        <f>+CONCATENATE($S$271,$T$271,CHAR(10),$S$272,$S$273,$T$272,$T$273,$T$272,$U$273,$V$273,$W$273,$T$274,$T$272,$T$275,$T$272,$U$275,$V$275,$W$275)</f>
        <v>2024:
35,4% dos TCO eram "Trabalhadores dos serviços pessoais, de protecção e segurança e vendedores" (20,9%) e "Trabalhadores não qualificados " (14,5%).</v>
      </c>
    </row>
    <row r="279" spans="1:30">
      <c r="B279" s="453" t="s">
        <v>11</v>
      </c>
      <c r="C279" s="470">
        <f>+'q28'!$C$5</f>
        <v>909.49</v>
      </c>
      <c r="D279" s="470">
        <f>+'q28'!$D$5</f>
        <v>913.93</v>
      </c>
      <c r="E279" s="470">
        <f>+'q28'!$E$5</f>
        <v>924.94</v>
      </c>
      <c r="F279" s="470">
        <f>+'q28'!$F$5</f>
        <v>943</v>
      </c>
      <c r="G279" s="470">
        <f>+'q28'!$G$5</f>
        <v>970.42</v>
      </c>
      <c r="H279" s="470">
        <f>+'q28'!$H$5</f>
        <v>1005.09</v>
      </c>
      <c r="I279" s="470">
        <f>+'q28'!$I$5</f>
        <v>1041.99</v>
      </c>
      <c r="J279" s="470">
        <f>+'q28'!$J$5</f>
        <v>1082.77</v>
      </c>
      <c r="K279" s="470">
        <f>+'q28'!$K$5</f>
        <v>1143.45</v>
      </c>
      <c r="L279" s="470">
        <f>+'q28'!$L$5</f>
        <v>1219.8699999999999</v>
      </c>
      <c r="M279" s="470">
        <f>+'q28'!$M$5</f>
        <v>1308.96</v>
      </c>
    </row>
    <row r="281" spans="1:30">
      <c r="Z281" s="963" t="str">
        <f>+CONCATENATE($S$271,$T$271,CHAR(10),$X$274,$S$273,$T$272,$T$273,$T$272,$U$273,$V$273,$W$273,", ",$T$272,$T$275,$T$272,T274,T272,Y271,T272,$U$275,"ambos com ",$V$275,$W$275)</f>
        <v>2024:
49,0% dos TCO eram "Trabalhadores dos serviços pessoais, de protecção e segurança e vendedores" (20,9%), "Trabalhadores não qualificados " e "Trab.qualif.da ind.,constr.e artific." (ambos com 14,5%).</v>
      </c>
      <c r="AA281" s="963"/>
      <c r="AB281" s="963"/>
      <c r="AC281" s="963"/>
      <c r="AD281" s="963"/>
    </row>
    <row r="282" spans="1:30">
      <c r="A282" s="423" t="s">
        <v>682</v>
      </c>
      <c r="C282" s="423">
        <f>+'q29'!$C$4</f>
        <v>2014</v>
      </c>
      <c r="D282" s="423">
        <f>+'q29'!$D$4</f>
        <v>2015</v>
      </c>
      <c r="E282" s="423">
        <f>+'q29'!$E$4</f>
        <v>2016</v>
      </c>
      <c r="F282" s="423">
        <f>+'q29'!$F$4</f>
        <v>2017</v>
      </c>
      <c r="G282" s="423">
        <f>+'q29'!$G$4</f>
        <v>2018</v>
      </c>
      <c r="H282" s="423">
        <f>+'q29'!$H$4</f>
        <v>2019</v>
      </c>
      <c r="I282" s="423">
        <f>+'q29'!$I$4</f>
        <v>2020</v>
      </c>
      <c r="J282" s="423">
        <f>+'q29'!$J$4</f>
        <v>2021</v>
      </c>
      <c r="K282" s="423">
        <f>+'q29'!$K$4</f>
        <v>2022</v>
      </c>
      <c r="L282" s="423">
        <f>+'q29'!$L$4</f>
        <v>2023</v>
      </c>
      <c r="M282" s="423">
        <f>+'q29'!$M$4</f>
        <v>2024</v>
      </c>
      <c r="Z282" s="963"/>
      <c r="AA282" s="963"/>
      <c r="AB282" s="963"/>
      <c r="AC282" s="963"/>
      <c r="AD282" s="963"/>
    </row>
    <row r="283" spans="1:30">
      <c r="A283" s="454" t="s">
        <v>268</v>
      </c>
      <c r="B283" s="453" t="str">
        <f>+Aux!$C$164</f>
        <v>Repres. poder leg. e de órgãos exec., dirig., diret. e gestores executivos</v>
      </c>
      <c r="C283" s="470">
        <f>+'q29'!$C$6</f>
        <v>12.03</v>
      </c>
      <c r="D283" s="470">
        <f>+'q29'!$D$6</f>
        <v>12.14</v>
      </c>
      <c r="E283" s="470">
        <f>+'q29'!$E$6</f>
        <v>12.33</v>
      </c>
      <c r="F283" s="470">
        <f>+'q29'!$F$6</f>
        <v>12.52</v>
      </c>
      <c r="G283" s="470">
        <f>+'q29'!$G$6</f>
        <v>12.82</v>
      </c>
      <c r="H283" s="470">
        <f>+'q29'!$H$6</f>
        <v>13.15</v>
      </c>
      <c r="I283" s="470">
        <f>+'q29'!$I$6</f>
        <v>13.57</v>
      </c>
      <c r="J283" s="470">
        <f>+'q29'!$J$6</f>
        <v>14</v>
      </c>
      <c r="K283" s="470">
        <f>+'q29'!$K$6</f>
        <v>14.63</v>
      </c>
      <c r="L283" s="470">
        <f>+'q29'!$L$6</f>
        <v>15.43</v>
      </c>
      <c r="M283" s="470">
        <f>+'q29'!$M$6</f>
        <v>16.54</v>
      </c>
      <c r="Z283" s="963"/>
      <c r="AA283" s="963"/>
      <c r="AB283" s="963"/>
      <c r="AC283" s="963"/>
      <c r="AD283" s="963"/>
    </row>
    <row r="284" spans="1:30">
      <c r="A284" s="454" t="s">
        <v>681</v>
      </c>
      <c r="B284" s="453" t="str">
        <f>+Aux!$C$165</f>
        <v>Especial.das ativ.intelet.e cientif.</v>
      </c>
      <c r="C284" s="470">
        <f>+'q29'!$C$11</f>
        <v>9.26</v>
      </c>
      <c r="D284" s="470">
        <f>+'q29'!$D$11</f>
        <v>9.2200000000000006</v>
      </c>
      <c r="E284" s="470">
        <f>+'q29'!$E$11</f>
        <v>9.3000000000000007</v>
      </c>
      <c r="F284" s="470">
        <f>+'q29'!$F$11</f>
        <v>9.34</v>
      </c>
      <c r="G284" s="470">
        <f>+'q29'!$G$11</f>
        <v>9.5</v>
      </c>
      <c r="H284" s="470">
        <f>+'q29'!$H$11</f>
        <v>9.69</v>
      </c>
      <c r="I284" s="470">
        <f>+'q29'!$I$11</f>
        <v>9.9</v>
      </c>
      <c r="J284" s="470">
        <f>+'q29'!$J$11</f>
        <v>10.210000000000001</v>
      </c>
      <c r="K284" s="470">
        <f>+'q29'!$K$11</f>
        <v>10.7</v>
      </c>
      <c r="L284" s="470">
        <f>+'q29'!$L$11</f>
        <v>11.33</v>
      </c>
      <c r="M284" s="470">
        <f>+'q29'!$M$11</f>
        <v>12.04</v>
      </c>
      <c r="Z284" s="963"/>
      <c r="AA284" s="963"/>
      <c r="AB284" s="963"/>
      <c r="AC284" s="963"/>
      <c r="AD284" s="963"/>
    </row>
    <row r="285" spans="1:30">
      <c r="B285" s="453" t="str">
        <f>+Aux!$C$166</f>
        <v>Técn. e prof. de nível intermédio</v>
      </c>
      <c r="C285" s="470">
        <f>+'q29'!$C$18</f>
        <v>6.96</v>
      </c>
      <c r="D285" s="470">
        <f>+'q29'!$D$18</f>
        <v>7.07</v>
      </c>
      <c r="E285" s="470">
        <f>+'q29'!$E$18</f>
        <v>7.12</v>
      </c>
      <c r="F285" s="470">
        <f>+'q29'!$F$18</f>
        <v>7.21</v>
      </c>
      <c r="G285" s="470">
        <f>+'q29'!$G$18</f>
        <v>7.34</v>
      </c>
      <c r="H285" s="470">
        <f>+'q29'!$H$18</f>
        <v>7.52</v>
      </c>
      <c r="I285" s="470">
        <f>+'q29'!$I$18</f>
        <v>7.69</v>
      </c>
      <c r="J285" s="470">
        <f>+'q29'!$J$18</f>
        <v>7.78</v>
      </c>
      <c r="K285" s="470">
        <f>+'q29'!$K$18</f>
        <v>8.17</v>
      </c>
      <c r="L285" s="470">
        <f>+'q29'!$L$18</f>
        <v>8.6999999999999993</v>
      </c>
      <c r="M285" s="470">
        <f>+'q29'!$M$18</f>
        <v>9.17</v>
      </c>
      <c r="AB285" s="453" t="s">
        <v>894</v>
      </c>
    </row>
    <row r="286" spans="1:30">
      <c r="B286" s="453" t="str">
        <f>+Aux!$C$167</f>
        <v>Pessoal administrativo</v>
      </c>
      <c r="C286" s="470">
        <f>+'q29'!$C$24</f>
        <v>4.9400000000000004</v>
      </c>
      <c r="D286" s="470">
        <f>+'q29'!$D$24</f>
        <v>4.92</v>
      </c>
      <c r="E286" s="470">
        <f>+'q29'!$E$24</f>
        <v>4.95</v>
      </c>
      <c r="F286" s="470">
        <f>+'q29'!$F$24</f>
        <v>5.03</v>
      </c>
      <c r="G286" s="470">
        <f>+'q29'!$G$24</f>
        <v>5.14</v>
      </c>
      <c r="H286" s="470">
        <f>+'q29'!$H$24</f>
        <v>5.26</v>
      </c>
      <c r="I286" s="470">
        <f>+'q29'!$I$24</f>
        <v>5.45</v>
      </c>
      <c r="J286" s="470">
        <f>+'q29'!$J$24</f>
        <v>5.61</v>
      </c>
      <c r="K286" s="470">
        <f>+'q29'!$K$24</f>
        <v>5.81</v>
      </c>
      <c r="L286" s="470">
        <f>+'q29'!$L$24</f>
        <v>6.18</v>
      </c>
      <c r="M286" s="470">
        <f>+'q29'!$M$24</f>
        <v>6.56</v>
      </c>
    </row>
    <row r="287" spans="1:30">
      <c r="B287" s="453" t="str">
        <f>+Aux!$C$168</f>
        <v>Trab.dos serv.pessoais, de prot.e segur.e vendedores</v>
      </c>
      <c r="C287" s="470">
        <f>+'q29'!$C$29</f>
        <v>3.7</v>
      </c>
      <c r="D287" s="470">
        <f>+'q29'!$D$29</f>
        <v>3.73</v>
      </c>
      <c r="E287" s="470">
        <f>+'q29'!$E$29</f>
        <v>3.81</v>
      </c>
      <c r="F287" s="470">
        <f>+'q29'!$F$29</f>
        <v>3.91</v>
      </c>
      <c r="G287" s="470">
        <f>+'q29'!$G$29</f>
        <v>4.04</v>
      </c>
      <c r="H287" s="470">
        <f>+'q29'!$H$29</f>
        <v>4.21</v>
      </c>
      <c r="I287" s="470">
        <f>+'q29'!$I$29</f>
        <v>4.3899999999999997</v>
      </c>
      <c r="J287" s="470">
        <f>+'q29'!$J$29</f>
        <v>4.54</v>
      </c>
      <c r="K287" s="470">
        <f>+'q29'!$K$29</f>
        <v>4.8099999999999996</v>
      </c>
      <c r="L287" s="470">
        <f>+'q29'!$L$29</f>
        <v>5.18</v>
      </c>
      <c r="M287" s="470">
        <f>+'q29'!$M$29</f>
        <v>5.57</v>
      </c>
      <c r="S287" s="423" t="s">
        <v>697</v>
      </c>
      <c r="Y287" s="423" t="s">
        <v>702</v>
      </c>
    </row>
    <row r="288" spans="1:30">
      <c r="B288" s="453" t="str">
        <f>+Aux!$C$169</f>
        <v>Agric.e trab.qualif.da agric.,da pesca e da floresta</v>
      </c>
      <c r="C288" s="470">
        <f>+'q29'!$C$34</f>
        <v>3.53</v>
      </c>
      <c r="D288" s="470">
        <f>+'q29'!$D$34</f>
        <v>3.64</v>
      </c>
      <c r="E288" s="470">
        <f>+'q29'!$E$34</f>
        <v>3.81</v>
      </c>
      <c r="F288" s="470">
        <f>+'q29'!$F$34</f>
        <v>3.85</v>
      </c>
      <c r="G288" s="470">
        <f>+'q29'!$G$34</f>
        <v>4.04</v>
      </c>
      <c r="H288" s="470">
        <f>+'q29'!$H$34</f>
        <v>4.24</v>
      </c>
      <c r="I288" s="470">
        <f>+'q29'!$I$34</f>
        <v>4.21</v>
      </c>
      <c r="J288" s="470">
        <f>+'q29'!$J$34</f>
        <v>4.41</v>
      </c>
      <c r="K288" s="470">
        <f>+'q29'!$K$34</f>
        <v>4.6900000000000004</v>
      </c>
      <c r="L288" s="470">
        <f>+'q29'!$L$34</f>
        <v>5</v>
      </c>
      <c r="M288" s="470">
        <f>+'q29'!$M$34</f>
        <v>5.48</v>
      </c>
      <c r="S288" s="453">
        <f>+$R$252</f>
        <v>2024</v>
      </c>
      <c r="T288" s="453" t="s">
        <v>693</v>
      </c>
      <c r="Y288" s="453">
        <f>+$R$252</f>
        <v>2024</v>
      </c>
      <c r="Z288" s="453" t="s">
        <v>693</v>
      </c>
    </row>
    <row r="289" spans="1:29">
      <c r="B289" s="453" t="str">
        <f>+Aux!$C$170</f>
        <v>Trab.qualif.da ind.,constr.e artific.</v>
      </c>
      <c r="C289" s="470">
        <f>+'q29'!$C$37</f>
        <v>3.95</v>
      </c>
      <c r="D289" s="470">
        <f>+'q29'!$D$37</f>
        <v>3.99</v>
      </c>
      <c r="E289" s="470">
        <f>+'q29'!$E$37</f>
        <v>4.0599999999999996</v>
      </c>
      <c r="F289" s="470">
        <f>+'q29'!$F$37</f>
        <v>4.16</v>
      </c>
      <c r="G289" s="470">
        <f>+'q29'!$G$37</f>
        <v>4.3099999999999996</v>
      </c>
      <c r="H289" s="470">
        <f>+'q29'!$H$37</f>
        <v>4.46</v>
      </c>
      <c r="I289" s="470">
        <f>+'q29'!$I$37</f>
        <v>4.62</v>
      </c>
      <c r="J289" s="470">
        <f>+'q29'!$J$37</f>
        <v>4.8099999999999996</v>
      </c>
      <c r="K289" s="470">
        <f>+'q29'!$K$37</f>
        <v>5.0599999999999996</v>
      </c>
      <c r="L289" s="470">
        <f>+'q29'!$L$37</f>
        <v>5.41</v>
      </c>
      <c r="M289" s="470">
        <f>+'q29'!$M$37</f>
        <v>5.8</v>
      </c>
      <c r="S289" s="453" t="s">
        <v>700</v>
      </c>
      <c r="Y289" s="453" t="s">
        <v>703</v>
      </c>
      <c r="Z289" s="453" t="str">
        <f>+TEXT($W$264,"##.###,00 €")</f>
        <v>7,38 €</v>
      </c>
      <c r="AA289" s="453" t="s">
        <v>706</v>
      </c>
    </row>
    <row r="290" spans="1:29">
      <c r="B290" s="453" t="str">
        <f>+Aux!$C$171</f>
        <v>Oper.de inst.e máq.e trab.mont.</v>
      </c>
      <c r="C290" s="470">
        <f>+'q29'!$C$43</f>
        <v>3.74</v>
      </c>
      <c r="D290" s="470">
        <f>+'q29'!$D$43</f>
        <v>3.77</v>
      </c>
      <c r="E290" s="470">
        <f>+'q29'!$E$43</f>
        <v>3.84</v>
      </c>
      <c r="F290" s="470">
        <f>+'q29'!$F$43</f>
        <v>3.95</v>
      </c>
      <c r="G290" s="470">
        <f>+'q29'!$G$43</f>
        <v>4.1100000000000003</v>
      </c>
      <c r="H290" s="470">
        <f>+'q29'!$H$43</f>
        <v>4.28</v>
      </c>
      <c r="I290" s="470">
        <f>+'q29'!$I$43</f>
        <v>4.5</v>
      </c>
      <c r="J290" s="470">
        <f>+'q29'!$J$43</f>
        <v>4.67</v>
      </c>
      <c r="K290" s="470">
        <f>+'q29'!$K$43</f>
        <v>4.95</v>
      </c>
      <c r="L290" s="470">
        <f>+'q29'!$L$43</f>
        <v>5.33</v>
      </c>
      <c r="M290" s="470">
        <f>+'q29'!$M$43</f>
        <v>5.72</v>
      </c>
      <c r="S290" s="483" t="str">
        <f>TEXT($Y$264,"##.###,0%")</f>
        <v>82,7%</v>
      </c>
      <c r="T290" s="453" t="s">
        <v>694</v>
      </c>
      <c r="U290" s="453" t="str">
        <f>+TEXT($AA$266,"##.### €")</f>
        <v>894 €</v>
      </c>
      <c r="V290" s="453" t="s">
        <v>464</v>
      </c>
      <c r="W290" s="453" t="str">
        <f>+$AB$266</f>
        <v>Trabalhadores não qualificados</v>
      </c>
      <c r="X290" s="453" t="s">
        <v>418</v>
      </c>
      <c r="Z290" s="453" t="str">
        <f>+TEXT($AA$272,"##.###,00 €")</f>
        <v>5,12 €</v>
      </c>
      <c r="AA290" s="453" t="s">
        <v>464</v>
      </c>
      <c r="AB290" s="453" t="str">
        <f>+VLOOKUP(AB272,Aux!$C$164:$D$173,COLUMN(Aux!$C$163)-1,0)</f>
        <v xml:space="preserve">Trabalhadores não qualificados </v>
      </c>
      <c r="AC290" s="453" t="s">
        <v>418</v>
      </c>
    </row>
    <row r="291" spans="1:29">
      <c r="B291" s="453" t="str">
        <f>+Aux!$C$172</f>
        <v>Trabalhadores não qualificados</v>
      </c>
      <c r="C291" s="470">
        <f>+'q29'!$C$47</f>
        <v>3.3</v>
      </c>
      <c r="D291" s="470">
        <f>+'q29'!$D$47</f>
        <v>3.34</v>
      </c>
      <c r="E291" s="470">
        <f>+'q29'!$E$47</f>
        <v>3.45</v>
      </c>
      <c r="F291" s="470">
        <f>+'q29'!$F$47</f>
        <v>3.59</v>
      </c>
      <c r="G291" s="470">
        <f>+'q29'!$G$47</f>
        <v>3.76</v>
      </c>
      <c r="H291" s="470">
        <f>+'q29'!$H$47</f>
        <v>3.92</v>
      </c>
      <c r="I291" s="470">
        <f>+'q29'!$I$47</f>
        <v>4.1100000000000003</v>
      </c>
      <c r="J291" s="470">
        <f>+'q29'!$J$47</f>
        <v>4.32</v>
      </c>
      <c r="K291" s="470">
        <f>+'q29'!$K$47</f>
        <v>4.5599999999999996</v>
      </c>
      <c r="L291" s="470">
        <f>+'q29'!$L$47</f>
        <v>4.8600000000000003</v>
      </c>
      <c r="M291" s="470">
        <f>+'q29'!$M$47</f>
        <v>5.12</v>
      </c>
      <c r="U291" s="453" t="str">
        <f>+TEXT($AA$267,"##.### €")</f>
        <v>3.107 €</v>
      </c>
      <c r="V291" s="453" t="s">
        <v>464</v>
      </c>
      <c r="W291" s="453" t="str">
        <f>+$AB$267</f>
        <v>Trabalhadores sem profissão atribuida</v>
      </c>
      <c r="X291" s="453" t="s">
        <v>397</v>
      </c>
      <c r="Z291" s="453" t="str">
        <f>+TEXT($AA$273,"##.###,00 €")</f>
        <v>18,20 €</v>
      </c>
      <c r="AA291" s="453" t="s">
        <v>464</v>
      </c>
      <c r="AB291" s="453" t="str">
        <f>+VLOOKUP(AB273,Aux!$C$164:$D$173,COLUMN(Aux!$C$163)-1,0)</f>
        <v>Trabalhadores sem profissão atribuida</v>
      </c>
      <c r="AC291" s="453" t="s">
        <v>397</v>
      </c>
    </row>
    <row r="292" spans="1:29">
      <c r="B292" s="453" t="str">
        <f>+Aux!$C$173</f>
        <v>Trabalhadores sem profissão atribuida</v>
      </c>
      <c r="C292" s="470">
        <f>+'q29'!$C$54</f>
        <v>9.48</v>
      </c>
      <c r="D292" s="470">
        <f>+'q29'!$D$54</f>
        <v>11.05</v>
      </c>
      <c r="E292" s="470">
        <f>+'q29'!$E$54</f>
        <v>10.43</v>
      </c>
      <c r="F292" s="470">
        <f>+'q29'!$F$54</f>
        <v>11.29</v>
      </c>
      <c r="G292" s="470">
        <f>+'q29'!$G$54</f>
        <v>9.69</v>
      </c>
      <c r="H292" s="470">
        <f>+'q29'!$H$54</f>
        <v>11.13</v>
      </c>
      <c r="I292" s="470">
        <f>+'q29'!$I$54</f>
        <v>12</v>
      </c>
      <c r="J292" s="470">
        <f>+'q29'!$J$54</f>
        <v>12.53</v>
      </c>
      <c r="K292" s="470">
        <f>+'q29'!$K$54</f>
        <v>13.29</v>
      </c>
      <c r="L292" s="470">
        <f>+'q29'!$L$54</f>
        <v>16.690000000000001</v>
      </c>
      <c r="M292" s="470">
        <f>+'q29'!$M$54</f>
        <v>18.2</v>
      </c>
      <c r="S292" s="453" t="s">
        <v>695</v>
      </c>
      <c r="T292" s="453" t="s">
        <v>696</v>
      </c>
      <c r="U292" s="453" t="str">
        <f>+TEXT($AA$269,"##.### €")</f>
        <v>1.058 €</v>
      </c>
      <c r="V292" s="453" t="s">
        <v>443</v>
      </c>
      <c r="W292" s="453" t="str">
        <f>+TEXT($AA$270,"##.### €")</f>
        <v>3.505 €</v>
      </c>
    </row>
    <row r="293" spans="1:29">
      <c r="B293" s="453" t="s">
        <v>11</v>
      </c>
      <c r="C293" s="470">
        <f>+'q29'!$C$5</f>
        <v>5.16</v>
      </c>
      <c r="D293" s="470">
        <f>+'q29'!$D$5</f>
        <v>5.18</v>
      </c>
      <c r="E293" s="470">
        <f>+'q29'!$E$5</f>
        <v>5.24</v>
      </c>
      <c r="F293" s="470">
        <f>+'q29'!$F$5</f>
        <v>5.34</v>
      </c>
      <c r="G293" s="470">
        <f>+'q29'!$G$5</f>
        <v>5.49</v>
      </c>
      <c r="H293" s="470">
        <f>+'q29'!$H$5</f>
        <v>5.68</v>
      </c>
      <c r="I293" s="470">
        <f>+'q29'!$I$5</f>
        <v>5.92</v>
      </c>
      <c r="J293" s="470">
        <f>+'q29'!$J$5</f>
        <v>6.13</v>
      </c>
      <c r="K293" s="470">
        <f>+'q29'!$K$5</f>
        <v>6.45</v>
      </c>
      <c r="L293" s="470">
        <f>+'q29'!$L$5</f>
        <v>6.88</v>
      </c>
      <c r="M293" s="470">
        <f>+'q29'!$M$5</f>
        <v>7.38</v>
      </c>
      <c r="S293" s="453" t="s">
        <v>698</v>
      </c>
    </row>
    <row r="296" spans="1:29">
      <c r="A296" s="423" t="s">
        <v>917</v>
      </c>
      <c r="S296" s="453" t="str">
        <f>+CONCATENATE(S288,T288,CHAR(10),S289,S290,T290,U290,V290,W290,X290,U291,V291,W291,X291:X291,CHAR(10),S292,T292,U292,V292,W292,S293)</f>
        <v>2024 - Continente:
Base média: 82,7% do Ganho, entre 894 € (Trabalhadores não qualificados) e 3.107 € (Trabalhadores sem profissão atribuida).
Ganho médio: Entre 1.058 € e 3.505 € nas mesmas profissões, respetivamente.</v>
      </c>
      <c r="Z296" s="453" t="str">
        <f>+CONCATENATE(Y288,Z288,CHAR(10),Y289,Z289,AA289,Z290,AA290,AB290,AC290,Z291,AA291,AB291,AC291)</f>
        <v>2024 - Continente:
Base horária média: 7,38 € a variar entre 5,12 € (Trabalhadores não qualificados ) e 18,20 € (Trabalhadores sem profissão atribuida).</v>
      </c>
    </row>
    <row r="297" spans="1:29">
      <c r="A297" s="454" t="s">
        <v>269</v>
      </c>
      <c r="C297" s="423">
        <f>+'q40'!$C$4</f>
        <v>2014</v>
      </c>
      <c r="D297" s="423">
        <f>+'q40'!$D$4</f>
        <v>2015</v>
      </c>
      <c r="E297" s="423">
        <f>+'q40'!$E$4</f>
        <v>2016</v>
      </c>
      <c r="F297" s="423">
        <f>+'q40'!$F$4</f>
        <v>2017</v>
      </c>
      <c r="G297" s="423">
        <f>+'q40'!$G$4</f>
        <v>2018</v>
      </c>
      <c r="H297" s="423">
        <f>+'q40'!$H$4</f>
        <v>2019</v>
      </c>
      <c r="I297" s="423">
        <f>+'q40'!$I$4</f>
        <v>2020</v>
      </c>
      <c r="J297" s="423">
        <f>+'q40'!$J$4</f>
        <v>2021</v>
      </c>
      <c r="K297" s="423">
        <f>+'q40'!$K$4</f>
        <v>2022</v>
      </c>
      <c r="L297" s="423">
        <f>+'q40'!$L$4</f>
        <v>2023</v>
      </c>
      <c r="M297" s="423">
        <f>+'q40'!$M$4</f>
        <v>2024</v>
      </c>
    </row>
    <row r="298" spans="1:29">
      <c r="A298" s="454" t="s">
        <v>680</v>
      </c>
      <c r="B298" s="453" t="str">
        <f>+Aux!$C$164</f>
        <v>Repres. poder leg. e de órgãos exec., dirig., diret. e gestores executivos</v>
      </c>
      <c r="C298" s="470">
        <f>+'q40'!$C$6</f>
        <v>2418.46</v>
      </c>
      <c r="D298" s="470">
        <f>+'q40'!$D$6</f>
        <v>2441.31</v>
      </c>
      <c r="E298" s="470">
        <f>+'q40'!$E$6</f>
        <v>2466.96</v>
      </c>
      <c r="F298" s="470">
        <f>+'q40'!$F$6</f>
        <v>2498.7199999999998</v>
      </c>
      <c r="G298" s="470">
        <f>+'q40'!$G$6</f>
        <v>2561.62</v>
      </c>
      <c r="H298" s="470">
        <f>+'q40'!$H$6</f>
        <v>2612.42</v>
      </c>
      <c r="I298" s="470">
        <f>+'q40'!$I$6</f>
        <v>2704.83</v>
      </c>
      <c r="J298" s="470">
        <f>+'q40'!$J$6</f>
        <v>2777.23</v>
      </c>
      <c r="K298" s="470">
        <f>+'q40'!$K$6</f>
        <v>2899.85</v>
      </c>
      <c r="L298" s="470">
        <f>+'q40'!$L$6</f>
        <v>3072.68</v>
      </c>
      <c r="M298" s="470">
        <f>+'q40'!$M$6</f>
        <v>3295.85</v>
      </c>
    </row>
    <row r="299" spans="1:29">
      <c r="B299" s="453" t="str">
        <f>+Aux!$C$165</f>
        <v>Especial.das ativ.intelet.e cientif.</v>
      </c>
      <c r="C299" s="470">
        <f>+'q40'!$C$11</f>
        <v>1783.54</v>
      </c>
      <c r="D299" s="470">
        <f>+'q40'!$D$11</f>
        <v>1779.9</v>
      </c>
      <c r="E299" s="470">
        <f>+'q40'!$E$11</f>
        <v>1787.99</v>
      </c>
      <c r="F299" s="470">
        <f>+'q40'!$F$11</f>
        <v>1813.14</v>
      </c>
      <c r="G299" s="470">
        <f>+'q40'!$G$11</f>
        <v>1857.37</v>
      </c>
      <c r="H299" s="470">
        <f>+'q40'!$H$11</f>
        <v>1899.12</v>
      </c>
      <c r="I299" s="470">
        <f>+'q40'!$I$11</f>
        <v>1934.48</v>
      </c>
      <c r="J299" s="470">
        <f>+'q40'!$J$11</f>
        <v>1994.66</v>
      </c>
      <c r="K299" s="470">
        <f>+'q40'!$K$11</f>
        <v>2097.65</v>
      </c>
      <c r="L299" s="470">
        <f>+'q40'!$L$11</f>
        <v>2222.79</v>
      </c>
      <c r="M299" s="470">
        <f>+'q40'!$M$11</f>
        <v>2400.04</v>
      </c>
    </row>
    <row r="300" spans="1:29">
      <c r="B300" s="453" t="str">
        <f>+Aux!$C$166</f>
        <v>Técn. e prof. de nível intermédio</v>
      </c>
      <c r="C300" s="470">
        <f>+'q40'!$C$18</f>
        <v>1469.88</v>
      </c>
      <c r="D300" s="470">
        <f>+'q40'!$D$18</f>
        <v>1484.25</v>
      </c>
      <c r="E300" s="470">
        <f>+'q40'!$E$18</f>
        <v>1494.24</v>
      </c>
      <c r="F300" s="470">
        <f>+'q40'!$F$18</f>
        <v>1518.37</v>
      </c>
      <c r="G300" s="470">
        <f>+'q40'!$G$18</f>
        <v>1554.05</v>
      </c>
      <c r="H300" s="470">
        <f>+'q40'!$H$18</f>
        <v>1583.18</v>
      </c>
      <c r="I300" s="470">
        <f>+'q40'!$I$18</f>
        <v>1589.59</v>
      </c>
      <c r="J300" s="470">
        <f>+'q40'!$J$18</f>
        <v>1608.11</v>
      </c>
      <c r="K300" s="470">
        <f>+'q40'!$K$18</f>
        <v>1705.92</v>
      </c>
      <c r="L300" s="470">
        <f>+'q40'!$L$18</f>
        <v>1836.79</v>
      </c>
      <c r="M300" s="470">
        <f>+'q40'!$M$18</f>
        <v>1947.34</v>
      </c>
    </row>
    <row r="301" spans="1:29">
      <c r="B301" s="453" t="str">
        <f>+Aux!$C$167</f>
        <v>Pessoal administrativo</v>
      </c>
      <c r="C301" s="470">
        <f>+'q40'!$C$24</f>
        <v>1052.46</v>
      </c>
      <c r="D301" s="470">
        <f>+'q40'!$D$24</f>
        <v>1042.17</v>
      </c>
      <c r="E301" s="470">
        <f>+'q40'!$E$24</f>
        <v>1046.05</v>
      </c>
      <c r="F301" s="470">
        <f>+'q40'!$F$24</f>
        <v>1063.6600000000001</v>
      </c>
      <c r="G301" s="470">
        <f>+'q40'!$G$24</f>
        <v>1088.81</v>
      </c>
      <c r="H301" s="470">
        <f>+'q40'!$H$24</f>
        <v>1114.3399999999999</v>
      </c>
      <c r="I301" s="470">
        <f>+'q40'!$I$24</f>
        <v>1141.82</v>
      </c>
      <c r="J301" s="470">
        <f>+'q40'!$J$24</f>
        <v>1173.21</v>
      </c>
      <c r="K301" s="470">
        <f>+'q40'!$K$24</f>
        <v>1218.22</v>
      </c>
      <c r="L301" s="470">
        <f>+'q40'!$L$24</f>
        <v>1303.32</v>
      </c>
      <c r="M301" s="470">
        <f>+'q40'!$M$24</f>
        <v>1391.18</v>
      </c>
    </row>
    <row r="302" spans="1:29">
      <c r="B302" s="453" t="str">
        <f>+Aux!$C$168</f>
        <v>Trab.dos serv.pessoais, de prot.e segur.e vendedores</v>
      </c>
      <c r="C302" s="470">
        <f>+'q40'!$C$29</f>
        <v>759.92</v>
      </c>
      <c r="D302" s="470">
        <f>+'q40'!$D$29</f>
        <v>767.89</v>
      </c>
      <c r="E302" s="470">
        <f>+'q40'!$E$29</f>
        <v>785.26</v>
      </c>
      <c r="F302" s="470">
        <f>+'q40'!$F$29</f>
        <v>808.9</v>
      </c>
      <c r="G302" s="470">
        <f>+'q40'!$G$29</f>
        <v>836.95</v>
      </c>
      <c r="H302" s="470">
        <f>+'q40'!$H$29</f>
        <v>873.06</v>
      </c>
      <c r="I302" s="470">
        <f>+'q40'!$I$29</f>
        <v>899.3</v>
      </c>
      <c r="J302" s="470">
        <f>+'q40'!$J$29</f>
        <v>936.3</v>
      </c>
      <c r="K302" s="470">
        <f>+'q40'!$K$29</f>
        <v>998.48</v>
      </c>
      <c r="L302" s="470">
        <f>+'q40'!$L$29</f>
        <v>1078.9100000000001</v>
      </c>
      <c r="M302" s="470">
        <f>+'q40'!$M$29</f>
        <v>1162.67</v>
      </c>
    </row>
    <row r="303" spans="1:29">
      <c r="B303" s="453" t="str">
        <f>+Aux!$C$169</f>
        <v>Agric.e trab.qualif.da agric.,da pesca e da floresta</v>
      </c>
      <c r="C303" s="470">
        <f>+'q40'!$C$34</f>
        <v>744.86</v>
      </c>
      <c r="D303" s="470">
        <f>+'q40'!$D$34</f>
        <v>767.63</v>
      </c>
      <c r="E303" s="470">
        <f>+'q40'!$E$34</f>
        <v>799.91</v>
      </c>
      <c r="F303" s="470">
        <f>+'q40'!$F$34</f>
        <v>801.18</v>
      </c>
      <c r="G303" s="470">
        <f>+'q40'!$G$34</f>
        <v>853.06</v>
      </c>
      <c r="H303" s="470">
        <f>+'q40'!$H$34</f>
        <v>914.72</v>
      </c>
      <c r="I303" s="470">
        <f>+'q40'!$I$34</f>
        <v>883.1</v>
      </c>
      <c r="J303" s="470">
        <f>+'q40'!$J$34</f>
        <v>942.8</v>
      </c>
      <c r="K303" s="470">
        <f>+'q40'!$K$34</f>
        <v>994.21</v>
      </c>
      <c r="L303" s="470">
        <f>+'q40'!$L$34</f>
        <v>1062.6099999999999</v>
      </c>
      <c r="M303" s="470">
        <f>+'q40'!$M$34</f>
        <v>1167.21</v>
      </c>
    </row>
    <row r="304" spans="1:29">
      <c r="B304" s="453" t="str">
        <f>+Aux!$C$170</f>
        <v>Trab.qualif.da ind.,constr.e artific.</v>
      </c>
      <c r="C304" s="470">
        <f>+'q40'!$C$37</f>
        <v>840</v>
      </c>
      <c r="D304" s="470">
        <f>+'q40'!$D$37</f>
        <v>846.87</v>
      </c>
      <c r="E304" s="470">
        <f>+'q40'!$E$37</f>
        <v>857.96</v>
      </c>
      <c r="F304" s="470">
        <f>+'q40'!$F$37</f>
        <v>884.52</v>
      </c>
      <c r="G304" s="470">
        <f>+'q40'!$G$37</f>
        <v>920.4</v>
      </c>
      <c r="H304" s="470">
        <f>+'q40'!$H$37</f>
        <v>953.05</v>
      </c>
      <c r="I304" s="470">
        <f>+'q40'!$I$37</f>
        <v>970.12</v>
      </c>
      <c r="J304" s="470">
        <f>+'q40'!$J$37</f>
        <v>1004.57</v>
      </c>
      <c r="K304" s="470">
        <f>+'q40'!$K$37</f>
        <v>1066.29</v>
      </c>
      <c r="L304" s="470">
        <f>+'q40'!$L$37</f>
        <v>1154.1400000000001</v>
      </c>
      <c r="M304" s="470">
        <f>+'q40'!$M$37</f>
        <v>1246.3800000000001</v>
      </c>
    </row>
    <row r="305" spans="2:13">
      <c r="B305" s="453" t="str">
        <f>+Aux!$C$171</f>
        <v>Oper.de inst.e máq.e trab.mont.</v>
      </c>
      <c r="C305" s="470">
        <f>+'q40'!$C$43</f>
        <v>842.42</v>
      </c>
      <c r="D305" s="470">
        <f>+'q40'!$D$43</f>
        <v>854.07</v>
      </c>
      <c r="E305" s="470">
        <f>+'q40'!$E$43</f>
        <v>874.93</v>
      </c>
      <c r="F305" s="470">
        <f>+'q40'!$F$43</f>
        <v>906.93</v>
      </c>
      <c r="G305" s="470">
        <f>+'q40'!$G$43</f>
        <v>946.99</v>
      </c>
      <c r="H305" s="470">
        <f>+'q40'!$H$43</f>
        <v>992.07</v>
      </c>
      <c r="I305" s="470">
        <f>+'q40'!$I$43</f>
        <v>1044.52</v>
      </c>
      <c r="J305" s="470">
        <f>+'q40'!$J$43</f>
        <v>1078.25</v>
      </c>
      <c r="K305" s="470">
        <f>+'q40'!$K$43</f>
        <v>1147.77</v>
      </c>
      <c r="L305" s="470">
        <f>+'q40'!$L$43</f>
        <v>1235.24</v>
      </c>
      <c r="M305" s="470">
        <f>+'q40'!$M$43</f>
        <v>1341.97</v>
      </c>
    </row>
    <row r="306" spans="2:13">
      <c r="B306" s="453" t="str">
        <f>+Aux!$C$172</f>
        <v>Trabalhadores não qualificados</v>
      </c>
      <c r="C306" s="470">
        <f>+'q40'!$C$47</f>
        <v>681.09</v>
      </c>
      <c r="D306" s="470">
        <f>+'q40'!$D$47</f>
        <v>688.24</v>
      </c>
      <c r="E306" s="470">
        <f>+'q40'!$E$47</f>
        <v>707.94</v>
      </c>
      <c r="F306" s="470">
        <f>+'q40'!$F$47</f>
        <v>743.43</v>
      </c>
      <c r="G306" s="470">
        <f>+'q40'!$G$47</f>
        <v>783.76</v>
      </c>
      <c r="H306" s="470">
        <f>+'q40'!$H$47</f>
        <v>816.04</v>
      </c>
      <c r="I306" s="470">
        <f>+'q40'!$I$47</f>
        <v>848.69</v>
      </c>
      <c r="J306" s="470">
        <f>+'q40'!$J$47</f>
        <v>895.67</v>
      </c>
      <c r="K306" s="470">
        <f>+'q40'!$K$47</f>
        <v>942.93</v>
      </c>
      <c r="L306" s="470">
        <f>+'q40'!$L$47</f>
        <v>1007.47</v>
      </c>
      <c r="M306" s="470">
        <f>+'q40'!$M$47</f>
        <v>1058.49</v>
      </c>
    </row>
    <row r="307" spans="2:13">
      <c r="B307" s="453" t="str">
        <f>+Aux!$C$173</f>
        <v>Trabalhadores sem profissão atribuida</v>
      </c>
      <c r="C307" s="470">
        <f>+'q40'!$C$54</f>
        <v>1872.04</v>
      </c>
      <c r="D307" s="470">
        <f>+'q40'!$D$54</f>
        <v>2276.44</v>
      </c>
      <c r="E307" s="470">
        <f>+'q40'!$E$54</f>
        <v>2020.39</v>
      </c>
      <c r="F307" s="470">
        <f>+'q40'!$F$54</f>
        <v>2216.48</v>
      </c>
      <c r="G307" s="470">
        <f>+'q40'!$G$54</f>
        <v>1911.05</v>
      </c>
      <c r="H307" s="470">
        <f>+'q40'!$H$54</f>
        <v>2143.6799999999998</v>
      </c>
      <c r="I307" s="470">
        <f>+'q40'!$I$54</f>
        <v>2275.4299999999998</v>
      </c>
      <c r="J307" s="470">
        <f>+'q40'!$J$54</f>
        <v>2387.6799999999998</v>
      </c>
      <c r="K307" s="470">
        <f>+'q40'!$K$54</f>
        <v>2512.64</v>
      </c>
      <c r="L307" s="470">
        <f>+'q40'!$L$54</f>
        <v>3169.09</v>
      </c>
      <c r="M307" s="470">
        <f>+'q40'!$M$54</f>
        <v>3504.65</v>
      </c>
    </row>
    <row r="308" spans="2:13">
      <c r="B308" s="453" t="s">
        <v>11</v>
      </c>
      <c r="C308" s="470">
        <f>+'q40'!$C$5</f>
        <v>1093.21</v>
      </c>
      <c r="D308" s="470">
        <f>+'q40'!$D$5</f>
        <v>1096.6600000000001</v>
      </c>
      <c r="E308" s="470">
        <f>+'q40'!$E$5</f>
        <v>1107.8599999999999</v>
      </c>
      <c r="F308" s="470">
        <f>+'q40'!$F$5</f>
        <v>1133.3399999999999</v>
      </c>
      <c r="G308" s="470">
        <f>+'q40'!$G$5</f>
        <v>1170.25</v>
      </c>
      <c r="H308" s="470">
        <f>+'q40'!$H$5</f>
        <v>1209.94</v>
      </c>
      <c r="I308" s="470">
        <f>+'q40'!$I$5</f>
        <v>1250.75</v>
      </c>
      <c r="J308" s="470">
        <f>+'q40'!$J$5</f>
        <v>1294.1099999999999</v>
      </c>
      <c r="K308" s="470">
        <f>+'q40'!$K$5</f>
        <v>1368</v>
      </c>
      <c r="L308" s="470">
        <f>+'q40'!$L$5</f>
        <v>1466.66</v>
      </c>
      <c r="M308" s="470">
        <f>+'q40'!$M$5</f>
        <v>1582.75</v>
      </c>
    </row>
  </sheetData>
  <mergeCells count="10">
    <mergeCell ref="R146:S146"/>
    <mergeCell ref="T146:U146"/>
    <mergeCell ref="AX92:BA96"/>
    <mergeCell ref="AG177:AK182"/>
    <mergeCell ref="Z281:AD284"/>
    <mergeCell ref="Z1:AE4"/>
    <mergeCell ref="Y57:AD60"/>
    <mergeCell ref="AX86:BA90"/>
    <mergeCell ref="AA177:AE182"/>
    <mergeCell ref="BC86:BF90"/>
  </mergeCells>
  <pageMargins left="0.7" right="0.7" top="0.75" bottom="0.75" header="0.3" footer="0.3"/>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79201" r:id="rId4" name="Drop Down 1">
              <controlPr defaultSize="0" autoLine="0" autoPict="0">
                <anchor moveWithCells="1">
                  <from>
                    <xdr:col>15</xdr:col>
                    <xdr:colOff>561975</xdr:colOff>
                    <xdr:row>7</xdr:row>
                    <xdr:rowOff>142875</xdr:rowOff>
                  </from>
                  <to>
                    <xdr:col>17</xdr:col>
                    <xdr:colOff>19050</xdr:colOff>
                    <xdr:row>9</xdr:row>
                    <xdr:rowOff>9525</xdr:rowOff>
                  </to>
                </anchor>
              </controlPr>
            </control>
          </mc:Choice>
        </mc:AlternateContent>
        <mc:AlternateContent xmlns:mc="http://schemas.openxmlformats.org/markup-compatibility/2006">
          <mc:Choice Requires="x14">
            <control shapeId="179206" r:id="rId5" name="Drop Down 6">
              <controlPr defaultSize="0" autoLine="0" autoPict="0">
                <anchor moveWithCells="1">
                  <from>
                    <xdr:col>18</xdr:col>
                    <xdr:colOff>581025</xdr:colOff>
                    <xdr:row>116</xdr:row>
                    <xdr:rowOff>123825</xdr:rowOff>
                  </from>
                  <to>
                    <xdr:col>19</xdr:col>
                    <xdr:colOff>361950</xdr:colOff>
                    <xdr:row>117</xdr:row>
                    <xdr:rowOff>142875</xdr:rowOff>
                  </to>
                </anchor>
              </controlPr>
            </control>
          </mc:Choice>
        </mc:AlternateContent>
        <mc:AlternateContent xmlns:mc="http://schemas.openxmlformats.org/markup-compatibility/2006">
          <mc:Choice Requires="x14">
            <control shapeId="179207" r:id="rId6" name="Drop Down 7">
              <controlPr defaultSize="0" autoLine="0" autoPict="0">
                <anchor moveWithCells="1">
                  <from>
                    <xdr:col>19</xdr:col>
                    <xdr:colOff>0</xdr:colOff>
                    <xdr:row>142</xdr:row>
                    <xdr:rowOff>123825</xdr:rowOff>
                  </from>
                  <to>
                    <xdr:col>20</xdr:col>
                    <xdr:colOff>171450</xdr:colOff>
                    <xdr:row>143</xdr:row>
                    <xdr:rowOff>142875</xdr:rowOff>
                  </to>
                </anchor>
              </controlPr>
            </control>
          </mc:Choice>
        </mc:AlternateContent>
        <mc:AlternateContent xmlns:mc="http://schemas.openxmlformats.org/markup-compatibility/2006">
          <mc:Choice Requires="x14">
            <control shapeId="179208" r:id="rId7" name="Drop Down 8">
              <controlPr defaultSize="0" autoLine="0" autoPict="0">
                <anchor moveWithCells="1">
                  <from>
                    <xdr:col>18</xdr:col>
                    <xdr:colOff>0</xdr:colOff>
                    <xdr:row>248</xdr:row>
                    <xdr:rowOff>123825</xdr:rowOff>
                  </from>
                  <to>
                    <xdr:col>18</xdr:col>
                    <xdr:colOff>752475</xdr:colOff>
                    <xdr:row>249</xdr:row>
                    <xdr:rowOff>142875</xdr:rowOff>
                  </to>
                </anchor>
              </controlPr>
            </control>
          </mc:Choice>
        </mc:AlternateContent>
        <mc:AlternateContent xmlns:mc="http://schemas.openxmlformats.org/markup-compatibility/2006">
          <mc:Choice Requires="x14">
            <control shapeId="179209" r:id="rId8" name="Drop Down 9">
              <controlPr defaultSize="0" autoLine="0" autoPict="0">
                <anchor moveWithCells="1">
                  <from>
                    <xdr:col>18</xdr:col>
                    <xdr:colOff>561975</xdr:colOff>
                    <xdr:row>87</xdr:row>
                    <xdr:rowOff>142875</xdr:rowOff>
                  </from>
                  <to>
                    <xdr:col>19</xdr:col>
                    <xdr:colOff>352425</xdr:colOff>
                    <xdr:row>89</xdr:row>
                    <xdr:rowOff>9525</xdr:rowOff>
                  </to>
                </anchor>
              </controlPr>
            </control>
          </mc:Choice>
        </mc:AlternateContent>
        <mc:AlternateContent xmlns:mc="http://schemas.openxmlformats.org/markup-compatibility/2006">
          <mc:Choice Requires="x14">
            <control shapeId="179210" r:id="rId9" name="Drop Down 10">
              <controlPr defaultSize="0" autoLine="0" autoPict="0">
                <anchor moveWithCells="1">
                  <from>
                    <xdr:col>49</xdr:col>
                    <xdr:colOff>561975</xdr:colOff>
                    <xdr:row>80</xdr:row>
                    <xdr:rowOff>142875</xdr:rowOff>
                  </from>
                  <to>
                    <xdr:col>51</xdr:col>
                    <xdr:colOff>152400</xdr:colOff>
                    <xdr:row>82</xdr:row>
                    <xdr:rowOff>9525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1508B-2640-4655-97CD-822A242FF025}">
  <sheetPr>
    <tabColor indexed="25"/>
    <pageSetUpPr fitToPage="1"/>
  </sheetPr>
  <dimension ref="A1:AB47"/>
  <sheetViews>
    <sheetView showGridLines="0" zoomScaleNormal="100" workbookViewId="0">
      <selection activeCell="Y70" sqref="Y70"/>
    </sheetView>
  </sheetViews>
  <sheetFormatPr defaultColWidth="17.28515625" defaultRowHeight="11.25"/>
  <cols>
    <col min="1" max="1" width="14.7109375" style="59" customWidth="1"/>
    <col min="2" max="2" width="2.42578125" style="122" bestFit="1" customWidth="1"/>
    <col min="3" max="13" width="7.5703125" style="59" customWidth="1"/>
    <col min="14" max="15" width="7.85546875" style="59" customWidth="1"/>
    <col min="16" max="16384" width="17.28515625" style="59"/>
  </cols>
  <sheetData>
    <row r="1" spans="1:28" s="117" customFormat="1" ht="60.6" customHeight="1">
      <c r="A1" s="964" t="s">
        <v>656</v>
      </c>
      <c r="B1" s="964"/>
      <c r="C1" s="964"/>
      <c r="D1" s="964"/>
      <c r="E1" s="964"/>
      <c r="F1" s="964"/>
      <c r="G1" s="964"/>
      <c r="H1" s="964"/>
      <c r="I1" s="964"/>
      <c r="J1" s="964"/>
      <c r="K1" s="964"/>
      <c r="L1" s="964"/>
      <c r="M1" s="964"/>
      <c r="O1" s="949" t="s">
        <v>569</v>
      </c>
      <c r="P1" s="949"/>
      <c r="Q1" s="949"/>
      <c r="R1" s="949"/>
      <c r="S1" s="949"/>
    </row>
    <row r="2" spans="1:28" s="118" customFormat="1" ht="15" customHeight="1">
      <c r="A2" s="183"/>
      <c r="B2" s="184"/>
      <c r="C2" s="185"/>
      <c r="D2" s="183"/>
      <c r="E2" s="183"/>
      <c r="F2" s="183"/>
      <c r="G2" s="183"/>
      <c r="H2" s="183"/>
      <c r="I2" s="183"/>
      <c r="J2" s="183"/>
      <c r="K2" s="183"/>
      <c r="L2" s="183"/>
      <c r="M2" s="183"/>
      <c r="O2" s="950" t="s">
        <v>570</v>
      </c>
      <c r="P2" s="950"/>
      <c r="Q2" s="950"/>
      <c r="R2" s="950"/>
      <c r="S2" s="950"/>
    </row>
    <row r="3" spans="1:28" s="118" customFormat="1" ht="15" customHeight="1">
      <c r="A3" s="183" t="s">
        <v>13</v>
      </c>
      <c r="B3" s="184"/>
      <c r="C3" s="185"/>
      <c r="D3" s="183"/>
      <c r="E3" s="183"/>
      <c r="F3" s="183"/>
      <c r="G3" s="183"/>
      <c r="H3" s="183"/>
      <c r="I3" s="183"/>
      <c r="J3" s="183"/>
      <c r="K3" s="183"/>
      <c r="L3" s="183"/>
      <c r="M3" s="183"/>
      <c r="O3" s="950"/>
      <c r="P3" s="950"/>
      <c r="Q3" s="950"/>
      <c r="R3" s="950"/>
      <c r="S3" s="950"/>
    </row>
    <row r="4" spans="1:28" s="119" customFormat="1" ht="28.5" customHeight="1" thickBot="1">
      <c r="A4" s="67"/>
      <c r="B4" s="67"/>
      <c r="C4" s="67">
        <v>2014</v>
      </c>
      <c r="D4" s="67">
        <v>2015</v>
      </c>
      <c r="E4" s="67">
        <v>2016</v>
      </c>
      <c r="F4" s="67">
        <v>2017</v>
      </c>
      <c r="G4" s="67">
        <v>2018</v>
      </c>
      <c r="H4" s="67">
        <v>2019</v>
      </c>
      <c r="I4" s="67">
        <v>2020</v>
      </c>
      <c r="J4" s="67">
        <v>2021</v>
      </c>
      <c r="K4" s="67">
        <v>2022</v>
      </c>
      <c r="L4" s="67">
        <v>2023</v>
      </c>
      <c r="M4" s="67">
        <v>2024</v>
      </c>
      <c r="O4" s="950"/>
      <c r="P4" s="950"/>
      <c r="Q4" s="950"/>
      <c r="R4" s="950"/>
      <c r="S4" s="950"/>
    </row>
    <row r="5" spans="1:28" s="120" customFormat="1" ht="16.5" customHeight="1" thickTop="1">
      <c r="A5" s="52" t="s">
        <v>11</v>
      </c>
      <c r="B5" s="52" t="s">
        <v>44</v>
      </c>
      <c r="C5" s="860">
        <v>1928307</v>
      </c>
      <c r="D5" s="860">
        <v>1991131</v>
      </c>
      <c r="E5" s="860">
        <v>2054911</v>
      </c>
      <c r="F5" s="860">
        <v>2131943</v>
      </c>
      <c r="G5" s="860">
        <v>2205449</v>
      </c>
      <c r="H5" s="860">
        <v>2232400</v>
      </c>
      <c r="I5" s="860">
        <v>2164118</v>
      </c>
      <c r="J5" s="860">
        <v>2200594</v>
      </c>
      <c r="K5" s="860">
        <v>2376115</v>
      </c>
      <c r="L5" s="860">
        <v>2467600</v>
      </c>
      <c r="M5" s="860">
        <v>2506911</v>
      </c>
      <c r="N5" s="119"/>
      <c r="O5" s="951" t="s">
        <v>571</v>
      </c>
      <c r="P5" s="951"/>
      <c r="Q5" s="951"/>
      <c r="R5" s="951"/>
      <c r="S5" s="951"/>
    </row>
    <row r="6" spans="1:28" s="120" customFormat="1" ht="12.75" customHeight="1">
      <c r="A6" s="52"/>
      <c r="B6" s="52" t="s">
        <v>52</v>
      </c>
      <c r="C6" s="53">
        <v>1044369</v>
      </c>
      <c r="D6" s="53">
        <v>1072847</v>
      </c>
      <c r="E6" s="53">
        <v>1107485</v>
      </c>
      <c r="F6" s="53">
        <v>1154786</v>
      </c>
      <c r="G6" s="53">
        <v>1199385</v>
      </c>
      <c r="H6" s="53">
        <v>1217589</v>
      </c>
      <c r="I6" s="53">
        <v>1187469</v>
      </c>
      <c r="J6" s="53">
        <v>1200895</v>
      </c>
      <c r="K6" s="53">
        <v>1298876</v>
      </c>
      <c r="L6" s="53">
        <v>1354324</v>
      </c>
      <c r="M6" s="53">
        <v>1386681</v>
      </c>
      <c r="N6" s="119"/>
      <c r="O6" s="951"/>
      <c r="P6" s="951"/>
      <c r="Q6" s="951"/>
      <c r="R6" s="951"/>
      <c r="S6" s="951"/>
    </row>
    <row r="7" spans="1:28" s="120" customFormat="1" ht="12.75" customHeight="1">
      <c r="A7" s="52"/>
      <c r="B7" s="52" t="s">
        <v>53</v>
      </c>
      <c r="C7" s="53">
        <v>883938</v>
      </c>
      <c r="D7" s="53">
        <v>918284</v>
      </c>
      <c r="E7" s="53">
        <v>947426</v>
      </c>
      <c r="F7" s="53">
        <v>977157</v>
      </c>
      <c r="G7" s="53">
        <v>1006064</v>
      </c>
      <c r="H7" s="53">
        <v>1014811</v>
      </c>
      <c r="I7" s="53">
        <v>976649</v>
      </c>
      <c r="J7" s="53">
        <v>999699</v>
      </c>
      <c r="K7" s="53">
        <v>1077239</v>
      </c>
      <c r="L7" s="53">
        <v>1113276</v>
      </c>
      <c r="M7" s="53">
        <v>1120230</v>
      </c>
      <c r="N7" s="119"/>
      <c r="Q7" s="856" t="s">
        <v>837</v>
      </c>
      <c r="R7" s="675" t="s">
        <v>836</v>
      </c>
      <c r="S7" s="69"/>
      <c r="T7" s="69"/>
      <c r="U7" s="69"/>
      <c r="V7" s="69"/>
      <c r="W7" s="69"/>
      <c r="X7" s="69"/>
      <c r="Y7" s="69"/>
      <c r="Z7" s="69"/>
      <c r="AA7" s="69"/>
      <c r="AB7" s="69"/>
    </row>
    <row r="8" spans="1:28" s="121" customFormat="1" ht="16.5" customHeight="1">
      <c r="A8" s="54" t="s">
        <v>54</v>
      </c>
      <c r="B8" s="52" t="s">
        <v>44</v>
      </c>
      <c r="C8" s="53">
        <v>263</v>
      </c>
      <c r="D8" s="53">
        <v>240</v>
      </c>
      <c r="E8" s="53">
        <v>267</v>
      </c>
      <c r="F8" s="53">
        <v>380</v>
      </c>
      <c r="G8" s="53">
        <v>372</v>
      </c>
      <c r="H8" s="53">
        <v>349</v>
      </c>
      <c r="I8" s="53">
        <v>231</v>
      </c>
      <c r="J8" s="53">
        <v>282</v>
      </c>
      <c r="K8" s="53">
        <v>377</v>
      </c>
      <c r="L8" s="53">
        <v>361</v>
      </c>
      <c r="M8" s="53">
        <v>343</v>
      </c>
      <c r="N8" s="119"/>
      <c r="Q8" s="69" t="s">
        <v>835</v>
      </c>
      <c r="R8" s="124">
        <f>+C4</f>
        <v>2014</v>
      </c>
      <c r="S8" s="124">
        <f t="shared" ref="S8:Y8" si="0">+D4</f>
        <v>2015</v>
      </c>
      <c r="T8" s="124">
        <f t="shared" si="0"/>
        <v>2016</v>
      </c>
      <c r="U8" s="124">
        <f t="shared" si="0"/>
        <v>2017</v>
      </c>
      <c r="V8" s="124">
        <f t="shared" si="0"/>
        <v>2018</v>
      </c>
      <c r="W8" s="124">
        <f t="shared" si="0"/>
        <v>2019</v>
      </c>
      <c r="X8" s="124">
        <f t="shared" si="0"/>
        <v>2020</v>
      </c>
      <c r="Y8" s="124">
        <f t="shared" si="0"/>
        <v>2021</v>
      </c>
      <c r="Z8" s="124">
        <f>+K4</f>
        <v>2022</v>
      </c>
      <c r="AA8" s="124">
        <f t="shared" ref="AA8" si="1">+L4</f>
        <v>2023</v>
      </c>
      <c r="AB8" s="124">
        <f>+M4</f>
        <v>2024</v>
      </c>
    </row>
    <row r="9" spans="1:28" s="121" customFormat="1" ht="12.75" customHeight="1">
      <c r="A9" s="55"/>
      <c r="B9" s="56" t="s">
        <v>52</v>
      </c>
      <c r="C9" s="861">
        <v>173</v>
      </c>
      <c r="D9" s="861">
        <v>164</v>
      </c>
      <c r="E9" s="861">
        <v>191</v>
      </c>
      <c r="F9" s="861">
        <v>275</v>
      </c>
      <c r="G9" s="861">
        <v>252</v>
      </c>
      <c r="H9" s="861">
        <v>253</v>
      </c>
      <c r="I9" s="861">
        <v>190</v>
      </c>
      <c r="J9" s="861">
        <v>218</v>
      </c>
      <c r="K9" s="861">
        <v>276</v>
      </c>
      <c r="L9" s="861">
        <v>269</v>
      </c>
      <c r="M9" s="861">
        <v>266</v>
      </c>
      <c r="N9" s="119"/>
      <c r="Q9" s="368" t="s">
        <v>44</v>
      </c>
      <c r="R9" s="857">
        <v>0</v>
      </c>
      <c r="S9" s="857">
        <v>0</v>
      </c>
      <c r="T9" s="857">
        <v>0</v>
      </c>
      <c r="U9" s="857">
        <v>0</v>
      </c>
      <c r="V9" s="857">
        <v>0</v>
      </c>
      <c r="W9" s="857">
        <v>0</v>
      </c>
      <c r="X9" s="857">
        <v>0</v>
      </c>
      <c r="Y9" s="857">
        <v>0</v>
      </c>
      <c r="Z9" s="857">
        <v>0</v>
      </c>
      <c r="AA9" s="857">
        <v>0</v>
      </c>
      <c r="AB9" s="857">
        <v>0</v>
      </c>
    </row>
    <row r="10" spans="1:28" s="121" customFormat="1" ht="12.75" customHeight="1">
      <c r="A10" s="54"/>
      <c r="B10" s="56" t="s">
        <v>53</v>
      </c>
      <c r="C10" s="861">
        <v>90</v>
      </c>
      <c r="D10" s="861">
        <v>76</v>
      </c>
      <c r="E10" s="861">
        <v>76</v>
      </c>
      <c r="F10" s="861">
        <v>105</v>
      </c>
      <c r="G10" s="861">
        <v>120</v>
      </c>
      <c r="H10" s="861">
        <v>96</v>
      </c>
      <c r="I10" s="861">
        <v>41</v>
      </c>
      <c r="J10" s="861">
        <v>64</v>
      </c>
      <c r="K10" s="861">
        <v>101</v>
      </c>
      <c r="L10" s="861">
        <v>92</v>
      </c>
      <c r="M10" s="861">
        <v>77</v>
      </c>
      <c r="N10" s="206"/>
      <c r="O10" s="119"/>
      <c r="Q10" s="69" t="s">
        <v>838</v>
      </c>
      <c r="R10" s="69"/>
      <c r="S10" s="69"/>
      <c r="T10" s="69"/>
      <c r="U10" s="69"/>
      <c r="V10" s="69"/>
      <c r="W10" s="69"/>
      <c r="X10" s="69"/>
      <c r="Y10" s="69"/>
      <c r="Z10" s="69"/>
      <c r="AA10" s="69"/>
      <c r="AB10" s="69"/>
    </row>
    <row r="11" spans="1:28" s="121" customFormat="1" ht="16.5" customHeight="1">
      <c r="A11" s="54" t="s">
        <v>55</v>
      </c>
      <c r="B11" s="52" t="s">
        <v>44</v>
      </c>
      <c r="C11" s="53">
        <v>111699</v>
      </c>
      <c r="D11" s="53">
        <v>120564</v>
      </c>
      <c r="E11" s="53">
        <v>129238</v>
      </c>
      <c r="F11" s="53">
        <v>140998</v>
      </c>
      <c r="G11" s="53">
        <v>152186</v>
      </c>
      <c r="H11" s="53">
        <v>157828</v>
      </c>
      <c r="I11" s="53">
        <v>140721</v>
      </c>
      <c r="J11" s="53">
        <v>143238</v>
      </c>
      <c r="K11" s="53">
        <v>162820</v>
      </c>
      <c r="L11" s="53">
        <v>170800</v>
      </c>
      <c r="M11" s="53">
        <v>169722</v>
      </c>
      <c r="N11" s="206"/>
      <c r="O11" s="206"/>
      <c r="Q11" s="858" t="s">
        <v>44</v>
      </c>
      <c r="R11" s="859">
        <f>+C5-(C8+C11+C14+C17+C20+C23+C26+C29+C32+C35+C38+C41)</f>
        <v>0</v>
      </c>
      <c r="S11" s="859">
        <f t="shared" ref="S11:AB13" si="2">+D5-(D8+D11+D14+D17+D20+D23+D26+D29+D32+D35+D38+D41)</f>
        <v>0</v>
      </c>
      <c r="T11" s="859">
        <f t="shared" si="2"/>
        <v>0</v>
      </c>
      <c r="U11" s="859">
        <f t="shared" si="2"/>
        <v>0</v>
      </c>
      <c r="V11" s="859">
        <f t="shared" si="2"/>
        <v>0</v>
      </c>
      <c r="W11" s="859">
        <f t="shared" si="2"/>
        <v>0</v>
      </c>
      <c r="X11" s="859">
        <f t="shared" si="2"/>
        <v>0</v>
      </c>
      <c r="Y11" s="859">
        <f t="shared" si="2"/>
        <v>0</v>
      </c>
      <c r="Z11" s="859">
        <f t="shared" si="2"/>
        <v>0</v>
      </c>
      <c r="AA11" s="859">
        <f t="shared" si="2"/>
        <v>0</v>
      </c>
      <c r="AB11" s="859">
        <f t="shared" si="2"/>
        <v>0</v>
      </c>
    </row>
    <row r="12" spans="1:28" s="121" customFormat="1" ht="12.75" customHeight="1">
      <c r="A12" s="55"/>
      <c r="B12" s="56" t="s">
        <v>52</v>
      </c>
      <c r="C12" s="861">
        <v>63406</v>
      </c>
      <c r="D12" s="861">
        <v>68037</v>
      </c>
      <c r="E12" s="861">
        <v>72936</v>
      </c>
      <c r="F12" s="861">
        <v>79671</v>
      </c>
      <c r="G12" s="861">
        <v>86955</v>
      </c>
      <c r="H12" s="861">
        <v>90055</v>
      </c>
      <c r="I12" s="861">
        <v>81716</v>
      </c>
      <c r="J12" s="861">
        <v>81847</v>
      </c>
      <c r="K12" s="861">
        <v>92674</v>
      </c>
      <c r="L12" s="861">
        <v>98000</v>
      </c>
      <c r="M12" s="861">
        <v>98535</v>
      </c>
      <c r="N12" s="206"/>
      <c r="O12" s="206"/>
      <c r="Q12" s="368" t="s">
        <v>52</v>
      </c>
      <c r="R12" s="859">
        <f t="shared" ref="R12:R13" si="3">+C6-(C9+C12+C15+C18+C21+C24+C27+C30+C33+C36+C39+C42)</f>
        <v>0</v>
      </c>
      <c r="S12" s="859">
        <f t="shared" si="2"/>
        <v>0</v>
      </c>
      <c r="T12" s="859">
        <f t="shared" si="2"/>
        <v>0</v>
      </c>
      <c r="U12" s="859">
        <f t="shared" si="2"/>
        <v>0</v>
      </c>
      <c r="V12" s="859">
        <f t="shared" si="2"/>
        <v>0</v>
      </c>
      <c r="W12" s="859">
        <f t="shared" si="2"/>
        <v>0</v>
      </c>
      <c r="X12" s="859">
        <f t="shared" si="2"/>
        <v>0</v>
      </c>
      <c r="Y12" s="859">
        <f t="shared" si="2"/>
        <v>0</v>
      </c>
      <c r="Z12" s="859">
        <f t="shared" si="2"/>
        <v>0</v>
      </c>
      <c r="AA12" s="859">
        <f t="shared" si="2"/>
        <v>0</v>
      </c>
      <c r="AB12" s="859">
        <f t="shared" si="2"/>
        <v>0</v>
      </c>
    </row>
    <row r="13" spans="1:28" s="121" customFormat="1" ht="12.75" customHeight="1">
      <c r="A13" s="54"/>
      <c r="B13" s="56" t="s">
        <v>53</v>
      </c>
      <c r="C13" s="861">
        <v>48293</v>
      </c>
      <c r="D13" s="861">
        <v>52527</v>
      </c>
      <c r="E13" s="861">
        <v>56302</v>
      </c>
      <c r="F13" s="861">
        <v>61327</v>
      </c>
      <c r="G13" s="861">
        <v>65231</v>
      </c>
      <c r="H13" s="861">
        <v>67773</v>
      </c>
      <c r="I13" s="861">
        <v>59005</v>
      </c>
      <c r="J13" s="861">
        <v>61391</v>
      </c>
      <c r="K13" s="861">
        <v>70146</v>
      </c>
      <c r="L13" s="861">
        <v>72800</v>
      </c>
      <c r="M13" s="861">
        <v>71187</v>
      </c>
      <c r="Q13" s="368" t="s">
        <v>53</v>
      </c>
      <c r="R13" s="859">
        <f t="shared" si="3"/>
        <v>0</v>
      </c>
      <c r="S13" s="859">
        <f t="shared" si="2"/>
        <v>0</v>
      </c>
      <c r="T13" s="859">
        <f t="shared" si="2"/>
        <v>0</v>
      </c>
      <c r="U13" s="859">
        <f t="shared" si="2"/>
        <v>0</v>
      </c>
      <c r="V13" s="859">
        <f t="shared" si="2"/>
        <v>0</v>
      </c>
      <c r="W13" s="859">
        <f t="shared" si="2"/>
        <v>0</v>
      </c>
      <c r="X13" s="859">
        <f t="shared" si="2"/>
        <v>0</v>
      </c>
      <c r="Y13" s="859">
        <f t="shared" si="2"/>
        <v>0</v>
      </c>
      <c r="Z13" s="859">
        <f t="shared" si="2"/>
        <v>0</v>
      </c>
      <c r="AA13" s="859">
        <f t="shared" si="2"/>
        <v>0</v>
      </c>
      <c r="AB13" s="859">
        <f t="shared" si="2"/>
        <v>0</v>
      </c>
    </row>
    <row r="14" spans="1:28" s="121" customFormat="1" ht="16.5" customHeight="1">
      <c r="A14" s="54" t="s">
        <v>56</v>
      </c>
      <c r="B14" s="52" t="s">
        <v>44</v>
      </c>
      <c r="C14" s="53">
        <v>213010</v>
      </c>
      <c r="D14" s="53">
        <v>217246</v>
      </c>
      <c r="E14" s="53">
        <v>225058</v>
      </c>
      <c r="F14" s="53">
        <v>235305</v>
      </c>
      <c r="G14" s="53">
        <v>247582</v>
      </c>
      <c r="H14" s="53">
        <v>255763</v>
      </c>
      <c r="I14" s="53">
        <v>243925</v>
      </c>
      <c r="J14" s="53">
        <v>247722</v>
      </c>
      <c r="K14" s="53">
        <v>273002</v>
      </c>
      <c r="L14" s="53">
        <v>288104</v>
      </c>
      <c r="M14" s="53">
        <v>300338</v>
      </c>
      <c r="N14" s="206"/>
      <c r="O14" s="206"/>
    </row>
    <row r="15" spans="1:28" s="121" customFormat="1" ht="12.75" customHeight="1">
      <c r="A15" s="55"/>
      <c r="B15" s="56" t="s">
        <v>52</v>
      </c>
      <c r="C15" s="861">
        <v>111806</v>
      </c>
      <c r="D15" s="861">
        <v>113565</v>
      </c>
      <c r="E15" s="861">
        <v>118421</v>
      </c>
      <c r="F15" s="861">
        <v>124552</v>
      </c>
      <c r="G15" s="861">
        <v>131770</v>
      </c>
      <c r="H15" s="861">
        <v>136707</v>
      </c>
      <c r="I15" s="861">
        <v>131831</v>
      </c>
      <c r="J15" s="861">
        <v>133440</v>
      </c>
      <c r="K15" s="861">
        <v>148634</v>
      </c>
      <c r="L15" s="861">
        <v>158510</v>
      </c>
      <c r="M15" s="861">
        <v>166888</v>
      </c>
      <c r="N15" s="206"/>
      <c r="O15" s="206"/>
      <c r="P15" s="456"/>
    </row>
    <row r="16" spans="1:28" s="121" customFormat="1" ht="12.75" customHeight="1">
      <c r="A16" s="54"/>
      <c r="B16" s="56" t="s">
        <v>53</v>
      </c>
      <c r="C16" s="861">
        <v>101204</v>
      </c>
      <c r="D16" s="861">
        <v>103681</v>
      </c>
      <c r="E16" s="861">
        <v>106637</v>
      </c>
      <c r="F16" s="861">
        <v>110753</v>
      </c>
      <c r="G16" s="861">
        <v>115812</v>
      </c>
      <c r="H16" s="861">
        <v>119056</v>
      </c>
      <c r="I16" s="861">
        <v>112094</v>
      </c>
      <c r="J16" s="861">
        <v>114282</v>
      </c>
      <c r="K16" s="861">
        <v>124368</v>
      </c>
      <c r="L16" s="861">
        <v>129594</v>
      </c>
      <c r="M16" s="861">
        <v>133450</v>
      </c>
      <c r="N16" s="206"/>
      <c r="O16" s="206"/>
    </row>
    <row r="17" spans="1:15" s="121" customFormat="1" ht="16.5" customHeight="1">
      <c r="A17" s="54" t="s">
        <v>57</v>
      </c>
      <c r="B17" s="52" t="s">
        <v>44</v>
      </c>
      <c r="C17" s="53">
        <v>287500</v>
      </c>
      <c r="D17" s="53">
        <v>282921</v>
      </c>
      <c r="E17" s="53">
        <v>278437</v>
      </c>
      <c r="F17" s="53">
        <v>276020</v>
      </c>
      <c r="G17" s="53">
        <v>275124</v>
      </c>
      <c r="H17" s="53">
        <v>273959</v>
      </c>
      <c r="I17" s="53">
        <v>263309</v>
      </c>
      <c r="J17" s="53">
        <v>266211</v>
      </c>
      <c r="K17" s="53">
        <v>289816</v>
      </c>
      <c r="L17" s="53">
        <v>303855</v>
      </c>
      <c r="M17" s="53">
        <v>311921</v>
      </c>
      <c r="N17" s="206"/>
      <c r="O17" s="206"/>
    </row>
    <row r="18" spans="1:15" s="121" customFormat="1" ht="12.75" customHeight="1">
      <c r="A18" s="55"/>
      <c r="B18" s="56" t="s">
        <v>52</v>
      </c>
      <c r="C18" s="861">
        <v>151256</v>
      </c>
      <c r="D18" s="861">
        <v>148454</v>
      </c>
      <c r="E18" s="861">
        <v>146896</v>
      </c>
      <c r="F18" s="861">
        <v>147019</v>
      </c>
      <c r="G18" s="861">
        <v>148267</v>
      </c>
      <c r="H18" s="861">
        <v>148861</v>
      </c>
      <c r="I18" s="861">
        <v>144827</v>
      </c>
      <c r="J18" s="861">
        <v>146453</v>
      </c>
      <c r="K18" s="861">
        <v>161254</v>
      </c>
      <c r="L18" s="861">
        <v>170136</v>
      </c>
      <c r="M18" s="861">
        <v>177316</v>
      </c>
      <c r="N18" s="206"/>
      <c r="O18" s="206"/>
    </row>
    <row r="19" spans="1:15" s="121" customFormat="1" ht="12.75" customHeight="1">
      <c r="A19" s="54"/>
      <c r="B19" s="56" t="s">
        <v>53</v>
      </c>
      <c r="C19" s="861">
        <v>136244</v>
      </c>
      <c r="D19" s="861">
        <v>134467</v>
      </c>
      <c r="E19" s="861">
        <v>131541</v>
      </c>
      <c r="F19" s="861">
        <v>129001</v>
      </c>
      <c r="G19" s="861">
        <v>126857</v>
      </c>
      <c r="H19" s="861">
        <v>125098</v>
      </c>
      <c r="I19" s="861">
        <v>118482</v>
      </c>
      <c r="J19" s="861">
        <v>119758</v>
      </c>
      <c r="K19" s="861">
        <v>128562</v>
      </c>
      <c r="L19" s="861">
        <v>133719</v>
      </c>
      <c r="M19" s="861">
        <v>134605</v>
      </c>
      <c r="N19" s="206"/>
      <c r="O19" s="206"/>
    </row>
    <row r="20" spans="1:15" s="121" customFormat="1" ht="16.5" customHeight="1">
      <c r="A20" s="54" t="s">
        <v>58</v>
      </c>
      <c r="B20" s="52" t="s">
        <v>44</v>
      </c>
      <c r="C20" s="53">
        <v>326651</v>
      </c>
      <c r="D20" s="53">
        <v>326869</v>
      </c>
      <c r="E20" s="53">
        <v>321638</v>
      </c>
      <c r="F20" s="53">
        <v>319497</v>
      </c>
      <c r="G20" s="53">
        <v>318764</v>
      </c>
      <c r="H20" s="53">
        <v>315224</v>
      </c>
      <c r="I20" s="53">
        <v>297330</v>
      </c>
      <c r="J20" s="53">
        <v>290235</v>
      </c>
      <c r="K20" s="53">
        <v>303288</v>
      </c>
      <c r="L20" s="53">
        <v>307054</v>
      </c>
      <c r="M20" s="53">
        <v>306497</v>
      </c>
      <c r="N20" s="206"/>
      <c r="O20" s="206"/>
    </row>
    <row r="21" spans="1:15" s="121" customFormat="1" ht="12.75" customHeight="1">
      <c r="A21" s="55"/>
      <c r="B21" s="56" t="s">
        <v>52</v>
      </c>
      <c r="C21" s="861">
        <v>172310</v>
      </c>
      <c r="D21" s="861">
        <v>171246</v>
      </c>
      <c r="E21" s="861">
        <v>168738</v>
      </c>
      <c r="F21" s="861">
        <v>168220</v>
      </c>
      <c r="G21" s="861">
        <v>169027</v>
      </c>
      <c r="H21" s="861">
        <v>168474</v>
      </c>
      <c r="I21" s="861">
        <v>160725</v>
      </c>
      <c r="J21" s="861">
        <v>157584</v>
      </c>
      <c r="K21" s="861">
        <v>166060</v>
      </c>
      <c r="L21" s="861">
        <v>169542</v>
      </c>
      <c r="M21" s="861">
        <v>172313</v>
      </c>
      <c r="N21" s="206"/>
      <c r="O21" s="206"/>
    </row>
    <row r="22" spans="1:15" s="121" customFormat="1" ht="12.75" customHeight="1">
      <c r="A22" s="54"/>
      <c r="B22" s="56" t="s">
        <v>53</v>
      </c>
      <c r="C22" s="861">
        <v>154341</v>
      </c>
      <c r="D22" s="861">
        <v>155623</v>
      </c>
      <c r="E22" s="861">
        <v>152900</v>
      </c>
      <c r="F22" s="861">
        <v>151277</v>
      </c>
      <c r="G22" s="861">
        <v>149737</v>
      </c>
      <c r="H22" s="861">
        <v>146750</v>
      </c>
      <c r="I22" s="861">
        <v>136605</v>
      </c>
      <c r="J22" s="861">
        <v>132651</v>
      </c>
      <c r="K22" s="861">
        <v>137228</v>
      </c>
      <c r="L22" s="861">
        <v>137512</v>
      </c>
      <c r="M22" s="861">
        <v>134184</v>
      </c>
      <c r="N22" s="206"/>
      <c r="O22" s="206"/>
    </row>
    <row r="23" spans="1:15" s="121" customFormat="1" ht="16.5" customHeight="1">
      <c r="A23" s="54" t="s">
        <v>59</v>
      </c>
      <c r="B23" s="52" t="s">
        <v>44</v>
      </c>
      <c r="C23" s="53">
        <v>303100</v>
      </c>
      <c r="D23" s="53">
        <v>318087</v>
      </c>
      <c r="E23" s="53">
        <v>331142</v>
      </c>
      <c r="F23" s="53">
        <v>341991</v>
      </c>
      <c r="G23" s="53">
        <v>348044</v>
      </c>
      <c r="H23" s="53">
        <v>344670</v>
      </c>
      <c r="I23" s="53">
        <v>330571</v>
      </c>
      <c r="J23" s="53">
        <v>323971</v>
      </c>
      <c r="K23" s="53">
        <v>336356</v>
      </c>
      <c r="L23" s="53">
        <v>340506</v>
      </c>
      <c r="M23" s="53">
        <v>337786</v>
      </c>
      <c r="N23" s="206"/>
      <c r="O23" s="206"/>
    </row>
    <row r="24" spans="1:15" s="121" customFormat="1" ht="12.75" customHeight="1">
      <c r="A24" s="55"/>
      <c r="B24" s="56" t="s">
        <v>52</v>
      </c>
      <c r="C24" s="861">
        <v>161023</v>
      </c>
      <c r="D24" s="861">
        <v>167809</v>
      </c>
      <c r="E24" s="861">
        <v>173981</v>
      </c>
      <c r="F24" s="861">
        <v>179956</v>
      </c>
      <c r="G24" s="861">
        <v>183367</v>
      </c>
      <c r="H24" s="861">
        <v>182524</v>
      </c>
      <c r="I24" s="861">
        <v>175612</v>
      </c>
      <c r="J24" s="861">
        <v>171422</v>
      </c>
      <c r="K24" s="861">
        <v>178236</v>
      </c>
      <c r="L24" s="861">
        <v>181673</v>
      </c>
      <c r="M24" s="861">
        <v>182455</v>
      </c>
      <c r="N24" s="206"/>
      <c r="O24" s="206"/>
    </row>
    <row r="25" spans="1:15" s="121" customFormat="1" ht="12.75" customHeight="1">
      <c r="A25" s="54"/>
      <c r="B25" s="56" t="s">
        <v>53</v>
      </c>
      <c r="C25" s="861">
        <v>142077</v>
      </c>
      <c r="D25" s="861">
        <v>150278</v>
      </c>
      <c r="E25" s="861">
        <v>157161</v>
      </c>
      <c r="F25" s="861">
        <v>162035</v>
      </c>
      <c r="G25" s="861">
        <v>164677</v>
      </c>
      <c r="H25" s="861">
        <v>162146</v>
      </c>
      <c r="I25" s="861">
        <v>154959</v>
      </c>
      <c r="J25" s="861">
        <v>152549</v>
      </c>
      <c r="K25" s="861">
        <v>158120</v>
      </c>
      <c r="L25" s="861">
        <v>158833</v>
      </c>
      <c r="M25" s="861">
        <v>155331</v>
      </c>
      <c r="N25" s="206"/>
      <c r="O25" s="206"/>
    </row>
    <row r="26" spans="1:15" s="121" customFormat="1" ht="16.5" customHeight="1">
      <c r="A26" s="54" t="s">
        <v>60</v>
      </c>
      <c r="B26" s="52" t="s">
        <v>44</v>
      </c>
      <c r="C26" s="53">
        <v>253675</v>
      </c>
      <c r="D26" s="53">
        <v>263817</v>
      </c>
      <c r="E26" s="53">
        <v>277016</v>
      </c>
      <c r="F26" s="53">
        <v>290166</v>
      </c>
      <c r="G26" s="53">
        <v>304345</v>
      </c>
      <c r="H26" s="53">
        <v>311174</v>
      </c>
      <c r="I26" s="53">
        <v>312965</v>
      </c>
      <c r="J26" s="53">
        <v>322606</v>
      </c>
      <c r="K26" s="53">
        <v>345961</v>
      </c>
      <c r="L26" s="53">
        <v>352617</v>
      </c>
      <c r="M26" s="53">
        <v>351889</v>
      </c>
      <c r="N26" s="206"/>
      <c r="O26" s="206"/>
    </row>
    <row r="27" spans="1:15" s="121" customFormat="1" ht="12.75" customHeight="1">
      <c r="A27" s="55"/>
      <c r="B27" s="56" t="s">
        <v>52</v>
      </c>
      <c r="C27" s="861">
        <v>136474</v>
      </c>
      <c r="D27" s="861">
        <v>140917</v>
      </c>
      <c r="E27" s="861">
        <v>147650</v>
      </c>
      <c r="F27" s="861">
        <v>155146</v>
      </c>
      <c r="G27" s="861">
        <v>162797</v>
      </c>
      <c r="H27" s="861">
        <v>166498</v>
      </c>
      <c r="I27" s="861">
        <v>167447</v>
      </c>
      <c r="J27" s="861">
        <v>170879</v>
      </c>
      <c r="K27" s="861">
        <v>182576</v>
      </c>
      <c r="L27" s="861">
        <v>186103</v>
      </c>
      <c r="M27" s="861">
        <v>186433</v>
      </c>
      <c r="N27" s="206"/>
      <c r="O27" s="206"/>
    </row>
    <row r="28" spans="1:15" s="121" customFormat="1" ht="12.75" customHeight="1">
      <c r="A28" s="54"/>
      <c r="B28" s="56" t="s">
        <v>53</v>
      </c>
      <c r="C28" s="861">
        <v>117201</v>
      </c>
      <c r="D28" s="861">
        <v>122900</v>
      </c>
      <c r="E28" s="861">
        <v>129366</v>
      </c>
      <c r="F28" s="861">
        <v>135020</v>
      </c>
      <c r="G28" s="861">
        <v>141548</v>
      </c>
      <c r="H28" s="861">
        <v>144676</v>
      </c>
      <c r="I28" s="861">
        <v>145518</v>
      </c>
      <c r="J28" s="861">
        <v>151727</v>
      </c>
      <c r="K28" s="861">
        <v>163385</v>
      </c>
      <c r="L28" s="861">
        <v>166514</v>
      </c>
      <c r="M28" s="861">
        <v>165456</v>
      </c>
      <c r="N28" s="206"/>
      <c r="O28" s="206"/>
    </row>
    <row r="29" spans="1:15" s="121" customFormat="1" ht="16.5" customHeight="1">
      <c r="A29" s="54" t="s">
        <v>61</v>
      </c>
      <c r="B29" s="52" t="s">
        <v>44</v>
      </c>
      <c r="C29" s="53">
        <v>204971</v>
      </c>
      <c r="D29" s="53">
        <v>215703</v>
      </c>
      <c r="E29" s="53">
        <v>228929</v>
      </c>
      <c r="F29" s="53">
        <v>240195</v>
      </c>
      <c r="G29" s="53">
        <v>251806</v>
      </c>
      <c r="H29" s="53">
        <v>254159</v>
      </c>
      <c r="I29" s="53">
        <v>252370</v>
      </c>
      <c r="J29" s="53">
        <v>262540</v>
      </c>
      <c r="K29" s="53">
        <v>284054</v>
      </c>
      <c r="L29" s="53">
        <v>296892</v>
      </c>
      <c r="M29" s="53">
        <v>305463</v>
      </c>
      <c r="N29" s="206"/>
      <c r="O29" s="206"/>
    </row>
    <row r="30" spans="1:15" s="121" customFormat="1" ht="12.75" customHeight="1">
      <c r="A30" s="55"/>
      <c r="B30" s="56" t="s">
        <v>52</v>
      </c>
      <c r="C30" s="861">
        <v>113831</v>
      </c>
      <c r="D30" s="861">
        <v>119101</v>
      </c>
      <c r="E30" s="861">
        <v>125988</v>
      </c>
      <c r="F30" s="861">
        <v>132366</v>
      </c>
      <c r="G30" s="861">
        <v>138663</v>
      </c>
      <c r="H30" s="861">
        <v>139425</v>
      </c>
      <c r="I30" s="861">
        <v>138598</v>
      </c>
      <c r="J30" s="861">
        <v>142311</v>
      </c>
      <c r="K30" s="861">
        <v>153151</v>
      </c>
      <c r="L30" s="861">
        <v>159384</v>
      </c>
      <c r="M30" s="861">
        <v>163891</v>
      </c>
      <c r="N30" s="206"/>
      <c r="O30" s="206"/>
    </row>
    <row r="31" spans="1:15" s="121" customFormat="1" ht="12.75" customHeight="1">
      <c r="A31" s="54"/>
      <c r="B31" s="56" t="s">
        <v>53</v>
      </c>
      <c r="C31" s="861">
        <v>91140</v>
      </c>
      <c r="D31" s="861">
        <v>96602</v>
      </c>
      <c r="E31" s="861">
        <v>102941</v>
      </c>
      <c r="F31" s="861">
        <v>107829</v>
      </c>
      <c r="G31" s="861">
        <v>113143</v>
      </c>
      <c r="H31" s="861">
        <v>114734</v>
      </c>
      <c r="I31" s="861">
        <v>113772</v>
      </c>
      <c r="J31" s="861">
        <v>120229</v>
      </c>
      <c r="K31" s="861">
        <v>130903</v>
      </c>
      <c r="L31" s="861">
        <v>137508</v>
      </c>
      <c r="M31" s="861">
        <v>141572</v>
      </c>
      <c r="N31" s="206"/>
      <c r="O31" s="206"/>
    </row>
    <row r="32" spans="1:15" s="121" customFormat="1" ht="16.5" customHeight="1">
      <c r="A32" s="54" t="s">
        <v>62</v>
      </c>
      <c r="B32" s="52" t="s">
        <v>44</v>
      </c>
      <c r="C32" s="53">
        <v>145221</v>
      </c>
      <c r="D32" s="53">
        <v>155187</v>
      </c>
      <c r="E32" s="53">
        <v>165200</v>
      </c>
      <c r="F32" s="53">
        <v>177369</v>
      </c>
      <c r="G32" s="53">
        <v>188959</v>
      </c>
      <c r="H32" s="53">
        <v>194225</v>
      </c>
      <c r="I32" s="53">
        <v>195946</v>
      </c>
      <c r="J32" s="53">
        <v>204544</v>
      </c>
      <c r="K32" s="53">
        <v>220904</v>
      </c>
      <c r="L32" s="53">
        <v>231381</v>
      </c>
      <c r="M32" s="53">
        <v>236427</v>
      </c>
      <c r="N32" s="206"/>
      <c r="O32" s="206"/>
    </row>
    <row r="33" spans="1:15" s="121" customFormat="1" ht="12.75" customHeight="1">
      <c r="A33" s="55"/>
      <c r="B33" s="56" t="s">
        <v>52</v>
      </c>
      <c r="C33" s="861">
        <v>84426</v>
      </c>
      <c r="D33" s="861">
        <v>89293</v>
      </c>
      <c r="E33" s="861">
        <v>94431</v>
      </c>
      <c r="F33" s="861">
        <v>101818</v>
      </c>
      <c r="G33" s="861">
        <v>108149</v>
      </c>
      <c r="H33" s="861">
        <v>110814</v>
      </c>
      <c r="I33" s="861">
        <v>111597</v>
      </c>
      <c r="J33" s="861">
        <v>115095</v>
      </c>
      <c r="K33" s="861">
        <v>122772</v>
      </c>
      <c r="L33" s="861">
        <v>128243</v>
      </c>
      <c r="M33" s="861">
        <v>130518</v>
      </c>
      <c r="N33" s="206"/>
      <c r="O33" s="206"/>
    </row>
    <row r="34" spans="1:15" s="121" customFormat="1" ht="12.75" customHeight="1">
      <c r="A34" s="54"/>
      <c r="B34" s="56" t="s">
        <v>53</v>
      </c>
      <c r="C34" s="861">
        <v>60795</v>
      </c>
      <c r="D34" s="861">
        <v>65894</v>
      </c>
      <c r="E34" s="861">
        <v>70769</v>
      </c>
      <c r="F34" s="861">
        <v>75551</v>
      </c>
      <c r="G34" s="861">
        <v>80810</v>
      </c>
      <c r="H34" s="861">
        <v>83411</v>
      </c>
      <c r="I34" s="861">
        <v>84349</v>
      </c>
      <c r="J34" s="861">
        <v>89449</v>
      </c>
      <c r="K34" s="861">
        <v>98132</v>
      </c>
      <c r="L34" s="861">
        <v>103138</v>
      </c>
      <c r="M34" s="861">
        <v>105909</v>
      </c>
      <c r="N34" s="206"/>
      <c r="O34" s="206"/>
    </row>
    <row r="35" spans="1:15" s="121" customFormat="1" ht="16.5" customHeight="1">
      <c r="A35" s="54" t="s">
        <v>63</v>
      </c>
      <c r="B35" s="52" t="s">
        <v>44</v>
      </c>
      <c r="C35" s="53">
        <v>66368</v>
      </c>
      <c r="D35" s="53">
        <v>72582</v>
      </c>
      <c r="E35" s="53">
        <v>78003</v>
      </c>
      <c r="F35" s="53">
        <v>87565</v>
      </c>
      <c r="G35" s="53">
        <v>92395</v>
      </c>
      <c r="H35" s="53">
        <v>97235</v>
      </c>
      <c r="I35" s="53">
        <v>99272</v>
      </c>
      <c r="J35" s="53">
        <v>108804</v>
      </c>
      <c r="K35" s="53">
        <v>124579</v>
      </c>
      <c r="L35" s="53">
        <v>137126</v>
      </c>
      <c r="M35" s="53">
        <v>143394</v>
      </c>
      <c r="N35" s="206"/>
      <c r="O35" s="206"/>
    </row>
    <row r="36" spans="1:15" s="121" customFormat="1" ht="12.75" customHeight="1">
      <c r="A36" s="55"/>
      <c r="B36" s="56" t="s">
        <v>52</v>
      </c>
      <c r="C36" s="861">
        <v>39618</v>
      </c>
      <c r="D36" s="861">
        <v>43145</v>
      </c>
      <c r="E36" s="861">
        <v>45976</v>
      </c>
      <c r="F36" s="861">
        <v>51755</v>
      </c>
      <c r="G36" s="861">
        <v>53998</v>
      </c>
      <c r="H36" s="861">
        <v>56405</v>
      </c>
      <c r="I36" s="861">
        <v>57497</v>
      </c>
      <c r="J36" s="861">
        <v>62622</v>
      </c>
      <c r="K36" s="861">
        <v>71338</v>
      </c>
      <c r="L36" s="861">
        <v>78017</v>
      </c>
      <c r="M36" s="861">
        <v>81027</v>
      </c>
      <c r="N36" s="206"/>
      <c r="O36" s="206"/>
    </row>
    <row r="37" spans="1:15" s="121" customFormat="1" ht="12.75" customHeight="1">
      <c r="A37" s="54"/>
      <c r="B37" s="56" t="s">
        <v>53</v>
      </c>
      <c r="C37" s="861">
        <v>26750</v>
      </c>
      <c r="D37" s="861">
        <v>29437</v>
      </c>
      <c r="E37" s="861">
        <v>32027</v>
      </c>
      <c r="F37" s="861">
        <v>35810</v>
      </c>
      <c r="G37" s="861">
        <v>38397</v>
      </c>
      <c r="H37" s="861">
        <v>40830</v>
      </c>
      <c r="I37" s="861">
        <v>41775</v>
      </c>
      <c r="J37" s="861">
        <v>46182</v>
      </c>
      <c r="K37" s="861">
        <v>53241</v>
      </c>
      <c r="L37" s="861">
        <v>59109</v>
      </c>
      <c r="M37" s="861">
        <v>62367</v>
      </c>
      <c r="N37" s="206"/>
      <c r="O37" s="206"/>
    </row>
    <row r="38" spans="1:15" s="121" customFormat="1" ht="16.5" customHeight="1">
      <c r="A38" s="54" t="s">
        <v>64</v>
      </c>
      <c r="B38" s="52" t="s">
        <v>44</v>
      </c>
      <c r="C38" s="53">
        <v>14461</v>
      </c>
      <c r="D38" s="53">
        <v>16487</v>
      </c>
      <c r="E38" s="53">
        <v>18491</v>
      </c>
      <c r="F38" s="53">
        <v>20926</v>
      </c>
      <c r="G38" s="53">
        <v>24151</v>
      </c>
      <c r="H38" s="53">
        <v>27423</v>
      </c>
      <c r="I38" s="53">
        <v>27225</v>
      </c>
      <c r="J38" s="53">
        <v>30059</v>
      </c>
      <c r="K38" s="53">
        <v>34767</v>
      </c>
      <c r="L38" s="53">
        <v>38903</v>
      </c>
      <c r="M38" s="53">
        <v>42768</v>
      </c>
      <c r="N38" s="206"/>
      <c r="O38" s="206"/>
    </row>
    <row r="39" spans="1:15" s="121" customFormat="1" ht="12.75" customHeight="1">
      <c r="A39" s="55"/>
      <c r="B39" s="56" t="s">
        <v>52</v>
      </c>
      <c r="C39" s="861">
        <v>9121</v>
      </c>
      <c r="D39" s="861">
        <v>10175</v>
      </c>
      <c r="E39" s="861">
        <v>11275</v>
      </c>
      <c r="F39" s="861">
        <v>12984</v>
      </c>
      <c r="G39" s="861">
        <v>14966</v>
      </c>
      <c r="H39" s="861">
        <v>17393</v>
      </c>
      <c r="I39" s="861">
        <v>17284</v>
      </c>
      <c r="J39" s="861">
        <v>18831</v>
      </c>
      <c r="K39" s="861">
        <v>21797</v>
      </c>
      <c r="L39" s="861">
        <v>24446</v>
      </c>
      <c r="M39" s="861">
        <v>26863</v>
      </c>
      <c r="N39" s="206"/>
      <c r="O39" s="206"/>
    </row>
    <row r="40" spans="1:15" s="121" customFormat="1" ht="12.75" customHeight="1">
      <c r="A40" s="54"/>
      <c r="B40" s="56" t="s">
        <v>53</v>
      </c>
      <c r="C40" s="861">
        <v>5340</v>
      </c>
      <c r="D40" s="861">
        <v>6312</v>
      </c>
      <c r="E40" s="861">
        <v>7216</v>
      </c>
      <c r="F40" s="861">
        <v>7942</v>
      </c>
      <c r="G40" s="861">
        <v>9185</v>
      </c>
      <c r="H40" s="861">
        <v>10030</v>
      </c>
      <c r="I40" s="861">
        <v>9941</v>
      </c>
      <c r="J40" s="861">
        <v>11228</v>
      </c>
      <c r="K40" s="861">
        <v>12970</v>
      </c>
      <c r="L40" s="861">
        <v>14457</v>
      </c>
      <c r="M40" s="861">
        <v>15905</v>
      </c>
      <c r="N40" s="206"/>
      <c r="O40" s="206"/>
    </row>
    <row r="41" spans="1:15" s="121" customFormat="1" ht="16.5" customHeight="1">
      <c r="A41" s="54" t="s">
        <v>12</v>
      </c>
      <c r="B41" s="52" t="s">
        <v>44</v>
      </c>
      <c r="C41" s="53">
        <v>1388</v>
      </c>
      <c r="D41" s="53">
        <v>1428</v>
      </c>
      <c r="E41" s="53">
        <v>1492</v>
      </c>
      <c r="F41" s="53">
        <v>1531</v>
      </c>
      <c r="G41" s="53">
        <v>1721</v>
      </c>
      <c r="H41" s="53">
        <v>391</v>
      </c>
      <c r="I41" s="53">
        <v>253</v>
      </c>
      <c r="J41" s="53">
        <v>382</v>
      </c>
      <c r="K41" s="53">
        <v>191</v>
      </c>
      <c r="L41" s="53">
        <v>1</v>
      </c>
      <c r="M41" s="53">
        <v>363</v>
      </c>
      <c r="N41" s="206"/>
      <c r="O41" s="206"/>
    </row>
    <row r="42" spans="1:15" s="121" customFormat="1" ht="12.75" customHeight="1">
      <c r="A42" s="57"/>
      <c r="B42" s="56" t="s">
        <v>52</v>
      </c>
      <c r="C42" s="861">
        <v>925</v>
      </c>
      <c r="D42" s="861">
        <v>941</v>
      </c>
      <c r="E42" s="861">
        <v>1002</v>
      </c>
      <c r="F42" s="861">
        <v>1024</v>
      </c>
      <c r="G42" s="861">
        <v>1174</v>
      </c>
      <c r="H42" s="861">
        <v>180</v>
      </c>
      <c r="I42" s="861">
        <v>145</v>
      </c>
      <c r="J42" s="861">
        <v>193</v>
      </c>
      <c r="K42" s="861">
        <v>108</v>
      </c>
      <c r="L42" s="861">
        <v>1</v>
      </c>
      <c r="M42" s="861">
        <v>176</v>
      </c>
      <c r="N42" s="206"/>
      <c r="O42" s="206"/>
    </row>
    <row r="43" spans="1:15" s="121" customFormat="1" ht="12.75" customHeight="1">
      <c r="A43" s="7"/>
      <c r="B43" s="58" t="s">
        <v>53</v>
      </c>
      <c r="C43" s="862">
        <v>463</v>
      </c>
      <c r="D43" s="862">
        <v>487</v>
      </c>
      <c r="E43" s="862">
        <v>490</v>
      </c>
      <c r="F43" s="862">
        <v>507</v>
      </c>
      <c r="G43" s="862">
        <v>547</v>
      </c>
      <c r="H43" s="862">
        <v>211</v>
      </c>
      <c r="I43" s="862">
        <v>108</v>
      </c>
      <c r="J43" s="862">
        <v>189</v>
      </c>
      <c r="K43" s="862">
        <v>83</v>
      </c>
      <c r="L43" s="862">
        <v>0</v>
      </c>
      <c r="M43" s="862">
        <v>187</v>
      </c>
      <c r="N43" s="206"/>
      <c r="O43" s="206"/>
    </row>
    <row r="44" spans="1:15" ht="15" customHeight="1">
      <c r="A44" s="19" t="s">
        <v>136</v>
      </c>
      <c r="B44" s="33"/>
      <c r="C44" s="144"/>
      <c r="D44" s="53"/>
      <c r="E44" s="53"/>
      <c r="F44" s="53"/>
      <c r="G44" s="53"/>
      <c r="H44" s="53"/>
      <c r="I44" s="53"/>
      <c r="J44" s="53"/>
      <c r="K44" s="53"/>
      <c r="L44" s="53"/>
      <c r="M44" s="53"/>
    </row>
    <row r="45" spans="1:15" ht="15" customHeight="1">
      <c r="A45" s="204"/>
      <c r="B45" s="204"/>
      <c r="C45" s="197"/>
      <c r="D45" s="197"/>
      <c r="E45" s="197"/>
      <c r="F45" s="197"/>
      <c r="G45" s="197"/>
      <c r="H45" s="197"/>
      <c r="I45" s="197"/>
      <c r="J45" s="197"/>
      <c r="K45" s="197"/>
      <c r="L45" s="197"/>
      <c r="M45" s="197"/>
    </row>
    <row r="46" spans="1:15">
      <c r="C46" s="197"/>
      <c r="D46" s="197"/>
      <c r="E46" s="197"/>
      <c r="F46" s="197"/>
      <c r="G46" s="197"/>
      <c r="H46" s="197"/>
      <c r="I46" s="197"/>
      <c r="J46" s="197"/>
      <c r="K46" s="197"/>
      <c r="L46" s="197"/>
      <c r="M46" s="197"/>
    </row>
    <row r="47" spans="1:15">
      <c r="C47" s="197"/>
      <c r="D47" s="197"/>
      <c r="E47" s="197"/>
      <c r="F47" s="197"/>
      <c r="G47" s="197"/>
      <c r="H47" s="197"/>
      <c r="I47" s="197"/>
      <c r="J47" s="197"/>
      <c r="K47" s="197"/>
      <c r="L47" s="197"/>
      <c r="M47" s="197"/>
    </row>
  </sheetData>
  <mergeCells count="4">
    <mergeCell ref="O5:S6"/>
    <mergeCell ref="A1:M1"/>
    <mergeCell ref="O1:S1"/>
    <mergeCell ref="O2:S4"/>
  </mergeCells>
  <conditionalFormatting sqref="A1 I2:I3 H4:I4 A44:F1048576 A2:G4 A6:J43 N44:O1048576 P14:XFD1048576 T1:XFD6 N10:O12 N1:N4 N6:N9 A5:O5 P10:P13 AC7:XFD13">
    <cfRule type="cellIs" dxfId="2596" priority="5" operator="equal">
      <formula>0</formula>
    </cfRule>
  </conditionalFormatting>
  <conditionalFormatting sqref="O5">
    <cfRule type="containsText" dxfId="2595" priority="4" operator="containsText" text="FALSO">
      <formula>NOT(ISERROR(SEARCH("FALSO",O5)))</formula>
    </cfRule>
  </conditionalFormatting>
  <conditionalFormatting sqref="O1">
    <cfRule type="cellIs" dxfId="2594" priority="3" operator="equal">
      <formula>0</formula>
    </cfRule>
  </conditionalFormatting>
  <conditionalFormatting sqref="U7:AB7 Q9 Q12:Q13 R10:AB10">
    <cfRule type="cellIs" dxfId="2593" priority="2" operator="equal">
      <formula>0</formula>
    </cfRule>
  </conditionalFormatting>
  <conditionalFormatting sqref="Q7">
    <cfRule type="cellIs" dxfId="2592" priority="1" operator="equal">
      <formula>0</formula>
    </cfRule>
  </conditionalFormatting>
  <hyperlinks>
    <hyperlink ref="R7" r:id="rId1" xr:uid="{BEEB474F-5713-4184-9050-B41608695FD9}"/>
  </hyperlinks>
  <printOptions horizontalCentered="1"/>
  <pageMargins left="0.27559055118110237" right="0.27559055118110237" top="1.7716535433070868" bottom="0.47244094488188981" header="0.19685039370078741" footer="0.19685039370078741"/>
  <pageSetup paperSize="9" orientation="portrait" r:id="rId2"/>
  <headerFooter>
    <oddHeader>&amp;C&amp;G</oddHeader>
  </headerFooter>
  <drawing r:id="rId3"/>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B0498-E64A-4A18-9BDC-DDAC4378F32E}">
  <sheetPr>
    <tabColor rgb="FFFFFF00"/>
    <pageSetUpPr fitToPage="1"/>
  </sheetPr>
  <dimension ref="A1:BB46"/>
  <sheetViews>
    <sheetView showGridLines="0" workbookViewId="0">
      <selection activeCell="Y70" sqref="Y70"/>
    </sheetView>
  </sheetViews>
  <sheetFormatPr defaultColWidth="9.140625" defaultRowHeight="15" customHeight="1"/>
  <cols>
    <col min="1" max="1" width="17.140625" style="129" customWidth="1"/>
    <col min="2" max="2" width="2.42578125" style="138" customWidth="1"/>
    <col min="3" max="13" width="6.42578125" style="129" customWidth="1"/>
    <col min="14" max="14" width="9.140625" style="218"/>
    <col min="15" max="32" width="9.140625" style="129"/>
    <col min="33" max="33" width="10.140625" style="129" bestFit="1" customWidth="1"/>
    <col min="34" max="16384" width="9.140625" style="129"/>
  </cols>
  <sheetData>
    <row r="1" spans="1:54" s="134" customFormat="1" ht="28.5" customHeight="1">
      <c r="A1" s="954" t="str">
        <f>+'q26'!A1:M1</f>
        <v>Quadro 26 - Remuneração média mensal base(1) por grupo etário e sexo</v>
      </c>
      <c r="B1" s="954"/>
      <c r="C1" s="954"/>
      <c r="D1" s="954"/>
      <c r="E1" s="954"/>
      <c r="F1" s="954"/>
      <c r="G1" s="954"/>
      <c r="H1" s="954"/>
      <c r="I1" s="954"/>
      <c r="J1" s="954"/>
      <c r="K1" s="954"/>
      <c r="L1" s="954"/>
      <c r="M1" s="954"/>
      <c r="N1" s="216"/>
      <c r="P1" s="408" t="s">
        <v>347</v>
      </c>
    </row>
    <row r="2" spans="1:54" s="262" customFormat="1" ht="15" customHeight="1">
      <c r="A2" s="242"/>
      <c r="B2" s="243"/>
      <c r="C2" s="242"/>
      <c r="D2" s="242"/>
      <c r="E2" s="242"/>
      <c r="F2" s="242"/>
      <c r="G2" s="242"/>
      <c r="H2" s="242"/>
      <c r="I2" s="242"/>
      <c r="J2" s="242"/>
      <c r="K2" s="242"/>
      <c r="L2" s="242"/>
      <c r="M2" s="242"/>
      <c r="N2" s="261"/>
      <c r="P2" s="129" t="s">
        <v>344</v>
      </c>
      <c r="Q2" s="135"/>
      <c r="R2" s="135"/>
      <c r="S2" s="135"/>
      <c r="T2" s="135"/>
      <c r="U2" s="135"/>
      <c r="V2" s="135"/>
      <c r="W2" s="135"/>
      <c r="X2" s="135"/>
      <c r="Y2" s="135"/>
      <c r="Z2" s="135"/>
      <c r="AA2" s="135"/>
      <c r="AB2" s="135"/>
    </row>
    <row r="3" spans="1:54" s="262" customFormat="1" ht="15" customHeight="1">
      <c r="A3" s="242" t="str">
        <f>+'q26'!A3</f>
        <v>Continente</v>
      </c>
      <c r="B3" s="242"/>
      <c r="C3" s="242"/>
      <c r="D3" s="242"/>
      <c r="E3" s="242"/>
      <c r="F3" s="242"/>
      <c r="G3" s="242"/>
      <c r="H3" s="242"/>
      <c r="I3" s="242"/>
      <c r="J3" s="242"/>
      <c r="K3" s="242"/>
      <c r="L3" s="242"/>
      <c r="M3" s="242" t="str">
        <f>+'q26'!M3</f>
        <v>Euros</v>
      </c>
      <c r="N3" s="261"/>
      <c r="P3" s="262" t="s">
        <v>345</v>
      </c>
      <c r="Q3" s="237"/>
      <c r="R3" s="237"/>
      <c r="S3" s="237"/>
      <c r="T3" s="237"/>
      <c r="U3" s="237"/>
      <c r="V3" s="237"/>
      <c r="W3" s="237"/>
      <c r="X3" s="237"/>
      <c r="Y3" s="237"/>
      <c r="Z3" s="237"/>
      <c r="AA3" s="237"/>
      <c r="AB3" s="237"/>
      <c r="AE3" s="569" t="s">
        <v>490</v>
      </c>
    </row>
    <row r="4" spans="1:54" s="248" customFormat="1" ht="28.5" customHeight="1" thickBot="1">
      <c r="A4" s="246"/>
      <c r="B4" s="246"/>
      <c r="C4" s="246">
        <f>+'q26'!C4</f>
        <v>2014</v>
      </c>
      <c r="D4" s="246">
        <f>+'q26'!D4</f>
        <v>2015</v>
      </c>
      <c r="E4" s="246">
        <f>+'q26'!E4</f>
        <v>2016</v>
      </c>
      <c r="F4" s="246">
        <f>+'q26'!F4</f>
        <v>2017</v>
      </c>
      <c r="G4" s="246">
        <f>+'q26'!G4</f>
        <v>2018</v>
      </c>
      <c r="H4" s="246">
        <f>+'q26'!H4</f>
        <v>2019</v>
      </c>
      <c r="I4" s="246">
        <f>+'q26'!I4</f>
        <v>2020</v>
      </c>
      <c r="J4" s="246">
        <f>+'q26'!J4</f>
        <v>2021</v>
      </c>
      <c r="K4" s="246">
        <f>+'q26'!K4</f>
        <v>2022</v>
      </c>
      <c r="L4" s="246">
        <f>+'q26'!L4</f>
        <v>2023</v>
      </c>
      <c r="M4" s="246">
        <f>+'q26'!M4</f>
        <v>2024</v>
      </c>
      <c r="N4" s="263"/>
      <c r="P4" s="246"/>
      <c r="Q4" s="246"/>
      <c r="R4" s="229">
        <f>+C4</f>
        <v>2014</v>
      </c>
      <c r="S4" s="229">
        <f t="shared" ref="S4:AB4" si="0">+D4</f>
        <v>2015</v>
      </c>
      <c r="T4" s="229">
        <f t="shared" si="0"/>
        <v>2016</v>
      </c>
      <c r="U4" s="229">
        <f t="shared" si="0"/>
        <v>2017</v>
      </c>
      <c r="V4" s="229">
        <f t="shared" si="0"/>
        <v>2018</v>
      </c>
      <c r="W4" s="229">
        <f t="shared" si="0"/>
        <v>2019</v>
      </c>
      <c r="X4" s="229">
        <f t="shared" si="0"/>
        <v>2020</v>
      </c>
      <c r="Y4" s="229">
        <f t="shared" si="0"/>
        <v>2021</v>
      </c>
      <c r="Z4" s="229">
        <f t="shared" si="0"/>
        <v>2022</v>
      </c>
      <c r="AA4" s="229">
        <f t="shared" si="0"/>
        <v>2023</v>
      </c>
      <c r="AB4" s="229">
        <f t="shared" si="0"/>
        <v>2024</v>
      </c>
      <c r="AE4" s="246"/>
      <c r="AF4" s="246"/>
      <c r="AG4" s="229">
        <f>+$R$4</f>
        <v>2014</v>
      </c>
      <c r="AH4" s="229">
        <f t="shared" ref="AH4" si="1">+S4</f>
        <v>2015</v>
      </c>
      <c r="AI4" s="229">
        <f t="shared" ref="AI4" si="2">+T4</f>
        <v>2016</v>
      </c>
      <c r="AJ4" s="229">
        <f t="shared" ref="AJ4" si="3">+U4</f>
        <v>2017</v>
      </c>
      <c r="AK4" s="229">
        <f t="shared" ref="AK4" si="4">+V4</f>
        <v>2018</v>
      </c>
      <c r="AL4" s="229">
        <f t="shared" ref="AL4" si="5">+W4</f>
        <v>2019</v>
      </c>
      <c r="AM4" s="229">
        <f t="shared" ref="AM4" si="6">+X4</f>
        <v>2020</v>
      </c>
      <c r="AN4" s="229">
        <f t="shared" ref="AN4" si="7">+Y4</f>
        <v>2021</v>
      </c>
      <c r="AO4" s="229">
        <f t="shared" ref="AO4" si="8">+Z4</f>
        <v>2022</v>
      </c>
      <c r="AP4" s="229">
        <f t="shared" ref="AP4" si="9">+AA4</f>
        <v>2023</v>
      </c>
      <c r="AQ4" s="229">
        <f t="shared" ref="AQ4" si="10">+AB4</f>
        <v>2024</v>
      </c>
      <c r="AR4" s="229">
        <f>+C4</f>
        <v>2014</v>
      </c>
      <c r="AS4" s="229">
        <f t="shared" ref="AS4:AY4" si="11">+D4</f>
        <v>2015</v>
      </c>
      <c r="AT4" s="229">
        <f t="shared" si="11"/>
        <v>2016</v>
      </c>
      <c r="AU4" s="229">
        <f t="shared" si="11"/>
        <v>2017</v>
      </c>
      <c r="AV4" s="229">
        <f t="shared" si="11"/>
        <v>2018</v>
      </c>
      <c r="AW4" s="229">
        <f t="shared" si="11"/>
        <v>2019</v>
      </c>
      <c r="AX4" s="229">
        <f t="shared" si="11"/>
        <v>2020</v>
      </c>
      <c r="AY4" s="229">
        <f t="shared" si="11"/>
        <v>2021</v>
      </c>
      <c r="AZ4" s="229">
        <f>+K4</f>
        <v>2022</v>
      </c>
      <c r="BA4" s="229">
        <f t="shared" ref="BA4" si="12">+L4</f>
        <v>2023</v>
      </c>
      <c r="BB4" s="229">
        <f t="shared" ref="BB4" si="13">+M4</f>
        <v>2024</v>
      </c>
    </row>
    <row r="5" spans="1:54" s="250" customFormat="1" ht="16.5" customHeight="1" thickTop="1">
      <c r="A5" s="236" t="str">
        <f>+'q26'!A5</f>
        <v>Total</v>
      </c>
      <c r="B5" s="372" t="str">
        <f>+'q26'!B5</f>
        <v>T</v>
      </c>
      <c r="C5" s="720">
        <f>+'q26'!C5</f>
        <v>909.49</v>
      </c>
      <c r="D5" s="720">
        <f>+'q26'!D5</f>
        <v>913.93</v>
      </c>
      <c r="E5" s="720">
        <f>+'q26'!E5</f>
        <v>924.94</v>
      </c>
      <c r="F5" s="720">
        <f>+'q26'!F5</f>
        <v>943</v>
      </c>
      <c r="G5" s="720">
        <f>+'q26'!G5</f>
        <v>970.42</v>
      </c>
      <c r="H5" s="720">
        <f>+'q26'!H5</f>
        <v>1005.09</v>
      </c>
      <c r="I5" s="720">
        <f>+'q26'!I5</f>
        <v>1041.99</v>
      </c>
      <c r="J5" s="720">
        <f>+'q26'!J5</f>
        <v>1082.77</v>
      </c>
      <c r="K5" s="720">
        <f>+'q26'!K5</f>
        <v>1143.45</v>
      </c>
      <c r="L5" s="720">
        <f>+'q26'!L5</f>
        <v>1219.8699999999999</v>
      </c>
      <c r="M5" s="720">
        <f>+'q26'!M5</f>
        <v>1308.96</v>
      </c>
      <c r="N5" s="264"/>
      <c r="O5" s="248"/>
      <c r="P5" s="236" t="s">
        <v>11</v>
      </c>
      <c r="Q5" s="372" t="s">
        <v>44</v>
      </c>
      <c r="AE5" s="236" t="s">
        <v>11</v>
      </c>
      <c r="AF5" s="372" t="s">
        <v>44</v>
      </c>
      <c r="AG5" s="567">
        <f>+(AG8+AG11+AG14+AG17+AG20+AG23+AG26+AG29+AG32+AG35+AG38+AG41)/q17a!C5</f>
        <v>909.4921289711649</v>
      </c>
      <c r="AH5" s="567">
        <f>+(AH8+AH11+AH14+AH17+AH20+AH23+AH26+AH29+AH32+AH35+AH38+AH41)/q17a!D5</f>
        <v>913.92316158002666</v>
      </c>
      <c r="AI5" s="567">
        <f>+(AI8+AI11+AI14+AI17+AI20+AI23+AI26+AI29+AI32+AI35+AI38+AI41)/q17a!E5</f>
        <v>924.9387257696319</v>
      </c>
      <c r="AJ5" s="567">
        <f>+(AJ8+AJ11+AJ14+AJ17+AJ20+AJ23+AJ26+AJ29+AJ32+AJ35+AJ38+AJ41)/q17a!F5</f>
        <v>943.00028854429979</v>
      </c>
      <c r="AK5" s="567">
        <f>+(AK8+AK11+AK14+AK17+AK20+AK23+AK26+AK29+AK32+AK35+AK38+AK41)/q17a!G5</f>
        <v>970.41668664748079</v>
      </c>
      <c r="AL5" s="567">
        <f>+(AL8+AL11+AL14+AL17+AL20+AL23+AL26+AL29+AL32+AL35+AL38+AL41)/q17a!H5</f>
        <v>1005.0890528982261</v>
      </c>
      <c r="AM5" s="567">
        <f>+(AM8+AM11+AM14+AM17+AM20+AM23+AM26+AM29+AM32+AM35+AM38+AM41)/q17a!I5</f>
        <v>1041.994550652968</v>
      </c>
      <c r="AN5" s="567">
        <f>+(AN8+AN11+AN14+AN17+AN20+AN23+AN26+AN29+AN32+AN35+AN38+AN41)/q17a!J5</f>
        <v>1082.7730282641869</v>
      </c>
      <c r="AO5" s="567">
        <f>+(AO8+AO11+AO14+AO17+AO20+AO23+AO26+AO29+AO32+AO35+AO38+AO41)/q17a!K5</f>
        <v>1143.447044124548</v>
      </c>
      <c r="AP5" s="567">
        <f>+(AP8+AP11+AP14+AP17+AP20+AP23+AP26+AP29+AP32+AP35+AP38+AP41)/q17a!L5</f>
        <v>1219.8660518074241</v>
      </c>
      <c r="AQ5" s="567">
        <f>+(AQ8+AQ11+AQ14+AQ17+AQ20+AQ23+AQ26+AQ29+AQ32+AQ35+AQ38+AQ41)/q17a!M5</f>
        <v>1308.9622415155543</v>
      </c>
      <c r="AR5" s="568">
        <f>+AG5-C5</f>
        <v>2.1289711648933007E-3</v>
      </c>
      <c r="AS5" s="568">
        <f t="shared" ref="AS5:BB5" si="14">+AH5-D5</f>
        <v>-6.8384199732918205E-3</v>
      </c>
      <c r="AT5" s="568">
        <f t="shared" si="14"/>
        <v>-1.2742303681534395E-3</v>
      </c>
      <c r="AU5" s="568">
        <f t="shared" si="14"/>
        <v>2.8854429979219276E-4</v>
      </c>
      <c r="AV5" s="568">
        <f t="shared" si="14"/>
        <v>-3.3133525191715307E-3</v>
      </c>
      <c r="AW5" s="568">
        <f t="shared" si="14"/>
        <v>-9.4710177393153572E-4</v>
      </c>
      <c r="AX5" s="568">
        <f t="shared" si="14"/>
        <v>4.5506529679641972E-3</v>
      </c>
      <c r="AY5" s="568">
        <f t="shared" si="14"/>
        <v>3.0282641869234794E-3</v>
      </c>
      <c r="AZ5" s="568">
        <f t="shared" si="14"/>
        <v>-2.9558754520166985E-3</v>
      </c>
      <c r="BA5" s="568">
        <f t="shared" si="14"/>
        <v>-3.9481925757627323E-3</v>
      </c>
      <c r="BB5" s="568">
        <f t="shared" si="14"/>
        <v>2.2415155542603316E-3</v>
      </c>
    </row>
    <row r="6" spans="1:54" s="250" customFormat="1" ht="12.75" customHeight="1">
      <c r="A6" s="226"/>
      <c r="B6" s="372" t="str">
        <f>+'q26'!B6</f>
        <v>H</v>
      </c>
      <c r="C6" s="721">
        <f>+'q26'!C6</f>
        <v>985.02</v>
      </c>
      <c r="D6" s="721">
        <f>+'q26'!D6</f>
        <v>990.05</v>
      </c>
      <c r="E6" s="721">
        <f>+'q26'!E6</f>
        <v>997.38</v>
      </c>
      <c r="F6" s="721">
        <f>+'q26'!F6</f>
        <v>1012.25</v>
      </c>
      <c r="G6" s="721">
        <f>+'q26'!G6</f>
        <v>1039.08</v>
      </c>
      <c r="H6" s="721">
        <f>+'q26'!H6</f>
        <v>1073.82</v>
      </c>
      <c r="I6" s="721">
        <f>+'q26'!I6</f>
        <v>1109.21</v>
      </c>
      <c r="J6" s="721">
        <f>+'q26'!J6</f>
        <v>1152.24</v>
      </c>
      <c r="K6" s="721">
        <f>+'q26'!K6</f>
        <v>1217.33</v>
      </c>
      <c r="L6" s="721">
        <f>+'q26'!L6</f>
        <v>1294.03</v>
      </c>
      <c r="M6" s="721">
        <f>+'q26'!M6</f>
        <v>1383.38</v>
      </c>
      <c r="N6" s="264"/>
      <c r="O6" s="248"/>
      <c r="P6" s="226"/>
      <c r="Q6" s="372" t="s">
        <v>52</v>
      </c>
      <c r="AE6" s="226"/>
      <c r="AF6" s="372" t="s">
        <v>52</v>
      </c>
      <c r="AG6" s="567">
        <f>+(AG9+AG12+AG15+AG18+AG21+AG24+AG27+AG30+AG33+AG36+AG39+AG42)/q17a!C6</f>
        <v>985.0217240266611</v>
      </c>
      <c r="AH6" s="567">
        <f>+(AH9+AH12+AH15+AH18+AH21+AH24+AH27+AH30+AH33+AH36+AH39+AH42)/q17a!D6</f>
        <v>990.04761043280178</v>
      </c>
      <c r="AI6" s="567">
        <f>+(AI9+AI12+AI15+AI18+AI21+AI24+AI27+AI30+AI33+AI36+AI39+AI42)/q17a!E6</f>
        <v>997.37799709251135</v>
      </c>
      <c r="AJ6" s="567">
        <f>+(AJ9+AJ12+AJ15+AJ18+AJ21+AJ24+AJ27+AJ30+AJ33+AJ36+AJ39+AJ42)/q17a!F6</f>
        <v>1012.2475038145596</v>
      </c>
      <c r="AK6" s="567">
        <f>+(AK9+AK12+AK15+AK18+AK21+AK24+AK27+AK30+AK33+AK36+AK39+AK42)/q17a!G6</f>
        <v>1039.080247435144</v>
      </c>
      <c r="AL6" s="567">
        <f>+(AL9+AL12+AL15+AL18+AL21+AL24+AL27+AL30+AL33+AL36+AL39+AL42)/q17a!H6</f>
        <v>1073.819645873936</v>
      </c>
      <c r="AM6" s="567">
        <f>+(AM9+AM12+AM15+AM18+AM21+AM24+AM27+AM30+AM33+AM36+AM39+AM42)/q17a!I6</f>
        <v>1109.2143224286274</v>
      </c>
      <c r="AN6" s="567">
        <f>+(AN9+AN12+AN15+AN18+AN21+AN24+AN27+AN30+AN33+AN36+AN39+AN42)/q17a!J6</f>
        <v>1152.2401059293279</v>
      </c>
      <c r="AO6" s="567">
        <f>+(AO9+AO12+AO15+AO18+AO21+AO24+AO27+AO30+AO33+AO36+AO39+AO42)/q17a!K6</f>
        <v>1217.3279310881101</v>
      </c>
      <c r="AP6" s="567">
        <f>+(AP9+AP12+AP15+AP18+AP21+AP24+AP27+AP30+AP33+AP36+AP39+AP42)/q17a!L6</f>
        <v>1294.0333838357733</v>
      </c>
      <c r="AQ6" s="567">
        <f>+(AQ9+AQ12+AQ15+AQ18+AQ21+AQ24+AQ27+AQ30+AQ33+AQ36+AQ39+AQ42)/q17a!M6</f>
        <v>1383.3800339083034</v>
      </c>
      <c r="AR6" s="568">
        <f t="shared" ref="AR6:AR7" si="15">+AG6-C6</f>
        <v>1.7240266611224797E-3</v>
      </c>
      <c r="AS6" s="568">
        <f t="shared" ref="AS6:AS7" si="16">+AH6-D6</f>
        <v>-2.3895671981790656E-3</v>
      </c>
      <c r="AT6" s="568">
        <f t="shared" ref="AT6:AT7" si="17">+AI6-E6</f>
        <v>-2.0029074886451781E-3</v>
      </c>
      <c r="AU6" s="568">
        <f t="shared" ref="AU6:AU7" si="18">+AJ6-F6</f>
        <v>-2.4961854403500183E-3</v>
      </c>
      <c r="AV6" s="568">
        <f t="shared" ref="AV6:AV7" si="19">+AK6-G6</f>
        <v>2.4743514404690359E-4</v>
      </c>
      <c r="AW6" s="568">
        <f t="shared" ref="AW6:AW7" si="20">+AL6-H6</f>
        <v>-3.5412606393947499E-4</v>
      </c>
      <c r="AX6" s="568">
        <f t="shared" ref="AX6:AX7" si="21">+AM6-I6</f>
        <v>4.322428627347108E-3</v>
      </c>
      <c r="AY6" s="568">
        <f t="shared" ref="AY6:AY7" si="22">+AN6-J6</f>
        <v>1.0592932790132181E-4</v>
      </c>
      <c r="AZ6" s="568">
        <f t="shared" ref="AZ6:AZ7" si="23">+AO6-K6</f>
        <v>-2.0689118898644665E-3</v>
      </c>
      <c r="BA6" s="568">
        <f t="shared" ref="BA6:BA7" si="24">+AP6-L6</f>
        <v>3.3838357733202429E-3</v>
      </c>
      <c r="BB6" s="568">
        <f t="shared" ref="BB6:BB7" si="25">+AQ6-M6</f>
        <v>3.3908303294083453E-5</v>
      </c>
    </row>
    <row r="7" spans="1:54" s="250" customFormat="1" ht="12.75" customHeight="1">
      <c r="A7" s="226"/>
      <c r="B7" s="372" t="str">
        <f>+'q26'!B7</f>
        <v>M</v>
      </c>
      <c r="C7" s="721">
        <f>+'q26'!C7</f>
        <v>820.25</v>
      </c>
      <c r="D7" s="721">
        <f>+'q26'!D7</f>
        <v>824.99</v>
      </c>
      <c r="E7" s="721">
        <f>+'q26'!E7</f>
        <v>840.26</v>
      </c>
      <c r="F7" s="721">
        <f>+'q26'!F7</f>
        <v>861.17</v>
      </c>
      <c r="G7" s="721">
        <f>+'q26'!G7</f>
        <v>888.56</v>
      </c>
      <c r="H7" s="721">
        <f>+'q26'!H7</f>
        <v>922.63</v>
      </c>
      <c r="I7" s="721">
        <f>+'q26'!I7</f>
        <v>960.27</v>
      </c>
      <c r="J7" s="721">
        <f>+'q26'!J7</f>
        <v>999.33</v>
      </c>
      <c r="K7" s="721">
        <f>+'q26'!K7</f>
        <v>1054.3599999999999</v>
      </c>
      <c r="L7" s="721">
        <f>+'q26'!L7</f>
        <v>1129.6400000000001</v>
      </c>
      <c r="M7" s="721">
        <f>+'q26'!M7</f>
        <v>1216.8499999999999</v>
      </c>
      <c r="N7" s="264"/>
      <c r="O7" s="248"/>
      <c r="P7" s="226"/>
      <c r="Q7" s="372" t="s">
        <v>53</v>
      </c>
      <c r="AE7" s="226"/>
      <c r="AF7" s="372" t="s">
        <v>53</v>
      </c>
      <c r="AG7" s="567">
        <f>+(AG10+AG13+AG16+AG19+AG22+AG25+AG28+AG31+AG34+AG37+AG40+AG43)/q17a!C7</f>
        <v>820.25344244732105</v>
      </c>
      <c r="AH7" s="567">
        <f>+(AH10+AH13+AH16+AH19+AH22+AH25+AH28+AH31+AH34+AH37+AH40+AH43)/q17a!D7</f>
        <v>824.99079755282673</v>
      </c>
      <c r="AI7" s="567">
        <f>+(AI10+AI13+AI16+AI19+AI22+AI25+AI28+AI31+AI34+AI37+AI40+AI43)/q17a!E7</f>
        <v>840.26067451178244</v>
      </c>
      <c r="AJ7" s="567">
        <f>+(AJ10+AJ13+AJ16+AJ19+AJ22+AJ25+AJ28+AJ31+AJ34+AJ37+AJ40+AJ43)/q17a!F7</f>
        <v>861.1665909265347</v>
      </c>
      <c r="AK7" s="567">
        <f>+(AK10+AK13+AK16+AK19+AK22+AK25+AK28+AK31+AK34+AK37+AK40+AK43)/q17a!G7</f>
        <v>888.55814828877692</v>
      </c>
      <c r="AL7" s="567">
        <f>+(AL10+AL13+AL16+AL19+AL22+AL25+AL28+AL31+AL34+AL37+AL40+AL43)/q17a!H7</f>
        <v>922.62593900736192</v>
      </c>
      <c r="AM7" s="567">
        <f>+(AM10+AM13+AM16+AM19+AM22+AM25+AM28+AM31+AM34+AM37+AM40+AM43)/q17a!I7</f>
        <v>960.26773712971601</v>
      </c>
      <c r="AN7" s="567">
        <f>+(AN10+AN13+AN16+AN19+AN22+AN25+AN28+AN31+AN34+AN37+AN40+AN43)/q17a!J7</f>
        <v>999.32450810694002</v>
      </c>
      <c r="AO7" s="567">
        <f>+(AO10+AO13+AO16+AO19+AO22+AO25+AO28+AO31+AO34+AO37+AO40+AO43)/q17a!K7</f>
        <v>1054.3618052261381</v>
      </c>
      <c r="AP7" s="567">
        <f>+(AP10+AP13+AP16+AP19+AP22+AP25+AP28+AP31+AP34+AP37+AP40+AP43)/q17a!L7</f>
        <v>1129.6424879634521</v>
      </c>
      <c r="AQ7" s="567">
        <f>+(AQ10+AQ13+AQ16+AQ19+AQ22+AQ25+AQ28+AQ31+AQ34+AQ37+AQ40+AQ43)/q17a!M7</f>
        <v>1216.8445278648135</v>
      </c>
      <c r="AR7" s="568">
        <f t="shared" si="15"/>
        <v>3.4424473210492579E-3</v>
      </c>
      <c r="AS7" s="568">
        <f t="shared" si="16"/>
        <v>7.9755282672522299E-4</v>
      </c>
      <c r="AT7" s="568">
        <f t="shared" si="17"/>
        <v>6.7451178244937182E-4</v>
      </c>
      <c r="AU7" s="568">
        <f t="shared" si="18"/>
        <v>-3.4090734652636456E-3</v>
      </c>
      <c r="AV7" s="568">
        <f t="shared" si="19"/>
        <v>-1.8517112230256316E-3</v>
      </c>
      <c r="AW7" s="568">
        <f t="shared" si="20"/>
        <v>-4.0609926380739125E-3</v>
      </c>
      <c r="AX7" s="568">
        <f t="shared" si="21"/>
        <v>-2.2628702839710968E-3</v>
      </c>
      <c r="AY7" s="568">
        <f t="shared" si="22"/>
        <v>-5.491893060025177E-3</v>
      </c>
      <c r="AZ7" s="568">
        <f t="shared" si="23"/>
        <v>1.8052261382308643E-3</v>
      </c>
      <c r="BA7" s="568">
        <f t="shared" si="24"/>
        <v>2.487963452040276E-3</v>
      </c>
      <c r="BB7" s="568">
        <f t="shared" si="25"/>
        <v>-5.4721351864372991E-3</v>
      </c>
    </row>
    <row r="8" spans="1:54" s="121" customFormat="1" ht="16.5" customHeight="1">
      <c r="A8" s="54" t="str">
        <f>+'q26'!A8</f>
        <v>&lt; 18 anos</v>
      </c>
      <c r="B8" s="52" t="str">
        <f>+'q26'!B8</f>
        <v>T</v>
      </c>
      <c r="C8" s="726">
        <f>+'q26'!C8</f>
        <v>673.39</v>
      </c>
      <c r="D8" s="726">
        <f>+'q26'!D8</f>
        <v>645.97</v>
      </c>
      <c r="E8" s="726">
        <f>+'q26'!E8</f>
        <v>688.29</v>
      </c>
      <c r="F8" s="726">
        <f>+'q26'!F8</f>
        <v>682.82</v>
      </c>
      <c r="G8" s="726">
        <f>+'q26'!G8</f>
        <v>693.22</v>
      </c>
      <c r="H8" s="726">
        <f>+'q26'!H8</f>
        <v>939.88</v>
      </c>
      <c r="I8" s="726">
        <f>+'q26'!I8</f>
        <v>1150.33</v>
      </c>
      <c r="J8" s="726">
        <f>+'q26'!J8</f>
        <v>1101.01</v>
      </c>
      <c r="K8" s="726">
        <f>+'q26'!K8</f>
        <v>1066.3</v>
      </c>
      <c r="L8" s="726">
        <f>+'q26'!L8</f>
        <v>1101.81</v>
      </c>
      <c r="M8" s="726">
        <f>+'q26'!M8</f>
        <v>1321.63</v>
      </c>
      <c r="N8" s="214"/>
      <c r="O8" s="248"/>
      <c r="P8" s="54" t="s">
        <v>54</v>
      </c>
      <c r="Q8" s="52" t="s">
        <v>44</v>
      </c>
      <c r="R8" s="457">
        <f>+$C$8</f>
        <v>673.39</v>
      </c>
      <c r="S8" s="457">
        <f>+$D$8</f>
        <v>645.97</v>
      </c>
      <c r="T8" s="457">
        <f>+$E$8</f>
        <v>688.29</v>
      </c>
      <c r="U8" s="457">
        <f>+$F$8</f>
        <v>682.82</v>
      </c>
      <c r="V8" s="457">
        <f>+$G$8</f>
        <v>693.22</v>
      </c>
      <c r="W8" s="457">
        <f>+$H$8</f>
        <v>939.88</v>
      </c>
      <c r="X8" s="457">
        <f>+$I$8</f>
        <v>1150.33</v>
      </c>
      <c r="Y8" s="457">
        <f>+$J$8</f>
        <v>1101.01</v>
      </c>
      <c r="Z8" s="457">
        <f>+$K$8</f>
        <v>1066.3</v>
      </c>
      <c r="AA8" s="457">
        <f>+$L$8</f>
        <v>1101.81</v>
      </c>
      <c r="AB8" s="457">
        <f>+$M$8</f>
        <v>1321.63</v>
      </c>
      <c r="AE8" s="54" t="s">
        <v>54</v>
      </c>
      <c r="AF8" s="52" t="s">
        <v>44</v>
      </c>
      <c r="AG8" s="457">
        <f>+$C$8*q17a!$C$8</f>
        <v>177101.57</v>
      </c>
      <c r="AH8" s="457">
        <f>+$D$8*q17a!$D$8</f>
        <v>155032.80000000002</v>
      </c>
      <c r="AI8" s="457">
        <f>+$E$8*q17a!$E$8</f>
        <v>183773.43</v>
      </c>
      <c r="AJ8" s="457">
        <f>+$F$8*q17a!$F$8</f>
        <v>259471.6</v>
      </c>
      <c r="AK8" s="457">
        <f>+$G$8*q17a!$G$8</f>
        <v>257877.84</v>
      </c>
      <c r="AL8" s="457">
        <f>+$H$8*q17a!$H$8</f>
        <v>328018.12</v>
      </c>
      <c r="AM8" s="457">
        <f>+$I$8*q17a!$I$8</f>
        <v>265726.23</v>
      </c>
      <c r="AN8" s="457">
        <f>+$J$8*q17a!$J$8</f>
        <v>310484.82</v>
      </c>
      <c r="AO8" s="457">
        <f>+$K$8*q17a!$K$8</f>
        <v>401995.1</v>
      </c>
      <c r="AP8" s="457">
        <f>+$L$8*q17a!$L$8</f>
        <v>397753.41</v>
      </c>
      <c r="AQ8" s="457">
        <f>+$M$8*q17a!$M$8</f>
        <v>453319.09</v>
      </c>
    </row>
    <row r="9" spans="1:54" s="121" customFormat="1" ht="12.75" customHeight="1">
      <c r="A9" s="55"/>
      <c r="B9" s="56" t="str">
        <f>+'q26'!B9</f>
        <v>H</v>
      </c>
      <c r="C9" s="727">
        <f>+'q26'!C9</f>
        <v>751.18</v>
      </c>
      <c r="D9" s="727">
        <f>+'q26'!D9</f>
        <v>701.72</v>
      </c>
      <c r="E9" s="727">
        <f>+'q26'!E9</f>
        <v>744.59</v>
      </c>
      <c r="F9" s="727">
        <f>+'q26'!F9</f>
        <v>727.96</v>
      </c>
      <c r="G9" s="727">
        <f>+'q26'!G9</f>
        <v>733.3</v>
      </c>
      <c r="H9" s="727">
        <f>+'q26'!H9</f>
        <v>1031.6600000000001</v>
      </c>
      <c r="I9" s="727">
        <f>+'q26'!I9</f>
        <v>1255.5999999999999</v>
      </c>
      <c r="J9" s="727">
        <f>+'q26'!J9</f>
        <v>1222.71</v>
      </c>
      <c r="K9" s="727">
        <f>+'q26'!K9</f>
        <v>1184.3699999999999</v>
      </c>
      <c r="L9" s="727">
        <f>+'q26'!L9</f>
        <v>1204.42</v>
      </c>
      <c r="M9" s="727">
        <f>+'q26'!M9</f>
        <v>1446.9</v>
      </c>
      <c r="N9" s="214"/>
      <c r="O9" s="286"/>
      <c r="P9" s="55"/>
      <c r="Q9" s="56" t="s">
        <v>52</v>
      </c>
      <c r="R9" s="457">
        <f>+$C$9</f>
        <v>751.18</v>
      </c>
      <c r="S9" s="457">
        <f>+$D$9</f>
        <v>701.72</v>
      </c>
      <c r="T9" s="457">
        <f>+$E$9</f>
        <v>744.59</v>
      </c>
      <c r="U9" s="457">
        <f>+$F$9</f>
        <v>727.96</v>
      </c>
      <c r="V9" s="457">
        <f>+$G$9</f>
        <v>733.3</v>
      </c>
      <c r="W9" s="457">
        <f>+$H$9</f>
        <v>1031.6600000000001</v>
      </c>
      <c r="X9" s="457">
        <f>+$I$9</f>
        <v>1255.5999999999999</v>
      </c>
      <c r="Y9" s="457">
        <f>+$J$9</f>
        <v>1222.71</v>
      </c>
      <c r="Z9" s="457">
        <f>+$K$9</f>
        <v>1184.3699999999999</v>
      </c>
      <c r="AA9" s="457">
        <f>+$L$9</f>
        <v>1204.42</v>
      </c>
      <c r="AB9" s="457">
        <f>+$M$9</f>
        <v>1446.9</v>
      </c>
      <c r="AE9" s="55"/>
      <c r="AF9" s="56" t="s">
        <v>52</v>
      </c>
      <c r="AG9" s="457">
        <f>+$C$9*q17a!$C$9</f>
        <v>129954.13999999998</v>
      </c>
      <c r="AH9" s="457">
        <f>+$D$9*q17a!$D$9</f>
        <v>115082.08</v>
      </c>
      <c r="AI9" s="457">
        <f>+$E$9*q17a!$E$9</f>
        <v>142216.69</v>
      </c>
      <c r="AJ9" s="457">
        <f>+$F$9*q17a!$F$9</f>
        <v>200189</v>
      </c>
      <c r="AK9" s="457">
        <f>+$G$9*q17a!$G$9</f>
        <v>184791.59999999998</v>
      </c>
      <c r="AL9" s="457">
        <f>+$H$9*q17a!$H$9</f>
        <v>261009.98</v>
      </c>
      <c r="AM9" s="457">
        <f>+$I$9*q17a!$I$9</f>
        <v>238563.99999999997</v>
      </c>
      <c r="AN9" s="457">
        <f>+$J$9*q17a!$J$9</f>
        <v>266550.78000000003</v>
      </c>
      <c r="AO9" s="457">
        <f>+$K$9*q17a!$K$9</f>
        <v>326886.12</v>
      </c>
      <c r="AP9" s="457">
        <f>+$L$9*q17a!$L$9</f>
        <v>323988.98000000004</v>
      </c>
      <c r="AQ9" s="457">
        <f>+$M$9*q17a!$M$9</f>
        <v>384875.4</v>
      </c>
    </row>
    <row r="10" spans="1:54" s="121" customFormat="1" ht="12.75" customHeight="1">
      <c r="A10" s="54"/>
      <c r="B10" s="56" t="str">
        <f>+'q26'!B10</f>
        <v>M</v>
      </c>
      <c r="C10" s="727">
        <f>+'q26'!C10</f>
        <v>523.85</v>
      </c>
      <c r="D10" s="727">
        <f>+'q26'!D10</f>
        <v>525.66</v>
      </c>
      <c r="E10" s="727">
        <f>+'q26'!E10</f>
        <v>546.78</v>
      </c>
      <c r="F10" s="727">
        <f>+'q26'!F10</f>
        <v>564.61</v>
      </c>
      <c r="G10" s="727">
        <f>+'q26'!G10</f>
        <v>609.04999999999995</v>
      </c>
      <c r="H10" s="727">
        <f>+'q26'!H10</f>
        <v>698</v>
      </c>
      <c r="I10" s="727">
        <f>+'q26'!I10</f>
        <v>662.49</v>
      </c>
      <c r="J10" s="727">
        <f>+'q26'!J10</f>
        <v>686.48</v>
      </c>
      <c r="K10" s="727">
        <f>+'q26'!K10</f>
        <v>743.66</v>
      </c>
      <c r="L10" s="727">
        <f>+'q26'!L10</f>
        <v>801.79</v>
      </c>
      <c r="M10" s="727">
        <f>+'q26'!M10</f>
        <v>888.86</v>
      </c>
      <c r="N10" s="214"/>
      <c r="O10" s="286"/>
      <c r="P10" s="54"/>
      <c r="Q10" s="56" t="s">
        <v>53</v>
      </c>
      <c r="R10" s="457">
        <f>+$C$10</f>
        <v>523.85</v>
      </c>
      <c r="S10" s="457">
        <f>+$D$10</f>
        <v>525.66</v>
      </c>
      <c r="T10" s="457">
        <f>+$E$10</f>
        <v>546.78</v>
      </c>
      <c r="U10" s="457">
        <f>+$F$10</f>
        <v>564.61</v>
      </c>
      <c r="V10" s="457">
        <f>+$G$10</f>
        <v>609.04999999999995</v>
      </c>
      <c r="W10" s="457">
        <f>+$H$10</f>
        <v>698</v>
      </c>
      <c r="X10" s="457">
        <f>+$I$10</f>
        <v>662.49</v>
      </c>
      <c r="Y10" s="457">
        <f>+$J$10</f>
        <v>686.48</v>
      </c>
      <c r="Z10" s="457">
        <f>+$K$10</f>
        <v>743.66</v>
      </c>
      <c r="AA10" s="457">
        <f>+$L$10</f>
        <v>801.79</v>
      </c>
      <c r="AB10" s="457">
        <f>+$M$10</f>
        <v>888.86</v>
      </c>
      <c r="AE10" s="54"/>
      <c r="AF10" s="56" t="s">
        <v>53</v>
      </c>
      <c r="AG10" s="457">
        <f>+$C$10*q17a!$C$10</f>
        <v>47146.5</v>
      </c>
      <c r="AH10" s="457">
        <f>+$D$10*q17a!$D$10</f>
        <v>39950.159999999996</v>
      </c>
      <c r="AI10" s="457">
        <f>+$E$10*q17a!$E$10</f>
        <v>41555.279999999999</v>
      </c>
      <c r="AJ10" s="457">
        <f>+$F$10*q17a!$F$10</f>
        <v>59284.05</v>
      </c>
      <c r="AK10" s="457">
        <f>+$G$10*q17a!$G$10</f>
        <v>73086</v>
      </c>
      <c r="AL10" s="457">
        <f>+$H$10*q17a!$H$10</f>
        <v>67008</v>
      </c>
      <c r="AM10" s="457">
        <f>+$I$10*q17a!$I$10</f>
        <v>27162.09</v>
      </c>
      <c r="AN10" s="457">
        <f>+$J$10*q17a!$J$10</f>
        <v>43934.720000000001</v>
      </c>
      <c r="AO10" s="457">
        <f>+$K$10*q17a!$K$10</f>
        <v>75109.66</v>
      </c>
      <c r="AP10" s="457">
        <f>+$L$10*q17a!$L$10</f>
        <v>73764.679999999993</v>
      </c>
      <c r="AQ10" s="457">
        <f>+$M$10*q17a!$M$10</f>
        <v>68442.22</v>
      </c>
    </row>
    <row r="11" spans="1:54" s="121" customFormat="1" ht="16.5" customHeight="1">
      <c r="A11" s="54" t="str">
        <f>+'q26'!A11</f>
        <v>18-24 anos</v>
      </c>
      <c r="B11" s="52" t="str">
        <f>+'q26'!B11</f>
        <v>T</v>
      </c>
      <c r="C11" s="726">
        <f>+'q26'!C11</f>
        <v>607.62</v>
      </c>
      <c r="D11" s="726">
        <f>+'q26'!D11</f>
        <v>621.04999999999995</v>
      </c>
      <c r="E11" s="726">
        <f>+'q26'!E11</f>
        <v>639.49</v>
      </c>
      <c r="F11" s="726">
        <f>+'q26'!F11</f>
        <v>664.29</v>
      </c>
      <c r="G11" s="726">
        <f>+'q26'!G11</f>
        <v>693.67</v>
      </c>
      <c r="H11" s="726">
        <f>+'q26'!H11</f>
        <v>727.92</v>
      </c>
      <c r="I11" s="726">
        <f>+'q26'!I11</f>
        <v>762.02</v>
      </c>
      <c r="J11" s="726">
        <f>+'q26'!J11</f>
        <v>799.28</v>
      </c>
      <c r="K11" s="726">
        <f>+'q26'!K11</f>
        <v>857.95</v>
      </c>
      <c r="L11" s="726">
        <f>+'q26'!L11</f>
        <v>925.26</v>
      </c>
      <c r="M11" s="726">
        <f>+'q26'!M11</f>
        <v>996.39</v>
      </c>
      <c r="N11" s="214"/>
      <c r="O11" s="286"/>
      <c r="P11" s="54" t="s">
        <v>55</v>
      </c>
      <c r="Q11" s="52" t="s">
        <v>44</v>
      </c>
      <c r="R11" s="457">
        <f>+$C$11</f>
        <v>607.62</v>
      </c>
      <c r="S11" s="457">
        <f>+$D$11</f>
        <v>621.04999999999995</v>
      </c>
      <c r="T11" s="457">
        <f>+$E$11</f>
        <v>639.49</v>
      </c>
      <c r="U11" s="457">
        <f>+$F$11</f>
        <v>664.29</v>
      </c>
      <c r="V11" s="457">
        <f>+$G$11</f>
        <v>693.67</v>
      </c>
      <c r="W11" s="457">
        <f>+$H$11</f>
        <v>727.92</v>
      </c>
      <c r="X11" s="457">
        <f>+$I$11</f>
        <v>762.02</v>
      </c>
      <c r="Y11" s="457">
        <f>+$J$11</f>
        <v>799.28</v>
      </c>
      <c r="Z11" s="457">
        <f>+$K$11</f>
        <v>857.95</v>
      </c>
      <c r="AA11" s="457">
        <f>+$L$11</f>
        <v>925.26</v>
      </c>
      <c r="AB11" s="457">
        <f>+$M$11</f>
        <v>996.39</v>
      </c>
      <c r="AE11" s="54" t="s">
        <v>55</v>
      </c>
      <c r="AF11" s="52" t="s">
        <v>44</v>
      </c>
      <c r="AG11" s="457">
        <f>+$C$11*q17a!$C$11</f>
        <v>67870546.379999995</v>
      </c>
      <c r="AH11" s="457">
        <f>+$D$11*q17a!$D$11</f>
        <v>74876272.199999988</v>
      </c>
      <c r="AI11" s="457">
        <f>+$E$11*q17a!$E$11</f>
        <v>82646408.620000005</v>
      </c>
      <c r="AJ11" s="457">
        <f>+$F$11*q17a!$F$11</f>
        <v>93663561.420000002</v>
      </c>
      <c r="AK11" s="457">
        <f>+$G$11*q17a!$G$11</f>
        <v>105566862.61999999</v>
      </c>
      <c r="AL11" s="457">
        <f>+$H$11*q17a!$H$11</f>
        <v>114886157.75999999</v>
      </c>
      <c r="AM11" s="457">
        <f>+$I$11*q17a!$I$11</f>
        <v>107232216.42</v>
      </c>
      <c r="AN11" s="457">
        <f>+$J$11*q17a!$J$11</f>
        <v>114487268.64</v>
      </c>
      <c r="AO11" s="457">
        <f>+$K$11*q17a!$K$11</f>
        <v>139691419</v>
      </c>
      <c r="AP11" s="457">
        <f>+$L$11*q17a!$L$11</f>
        <v>158034408</v>
      </c>
      <c r="AQ11" s="457">
        <f>+$M$11*q17a!$M$11</f>
        <v>169109303.57999998</v>
      </c>
    </row>
    <row r="12" spans="1:54" s="121" customFormat="1" ht="12.75" customHeight="1">
      <c r="A12" s="55"/>
      <c r="B12" s="56" t="str">
        <f>+'q26'!B12</f>
        <v>H</v>
      </c>
      <c r="C12" s="727">
        <f>+'q26'!C12</f>
        <v>629.14</v>
      </c>
      <c r="D12" s="727">
        <f>+'q26'!D12</f>
        <v>644.54999999999995</v>
      </c>
      <c r="E12" s="727">
        <f>+'q26'!E12</f>
        <v>660.61</v>
      </c>
      <c r="F12" s="727">
        <f>+'q26'!F12</f>
        <v>682.81</v>
      </c>
      <c r="G12" s="727">
        <f>+'q26'!G12</f>
        <v>713.13</v>
      </c>
      <c r="H12" s="727">
        <f>+'q26'!H12</f>
        <v>749.74</v>
      </c>
      <c r="I12" s="727">
        <f>+'q26'!I12</f>
        <v>781.78</v>
      </c>
      <c r="J12" s="727">
        <f>+'q26'!J12</f>
        <v>817.96</v>
      </c>
      <c r="K12" s="727">
        <f>+'q26'!K12</f>
        <v>881.22</v>
      </c>
      <c r="L12" s="727">
        <f>+'q26'!L12</f>
        <v>950.5</v>
      </c>
      <c r="M12" s="727">
        <f>+'q26'!M12</f>
        <v>1025.51</v>
      </c>
      <c r="N12" s="214"/>
      <c r="O12" s="286"/>
      <c r="P12" s="55"/>
      <c r="Q12" s="56" t="s">
        <v>52</v>
      </c>
      <c r="R12" s="457">
        <f>+$C$12</f>
        <v>629.14</v>
      </c>
      <c r="S12" s="457">
        <f>+$D$12</f>
        <v>644.54999999999995</v>
      </c>
      <c r="T12" s="457">
        <f>+$E$12</f>
        <v>660.61</v>
      </c>
      <c r="U12" s="457">
        <f>+$F$12</f>
        <v>682.81</v>
      </c>
      <c r="V12" s="457">
        <f>+$G$12</f>
        <v>713.13</v>
      </c>
      <c r="W12" s="457">
        <f>+$H$12</f>
        <v>749.74</v>
      </c>
      <c r="X12" s="457">
        <f>+$I$12</f>
        <v>781.78</v>
      </c>
      <c r="Y12" s="457">
        <f>+$J$12</f>
        <v>817.96</v>
      </c>
      <c r="Z12" s="457">
        <f>+$K$12</f>
        <v>881.22</v>
      </c>
      <c r="AA12" s="457">
        <f>+$L$12</f>
        <v>950.5</v>
      </c>
      <c r="AB12" s="457">
        <f>+$M$12</f>
        <v>1025.51</v>
      </c>
      <c r="AE12" s="55"/>
      <c r="AF12" s="56" t="s">
        <v>52</v>
      </c>
      <c r="AG12" s="457">
        <f>+$C$12*q17a!$C$12</f>
        <v>39891250.839999996</v>
      </c>
      <c r="AH12" s="457">
        <f>+$D$12*q17a!$D$12</f>
        <v>43853248.349999994</v>
      </c>
      <c r="AI12" s="457">
        <f>+$E$12*q17a!$E$12</f>
        <v>48182250.960000001</v>
      </c>
      <c r="AJ12" s="457">
        <f>+$F$12*q17a!$F$12</f>
        <v>54400155.509999998</v>
      </c>
      <c r="AK12" s="457">
        <f>+$G$12*q17a!$G$12</f>
        <v>62010219.149999999</v>
      </c>
      <c r="AL12" s="457">
        <f>+$H$12*q17a!$H$12</f>
        <v>67517835.700000003</v>
      </c>
      <c r="AM12" s="457">
        <f>+$I$12*q17a!$I$12</f>
        <v>63883934.479999997</v>
      </c>
      <c r="AN12" s="457">
        <f>+$J$12*q17a!$J$12</f>
        <v>66947572.120000005</v>
      </c>
      <c r="AO12" s="457">
        <f>+$K$12*q17a!$K$12</f>
        <v>81666182.280000001</v>
      </c>
      <c r="AP12" s="457">
        <f>+$L$12*q17a!$L$12</f>
        <v>93149000</v>
      </c>
      <c r="AQ12" s="457">
        <f>+$M$12*q17a!$M$12</f>
        <v>101048627.84999999</v>
      </c>
    </row>
    <row r="13" spans="1:54" s="121" customFormat="1" ht="12.75" customHeight="1">
      <c r="A13" s="54"/>
      <c r="B13" s="56" t="str">
        <f>+'q26'!B13</f>
        <v>M</v>
      </c>
      <c r="C13" s="727">
        <f>+'q26'!C13</f>
        <v>579.35</v>
      </c>
      <c r="D13" s="727">
        <f>+'q26'!D13</f>
        <v>590.6</v>
      </c>
      <c r="E13" s="727">
        <f>+'q26'!E13</f>
        <v>612.13</v>
      </c>
      <c r="F13" s="727">
        <f>+'q26'!F13</f>
        <v>640.24</v>
      </c>
      <c r="G13" s="727">
        <f>+'q26'!G13</f>
        <v>667.73</v>
      </c>
      <c r="H13" s="727">
        <f>+'q26'!H13</f>
        <v>698.92</v>
      </c>
      <c r="I13" s="727">
        <f>+'q26'!I13</f>
        <v>734.65</v>
      </c>
      <c r="J13" s="727">
        <f>+'q26'!J13</f>
        <v>774.37</v>
      </c>
      <c r="K13" s="727">
        <f>+'q26'!K13</f>
        <v>827.2</v>
      </c>
      <c r="L13" s="727">
        <f>+'q26'!L13</f>
        <v>891.28</v>
      </c>
      <c r="M13" s="727">
        <f>+'q26'!M13</f>
        <v>956.09</v>
      </c>
      <c r="N13" s="214"/>
      <c r="O13" s="286"/>
      <c r="P13" s="54"/>
      <c r="Q13" s="56" t="s">
        <v>53</v>
      </c>
      <c r="R13" s="457">
        <f>+$C$13</f>
        <v>579.35</v>
      </c>
      <c r="S13" s="457">
        <f>+$D$13</f>
        <v>590.6</v>
      </c>
      <c r="T13" s="457">
        <f>+$E$13</f>
        <v>612.13</v>
      </c>
      <c r="U13" s="457">
        <f>+$F$13</f>
        <v>640.24</v>
      </c>
      <c r="V13" s="457">
        <f>+$G$13</f>
        <v>667.73</v>
      </c>
      <c r="W13" s="457">
        <f>+$H$13</f>
        <v>698.92</v>
      </c>
      <c r="X13" s="457">
        <f>+$I$13</f>
        <v>734.65</v>
      </c>
      <c r="Y13" s="457">
        <f>+$J$13</f>
        <v>774.37</v>
      </c>
      <c r="Z13" s="457">
        <f>+$K$13</f>
        <v>827.2</v>
      </c>
      <c r="AA13" s="457">
        <f>+$L$13</f>
        <v>891.28</v>
      </c>
      <c r="AB13" s="457">
        <f>+$M$13</f>
        <v>956.09</v>
      </c>
      <c r="AE13" s="54"/>
      <c r="AF13" s="56" t="s">
        <v>53</v>
      </c>
      <c r="AG13" s="457">
        <f>+$C$13*q17a!$C$13</f>
        <v>27978549.550000001</v>
      </c>
      <c r="AH13" s="457">
        <f>+$D$13*q17a!$D$13</f>
        <v>31022446.200000003</v>
      </c>
      <c r="AI13" s="457">
        <f>+$E$13*q17a!$E$13</f>
        <v>34464143.259999998</v>
      </c>
      <c r="AJ13" s="457">
        <f>+$F$13*q17a!$F$13</f>
        <v>39263998.480000004</v>
      </c>
      <c r="AK13" s="457">
        <f>+$G$13*q17a!$G$13</f>
        <v>43556695.630000003</v>
      </c>
      <c r="AL13" s="457">
        <f>+$H$13*q17a!$H$13</f>
        <v>47367905.159999996</v>
      </c>
      <c r="AM13" s="457">
        <f>+$I$13*q17a!$I$13</f>
        <v>43348023.25</v>
      </c>
      <c r="AN13" s="457">
        <f>+$J$13*q17a!$J$13</f>
        <v>47539348.670000002</v>
      </c>
      <c r="AO13" s="457">
        <f>+$K$13*q17a!$K$13</f>
        <v>58024771.200000003</v>
      </c>
      <c r="AP13" s="457">
        <f>+$L$13*q17a!$L$13</f>
        <v>64885184</v>
      </c>
      <c r="AQ13" s="457">
        <f>+$M$13*q17a!$M$13</f>
        <v>68061178.829999998</v>
      </c>
    </row>
    <row r="14" spans="1:54" s="121" customFormat="1" ht="16.5" customHeight="1">
      <c r="A14" s="54" t="str">
        <f>+'q26'!A14</f>
        <v>25-29 anos</v>
      </c>
      <c r="B14" s="52" t="str">
        <f>+'q26'!B14</f>
        <v>T</v>
      </c>
      <c r="C14" s="726">
        <f>+'q26'!C14</f>
        <v>726.43</v>
      </c>
      <c r="D14" s="726">
        <f>+'q26'!D14</f>
        <v>735.23</v>
      </c>
      <c r="E14" s="726">
        <f>+'q26'!E14</f>
        <v>756.47</v>
      </c>
      <c r="F14" s="726">
        <f>+'q26'!F14</f>
        <v>788.46</v>
      </c>
      <c r="G14" s="726">
        <f>+'q26'!G14</f>
        <v>822.43</v>
      </c>
      <c r="H14" s="726">
        <f>+'q26'!H14</f>
        <v>863.94</v>
      </c>
      <c r="I14" s="726">
        <f>+'q26'!I14</f>
        <v>902.1</v>
      </c>
      <c r="J14" s="726">
        <f>+'q26'!J14</f>
        <v>951.35</v>
      </c>
      <c r="K14" s="726">
        <f>+'q26'!K14</f>
        <v>1019.31</v>
      </c>
      <c r="L14" s="726">
        <f>+'q26'!L14</f>
        <v>1081.18</v>
      </c>
      <c r="M14" s="726">
        <f>+'q26'!M14</f>
        <v>1157.32</v>
      </c>
      <c r="N14" s="214"/>
      <c r="O14" s="286"/>
      <c r="P14" s="54" t="s">
        <v>56</v>
      </c>
      <c r="Q14" s="52" t="s">
        <v>44</v>
      </c>
      <c r="R14" s="121">
        <f>+$C$14*q17a!$C$14</f>
        <v>154736854.29999998</v>
      </c>
      <c r="S14" s="121">
        <f>+$D$14*q17a!$D$14</f>
        <v>159725776.58000001</v>
      </c>
      <c r="T14" s="121">
        <f>+$E$14*q17a!$E$14</f>
        <v>170249625.26000002</v>
      </c>
      <c r="U14" s="121">
        <f>+$F$14*q17a!$F$14</f>
        <v>185528580.30000001</v>
      </c>
      <c r="V14" s="121">
        <f>+$G$14*q17a!$G$14</f>
        <v>203618864.25999999</v>
      </c>
      <c r="W14" s="121">
        <f>+$H$14*q17a!$H$14</f>
        <v>220963886.22000003</v>
      </c>
      <c r="X14" s="121">
        <f>+$I$14*q17a!$I$14</f>
        <v>220044742.5</v>
      </c>
      <c r="Y14" s="121">
        <f>+$J$14*q17a!$J$14</f>
        <v>235670324.70000002</v>
      </c>
      <c r="Z14" s="121">
        <f>+$K$14*q17a!$K$14</f>
        <v>278273668.62</v>
      </c>
      <c r="AA14" s="121">
        <f>+$L$14*q17a!$L$14</f>
        <v>311492282.72000003</v>
      </c>
      <c r="AB14" s="121">
        <f>+$M$14*q17a!$M$14</f>
        <v>347587174.15999997</v>
      </c>
      <c r="AE14" s="54" t="s">
        <v>56</v>
      </c>
      <c r="AF14" s="52" t="s">
        <v>44</v>
      </c>
      <c r="AG14" s="121">
        <f>+$C$14*q17a!$C$14</f>
        <v>154736854.29999998</v>
      </c>
      <c r="AH14" s="121">
        <f>+$D$14*q17a!$D$14</f>
        <v>159725776.58000001</v>
      </c>
      <c r="AI14" s="121">
        <f>+$E$14*q17a!$E$14</f>
        <v>170249625.26000002</v>
      </c>
      <c r="AJ14" s="121">
        <f>+$F$14*q17a!$F$14</f>
        <v>185528580.30000001</v>
      </c>
      <c r="AK14" s="121">
        <f>+$G$14*q17a!$G$14</f>
        <v>203618864.25999999</v>
      </c>
      <c r="AL14" s="121">
        <f>+$H$14*q17a!$H$14</f>
        <v>220963886.22000003</v>
      </c>
      <c r="AM14" s="121">
        <f>+$I$14*q17a!$I$14</f>
        <v>220044742.5</v>
      </c>
      <c r="AN14" s="121">
        <f>+$J$14*q17a!$J$14</f>
        <v>235670324.70000002</v>
      </c>
      <c r="AO14" s="121">
        <f>+$K$14*q17a!$K$14</f>
        <v>278273668.62</v>
      </c>
      <c r="AP14" s="121">
        <f>+$L$14*q17a!$L$14</f>
        <v>311492282.72000003</v>
      </c>
      <c r="AQ14" s="121">
        <f>+$M$14*q17a!$M$14</f>
        <v>347587174.15999997</v>
      </c>
    </row>
    <row r="15" spans="1:54" s="121" customFormat="1" ht="12.75" customHeight="1">
      <c r="A15" s="55"/>
      <c r="B15" s="56" t="str">
        <f>+'q26'!B15</f>
        <v>H</v>
      </c>
      <c r="C15" s="727">
        <f>+'q26'!C15</f>
        <v>749.18</v>
      </c>
      <c r="D15" s="727">
        <f>+'q26'!D15</f>
        <v>763.39</v>
      </c>
      <c r="E15" s="727">
        <f>+'q26'!E15</f>
        <v>785.23</v>
      </c>
      <c r="F15" s="727">
        <f>+'q26'!F15</f>
        <v>819.22</v>
      </c>
      <c r="G15" s="727">
        <f>+'q26'!G15</f>
        <v>854.04</v>
      </c>
      <c r="H15" s="727">
        <f>+'q26'!H15</f>
        <v>896.09</v>
      </c>
      <c r="I15" s="727">
        <f>+'q26'!I15</f>
        <v>930.39</v>
      </c>
      <c r="J15" s="727">
        <f>+'q26'!J15</f>
        <v>984.62</v>
      </c>
      <c r="K15" s="727">
        <f>+'q26'!K15</f>
        <v>1055.55</v>
      </c>
      <c r="L15" s="727">
        <f>+'q26'!L15</f>
        <v>1111.71</v>
      </c>
      <c r="M15" s="727">
        <f>+'q26'!M15</f>
        <v>1188.71</v>
      </c>
      <c r="N15" s="214"/>
      <c r="O15" s="286"/>
      <c r="P15" s="55"/>
      <c r="Q15" s="56" t="s">
        <v>52</v>
      </c>
      <c r="R15" s="121">
        <f>+$C$15*q17a!$C$15</f>
        <v>83762819.079999998</v>
      </c>
      <c r="S15" s="121">
        <f>+$D$15*q17a!$D$15</f>
        <v>86694385.349999994</v>
      </c>
      <c r="T15" s="121">
        <f>+$E$15*q17a!$E$15</f>
        <v>92987721.829999998</v>
      </c>
      <c r="U15" s="121">
        <f>+$F$15*q17a!$F$15</f>
        <v>102035489.44</v>
      </c>
      <c r="V15" s="121">
        <f>+$G$15*q17a!$G$15</f>
        <v>112536850.8</v>
      </c>
      <c r="W15" s="121">
        <f>+$H$15*q17a!$H$15</f>
        <v>122501775.63000001</v>
      </c>
      <c r="X15" s="121">
        <f>+$I$15*q17a!$I$15</f>
        <v>122654244.09</v>
      </c>
      <c r="Y15" s="121">
        <f>+$J$15*q17a!$J$15</f>
        <v>131387692.8</v>
      </c>
      <c r="Z15" s="121">
        <f>+$K$15*q17a!$K$15</f>
        <v>156890618.69999999</v>
      </c>
      <c r="AA15" s="121">
        <f>+$L$15*q17a!$L$15</f>
        <v>176217152.09999999</v>
      </c>
      <c r="AB15" s="121">
        <f>+$M$15*q17a!$M$15</f>
        <v>198381434.48000002</v>
      </c>
      <c r="AE15" s="55"/>
      <c r="AF15" s="56" t="s">
        <v>52</v>
      </c>
      <c r="AG15" s="121">
        <f>+$C$15*q17a!$C$15</f>
        <v>83762819.079999998</v>
      </c>
      <c r="AH15" s="121">
        <f>+$D$15*q17a!$D$15</f>
        <v>86694385.349999994</v>
      </c>
      <c r="AI15" s="121">
        <f>+$E$15*q17a!$E$15</f>
        <v>92987721.829999998</v>
      </c>
      <c r="AJ15" s="121">
        <f>+$F$15*q17a!$F$15</f>
        <v>102035489.44</v>
      </c>
      <c r="AK15" s="121">
        <f>+$G$15*q17a!$G$15</f>
        <v>112536850.8</v>
      </c>
      <c r="AL15" s="121">
        <f>+$H$15*q17a!$H$15</f>
        <v>122501775.63000001</v>
      </c>
      <c r="AM15" s="121">
        <f>+$I$15*q17a!$I$15</f>
        <v>122654244.09</v>
      </c>
      <c r="AN15" s="121">
        <f>+$J$15*q17a!$J$15</f>
        <v>131387692.8</v>
      </c>
      <c r="AO15" s="121">
        <f>+$K$15*q17a!$K$15</f>
        <v>156890618.69999999</v>
      </c>
      <c r="AP15" s="121">
        <f>+$L$15*q17a!$L$15</f>
        <v>176217152.09999999</v>
      </c>
      <c r="AQ15" s="121">
        <f>+$M$15*q17a!$M$15</f>
        <v>198381434.48000002</v>
      </c>
    </row>
    <row r="16" spans="1:54" s="121" customFormat="1" ht="12.75" customHeight="1">
      <c r="A16" s="54"/>
      <c r="B16" s="56" t="str">
        <f>+'q26'!B16</f>
        <v>M</v>
      </c>
      <c r="C16" s="727">
        <f>+'q26'!C16</f>
        <v>701.29</v>
      </c>
      <c r="D16" s="727">
        <f>+'q26'!D16</f>
        <v>704.39</v>
      </c>
      <c r="E16" s="727">
        <f>+'q26'!E16</f>
        <v>724.54</v>
      </c>
      <c r="F16" s="727">
        <f>+'q26'!F16</f>
        <v>753.87</v>
      </c>
      <c r="G16" s="727">
        <f>+'q26'!G16</f>
        <v>786.45</v>
      </c>
      <c r="H16" s="727">
        <f>+'q26'!H16</f>
        <v>827.03</v>
      </c>
      <c r="I16" s="727">
        <f>+'q26'!I16</f>
        <v>868.82</v>
      </c>
      <c r="J16" s="727">
        <f>+'q26'!J16</f>
        <v>912.5</v>
      </c>
      <c r="K16" s="727">
        <f>+'q26'!K16</f>
        <v>975.99</v>
      </c>
      <c r="L16" s="727">
        <f>+'q26'!L16</f>
        <v>1043.8499999999999</v>
      </c>
      <c r="M16" s="727">
        <f>+'q26'!M16</f>
        <v>1118.07</v>
      </c>
      <c r="N16" s="214"/>
      <c r="O16" s="286"/>
      <c r="P16" s="54"/>
      <c r="Q16" s="56" t="s">
        <v>53</v>
      </c>
      <c r="R16" s="121">
        <f>+$C$16*q17a!$C$16</f>
        <v>70973353.159999996</v>
      </c>
      <c r="S16" s="121">
        <f>+$D$16*q17a!$D$16</f>
        <v>73031859.590000004</v>
      </c>
      <c r="T16" s="121">
        <f>+$E$16*q17a!$E$16</f>
        <v>77262771.979999989</v>
      </c>
      <c r="U16" s="121">
        <f>+$F$16*q17a!$F$16</f>
        <v>83493364.109999999</v>
      </c>
      <c r="V16" s="121">
        <f>+$G$16*q17a!$G$16</f>
        <v>91080347.400000006</v>
      </c>
      <c r="W16" s="121">
        <f>+$H$16*q17a!$H$16</f>
        <v>98462883.679999992</v>
      </c>
      <c r="X16" s="121">
        <f>+$I$16*q17a!$I$16</f>
        <v>97389509.079999998</v>
      </c>
      <c r="Y16" s="121">
        <f>+$J$16*q17a!$J$16</f>
        <v>104282325</v>
      </c>
      <c r="Z16" s="121">
        <f>+$K$16*q17a!$K$16</f>
        <v>121381924.32000001</v>
      </c>
      <c r="AA16" s="121">
        <f>+$L$16*q17a!$L$16</f>
        <v>135276696.89999998</v>
      </c>
      <c r="AB16" s="121">
        <f>+$M$16*q17a!$M$16</f>
        <v>149206441.5</v>
      </c>
      <c r="AE16" s="54"/>
      <c r="AF16" s="56" t="s">
        <v>53</v>
      </c>
      <c r="AG16" s="121">
        <f>+$C$16*q17a!$C$16</f>
        <v>70973353.159999996</v>
      </c>
      <c r="AH16" s="121">
        <f>+$D$16*q17a!$D$16</f>
        <v>73031859.590000004</v>
      </c>
      <c r="AI16" s="121">
        <f>+$E$16*q17a!$E$16</f>
        <v>77262771.979999989</v>
      </c>
      <c r="AJ16" s="121">
        <f>+$F$16*q17a!$F$16</f>
        <v>83493364.109999999</v>
      </c>
      <c r="AK16" s="121">
        <f>+$G$16*q17a!$G$16</f>
        <v>91080347.400000006</v>
      </c>
      <c r="AL16" s="121">
        <f>+$H$16*q17a!$H$16</f>
        <v>98462883.679999992</v>
      </c>
      <c r="AM16" s="121">
        <f>+$I$16*q17a!$I$16</f>
        <v>97389509.079999998</v>
      </c>
      <c r="AN16" s="121">
        <f>+$J$16*q17a!$J$16</f>
        <v>104282325</v>
      </c>
      <c r="AO16" s="121">
        <f>+$K$16*q17a!$K$16</f>
        <v>121381924.32000001</v>
      </c>
      <c r="AP16" s="121">
        <f>+$L$16*q17a!$L$16</f>
        <v>135276696.89999998</v>
      </c>
      <c r="AQ16" s="121">
        <f>+$M$16*q17a!$M$16</f>
        <v>149206441.5</v>
      </c>
    </row>
    <row r="17" spans="1:43" s="121" customFormat="1" ht="16.5" customHeight="1">
      <c r="A17" s="54" t="str">
        <f>+'q26'!A17</f>
        <v>30-34 anos</v>
      </c>
      <c r="B17" s="52" t="str">
        <f>+'q26'!B17</f>
        <v>T</v>
      </c>
      <c r="C17" s="726">
        <f>+'q26'!C17</f>
        <v>829.87</v>
      </c>
      <c r="D17" s="726">
        <f>+'q26'!D17</f>
        <v>834.19</v>
      </c>
      <c r="E17" s="726">
        <f>+'q26'!E17</f>
        <v>845.29</v>
      </c>
      <c r="F17" s="726">
        <f>+'q26'!F17</f>
        <v>867.5</v>
      </c>
      <c r="G17" s="726">
        <f>+'q26'!G17</f>
        <v>902.93</v>
      </c>
      <c r="H17" s="726">
        <f>+'q26'!H17</f>
        <v>948.01</v>
      </c>
      <c r="I17" s="726">
        <f>+'q26'!I17</f>
        <v>986.98</v>
      </c>
      <c r="J17" s="726">
        <f>+'q26'!J17</f>
        <v>1040.01</v>
      </c>
      <c r="K17" s="726">
        <f>+'q26'!K17</f>
        <v>1112.7</v>
      </c>
      <c r="L17" s="726">
        <f>+'q26'!L17</f>
        <v>1185.97</v>
      </c>
      <c r="M17" s="726">
        <f>+'q26'!M17</f>
        <v>1277.18</v>
      </c>
      <c r="N17" s="214"/>
      <c r="O17" s="286"/>
      <c r="P17" s="54" t="s">
        <v>57</v>
      </c>
      <c r="Q17" s="52" t="s">
        <v>44</v>
      </c>
      <c r="R17" s="121">
        <f>+$C$17*q17a!$C$17</f>
        <v>238587625</v>
      </c>
      <c r="S17" s="121">
        <f>+$D$17*q17a!$D$17</f>
        <v>236009868.99000001</v>
      </c>
      <c r="T17" s="121">
        <f>+$E$17*q17a!$E$17</f>
        <v>235360011.72999999</v>
      </c>
      <c r="U17" s="121">
        <f>+$F$17*q17a!$F$17</f>
        <v>239447350</v>
      </c>
      <c r="V17" s="121">
        <f>+$G$17*q17a!$G$17</f>
        <v>248417713.31999999</v>
      </c>
      <c r="W17" s="121">
        <f>+$H$17*q17a!$H$17</f>
        <v>259715871.59</v>
      </c>
      <c r="X17" s="121">
        <f>+$I$17*q17a!$I$17</f>
        <v>259880716.81999999</v>
      </c>
      <c r="Y17" s="121">
        <f>+$J$17*q17a!$J$17</f>
        <v>276862102.11000001</v>
      </c>
      <c r="Z17" s="121">
        <f>+$K$17*q17a!$K$17</f>
        <v>322478263.19999999</v>
      </c>
      <c r="AA17" s="121">
        <f>+$L$17*q17a!$L$17</f>
        <v>360362914.35000002</v>
      </c>
      <c r="AB17" s="121">
        <f>+$M$17*q17a!$M$17</f>
        <v>398379262.78000003</v>
      </c>
      <c r="AE17" s="54" t="s">
        <v>57</v>
      </c>
      <c r="AF17" s="52" t="s">
        <v>44</v>
      </c>
      <c r="AG17" s="121">
        <f>+$C$17*q17a!$C$17</f>
        <v>238587625</v>
      </c>
      <c r="AH17" s="121">
        <f>+$D$17*q17a!$D$17</f>
        <v>236009868.99000001</v>
      </c>
      <c r="AI17" s="121">
        <f>+$E$17*q17a!$E$17</f>
        <v>235360011.72999999</v>
      </c>
      <c r="AJ17" s="121">
        <f>+$F$17*q17a!$F$17</f>
        <v>239447350</v>
      </c>
      <c r="AK17" s="121">
        <f>+$G$17*q17a!$G$17</f>
        <v>248417713.31999999</v>
      </c>
      <c r="AL17" s="121">
        <f>+$H$17*q17a!$H$17</f>
        <v>259715871.59</v>
      </c>
      <c r="AM17" s="121">
        <f>+$I$17*q17a!$I$17</f>
        <v>259880716.81999999</v>
      </c>
      <c r="AN17" s="121">
        <f>+$J$17*q17a!$J$17</f>
        <v>276862102.11000001</v>
      </c>
      <c r="AO17" s="121">
        <f>+$K$17*q17a!$K$17</f>
        <v>322478263.19999999</v>
      </c>
      <c r="AP17" s="121">
        <f>+$L$17*q17a!$L$17</f>
        <v>360362914.35000002</v>
      </c>
      <c r="AQ17" s="121">
        <f>+$M$17*q17a!$M$17</f>
        <v>398379262.78000003</v>
      </c>
    </row>
    <row r="18" spans="1:43" s="121" customFormat="1" ht="12.75" customHeight="1">
      <c r="A18" s="55"/>
      <c r="B18" s="56" t="str">
        <f>+'q26'!B18</f>
        <v>H</v>
      </c>
      <c r="C18" s="727">
        <f>+'q26'!C18</f>
        <v>857.08</v>
      </c>
      <c r="D18" s="727">
        <f>+'q26'!D18</f>
        <v>864.51</v>
      </c>
      <c r="E18" s="727">
        <f>+'q26'!E18</f>
        <v>873.35</v>
      </c>
      <c r="F18" s="727">
        <f>+'q26'!F18</f>
        <v>898.33</v>
      </c>
      <c r="G18" s="727">
        <f>+'q26'!G18</f>
        <v>942.25</v>
      </c>
      <c r="H18" s="727">
        <f>+'q26'!H18</f>
        <v>988.77</v>
      </c>
      <c r="I18" s="727">
        <f>+'q26'!I18</f>
        <v>1026.54</v>
      </c>
      <c r="J18" s="727">
        <f>+'q26'!J18</f>
        <v>1081.76</v>
      </c>
      <c r="K18" s="727">
        <f>+'q26'!K18</f>
        <v>1155.03</v>
      </c>
      <c r="L18" s="727">
        <f>+'q26'!L18</f>
        <v>1226.97</v>
      </c>
      <c r="M18" s="727">
        <f>+'q26'!M18</f>
        <v>1309.56</v>
      </c>
      <c r="N18" s="214"/>
      <c r="O18" s="286"/>
      <c r="P18" s="55"/>
      <c r="Q18" s="56" t="s">
        <v>52</v>
      </c>
      <c r="R18" s="121">
        <f>+$C$18*q17a!$C$18</f>
        <v>129638492.48</v>
      </c>
      <c r="S18" s="121">
        <f>+$D$18*q17a!$D$18</f>
        <v>128339967.53999999</v>
      </c>
      <c r="T18" s="121">
        <f>+$E$18*q17a!$E$18</f>
        <v>128291621.60000001</v>
      </c>
      <c r="U18" s="121">
        <f>+$F$18*q17a!$F$18</f>
        <v>132071578.27000001</v>
      </c>
      <c r="V18" s="121">
        <f>+$G$18*q17a!$G$18</f>
        <v>139704580.75</v>
      </c>
      <c r="W18" s="121">
        <f>+$H$18*q17a!$H$18</f>
        <v>147189290.97</v>
      </c>
      <c r="X18" s="121">
        <f>+$I$18*q17a!$I$18</f>
        <v>148670708.57999998</v>
      </c>
      <c r="Y18" s="121">
        <f>+$J$18*q17a!$J$18</f>
        <v>158426997.28</v>
      </c>
      <c r="Z18" s="121">
        <f>+$K$18*q17a!$K$18</f>
        <v>186253207.62</v>
      </c>
      <c r="AA18" s="121">
        <f>+$L$18*q17a!$L$18</f>
        <v>208751767.92000002</v>
      </c>
      <c r="AB18" s="121">
        <f>+$M$18*q17a!$M$18</f>
        <v>232205940.95999998</v>
      </c>
      <c r="AE18" s="55"/>
      <c r="AF18" s="56" t="s">
        <v>52</v>
      </c>
      <c r="AG18" s="121">
        <f>+$C$18*q17a!$C$18</f>
        <v>129638492.48</v>
      </c>
      <c r="AH18" s="121">
        <f>+$D$18*q17a!$D$18</f>
        <v>128339967.53999999</v>
      </c>
      <c r="AI18" s="121">
        <f>+$E$18*q17a!$E$18</f>
        <v>128291621.60000001</v>
      </c>
      <c r="AJ18" s="121">
        <f>+$F$18*q17a!$F$18</f>
        <v>132071578.27000001</v>
      </c>
      <c r="AK18" s="121">
        <f>+$G$18*q17a!$G$18</f>
        <v>139704580.75</v>
      </c>
      <c r="AL18" s="121">
        <f>+$H$18*q17a!$H$18</f>
        <v>147189290.97</v>
      </c>
      <c r="AM18" s="121">
        <f>+$I$18*q17a!$I$18</f>
        <v>148670708.57999998</v>
      </c>
      <c r="AN18" s="121">
        <f>+$J$18*q17a!$J$18</f>
        <v>158426997.28</v>
      </c>
      <c r="AO18" s="121">
        <f>+$K$18*q17a!$K$18</f>
        <v>186253207.62</v>
      </c>
      <c r="AP18" s="121">
        <f>+$L$18*q17a!$L$18</f>
        <v>208751767.92000002</v>
      </c>
      <c r="AQ18" s="121">
        <f>+$M$18*q17a!$M$18</f>
        <v>232205940.95999998</v>
      </c>
    </row>
    <row r="19" spans="1:43" s="121" customFormat="1" ht="12.75" customHeight="1">
      <c r="A19" s="54"/>
      <c r="B19" s="56" t="str">
        <f>+'q26'!B19</f>
        <v>M</v>
      </c>
      <c r="C19" s="727">
        <f>+'q26'!C19</f>
        <v>799.66</v>
      </c>
      <c r="D19" s="727">
        <f>+'q26'!D19</f>
        <v>800.73</v>
      </c>
      <c r="E19" s="727">
        <f>+'q26'!E19</f>
        <v>813.95</v>
      </c>
      <c r="F19" s="727">
        <f>+'q26'!F19</f>
        <v>832.36</v>
      </c>
      <c r="G19" s="727">
        <f>+'q26'!G19</f>
        <v>856.99</v>
      </c>
      <c r="H19" s="727">
        <f>+'q26'!H19</f>
        <v>899.5</v>
      </c>
      <c r="I19" s="727">
        <f>+'q26'!I19</f>
        <v>938.62</v>
      </c>
      <c r="J19" s="727">
        <f>+'q26'!J19</f>
        <v>988.96</v>
      </c>
      <c r="K19" s="727">
        <f>+'q26'!K19</f>
        <v>1059.5999999999999</v>
      </c>
      <c r="L19" s="727">
        <f>+'q26'!L19</f>
        <v>1133.8</v>
      </c>
      <c r="M19" s="727">
        <f>+'q26'!M19</f>
        <v>1234.54</v>
      </c>
      <c r="N19" s="214"/>
      <c r="O19" s="286"/>
      <c r="P19" s="54"/>
      <c r="Q19" s="56" t="s">
        <v>53</v>
      </c>
      <c r="R19" s="121">
        <f>+$C$19*q17a!$C$19</f>
        <v>108948877.03999999</v>
      </c>
      <c r="S19" s="121">
        <f>+$D$19*q17a!$D$19</f>
        <v>107671760.91</v>
      </c>
      <c r="T19" s="121">
        <f>+$E$19*q17a!$E$19</f>
        <v>107067796.95</v>
      </c>
      <c r="U19" s="121">
        <f>+$F$19*q17a!$F$19</f>
        <v>107375272.36</v>
      </c>
      <c r="V19" s="121">
        <f>+$G$19*q17a!$G$19</f>
        <v>108715180.43000001</v>
      </c>
      <c r="W19" s="121">
        <f>+$H$19*q17a!$H$19</f>
        <v>112525651</v>
      </c>
      <c r="X19" s="121">
        <f>+$I$19*q17a!$I$19</f>
        <v>111209574.84</v>
      </c>
      <c r="Y19" s="121">
        <f>+$J$19*q17a!$J$19</f>
        <v>118435871.68000001</v>
      </c>
      <c r="Z19" s="121">
        <f>+$K$19*q17a!$K$19</f>
        <v>136224295.19999999</v>
      </c>
      <c r="AA19" s="121">
        <f>+$L$19*q17a!$L$19</f>
        <v>151610602.19999999</v>
      </c>
      <c r="AB19" s="121">
        <f>+$M$19*q17a!$M$19</f>
        <v>166175256.69999999</v>
      </c>
      <c r="AE19" s="54"/>
      <c r="AF19" s="56" t="s">
        <v>53</v>
      </c>
      <c r="AG19" s="121">
        <f>+$C$19*q17a!$C$19</f>
        <v>108948877.03999999</v>
      </c>
      <c r="AH19" s="121">
        <f>+$D$19*q17a!$D$19</f>
        <v>107671760.91</v>
      </c>
      <c r="AI19" s="121">
        <f>+$E$19*q17a!$E$19</f>
        <v>107067796.95</v>
      </c>
      <c r="AJ19" s="121">
        <f>+$F$19*q17a!$F$19</f>
        <v>107375272.36</v>
      </c>
      <c r="AK19" s="121">
        <f>+$G$19*q17a!$G$19</f>
        <v>108715180.43000001</v>
      </c>
      <c r="AL19" s="121">
        <f>+$H$19*q17a!$H$19</f>
        <v>112525651</v>
      </c>
      <c r="AM19" s="121">
        <f>+$I$19*q17a!$I$19</f>
        <v>111209574.84</v>
      </c>
      <c r="AN19" s="121">
        <f>+$J$19*q17a!$J$19</f>
        <v>118435871.68000001</v>
      </c>
      <c r="AO19" s="121">
        <f>+$K$19*q17a!$K$19</f>
        <v>136224295.19999999</v>
      </c>
      <c r="AP19" s="121">
        <f>+$L$19*q17a!$L$19</f>
        <v>151610602.19999999</v>
      </c>
      <c r="AQ19" s="121">
        <f>+$M$19*q17a!$M$19</f>
        <v>166175256.69999999</v>
      </c>
    </row>
    <row r="20" spans="1:43" s="121" customFormat="1" ht="16.5" customHeight="1">
      <c r="A20" s="54" t="str">
        <f>+'q26'!A20</f>
        <v>35-39 anos</v>
      </c>
      <c r="B20" s="52" t="str">
        <f>+'q26'!B20</f>
        <v>T</v>
      </c>
      <c r="C20" s="726">
        <f>+'q26'!C20</f>
        <v>940.3</v>
      </c>
      <c r="D20" s="726">
        <f>+'q26'!D20</f>
        <v>935.92</v>
      </c>
      <c r="E20" s="726">
        <f>+'q26'!E20</f>
        <v>943.39</v>
      </c>
      <c r="F20" s="726">
        <f>+'q26'!F20</f>
        <v>956.28</v>
      </c>
      <c r="G20" s="726">
        <f>+'q26'!G20</f>
        <v>979.27</v>
      </c>
      <c r="H20" s="726">
        <f>+'q26'!H20</f>
        <v>1016.51</v>
      </c>
      <c r="I20" s="726">
        <f>+'q26'!I20</f>
        <v>1049.22</v>
      </c>
      <c r="J20" s="726">
        <f>+'q26'!J20</f>
        <v>1092.93</v>
      </c>
      <c r="K20" s="726">
        <f>+'q26'!K20</f>
        <v>1163.1300000000001</v>
      </c>
      <c r="L20" s="726">
        <f>+'q26'!L20</f>
        <v>1240.07</v>
      </c>
      <c r="M20" s="726">
        <f>+'q26'!M20</f>
        <v>1337.34</v>
      </c>
      <c r="N20" s="217"/>
      <c r="O20" s="286"/>
      <c r="P20" s="54" t="s">
        <v>58</v>
      </c>
      <c r="Q20" s="52" t="s">
        <v>44</v>
      </c>
      <c r="R20" s="121">
        <f>+$C$20*q17a!$C$20</f>
        <v>307149935.30000001</v>
      </c>
      <c r="S20" s="121">
        <f>+$D$20*q17a!$D$20</f>
        <v>305923234.47999996</v>
      </c>
      <c r="T20" s="121">
        <f>+$E$20*q17a!$E$20</f>
        <v>303430072.81999999</v>
      </c>
      <c r="U20" s="121">
        <f>+$F$20*q17a!$F$20</f>
        <v>305528591.15999997</v>
      </c>
      <c r="V20" s="121">
        <f>+$G$20*q17a!$G$20</f>
        <v>312156022.27999997</v>
      </c>
      <c r="W20" s="121">
        <f>+$H$20*q17a!$H$20</f>
        <v>320428348.24000001</v>
      </c>
      <c r="X20" s="121">
        <f>+$I$20*q17a!$I$20</f>
        <v>311964582.60000002</v>
      </c>
      <c r="Y20" s="121">
        <f>+$J$20*q17a!$J$20</f>
        <v>317206538.55000001</v>
      </c>
      <c r="Z20" s="121">
        <f>+$K$20*q17a!$K$20</f>
        <v>352763371.44000006</v>
      </c>
      <c r="AA20" s="121">
        <f>+$L$20*q17a!$L$20</f>
        <v>380768453.77999997</v>
      </c>
      <c r="AB20" s="121">
        <f>+$M$20*q17a!$M$20</f>
        <v>409890697.97999996</v>
      </c>
      <c r="AE20" s="54" t="s">
        <v>58</v>
      </c>
      <c r="AF20" s="52" t="s">
        <v>44</v>
      </c>
      <c r="AG20" s="121">
        <f>+$C$20*q17a!$C$20</f>
        <v>307149935.30000001</v>
      </c>
      <c r="AH20" s="121">
        <f>+$D$20*q17a!$D$20</f>
        <v>305923234.47999996</v>
      </c>
      <c r="AI20" s="121">
        <f>+$E$20*q17a!$E$20</f>
        <v>303430072.81999999</v>
      </c>
      <c r="AJ20" s="121">
        <f>+$F$20*q17a!$F$20</f>
        <v>305528591.15999997</v>
      </c>
      <c r="AK20" s="121">
        <f>+$G$20*q17a!$G$20</f>
        <v>312156022.27999997</v>
      </c>
      <c r="AL20" s="121">
        <f>+$H$20*q17a!$H$20</f>
        <v>320428348.24000001</v>
      </c>
      <c r="AM20" s="121">
        <f>+$I$20*q17a!$I$20</f>
        <v>311964582.60000002</v>
      </c>
      <c r="AN20" s="121">
        <f>+$J$20*q17a!$J$20</f>
        <v>317206538.55000001</v>
      </c>
      <c r="AO20" s="121">
        <f>+$K$20*q17a!$K$20</f>
        <v>352763371.44000006</v>
      </c>
      <c r="AP20" s="121">
        <f>+$L$20*q17a!$L$20</f>
        <v>380768453.77999997</v>
      </c>
      <c r="AQ20" s="121">
        <f>+$M$20*q17a!$M$20</f>
        <v>409890697.97999996</v>
      </c>
    </row>
    <row r="21" spans="1:43" s="121" customFormat="1" ht="12.75" customHeight="1">
      <c r="A21" s="55"/>
      <c r="B21" s="56" t="str">
        <f>+'q26'!B21</f>
        <v>H</v>
      </c>
      <c r="C21" s="727">
        <f>+'q26'!C21</f>
        <v>993.54</v>
      </c>
      <c r="D21" s="727">
        <f>+'q26'!D21</f>
        <v>987.57</v>
      </c>
      <c r="E21" s="727">
        <f>+'q26'!E21</f>
        <v>992.66</v>
      </c>
      <c r="F21" s="727">
        <f>+'q26'!F21</f>
        <v>1003.76</v>
      </c>
      <c r="G21" s="727">
        <f>+'q26'!G21</f>
        <v>1027.18</v>
      </c>
      <c r="H21" s="727">
        <f>+'q26'!H21</f>
        <v>1066.02</v>
      </c>
      <c r="I21" s="727">
        <f>+'q26'!I21</f>
        <v>1097.29</v>
      </c>
      <c r="J21" s="727">
        <f>+'q26'!J21</f>
        <v>1149.93</v>
      </c>
      <c r="K21" s="727">
        <f>+'q26'!K21</f>
        <v>1230.6099999999999</v>
      </c>
      <c r="L21" s="727">
        <f>+'q26'!L21</f>
        <v>1309.3</v>
      </c>
      <c r="M21" s="727">
        <f>+'q26'!M21</f>
        <v>1403.82</v>
      </c>
      <c r="N21" s="214"/>
      <c r="O21" s="286"/>
      <c r="P21" s="55"/>
      <c r="Q21" s="56" t="s">
        <v>52</v>
      </c>
      <c r="R21" s="121">
        <f>+$C$21*q17a!$C$21</f>
        <v>171196877.40000001</v>
      </c>
      <c r="S21" s="121">
        <f>+$D$21*q17a!$D$21</f>
        <v>169117412.22</v>
      </c>
      <c r="T21" s="121">
        <f>+$E$21*q17a!$E$21</f>
        <v>167499463.07999998</v>
      </c>
      <c r="U21" s="121">
        <f>+$F$21*q17a!$F$21</f>
        <v>168852507.19999999</v>
      </c>
      <c r="V21" s="121">
        <f>+$G$21*q17a!$G$21</f>
        <v>173621153.86000001</v>
      </c>
      <c r="W21" s="121">
        <f>+$H$21*q17a!$H$21</f>
        <v>179596653.47999999</v>
      </c>
      <c r="X21" s="121">
        <f>+$I$21*q17a!$I$21</f>
        <v>176361935.25</v>
      </c>
      <c r="Y21" s="121">
        <f>+$J$21*q17a!$J$21</f>
        <v>181210569.12</v>
      </c>
      <c r="Z21" s="121">
        <f>+$K$21*q17a!$K$21</f>
        <v>204355096.59999999</v>
      </c>
      <c r="AA21" s="121">
        <f>+$L$21*q17a!$L$21</f>
        <v>221981340.59999999</v>
      </c>
      <c r="AB21" s="121">
        <f>+$M$21*q17a!$M$21</f>
        <v>241896435.66</v>
      </c>
      <c r="AE21" s="55"/>
      <c r="AF21" s="56" t="s">
        <v>52</v>
      </c>
      <c r="AG21" s="121">
        <f>+$C$21*q17a!$C$21</f>
        <v>171196877.40000001</v>
      </c>
      <c r="AH21" s="121">
        <f>+$D$21*q17a!$D$21</f>
        <v>169117412.22</v>
      </c>
      <c r="AI21" s="121">
        <f>+$E$21*q17a!$E$21</f>
        <v>167499463.07999998</v>
      </c>
      <c r="AJ21" s="121">
        <f>+$F$21*q17a!$F$21</f>
        <v>168852507.19999999</v>
      </c>
      <c r="AK21" s="121">
        <f>+$G$21*q17a!$G$21</f>
        <v>173621153.86000001</v>
      </c>
      <c r="AL21" s="121">
        <f>+$H$21*q17a!$H$21</f>
        <v>179596653.47999999</v>
      </c>
      <c r="AM21" s="121">
        <f>+$I$21*q17a!$I$21</f>
        <v>176361935.25</v>
      </c>
      <c r="AN21" s="121">
        <f>+$J$21*q17a!$J$21</f>
        <v>181210569.12</v>
      </c>
      <c r="AO21" s="121">
        <f>+$K$21*q17a!$K$21</f>
        <v>204355096.59999999</v>
      </c>
      <c r="AP21" s="121">
        <f>+$L$21*q17a!$L$21</f>
        <v>221981340.59999999</v>
      </c>
      <c r="AQ21" s="121">
        <f>+$M$21*q17a!$M$21</f>
        <v>241896435.66</v>
      </c>
    </row>
    <row r="22" spans="1:43" s="121" customFormat="1" ht="12.75" customHeight="1">
      <c r="A22" s="54"/>
      <c r="B22" s="56" t="str">
        <f>+'q26'!B22</f>
        <v>M</v>
      </c>
      <c r="C22" s="727">
        <f>+'q26'!C22</f>
        <v>880.87</v>
      </c>
      <c r="D22" s="727">
        <f>+'q26'!D22</f>
        <v>879.09</v>
      </c>
      <c r="E22" s="727">
        <f>+'q26'!E22</f>
        <v>889.01</v>
      </c>
      <c r="F22" s="727">
        <f>+'q26'!F22</f>
        <v>903.49</v>
      </c>
      <c r="G22" s="727">
        <f>+'q26'!G22</f>
        <v>925.19</v>
      </c>
      <c r="H22" s="727">
        <f>+'q26'!H22</f>
        <v>959.68</v>
      </c>
      <c r="I22" s="727">
        <f>+'q26'!I22</f>
        <v>992.67</v>
      </c>
      <c r="J22" s="727">
        <f>+'q26'!J22</f>
        <v>1025.23</v>
      </c>
      <c r="K22" s="727">
        <f>+'q26'!K22</f>
        <v>1081.47</v>
      </c>
      <c r="L22" s="727">
        <f>+'q26'!L22</f>
        <v>1154.72</v>
      </c>
      <c r="M22" s="727">
        <f>+'q26'!M22</f>
        <v>1251.96</v>
      </c>
      <c r="N22" s="214"/>
      <c r="O22" s="286"/>
      <c r="P22" s="54"/>
      <c r="Q22" s="56" t="s">
        <v>53</v>
      </c>
      <c r="R22" s="121">
        <f>+$C$22*q17a!$C$22</f>
        <v>135954356.66999999</v>
      </c>
      <c r="S22" s="121">
        <f>+$D$22*q17a!$D$22</f>
        <v>136806623.06999999</v>
      </c>
      <c r="T22" s="121">
        <f>+$E$22*q17a!$E$22</f>
        <v>135929629</v>
      </c>
      <c r="U22" s="121">
        <f>+$F$22*q17a!$F$22</f>
        <v>136677256.72999999</v>
      </c>
      <c r="V22" s="121">
        <f>+$G$22*q17a!$G$22</f>
        <v>138535175.03</v>
      </c>
      <c r="W22" s="121">
        <f>+$H$22*q17a!$H$22</f>
        <v>140833040</v>
      </c>
      <c r="X22" s="121">
        <f>+$I$22*q17a!$I$22</f>
        <v>135603685.34999999</v>
      </c>
      <c r="Y22" s="121">
        <f>+$J$22*q17a!$J$22</f>
        <v>135997784.72999999</v>
      </c>
      <c r="Z22" s="121">
        <f>+$K$22*q17a!$K$22</f>
        <v>148407965.16</v>
      </c>
      <c r="AA22" s="121">
        <f>+$L$22*q17a!$L$22</f>
        <v>158787856.64000002</v>
      </c>
      <c r="AB22" s="121">
        <f>+$M$22*q17a!$M$22</f>
        <v>167993000.64000002</v>
      </c>
      <c r="AE22" s="54"/>
      <c r="AF22" s="56" t="s">
        <v>53</v>
      </c>
      <c r="AG22" s="121">
        <f>+$C$22*q17a!$C$22</f>
        <v>135954356.66999999</v>
      </c>
      <c r="AH22" s="121">
        <f>+$D$22*q17a!$D$22</f>
        <v>136806623.06999999</v>
      </c>
      <c r="AI22" s="121">
        <f>+$E$22*q17a!$E$22</f>
        <v>135929629</v>
      </c>
      <c r="AJ22" s="121">
        <f>+$F$22*q17a!$F$22</f>
        <v>136677256.72999999</v>
      </c>
      <c r="AK22" s="121">
        <f>+$G$22*q17a!$G$22</f>
        <v>138535175.03</v>
      </c>
      <c r="AL22" s="121">
        <f>+$H$22*q17a!$H$22</f>
        <v>140833040</v>
      </c>
      <c r="AM22" s="121">
        <f>+$I$22*q17a!$I$22</f>
        <v>135603685.34999999</v>
      </c>
      <c r="AN22" s="121">
        <f>+$J$22*q17a!$J$22</f>
        <v>135997784.72999999</v>
      </c>
      <c r="AO22" s="121">
        <f>+$K$22*q17a!$K$22</f>
        <v>148407965.16</v>
      </c>
      <c r="AP22" s="121">
        <f>+$L$22*q17a!$L$22</f>
        <v>158787856.64000002</v>
      </c>
      <c r="AQ22" s="121">
        <f>+$M$22*q17a!$M$22</f>
        <v>167993000.64000002</v>
      </c>
    </row>
    <row r="23" spans="1:43" s="121" customFormat="1" ht="16.5" customHeight="1">
      <c r="A23" s="54" t="str">
        <f>+'q26'!A23</f>
        <v>40-44 anos</v>
      </c>
      <c r="B23" s="52" t="str">
        <f>+'q26'!B23</f>
        <v>T</v>
      </c>
      <c r="C23" s="726">
        <f>+'q26'!C23</f>
        <v>994.63</v>
      </c>
      <c r="D23" s="726">
        <f>+'q26'!D23</f>
        <v>999.49</v>
      </c>
      <c r="E23" s="726">
        <f>+'q26'!E23</f>
        <v>1009.31</v>
      </c>
      <c r="F23" s="726">
        <f>+'q26'!F23</f>
        <v>1025.8399999999999</v>
      </c>
      <c r="G23" s="726">
        <f>+'q26'!G23</f>
        <v>1053.27</v>
      </c>
      <c r="H23" s="726">
        <f>+'q26'!H23</f>
        <v>1087.6099999999999</v>
      </c>
      <c r="I23" s="726">
        <f>+'q26'!I23</f>
        <v>1112.6099999999999</v>
      </c>
      <c r="J23" s="726">
        <f>+'q26'!J23</f>
        <v>1153.31</v>
      </c>
      <c r="K23" s="726">
        <f>+'q26'!K23</f>
        <v>1212.3499999999999</v>
      </c>
      <c r="L23" s="726">
        <f>+'q26'!L23</f>
        <v>1290.51</v>
      </c>
      <c r="M23" s="726">
        <f>+'q26'!M23</f>
        <v>1382.44</v>
      </c>
      <c r="N23" s="214"/>
      <c r="O23" s="286"/>
      <c r="P23" s="54" t="s">
        <v>59</v>
      </c>
      <c r="Q23" s="52" t="s">
        <v>44</v>
      </c>
      <c r="R23" s="121">
        <f>+$C$23*q17a!$C$23</f>
        <v>301472353</v>
      </c>
      <c r="S23" s="121">
        <f>+$D$23*q17a!$D$23</f>
        <v>317924775.63</v>
      </c>
      <c r="T23" s="121">
        <f>+$E$23*q17a!$E$23</f>
        <v>334224932.01999998</v>
      </c>
      <c r="U23" s="121">
        <f>+$F$23*q17a!$F$23</f>
        <v>350828047.44</v>
      </c>
      <c r="V23" s="121">
        <f>+$G$23*q17a!$G$23</f>
        <v>366584303.88</v>
      </c>
      <c r="W23" s="121">
        <f>+$H$23*q17a!$H$23</f>
        <v>374866538.69999999</v>
      </c>
      <c r="X23" s="121">
        <f>+$I$23*q17a!$I$23</f>
        <v>367796600.30999994</v>
      </c>
      <c r="Y23" s="121">
        <f>+$J$23*q17a!$J$23</f>
        <v>373638994.00999999</v>
      </c>
      <c r="Z23" s="121">
        <f>+$K$23*q17a!$K$23</f>
        <v>407781196.59999996</v>
      </c>
      <c r="AA23" s="121">
        <f>+$L$23*q17a!$L$23</f>
        <v>439426398.06</v>
      </c>
      <c r="AB23" s="121">
        <f>+$M$23*q17a!$M$23</f>
        <v>466968877.84000003</v>
      </c>
      <c r="AE23" s="54" t="s">
        <v>59</v>
      </c>
      <c r="AF23" s="52" t="s">
        <v>44</v>
      </c>
      <c r="AG23" s="121">
        <f>+$C$23*q17a!$C$23</f>
        <v>301472353</v>
      </c>
      <c r="AH23" s="121">
        <f>+$D$23*q17a!$D$23</f>
        <v>317924775.63</v>
      </c>
      <c r="AI23" s="121">
        <f>+$E$23*q17a!$E$23</f>
        <v>334224932.01999998</v>
      </c>
      <c r="AJ23" s="121">
        <f>+$F$23*q17a!$F$23</f>
        <v>350828047.44</v>
      </c>
      <c r="AK23" s="121">
        <f>+$G$23*q17a!$G$23</f>
        <v>366584303.88</v>
      </c>
      <c r="AL23" s="121">
        <f>+$H$23*q17a!$H$23</f>
        <v>374866538.69999999</v>
      </c>
      <c r="AM23" s="121">
        <f>+$I$23*q17a!$I$23</f>
        <v>367796600.30999994</v>
      </c>
      <c r="AN23" s="121">
        <f>+$J$23*q17a!$J$23</f>
        <v>373638994.00999999</v>
      </c>
      <c r="AO23" s="121">
        <f>+$K$23*q17a!$K$23</f>
        <v>407781196.59999996</v>
      </c>
      <c r="AP23" s="121">
        <f>+$L$23*q17a!$L$23</f>
        <v>439426398.06</v>
      </c>
      <c r="AQ23" s="121">
        <f>+$M$23*q17a!$M$23</f>
        <v>466968877.84000003</v>
      </c>
    </row>
    <row r="24" spans="1:43" s="121" customFormat="1" ht="12.75" customHeight="1">
      <c r="A24" s="55"/>
      <c r="B24" s="56" t="str">
        <f>+'q26'!B24</f>
        <v>H</v>
      </c>
      <c r="C24" s="727">
        <f>+'q26'!C24</f>
        <v>1080.48</v>
      </c>
      <c r="D24" s="727">
        <f>+'q26'!D24</f>
        <v>1083.3800000000001</v>
      </c>
      <c r="E24" s="727">
        <f>+'q26'!E24</f>
        <v>1087.28</v>
      </c>
      <c r="F24" s="727">
        <f>+'q26'!F24</f>
        <v>1097.33</v>
      </c>
      <c r="G24" s="727">
        <f>+'q26'!G24</f>
        <v>1124.75</v>
      </c>
      <c r="H24" s="727">
        <f>+'q26'!H24</f>
        <v>1160.19</v>
      </c>
      <c r="I24" s="727">
        <f>+'q26'!I24</f>
        <v>1180.1400000000001</v>
      </c>
      <c r="J24" s="727">
        <f>+'q26'!J24</f>
        <v>1224.8</v>
      </c>
      <c r="K24" s="727">
        <f>+'q26'!K24</f>
        <v>1290.67</v>
      </c>
      <c r="L24" s="727">
        <f>+'q26'!L24</f>
        <v>1369.84</v>
      </c>
      <c r="M24" s="727">
        <f>+'q26'!M24</f>
        <v>1464.16</v>
      </c>
      <c r="N24" s="214"/>
      <c r="O24" s="286"/>
      <c r="P24" s="55"/>
      <c r="Q24" s="56" t="s">
        <v>52</v>
      </c>
      <c r="R24" s="121">
        <f>+$C$24*q17a!$C$24</f>
        <v>173982131.03999999</v>
      </c>
      <c r="S24" s="121">
        <f>+$D$24*q17a!$D$24</f>
        <v>181800914.42000002</v>
      </c>
      <c r="T24" s="121">
        <f>+$E$24*q17a!$E$24</f>
        <v>189166061.68000001</v>
      </c>
      <c r="U24" s="121">
        <f>+$F$24*q17a!$F$24</f>
        <v>197471117.47999999</v>
      </c>
      <c r="V24" s="121">
        <f>+$G$24*q17a!$G$24</f>
        <v>206242033.25</v>
      </c>
      <c r="W24" s="121">
        <f>+$H$24*q17a!$H$24</f>
        <v>211762519.56</v>
      </c>
      <c r="X24" s="121">
        <f>+$I$24*q17a!$I$24</f>
        <v>207246745.68000001</v>
      </c>
      <c r="Y24" s="121">
        <f>+$J$24*q17a!$J$24</f>
        <v>209957665.59999999</v>
      </c>
      <c r="Z24" s="121">
        <f>+$K$24*q17a!$K$24</f>
        <v>230043858.12</v>
      </c>
      <c r="AA24" s="121">
        <f>+$L$24*q17a!$L$24</f>
        <v>248862942.31999999</v>
      </c>
      <c r="AB24" s="121">
        <f>+$M$24*q17a!$M$24</f>
        <v>267143312.80000001</v>
      </c>
      <c r="AE24" s="55"/>
      <c r="AF24" s="56" t="s">
        <v>52</v>
      </c>
      <c r="AG24" s="121">
        <f>+$C$24*q17a!$C$24</f>
        <v>173982131.03999999</v>
      </c>
      <c r="AH24" s="121">
        <f>+$D$24*q17a!$D$24</f>
        <v>181800914.42000002</v>
      </c>
      <c r="AI24" s="121">
        <f>+$E$24*q17a!$E$24</f>
        <v>189166061.68000001</v>
      </c>
      <c r="AJ24" s="121">
        <f>+$F$24*q17a!$F$24</f>
        <v>197471117.47999999</v>
      </c>
      <c r="AK24" s="121">
        <f>+$G$24*q17a!$G$24</f>
        <v>206242033.25</v>
      </c>
      <c r="AL24" s="121">
        <f>+$H$24*q17a!$H$24</f>
        <v>211762519.56</v>
      </c>
      <c r="AM24" s="121">
        <f>+$I$24*q17a!$I$24</f>
        <v>207246745.68000001</v>
      </c>
      <c r="AN24" s="121">
        <f>+$J$24*q17a!$J$24</f>
        <v>209957665.59999999</v>
      </c>
      <c r="AO24" s="121">
        <f>+$K$24*q17a!$K$24</f>
        <v>230043858.12</v>
      </c>
      <c r="AP24" s="121">
        <f>+$L$24*q17a!$L$24</f>
        <v>248862942.31999999</v>
      </c>
      <c r="AQ24" s="121">
        <f>+$M$24*q17a!$M$24</f>
        <v>267143312.80000001</v>
      </c>
    </row>
    <row r="25" spans="1:43" s="121" customFormat="1" ht="12.75" customHeight="1">
      <c r="A25" s="54"/>
      <c r="B25" s="56" t="str">
        <f>+'q26'!B25</f>
        <v>M</v>
      </c>
      <c r="C25" s="727">
        <f>+'q26'!C25</f>
        <v>897.33</v>
      </c>
      <c r="D25" s="727">
        <f>+'q26'!D25</f>
        <v>905.82</v>
      </c>
      <c r="E25" s="727">
        <f>+'q26'!E25</f>
        <v>923</v>
      </c>
      <c r="F25" s="727">
        <f>+'q26'!F25</f>
        <v>946.44</v>
      </c>
      <c r="G25" s="727">
        <f>+'q26'!G25</f>
        <v>973.68</v>
      </c>
      <c r="H25" s="727">
        <f>+'q26'!H25</f>
        <v>1005.91</v>
      </c>
      <c r="I25" s="727">
        <f>+'q26'!I25</f>
        <v>1036.0899999999999</v>
      </c>
      <c r="J25" s="727">
        <f>+'q26'!J25</f>
        <v>1072.97</v>
      </c>
      <c r="K25" s="727">
        <f>+'q26'!K25</f>
        <v>1124.06</v>
      </c>
      <c r="L25" s="727">
        <f>+'q26'!L25</f>
        <v>1199.78</v>
      </c>
      <c r="M25" s="727">
        <f>+'q26'!M25</f>
        <v>1286.46</v>
      </c>
      <c r="N25" s="214"/>
      <c r="O25" s="286"/>
      <c r="P25" s="54"/>
      <c r="Q25" s="56" t="s">
        <v>53</v>
      </c>
      <c r="R25" s="121">
        <f>+$C$25*q17a!$C$25</f>
        <v>127489954.41000001</v>
      </c>
      <c r="S25" s="121">
        <f>+$D$25*q17a!$D$25</f>
        <v>136124817.96000001</v>
      </c>
      <c r="T25" s="121">
        <f>+$E$25*q17a!$E$25</f>
        <v>145059603</v>
      </c>
      <c r="U25" s="121">
        <f>+$F$25*q17a!$F$25</f>
        <v>153356405.40000001</v>
      </c>
      <c r="V25" s="121">
        <f>+$G$25*q17a!$G$25</f>
        <v>160342701.35999998</v>
      </c>
      <c r="W25" s="121">
        <f>+$H$25*q17a!$H$25</f>
        <v>163104282.85999998</v>
      </c>
      <c r="X25" s="121">
        <f>+$I$25*q17a!$I$25</f>
        <v>160551470.30999997</v>
      </c>
      <c r="Y25" s="121">
        <f>+$J$25*q17a!$J$25</f>
        <v>163680500.53</v>
      </c>
      <c r="Z25" s="121">
        <f>+$K$25*q17a!$K$25</f>
        <v>177736367.19999999</v>
      </c>
      <c r="AA25" s="121">
        <f>+$L$25*q17a!$L$25</f>
        <v>190564656.74000001</v>
      </c>
      <c r="AB25" s="121">
        <f>+$M$25*q17a!$M$25</f>
        <v>199827118.26000002</v>
      </c>
      <c r="AE25" s="54"/>
      <c r="AF25" s="56" t="s">
        <v>53</v>
      </c>
      <c r="AG25" s="121">
        <f>+$C$25*q17a!$C$25</f>
        <v>127489954.41000001</v>
      </c>
      <c r="AH25" s="121">
        <f>+$D$25*q17a!$D$25</f>
        <v>136124817.96000001</v>
      </c>
      <c r="AI25" s="121">
        <f>+$E$25*q17a!$E$25</f>
        <v>145059603</v>
      </c>
      <c r="AJ25" s="121">
        <f>+$F$25*q17a!$F$25</f>
        <v>153356405.40000001</v>
      </c>
      <c r="AK25" s="121">
        <f>+$G$25*q17a!$G$25</f>
        <v>160342701.35999998</v>
      </c>
      <c r="AL25" s="121">
        <f>+$H$25*q17a!$H$25</f>
        <v>163104282.85999998</v>
      </c>
      <c r="AM25" s="121">
        <f>+$I$25*q17a!$I$25</f>
        <v>160551470.30999997</v>
      </c>
      <c r="AN25" s="121">
        <f>+$J$25*q17a!$J$25</f>
        <v>163680500.53</v>
      </c>
      <c r="AO25" s="121">
        <f>+$K$25*q17a!$K$25</f>
        <v>177736367.19999999</v>
      </c>
      <c r="AP25" s="121">
        <f>+$L$25*q17a!$L$25</f>
        <v>190564656.74000001</v>
      </c>
      <c r="AQ25" s="121">
        <f>+$M$25*q17a!$M$25</f>
        <v>199827118.26000002</v>
      </c>
    </row>
    <row r="26" spans="1:43" s="121" customFormat="1" ht="16.5" customHeight="1">
      <c r="A26" s="54" t="str">
        <f>+'q26'!A26</f>
        <v>45-49 anos</v>
      </c>
      <c r="B26" s="52" t="str">
        <f>+'q26'!B26</f>
        <v>T</v>
      </c>
      <c r="C26" s="726">
        <f>+'q26'!C26</f>
        <v>972.14</v>
      </c>
      <c r="D26" s="726">
        <f>+'q26'!D26</f>
        <v>978.89</v>
      </c>
      <c r="E26" s="726">
        <f>+'q26'!E26</f>
        <v>995.05</v>
      </c>
      <c r="F26" s="726">
        <f>+'q26'!F26</f>
        <v>1021.83</v>
      </c>
      <c r="G26" s="726">
        <f>+'q26'!G26</f>
        <v>1057.7</v>
      </c>
      <c r="H26" s="726">
        <f>+'q26'!H26</f>
        <v>1104.3499999999999</v>
      </c>
      <c r="I26" s="726">
        <f>+'q26'!I26</f>
        <v>1141.78</v>
      </c>
      <c r="J26" s="726">
        <f>+'q26'!J26</f>
        <v>1180.92</v>
      </c>
      <c r="K26" s="726">
        <f>+'q26'!K26</f>
        <v>1242.54</v>
      </c>
      <c r="L26" s="726">
        <f>+'q26'!L26</f>
        <v>1329.67</v>
      </c>
      <c r="M26" s="726">
        <f>+'q26'!M26</f>
        <v>1419.38</v>
      </c>
      <c r="N26" s="214"/>
      <c r="O26" s="286"/>
      <c r="P26" s="54" t="s">
        <v>60</v>
      </c>
      <c r="Q26" s="52" t="s">
        <v>44</v>
      </c>
      <c r="R26" s="121">
        <f>+$C$26*q17a!$C$26</f>
        <v>246607614.5</v>
      </c>
      <c r="S26" s="121">
        <f>+$D$26*q17a!$D$26</f>
        <v>258247823.13</v>
      </c>
      <c r="T26" s="121">
        <f>+$E$26*q17a!$E$26</f>
        <v>275644770.80000001</v>
      </c>
      <c r="U26" s="121">
        <f>+$F$26*q17a!$F$26</f>
        <v>296500323.78000003</v>
      </c>
      <c r="V26" s="121">
        <f>+$G$26*q17a!$G$26</f>
        <v>321905706.5</v>
      </c>
      <c r="W26" s="121">
        <f>+$H$26*q17a!$H$26</f>
        <v>343645006.89999998</v>
      </c>
      <c r="X26" s="121">
        <f>+$I$26*q17a!$I$26</f>
        <v>357337177.69999999</v>
      </c>
      <c r="Y26" s="121">
        <f>+$J$26*q17a!$J$26</f>
        <v>380971877.52000004</v>
      </c>
      <c r="Z26" s="121">
        <f>+$K$26*q17a!$K$26</f>
        <v>429870380.94</v>
      </c>
      <c r="AA26" s="121">
        <f>+$L$26*q17a!$L$26</f>
        <v>468864246.39000005</v>
      </c>
      <c r="AB26" s="121">
        <f>+$M$26*q17a!$M$26</f>
        <v>499464208.82000005</v>
      </c>
      <c r="AE26" s="54" t="s">
        <v>60</v>
      </c>
      <c r="AF26" s="52" t="s">
        <v>44</v>
      </c>
      <c r="AG26" s="121">
        <f>+$C$26*q17a!$C$26</f>
        <v>246607614.5</v>
      </c>
      <c r="AH26" s="121">
        <f>+$D$26*q17a!$D$26</f>
        <v>258247823.13</v>
      </c>
      <c r="AI26" s="121">
        <f>+$E$26*q17a!$E$26</f>
        <v>275644770.80000001</v>
      </c>
      <c r="AJ26" s="121">
        <f>+$F$26*q17a!$F$26</f>
        <v>296500323.78000003</v>
      </c>
      <c r="AK26" s="121">
        <f>+$G$26*q17a!$G$26</f>
        <v>321905706.5</v>
      </c>
      <c r="AL26" s="121">
        <f>+$H$26*q17a!$H$26</f>
        <v>343645006.89999998</v>
      </c>
      <c r="AM26" s="121">
        <f>+$I$26*q17a!$I$26</f>
        <v>357337177.69999999</v>
      </c>
      <c r="AN26" s="121">
        <f>+$J$26*q17a!$J$26</f>
        <v>380971877.52000004</v>
      </c>
      <c r="AO26" s="121">
        <f>+$K$26*q17a!$K$26</f>
        <v>429870380.94</v>
      </c>
      <c r="AP26" s="121">
        <f>+$L$26*q17a!$L$26</f>
        <v>468864246.39000005</v>
      </c>
      <c r="AQ26" s="121">
        <f>+$M$26*q17a!$M$26</f>
        <v>499464208.82000005</v>
      </c>
    </row>
    <row r="27" spans="1:43" s="121" customFormat="1" ht="12.75" customHeight="1">
      <c r="A27" s="55"/>
      <c r="B27" s="56" t="str">
        <f>+'q26'!B27</f>
        <v>H</v>
      </c>
      <c r="C27" s="727">
        <f>+'q26'!C27</f>
        <v>1076.23</v>
      </c>
      <c r="D27" s="727">
        <f>+'q26'!D27</f>
        <v>1082.27</v>
      </c>
      <c r="E27" s="727">
        <f>+'q26'!E27</f>
        <v>1093.83</v>
      </c>
      <c r="F27" s="727">
        <f>+'q26'!F27</f>
        <v>1116.73</v>
      </c>
      <c r="G27" s="727">
        <f>+'q26'!G27</f>
        <v>1150.45</v>
      </c>
      <c r="H27" s="727">
        <f>+'q26'!H27</f>
        <v>1199.77</v>
      </c>
      <c r="I27" s="727">
        <f>+'q26'!I27</f>
        <v>1236.26</v>
      </c>
      <c r="J27" s="727">
        <f>+'q26'!J27</f>
        <v>1275.57</v>
      </c>
      <c r="K27" s="727">
        <f>+'q26'!K27</f>
        <v>1340.51</v>
      </c>
      <c r="L27" s="727">
        <f>+'q26'!L27</f>
        <v>1429.47</v>
      </c>
      <c r="M27" s="727">
        <f>+'q26'!M27</f>
        <v>1521.25</v>
      </c>
      <c r="N27" s="214"/>
      <c r="O27" s="286"/>
      <c r="P27" s="55"/>
      <c r="Q27" s="56" t="s">
        <v>52</v>
      </c>
      <c r="R27" s="121">
        <f>+$C$27*q17a!$C$27</f>
        <v>146877413.02000001</v>
      </c>
      <c r="S27" s="121">
        <f>+$D$27*q17a!$D$27</f>
        <v>152510241.59</v>
      </c>
      <c r="T27" s="121">
        <f>+$E$27*q17a!$E$27</f>
        <v>161503999.5</v>
      </c>
      <c r="U27" s="121">
        <f>+$F$27*q17a!$F$27</f>
        <v>173256192.58000001</v>
      </c>
      <c r="V27" s="121">
        <f>+$G$27*q17a!$G$27</f>
        <v>187289808.65000001</v>
      </c>
      <c r="W27" s="121">
        <f>+$H$27*q17a!$H$27</f>
        <v>199759305.46000001</v>
      </c>
      <c r="X27" s="121">
        <f>+$I$27*q17a!$I$27</f>
        <v>207008028.22</v>
      </c>
      <c r="Y27" s="121">
        <f>+$J$27*q17a!$J$27</f>
        <v>217968126.03</v>
      </c>
      <c r="Z27" s="121">
        <f>+$K$27*q17a!$K$27</f>
        <v>244744953.75999999</v>
      </c>
      <c r="AA27" s="121">
        <f>+$L$27*q17a!$L$27</f>
        <v>266028655.41</v>
      </c>
      <c r="AB27" s="121">
        <f>+$M$27*q17a!$M$27</f>
        <v>283611201.25</v>
      </c>
      <c r="AE27" s="55"/>
      <c r="AF27" s="56" t="s">
        <v>52</v>
      </c>
      <c r="AG27" s="121">
        <f>+$C$27*q17a!$C$27</f>
        <v>146877413.02000001</v>
      </c>
      <c r="AH27" s="121">
        <f>+$D$27*q17a!$D$27</f>
        <v>152510241.59</v>
      </c>
      <c r="AI27" s="121">
        <f>+$E$27*q17a!$E$27</f>
        <v>161503999.5</v>
      </c>
      <c r="AJ27" s="121">
        <f>+$F$27*q17a!$F$27</f>
        <v>173256192.58000001</v>
      </c>
      <c r="AK27" s="121">
        <f>+$G$27*q17a!$G$27</f>
        <v>187289808.65000001</v>
      </c>
      <c r="AL27" s="121">
        <f>+$H$27*q17a!$H$27</f>
        <v>199759305.46000001</v>
      </c>
      <c r="AM27" s="121">
        <f>+$I$27*q17a!$I$27</f>
        <v>207008028.22</v>
      </c>
      <c r="AN27" s="121">
        <f>+$J$27*q17a!$J$27</f>
        <v>217968126.03</v>
      </c>
      <c r="AO27" s="121">
        <f>+$K$27*q17a!$K$27</f>
        <v>244744953.75999999</v>
      </c>
      <c r="AP27" s="121">
        <f>+$L$27*q17a!$L$27</f>
        <v>266028655.41</v>
      </c>
      <c r="AQ27" s="121">
        <f>+$M$27*q17a!$M$27</f>
        <v>283611201.25</v>
      </c>
    </row>
    <row r="28" spans="1:43" s="121" customFormat="1" ht="12.75" customHeight="1">
      <c r="A28" s="54"/>
      <c r="B28" s="56" t="str">
        <f>+'q26'!B28</f>
        <v>M</v>
      </c>
      <c r="C28" s="727">
        <f>+'q26'!C28</f>
        <v>850.93</v>
      </c>
      <c r="D28" s="727">
        <f>+'q26'!D28</f>
        <v>860.36</v>
      </c>
      <c r="E28" s="727">
        <f>+'q26'!E28</f>
        <v>882.31</v>
      </c>
      <c r="F28" s="727">
        <f>+'q26'!F28</f>
        <v>912.79</v>
      </c>
      <c r="G28" s="727">
        <f>+'q26'!G28</f>
        <v>951.03</v>
      </c>
      <c r="H28" s="727">
        <f>+'q26'!H28</f>
        <v>994.55</v>
      </c>
      <c r="I28" s="727">
        <f>+'q26'!I28</f>
        <v>1033.07</v>
      </c>
      <c r="J28" s="727">
        <f>+'q26'!J28</f>
        <v>1074.32</v>
      </c>
      <c r="K28" s="727">
        <f>+'q26'!K28</f>
        <v>1133.06</v>
      </c>
      <c r="L28" s="727">
        <f>+'q26'!L28</f>
        <v>1218.1199999999999</v>
      </c>
      <c r="M28" s="727">
        <f>+'q26'!M28</f>
        <v>1304.58</v>
      </c>
      <c r="N28" s="214"/>
      <c r="O28" s="286"/>
      <c r="P28" s="54"/>
      <c r="Q28" s="56" t="s">
        <v>53</v>
      </c>
      <c r="R28" s="121">
        <f>+$C$28*q17a!$C$28</f>
        <v>99729846.929999992</v>
      </c>
      <c r="S28" s="121">
        <f>+$D$28*q17a!$D$28</f>
        <v>105738244</v>
      </c>
      <c r="T28" s="121">
        <f>+$E$28*q17a!$E$28</f>
        <v>114140915.45999999</v>
      </c>
      <c r="U28" s="121">
        <f>+$F$28*q17a!$F$28</f>
        <v>123244905.8</v>
      </c>
      <c r="V28" s="121">
        <f>+$G$28*q17a!$G$28</f>
        <v>134616394.44</v>
      </c>
      <c r="W28" s="121">
        <f>+$H$28*q17a!$H$28</f>
        <v>143887515.79999998</v>
      </c>
      <c r="X28" s="121">
        <f>+$I$28*q17a!$I$28</f>
        <v>150330280.25999999</v>
      </c>
      <c r="Y28" s="121">
        <f>+$J$28*q17a!$J$28</f>
        <v>163003350.63999999</v>
      </c>
      <c r="Z28" s="121">
        <f>+$K$28*q17a!$K$28</f>
        <v>185125008.09999999</v>
      </c>
      <c r="AA28" s="121">
        <f>+$L$28*q17a!$L$28</f>
        <v>202834033.67999998</v>
      </c>
      <c r="AB28" s="121">
        <f>+$M$28*q17a!$M$28</f>
        <v>215850588.47999999</v>
      </c>
      <c r="AE28" s="54"/>
      <c r="AF28" s="56" t="s">
        <v>53</v>
      </c>
      <c r="AG28" s="121">
        <f>+$C$28*q17a!$C$28</f>
        <v>99729846.929999992</v>
      </c>
      <c r="AH28" s="121">
        <f>+$D$28*q17a!$D$28</f>
        <v>105738244</v>
      </c>
      <c r="AI28" s="121">
        <f>+$E$28*q17a!$E$28</f>
        <v>114140915.45999999</v>
      </c>
      <c r="AJ28" s="121">
        <f>+$F$28*q17a!$F$28</f>
        <v>123244905.8</v>
      </c>
      <c r="AK28" s="121">
        <f>+$G$28*q17a!$G$28</f>
        <v>134616394.44</v>
      </c>
      <c r="AL28" s="121">
        <f>+$H$28*q17a!$H$28</f>
        <v>143887515.79999998</v>
      </c>
      <c r="AM28" s="121">
        <f>+$I$28*q17a!$I$28</f>
        <v>150330280.25999999</v>
      </c>
      <c r="AN28" s="121">
        <f>+$J$28*q17a!$J$28</f>
        <v>163003350.63999999</v>
      </c>
      <c r="AO28" s="121">
        <f>+$K$28*q17a!$K$28</f>
        <v>185125008.09999999</v>
      </c>
      <c r="AP28" s="121">
        <f>+$L$28*q17a!$L$28</f>
        <v>202834033.67999998</v>
      </c>
      <c r="AQ28" s="121">
        <f>+$M$28*q17a!$M$28</f>
        <v>215850588.47999999</v>
      </c>
    </row>
    <row r="29" spans="1:43" s="121" customFormat="1" ht="16.5" customHeight="1">
      <c r="A29" s="54" t="str">
        <f>+'q26'!A29</f>
        <v>50-54 anos</v>
      </c>
      <c r="B29" s="52" t="str">
        <f>+'q26'!B29</f>
        <v>T</v>
      </c>
      <c r="C29" s="726">
        <f>+'q26'!C29</f>
        <v>978.4</v>
      </c>
      <c r="D29" s="726">
        <f>+'q26'!D29</f>
        <v>979.79</v>
      </c>
      <c r="E29" s="726">
        <f>+'q26'!E29</f>
        <v>986.96</v>
      </c>
      <c r="F29" s="726">
        <f>+'q26'!F29</f>
        <v>1000</v>
      </c>
      <c r="G29" s="726">
        <f>+'q26'!G29</f>
        <v>1025.5</v>
      </c>
      <c r="H29" s="726">
        <f>+'q26'!H29</f>
        <v>1054.3599999999999</v>
      </c>
      <c r="I29" s="726">
        <f>+'q26'!I29</f>
        <v>1089.8499999999999</v>
      </c>
      <c r="J29" s="726">
        <f>+'q26'!J29</f>
        <v>1131.56</v>
      </c>
      <c r="K29" s="726">
        <f>+'q26'!K29</f>
        <v>1202.0999999999999</v>
      </c>
      <c r="L29" s="726">
        <f>+'q26'!L29</f>
        <v>1295.8499999999999</v>
      </c>
      <c r="M29" s="726">
        <f>+'q26'!M29</f>
        <v>1403.81</v>
      </c>
      <c r="N29" s="214"/>
      <c r="O29" s="286"/>
      <c r="P29" s="54" t="s">
        <v>61</v>
      </c>
      <c r="Q29" s="52" t="s">
        <v>44</v>
      </c>
      <c r="R29" s="121">
        <f>+$C$29*q17a!$C$29</f>
        <v>200543626.40000001</v>
      </c>
      <c r="S29" s="121">
        <f>+$D$29*q17a!$D$29</f>
        <v>211343642.37</v>
      </c>
      <c r="T29" s="121">
        <f>+$E$29*q17a!$E$29</f>
        <v>225943765.84</v>
      </c>
      <c r="U29" s="121">
        <f>+$F$29*q17a!$F$29</f>
        <v>240195000</v>
      </c>
      <c r="V29" s="121">
        <f>+$G$29*q17a!$G$29</f>
        <v>258227053</v>
      </c>
      <c r="W29" s="121">
        <f>+$H$29*q17a!$H$29</f>
        <v>267975083.23999998</v>
      </c>
      <c r="X29" s="121">
        <f>+$I$29*q17a!$I$29</f>
        <v>275045444.5</v>
      </c>
      <c r="Y29" s="121">
        <f>+$J$29*q17a!$J$29</f>
        <v>297079762.39999998</v>
      </c>
      <c r="Z29" s="121">
        <f>+$K$29*q17a!$K$29</f>
        <v>341461313.39999998</v>
      </c>
      <c r="AA29" s="121">
        <f>+$L$29*q17a!$L$29</f>
        <v>384727498.19999999</v>
      </c>
      <c r="AB29" s="121">
        <f>+$M$29*q17a!$M$29</f>
        <v>428812014.02999997</v>
      </c>
      <c r="AE29" s="54" t="s">
        <v>61</v>
      </c>
      <c r="AF29" s="52" t="s">
        <v>44</v>
      </c>
      <c r="AG29" s="121">
        <f>+$C$29*q17a!$C$29</f>
        <v>200543626.40000001</v>
      </c>
      <c r="AH29" s="121">
        <f>+$D$29*q17a!$D$29</f>
        <v>211343642.37</v>
      </c>
      <c r="AI29" s="121">
        <f>+$E$29*q17a!$E$29</f>
        <v>225943765.84</v>
      </c>
      <c r="AJ29" s="121">
        <f>+$F$29*q17a!$F$29</f>
        <v>240195000</v>
      </c>
      <c r="AK29" s="121">
        <f>+$G$29*q17a!$G$29</f>
        <v>258227053</v>
      </c>
      <c r="AL29" s="121">
        <f>+$H$29*q17a!$H$29</f>
        <v>267975083.23999998</v>
      </c>
      <c r="AM29" s="121">
        <f>+$I$29*q17a!$I$29</f>
        <v>275045444.5</v>
      </c>
      <c r="AN29" s="121">
        <f>+$J$29*q17a!$J$29</f>
        <v>297079762.39999998</v>
      </c>
      <c r="AO29" s="121">
        <f>+$K$29*q17a!$K$29</f>
        <v>341461313.39999998</v>
      </c>
      <c r="AP29" s="121">
        <f>+$L$29*q17a!$L$29</f>
        <v>384727498.19999999</v>
      </c>
      <c r="AQ29" s="121">
        <f>+$M$29*q17a!$M$29</f>
        <v>428812014.02999997</v>
      </c>
    </row>
    <row r="30" spans="1:43" s="121" customFormat="1" ht="12.75" customHeight="1">
      <c r="A30" s="55"/>
      <c r="B30" s="56" t="str">
        <f>+'q26'!B30</f>
        <v>H</v>
      </c>
      <c r="C30" s="727">
        <f>+'q26'!C30</f>
        <v>1098.48</v>
      </c>
      <c r="D30" s="727">
        <f>+'q26'!D30</f>
        <v>1097.54</v>
      </c>
      <c r="E30" s="727">
        <f>+'q26'!E30</f>
        <v>1097.47</v>
      </c>
      <c r="F30" s="727">
        <f>+'q26'!F30</f>
        <v>1104.9000000000001</v>
      </c>
      <c r="G30" s="727">
        <f>+'q26'!G30</f>
        <v>1126.51</v>
      </c>
      <c r="H30" s="727">
        <f>+'q26'!H30</f>
        <v>1153.17</v>
      </c>
      <c r="I30" s="727">
        <f>+'q26'!I30</f>
        <v>1187.74</v>
      </c>
      <c r="J30" s="727">
        <f>+'q26'!J30</f>
        <v>1230.9000000000001</v>
      </c>
      <c r="K30" s="727">
        <f>+'q26'!K30</f>
        <v>1309.68</v>
      </c>
      <c r="L30" s="727">
        <f>+'q26'!L30</f>
        <v>1407.92</v>
      </c>
      <c r="M30" s="727">
        <f>+'q26'!M30</f>
        <v>1520.37</v>
      </c>
      <c r="N30" s="214"/>
      <c r="O30" s="286"/>
      <c r="P30" s="55"/>
      <c r="Q30" s="56" t="s">
        <v>52</v>
      </c>
      <c r="R30" s="121">
        <f>+$C$30*q17a!$C$30</f>
        <v>125041076.88</v>
      </c>
      <c r="S30" s="121">
        <f>+$D$30*q17a!$D$30</f>
        <v>130718111.53999999</v>
      </c>
      <c r="T30" s="121">
        <f>+$E$30*q17a!$E$30</f>
        <v>138268050.36000001</v>
      </c>
      <c r="U30" s="121">
        <f>+$F$30*q17a!$F$30</f>
        <v>146251193.40000001</v>
      </c>
      <c r="V30" s="121">
        <f>+$G$30*q17a!$G$30</f>
        <v>156205256.13</v>
      </c>
      <c r="W30" s="121">
        <f>+$H$30*q17a!$H$30</f>
        <v>160780727.25</v>
      </c>
      <c r="X30" s="121">
        <f>+$I$30*q17a!$I$30</f>
        <v>164618388.52000001</v>
      </c>
      <c r="Y30" s="121">
        <f>+$J$30*q17a!$J$30</f>
        <v>175170609.90000001</v>
      </c>
      <c r="Z30" s="121">
        <f>+$K$30*q17a!$K$30</f>
        <v>200578801.68000001</v>
      </c>
      <c r="AA30" s="121">
        <f>+$L$30*q17a!$L$30</f>
        <v>224399921.28</v>
      </c>
      <c r="AB30" s="121">
        <f>+$M$30*q17a!$M$30</f>
        <v>249174959.66999999</v>
      </c>
      <c r="AE30" s="55"/>
      <c r="AF30" s="56" t="s">
        <v>52</v>
      </c>
      <c r="AG30" s="121">
        <f>+$C$30*q17a!$C$30</f>
        <v>125041076.88</v>
      </c>
      <c r="AH30" s="121">
        <f>+$D$30*q17a!$D$30</f>
        <v>130718111.53999999</v>
      </c>
      <c r="AI30" s="121">
        <f>+$E$30*q17a!$E$30</f>
        <v>138268050.36000001</v>
      </c>
      <c r="AJ30" s="121">
        <f>+$F$30*q17a!$F$30</f>
        <v>146251193.40000001</v>
      </c>
      <c r="AK30" s="121">
        <f>+$G$30*q17a!$G$30</f>
        <v>156205256.13</v>
      </c>
      <c r="AL30" s="121">
        <f>+$H$30*q17a!$H$30</f>
        <v>160780727.25</v>
      </c>
      <c r="AM30" s="121">
        <f>+$I$30*q17a!$I$30</f>
        <v>164618388.52000001</v>
      </c>
      <c r="AN30" s="121">
        <f>+$J$30*q17a!$J$30</f>
        <v>175170609.90000001</v>
      </c>
      <c r="AO30" s="121">
        <f>+$K$30*q17a!$K$30</f>
        <v>200578801.68000001</v>
      </c>
      <c r="AP30" s="121">
        <f>+$L$30*q17a!$L$30</f>
        <v>224399921.28</v>
      </c>
      <c r="AQ30" s="121">
        <f>+$M$30*q17a!$M$30</f>
        <v>249174959.66999999</v>
      </c>
    </row>
    <row r="31" spans="1:43" s="121" customFormat="1" ht="12.75" customHeight="1">
      <c r="A31" s="54"/>
      <c r="B31" s="56" t="str">
        <f>+'q26'!B31</f>
        <v>M</v>
      </c>
      <c r="C31" s="727">
        <f>+'q26'!C31</f>
        <v>828.43</v>
      </c>
      <c r="D31" s="727">
        <f>+'q26'!D31</f>
        <v>834.62</v>
      </c>
      <c r="E31" s="727">
        <f>+'q26'!E31</f>
        <v>851.7</v>
      </c>
      <c r="F31" s="727">
        <f>+'q26'!F31</f>
        <v>871.22</v>
      </c>
      <c r="G31" s="727">
        <f>+'q26'!G31</f>
        <v>901.7</v>
      </c>
      <c r="H31" s="727">
        <f>+'q26'!H31</f>
        <v>934.28</v>
      </c>
      <c r="I31" s="727">
        <f>+'q26'!I31</f>
        <v>970.6</v>
      </c>
      <c r="J31" s="727">
        <f>+'q26'!J31</f>
        <v>1013.97</v>
      </c>
      <c r="K31" s="727">
        <f>+'q26'!K31</f>
        <v>1076.23</v>
      </c>
      <c r="L31" s="727">
        <f>+'q26'!L31</f>
        <v>1165.96</v>
      </c>
      <c r="M31" s="727">
        <f>+'q26'!M31</f>
        <v>1268.8699999999999</v>
      </c>
      <c r="N31" s="214"/>
      <c r="O31" s="286"/>
      <c r="P31" s="54"/>
      <c r="Q31" s="56" t="s">
        <v>53</v>
      </c>
      <c r="R31" s="121">
        <f>+$C$31*q17a!$C$31</f>
        <v>75503110.199999988</v>
      </c>
      <c r="S31" s="121">
        <f>+$D$31*q17a!$D$31</f>
        <v>80625961.239999995</v>
      </c>
      <c r="T31" s="121">
        <f>+$E$31*q17a!$E$31</f>
        <v>87674849.700000003</v>
      </c>
      <c r="U31" s="121">
        <f>+$F$31*q17a!$F$31</f>
        <v>93942781.38000001</v>
      </c>
      <c r="V31" s="121">
        <f>+$G$31*q17a!$G$31</f>
        <v>102021043.10000001</v>
      </c>
      <c r="W31" s="121">
        <f>+$H$31*q17a!$H$31</f>
        <v>107193681.52</v>
      </c>
      <c r="X31" s="121">
        <f>+$I$31*q17a!$I$31</f>
        <v>110427103.2</v>
      </c>
      <c r="Y31" s="121">
        <f>+$J$31*q17a!$J$31</f>
        <v>121908599.13000001</v>
      </c>
      <c r="Z31" s="121">
        <f>+$K$31*q17a!$K$31</f>
        <v>140881735.69</v>
      </c>
      <c r="AA31" s="121">
        <f>+$L$31*q17a!$L$31</f>
        <v>160328827.68000001</v>
      </c>
      <c r="AB31" s="121">
        <f>+$M$31*q17a!$M$31</f>
        <v>179636463.63999999</v>
      </c>
      <c r="AE31" s="54"/>
      <c r="AF31" s="56" t="s">
        <v>53</v>
      </c>
      <c r="AG31" s="121">
        <f>+$C$31*q17a!$C$31</f>
        <v>75503110.199999988</v>
      </c>
      <c r="AH31" s="121">
        <f>+$D$31*q17a!$D$31</f>
        <v>80625961.239999995</v>
      </c>
      <c r="AI31" s="121">
        <f>+$E$31*q17a!$E$31</f>
        <v>87674849.700000003</v>
      </c>
      <c r="AJ31" s="121">
        <f>+$F$31*q17a!$F$31</f>
        <v>93942781.38000001</v>
      </c>
      <c r="AK31" s="121">
        <f>+$G$31*q17a!$G$31</f>
        <v>102021043.10000001</v>
      </c>
      <c r="AL31" s="121">
        <f>+$H$31*q17a!$H$31</f>
        <v>107193681.52</v>
      </c>
      <c r="AM31" s="121">
        <f>+$I$31*q17a!$I$31</f>
        <v>110427103.2</v>
      </c>
      <c r="AN31" s="121">
        <f>+$J$31*q17a!$J$31</f>
        <v>121908599.13000001</v>
      </c>
      <c r="AO31" s="121">
        <f>+$K$31*q17a!$K$31</f>
        <v>140881735.69</v>
      </c>
      <c r="AP31" s="121">
        <f>+$L$31*q17a!$L$31</f>
        <v>160328827.68000001</v>
      </c>
      <c r="AQ31" s="121">
        <f>+$M$31*q17a!$M$31</f>
        <v>179636463.63999999</v>
      </c>
    </row>
    <row r="32" spans="1:43" s="121" customFormat="1" ht="16.5" customHeight="1">
      <c r="A32" s="54" t="str">
        <f>+'q26'!A32</f>
        <v>55-59 anos</v>
      </c>
      <c r="B32" s="52" t="str">
        <f>+'q26'!B32</f>
        <v>T</v>
      </c>
      <c r="C32" s="726">
        <f>+'q26'!C32</f>
        <v>1018.84</v>
      </c>
      <c r="D32" s="726">
        <f>+'q26'!D32</f>
        <v>1012.16</v>
      </c>
      <c r="E32" s="726">
        <f>+'q26'!E32</f>
        <v>1007.4</v>
      </c>
      <c r="F32" s="726">
        <f>+'q26'!F32</f>
        <v>1005.95</v>
      </c>
      <c r="G32" s="726">
        <f>+'q26'!G32</f>
        <v>1021.53</v>
      </c>
      <c r="H32" s="726">
        <f>+'q26'!H32</f>
        <v>1037.1300000000001</v>
      </c>
      <c r="I32" s="726">
        <f>+'q26'!I32</f>
        <v>1071.18</v>
      </c>
      <c r="J32" s="726">
        <f>+'q26'!J32</f>
        <v>1100.1400000000001</v>
      </c>
      <c r="K32" s="726">
        <f>+'q26'!K32</f>
        <v>1152.24</v>
      </c>
      <c r="L32" s="726">
        <f>+'q26'!L32</f>
        <v>1236.27</v>
      </c>
      <c r="M32" s="726">
        <f>+'q26'!M32</f>
        <v>1322.49</v>
      </c>
      <c r="N32" s="214"/>
      <c r="O32" s="286"/>
      <c r="P32" s="54" t="s">
        <v>62</v>
      </c>
      <c r="Q32" s="52" t="s">
        <v>44</v>
      </c>
      <c r="R32" s="121">
        <f>+$C$32*q17a!$C$32</f>
        <v>147956963.64000002</v>
      </c>
      <c r="S32" s="121">
        <f>+$D$32*q17a!$D$32</f>
        <v>157074073.91999999</v>
      </c>
      <c r="T32" s="121">
        <f>+$E$32*q17a!$E$32</f>
        <v>166422480</v>
      </c>
      <c r="U32" s="121">
        <f>+$F$32*q17a!$F$32</f>
        <v>178424345.55000001</v>
      </c>
      <c r="V32" s="121">
        <f>+$G$32*q17a!$G$32</f>
        <v>193027287.26999998</v>
      </c>
      <c r="W32" s="121">
        <f>+$H$32*q17a!$H$32</f>
        <v>201436574.25000003</v>
      </c>
      <c r="X32" s="121">
        <f>+$I$32*q17a!$I$32</f>
        <v>209893436.28</v>
      </c>
      <c r="Y32" s="121">
        <f>+$J$32*q17a!$J$32</f>
        <v>225027036.16000003</v>
      </c>
      <c r="Z32" s="121">
        <f>+$K$32*q17a!$K$32</f>
        <v>254534424.96000001</v>
      </c>
      <c r="AA32" s="121">
        <f>+$L$32*q17a!$L$32</f>
        <v>286049388.87</v>
      </c>
      <c r="AB32" s="121">
        <f>+$M$32*q17a!$M$32</f>
        <v>312672343.23000002</v>
      </c>
      <c r="AE32" s="54" t="s">
        <v>62</v>
      </c>
      <c r="AF32" s="52" t="s">
        <v>44</v>
      </c>
      <c r="AG32" s="121">
        <f>+$C$32*q17a!$C$32</f>
        <v>147956963.64000002</v>
      </c>
      <c r="AH32" s="121">
        <f>+$D$32*q17a!$D$32</f>
        <v>157074073.91999999</v>
      </c>
      <c r="AI32" s="121">
        <f>+$E$32*q17a!$E$32</f>
        <v>166422480</v>
      </c>
      <c r="AJ32" s="121">
        <f>+$F$32*q17a!$F$32</f>
        <v>178424345.55000001</v>
      </c>
      <c r="AK32" s="121">
        <f>+$G$32*q17a!$G$32</f>
        <v>193027287.26999998</v>
      </c>
      <c r="AL32" s="121">
        <f>+$H$32*q17a!$H$32</f>
        <v>201436574.25000003</v>
      </c>
      <c r="AM32" s="121">
        <f>+$I$32*q17a!$I$32</f>
        <v>209893436.28</v>
      </c>
      <c r="AN32" s="121">
        <f>+$J$32*q17a!$J$32</f>
        <v>225027036.16000003</v>
      </c>
      <c r="AO32" s="121">
        <f>+$K$32*q17a!$K$32</f>
        <v>254534424.96000001</v>
      </c>
      <c r="AP32" s="121">
        <f>+$L$32*q17a!$L$32</f>
        <v>286049388.87</v>
      </c>
      <c r="AQ32" s="121">
        <f>+$M$32*q17a!$M$32</f>
        <v>312672343.23000002</v>
      </c>
    </row>
    <row r="33" spans="1:43" s="121" customFormat="1" ht="12.75" customHeight="1">
      <c r="A33" s="55"/>
      <c r="B33" s="56" t="str">
        <f>+'q26'!B33</f>
        <v>H</v>
      </c>
      <c r="C33" s="727">
        <f>+'q26'!C33</f>
        <v>1145.02</v>
      </c>
      <c r="D33" s="727">
        <f>+'q26'!D33</f>
        <v>1133.47</v>
      </c>
      <c r="E33" s="727">
        <f>+'q26'!E33</f>
        <v>1123.44</v>
      </c>
      <c r="F33" s="727">
        <f>+'q26'!F33</f>
        <v>1112.03</v>
      </c>
      <c r="G33" s="727">
        <f>+'q26'!G33</f>
        <v>1125.8</v>
      </c>
      <c r="H33" s="727">
        <f>+'q26'!H33</f>
        <v>1142.6500000000001</v>
      </c>
      <c r="I33" s="727">
        <f>+'q26'!I33</f>
        <v>1177.1400000000001</v>
      </c>
      <c r="J33" s="727">
        <f>+'q26'!J33</f>
        <v>1202.8699999999999</v>
      </c>
      <c r="K33" s="727">
        <f>+'q26'!K33</f>
        <v>1262.48</v>
      </c>
      <c r="L33" s="727">
        <f>+'q26'!L33</f>
        <v>1350.02</v>
      </c>
      <c r="M33" s="727">
        <f>+'q26'!M33</f>
        <v>1438.46</v>
      </c>
      <c r="N33" s="214"/>
      <c r="O33" s="286"/>
      <c r="P33" s="55"/>
      <c r="Q33" s="56" t="s">
        <v>52</v>
      </c>
      <c r="R33" s="121">
        <f>+$C$33*q17a!$C$33</f>
        <v>96669458.519999996</v>
      </c>
      <c r="S33" s="121">
        <f>+$D$33*q17a!$D$33</f>
        <v>101210936.71000001</v>
      </c>
      <c r="T33" s="121">
        <f>+$E$33*q17a!$E$33</f>
        <v>106087562.64</v>
      </c>
      <c r="U33" s="121">
        <f>+$F$33*q17a!$F$33</f>
        <v>113224670.53999999</v>
      </c>
      <c r="V33" s="121">
        <f>+$G$33*q17a!$G$33</f>
        <v>121754144.19999999</v>
      </c>
      <c r="W33" s="121">
        <f>+$H$33*q17a!$H$33</f>
        <v>126621617.10000001</v>
      </c>
      <c r="X33" s="121">
        <f>+$I$33*q17a!$I$33</f>
        <v>131365292.58000001</v>
      </c>
      <c r="Y33" s="121">
        <f>+$J$33*q17a!$J$33</f>
        <v>138444322.64999998</v>
      </c>
      <c r="Z33" s="121">
        <f>+$K$33*q17a!$K$33</f>
        <v>154997194.56</v>
      </c>
      <c r="AA33" s="121">
        <f>+$L$33*q17a!$L$33</f>
        <v>173130614.85999998</v>
      </c>
      <c r="AB33" s="121">
        <f>+$M$33*q17a!$M$33</f>
        <v>187744922.28</v>
      </c>
      <c r="AE33" s="55"/>
      <c r="AF33" s="56" t="s">
        <v>52</v>
      </c>
      <c r="AG33" s="121">
        <f>+$C$33*q17a!$C$33</f>
        <v>96669458.519999996</v>
      </c>
      <c r="AH33" s="121">
        <f>+$D$33*q17a!$D$33</f>
        <v>101210936.71000001</v>
      </c>
      <c r="AI33" s="121">
        <f>+$E$33*q17a!$E$33</f>
        <v>106087562.64</v>
      </c>
      <c r="AJ33" s="121">
        <f>+$F$33*q17a!$F$33</f>
        <v>113224670.53999999</v>
      </c>
      <c r="AK33" s="121">
        <f>+$G$33*q17a!$G$33</f>
        <v>121754144.19999999</v>
      </c>
      <c r="AL33" s="121">
        <f>+$H$33*q17a!$H$33</f>
        <v>126621617.10000001</v>
      </c>
      <c r="AM33" s="121">
        <f>+$I$33*q17a!$I$33</f>
        <v>131365292.58000001</v>
      </c>
      <c r="AN33" s="121">
        <f>+$J$33*q17a!$J$33</f>
        <v>138444322.64999998</v>
      </c>
      <c r="AO33" s="121">
        <f>+$K$33*q17a!$K$33</f>
        <v>154997194.56</v>
      </c>
      <c r="AP33" s="121">
        <f>+$L$33*q17a!$L$33</f>
        <v>173130614.85999998</v>
      </c>
      <c r="AQ33" s="121">
        <f>+$M$33*q17a!$M$33</f>
        <v>187744922.28</v>
      </c>
    </row>
    <row r="34" spans="1:43" s="121" customFormat="1" ht="12.75" customHeight="1">
      <c r="A34" s="54"/>
      <c r="B34" s="56" t="str">
        <f>+'q26'!B34</f>
        <v>M</v>
      </c>
      <c r="C34" s="727">
        <f>+'q26'!C34</f>
        <v>843.61</v>
      </c>
      <c r="D34" s="727">
        <f>+'q26'!D34</f>
        <v>847.77</v>
      </c>
      <c r="E34" s="727">
        <f>+'q26'!E34</f>
        <v>852.56</v>
      </c>
      <c r="F34" s="727">
        <f>+'q26'!F34</f>
        <v>863</v>
      </c>
      <c r="G34" s="727">
        <f>+'q26'!G34</f>
        <v>881.97</v>
      </c>
      <c r="H34" s="727">
        <f>+'q26'!H34</f>
        <v>896.93</v>
      </c>
      <c r="I34" s="727">
        <f>+'q26'!I34</f>
        <v>931</v>
      </c>
      <c r="J34" s="727">
        <f>+'q26'!J34</f>
        <v>967.95</v>
      </c>
      <c r="K34" s="727">
        <f>+'q26'!K34</f>
        <v>1014.33</v>
      </c>
      <c r="L34" s="727">
        <f>+'q26'!L34</f>
        <v>1094.8399999999999</v>
      </c>
      <c r="M34" s="727">
        <f>+'q26'!M34</f>
        <v>1179.57</v>
      </c>
      <c r="N34" s="214"/>
      <c r="O34" s="286"/>
      <c r="P34" s="54"/>
      <c r="Q34" s="56" t="s">
        <v>53</v>
      </c>
      <c r="R34" s="121">
        <f>+$C$34*q17a!$C$34</f>
        <v>51287269.950000003</v>
      </c>
      <c r="S34" s="121">
        <f>+$D$34*q17a!$D$34</f>
        <v>55862956.379999995</v>
      </c>
      <c r="T34" s="121">
        <f>+$E$34*q17a!$E$34</f>
        <v>60334818.639999993</v>
      </c>
      <c r="U34" s="121">
        <f>+$F$34*q17a!$F$34</f>
        <v>65200513</v>
      </c>
      <c r="V34" s="121">
        <f>+$G$34*q17a!$G$34</f>
        <v>71271995.700000003</v>
      </c>
      <c r="W34" s="121">
        <f>+$H$34*q17a!$H$34</f>
        <v>74813828.229999989</v>
      </c>
      <c r="X34" s="121">
        <f>+$I$34*q17a!$I$34</f>
        <v>78528919</v>
      </c>
      <c r="Y34" s="121">
        <f>+$J$34*q17a!$J$34</f>
        <v>86582159.549999997</v>
      </c>
      <c r="Z34" s="121">
        <f>+$K$34*q17a!$K$34</f>
        <v>99538231.560000002</v>
      </c>
      <c r="AA34" s="121">
        <f>+$L$34*q17a!$L$34</f>
        <v>112919607.91999999</v>
      </c>
      <c r="AB34" s="121">
        <f>+$M$34*q17a!$M$34</f>
        <v>124927079.13</v>
      </c>
      <c r="AE34" s="54"/>
      <c r="AF34" s="56" t="s">
        <v>53</v>
      </c>
      <c r="AG34" s="121">
        <f>+$C$34*q17a!$C$34</f>
        <v>51287269.950000003</v>
      </c>
      <c r="AH34" s="121">
        <f>+$D$34*q17a!$D$34</f>
        <v>55862956.379999995</v>
      </c>
      <c r="AI34" s="121">
        <f>+$E$34*q17a!$E$34</f>
        <v>60334818.639999993</v>
      </c>
      <c r="AJ34" s="121">
        <f>+$F$34*q17a!$F$34</f>
        <v>65200513</v>
      </c>
      <c r="AK34" s="121">
        <f>+$G$34*q17a!$G$34</f>
        <v>71271995.700000003</v>
      </c>
      <c r="AL34" s="121">
        <f>+$H$34*q17a!$H$34</f>
        <v>74813828.229999989</v>
      </c>
      <c r="AM34" s="121">
        <f>+$I$34*q17a!$I$34</f>
        <v>78528919</v>
      </c>
      <c r="AN34" s="121">
        <f>+$J$34*q17a!$J$34</f>
        <v>86582159.549999997</v>
      </c>
      <c r="AO34" s="121">
        <f>+$K$34*q17a!$K$34</f>
        <v>99538231.560000002</v>
      </c>
      <c r="AP34" s="121">
        <f>+$L$34*q17a!$L$34</f>
        <v>112919607.91999999</v>
      </c>
      <c r="AQ34" s="121">
        <f>+$M$34*q17a!$M$34</f>
        <v>124927079.13</v>
      </c>
    </row>
    <row r="35" spans="1:43" s="121" customFormat="1" ht="16.5" customHeight="1">
      <c r="A35" s="54" t="str">
        <f>+'q26'!A35</f>
        <v>60-64 anos</v>
      </c>
      <c r="B35" s="52" t="str">
        <f>+'q26'!B35</f>
        <v>T</v>
      </c>
      <c r="C35" s="726">
        <f>+'q26'!C35</f>
        <v>1050.3900000000001</v>
      </c>
      <c r="D35" s="726">
        <f>+'q26'!D35</f>
        <v>1059.06</v>
      </c>
      <c r="E35" s="726">
        <f>+'q26'!E35</f>
        <v>1057.99</v>
      </c>
      <c r="F35" s="726">
        <f>+'q26'!F35</f>
        <v>1062.26</v>
      </c>
      <c r="G35" s="726">
        <f>+'q26'!G35</f>
        <v>1075.3</v>
      </c>
      <c r="H35" s="726">
        <f>+'q26'!H35</f>
        <v>1087.1300000000001</v>
      </c>
      <c r="I35" s="726">
        <f>+'q26'!I35</f>
        <v>1112.21</v>
      </c>
      <c r="J35" s="726">
        <f>+'q26'!J35</f>
        <v>1124.0899999999999</v>
      </c>
      <c r="K35" s="726">
        <f>+'q26'!K35</f>
        <v>1158.8699999999999</v>
      </c>
      <c r="L35" s="726">
        <f>+'q26'!L35</f>
        <v>1222.78</v>
      </c>
      <c r="M35" s="726">
        <f>+'q26'!M35</f>
        <v>1305.79</v>
      </c>
      <c r="N35" s="214"/>
      <c r="O35" s="286"/>
      <c r="P35" s="54" t="s">
        <v>63</v>
      </c>
      <c r="Q35" s="52" t="s">
        <v>44</v>
      </c>
      <c r="R35" s="121">
        <f>+$C$35*q17a!$C$35</f>
        <v>69712283.520000011</v>
      </c>
      <c r="S35" s="121">
        <f>+$D$35*q17a!$D$35</f>
        <v>76868692.920000002</v>
      </c>
      <c r="T35" s="121">
        <f>+$E$35*q17a!$E$35</f>
        <v>82526393.969999999</v>
      </c>
      <c r="U35" s="121">
        <f>+$F$35*q17a!$F$35</f>
        <v>93016796.900000006</v>
      </c>
      <c r="V35" s="121">
        <f>+$G$35*q17a!$G$35</f>
        <v>99352343.5</v>
      </c>
      <c r="W35" s="121">
        <f>+$H$35*q17a!$H$35</f>
        <v>105707085.55000001</v>
      </c>
      <c r="X35" s="121">
        <f>+$I$35*q17a!$I$35</f>
        <v>110411311.12</v>
      </c>
      <c r="Y35" s="121">
        <f>+$J$35*q17a!$J$35</f>
        <v>122305488.35999998</v>
      </c>
      <c r="Z35" s="121">
        <f>+$K$35*q17a!$K$35</f>
        <v>144370865.72999999</v>
      </c>
      <c r="AA35" s="121">
        <f>+$L$35*q17a!$L$35</f>
        <v>167674930.28</v>
      </c>
      <c r="AB35" s="121">
        <f>+$M$35*q17a!$M$35</f>
        <v>187242451.25999999</v>
      </c>
      <c r="AE35" s="54" t="s">
        <v>63</v>
      </c>
      <c r="AF35" s="52" t="s">
        <v>44</v>
      </c>
      <c r="AG35" s="121">
        <f>+$C$35*q17a!$C$35</f>
        <v>69712283.520000011</v>
      </c>
      <c r="AH35" s="121">
        <f>+$D$35*q17a!$D$35</f>
        <v>76868692.920000002</v>
      </c>
      <c r="AI35" s="121">
        <f>+$E$35*q17a!$E$35</f>
        <v>82526393.969999999</v>
      </c>
      <c r="AJ35" s="121">
        <f>+$F$35*q17a!$F$35</f>
        <v>93016796.900000006</v>
      </c>
      <c r="AK35" s="121">
        <f>+$G$35*q17a!$G$35</f>
        <v>99352343.5</v>
      </c>
      <c r="AL35" s="121">
        <f>+$H$35*q17a!$H$35</f>
        <v>105707085.55000001</v>
      </c>
      <c r="AM35" s="121">
        <f>+$I$35*q17a!$I$35</f>
        <v>110411311.12</v>
      </c>
      <c r="AN35" s="121">
        <f>+$J$35*q17a!$J$35</f>
        <v>122305488.35999998</v>
      </c>
      <c r="AO35" s="121">
        <f>+$K$35*q17a!$K$35</f>
        <v>144370865.72999999</v>
      </c>
      <c r="AP35" s="121">
        <f>+$L$35*q17a!$L$35</f>
        <v>167674930.28</v>
      </c>
      <c r="AQ35" s="121">
        <f>+$M$35*q17a!$M$35</f>
        <v>187242451.25999999</v>
      </c>
    </row>
    <row r="36" spans="1:43" s="121" customFormat="1" ht="12.75" customHeight="1">
      <c r="A36" s="55"/>
      <c r="B36" s="56" t="str">
        <f>+'q26'!B36</f>
        <v>H</v>
      </c>
      <c r="C36" s="727">
        <f>+'q26'!C36</f>
        <v>1205.1300000000001</v>
      </c>
      <c r="D36" s="727">
        <f>+'q26'!D36</f>
        <v>1214.8499999999999</v>
      </c>
      <c r="E36" s="727">
        <f>+'q26'!E36</f>
        <v>1207.74</v>
      </c>
      <c r="F36" s="727">
        <f>+'q26'!F36</f>
        <v>1195.4000000000001</v>
      </c>
      <c r="G36" s="727">
        <f>+'q26'!G36</f>
        <v>1199.92</v>
      </c>
      <c r="H36" s="727">
        <f>+'q26'!H36</f>
        <v>1200.5999999999999</v>
      </c>
      <c r="I36" s="727">
        <f>+'q26'!I36</f>
        <v>1222.19</v>
      </c>
      <c r="J36" s="727">
        <f>+'q26'!J36</f>
        <v>1227.8599999999999</v>
      </c>
      <c r="K36" s="727">
        <f>+'q26'!K36</f>
        <v>1264.96</v>
      </c>
      <c r="L36" s="727">
        <f>+'q26'!L36</f>
        <v>1334.18</v>
      </c>
      <c r="M36" s="727">
        <f>+'q26'!M36</f>
        <v>1427.72</v>
      </c>
      <c r="N36" s="214"/>
      <c r="O36" s="286"/>
      <c r="P36" s="55"/>
      <c r="Q36" s="56" t="s">
        <v>52</v>
      </c>
      <c r="R36" s="121">
        <f>+$C$36*q17a!$C$36</f>
        <v>47744840.340000004</v>
      </c>
      <c r="S36" s="121">
        <f>+$D$36*q17a!$D$36</f>
        <v>52414703.249999993</v>
      </c>
      <c r="T36" s="121">
        <f>+$E$36*q17a!$E$36</f>
        <v>55527054.240000002</v>
      </c>
      <c r="U36" s="121">
        <f>+$F$36*q17a!$F$36</f>
        <v>61867927.000000007</v>
      </c>
      <c r="V36" s="121">
        <f>+$G$36*q17a!$G$36</f>
        <v>64793280.160000004</v>
      </c>
      <c r="W36" s="121">
        <f>+$H$36*q17a!$H$36</f>
        <v>67719843</v>
      </c>
      <c r="X36" s="121">
        <f>+$I$36*q17a!$I$36</f>
        <v>70272258.430000007</v>
      </c>
      <c r="Y36" s="121">
        <f>+$J$36*q17a!$J$36</f>
        <v>76891048.919999987</v>
      </c>
      <c r="Z36" s="121">
        <f>+$K$36*q17a!$K$36</f>
        <v>90239716.480000004</v>
      </c>
      <c r="AA36" s="121">
        <f>+$L$36*q17a!$L$36</f>
        <v>104088721.06</v>
      </c>
      <c r="AB36" s="121">
        <f>+$M$36*q17a!$M$36</f>
        <v>115683868.44</v>
      </c>
      <c r="AE36" s="55"/>
      <c r="AF36" s="56" t="s">
        <v>52</v>
      </c>
      <c r="AG36" s="121">
        <f>+$C$36*q17a!$C$36</f>
        <v>47744840.340000004</v>
      </c>
      <c r="AH36" s="121">
        <f>+$D$36*q17a!$D$36</f>
        <v>52414703.249999993</v>
      </c>
      <c r="AI36" s="121">
        <f>+$E$36*q17a!$E$36</f>
        <v>55527054.240000002</v>
      </c>
      <c r="AJ36" s="121">
        <f>+$F$36*q17a!$F$36</f>
        <v>61867927.000000007</v>
      </c>
      <c r="AK36" s="121">
        <f>+$G$36*q17a!$G$36</f>
        <v>64793280.160000004</v>
      </c>
      <c r="AL36" s="121">
        <f>+$H$36*q17a!$H$36</f>
        <v>67719843</v>
      </c>
      <c r="AM36" s="121">
        <f>+$I$36*q17a!$I$36</f>
        <v>70272258.430000007</v>
      </c>
      <c r="AN36" s="121">
        <f>+$J$36*q17a!$J$36</f>
        <v>76891048.919999987</v>
      </c>
      <c r="AO36" s="121">
        <f>+$K$36*q17a!$K$36</f>
        <v>90239716.480000004</v>
      </c>
      <c r="AP36" s="121">
        <f>+$L$36*q17a!$L$36</f>
        <v>104088721.06</v>
      </c>
      <c r="AQ36" s="121">
        <f>+$M$36*q17a!$M$36</f>
        <v>115683868.44</v>
      </c>
    </row>
    <row r="37" spans="1:43" s="121" customFormat="1" ht="12.75" customHeight="1">
      <c r="A37" s="54"/>
      <c r="B37" s="56" t="str">
        <f>+'q26'!B37</f>
        <v>M</v>
      </c>
      <c r="C37" s="727">
        <f>+'q26'!C37</f>
        <v>821.21</v>
      </c>
      <c r="D37" s="727">
        <f>+'q26'!D37</f>
        <v>830.73</v>
      </c>
      <c r="E37" s="727">
        <f>+'q26'!E37</f>
        <v>843.02</v>
      </c>
      <c r="F37" s="727">
        <f>+'q26'!F37</f>
        <v>869.83</v>
      </c>
      <c r="G37" s="727">
        <f>+'q26'!G37</f>
        <v>900.03</v>
      </c>
      <c r="H37" s="727">
        <f>+'q26'!H37</f>
        <v>930.38</v>
      </c>
      <c r="I37" s="727">
        <f>+'q26'!I37</f>
        <v>960.84</v>
      </c>
      <c r="J37" s="727">
        <f>+'q26'!J37</f>
        <v>983.37</v>
      </c>
      <c r="K37" s="727">
        <f>+'q26'!K37</f>
        <v>1016.72</v>
      </c>
      <c r="L37" s="727">
        <f>+'q26'!L37</f>
        <v>1075.74</v>
      </c>
      <c r="M37" s="727">
        <f>+'q26'!M37</f>
        <v>1147.3900000000001</v>
      </c>
      <c r="N37" s="214"/>
      <c r="O37" s="286"/>
      <c r="P37" s="54"/>
      <c r="Q37" s="56" t="s">
        <v>53</v>
      </c>
      <c r="R37" s="121">
        <f>+$C$37*q17a!$C$37</f>
        <v>21967367.5</v>
      </c>
      <c r="S37" s="121">
        <f>+$D$37*q17a!$D$37</f>
        <v>24454199.010000002</v>
      </c>
      <c r="T37" s="121">
        <f>+$E$37*q17a!$E$37</f>
        <v>26999401.539999999</v>
      </c>
      <c r="U37" s="121">
        <f>+$F$37*q17a!$F$37</f>
        <v>31148612.300000001</v>
      </c>
      <c r="V37" s="121">
        <f>+$G$37*q17a!$G$37</f>
        <v>34558451.909999996</v>
      </c>
      <c r="W37" s="121">
        <f>+$H$37*q17a!$H$37</f>
        <v>37987415.399999999</v>
      </c>
      <c r="X37" s="121">
        <f>+$I$37*q17a!$I$37</f>
        <v>40139091</v>
      </c>
      <c r="Y37" s="121">
        <f>+$J$37*q17a!$J$37</f>
        <v>45413993.340000004</v>
      </c>
      <c r="Z37" s="121">
        <f>+$K$37*q17a!$K$37</f>
        <v>54131189.520000003</v>
      </c>
      <c r="AA37" s="121">
        <f>+$L$37*q17a!$L$37</f>
        <v>63585915.660000004</v>
      </c>
      <c r="AB37" s="121">
        <f>+$M$37*q17a!$M$37</f>
        <v>71559272.13000001</v>
      </c>
      <c r="AE37" s="54"/>
      <c r="AF37" s="56" t="s">
        <v>53</v>
      </c>
      <c r="AG37" s="121">
        <f>+$C$37*q17a!$C$37</f>
        <v>21967367.5</v>
      </c>
      <c r="AH37" s="121">
        <f>+$D$37*q17a!$D$37</f>
        <v>24454199.010000002</v>
      </c>
      <c r="AI37" s="121">
        <f>+$E$37*q17a!$E$37</f>
        <v>26999401.539999999</v>
      </c>
      <c r="AJ37" s="121">
        <f>+$F$37*q17a!$F$37</f>
        <v>31148612.300000001</v>
      </c>
      <c r="AK37" s="121">
        <f>+$G$37*q17a!$G$37</f>
        <v>34558451.909999996</v>
      </c>
      <c r="AL37" s="121">
        <f>+$H$37*q17a!$H$37</f>
        <v>37987415.399999999</v>
      </c>
      <c r="AM37" s="121">
        <f>+$I$37*q17a!$I$37</f>
        <v>40139091</v>
      </c>
      <c r="AN37" s="121">
        <f>+$J$37*q17a!$J$37</f>
        <v>45413993.340000004</v>
      </c>
      <c r="AO37" s="121">
        <f>+$K$37*q17a!$K$37</f>
        <v>54131189.520000003</v>
      </c>
      <c r="AP37" s="121">
        <f>+$L$37*q17a!$L$37</f>
        <v>63585915.660000004</v>
      </c>
      <c r="AQ37" s="121">
        <f>+$M$37*q17a!$M$37</f>
        <v>71559272.13000001</v>
      </c>
    </row>
    <row r="38" spans="1:43" s="121" customFormat="1" ht="16.5" customHeight="1">
      <c r="A38" s="54" t="str">
        <f>+'q26'!A38</f>
        <v>65 e + anos</v>
      </c>
      <c r="B38" s="52" t="str">
        <f>+'q26'!B38</f>
        <v>T</v>
      </c>
      <c r="C38" s="726">
        <f>+'q26'!C38</f>
        <v>1170.01</v>
      </c>
      <c r="D38" s="726">
        <f>+'q26'!D38</f>
        <v>1185.02</v>
      </c>
      <c r="E38" s="726">
        <f>+'q26'!E38</f>
        <v>1181.94</v>
      </c>
      <c r="F38" s="726">
        <f>+'q26'!F38</f>
        <v>1181.47</v>
      </c>
      <c r="G38" s="726">
        <f>+'q26'!G38</f>
        <v>1177.69</v>
      </c>
      <c r="H38" s="726">
        <f>+'q26'!H38</f>
        <v>1219.73</v>
      </c>
      <c r="I38" s="726">
        <f>+'q26'!I38</f>
        <v>1280.79</v>
      </c>
      <c r="J38" s="726">
        <f>+'q26'!J38</f>
        <v>1291.3499999999999</v>
      </c>
      <c r="K38" s="726">
        <f>+'q26'!K38</f>
        <v>1298</v>
      </c>
      <c r="L38" s="726">
        <f>+'q26'!L38</f>
        <v>1345.46</v>
      </c>
      <c r="M38" s="726">
        <f>+'q26'!M38</f>
        <v>1413.77</v>
      </c>
      <c r="N38" s="214"/>
      <c r="O38" s="286"/>
      <c r="P38" s="54" t="s">
        <v>64</v>
      </c>
      <c r="Q38" s="52" t="s">
        <v>44</v>
      </c>
      <c r="R38" s="457">
        <f>+$C$38</f>
        <v>1170.01</v>
      </c>
      <c r="S38" s="457">
        <f>+$D$38</f>
        <v>1185.02</v>
      </c>
      <c r="T38" s="457">
        <f>+$E$38</f>
        <v>1181.94</v>
      </c>
      <c r="U38" s="457">
        <f>+$F$38</f>
        <v>1181.47</v>
      </c>
      <c r="V38" s="457">
        <f>+$G$38</f>
        <v>1177.69</v>
      </c>
      <c r="W38" s="457">
        <f>+$H$38</f>
        <v>1219.73</v>
      </c>
      <c r="X38" s="457">
        <f>+$I$38</f>
        <v>1280.79</v>
      </c>
      <c r="Y38" s="457">
        <f>+$J$38</f>
        <v>1291.3499999999999</v>
      </c>
      <c r="Z38" s="457">
        <f>+$K$38</f>
        <v>1298</v>
      </c>
      <c r="AA38" s="457">
        <f>+$L$38</f>
        <v>1345.46</v>
      </c>
      <c r="AB38" s="457">
        <f>+$M$38</f>
        <v>1413.77</v>
      </c>
      <c r="AE38" s="54" t="s">
        <v>64</v>
      </c>
      <c r="AF38" s="52" t="s">
        <v>44</v>
      </c>
      <c r="AG38" s="457">
        <f>+$C$38*q17a!$C$38</f>
        <v>16919514.609999999</v>
      </c>
      <c r="AH38" s="457">
        <f>+$D$38*q17a!$D$38</f>
        <v>19537424.739999998</v>
      </c>
      <c r="AI38" s="457">
        <f>+$E$38*q17a!$E$38</f>
        <v>21855252.540000003</v>
      </c>
      <c r="AJ38" s="457">
        <f>+$F$38*q17a!$F$38</f>
        <v>24723441.219999999</v>
      </c>
      <c r="AK38" s="457">
        <f>+$G$38*q17a!$G$38</f>
        <v>28442391.190000001</v>
      </c>
      <c r="AL38" s="457">
        <f>+$H$38*q17a!$H$38</f>
        <v>33448655.789999999</v>
      </c>
      <c r="AM38" s="457">
        <f>+$I$38*q17a!$I$38</f>
        <v>34869507.75</v>
      </c>
      <c r="AN38" s="457">
        <f>+$J$38*q17a!$J$38</f>
        <v>38816689.649999999</v>
      </c>
      <c r="AO38" s="457">
        <f>+$K$38*q17a!$K$38</f>
        <v>45127566</v>
      </c>
      <c r="AP38" s="457">
        <f>+$L$38*q17a!$L$38</f>
        <v>52342430.380000003</v>
      </c>
      <c r="AQ38" s="457">
        <f>+$M$38*q17a!$M$38</f>
        <v>60464115.359999999</v>
      </c>
    </row>
    <row r="39" spans="1:43" s="121" customFormat="1" ht="12.75" customHeight="1">
      <c r="A39" s="55"/>
      <c r="B39" s="56" t="str">
        <f>+'q26'!B39</f>
        <v>H</v>
      </c>
      <c r="C39" s="727">
        <f>+'q26'!C39</f>
        <v>1342.71</v>
      </c>
      <c r="D39" s="727">
        <f>+'q26'!D39</f>
        <v>1365.22</v>
      </c>
      <c r="E39" s="727">
        <f>+'q26'!E39</f>
        <v>1356.01</v>
      </c>
      <c r="F39" s="727">
        <f>+'q26'!F39</f>
        <v>1353.73</v>
      </c>
      <c r="G39" s="727">
        <f>+'q26'!G39</f>
        <v>1329.78</v>
      </c>
      <c r="H39" s="727">
        <f>+'q26'!H39</f>
        <v>1356.39</v>
      </c>
      <c r="I39" s="727">
        <f>+'q26'!I39</f>
        <v>1428.29</v>
      </c>
      <c r="J39" s="727">
        <f>+'q26'!J39</f>
        <v>1426.24</v>
      </c>
      <c r="K39" s="727">
        <f>+'q26'!K39</f>
        <v>1419.42</v>
      </c>
      <c r="L39" s="727">
        <f>+'q26'!L39</f>
        <v>1456.5</v>
      </c>
      <c r="M39" s="727">
        <f>+'q26'!M39</f>
        <v>1519.75</v>
      </c>
      <c r="N39" s="214"/>
      <c r="O39" s="286"/>
      <c r="P39" s="55"/>
      <c r="Q39" s="56" t="s">
        <v>52</v>
      </c>
      <c r="R39" s="457">
        <f>+$C$39</f>
        <v>1342.71</v>
      </c>
      <c r="S39" s="457">
        <f>+$D$39</f>
        <v>1365.22</v>
      </c>
      <c r="T39" s="457">
        <f>+$E$39</f>
        <v>1356.01</v>
      </c>
      <c r="U39" s="457">
        <f>+$F$39</f>
        <v>1353.73</v>
      </c>
      <c r="V39" s="457">
        <f>+$G$39</f>
        <v>1329.78</v>
      </c>
      <c r="W39" s="457">
        <f>+$H$39</f>
        <v>1356.39</v>
      </c>
      <c r="X39" s="457">
        <f>+$I$39</f>
        <v>1428.29</v>
      </c>
      <c r="Y39" s="457">
        <f>+$J$39</f>
        <v>1426.24</v>
      </c>
      <c r="Z39" s="457">
        <f>+$K$39</f>
        <v>1419.42</v>
      </c>
      <c r="AA39" s="457">
        <f>+$L$39</f>
        <v>1456.5</v>
      </c>
      <c r="AB39" s="457">
        <f>+$M$39</f>
        <v>1519.75</v>
      </c>
      <c r="AE39" s="55"/>
      <c r="AF39" s="56" t="s">
        <v>52</v>
      </c>
      <c r="AG39" s="457">
        <f>+$C$39*q17a!$C$39</f>
        <v>12246857.91</v>
      </c>
      <c r="AH39" s="457">
        <f>+$D$39*q17a!$D$39</f>
        <v>13891113.5</v>
      </c>
      <c r="AI39" s="457">
        <f>+$E$39*q17a!$E$39</f>
        <v>15289012.75</v>
      </c>
      <c r="AJ39" s="457">
        <f>+$F$39*q17a!$F$39</f>
        <v>17576830.32</v>
      </c>
      <c r="AK39" s="457">
        <f>+$G$39*q17a!$G$39</f>
        <v>19901487.48</v>
      </c>
      <c r="AL39" s="457">
        <f>+$H$39*q17a!$H$39</f>
        <v>23591691.270000003</v>
      </c>
      <c r="AM39" s="457">
        <f>+$I$39*q17a!$I$39</f>
        <v>24686564.359999999</v>
      </c>
      <c r="AN39" s="457">
        <f>+$J$39*q17a!$J$39</f>
        <v>26857525.440000001</v>
      </c>
      <c r="AO39" s="457">
        <f>+$K$39*q17a!$K$39</f>
        <v>30939097.740000002</v>
      </c>
      <c r="AP39" s="457">
        <f>+$L$39*q17a!$L$39</f>
        <v>35605599</v>
      </c>
      <c r="AQ39" s="457">
        <f>+$M$39*q17a!$M$39</f>
        <v>40825044.25</v>
      </c>
    </row>
    <row r="40" spans="1:43" s="121" customFormat="1" ht="12.75" customHeight="1">
      <c r="A40" s="54"/>
      <c r="B40" s="56" t="str">
        <f>+'q26'!B40</f>
        <v>M</v>
      </c>
      <c r="C40" s="727">
        <f>+'q26'!C40</f>
        <v>875.04</v>
      </c>
      <c r="D40" s="727">
        <f>+'q26'!D40</f>
        <v>894.55</v>
      </c>
      <c r="E40" s="727">
        <f>+'q26'!E40</f>
        <v>909.95</v>
      </c>
      <c r="F40" s="727">
        <f>+'q26'!F40</f>
        <v>899.85</v>
      </c>
      <c r="G40" s="727">
        <f>+'q26'!G40</f>
        <v>929.87</v>
      </c>
      <c r="H40" s="727">
        <f>+'q26'!H40</f>
        <v>982.74</v>
      </c>
      <c r="I40" s="727">
        <f>+'q26'!I40</f>
        <v>1024.3399999999999</v>
      </c>
      <c r="J40" s="727">
        <f>+'q26'!J40</f>
        <v>1065.1300000000001</v>
      </c>
      <c r="K40" s="727">
        <f>+'q26'!K40</f>
        <v>1093.93</v>
      </c>
      <c r="L40" s="727">
        <f>+'q26'!L40</f>
        <v>1157.69</v>
      </c>
      <c r="M40" s="727">
        <f>+'q26'!M40</f>
        <v>1234.77</v>
      </c>
      <c r="N40" s="214"/>
      <c r="O40" s="286"/>
      <c r="P40" s="54"/>
      <c r="Q40" s="56" t="s">
        <v>53</v>
      </c>
      <c r="R40" s="457">
        <f>+$C$40</f>
        <v>875.04</v>
      </c>
      <c r="S40" s="457">
        <f>+$D$40</f>
        <v>894.55</v>
      </c>
      <c r="T40" s="457">
        <f>+$E$40</f>
        <v>909.95</v>
      </c>
      <c r="U40" s="457">
        <f>+$F$40</f>
        <v>899.85</v>
      </c>
      <c r="V40" s="457">
        <f>+$G$40</f>
        <v>929.87</v>
      </c>
      <c r="W40" s="457">
        <f>+$H$40</f>
        <v>982.74</v>
      </c>
      <c r="X40" s="457">
        <f>+$I$40</f>
        <v>1024.3399999999999</v>
      </c>
      <c r="Y40" s="457">
        <f>+$J$40</f>
        <v>1065.1300000000001</v>
      </c>
      <c r="Z40" s="457">
        <f>+$K$40</f>
        <v>1093.93</v>
      </c>
      <c r="AA40" s="457">
        <f>+$L$40</f>
        <v>1157.69</v>
      </c>
      <c r="AB40" s="457">
        <f>+$M$40</f>
        <v>1234.77</v>
      </c>
      <c r="AE40" s="54"/>
      <c r="AF40" s="56" t="s">
        <v>53</v>
      </c>
      <c r="AG40" s="457">
        <f>+$C$40*q17a!$C$40</f>
        <v>4672713.5999999996</v>
      </c>
      <c r="AH40" s="457">
        <f>+$D$40*q17a!$D$40</f>
        <v>5646399.5999999996</v>
      </c>
      <c r="AI40" s="457">
        <f>+$E$40*q17a!$E$40</f>
        <v>6566199.2000000002</v>
      </c>
      <c r="AJ40" s="457">
        <f>+$F$40*q17a!$F$40</f>
        <v>7146608.7000000002</v>
      </c>
      <c r="AK40" s="457">
        <f>+$G$40*q17a!$G$40</f>
        <v>8540855.9499999993</v>
      </c>
      <c r="AL40" s="457">
        <f>+$H$40*q17a!$H$40</f>
        <v>9856882.1999999993</v>
      </c>
      <c r="AM40" s="457">
        <f>+$I$40*q17a!$I$40</f>
        <v>10182963.939999999</v>
      </c>
      <c r="AN40" s="457">
        <f>+$J$40*q17a!$J$40</f>
        <v>11959279.640000001</v>
      </c>
      <c r="AO40" s="457">
        <f>+$K$40*q17a!$K$40</f>
        <v>14188272.100000001</v>
      </c>
      <c r="AP40" s="457">
        <f>+$L$40*q17a!$L$40</f>
        <v>16736724.33</v>
      </c>
      <c r="AQ40" s="457">
        <f>+$M$40*q17a!$M$40</f>
        <v>19639016.850000001</v>
      </c>
    </row>
    <row r="41" spans="1:43" s="121" customFormat="1" ht="16.5" customHeight="1">
      <c r="A41" s="54" t="str">
        <f>+'q26'!A41</f>
        <v>Ignorado</v>
      </c>
      <c r="B41" s="52" t="str">
        <f>+'q26'!B41</f>
        <v>T</v>
      </c>
      <c r="C41" s="726">
        <f>+'q26'!C41</f>
        <v>1473.79</v>
      </c>
      <c r="D41" s="726">
        <f>+'q26'!D41</f>
        <v>1438.46</v>
      </c>
      <c r="E41" s="726">
        <f>+'q26'!E41</f>
        <v>1460.64</v>
      </c>
      <c r="F41" s="726">
        <f>+'q26'!F41</f>
        <v>1507.09</v>
      </c>
      <c r="G41" s="726">
        <f>+'q26'!G41</f>
        <v>1538.69</v>
      </c>
      <c r="H41" s="726">
        <f>+'q26'!H41</f>
        <v>919.63</v>
      </c>
      <c r="I41" s="726">
        <f>+'q26'!I41</f>
        <v>1018.58</v>
      </c>
      <c r="J41" s="726">
        <f>+'q26'!J41</f>
        <v>961.42</v>
      </c>
      <c r="K41" s="726">
        <f>+'q26'!K41</f>
        <v>1084.8599999999999</v>
      </c>
      <c r="L41" s="726">
        <f>+'q26'!L41</f>
        <v>765</v>
      </c>
      <c r="M41" s="726">
        <f>+'q26'!M41</f>
        <v>1124.17</v>
      </c>
      <c r="N41" s="214"/>
      <c r="O41" s="286"/>
      <c r="P41" s="54" t="s">
        <v>12</v>
      </c>
      <c r="Q41" s="52" t="s">
        <v>44</v>
      </c>
      <c r="R41" s="457">
        <f>+$C$41</f>
        <v>1473.79</v>
      </c>
      <c r="S41" s="457">
        <f>+$D$41</f>
        <v>1438.46</v>
      </c>
      <c r="T41" s="457">
        <f>+$E$41</f>
        <v>1460.64</v>
      </c>
      <c r="U41" s="457">
        <f>+$F$41</f>
        <v>1507.09</v>
      </c>
      <c r="V41" s="457">
        <f>+$G$41</f>
        <v>1538.69</v>
      </c>
      <c r="W41" s="457">
        <f>+$H$41</f>
        <v>919.63</v>
      </c>
      <c r="X41" s="457">
        <f>+$I$41</f>
        <v>1018.58</v>
      </c>
      <c r="Y41" s="457">
        <f>+$J$41</f>
        <v>961.42</v>
      </c>
      <c r="Z41" s="457">
        <f>+$K$41</f>
        <v>1084.8599999999999</v>
      </c>
      <c r="AA41" s="457">
        <f>+$L$41</f>
        <v>765</v>
      </c>
      <c r="AB41" s="457">
        <f>+$M$41</f>
        <v>1124.17</v>
      </c>
      <c r="AE41" s="54" t="s">
        <v>12</v>
      </c>
      <c r="AF41" s="52" t="s">
        <v>44</v>
      </c>
      <c r="AG41" s="457">
        <f>+$C$41*q17a!$C$41</f>
        <v>2045620.52</v>
      </c>
      <c r="AH41" s="457">
        <f>+$D$41*q17a!$D$41</f>
        <v>2054120.8800000001</v>
      </c>
      <c r="AI41" s="457">
        <f>+$E$41*q17a!$E$41</f>
        <v>2179274.8800000004</v>
      </c>
      <c r="AJ41" s="457">
        <f>+$F$41*q17a!$F$41</f>
        <v>2307354.79</v>
      </c>
      <c r="AK41" s="457">
        <f>+$G$41*q17a!$G$41</f>
        <v>2648085.4900000002</v>
      </c>
      <c r="AL41" s="457">
        <f>+$H$41*q17a!$H$41</f>
        <v>359575.33</v>
      </c>
      <c r="AM41" s="457">
        <f>+$I$41*q17a!$I$41</f>
        <v>257700.74000000002</v>
      </c>
      <c r="AN41" s="457">
        <f>+$J$41*q17a!$J$41</f>
        <v>367262.44</v>
      </c>
      <c r="AO41" s="457">
        <f>+$K$41*q17a!$K$41</f>
        <v>207208.25999999998</v>
      </c>
      <c r="AP41" s="457">
        <f>+$L$41*q17a!$L$41</f>
        <v>765</v>
      </c>
      <c r="AQ41" s="457">
        <f>+$M$41*q17a!$M$41</f>
        <v>408073.71</v>
      </c>
    </row>
    <row r="42" spans="1:43" s="121" customFormat="1" ht="12.75" customHeight="1">
      <c r="A42" s="55"/>
      <c r="B42" s="56" t="str">
        <f>+'q26'!B42</f>
        <v>H</v>
      </c>
      <c r="C42" s="727">
        <f>+'q26'!C42</f>
        <v>1670.25</v>
      </c>
      <c r="D42" s="727">
        <f>+'q26'!D42</f>
        <v>1597.76</v>
      </c>
      <c r="E42" s="727">
        <f>+'q26'!E42</f>
        <v>1632.89</v>
      </c>
      <c r="F42" s="727">
        <f>+'q26'!F42</f>
        <v>1681.05</v>
      </c>
      <c r="G42" s="727">
        <f>+'q26'!G42</f>
        <v>1715.21</v>
      </c>
      <c r="H42" s="727">
        <f>+'q26'!H42</f>
        <v>937.33</v>
      </c>
      <c r="I42" s="727">
        <f>+'q26'!I42</f>
        <v>1041.0899999999999</v>
      </c>
      <c r="J42" s="727">
        <f>+'q26'!J42</f>
        <v>988.09</v>
      </c>
      <c r="K42" s="727">
        <f>+'q26'!K42</f>
        <v>1133.52</v>
      </c>
      <c r="L42" s="727">
        <f>+'q26'!L42</f>
        <v>765</v>
      </c>
      <c r="M42" s="727">
        <f>+'q26'!M42</f>
        <v>1171.51</v>
      </c>
      <c r="N42" s="214"/>
      <c r="O42" s="286"/>
      <c r="P42" s="55"/>
      <c r="Q42" s="56" t="s">
        <v>52</v>
      </c>
      <c r="R42" s="457">
        <f>+$C$42</f>
        <v>1670.25</v>
      </c>
      <c r="S42" s="457">
        <f>+$D$42</f>
        <v>1597.76</v>
      </c>
      <c r="T42" s="457">
        <f>+$E$42</f>
        <v>1632.89</v>
      </c>
      <c r="U42" s="457">
        <f>+$F$42</f>
        <v>1681.05</v>
      </c>
      <c r="V42" s="457">
        <f>+$G$42</f>
        <v>1715.21</v>
      </c>
      <c r="W42" s="457">
        <f>+$H$42</f>
        <v>937.33</v>
      </c>
      <c r="X42" s="457">
        <f>+$I$42</f>
        <v>1041.0899999999999</v>
      </c>
      <c r="Y42" s="457">
        <f>+$J$42</f>
        <v>988.09</v>
      </c>
      <c r="Z42" s="457">
        <f>+$K$42</f>
        <v>1133.52</v>
      </c>
      <c r="AA42" s="457">
        <f>+$L$42</f>
        <v>765</v>
      </c>
      <c r="AB42" s="457">
        <f>+$M$42</f>
        <v>1171.51</v>
      </c>
      <c r="AE42" s="55"/>
      <c r="AF42" s="56" t="s">
        <v>52</v>
      </c>
      <c r="AG42" s="457">
        <f>+$C$42*q17a!$C$42</f>
        <v>1544981.25</v>
      </c>
      <c r="AH42" s="457">
        <f>+$D$42*q17a!$D$42</f>
        <v>1503492.16</v>
      </c>
      <c r="AI42" s="457">
        <f>+$E$42*q17a!$E$42</f>
        <v>1636155.78</v>
      </c>
      <c r="AJ42" s="457">
        <f>+$F$42*q17a!$F$42</f>
        <v>1721395.2</v>
      </c>
      <c r="AK42" s="457">
        <f>+$G$42*q17a!$G$42</f>
        <v>2013656.54</v>
      </c>
      <c r="AL42" s="457">
        <f>+$H$42*q17a!$H$42</f>
        <v>168719.4</v>
      </c>
      <c r="AM42" s="457">
        <f>+$I$42*q17a!$I$42</f>
        <v>150958.04999999999</v>
      </c>
      <c r="AN42" s="457">
        <f>+$J$42*q17a!$J$42</f>
        <v>190701.37</v>
      </c>
      <c r="AO42" s="457">
        <f>+$K$42*q17a!$K$42</f>
        <v>122420.16</v>
      </c>
      <c r="AP42" s="457">
        <f>+$L$42*q17a!$L$42</f>
        <v>765</v>
      </c>
      <c r="AQ42" s="457">
        <f>+$M$42*q17a!$M$42</f>
        <v>206185.76</v>
      </c>
    </row>
    <row r="43" spans="1:43" s="121" customFormat="1" ht="12.75" customHeight="1">
      <c r="A43" s="17"/>
      <c r="B43" s="58" t="str">
        <f>+'q26'!B43</f>
        <v>M</v>
      </c>
      <c r="C43" s="725">
        <f>+'q26'!C43</f>
        <v>1081.3</v>
      </c>
      <c r="D43" s="725">
        <f>+'q26'!D43</f>
        <v>1130.6600000000001</v>
      </c>
      <c r="E43" s="725">
        <f>+'q26'!E43</f>
        <v>1108.42</v>
      </c>
      <c r="F43" s="725">
        <f>+'q26'!F43</f>
        <v>1155.74</v>
      </c>
      <c r="G43" s="725">
        <f>+'q26'!G43</f>
        <v>1159.8499999999999</v>
      </c>
      <c r="H43" s="725">
        <f>+'q26'!H43</f>
        <v>904.54</v>
      </c>
      <c r="I43" s="725">
        <f>+'q26'!I43</f>
        <v>988.36</v>
      </c>
      <c r="J43" s="725">
        <f>+'q26'!J43</f>
        <v>934.2</v>
      </c>
      <c r="K43" s="725">
        <f>+'q26'!K43</f>
        <v>1021.53</v>
      </c>
      <c r="L43" s="725">
        <f>+'q26'!L43</f>
        <v>0</v>
      </c>
      <c r="M43" s="725">
        <f>+'q26'!M43</f>
        <v>1079.6099999999999</v>
      </c>
      <c r="N43" s="214"/>
      <c r="O43" s="286"/>
      <c r="P43" s="17"/>
      <c r="Q43" s="58" t="s">
        <v>53</v>
      </c>
      <c r="R43" s="457">
        <f>+$C$43</f>
        <v>1081.3</v>
      </c>
      <c r="S43" s="457">
        <f>+$D$43</f>
        <v>1130.6600000000001</v>
      </c>
      <c r="T43" s="457">
        <f>+$E$43</f>
        <v>1108.42</v>
      </c>
      <c r="U43" s="457">
        <f>+$F$43</f>
        <v>1155.74</v>
      </c>
      <c r="V43" s="457">
        <f>+$G$43</f>
        <v>1159.8499999999999</v>
      </c>
      <c r="W43" s="457">
        <f>+$H$43</f>
        <v>904.54</v>
      </c>
      <c r="X43" s="457">
        <f>+$I$43</f>
        <v>988.36</v>
      </c>
      <c r="Y43" s="457">
        <f>+$J$43</f>
        <v>934.2</v>
      </c>
      <c r="Z43" s="457">
        <f>+$K$43</f>
        <v>1021.53</v>
      </c>
      <c r="AA43" s="457">
        <f>+$L$43</f>
        <v>0</v>
      </c>
      <c r="AB43" s="457">
        <f>+$M$43</f>
        <v>1079.6099999999999</v>
      </c>
      <c r="AE43" s="17"/>
      <c r="AF43" s="58" t="s">
        <v>53</v>
      </c>
      <c r="AG43" s="457">
        <f>+$C$43*q17a!$C$43</f>
        <v>500641.89999999997</v>
      </c>
      <c r="AH43" s="457">
        <f>+$D$43*q17a!$D$43</f>
        <v>550631.42000000004</v>
      </c>
      <c r="AI43" s="457">
        <f>+$E$43*q17a!$E$43</f>
        <v>543125.80000000005</v>
      </c>
      <c r="AJ43" s="457">
        <f>+$F$43*q17a!$F$43</f>
        <v>585960.18000000005</v>
      </c>
      <c r="AK43" s="457">
        <f>+$G$43*q17a!$G$43</f>
        <v>634437.94999999995</v>
      </c>
      <c r="AL43" s="457">
        <f>+$H$43*q17a!$H$43</f>
        <v>190857.94</v>
      </c>
      <c r="AM43" s="457">
        <f>+$I$43*q17a!$I$43</f>
        <v>106742.88</v>
      </c>
      <c r="AN43" s="457">
        <f>+$J$43*q17a!$J$43</f>
        <v>176563.80000000002</v>
      </c>
      <c r="AO43" s="457">
        <f>+$K$43*q17a!$K$43</f>
        <v>84786.989999999991</v>
      </c>
      <c r="AP43" s="457">
        <f>+$L$43*q17a!$L$43</f>
        <v>0</v>
      </c>
      <c r="AQ43" s="457">
        <f>+$M$43*q17a!$M$43</f>
        <v>201887.06999999998</v>
      </c>
    </row>
    <row r="44" spans="1:43" s="253" customFormat="1" ht="15" customHeight="1">
      <c r="A44" s="19" t="str">
        <f>+'q26'!A44</f>
        <v>Fonte: DGCP/MTSSS, Quadros de Pessoal.</v>
      </c>
      <c r="B44" s="243">
        <f>+'q26'!B44</f>
        <v>0</v>
      </c>
      <c r="C44" s="226"/>
      <c r="D44" s="85"/>
      <c r="E44" s="85"/>
      <c r="F44" s="85"/>
      <c r="G44" s="219"/>
      <c r="H44" s="219"/>
      <c r="I44" s="219"/>
      <c r="J44" s="219"/>
      <c r="K44" s="219"/>
      <c r="L44" s="219"/>
      <c r="M44" s="219"/>
      <c r="N44" s="265"/>
      <c r="AF44" s="52"/>
    </row>
    <row r="45" spans="1:43" s="240" customFormat="1" ht="21.75" customHeight="1">
      <c r="A45" s="965" t="s">
        <v>99</v>
      </c>
      <c r="B45" s="965"/>
      <c r="C45" s="965"/>
      <c r="D45" s="965"/>
      <c r="E45" s="965"/>
      <c r="F45" s="965"/>
      <c r="G45" s="965"/>
      <c r="H45" s="965"/>
      <c r="I45" s="965"/>
      <c r="J45" s="965"/>
      <c r="K45" s="965"/>
      <c r="L45" s="965"/>
      <c r="M45" s="965"/>
      <c r="N45" s="266"/>
      <c r="AF45" s="56"/>
    </row>
    <row r="46" spans="1:43" ht="15" customHeight="1">
      <c r="AF46" s="58"/>
    </row>
  </sheetData>
  <mergeCells count="2">
    <mergeCell ref="A1:M1"/>
    <mergeCell ref="A45:M45"/>
  </mergeCells>
  <conditionalFormatting sqref="A45 A1 I44 A5:B42 A46:D1048576 A2:D2 A4:D4 B44:D44 C5:F43 N47:XFD1048576 AC1:XFD3 N1:O43 R5:AD43 A3:M3 AC4:AD4 N44:AE46 AG5:AQ7 BC4:XFD4 AR5:XFD46">
    <cfRule type="cellIs" dxfId="2591" priority="118" operator="equal">
      <formula>0</formula>
    </cfRule>
  </conditionalFormatting>
  <conditionalFormatting sqref="E2 E46:E1048576 E4 E44">
    <cfRule type="cellIs" dxfId="2590" priority="117" operator="equal">
      <formula>0</formula>
    </cfRule>
  </conditionalFormatting>
  <conditionalFormatting sqref="A43">
    <cfRule type="cellIs" dxfId="2589" priority="116" operator="equal">
      <formula>0</formula>
    </cfRule>
  </conditionalFormatting>
  <conditionalFormatting sqref="B43">
    <cfRule type="cellIs" dxfId="2588" priority="115" operator="equal">
      <formula>0</formula>
    </cfRule>
  </conditionalFormatting>
  <conditionalFormatting sqref="A44">
    <cfRule type="cellIs" dxfId="2587" priority="114" operator="equal">
      <formula>0</formula>
    </cfRule>
  </conditionalFormatting>
  <conditionalFormatting sqref="F2 F46:F1048576 F4 F44">
    <cfRule type="cellIs" dxfId="2586" priority="112" operator="equal">
      <formula>0</formula>
    </cfRule>
  </conditionalFormatting>
  <conditionalFormatting sqref="I2 I46:I1048576">
    <cfRule type="cellIs" dxfId="2585" priority="111" operator="equal">
      <formula>0</formula>
    </cfRule>
  </conditionalFormatting>
  <conditionalFormatting sqref="G44">
    <cfRule type="cellIs" dxfId="2584" priority="110" operator="equal">
      <formula>0</formula>
    </cfRule>
  </conditionalFormatting>
  <conditionalFormatting sqref="G2 G46:G1048576 G4:I4">
    <cfRule type="cellIs" dxfId="2583" priority="109" operator="equal">
      <formula>0</formula>
    </cfRule>
  </conditionalFormatting>
  <conditionalFormatting sqref="G8:I10">
    <cfRule type="cellIs" dxfId="2582" priority="108" operator="equal">
      <formula>0</formula>
    </cfRule>
  </conditionalFormatting>
  <conditionalFormatting sqref="G5:I7">
    <cfRule type="cellIs" dxfId="2581" priority="107" operator="equal">
      <formula>0</formula>
    </cfRule>
  </conditionalFormatting>
  <conditionalFormatting sqref="G11:I13">
    <cfRule type="cellIs" dxfId="2580" priority="106" operator="equal">
      <formula>0</formula>
    </cfRule>
  </conditionalFormatting>
  <conditionalFormatting sqref="G14:I16">
    <cfRule type="cellIs" dxfId="2579" priority="105" operator="equal">
      <formula>0</formula>
    </cfRule>
  </conditionalFormatting>
  <conditionalFormatting sqref="G17:I19">
    <cfRule type="cellIs" dxfId="2578" priority="104" operator="equal">
      <formula>0</formula>
    </cfRule>
  </conditionalFormatting>
  <conditionalFormatting sqref="G20:I22">
    <cfRule type="cellIs" dxfId="2577" priority="103" operator="equal">
      <formula>0</formula>
    </cfRule>
  </conditionalFormatting>
  <conditionalFormatting sqref="G23:I25">
    <cfRule type="cellIs" dxfId="2576" priority="102" operator="equal">
      <formula>0</formula>
    </cfRule>
  </conditionalFormatting>
  <conditionalFormatting sqref="G26:I28">
    <cfRule type="cellIs" dxfId="2575" priority="101" operator="equal">
      <formula>0</formula>
    </cfRule>
  </conditionalFormatting>
  <conditionalFormatting sqref="G29:I31">
    <cfRule type="cellIs" dxfId="2574" priority="100" operator="equal">
      <formula>0</formula>
    </cfRule>
  </conditionalFormatting>
  <conditionalFormatting sqref="G32:I34">
    <cfRule type="cellIs" dxfId="2573" priority="99" operator="equal">
      <formula>0</formula>
    </cfRule>
  </conditionalFormatting>
  <conditionalFormatting sqref="G35:I37">
    <cfRule type="cellIs" dxfId="2572" priority="98" operator="equal">
      <formula>0</formula>
    </cfRule>
  </conditionalFormatting>
  <conditionalFormatting sqref="G38:I40">
    <cfRule type="cellIs" dxfId="2571" priority="97" operator="equal">
      <formula>0</formula>
    </cfRule>
  </conditionalFormatting>
  <conditionalFormatting sqref="G41:I42">
    <cfRule type="cellIs" dxfId="2570" priority="96" operator="equal">
      <formula>0</formula>
    </cfRule>
  </conditionalFormatting>
  <conditionalFormatting sqref="G43:I43">
    <cfRule type="cellIs" dxfId="2569" priority="95" operator="equal">
      <formula>0</formula>
    </cfRule>
  </conditionalFormatting>
  <conditionalFormatting sqref="H44">
    <cfRule type="cellIs" dxfId="2568" priority="94" operator="equal">
      <formula>0</formula>
    </cfRule>
  </conditionalFormatting>
  <conditionalFormatting sqref="H2 H46:H1048576">
    <cfRule type="cellIs" dxfId="2567" priority="93" operator="equal">
      <formula>0</formula>
    </cfRule>
  </conditionalFormatting>
  <conditionalFormatting sqref="J44">
    <cfRule type="cellIs" dxfId="2566" priority="92" operator="equal">
      <formula>0</formula>
    </cfRule>
  </conditionalFormatting>
  <conditionalFormatting sqref="J2 J46:J1048576">
    <cfRule type="cellIs" dxfId="2565" priority="91" operator="equal">
      <formula>0</formula>
    </cfRule>
  </conditionalFormatting>
  <conditionalFormatting sqref="J4">
    <cfRule type="cellIs" dxfId="2564" priority="90" operator="equal">
      <formula>0</formula>
    </cfRule>
  </conditionalFormatting>
  <conditionalFormatting sqref="J8:J10">
    <cfRule type="cellIs" dxfId="2563" priority="89" operator="equal">
      <formula>0</formula>
    </cfRule>
  </conditionalFormatting>
  <conditionalFormatting sqref="J5:J7">
    <cfRule type="cellIs" dxfId="2562" priority="88" operator="equal">
      <formula>0</formula>
    </cfRule>
  </conditionalFormatting>
  <conditionalFormatting sqref="J11:J13">
    <cfRule type="cellIs" dxfId="2561" priority="87" operator="equal">
      <formula>0</formula>
    </cfRule>
  </conditionalFormatting>
  <conditionalFormatting sqref="J14:J16">
    <cfRule type="cellIs" dxfId="2560" priority="86" operator="equal">
      <formula>0</formula>
    </cfRule>
  </conditionalFormatting>
  <conditionalFormatting sqref="J17:J19">
    <cfRule type="cellIs" dxfId="2559" priority="85" operator="equal">
      <formula>0</formula>
    </cfRule>
  </conditionalFormatting>
  <conditionalFormatting sqref="J20:J22">
    <cfRule type="cellIs" dxfId="2558" priority="84" operator="equal">
      <formula>0</formula>
    </cfRule>
  </conditionalFormatting>
  <conditionalFormatting sqref="J23:J25">
    <cfRule type="cellIs" dxfId="2557" priority="83" operator="equal">
      <formula>0</formula>
    </cfRule>
  </conditionalFormatting>
  <conditionalFormatting sqref="J26:J28">
    <cfRule type="cellIs" dxfId="2556" priority="82" operator="equal">
      <formula>0</formula>
    </cfRule>
  </conditionalFormatting>
  <conditionalFormatting sqref="J29:J31">
    <cfRule type="cellIs" dxfId="2555" priority="81" operator="equal">
      <formula>0</formula>
    </cfRule>
  </conditionalFormatting>
  <conditionalFormatting sqref="J32:J34">
    <cfRule type="cellIs" dxfId="2554" priority="80" operator="equal">
      <formula>0</formula>
    </cfRule>
  </conditionalFormatting>
  <conditionalFormatting sqref="J35:J37">
    <cfRule type="cellIs" dxfId="2553" priority="79" operator="equal">
      <formula>0</formula>
    </cfRule>
  </conditionalFormatting>
  <conditionalFormatting sqref="J38:J40">
    <cfRule type="cellIs" dxfId="2552" priority="78" operator="equal">
      <formula>0</formula>
    </cfRule>
  </conditionalFormatting>
  <conditionalFormatting sqref="J41:J42">
    <cfRule type="cellIs" dxfId="2551" priority="77" operator="equal">
      <formula>0</formula>
    </cfRule>
  </conditionalFormatting>
  <conditionalFormatting sqref="J43">
    <cfRule type="cellIs" dxfId="2550" priority="76" operator="equal">
      <formula>0</formula>
    </cfRule>
  </conditionalFormatting>
  <conditionalFormatting sqref="K44">
    <cfRule type="cellIs" dxfId="2549" priority="74" operator="equal">
      <formula>0</formula>
    </cfRule>
  </conditionalFormatting>
  <conditionalFormatting sqref="K2 K46:K1048576">
    <cfRule type="cellIs" dxfId="2548" priority="73" operator="equal">
      <formula>0</formula>
    </cfRule>
  </conditionalFormatting>
  <conditionalFormatting sqref="K4">
    <cfRule type="cellIs" dxfId="2547" priority="72" operator="equal">
      <formula>0</formula>
    </cfRule>
  </conditionalFormatting>
  <conditionalFormatting sqref="K8:K10">
    <cfRule type="cellIs" dxfId="2546" priority="71" operator="equal">
      <formula>0</formula>
    </cfRule>
  </conditionalFormatting>
  <conditionalFormatting sqref="K5:K7">
    <cfRule type="cellIs" dxfId="2545" priority="70" operator="equal">
      <formula>0</formula>
    </cfRule>
  </conditionalFormatting>
  <conditionalFormatting sqref="K11:K13">
    <cfRule type="cellIs" dxfId="2544" priority="69" operator="equal">
      <formula>0</formula>
    </cfRule>
  </conditionalFormatting>
  <conditionalFormatting sqref="K14:K16">
    <cfRule type="cellIs" dxfId="2543" priority="68" operator="equal">
      <formula>0</formula>
    </cfRule>
  </conditionalFormatting>
  <conditionalFormatting sqref="K17:K19">
    <cfRule type="cellIs" dxfId="2542" priority="67" operator="equal">
      <formula>0</formula>
    </cfRule>
  </conditionalFormatting>
  <conditionalFormatting sqref="K20:K22">
    <cfRule type="cellIs" dxfId="2541" priority="66" operator="equal">
      <formula>0</formula>
    </cfRule>
  </conditionalFormatting>
  <conditionalFormatting sqref="K23:K25">
    <cfRule type="cellIs" dxfId="2540" priority="65" operator="equal">
      <formula>0</formula>
    </cfRule>
  </conditionalFormatting>
  <conditionalFormatting sqref="K26:K28">
    <cfRule type="cellIs" dxfId="2539" priority="64" operator="equal">
      <formula>0</formula>
    </cfRule>
  </conditionalFormatting>
  <conditionalFormatting sqref="K29:K31">
    <cfRule type="cellIs" dxfId="2538" priority="63" operator="equal">
      <formula>0</formula>
    </cfRule>
  </conditionalFormatting>
  <conditionalFormatting sqref="K32:K34">
    <cfRule type="cellIs" dxfId="2537" priority="62" operator="equal">
      <formula>0</formula>
    </cfRule>
  </conditionalFormatting>
  <conditionalFormatting sqref="K35:K37">
    <cfRule type="cellIs" dxfId="2536" priority="61" operator="equal">
      <formula>0</formula>
    </cfRule>
  </conditionalFormatting>
  <conditionalFormatting sqref="K38:K40">
    <cfRule type="cellIs" dxfId="2535" priority="60" operator="equal">
      <formula>0</formula>
    </cfRule>
  </conditionalFormatting>
  <conditionalFormatting sqref="K41:K42">
    <cfRule type="cellIs" dxfId="2534" priority="59" operator="equal">
      <formula>0</formula>
    </cfRule>
  </conditionalFormatting>
  <conditionalFormatting sqref="K43">
    <cfRule type="cellIs" dxfId="2533" priority="58" operator="equal">
      <formula>0</formula>
    </cfRule>
  </conditionalFormatting>
  <conditionalFormatting sqref="L44">
    <cfRule type="cellIs" dxfId="2532" priority="56" operator="equal">
      <formula>0</formula>
    </cfRule>
  </conditionalFormatting>
  <conditionalFormatting sqref="L2 L46:L1048576">
    <cfRule type="cellIs" dxfId="2531" priority="55" operator="equal">
      <formula>0</formula>
    </cfRule>
  </conditionalFormatting>
  <conditionalFormatting sqref="L4">
    <cfRule type="cellIs" dxfId="2530" priority="54" operator="equal">
      <formula>0</formula>
    </cfRule>
  </conditionalFormatting>
  <conditionalFormatting sqref="L8:L10">
    <cfRule type="cellIs" dxfId="2529" priority="53" operator="equal">
      <formula>0</formula>
    </cfRule>
  </conditionalFormatting>
  <conditionalFormatting sqref="L5:L7">
    <cfRule type="cellIs" dxfId="2528" priority="52" operator="equal">
      <formula>0</formula>
    </cfRule>
  </conditionalFormatting>
  <conditionalFormatting sqref="L11:L13">
    <cfRule type="cellIs" dxfId="2527" priority="51" operator="equal">
      <formula>0</formula>
    </cfRule>
  </conditionalFormatting>
  <conditionalFormatting sqref="L14:L16">
    <cfRule type="cellIs" dxfId="2526" priority="50" operator="equal">
      <formula>0</formula>
    </cfRule>
  </conditionalFormatting>
  <conditionalFormatting sqref="L17:L19">
    <cfRule type="cellIs" dxfId="2525" priority="49" operator="equal">
      <formula>0</formula>
    </cfRule>
  </conditionalFormatting>
  <conditionalFormatting sqref="L20:L22">
    <cfRule type="cellIs" dxfId="2524" priority="48" operator="equal">
      <formula>0</formula>
    </cfRule>
  </conditionalFormatting>
  <conditionalFormatting sqref="L23:L25">
    <cfRule type="cellIs" dxfId="2523" priority="47" operator="equal">
      <formula>0</formula>
    </cfRule>
  </conditionalFormatting>
  <conditionalFormatting sqref="L26:L28">
    <cfRule type="cellIs" dxfId="2522" priority="46" operator="equal">
      <formula>0</formula>
    </cfRule>
  </conditionalFormatting>
  <conditionalFormatting sqref="L29:L31">
    <cfRule type="cellIs" dxfId="2521" priority="45" operator="equal">
      <formula>0</formula>
    </cfRule>
  </conditionalFormatting>
  <conditionalFormatting sqref="L32:L34">
    <cfRule type="cellIs" dxfId="2520" priority="44" operator="equal">
      <formula>0</formula>
    </cfRule>
  </conditionalFormatting>
  <conditionalFormatting sqref="L35:L37">
    <cfRule type="cellIs" dxfId="2519" priority="43" operator="equal">
      <formula>0</formula>
    </cfRule>
  </conditionalFormatting>
  <conditionalFormatting sqref="L38:L40">
    <cfRule type="cellIs" dxfId="2518" priority="42" operator="equal">
      <formula>0</formula>
    </cfRule>
  </conditionalFormatting>
  <conditionalFormatting sqref="L41:L42">
    <cfRule type="cellIs" dxfId="2517" priority="41" operator="equal">
      <formula>0</formula>
    </cfRule>
  </conditionalFormatting>
  <conditionalFormatting sqref="L43">
    <cfRule type="cellIs" dxfId="2516" priority="40" operator="equal">
      <formula>0</formula>
    </cfRule>
  </conditionalFormatting>
  <conditionalFormatting sqref="M44">
    <cfRule type="cellIs" dxfId="2515" priority="38" operator="equal">
      <formula>0</formula>
    </cfRule>
  </conditionalFormatting>
  <conditionalFormatting sqref="M2 M46:M1048576">
    <cfRule type="cellIs" dxfId="2514" priority="37" operator="equal">
      <formula>0</formula>
    </cfRule>
  </conditionalFormatting>
  <conditionalFormatting sqref="M4">
    <cfRule type="cellIs" dxfId="2513" priority="36" operator="equal">
      <formula>0</formula>
    </cfRule>
  </conditionalFormatting>
  <conditionalFormatting sqref="M8:M10">
    <cfRule type="cellIs" dxfId="2512" priority="35" operator="equal">
      <formula>0</formula>
    </cfRule>
  </conditionalFormatting>
  <conditionalFormatting sqref="M5:M7">
    <cfRule type="cellIs" dxfId="2511" priority="34" operator="equal">
      <formula>0</formula>
    </cfRule>
  </conditionalFormatting>
  <conditionalFormatting sqref="M11:M13">
    <cfRule type="cellIs" dxfId="2510" priority="33" operator="equal">
      <formula>0</formula>
    </cfRule>
  </conditionalFormatting>
  <conditionalFormatting sqref="M14:M16">
    <cfRule type="cellIs" dxfId="2509" priority="32" operator="equal">
      <formula>0</formula>
    </cfRule>
  </conditionalFormatting>
  <conditionalFormatting sqref="M17:M19">
    <cfRule type="cellIs" dxfId="2508" priority="31" operator="equal">
      <formula>0</formula>
    </cfRule>
  </conditionalFormatting>
  <conditionalFormatting sqref="M20:M22">
    <cfRule type="cellIs" dxfId="2507" priority="30" operator="equal">
      <formula>0</formula>
    </cfRule>
  </conditionalFormatting>
  <conditionalFormatting sqref="M23:M25">
    <cfRule type="cellIs" dxfId="2506" priority="29" operator="equal">
      <formula>0</formula>
    </cfRule>
  </conditionalFormatting>
  <conditionalFormatting sqref="M26:M28">
    <cfRule type="cellIs" dxfId="2505" priority="28" operator="equal">
      <formula>0</formula>
    </cfRule>
  </conditionalFormatting>
  <conditionalFormatting sqref="M29:M31">
    <cfRule type="cellIs" dxfId="2504" priority="27" operator="equal">
      <formula>0</formula>
    </cfRule>
  </conditionalFormatting>
  <conditionalFormatting sqref="M32:M34">
    <cfRule type="cellIs" dxfId="2503" priority="26" operator="equal">
      <formula>0</formula>
    </cfRule>
  </conditionalFormatting>
  <conditionalFormatting sqref="M35:M37">
    <cfRule type="cellIs" dxfId="2502" priority="25" operator="equal">
      <formula>0</formula>
    </cfRule>
  </conditionalFormatting>
  <conditionalFormatting sqref="M38:M40">
    <cfRule type="cellIs" dxfId="2501" priority="24" operator="equal">
      <formula>0</formula>
    </cfRule>
  </conditionalFormatting>
  <conditionalFormatting sqref="M41:M42">
    <cfRule type="cellIs" dxfId="2500" priority="23" operator="equal">
      <formula>0</formula>
    </cfRule>
  </conditionalFormatting>
  <conditionalFormatting sqref="M43">
    <cfRule type="cellIs" dxfId="2499" priority="22" operator="equal">
      <formula>0</formula>
    </cfRule>
  </conditionalFormatting>
  <conditionalFormatting sqref="P3:AB3 Q2:AB2 P1:AB1">
    <cfRule type="cellIs" dxfId="2498" priority="21" operator="equal">
      <formula>0</formula>
    </cfRule>
  </conditionalFormatting>
  <conditionalFormatting sqref="P4:AB4">
    <cfRule type="cellIs" dxfId="2497" priority="20" operator="equal">
      <formula>0</formula>
    </cfRule>
  </conditionalFormatting>
  <conditionalFormatting sqref="Q5:Q42">
    <cfRule type="cellIs" dxfId="2496" priority="11" operator="equal">
      <formula>0</formula>
    </cfRule>
  </conditionalFormatting>
  <conditionalFormatting sqref="Q43">
    <cfRule type="cellIs" dxfId="2495" priority="10" operator="equal">
      <formula>0</formula>
    </cfRule>
  </conditionalFormatting>
  <conditionalFormatting sqref="AG5:AQ43">
    <cfRule type="cellIs" dxfId="2494" priority="9" operator="equal">
      <formula>0</formula>
    </cfRule>
  </conditionalFormatting>
  <conditionalFormatting sqref="AE4:AQ4">
    <cfRule type="cellIs" dxfId="2493" priority="8" operator="equal">
      <formula>0</formula>
    </cfRule>
  </conditionalFormatting>
  <conditionalFormatting sqref="AE5:AE42">
    <cfRule type="cellIs" dxfId="2492" priority="7" operator="equal">
      <formula>0</formula>
    </cfRule>
  </conditionalFormatting>
  <conditionalFormatting sqref="AE43">
    <cfRule type="cellIs" dxfId="2491" priority="6" operator="equal">
      <formula>0</formula>
    </cfRule>
  </conditionalFormatting>
  <conditionalFormatting sqref="P5:P42">
    <cfRule type="cellIs" dxfId="2490" priority="13" operator="equal">
      <formula>0</formula>
    </cfRule>
  </conditionalFormatting>
  <conditionalFormatting sqref="P43">
    <cfRule type="cellIs" dxfId="2489" priority="12" operator="equal">
      <formula>0</formula>
    </cfRule>
  </conditionalFormatting>
  <conditionalFormatting sqref="AF5:AF42">
    <cfRule type="cellIs" dxfId="2488" priority="5" operator="equal">
      <formula>0</formula>
    </cfRule>
  </conditionalFormatting>
  <conditionalFormatting sqref="AF43">
    <cfRule type="cellIs" dxfId="2487" priority="4" operator="equal">
      <formula>0</formula>
    </cfRule>
  </conditionalFormatting>
  <conditionalFormatting sqref="AF44:AF45">
    <cfRule type="cellIs" dxfId="2486" priority="3" operator="equal">
      <formula>0</formula>
    </cfRule>
  </conditionalFormatting>
  <conditionalFormatting sqref="AF46">
    <cfRule type="cellIs" dxfId="2485" priority="2" operator="equal">
      <formula>0</formula>
    </cfRule>
  </conditionalFormatting>
  <conditionalFormatting sqref="AR4:BB4">
    <cfRule type="cellIs" dxfId="2484"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8F70B-D91D-4046-B212-C2CE4E75B0ED}">
  <sheetPr>
    <tabColor rgb="FFFFFF00"/>
    <pageSetUpPr fitToPage="1"/>
  </sheetPr>
  <dimension ref="A1:BB45"/>
  <sheetViews>
    <sheetView showGridLines="0" workbookViewId="0">
      <selection activeCell="Y70" sqref="Y70"/>
    </sheetView>
  </sheetViews>
  <sheetFormatPr defaultColWidth="9.140625" defaultRowHeight="17.25" customHeight="1"/>
  <cols>
    <col min="1" max="1" width="14.7109375" style="129" customWidth="1"/>
    <col min="2" max="2" width="2.7109375" style="138" customWidth="1"/>
    <col min="3" max="13" width="6.42578125" style="139" customWidth="1"/>
    <col min="14" max="16384" width="9.140625" style="129"/>
  </cols>
  <sheetData>
    <row r="1" spans="1:54" s="134" customFormat="1" ht="28.5" customHeight="1">
      <c r="A1" s="954" t="str">
        <f>+'q38'!A1:M1</f>
        <v>Quadro 38 - Remuneração média mensal ganho(1) por grupo etário e sexo</v>
      </c>
      <c r="B1" s="954"/>
      <c r="C1" s="954"/>
      <c r="D1" s="954"/>
      <c r="E1" s="954"/>
      <c r="F1" s="954"/>
      <c r="G1" s="954"/>
      <c r="H1" s="954"/>
      <c r="I1" s="954"/>
      <c r="J1" s="954"/>
      <c r="K1" s="954"/>
      <c r="L1" s="954"/>
      <c r="M1" s="954"/>
      <c r="P1" s="408" t="s">
        <v>347</v>
      </c>
    </row>
    <row r="2" spans="1:54" s="135" customFormat="1" ht="15" customHeight="1">
      <c r="A2" s="510"/>
      <c r="B2" s="510"/>
      <c r="C2" s="100"/>
      <c r="D2" s="100"/>
      <c r="E2" s="100"/>
      <c r="F2" s="100"/>
      <c r="G2" s="100"/>
      <c r="H2" s="100"/>
      <c r="I2" s="100"/>
      <c r="J2" s="100"/>
      <c r="K2" s="100"/>
      <c r="L2" s="100"/>
      <c r="M2" s="100"/>
      <c r="P2" s="129" t="s">
        <v>346</v>
      </c>
    </row>
    <row r="3" spans="1:54" s="118" customFormat="1" ht="15" customHeight="1">
      <c r="A3" s="65" t="str">
        <f>+'q38'!A3</f>
        <v>Continente</v>
      </c>
      <c r="B3" s="65"/>
      <c r="C3" s="65"/>
      <c r="D3" s="65"/>
      <c r="E3" s="65"/>
      <c r="F3" s="65"/>
      <c r="G3" s="65"/>
      <c r="H3" s="65"/>
      <c r="I3" s="65"/>
      <c r="J3" s="65"/>
      <c r="K3" s="65"/>
      <c r="L3" s="65"/>
      <c r="M3" s="65" t="str">
        <f>+'q38'!M3</f>
        <v>Euros</v>
      </c>
      <c r="P3" s="262" t="s">
        <v>345</v>
      </c>
      <c r="Q3" s="237"/>
      <c r="R3" s="237"/>
      <c r="S3" s="237"/>
      <c r="T3" s="237"/>
      <c r="U3" s="237"/>
      <c r="V3" s="237"/>
      <c r="W3" s="237"/>
      <c r="X3" s="237"/>
      <c r="Y3" s="237"/>
      <c r="Z3" s="237"/>
      <c r="AA3" s="237"/>
      <c r="AB3" s="237"/>
      <c r="AE3" s="569" t="s">
        <v>490</v>
      </c>
      <c r="AF3" s="262"/>
      <c r="AG3" s="262"/>
      <c r="AH3" s="262"/>
      <c r="AI3" s="262"/>
      <c r="AJ3" s="262"/>
      <c r="AK3" s="262"/>
      <c r="AL3" s="262"/>
      <c r="AM3" s="262"/>
      <c r="AN3" s="262"/>
      <c r="AO3" s="262"/>
      <c r="AP3" s="262"/>
      <c r="AQ3" s="262"/>
      <c r="AR3" s="262"/>
      <c r="AS3" s="262"/>
      <c r="AT3" s="262"/>
      <c r="AU3" s="262"/>
      <c r="AV3" s="262"/>
      <c r="AW3" s="262"/>
      <c r="AX3" s="262"/>
      <c r="AY3" s="262"/>
      <c r="AZ3" s="262"/>
      <c r="BA3" s="262"/>
      <c r="BB3" s="262"/>
    </row>
    <row r="4" spans="1:54" s="119" customFormat="1" ht="28.5" customHeight="1" thickBot="1">
      <c r="A4" s="67"/>
      <c r="B4" s="67"/>
      <c r="C4" s="67">
        <f>+'q38'!C4</f>
        <v>2014</v>
      </c>
      <c r="D4" s="67">
        <f>+'q38'!D4</f>
        <v>2015</v>
      </c>
      <c r="E4" s="67">
        <f>+'q38'!E4</f>
        <v>2016</v>
      </c>
      <c r="F4" s="67">
        <f>+'q38'!F4</f>
        <v>2017</v>
      </c>
      <c r="G4" s="67">
        <f>+'q38'!G4</f>
        <v>2018</v>
      </c>
      <c r="H4" s="67">
        <f>+'q38'!H4</f>
        <v>2019</v>
      </c>
      <c r="I4" s="67">
        <f>+'q38'!I4</f>
        <v>2020</v>
      </c>
      <c r="J4" s="67">
        <f>+'q38'!J4</f>
        <v>2021</v>
      </c>
      <c r="K4" s="67">
        <f>+'q38'!K4</f>
        <v>2022</v>
      </c>
      <c r="L4" s="67">
        <f>+'q38'!L4</f>
        <v>2023</v>
      </c>
      <c r="M4" s="67">
        <f>+'q38'!M4</f>
        <v>2024</v>
      </c>
      <c r="P4" s="246"/>
      <c r="Q4" s="246"/>
      <c r="R4" s="229">
        <v>2011</v>
      </c>
      <c r="S4" s="229">
        <v>2012</v>
      </c>
      <c r="T4" s="229">
        <v>2013</v>
      </c>
      <c r="U4" s="229">
        <v>2014</v>
      </c>
      <c r="V4" s="229">
        <v>2015</v>
      </c>
      <c r="W4" s="229">
        <v>2016</v>
      </c>
      <c r="X4" s="229">
        <v>2017</v>
      </c>
      <c r="Y4" s="229">
        <v>2018</v>
      </c>
      <c r="Z4" s="229">
        <v>2019</v>
      </c>
      <c r="AA4" s="229">
        <v>2020</v>
      </c>
      <c r="AB4" s="229">
        <v>2021</v>
      </c>
      <c r="AE4" s="246"/>
      <c r="AF4" s="246"/>
      <c r="AG4" s="229">
        <f>+$R$4</f>
        <v>2011</v>
      </c>
      <c r="AH4" s="229">
        <f t="shared" ref="AH4:AQ4" si="0">+S4</f>
        <v>2012</v>
      </c>
      <c r="AI4" s="229">
        <f t="shared" si="0"/>
        <v>2013</v>
      </c>
      <c r="AJ4" s="229">
        <f t="shared" si="0"/>
        <v>2014</v>
      </c>
      <c r="AK4" s="229">
        <f t="shared" si="0"/>
        <v>2015</v>
      </c>
      <c r="AL4" s="229">
        <f t="shared" si="0"/>
        <v>2016</v>
      </c>
      <c r="AM4" s="229">
        <f t="shared" si="0"/>
        <v>2017</v>
      </c>
      <c r="AN4" s="229">
        <f t="shared" si="0"/>
        <v>2018</v>
      </c>
      <c r="AO4" s="229">
        <f t="shared" si="0"/>
        <v>2019</v>
      </c>
      <c r="AP4" s="229">
        <f t="shared" si="0"/>
        <v>2020</v>
      </c>
      <c r="AQ4" s="229">
        <f t="shared" si="0"/>
        <v>2021</v>
      </c>
      <c r="AR4" s="229">
        <f>+C4</f>
        <v>2014</v>
      </c>
      <c r="AS4" s="229">
        <f t="shared" ref="AS4:AY4" si="1">+D4</f>
        <v>2015</v>
      </c>
      <c r="AT4" s="229">
        <f t="shared" si="1"/>
        <v>2016</v>
      </c>
      <c r="AU4" s="229">
        <f t="shared" si="1"/>
        <v>2017</v>
      </c>
      <c r="AV4" s="229">
        <f t="shared" si="1"/>
        <v>2018</v>
      </c>
      <c r="AW4" s="229">
        <f t="shared" si="1"/>
        <v>2019</v>
      </c>
      <c r="AX4" s="229">
        <f t="shared" si="1"/>
        <v>2020</v>
      </c>
      <c r="AY4" s="229">
        <f t="shared" si="1"/>
        <v>2021</v>
      </c>
      <c r="AZ4" s="229">
        <f>+K4</f>
        <v>2022</v>
      </c>
      <c r="BA4" s="229">
        <f t="shared" ref="BA4:BB4" si="2">+L4</f>
        <v>2023</v>
      </c>
      <c r="BB4" s="229">
        <f t="shared" si="2"/>
        <v>2024</v>
      </c>
    </row>
    <row r="5" spans="1:54" s="120" customFormat="1" ht="16.5" customHeight="1" thickTop="1">
      <c r="A5" s="52" t="str">
        <f>+'q38'!A5</f>
        <v>Total</v>
      </c>
      <c r="B5" s="52" t="str">
        <f>+'q38'!B5</f>
        <v>T</v>
      </c>
      <c r="C5" s="85">
        <f>+'q38'!C5</f>
        <v>1093.21</v>
      </c>
      <c r="D5" s="85">
        <f>+'q38'!D5</f>
        <v>1096.6600000000001</v>
      </c>
      <c r="E5" s="85">
        <f>+'q38'!E5</f>
        <v>1107.8599999999999</v>
      </c>
      <c r="F5" s="85">
        <f>+'q38'!F5</f>
        <v>1133.3399999999999</v>
      </c>
      <c r="G5" s="85">
        <f>+'q38'!G5</f>
        <v>1170.25</v>
      </c>
      <c r="H5" s="85">
        <f>+'q38'!H5</f>
        <v>1209.94</v>
      </c>
      <c r="I5" s="85">
        <f>+'q38'!I5</f>
        <v>1250.75</v>
      </c>
      <c r="J5" s="85">
        <f>+'q38'!J5</f>
        <v>1294.1099999999999</v>
      </c>
      <c r="K5" s="85">
        <f>+'q38'!K5</f>
        <v>1368</v>
      </c>
      <c r="L5" s="85">
        <f>+'q38'!L5</f>
        <v>1466.66</v>
      </c>
      <c r="M5" s="85">
        <f>+'q38'!M5</f>
        <v>1582.75</v>
      </c>
      <c r="N5" s="119"/>
      <c r="O5" s="119"/>
      <c r="P5" s="236" t="s">
        <v>11</v>
      </c>
      <c r="Q5" s="372" t="s">
        <v>44</v>
      </c>
      <c r="AE5" s="236" t="s">
        <v>11</v>
      </c>
      <c r="AF5" s="372" t="s">
        <v>44</v>
      </c>
      <c r="AG5" s="567">
        <f>+(AG8+AG11+AG14+AG17+AG20+AG23+AG26+AG29+AG32+AG35+AG38+AG41)/q17a!C5</f>
        <v>1093.2085174767296</v>
      </c>
      <c r="AH5" s="567">
        <f>+(AH8+AH11+AH14+AH17+AH20+AH23+AH26+AH29+AH32+AH35+AH38+AH41)/q17a!D5</f>
        <v>1096.6572142666657</v>
      </c>
      <c r="AI5" s="567">
        <f>+(AI8+AI11+AI14+AI17+AI20+AI23+AI26+AI29+AI32+AI35+AI38+AI41)/q17a!E5</f>
        <v>1107.8548569694747</v>
      </c>
      <c r="AJ5" s="567">
        <f>+(AJ8+AJ11+AJ14+AJ17+AJ20+AJ23+AJ26+AJ29+AJ32+AJ35+AJ38+AJ41)/q17a!F5</f>
        <v>1133.3439225392051</v>
      </c>
      <c r="AK5" s="567">
        <f>+(AK8+AK11+AK14+AK17+AK20+AK23+AK26+AK29+AK32+AK35+AK38+AK41)/q17a!G5</f>
        <v>1170.2518068338918</v>
      </c>
      <c r="AL5" s="567">
        <f>+(AL8+AL11+AL14+AL17+AL20+AL23+AL26+AL29+AL32+AL35+AL38+AL41)/q17a!H5</f>
        <v>1209.9405577719047</v>
      </c>
      <c r="AM5" s="567">
        <f>+(AM8+AM11+AM14+AM17+AM20+AM23+AM26+AM29+AM32+AM35+AM38+AM41)/q17a!I5</f>
        <v>1250.7519511181924</v>
      </c>
      <c r="AN5" s="567">
        <f>+(AN8+AN11+AN14+AN17+AN20+AN23+AN26+AN29+AN32+AN35+AN38+AN41)/q17a!J5</f>
        <v>1294.1097785915983</v>
      </c>
      <c r="AO5" s="567">
        <f>+(AO8+AO11+AO14+AO17+AO20+AO23+AO26+AO29+AO32+AO35+AO38+AO41)/q17a!K5</f>
        <v>1367.9954073477086</v>
      </c>
      <c r="AP5" s="567">
        <f>+(AP8+AP11+AP14+AP17+AP20+AP23+AP26+AP29+AP32+AP35+AP38+AP41)/q17a!L5</f>
        <v>1466.6553196749878</v>
      </c>
      <c r="AQ5" s="567">
        <f>+(AQ8+AQ11+AQ14+AQ17+AQ20+AQ23+AQ26+AQ29+AQ32+AQ35+AQ38+AQ41)/q17a!M5</f>
        <v>1582.7445191233353</v>
      </c>
      <c r="AR5" s="568">
        <f>+AG5-C5</f>
        <v>-1.4825232703969959E-3</v>
      </c>
      <c r="AS5" s="568">
        <f t="shared" ref="AS5:BB7" si="3">+AH5-D5</f>
        <v>-2.7857333343490609E-3</v>
      </c>
      <c r="AT5" s="568">
        <f t="shared" si="3"/>
        <v>-5.1430305252324615E-3</v>
      </c>
      <c r="AU5" s="568">
        <f t="shared" si="3"/>
        <v>3.9225392051775998E-3</v>
      </c>
      <c r="AV5" s="568">
        <f t="shared" si="3"/>
        <v>1.8068338918055815E-3</v>
      </c>
      <c r="AW5" s="568">
        <f t="shared" si="3"/>
        <v>5.5777190459593839E-4</v>
      </c>
      <c r="AX5" s="568">
        <f t="shared" si="3"/>
        <v>1.9511181924372067E-3</v>
      </c>
      <c r="AY5" s="568">
        <f t="shared" si="3"/>
        <v>-2.2140840155771002E-4</v>
      </c>
      <c r="AZ5" s="568">
        <f t="shared" si="3"/>
        <v>-4.5926522914214729E-3</v>
      </c>
      <c r="BA5" s="568">
        <f t="shared" si="3"/>
        <v>-4.6803250122593454E-3</v>
      </c>
      <c r="BB5" s="568">
        <f t="shared" si="3"/>
        <v>-5.4808766647056473E-3</v>
      </c>
    </row>
    <row r="6" spans="1:54" s="120" customFormat="1" ht="12.75" customHeight="1">
      <c r="A6" s="52"/>
      <c r="B6" s="52" t="str">
        <f>+'q38'!B6</f>
        <v>H</v>
      </c>
      <c r="C6" s="85">
        <f>+'q38'!C6</f>
        <v>1203.32</v>
      </c>
      <c r="D6" s="85">
        <f>+'q38'!D6</f>
        <v>1207.76</v>
      </c>
      <c r="E6" s="85">
        <f>+'q38'!E6</f>
        <v>1215.1099999999999</v>
      </c>
      <c r="F6" s="85">
        <f>+'q38'!F6</f>
        <v>1236.8499999999999</v>
      </c>
      <c r="G6" s="85">
        <f>+'q38'!G6</f>
        <v>1273.99</v>
      </c>
      <c r="H6" s="85">
        <f>+'q38'!H6</f>
        <v>1312.43</v>
      </c>
      <c r="I6" s="85">
        <f>+'q38'!I6</f>
        <v>1349.35</v>
      </c>
      <c r="J6" s="85">
        <f>+'q38'!J6</f>
        <v>1395.7</v>
      </c>
      <c r="K6" s="85">
        <f>+'q38'!K6</f>
        <v>1476.2</v>
      </c>
      <c r="L6" s="85">
        <f>+'q38'!L6</f>
        <v>1577.33</v>
      </c>
      <c r="M6" s="85">
        <f>+'q38'!M6</f>
        <v>1693.55</v>
      </c>
      <c r="O6" s="119"/>
      <c r="P6" s="226"/>
      <c r="Q6" s="372" t="s">
        <v>52</v>
      </c>
      <c r="AE6" s="226"/>
      <c r="AF6" s="372" t="s">
        <v>52</v>
      </c>
      <c r="AG6" s="567">
        <f>+(AG9+AG12+AG15+AG18+AG21+AG24+AG27+AG30+AG33+AG36+AG39+AG42)/q17a!C6</f>
        <v>1203.3168879677585</v>
      </c>
      <c r="AH6" s="567">
        <f>+(AH9+AH12+AH15+AH18+AH21+AH24+AH27+AH30+AH33+AH36+AH39+AH42)/q17a!D6</f>
        <v>1207.7620314732667</v>
      </c>
      <c r="AI6" s="567">
        <f>+(AI9+AI12+AI15+AI18+AI21+AI24+AI27+AI30+AI33+AI36+AI39+AI42)/q17a!E6</f>
        <v>1215.1089571326022</v>
      </c>
      <c r="AJ6" s="567">
        <f>+(AJ9+AJ12+AJ15+AJ18+AJ21+AJ24+AJ27+AJ30+AJ33+AJ36+AJ39+AJ42)/q17a!F6</f>
        <v>1236.8519235252249</v>
      </c>
      <c r="AK6" s="567">
        <f>+(AK9+AK12+AK15+AK18+AK21+AK24+AK27+AK30+AK33+AK36+AK39+AK42)/q17a!G6</f>
        <v>1273.985384526236</v>
      </c>
      <c r="AL6" s="567">
        <f>+(AL9+AL12+AL15+AL18+AL21+AL24+AL27+AL30+AL33+AL36+AL39+AL42)/q17a!H6</f>
        <v>1312.4241408061343</v>
      </c>
      <c r="AM6" s="567">
        <f>+(AM9+AM12+AM15+AM18+AM21+AM24+AM27+AM30+AM33+AM36+AM39+AM42)/q17a!I6</f>
        <v>1349.351618231718</v>
      </c>
      <c r="AN6" s="567">
        <f>+(AN9+AN12+AN15+AN18+AN21+AN24+AN27+AN30+AN33+AN36+AN39+AN42)/q17a!J6</f>
        <v>1395.6944733386347</v>
      </c>
      <c r="AO6" s="567">
        <f>+(AO9+AO12+AO15+AO18+AO21+AO24+AO27+AO30+AO33+AO36+AO39+AO42)/q17a!K6</f>
        <v>1476.2029469402776</v>
      </c>
      <c r="AP6" s="567">
        <f>+(AP9+AP12+AP15+AP18+AP21+AP24+AP27+AP30+AP33+AP36+AP39+AP42)/q17a!L6</f>
        <v>1577.3252699575585</v>
      </c>
      <c r="AQ6" s="567">
        <f>+(AQ9+AQ12+AQ15+AQ18+AQ21+AQ24+AQ27+AQ30+AQ33+AQ36+AQ39+AQ42)/q17a!M6</f>
        <v>1693.5475573329413</v>
      </c>
      <c r="AR6" s="568">
        <f t="shared" ref="AR6:AR7" si="4">+AG6-C6</f>
        <v>-3.1120322414608381E-3</v>
      </c>
      <c r="AS6" s="568">
        <f t="shared" si="3"/>
        <v>2.0314732666975033E-3</v>
      </c>
      <c r="AT6" s="568">
        <f t="shared" si="3"/>
        <v>-1.04286739770032E-3</v>
      </c>
      <c r="AU6" s="568">
        <f t="shared" si="3"/>
        <v>1.9235252250382473E-3</v>
      </c>
      <c r="AV6" s="568">
        <f t="shared" si="3"/>
        <v>-4.6154737640335952E-3</v>
      </c>
      <c r="AW6" s="568">
        <f t="shared" si="3"/>
        <v>-5.8591938657173159E-3</v>
      </c>
      <c r="AX6" s="568">
        <f t="shared" si="3"/>
        <v>1.6182317181119288E-3</v>
      </c>
      <c r="AY6" s="568">
        <f t="shared" si="3"/>
        <v>-5.5266613653657259E-3</v>
      </c>
      <c r="AZ6" s="568">
        <f t="shared" si="3"/>
        <v>2.9469402775248454E-3</v>
      </c>
      <c r="BA6" s="568">
        <f t="shared" si="3"/>
        <v>-4.7300424414515874E-3</v>
      </c>
      <c r="BB6" s="568">
        <f t="shared" si="3"/>
        <v>-2.4426670586308319E-3</v>
      </c>
    </row>
    <row r="7" spans="1:54" s="120" customFormat="1" ht="12.75" customHeight="1">
      <c r="A7" s="52"/>
      <c r="B7" s="52" t="str">
        <f>+'q38'!B7</f>
        <v>M</v>
      </c>
      <c r="C7" s="85">
        <f>+'q38'!C7</f>
        <v>963.12</v>
      </c>
      <c r="D7" s="85">
        <f>+'q38'!D7</f>
        <v>966.85</v>
      </c>
      <c r="E7" s="85">
        <f>+'q38'!E7</f>
        <v>982.49</v>
      </c>
      <c r="F7" s="85">
        <f>+'q38'!F7</f>
        <v>1011.02</v>
      </c>
      <c r="G7" s="85">
        <f>+'q38'!G7</f>
        <v>1046.5899999999999</v>
      </c>
      <c r="H7" s="85">
        <f>+'q38'!H7</f>
        <v>1086.97</v>
      </c>
      <c r="I7" s="85">
        <f>+'q38'!I7</f>
        <v>1130.8699999999999</v>
      </c>
      <c r="J7" s="85">
        <f>+'q38'!J7</f>
        <v>1172.08</v>
      </c>
      <c r="K7" s="85">
        <f>+'q38'!K7</f>
        <v>1237.52</v>
      </c>
      <c r="L7" s="85">
        <f>+'q38'!L7</f>
        <v>1332.02</v>
      </c>
      <c r="M7" s="85">
        <f>+'q38'!M7</f>
        <v>1445.59</v>
      </c>
      <c r="O7" s="119"/>
      <c r="P7" s="226"/>
      <c r="Q7" s="372" t="s">
        <v>53</v>
      </c>
      <c r="AE7" s="226"/>
      <c r="AF7" s="372" t="s">
        <v>53</v>
      </c>
      <c r="AG7" s="567">
        <f>+(AG10+AG13+AG16+AG19+AG22+AG25+AG28+AG31+AG34+AG37+AG40+AG43)/q17a!C7</f>
        <v>963.11682918937754</v>
      </c>
      <c r="AH7" s="567">
        <f>+(AH10+AH13+AH16+AH19+AH22+AH25+AH28+AH31+AH34+AH37+AH40+AH43)/q17a!D7</f>
        <v>966.85044805310793</v>
      </c>
      <c r="AI7" s="567">
        <f>+(AI10+AI13+AI16+AI19+AI22+AI25+AI28+AI31+AI34+AI37+AI40+AI43)/q17a!E7</f>
        <v>982.48536864092819</v>
      </c>
      <c r="AJ7" s="567">
        <f>+(AJ10+AJ13+AJ16+AJ19+AJ22+AJ25+AJ28+AJ31+AJ34+AJ37+AJ40+AJ43)/q17a!F7</f>
        <v>1011.016491822706</v>
      </c>
      <c r="AK7" s="567">
        <f>+(AK10+AK13+AK16+AK19+AK22+AK25+AK28+AK31+AK34+AK37+AK40+AK43)/q17a!G7</f>
        <v>1046.5866679058192</v>
      </c>
      <c r="AL7" s="567">
        <f>+(AL10+AL13+AL16+AL19+AL22+AL25+AL28+AL31+AL34+AL37+AL40+AL43)/q17a!H7</f>
        <v>1086.9727234233762</v>
      </c>
      <c r="AM7" s="567">
        <f>+(AM10+AM13+AM16+AM19+AM22+AM25+AM28+AM31+AM34+AM37+AM40+AM43)/q17a!I7</f>
        <v>1130.868458432866</v>
      </c>
      <c r="AN7" s="567">
        <f>+(AN10+AN13+AN16+AN19+AN22+AN25+AN28+AN31+AN34+AN37+AN40+AN43)/q17a!J7</f>
        <v>1172.0779561447994</v>
      </c>
      <c r="AO7" s="567">
        <f>+(AO10+AO13+AO16+AO19+AO22+AO25+AO28+AO31+AO34+AO37+AO40+AO43)/q17a!K7</f>
        <v>1237.5234759974342</v>
      </c>
      <c r="AP7" s="567">
        <f>+(AP10+AP13+AP16+AP19+AP22+AP25+AP28+AP31+AP34+AP37+AP40+AP43)/q17a!L7</f>
        <v>1332.0231405509503</v>
      </c>
      <c r="AQ7" s="567">
        <f>+(AQ10+AQ13+AQ16+AQ19+AQ22+AQ25+AQ28+AQ31+AQ34+AQ37+AQ40+AQ43)/q17a!M7</f>
        <v>1445.5913702989565</v>
      </c>
      <c r="AR7" s="568">
        <f t="shared" si="4"/>
        <v>-3.1708106224641597E-3</v>
      </c>
      <c r="AS7" s="568">
        <f t="shared" si="3"/>
        <v>4.4805310790252406E-4</v>
      </c>
      <c r="AT7" s="568">
        <f t="shared" si="3"/>
        <v>-4.6313590718227715E-3</v>
      </c>
      <c r="AU7" s="568">
        <f t="shared" si="3"/>
        <v>-3.5081772939520306E-3</v>
      </c>
      <c r="AV7" s="568">
        <f t="shared" si="3"/>
        <v>-3.3320941806778137E-3</v>
      </c>
      <c r="AW7" s="568">
        <f t="shared" si="3"/>
        <v>2.7234233762101212E-3</v>
      </c>
      <c r="AX7" s="568">
        <f t="shared" si="3"/>
        <v>-1.5415671339269466E-3</v>
      </c>
      <c r="AY7" s="568">
        <f t="shared" si="3"/>
        <v>-2.0438552005543897E-3</v>
      </c>
      <c r="AZ7" s="568">
        <f t="shared" si="3"/>
        <v>3.4759974341795896E-3</v>
      </c>
      <c r="BA7" s="568">
        <f t="shared" si="3"/>
        <v>3.1405509503201756E-3</v>
      </c>
      <c r="BB7" s="568">
        <f t="shared" si="3"/>
        <v>1.3702989565445023E-3</v>
      </c>
    </row>
    <row r="8" spans="1:54" s="121" customFormat="1" ht="16.5" customHeight="1">
      <c r="A8" s="54" t="str">
        <f>+'q38'!A8</f>
        <v>&lt; 18 anos</v>
      </c>
      <c r="B8" s="52" t="str">
        <f>+'q38'!B8</f>
        <v>T</v>
      </c>
      <c r="C8" s="85">
        <f>+'q38'!C8</f>
        <v>752.91</v>
      </c>
      <c r="D8" s="85">
        <f>+'q38'!D8</f>
        <v>711.88</v>
      </c>
      <c r="E8" s="85">
        <f>+'q38'!E8</f>
        <v>759.21</v>
      </c>
      <c r="F8" s="85">
        <f>+'q38'!F8</f>
        <v>761.64</v>
      </c>
      <c r="G8" s="85">
        <f>+'q38'!G8</f>
        <v>775.74</v>
      </c>
      <c r="H8" s="85">
        <f>+'q38'!H8</f>
        <v>1016.76</v>
      </c>
      <c r="I8" s="85">
        <f>+'q38'!I8</f>
        <v>1233.5</v>
      </c>
      <c r="J8" s="85">
        <f>+'q38'!J8</f>
        <v>1171.6400000000001</v>
      </c>
      <c r="K8" s="85">
        <f>+'q38'!K8</f>
        <v>1142.0999999999999</v>
      </c>
      <c r="L8" s="85">
        <f>+'q38'!L8</f>
        <v>1193.83</v>
      </c>
      <c r="M8" s="85">
        <f>+'q38'!M8</f>
        <v>1427.69</v>
      </c>
      <c r="P8" s="54" t="s">
        <v>54</v>
      </c>
      <c r="Q8" s="52" t="s">
        <v>44</v>
      </c>
      <c r="R8" s="457">
        <f>+$C$8</f>
        <v>752.91</v>
      </c>
      <c r="S8" s="457">
        <f>+$D$8</f>
        <v>711.88</v>
      </c>
      <c r="T8" s="457">
        <f>+$E$8</f>
        <v>759.21</v>
      </c>
      <c r="U8" s="457">
        <f>+$F$8</f>
        <v>761.64</v>
      </c>
      <c r="V8" s="457">
        <f>+$G$8</f>
        <v>775.74</v>
      </c>
      <c r="W8" s="457">
        <f>+$H$8</f>
        <v>1016.76</v>
      </c>
      <c r="X8" s="457">
        <f>+$I$8</f>
        <v>1233.5</v>
      </c>
      <c r="Y8" s="457">
        <f>+$J$8</f>
        <v>1171.6400000000001</v>
      </c>
      <c r="Z8" s="457">
        <f>+$K$8</f>
        <v>1142.0999999999999</v>
      </c>
      <c r="AA8" s="457">
        <f>+$L$8</f>
        <v>1193.83</v>
      </c>
      <c r="AB8" s="457">
        <f>+$M$8</f>
        <v>1427.69</v>
      </c>
      <c r="AE8" s="54" t="s">
        <v>54</v>
      </c>
      <c r="AF8" s="52" t="s">
        <v>44</v>
      </c>
      <c r="AG8" s="457">
        <f>+$C$8*q17a!$C$8</f>
        <v>198015.33</v>
      </c>
      <c r="AH8" s="457">
        <f>+$D$8*q17a!$D$8</f>
        <v>170851.20000000001</v>
      </c>
      <c r="AI8" s="457">
        <f>+$E$8*q17a!$E$8</f>
        <v>202709.07</v>
      </c>
      <c r="AJ8" s="457">
        <f>+$F$8*q17a!$F$8</f>
        <v>289423.2</v>
      </c>
      <c r="AK8" s="457">
        <f>+$G$8*q17a!$G$8</f>
        <v>288575.28000000003</v>
      </c>
      <c r="AL8" s="457">
        <f>+$H$8*q17a!$H$8</f>
        <v>354849.24</v>
      </c>
      <c r="AM8" s="457">
        <f>+$I$8*q17a!$I$8</f>
        <v>284938.5</v>
      </c>
      <c r="AN8" s="457">
        <f>+$J$8*q17a!$J$8</f>
        <v>330402.48000000004</v>
      </c>
      <c r="AO8" s="457">
        <f>+$K$8*q17a!$K$8</f>
        <v>430571.69999999995</v>
      </c>
      <c r="AP8" s="457">
        <f>+$L$8*q17a!$L$8</f>
        <v>430972.62999999995</v>
      </c>
      <c r="AQ8" s="457">
        <f>+$M$8*q17a!$M$8</f>
        <v>489697.67000000004</v>
      </c>
    </row>
    <row r="9" spans="1:54" s="121" customFormat="1" ht="12.75" customHeight="1">
      <c r="A9" s="55"/>
      <c r="B9" s="56" t="str">
        <f>+'q38'!B9</f>
        <v>H</v>
      </c>
      <c r="C9" s="824">
        <f>+'q38'!C9</f>
        <v>837.34</v>
      </c>
      <c r="D9" s="824">
        <f>+'q38'!D9</f>
        <v>767.94</v>
      </c>
      <c r="E9" s="824">
        <f>+'q38'!E9</f>
        <v>814.54</v>
      </c>
      <c r="F9" s="824">
        <f>+'q38'!F9</f>
        <v>805.1</v>
      </c>
      <c r="G9" s="824">
        <f>+'q38'!G9</f>
        <v>813.3</v>
      </c>
      <c r="H9" s="824">
        <f>+'q38'!H9</f>
        <v>1105.51</v>
      </c>
      <c r="I9" s="824">
        <f>+'q38'!I9</f>
        <v>1339.07</v>
      </c>
      <c r="J9" s="824">
        <f>+'q38'!J9</f>
        <v>1291.68</v>
      </c>
      <c r="K9" s="824">
        <f>+'q38'!K9</f>
        <v>1255.19</v>
      </c>
      <c r="L9" s="824">
        <f>+'q38'!L9</f>
        <v>1290.02</v>
      </c>
      <c r="M9" s="824">
        <f>+'q38'!M9</f>
        <v>1544.65</v>
      </c>
      <c r="P9" s="55"/>
      <c r="Q9" s="56" t="s">
        <v>52</v>
      </c>
      <c r="R9" s="457">
        <f>+$C$9</f>
        <v>837.34</v>
      </c>
      <c r="S9" s="457">
        <f>+$D$9</f>
        <v>767.94</v>
      </c>
      <c r="T9" s="457">
        <f>+$E$9</f>
        <v>814.54</v>
      </c>
      <c r="U9" s="457">
        <f>+$F$9</f>
        <v>805.1</v>
      </c>
      <c r="V9" s="457">
        <f>+$G$9</f>
        <v>813.3</v>
      </c>
      <c r="W9" s="457">
        <f>+$H$9</f>
        <v>1105.51</v>
      </c>
      <c r="X9" s="457">
        <f>+$I$9</f>
        <v>1339.07</v>
      </c>
      <c r="Y9" s="457">
        <f>+$J$9</f>
        <v>1291.68</v>
      </c>
      <c r="Z9" s="457">
        <f>+$K$9</f>
        <v>1255.19</v>
      </c>
      <c r="AA9" s="457">
        <f>+$L$9</f>
        <v>1290.02</v>
      </c>
      <c r="AB9" s="457">
        <f>+$M$9</f>
        <v>1544.65</v>
      </c>
      <c r="AE9" s="55"/>
      <c r="AF9" s="56" t="s">
        <v>52</v>
      </c>
      <c r="AG9" s="457">
        <f>+$C$9*q17a!$C$9</f>
        <v>144859.82</v>
      </c>
      <c r="AH9" s="457">
        <f>+$D$9*q17a!$D$9</f>
        <v>125942.16</v>
      </c>
      <c r="AI9" s="457">
        <f>+$E$9*q17a!$E$9</f>
        <v>155577.13999999998</v>
      </c>
      <c r="AJ9" s="457">
        <f>+$F$9*q17a!$F$9</f>
        <v>221402.5</v>
      </c>
      <c r="AK9" s="457">
        <f>+$G$9*q17a!$G$9</f>
        <v>204951.59999999998</v>
      </c>
      <c r="AL9" s="457">
        <f>+$H$9*q17a!$H$9</f>
        <v>279694.02999999997</v>
      </c>
      <c r="AM9" s="457">
        <f>+$I$9*q17a!$I$9</f>
        <v>254423.3</v>
      </c>
      <c r="AN9" s="457">
        <f>+$J$9*q17a!$J$9</f>
        <v>281586.24</v>
      </c>
      <c r="AO9" s="457">
        <f>+$K$9*q17a!$K$9</f>
        <v>346432.44</v>
      </c>
      <c r="AP9" s="457">
        <f>+$L$9*q17a!$L$9</f>
        <v>347015.38</v>
      </c>
      <c r="AQ9" s="457">
        <f>+$M$9*q17a!$M$9</f>
        <v>410876.9</v>
      </c>
    </row>
    <row r="10" spans="1:54" s="121" customFormat="1" ht="12.75" customHeight="1">
      <c r="A10" s="54"/>
      <c r="B10" s="56" t="str">
        <f>+'q38'!B10</f>
        <v>M</v>
      </c>
      <c r="C10" s="824">
        <f>+'q38'!C10</f>
        <v>590.63</v>
      </c>
      <c r="D10" s="824">
        <f>+'q38'!D10</f>
        <v>590.91999999999996</v>
      </c>
      <c r="E10" s="824">
        <f>+'q38'!E10</f>
        <v>620.16</v>
      </c>
      <c r="F10" s="824">
        <f>+'q38'!F10</f>
        <v>647.80999999999995</v>
      </c>
      <c r="G10" s="824">
        <f>+'q38'!G10</f>
        <v>696.86</v>
      </c>
      <c r="H10" s="824">
        <f>+'q38'!H10</f>
        <v>782.86</v>
      </c>
      <c r="I10" s="824">
        <f>+'q38'!I10</f>
        <v>744.24</v>
      </c>
      <c r="J10" s="824">
        <f>+'q38'!J10</f>
        <v>762.78</v>
      </c>
      <c r="K10" s="824">
        <f>+'q38'!K10</f>
        <v>833.07</v>
      </c>
      <c r="L10" s="824">
        <f>+'q38'!L10</f>
        <v>912.59</v>
      </c>
      <c r="M10" s="824">
        <f>+'q38'!M10</f>
        <v>1023.65</v>
      </c>
      <c r="P10" s="54"/>
      <c r="Q10" s="56" t="s">
        <v>53</v>
      </c>
      <c r="R10" s="457">
        <f>+$C$10</f>
        <v>590.63</v>
      </c>
      <c r="S10" s="457">
        <f>+$D$10</f>
        <v>590.91999999999996</v>
      </c>
      <c r="T10" s="457">
        <f>+$E$10</f>
        <v>620.16</v>
      </c>
      <c r="U10" s="457">
        <f>+$F$10</f>
        <v>647.80999999999995</v>
      </c>
      <c r="V10" s="457">
        <f>+$G$10</f>
        <v>696.86</v>
      </c>
      <c r="W10" s="457">
        <f>+$H$10</f>
        <v>782.86</v>
      </c>
      <c r="X10" s="457">
        <f>+$I$10</f>
        <v>744.24</v>
      </c>
      <c r="Y10" s="457">
        <f>+$J$10</f>
        <v>762.78</v>
      </c>
      <c r="Z10" s="457">
        <f>+$K$10</f>
        <v>833.07</v>
      </c>
      <c r="AA10" s="457">
        <f>+$L$10</f>
        <v>912.59</v>
      </c>
      <c r="AB10" s="457">
        <f>+$M$10</f>
        <v>1023.65</v>
      </c>
      <c r="AE10" s="54"/>
      <c r="AF10" s="56" t="s">
        <v>53</v>
      </c>
      <c r="AG10" s="457">
        <f>+$C$10*q17a!$C$10</f>
        <v>53156.7</v>
      </c>
      <c r="AH10" s="457">
        <f>+$D$10*q17a!$D$10</f>
        <v>44909.919999999998</v>
      </c>
      <c r="AI10" s="457">
        <f>+$E$10*q17a!$E$10</f>
        <v>47132.159999999996</v>
      </c>
      <c r="AJ10" s="457">
        <f>+$F$10*q17a!$F$10</f>
        <v>68020.049999999988</v>
      </c>
      <c r="AK10" s="457">
        <f>+$G$10*q17a!$G$10</f>
        <v>83623.199999999997</v>
      </c>
      <c r="AL10" s="457">
        <f>+$H$10*q17a!$H$10</f>
        <v>75154.559999999998</v>
      </c>
      <c r="AM10" s="457">
        <f>+$I$10*q17a!$I$10</f>
        <v>30513.84</v>
      </c>
      <c r="AN10" s="457">
        <f>+$J$10*q17a!$J$10</f>
        <v>48817.919999999998</v>
      </c>
      <c r="AO10" s="457">
        <f>+$K$10*q17a!$K$10</f>
        <v>84140.07</v>
      </c>
      <c r="AP10" s="457">
        <f>+$L$10*q17a!$L$10</f>
        <v>83958.28</v>
      </c>
      <c r="AQ10" s="457">
        <f>+$M$10*q17a!$M$10</f>
        <v>78821.05</v>
      </c>
    </row>
    <row r="11" spans="1:54" s="121" customFormat="1" ht="16.5" customHeight="1">
      <c r="A11" s="54" t="str">
        <f>+'q38'!A11</f>
        <v>18-24 anos</v>
      </c>
      <c r="B11" s="52" t="str">
        <f>+'q38'!B11</f>
        <v>T</v>
      </c>
      <c r="C11" s="85">
        <f>+'q38'!C11</f>
        <v>719.2</v>
      </c>
      <c r="D11" s="85">
        <f>+'q38'!D11</f>
        <v>733.69</v>
      </c>
      <c r="E11" s="85">
        <f>+'q38'!E11</f>
        <v>753.41</v>
      </c>
      <c r="F11" s="85">
        <f>+'q38'!F11</f>
        <v>788.29</v>
      </c>
      <c r="G11" s="85">
        <f>+'q38'!G11</f>
        <v>827.84</v>
      </c>
      <c r="H11" s="85">
        <f>+'q38'!H11</f>
        <v>871.35</v>
      </c>
      <c r="I11" s="85">
        <f>+'q38'!I11</f>
        <v>910.8</v>
      </c>
      <c r="J11" s="85">
        <f>+'q38'!J11</f>
        <v>948.81</v>
      </c>
      <c r="K11" s="85">
        <f>+'q38'!K11</f>
        <v>1015.84</v>
      </c>
      <c r="L11" s="85">
        <f>+'q38'!L11</f>
        <v>1100.3599999999999</v>
      </c>
      <c r="M11" s="85">
        <f>+'q38'!M11</f>
        <v>1191.1199999999999</v>
      </c>
      <c r="P11" s="54" t="s">
        <v>55</v>
      </c>
      <c r="Q11" s="52" t="s">
        <v>44</v>
      </c>
      <c r="R11" s="457">
        <f>+$C$11</f>
        <v>719.2</v>
      </c>
      <c r="S11" s="457">
        <f>+$D$11</f>
        <v>733.69</v>
      </c>
      <c r="T11" s="457">
        <f>+$E$11</f>
        <v>753.41</v>
      </c>
      <c r="U11" s="457">
        <f>+$F$11</f>
        <v>788.29</v>
      </c>
      <c r="V11" s="457">
        <f>+$G$11</f>
        <v>827.84</v>
      </c>
      <c r="W11" s="457">
        <f>+$H$11</f>
        <v>871.35</v>
      </c>
      <c r="X11" s="457">
        <f>+$I$11</f>
        <v>910.8</v>
      </c>
      <c r="Y11" s="457">
        <f>+$J$11</f>
        <v>948.81</v>
      </c>
      <c r="Z11" s="457">
        <f>+$K$11</f>
        <v>1015.84</v>
      </c>
      <c r="AA11" s="457">
        <f>+$L$11</f>
        <v>1100.3599999999999</v>
      </c>
      <c r="AB11" s="457">
        <f>+$M$11</f>
        <v>1191.1199999999999</v>
      </c>
      <c r="AE11" s="54" t="s">
        <v>55</v>
      </c>
      <c r="AF11" s="52" t="s">
        <v>44</v>
      </c>
      <c r="AG11" s="457">
        <f>+$C$11*q17a!$C$11</f>
        <v>80333920.800000012</v>
      </c>
      <c r="AH11" s="457">
        <f>+$D$11*q17a!$D$11</f>
        <v>88456601.160000011</v>
      </c>
      <c r="AI11" s="457">
        <f>+$E$11*q17a!$E$11</f>
        <v>97369201.579999998</v>
      </c>
      <c r="AJ11" s="457">
        <f>+$F$11*q17a!$F$11</f>
        <v>111147313.42</v>
      </c>
      <c r="AK11" s="457">
        <f>+$G$11*q17a!$G$11</f>
        <v>125985658.24000001</v>
      </c>
      <c r="AL11" s="457">
        <f>+$H$11*q17a!$H$11</f>
        <v>137523427.80000001</v>
      </c>
      <c r="AM11" s="457">
        <f>+$I$11*q17a!$I$11</f>
        <v>128168686.8</v>
      </c>
      <c r="AN11" s="457">
        <f>+$J$11*q17a!$J$11</f>
        <v>135905646.78</v>
      </c>
      <c r="AO11" s="457">
        <f>+$K$11*q17a!$K$11</f>
        <v>165399068.80000001</v>
      </c>
      <c r="AP11" s="457">
        <f>+$L$11*q17a!$L$11</f>
        <v>187941487.99999997</v>
      </c>
      <c r="AQ11" s="457">
        <f>+$M$11*q17a!$M$11</f>
        <v>202159268.63999999</v>
      </c>
    </row>
    <row r="12" spans="1:54" s="121" customFormat="1" ht="12.75" customHeight="1">
      <c r="A12" s="55"/>
      <c r="B12" s="56" t="str">
        <f>+'q38'!B12</f>
        <v>H</v>
      </c>
      <c r="C12" s="824">
        <f>+'q38'!C12</f>
        <v>752.86</v>
      </c>
      <c r="D12" s="824">
        <f>+'q38'!D12</f>
        <v>768.96</v>
      </c>
      <c r="E12" s="824">
        <f>+'q38'!E12</f>
        <v>785.59</v>
      </c>
      <c r="F12" s="824">
        <f>+'q38'!F12</f>
        <v>818.25</v>
      </c>
      <c r="G12" s="824">
        <f>+'q38'!G12</f>
        <v>858.87</v>
      </c>
      <c r="H12" s="824">
        <f>+'q38'!H12</f>
        <v>904.02</v>
      </c>
      <c r="I12" s="824">
        <f>+'q38'!I12</f>
        <v>939.89</v>
      </c>
      <c r="J12" s="824">
        <f>+'q38'!J12</f>
        <v>975.75</v>
      </c>
      <c r="K12" s="824">
        <f>+'q38'!K12</f>
        <v>1047.2</v>
      </c>
      <c r="L12" s="824">
        <f>+'q38'!L12</f>
        <v>1135</v>
      </c>
      <c r="M12" s="824">
        <f>+'q38'!M12</f>
        <v>1230.2</v>
      </c>
      <c r="P12" s="55"/>
      <c r="Q12" s="56" t="s">
        <v>52</v>
      </c>
      <c r="R12" s="457">
        <f>+$C$12</f>
        <v>752.86</v>
      </c>
      <c r="S12" s="457">
        <f>+$D$12</f>
        <v>768.96</v>
      </c>
      <c r="T12" s="457">
        <f>+$E$12</f>
        <v>785.59</v>
      </c>
      <c r="U12" s="457">
        <f>+$F$12</f>
        <v>818.25</v>
      </c>
      <c r="V12" s="457">
        <f>+$G$12</f>
        <v>858.87</v>
      </c>
      <c r="W12" s="457">
        <f>+$H$12</f>
        <v>904.02</v>
      </c>
      <c r="X12" s="457">
        <f>+$I$12</f>
        <v>939.89</v>
      </c>
      <c r="Y12" s="457">
        <f>+$J$12</f>
        <v>975.75</v>
      </c>
      <c r="Z12" s="457">
        <f>+$K$12</f>
        <v>1047.2</v>
      </c>
      <c r="AA12" s="457">
        <f>+$L$12</f>
        <v>1135</v>
      </c>
      <c r="AB12" s="457">
        <f>+$M$12</f>
        <v>1230.2</v>
      </c>
      <c r="AE12" s="55"/>
      <c r="AF12" s="56" t="s">
        <v>52</v>
      </c>
      <c r="AG12" s="457">
        <f>+$C$12*q17a!$C$12</f>
        <v>47735841.160000004</v>
      </c>
      <c r="AH12" s="457">
        <f>+$D$12*q17a!$D$12</f>
        <v>52317731.520000003</v>
      </c>
      <c r="AI12" s="457">
        <f>+$E$12*q17a!$E$12</f>
        <v>57297792.240000002</v>
      </c>
      <c r="AJ12" s="457">
        <f>+$F$12*q17a!$F$12</f>
        <v>65190795.75</v>
      </c>
      <c r="AK12" s="457">
        <f>+$G$12*q17a!$G$12</f>
        <v>74683040.849999994</v>
      </c>
      <c r="AL12" s="457">
        <f>+$H$12*q17a!$H$12</f>
        <v>81411521.099999994</v>
      </c>
      <c r="AM12" s="457">
        <f>+$I$12*q17a!$I$12</f>
        <v>76804051.239999995</v>
      </c>
      <c r="AN12" s="457">
        <f>+$J$12*q17a!$J$12</f>
        <v>79862210.25</v>
      </c>
      <c r="AO12" s="457">
        <f>+$K$12*q17a!$K$12</f>
        <v>97048212.799999997</v>
      </c>
      <c r="AP12" s="457">
        <f>+$L$12*q17a!$L$12</f>
        <v>111230000</v>
      </c>
      <c r="AQ12" s="457">
        <f>+$M$12*q17a!$M$12</f>
        <v>121217757</v>
      </c>
    </row>
    <row r="13" spans="1:54" s="121" customFormat="1" ht="12.75" customHeight="1">
      <c r="A13" s="54"/>
      <c r="B13" s="56" t="str">
        <f>+'q38'!B13</f>
        <v>M</v>
      </c>
      <c r="C13" s="824">
        <f>+'q38'!C13</f>
        <v>675</v>
      </c>
      <c r="D13" s="824">
        <f>+'q38'!D13</f>
        <v>688.01</v>
      </c>
      <c r="E13" s="824">
        <f>+'q38'!E13</f>
        <v>711.72</v>
      </c>
      <c r="F13" s="824">
        <f>+'q38'!F13</f>
        <v>749.37</v>
      </c>
      <c r="G13" s="824">
        <f>+'q38'!G13</f>
        <v>786.48</v>
      </c>
      <c r="H13" s="824">
        <f>+'q38'!H13</f>
        <v>827.95</v>
      </c>
      <c r="I13" s="824">
        <f>+'q38'!I13</f>
        <v>870.5</v>
      </c>
      <c r="J13" s="824">
        <f>+'q38'!J13</f>
        <v>912.9</v>
      </c>
      <c r="K13" s="824">
        <f>+'q38'!K13</f>
        <v>974.41</v>
      </c>
      <c r="L13" s="824">
        <f>+'q38'!L13</f>
        <v>1053.73</v>
      </c>
      <c r="M13" s="824">
        <f>+'q38'!M13</f>
        <v>1137.02</v>
      </c>
      <c r="P13" s="54"/>
      <c r="Q13" s="56" t="s">
        <v>53</v>
      </c>
      <c r="R13" s="457">
        <f>+$C$13</f>
        <v>675</v>
      </c>
      <c r="S13" s="457">
        <f>+$D$13</f>
        <v>688.01</v>
      </c>
      <c r="T13" s="457">
        <f>+$E$13</f>
        <v>711.72</v>
      </c>
      <c r="U13" s="457">
        <f>+$F$13</f>
        <v>749.37</v>
      </c>
      <c r="V13" s="457">
        <f>+$G$13</f>
        <v>786.48</v>
      </c>
      <c r="W13" s="457">
        <f>+$H$13</f>
        <v>827.95</v>
      </c>
      <c r="X13" s="457">
        <f>+$I$13</f>
        <v>870.5</v>
      </c>
      <c r="Y13" s="457">
        <f>+$J$13</f>
        <v>912.9</v>
      </c>
      <c r="Z13" s="457">
        <f>+$K$13</f>
        <v>974.41</v>
      </c>
      <c r="AA13" s="457">
        <f>+$L$13</f>
        <v>1053.73</v>
      </c>
      <c r="AB13" s="457">
        <f>+$M$13</f>
        <v>1137.02</v>
      </c>
      <c r="AE13" s="54"/>
      <c r="AF13" s="56" t="s">
        <v>53</v>
      </c>
      <c r="AG13" s="457">
        <f>+$C$13*q17a!$C$13</f>
        <v>32597775</v>
      </c>
      <c r="AH13" s="457">
        <f>+$D$13*q17a!$D$13</f>
        <v>36139101.269999996</v>
      </c>
      <c r="AI13" s="457">
        <f>+$E$13*q17a!$E$13</f>
        <v>40071259.440000005</v>
      </c>
      <c r="AJ13" s="457">
        <f>+$F$13*q17a!$F$13</f>
        <v>45956613.990000002</v>
      </c>
      <c r="AK13" s="457">
        <f>+$G$13*q17a!$G$13</f>
        <v>51302876.880000003</v>
      </c>
      <c r="AL13" s="457">
        <f>+$H$13*q17a!$H$13</f>
        <v>56112655.350000001</v>
      </c>
      <c r="AM13" s="457">
        <f>+$I$13*q17a!$I$13</f>
        <v>51363852.5</v>
      </c>
      <c r="AN13" s="457">
        <f>+$J$13*q17a!$J$13</f>
        <v>56043843.899999999</v>
      </c>
      <c r="AO13" s="457">
        <f>+$K$13*q17a!$K$13</f>
        <v>68350963.859999999</v>
      </c>
      <c r="AP13" s="457">
        <f>+$L$13*q17a!$L$13</f>
        <v>76711544</v>
      </c>
      <c r="AQ13" s="457">
        <f>+$M$13*q17a!$M$13</f>
        <v>80941042.739999995</v>
      </c>
    </row>
    <row r="14" spans="1:54" s="121" customFormat="1" ht="16.5" customHeight="1">
      <c r="A14" s="54" t="str">
        <f>+'q38'!A14</f>
        <v>25-29 anos</v>
      </c>
      <c r="B14" s="52" t="str">
        <f>+'q38'!B14</f>
        <v>T</v>
      </c>
      <c r="C14" s="85">
        <f>+'q38'!C14</f>
        <v>862.51</v>
      </c>
      <c r="D14" s="85">
        <f>+'q38'!D14</f>
        <v>871.58</v>
      </c>
      <c r="E14" s="85">
        <f>+'q38'!E14</f>
        <v>893.31</v>
      </c>
      <c r="F14" s="85">
        <f>+'q38'!F14</f>
        <v>935.65</v>
      </c>
      <c r="G14" s="85">
        <f>+'q38'!G14</f>
        <v>980.03</v>
      </c>
      <c r="H14" s="85">
        <f>+'q38'!H14</f>
        <v>1030.8599999999999</v>
      </c>
      <c r="I14" s="85">
        <f>+'q38'!I14</f>
        <v>1074.49</v>
      </c>
      <c r="J14" s="85">
        <f>+'q38'!J14</f>
        <v>1126.1199999999999</v>
      </c>
      <c r="K14" s="85">
        <f>+'q38'!K14</f>
        <v>1206.3499999999999</v>
      </c>
      <c r="L14" s="85">
        <f>+'q38'!L14</f>
        <v>1287.3499999999999</v>
      </c>
      <c r="M14" s="85">
        <f>+'q38'!M14</f>
        <v>1384.21</v>
      </c>
      <c r="P14" s="54" t="s">
        <v>56</v>
      </c>
      <c r="Q14" s="52" t="s">
        <v>44</v>
      </c>
      <c r="R14" s="121">
        <f>+$C$14*q17a!$C$14</f>
        <v>183723255.09999999</v>
      </c>
      <c r="S14" s="121">
        <f>+$D$14*q17a!$D$14</f>
        <v>189347268.68000001</v>
      </c>
      <c r="T14" s="121">
        <f>+$E$14*q17a!$E$14</f>
        <v>201046561.97999999</v>
      </c>
      <c r="U14" s="121">
        <f>+$F$14*q17a!$F$14</f>
        <v>220163123.25</v>
      </c>
      <c r="V14" s="121">
        <f>+$G$14*q17a!$G$14</f>
        <v>242637787.45999998</v>
      </c>
      <c r="W14" s="121">
        <f>+$H$14*q17a!$H$14</f>
        <v>263655846.17999998</v>
      </c>
      <c r="X14" s="121">
        <f>+$I$14*q17a!$I$14</f>
        <v>262094973.25</v>
      </c>
      <c r="Y14" s="121">
        <f>+$J$14*q17a!$J$14</f>
        <v>278964698.63999999</v>
      </c>
      <c r="Z14" s="121">
        <f>+$K$14*q17a!$K$14</f>
        <v>329335962.69999999</v>
      </c>
      <c r="AA14" s="121">
        <f>+$L$14*q17a!$L$14</f>
        <v>370890684.39999998</v>
      </c>
      <c r="AB14" s="121">
        <f>+$M$14*q17a!$M$14</f>
        <v>415730862.98000002</v>
      </c>
      <c r="AE14" s="54" t="s">
        <v>56</v>
      </c>
      <c r="AF14" s="52" t="s">
        <v>44</v>
      </c>
      <c r="AG14" s="121">
        <f>+$C$14*q17a!$C$14</f>
        <v>183723255.09999999</v>
      </c>
      <c r="AH14" s="121">
        <f>+$D$14*q17a!$D$14</f>
        <v>189347268.68000001</v>
      </c>
      <c r="AI14" s="121">
        <f>+$E$14*q17a!$E$14</f>
        <v>201046561.97999999</v>
      </c>
      <c r="AJ14" s="121">
        <f>+$F$14*q17a!$F$14</f>
        <v>220163123.25</v>
      </c>
      <c r="AK14" s="121">
        <f>+$G$14*q17a!$G$14</f>
        <v>242637787.45999998</v>
      </c>
      <c r="AL14" s="121">
        <f>+$H$14*q17a!$H$14</f>
        <v>263655846.17999998</v>
      </c>
      <c r="AM14" s="121">
        <f>+$I$14*q17a!$I$14</f>
        <v>262094973.25</v>
      </c>
      <c r="AN14" s="121">
        <f>+$J$14*q17a!$J$14</f>
        <v>278964698.63999999</v>
      </c>
      <c r="AO14" s="121">
        <f>+$K$14*q17a!$K$14</f>
        <v>329335962.69999999</v>
      </c>
      <c r="AP14" s="121">
        <f>+$L$14*q17a!$L$14</f>
        <v>370890684.39999998</v>
      </c>
      <c r="AQ14" s="121">
        <f>+$M$14*q17a!$M$14</f>
        <v>415730862.98000002</v>
      </c>
    </row>
    <row r="15" spans="1:54" s="121" customFormat="1" ht="12.75" customHeight="1">
      <c r="A15" s="55"/>
      <c r="B15" s="56" t="str">
        <f>+'q38'!B15</f>
        <v>H</v>
      </c>
      <c r="C15" s="824">
        <f>+'q38'!C15</f>
        <v>901.55</v>
      </c>
      <c r="D15" s="824">
        <f>+'q38'!D15</f>
        <v>917.1</v>
      </c>
      <c r="E15" s="824">
        <f>+'q38'!E15</f>
        <v>938.4</v>
      </c>
      <c r="F15" s="824">
        <f>+'q38'!F15</f>
        <v>982.93</v>
      </c>
      <c r="G15" s="824">
        <f>+'q38'!G15</f>
        <v>1028.6199999999999</v>
      </c>
      <c r="H15" s="824">
        <f>+'q38'!H15</f>
        <v>1078.1600000000001</v>
      </c>
      <c r="I15" s="824">
        <f>+'q38'!I15</f>
        <v>1116.2</v>
      </c>
      <c r="J15" s="824">
        <f>+'q38'!J15</f>
        <v>1172.81</v>
      </c>
      <c r="K15" s="824">
        <f>+'q38'!K15</f>
        <v>1256.52</v>
      </c>
      <c r="L15" s="824">
        <f>+'q38'!L15</f>
        <v>1332.6</v>
      </c>
      <c r="M15" s="824">
        <f>+'q38'!M15</f>
        <v>1430.17</v>
      </c>
      <c r="P15" s="55"/>
      <c r="Q15" s="56" t="s">
        <v>52</v>
      </c>
      <c r="R15" s="121">
        <f>+$C$15*q17a!$C$15</f>
        <v>100798699.3</v>
      </c>
      <c r="S15" s="121">
        <f>+$D$15*q17a!$D$15</f>
        <v>104150461.5</v>
      </c>
      <c r="T15" s="121">
        <f>+$E$15*q17a!$E$15</f>
        <v>111126266.39999999</v>
      </c>
      <c r="U15" s="121">
        <f>+$F$15*q17a!$F$15</f>
        <v>122425897.36</v>
      </c>
      <c r="V15" s="121">
        <f>+$G$15*q17a!$G$15</f>
        <v>135541257.39999998</v>
      </c>
      <c r="W15" s="121">
        <f>+$H$15*q17a!$H$15</f>
        <v>147392019.12</v>
      </c>
      <c r="X15" s="121">
        <f>+$I$15*q17a!$I$15</f>
        <v>147149762.20000002</v>
      </c>
      <c r="Y15" s="121">
        <f>+$J$15*q17a!$J$15</f>
        <v>156499766.40000001</v>
      </c>
      <c r="Z15" s="121">
        <f>+$K$15*q17a!$K$15</f>
        <v>186761593.68000001</v>
      </c>
      <c r="AA15" s="121">
        <f>+$L$15*q17a!$L$15</f>
        <v>211230426</v>
      </c>
      <c r="AB15" s="121">
        <f>+$M$15*q17a!$M$15</f>
        <v>238678210.96000001</v>
      </c>
      <c r="AE15" s="55"/>
      <c r="AF15" s="56" t="s">
        <v>52</v>
      </c>
      <c r="AG15" s="121">
        <f>+$C$15*q17a!$C$15</f>
        <v>100798699.3</v>
      </c>
      <c r="AH15" s="121">
        <f>+$D$15*q17a!$D$15</f>
        <v>104150461.5</v>
      </c>
      <c r="AI15" s="121">
        <f>+$E$15*q17a!$E$15</f>
        <v>111126266.39999999</v>
      </c>
      <c r="AJ15" s="121">
        <f>+$F$15*q17a!$F$15</f>
        <v>122425897.36</v>
      </c>
      <c r="AK15" s="121">
        <f>+$G$15*q17a!$G$15</f>
        <v>135541257.39999998</v>
      </c>
      <c r="AL15" s="121">
        <f>+$H$15*q17a!$H$15</f>
        <v>147392019.12</v>
      </c>
      <c r="AM15" s="121">
        <f>+$I$15*q17a!$I$15</f>
        <v>147149762.20000002</v>
      </c>
      <c r="AN15" s="121">
        <f>+$J$15*q17a!$J$15</f>
        <v>156499766.40000001</v>
      </c>
      <c r="AO15" s="121">
        <f>+$K$15*q17a!$K$15</f>
        <v>186761593.68000001</v>
      </c>
      <c r="AP15" s="121">
        <f>+$L$15*q17a!$L$15</f>
        <v>211230426</v>
      </c>
      <c r="AQ15" s="121">
        <f>+$M$15*q17a!$M$15</f>
        <v>238678210.96000001</v>
      </c>
    </row>
    <row r="16" spans="1:54" s="121" customFormat="1" ht="12.75" customHeight="1">
      <c r="A16" s="54"/>
      <c r="B16" s="56" t="str">
        <f>+'q38'!B16</f>
        <v>M</v>
      </c>
      <c r="C16" s="824">
        <f>+'q38'!C16</f>
        <v>819.39</v>
      </c>
      <c r="D16" s="824">
        <f>+'q38'!D16</f>
        <v>821.71</v>
      </c>
      <c r="E16" s="824">
        <f>+'q38'!E16</f>
        <v>843.24</v>
      </c>
      <c r="F16" s="824">
        <f>+'q38'!F16</f>
        <v>882.47</v>
      </c>
      <c r="G16" s="824">
        <f>+'q38'!G16</f>
        <v>924.75</v>
      </c>
      <c r="H16" s="824">
        <f>+'q38'!H16</f>
        <v>976.53</v>
      </c>
      <c r="I16" s="824">
        <f>+'q38'!I16</f>
        <v>1025.45</v>
      </c>
      <c r="J16" s="824">
        <f>+'q38'!J16</f>
        <v>1071.5999999999999</v>
      </c>
      <c r="K16" s="824">
        <f>+'q38'!K16</f>
        <v>1146.3900000000001</v>
      </c>
      <c r="L16" s="824">
        <f>+'q38'!L16</f>
        <v>1232.01</v>
      </c>
      <c r="M16" s="824">
        <f>+'q38'!M16</f>
        <v>1326.75</v>
      </c>
      <c r="P16" s="54"/>
      <c r="Q16" s="56" t="s">
        <v>53</v>
      </c>
      <c r="R16" s="121">
        <f>+$C$16*q17a!$C$16</f>
        <v>82925545.560000002</v>
      </c>
      <c r="S16" s="121">
        <f>+$D$16*q17a!$D$16</f>
        <v>85195714.510000005</v>
      </c>
      <c r="T16" s="121">
        <f>+$E$16*q17a!$E$16</f>
        <v>89920583.879999995</v>
      </c>
      <c r="U16" s="121">
        <f>+$F$16*q17a!$F$16</f>
        <v>97736199.909999996</v>
      </c>
      <c r="V16" s="121">
        <f>+$G$16*q17a!$G$16</f>
        <v>107097147</v>
      </c>
      <c r="W16" s="121">
        <f>+$H$16*q17a!$H$16</f>
        <v>116261755.67999999</v>
      </c>
      <c r="X16" s="121">
        <f>+$I$16*q17a!$I$16</f>
        <v>114946792.30000001</v>
      </c>
      <c r="Y16" s="121">
        <f>+$J$16*q17a!$J$16</f>
        <v>122464591.19999999</v>
      </c>
      <c r="Z16" s="121">
        <f>+$K$16*q17a!$K$16</f>
        <v>142574231.52000001</v>
      </c>
      <c r="AA16" s="121">
        <f>+$L$16*q17a!$L$16</f>
        <v>159661103.94</v>
      </c>
      <c r="AB16" s="121">
        <f>+$M$16*q17a!$M$16</f>
        <v>177054787.5</v>
      </c>
      <c r="AE16" s="54"/>
      <c r="AF16" s="56" t="s">
        <v>53</v>
      </c>
      <c r="AG16" s="121">
        <f>+$C$16*q17a!$C$16</f>
        <v>82925545.560000002</v>
      </c>
      <c r="AH16" s="121">
        <f>+$D$16*q17a!$D$16</f>
        <v>85195714.510000005</v>
      </c>
      <c r="AI16" s="121">
        <f>+$E$16*q17a!$E$16</f>
        <v>89920583.879999995</v>
      </c>
      <c r="AJ16" s="121">
        <f>+$F$16*q17a!$F$16</f>
        <v>97736199.909999996</v>
      </c>
      <c r="AK16" s="121">
        <f>+$G$16*q17a!$G$16</f>
        <v>107097147</v>
      </c>
      <c r="AL16" s="121">
        <f>+$H$16*q17a!$H$16</f>
        <v>116261755.67999999</v>
      </c>
      <c r="AM16" s="121">
        <f>+$I$16*q17a!$I$16</f>
        <v>114946792.30000001</v>
      </c>
      <c r="AN16" s="121">
        <f>+$J$16*q17a!$J$16</f>
        <v>122464591.19999999</v>
      </c>
      <c r="AO16" s="121">
        <f>+$K$16*q17a!$K$16</f>
        <v>142574231.52000001</v>
      </c>
      <c r="AP16" s="121">
        <f>+$L$16*q17a!$L$16</f>
        <v>159661103.94</v>
      </c>
      <c r="AQ16" s="121">
        <f>+$M$16*q17a!$M$16</f>
        <v>177054787.5</v>
      </c>
    </row>
    <row r="17" spans="1:43" s="121" customFormat="1" ht="16.5" customHeight="1">
      <c r="A17" s="54" t="str">
        <f>+'q38'!A17</f>
        <v>30-34 anos</v>
      </c>
      <c r="B17" s="52" t="str">
        <f>+'q38'!B17</f>
        <v>T</v>
      </c>
      <c r="C17" s="85">
        <f>+'q38'!C17</f>
        <v>987.53</v>
      </c>
      <c r="D17" s="85">
        <f>+'q38'!D17</f>
        <v>991.06</v>
      </c>
      <c r="E17" s="85">
        <f>+'q38'!E17</f>
        <v>1003.61</v>
      </c>
      <c r="F17" s="85">
        <f>+'q38'!F17</f>
        <v>1034.78</v>
      </c>
      <c r="G17" s="85">
        <f>+'q38'!G17</f>
        <v>1081.3499999999999</v>
      </c>
      <c r="H17" s="85">
        <f>+'q38'!H17</f>
        <v>1135.05</v>
      </c>
      <c r="I17" s="85">
        <f>+'q38'!I17</f>
        <v>1176.05</v>
      </c>
      <c r="J17" s="85">
        <f>+'q38'!J17</f>
        <v>1234.8699999999999</v>
      </c>
      <c r="K17" s="85">
        <f>+'q38'!K17</f>
        <v>1319.28</v>
      </c>
      <c r="L17" s="85">
        <f>+'q38'!L17</f>
        <v>1414.1</v>
      </c>
      <c r="M17" s="85">
        <f>+'q38'!M17</f>
        <v>1532.56</v>
      </c>
      <c r="P17" s="54" t="s">
        <v>57</v>
      </c>
      <c r="Q17" s="52" t="s">
        <v>44</v>
      </c>
      <c r="R17" s="121">
        <f>+$C$17*q17a!$C$17</f>
        <v>283914875</v>
      </c>
      <c r="S17" s="121">
        <f>+$D$17*q17a!$D$17</f>
        <v>280391686.25999999</v>
      </c>
      <c r="T17" s="121">
        <f>+$E$17*q17a!$E$17</f>
        <v>279442157.56999999</v>
      </c>
      <c r="U17" s="121">
        <f>+$F$17*q17a!$F$17</f>
        <v>285619975.59999996</v>
      </c>
      <c r="V17" s="121">
        <f>+$G$17*q17a!$G$17</f>
        <v>297505337.39999998</v>
      </c>
      <c r="W17" s="121">
        <f>+$H$17*q17a!$H$17</f>
        <v>310957162.94999999</v>
      </c>
      <c r="X17" s="121">
        <f>+$I$17*q17a!$I$17</f>
        <v>309664549.44999999</v>
      </c>
      <c r="Y17" s="121">
        <f>+$J$17*q17a!$J$17</f>
        <v>328735977.56999999</v>
      </c>
      <c r="Z17" s="121">
        <f>+$K$17*q17a!$K$17</f>
        <v>382348452.48000002</v>
      </c>
      <c r="AA17" s="121">
        <f>+$L$17*q17a!$L$17</f>
        <v>429681355.5</v>
      </c>
      <c r="AB17" s="121">
        <f>+$M$17*q17a!$M$17</f>
        <v>478037647.75999999</v>
      </c>
      <c r="AE17" s="54" t="s">
        <v>57</v>
      </c>
      <c r="AF17" s="52" t="s">
        <v>44</v>
      </c>
      <c r="AG17" s="121">
        <f>+$C$17*q17a!$C$17</f>
        <v>283914875</v>
      </c>
      <c r="AH17" s="121">
        <f>+$D$17*q17a!$D$17</f>
        <v>280391686.25999999</v>
      </c>
      <c r="AI17" s="121">
        <f>+$E$17*q17a!$E$17</f>
        <v>279442157.56999999</v>
      </c>
      <c r="AJ17" s="121">
        <f>+$F$17*q17a!$F$17</f>
        <v>285619975.59999996</v>
      </c>
      <c r="AK17" s="121">
        <f>+$G$17*q17a!$G$17</f>
        <v>297505337.39999998</v>
      </c>
      <c r="AL17" s="121">
        <f>+$H$17*q17a!$H$17</f>
        <v>310957162.94999999</v>
      </c>
      <c r="AM17" s="121">
        <f>+$I$17*q17a!$I$17</f>
        <v>309664549.44999999</v>
      </c>
      <c r="AN17" s="121">
        <f>+$J$17*q17a!$J$17</f>
        <v>328735977.56999999</v>
      </c>
      <c r="AO17" s="121">
        <f>+$K$17*q17a!$K$17</f>
        <v>382348452.48000002</v>
      </c>
      <c r="AP17" s="121">
        <f>+$L$17*q17a!$L$17</f>
        <v>429681355.5</v>
      </c>
      <c r="AQ17" s="121">
        <f>+$M$17*q17a!$M$17</f>
        <v>478037647.75999999</v>
      </c>
    </row>
    <row r="18" spans="1:43" s="121" customFormat="1" ht="12.75" customHeight="1">
      <c r="A18" s="55"/>
      <c r="B18" s="56" t="str">
        <f>+'q38'!B18</f>
        <v>H</v>
      </c>
      <c r="C18" s="824">
        <f>+'q38'!C18</f>
        <v>1036.99</v>
      </c>
      <c r="D18" s="824">
        <f>+'q38'!D18</f>
        <v>1043.9100000000001</v>
      </c>
      <c r="E18" s="824">
        <f>+'q38'!E18</f>
        <v>1054.6300000000001</v>
      </c>
      <c r="F18" s="824">
        <f>+'q38'!F18</f>
        <v>1089.0999999999999</v>
      </c>
      <c r="G18" s="824">
        <f>+'q38'!G18</f>
        <v>1145.51</v>
      </c>
      <c r="H18" s="824">
        <f>+'q38'!H18</f>
        <v>1199.1600000000001</v>
      </c>
      <c r="I18" s="824">
        <f>+'q38'!I18</f>
        <v>1236.27</v>
      </c>
      <c r="J18" s="824">
        <f>+'q38'!J18</f>
        <v>1297</v>
      </c>
      <c r="K18" s="824">
        <f>+'q38'!K18</f>
        <v>1382.69</v>
      </c>
      <c r="L18" s="824">
        <f>+'q38'!L18</f>
        <v>1478.18</v>
      </c>
      <c r="M18" s="824">
        <f>+'q38'!M18</f>
        <v>1585.23</v>
      </c>
      <c r="P18" s="55"/>
      <c r="Q18" s="56" t="s">
        <v>52</v>
      </c>
      <c r="R18" s="121">
        <f>+$C$18*q17a!$C$18</f>
        <v>156850959.44</v>
      </c>
      <c r="S18" s="121">
        <f>+$D$18*q17a!$D$18</f>
        <v>154972615.14000002</v>
      </c>
      <c r="T18" s="121">
        <f>+$E$18*q17a!$E$18</f>
        <v>154920928.48000002</v>
      </c>
      <c r="U18" s="121">
        <f>+$F$18*q17a!$F$18</f>
        <v>160118392.89999998</v>
      </c>
      <c r="V18" s="121">
        <f>+$G$18*q17a!$G$18</f>
        <v>169841331.16999999</v>
      </c>
      <c r="W18" s="121">
        <f>+$H$18*q17a!$H$18</f>
        <v>178508156.76000002</v>
      </c>
      <c r="X18" s="121">
        <f>+$I$18*q17a!$I$18</f>
        <v>179045275.28999999</v>
      </c>
      <c r="Y18" s="121">
        <f>+$J$18*q17a!$J$18</f>
        <v>189949541</v>
      </c>
      <c r="Z18" s="121">
        <f>+$K$18*q17a!$K$18</f>
        <v>222964293.26000002</v>
      </c>
      <c r="AA18" s="121">
        <f>+$L$18*q17a!$L$18</f>
        <v>251491632.48000002</v>
      </c>
      <c r="AB18" s="121">
        <f>+$M$18*q17a!$M$18</f>
        <v>281086642.68000001</v>
      </c>
      <c r="AE18" s="55"/>
      <c r="AF18" s="56" t="s">
        <v>52</v>
      </c>
      <c r="AG18" s="121">
        <f>+$C$18*q17a!$C$18</f>
        <v>156850959.44</v>
      </c>
      <c r="AH18" s="121">
        <f>+$D$18*q17a!$D$18</f>
        <v>154972615.14000002</v>
      </c>
      <c r="AI18" s="121">
        <f>+$E$18*q17a!$E$18</f>
        <v>154920928.48000002</v>
      </c>
      <c r="AJ18" s="121">
        <f>+$F$18*q17a!$F$18</f>
        <v>160118392.89999998</v>
      </c>
      <c r="AK18" s="121">
        <f>+$G$18*q17a!$G$18</f>
        <v>169841331.16999999</v>
      </c>
      <c r="AL18" s="121">
        <f>+$H$18*q17a!$H$18</f>
        <v>178508156.76000002</v>
      </c>
      <c r="AM18" s="121">
        <f>+$I$18*q17a!$I$18</f>
        <v>179045275.28999999</v>
      </c>
      <c r="AN18" s="121">
        <f>+$J$18*q17a!$J$18</f>
        <v>189949541</v>
      </c>
      <c r="AO18" s="121">
        <f>+$K$18*q17a!$K$18</f>
        <v>222964293.26000002</v>
      </c>
      <c r="AP18" s="121">
        <f>+$L$18*q17a!$L$18</f>
        <v>251491632.48000002</v>
      </c>
      <c r="AQ18" s="121">
        <f>+$M$18*q17a!$M$18</f>
        <v>281086642.68000001</v>
      </c>
    </row>
    <row r="19" spans="1:43" s="121" customFormat="1" ht="12.75" customHeight="1">
      <c r="A19" s="54"/>
      <c r="B19" s="56" t="str">
        <f>+'q38'!B19</f>
        <v>M</v>
      </c>
      <c r="C19" s="824">
        <f>+'q38'!C19</f>
        <v>932.62</v>
      </c>
      <c r="D19" s="824">
        <f>+'q38'!D19</f>
        <v>932.72</v>
      </c>
      <c r="E19" s="824">
        <f>+'q38'!E19</f>
        <v>946.64</v>
      </c>
      <c r="F19" s="824">
        <f>+'q38'!F19</f>
        <v>972.87</v>
      </c>
      <c r="G19" s="824">
        <f>+'q38'!G19</f>
        <v>1006.36</v>
      </c>
      <c r="H19" s="824">
        <f>+'q38'!H19</f>
        <v>1058.76</v>
      </c>
      <c r="I19" s="824">
        <f>+'q38'!I19</f>
        <v>1102.45</v>
      </c>
      <c r="J19" s="824">
        <f>+'q38'!J19</f>
        <v>1158.8900000000001</v>
      </c>
      <c r="K19" s="824">
        <f>+'q38'!K19</f>
        <v>1239.75</v>
      </c>
      <c r="L19" s="824">
        <f>+'q38'!L19</f>
        <v>1332.57</v>
      </c>
      <c r="M19" s="824">
        <f>+'q38'!M19</f>
        <v>1463.19</v>
      </c>
      <c r="P19" s="54"/>
      <c r="Q19" s="56" t="s">
        <v>53</v>
      </c>
      <c r="R19" s="121">
        <f>+$C$19*q17a!$C$19</f>
        <v>127063879.28</v>
      </c>
      <c r="S19" s="121">
        <f>+$D$19*q17a!$D$19</f>
        <v>125420060.24000001</v>
      </c>
      <c r="T19" s="121">
        <f>+$E$19*q17a!$E$19</f>
        <v>124521972.23999999</v>
      </c>
      <c r="U19" s="121">
        <f>+$F$19*q17a!$F$19</f>
        <v>125501202.87</v>
      </c>
      <c r="V19" s="121">
        <f>+$G$19*q17a!$G$19</f>
        <v>127663810.52</v>
      </c>
      <c r="W19" s="121">
        <f>+$H$19*q17a!$H$19</f>
        <v>132448758.48</v>
      </c>
      <c r="X19" s="121">
        <f>+$I$19*q17a!$I$19</f>
        <v>130620480.90000001</v>
      </c>
      <c r="Y19" s="121">
        <f>+$J$19*q17a!$J$19</f>
        <v>138786348.62</v>
      </c>
      <c r="Z19" s="121">
        <f>+$K$19*q17a!$K$19</f>
        <v>159384739.5</v>
      </c>
      <c r="AA19" s="121">
        <f>+$L$19*q17a!$L$19</f>
        <v>178189927.82999998</v>
      </c>
      <c r="AB19" s="121">
        <f>+$M$19*q17a!$M$19</f>
        <v>196952689.95000002</v>
      </c>
      <c r="AE19" s="54"/>
      <c r="AF19" s="56" t="s">
        <v>53</v>
      </c>
      <c r="AG19" s="121">
        <f>+$C$19*q17a!$C$19</f>
        <v>127063879.28</v>
      </c>
      <c r="AH19" s="121">
        <f>+$D$19*q17a!$D$19</f>
        <v>125420060.24000001</v>
      </c>
      <c r="AI19" s="121">
        <f>+$E$19*q17a!$E$19</f>
        <v>124521972.23999999</v>
      </c>
      <c r="AJ19" s="121">
        <f>+$F$19*q17a!$F$19</f>
        <v>125501202.87</v>
      </c>
      <c r="AK19" s="121">
        <f>+$G$19*q17a!$G$19</f>
        <v>127663810.52</v>
      </c>
      <c r="AL19" s="121">
        <f>+$H$19*q17a!$H$19</f>
        <v>132448758.48</v>
      </c>
      <c r="AM19" s="121">
        <f>+$I$19*q17a!$I$19</f>
        <v>130620480.90000001</v>
      </c>
      <c r="AN19" s="121">
        <f>+$J$19*q17a!$J$19</f>
        <v>138786348.62</v>
      </c>
      <c r="AO19" s="121">
        <f>+$K$19*q17a!$K$19</f>
        <v>159384739.5</v>
      </c>
      <c r="AP19" s="121">
        <f>+$L$19*q17a!$L$19</f>
        <v>178189927.82999998</v>
      </c>
      <c r="AQ19" s="121">
        <f>+$M$19*q17a!$M$19</f>
        <v>196952689.95000002</v>
      </c>
    </row>
    <row r="20" spans="1:43" s="121" customFormat="1" ht="16.5" customHeight="1">
      <c r="A20" s="54" t="str">
        <f>+'q38'!A20</f>
        <v>35-39 anos</v>
      </c>
      <c r="B20" s="52" t="str">
        <f>+'q38'!B20</f>
        <v>T</v>
      </c>
      <c r="C20" s="85">
        <f>+'q38'!C20</f>
        <v>1125.56</v>
      </c>
      <c r="D20" s="85">
        <f>+'q38'!D20</f>
        <v>1118.1500000000001</v>
      </c>
      <c r="E20" s="85">
        <f>+'q38'!E20</f>
        <v>1123.67</v>
      </c>
      <c r="F20" s="85">
        <f>+'q38'!F20</f>
        <v>1143.2</v>
      </c>
      <c r="G20" s="85">
        <f>+'q38'!G20</f>
        <v>1176.19</v>
      </c>
      <c r="H20" s="85">
        <f>+'q38'!H20</f>
        <v>1219.47</v>
      </c>
      <c r="I20" s="85">
        <f>+'q38'!I20</f>
        <v>1255.8699999999999</v>
      </c>
      <c r="J20" s="85">
        <f>+'q38'!J20</f>
        <v>1302.6099999999999</v>
      </c>
      <c r="K20" s="85">
        <f>+'q38'!K20</f>
        <v>1386.25</v>
      </c>
      <c r="L20" s="85">
        <f>+'q38'!L20</f>
        <v>1486.1</v>
      </c>
      <c r="M20" s="85">
        <f>+'q38'!M20</f>
        <v>1613.64</v>
      </c>
      <c r="P20" s="54" t="s">
        <v>58</v>
      </c>
      <c r="Q20" s="52" t="s">
        <v>44</v>
      </c>
      <c r="R20" s="121">
        <f>+$C$20*q17a!$C$20</f>
        <v>367665299.56</v>
      </c>
      <c r="S20" s="121">
        <f>+$D$20*q17a!$D$20</f>
        <v>365488572.35000002</v>
      </c>
      <c r="T20" s="121">
        <f>+$E$20*q17a!$E$20</f>
        <v>361414971.46000004</v>
      </c>
      <c r="U20" s="121">
        <f>+$F$20*q17a!$F$20</f>
        <v>365248970.40000004</v>
      </c>
      <c r="V20" s="121">
        <f>+$G$20*q17a!$G$20</f>
        <v>374927029.16000003</v>
      </c>
      <c r="W20" s="121">
        <f>+$H$20*q17a!$H$20</f>
        <v>384406211.28000003</v>
      </c>
      <c r="X20" s="121">
        <f>+$I$20*q17a!$I$20</f>
        <v>373407827.09999996</v>
      </c>
      <c r="Y20" s="121">
        <f>+$J$20*q17a!$J$20</f>
        <v>378063013.34999996</v>
      </c>
      <c r="Z20" s="121">
        <f>+$K$20*q17a!$K$20</f>
        <v>420432990</v>
      </c>
      <c r="AA20" s="121">
        <f>+$L$20*q17a!$L$20</f>
        <v>456312949.39999998</v>
      </c>
      <c r="AB20" s="121">
        <f>+$M$20*q17a!$M$20</f>
        <v>494575819.08000004</v>
      </c>
      <c r="AE20" s="54" t="s">
        <v>58</v>
      </c>
      <c r="AF20" s="52" t="s">
        <v>44</v>
      </c>
      <c r="AG20" s="121">
        <f>+$C$20*q17a!$C$20</f>
        <v>367665299.56</v>
      </c>
      <c r="AH20" s="121">
        <f>+$D$20*q17a!$D$20</f>
        <v>365488572.35000002</v>
      </c>
      <c r="AI20" s="121">
        <f>+$E$20*q17a!$E$20</f>
        <v>361414971.46000004</v>
      </c>
      <c r="AJ20" s="121">
        <f>+$F$20*q17a!$F$20</f>
        <v>365248970.40000004</v>
      </c>
      <c r="AK20" s="121">
        <f>+$G$20*q17a!$G$20</f>
        <v>374927029.16000003</v>
      </c>
      <c r="AL20" s="121">
        <f>+$H$20*q17a!$H$20</f>
        <v>384406211.28000003</v>
      </c>
      <c r="AM20" s="121">
        <f>+$I$20*q17a!$I$20</f>
        <v>373407827.09999996</v>
      </c>
      <c r="AN20" s="121">
        <f>+$J$20*q17a!$J$20</f>
        <v>378063013.34999996</v>
      </c>
      <c r="AO20" s="121">
        <f>+$K$20*q17a!$K$20</f>
        <v>420432990</v>
      </c>
      <c r="AP20" s="121">
        <f>+$L$20*q17a!$L$20</f>
        <v>456312949.39999998</v>
      </c>
      <c r="AQ20" s="121">
        <f>+$M$20*q17a!$M$20</f>
        <v>494575819.08000004</v>
      </c>
    </row>
    <row r="21" spans="1:43" s="121" customFormat="1" ht="12.75" customHeight="1">
      <c r="A21" s="55"/>
      <c r="B21" s="56" t="str">
        <f>+'q38'!B21</f>
        <v>H</v>
      </c>
      <c r="C21" s="824">
        <f>+'q38'!C21</f>
        <v>1207.94</v>
      </c>
      <c r="D21" s="824">
        <f>+'q38'!D21</f>
        <v>1199.21</v>
      </c>
      <c r="E21" s="824">
        <f>+'q38'!E21</f>
        <v>1203.05</v>
      </c>
      <c r="F21" s="824">
        <f>+'q38'!F21</f>
        <v>1220.79</v>
      </c>
      <c r="G21" s="824">
        <f>+'q38'!G21</f>
        <v>1256.28</v>
      </c>
      <c r="H21" s="824">
        <f>+'q38'!H21</f>
        <v>1300.3599999999999</v>
      </c>
      <c r="I21" s="824">
        <f>+'q38'!I21</f>
        <v>1332.62</v>
      </c>
      <c r="J21" s="824">
        <f>+'q38'!J21</f>
        <v>1389.05</v>
      </c>
      <c r="K21" s="824">
        <f>+'q38'!K21</f>
        <v>1486.04</v>
      </c>
      <c r="L21" s="824">
        <f>+'q38'!L21</f>
        <v>1588.98</v>
      </c>
      <c r="M21" s="824">
        <f>+'q38'!M21</f>
        <v>1712.31</v>
      </c>
      <c r="P21" s="55"/>
      <c r="Q21" s="56" t="s">
        <v>52</v>
      </c>
      <c r="R21" s="121">
        <f>+$C$21*q17a!$C$21</f>
        <v>208140141.40000001</v>
      </c>
      <c r="S21" s="121">
        <f>+$D$21*q17a!$D$21</f>
        <v>205359915.66</v>
      </c>
      <c r="T21" s="121">
        <f>+$E$21*q17a!$E$21</f>
        <v>203000250.90000001</v>
      </c>
      <c r="U21" s="121">
        <f>+$F$21*q17a!$F$21</f>
        <v>205361293.79999998</v>
      </c>
      <c r="V21" s="121">
        <f>+$G$21*q17a!$G$21</f>
        <v>212345239.56</v>
      </c>
      <c r="W21" s="121">
        <f>+$H$21*q17a!$H$21</f>
        <v>219076850.63999999</v>
      </c>
      <c r="X21" s="121">
        <f>+$I$21*q17a!$I$21</f>
        <v>214185349.49999997</v>
      </c>
      <c r="Y21" s="121">
        <f>+$J$21*q17a!$J$21</f>
        <v>218892055.19999999</v>
      </c>
      <c r="Z21" s="121">
        <f>+$K$21*q17a!$K$21</f>
        <v>246771802.40000001</v>
      </c>
      <c r="AA21" s="121">
        <f>+$L$21*q17a!$L$21</f>
        <v>269398847.16000003</v>
      </c>
      <c r="AB21" s="121">
        <f>+$M$21*q17a!$M$21</f>
        <v>295053273.02999997</v>
      </c>
      <c r="AE21" s="55"/>
      <c r="AF21" s="56" t="s">
        <v>52</v>
      </c>
      <c r="AG21" s="121">
        <f>+$C$21*q17a!$C$21</f>
        <v>208140141.40000001</v>
      </c>
      <c r="AH21" s="121">
        <f>+$D$21*q17a!$D$21</f>
        <v>205359915.66</v>
      </c>
      <c r="AI21" s="121">
        <f>+$E$21*q17a!$E$21</f>
        <v>203000250.90000001</v>
      </c>
      <c r="AJ21" s="121">
        <f>+$F$21*q17a!$F$21</f>
        <v>205361293.79999998</v>
      </c>
      <c r="AK21" s="121">
        <f>+$G$21*q17a!$G$21</f>
        <v>212345239.56</v>
      </c>
      <c r="AL21" s="121">
        <f>+$H$21*q17a!$H$21</f>
        <v>219076850.63999999</v>
      </c>
      <c r="AM21" s="121">
        <f>+$I$21*q17a!$I$21</f>
        <v>214185349.49999997</v>
      </c>
      <c r="AN21" s="121">
        <f>+$J$21*q17a!$J$21</f>
        <v>218892055.19999999</v>
      </c>
      <c r="AO21" s="121">
        <f>+$K$21*q17a!$K$21</f>
        <v>246771802.40000001</v>
      </c>
      <c r="AP21" s="121">
        <f>+$L$21*q17a!$L$21</f>
        <v>269398847.16000003</v>
      </c>
      <c r="AQ21" s="121">
        <f>+$M$21*q17a!$M$21</f>
        <v>295053273.02999997</v>
      </c>
    </row>
    <row r="22" spans="1:43" s="121" customFormat="1" ht="12.75" customHeight="1">
      <c r="A22" s="54"/>
      <c r="B22" s="56" t="str">
        <f>+'q38'!B22</f>
        <v>M</v>
      </c>
      <c r="C22" s="824">
        <f>+'q38'!C22</f>
        <v>1033.5899999999999</v>
      </c>
      <c r="D22" s="824">
        <f>+'q38'!D22</f>
        <v>1028.94</v>
      </c>
      <c r="E22" s="824">
        <f>+'q38'!E22</f>
        <v>1036.08</v>
      </c>
      <c r="F22" s="824">
        <f>+'q38'!F22</f>
        <v>1056.9100000000001</v>
      </c>
      <c r="G22" s="824">
        <f>+'q38'!G22</f>
        <v>1085.78</v>
      </c>
      <c r="H22" s="824">
        <f>+'q38'!H22</f>
        <v>1126.5999999999999</v>
      </c>
      <c r="I22" s="824">
        <f>+'q38'!I22</f>
        <v>1165.56</v>
      </c>
      <c r="J22" s="824">
        <f>+'q38'!J22</f>
        <v>1199.9100000000001</v>
      </c>
      <c r="K22" s="824">
        <f>+'q38'!K22</f>
        <v>1265.49</v>
      </c>
      <c r="L22" s="824">
        <f>+'q38'!L22</f>
        <v>1359.26</v>
      </c>
      <c r="M22" s="824">
        <f>+'q38'!M22</f>
        <v>1486.93</v>
      </c>
      <c r="P22" s="54"/>
      <c r="Q22" s="56" t="s">
        <v>53</v>
      </c>
      <c r="R22" s="121">
        <f>+$C$22*q17a!$C$22</f>
        <v>159525314.19</v>
      </c>
      <c r="S22" s="121">
        <f>+$D$22*q17a!$D$22</f>
        <v>160126729.62</v>
      </c>
      <c r="T22" s="121">
        <f>+$E$22*q17a!$E$22</f>
        <v>158416632</v>
      </c>
      <c r="U22" s="121">
        <f>+$F$22*q17a!$F$22</f>
        <v>159886174.07000002</v>
      </c>
      <c r="V22" s="121">
        <f>+$G$22*q17a!$G$22</f>
        <v>162581439.85999998</v>
      </c>
      <c r="W22" s="121">
        <f>+$H$22*q17a!$H$22</f>
        <v>165328550</v>
      </c>
      <c r="X22" s="121">
        <f>+$I$22*q17a!$I$22</f>
        <v>159221323.79999998</v>
      </c>
      <c r="Y22" s="121">
        <f>+$J$22*q17a!$J$22</f>
        <v>159169261.41</v>
      </c>
      <c r="Z22" s="121">
        <f>+$K$22*q17a!$K$22</f>
        <v>173660661.72</v>
      </c>
      <c r="AA22" s="121">
        <f>+$L$22*q17a!$L$22</f>
        <v>186914561.12</v>
      </c>
      <c r="AB22" s="121">
        <f>+$M$22*q17a!$M$22</f>
        <v>199522215.12</v>
      </c>
      <c r="AE22" s="54"/>
      <c r="AF22" s="56" t="s">
        <v>53</v>
      </c>
      <c r="AG22" s="121">
        <f>+$C$22*q17a!$C$22</f>
        <v>159525314.19</v>
      </c>
      <c r="AH22" s="121">
        <f>+$D$22*q17a!$D$22</f>
        <v>160126729.62</v>
      </c>
      <c r="AI22" s="121">
        <f>+$E$22*q17a!$E$22</f>
        <v>158416632</v>
      </c>
      <c r="AJ22" s="121">
        <f>+$F$22*q17a!$F$22</f>
        <v>159886174.07000002</v>
      </c>
      <c r="AK22" s="121">
        <f>+$G$22*q17a!$G$22</f>
        <v>162581439.85999998</v>
      </c>
      <c r="AL22" s="121">
        <f>+$H$22*q17a!$H$22</f>
        <v>165328550</v>
      </c>
      <c r="AM22" s="121">
        <f>+$I$22*q17a!$I$22</f>
        <v>159221323.79999998</v>
      </c>
      <c r="AN22" s="121">
        <f>+$J$22*q17a!$J$22</f>
        <v>159169261.41</v>
      </c>
      <c r="AO22" s="121">
        <f>+$K$22*q17a!$K$22</f>
        <v>173660661.72</v>
      </c>
      <c r="AP22" s="121">
        <f>+$L$22*q17a!$L$22</f>
        <v>186914561.12</v>
      </c>
      <c r="AQ22" s="121">
        <f>+$M$22*q17a!$M$22</f>
        <v>199522215.12</v>
      </c>
    </row>
    <row r="23" spans="1:43" s="121" customFormat="1" ht="16.5" customHeight="1">
      <c r="A23" s="54" t="str">
        <f>+'q38'!A23</f>
        <v>40-44 anos</v>
      </c>
      <c r="B23" s="52" t="str">
        <f>+'q38'!B23</f>
        <v>T</v>
      </c>
      <c r="C23" s="85">
        <f>+'q38'!C23</f>
        <v>1199.29</v>
      </c>
      <c r="D23" s="85">
        <f>+'q38'!D23</f>
        <v>1202.77</v>
      </c>
      <c r="E23" s="85">
        <f>+'q38'!E23</f>
        <v>1213.01</v>
      </c>
      <c r="F23" s="85">
        <f>+'q38'!F23</f>
        <v>1237.07</v>
      </c>
      <c r="G23" s="85">
        <f>+'q38'!G23</f>
        <v>1273.52</v>
      </c>
      <c r="H23" s="85">
        <f>+'q38'!H23</f>
        <v>1312.02</v>
      </c>
      <c r="I23" s="85">
        <f>+'q38'!I23</f>
        <v>1336.16</v>
      </c>
      <c r="J23" s="85">
        <f>+'q38'!J23</f>
        <v>1379.16</v>
      </c>
      <c r="K23" s="85">
        <f>+'q38'!K23</f>
        <v>1451.82</v>
      </c>
      <c r="L23" s="85">
        <f>+'q38'!L23</f>
        <v>1553.51</v>
      </c>
      <c r="M23" s="85">
        <f>+'q38'!M23</f>
        <v>1674.35</v>
      </c>
      <c r="P23" s="54" t="s">
        <v>59</v>
      </c>
      <c r="Q23" s="52" t="s">
        <v>44</v>
      </c>
      <c r="R23" s="121">
        <f>+$C$23*q17a!$C$23</f>
        <v>363504799</v>
      </c>
      <c r="S23" s="121">
        <f>+$D$23*q17a!$D$23</f>
        <v>382585500.99000001</v>
      </c>
      <c r="T23" s="121">
        <f>+$E$23*q17a!$E$23</f>
        <v>401678557.42000002</v>
      </c>
      <c r="U23" s="121">
        <f>+$F$23*q17a!$F$23</f>
        <v>423066806.37</v>
      </c>
      <c r="V23" s="121">
        <f>+$G$23*q17a!$G$23</f>
        <v>443240994.88</v>
      </c>
      <c r="W23" s="121">
        <f>+$H$23*q17a!$H$23</f>
        <v>452213933.39999998</v>
      </c>
      <c r="X23" s="121">
        <f>+$I$23*q17a!$I$23</f>
        <v>441695747.36000001</v>
      </c>
      <c r="Y23" s="121">
        <f>+$J$23*q17a!$J$23</f>
        <v>446807844.36000001</v>
      </c>
      <c r="Z23" s="121">
        <f>+$K$23*q17a!$K$23</f>
        <v>488328367.91999996</v>
      </c>
      <c r="AA23" s="121">
        <f>+$L$23*q17a!$L$23</f>
        <v>528979476.06</v>
      </c>
      <c r="AB23" s="121">
        <f>+$M$23*q17a!$M$23</f>
        <v>565571989.10000002</v>
      </c>
      <c r="AE23" s="54" t="s">
        <v>59</v>
      </c>
      <c r="AF23" s="52" t="s">
        <v>44</v>
      </c>
      <c r="AG23" s="121">
        <f>+$C$23*q17a!$C$23</f>
        <v>363504799</v>
      </c>
      <c r="AH23" s="121">
        <f>+$D$23*q17a!$D$23</f>
        <v>382585500.99000001</v>
      </c>
      <c r="AI23" s="121">
        <f>+$E$23*q17a!$E$23</f>
        <v>401678557.42000002</v>
      </c>
      <c r="AJ23" s="121">
        <f>+$F$23*q17a!$F$23</f>
        <v>423066806.37</v>
      </c>
      <c r="AK23" s="121">
        <f>+$G$23*q17a!$G$23</f>
        <v>443240994.88</v>
      </c>
      <c r="AL23" s="121">
        <f>+$H$23*q17a!$H$23</f>
        <v>452213933.39999998</v>
      </c>
      <c r="AM23" s="121">
        <f>+$I$23*q17a!$I$23</f>
        <v>441695747.36000001</v>
      </c>
      <c r="AN23" s="121">
        <f>+$J$23*q17a!$J$23</f>
        <v>446807844.36000001</v>
      </c>
      <c r="AO23" s="121">
        <f>+$K$23*q17a!$K$23</f>
        <v>488328367.91999996</v>
      </c>
      <c r="AP23" s="121">
        <f>+$L$23*q17a!$L$23</f>
        <v>528979476.06</v>
      </c>
      <c r="AQ23" s="121">
        <f>+$M$23*q17a!$M$23</f>
        <v>565571989.10000002</v>
      </c>
    </row>
    <row r="24" spans="1:43" s="121" customFormat="1" ht="12.75" customHeight="1">
      <c r="A24" s="55"/>
      <c r="B24" s="56" t="str">
        <f>+'q38'!B24</f>
        <v>H</v>
      </c>
      <c r="C24" s="824">
        <f>+'q38'!C24</f>
        <v>1322.59</v>
      </c>
      <c r="D24" s="824">
        <f>+'q38'!D24</f>
        <v>1324.11</v>
      </c>
      <c r="E24" s="824">
        <f>+'q38'!E24</f>
        <v>1328.89</v>
      </c>
      <c r="F24" s="824">
        <f>+'q38'!F24</f>
        <v>1345.48</v>
      </c>
      <c r="G24" s="824">
        <f>+'q38'!G24</f>
        <v>1383.56</v>
      </c>
      <c r="H24" s="824">
        <f>+'q38'!H24</f>
        <v>1423.21</v>
      </c>
      <c r="I24" s="824">
        <f>+'q38'!I24</f>
        <v>1438.53</v>
      </c>
      <c r="J24" s="824">
        <f>+'q38'!J24</f>
        <v>1488.14</v>
      </c>
      <c r="K24" s="824">
        <f>+'q38'!K24</f>
        <v>1570.45</v>
      </c>
      <c r="L24" s="824">
        <f>+'q38'!L24</f>
        <v>1675.27</v>
      </c>
      <c r="M24" s="824">
        <f>+'q38'!M24</f>
        <v>1797.68</v>
      </c>
      <c r="P24" s="55"/>
      <c r="Q24" s="56" t="s">
        <v>52</v>
      </c>
      <c r="R24" s="121">
        <f>+$C$24*q17a!$C$24</f>
        <v>212967409.56999999</v>
      </c>
      <c r="S24" s="121">
        <f>+$D$24*q17a!$D$24</f>
        <v>222197574.98999998</v>
      </c>
      <c r="T24" s="121">
        <f>+$E$24*q17a!$E$24</f>
        <v>231201611.09</v>
      </c>
      <c r="U24" s="121">
        <f>+$F$24*q17a!$F$24</f>
        <v>242127198.88</v>
      </c>
      <c r="V24" s="121">
        <f>+$G$24*q17a!$G$24</f>
        <v>253699246.51999998</v>
      </c>
      <c r="W24" s="121">
        <f>+$H$24*q17a!$H$24</f>
        <v>259769982.04000002</v>
      </c>
      <c r="X24" s="121">
        <f>+$I$24*q17a!$I$24</f>
        <v>252623130.35999998</v>
      </c>
      <c r="Y24" s="121">
        <f>+$J$24*q17a!$J$24</f>
        <v>255099935.08000001</v>
      </c>
      <c r="Z24" s="121">
        <f>+$K$24*q17a!$K$24</f>
        <v>279910726.19999999</v>
      </c>
      <c r="AA24" s="121">
        <f>+$L$24*q17a!$L$24</f>
        <v>304351326.70999998</v>
      </c>
      <c r="AB24" s="121">
        <f>+$M$24*q17a!$M$24</f>
        <v>327995704.40000004</v>
      </c>
      <c r="AE24" s="55"/>
      <c r="AF24" s="56" t="s">
        <v>52</v>
      </c>
      <c r="AG24" s="121">
        <f>+$C$24*q17a!$C$24</f>
        <v>212967409.56999999</v>
      </c>
      <c r="AH24" s="121">
        <f>+$D$24*q17a!$D$24</f>
        <v>222197574.98999998</v>
      </c>
      <c r="AI24" s="121">
        <f>+$E$24*q17a!$E$24</f>
        <v>231201611.09</v>
      </c>
      <c r="AJ24" s="121">
        <f>+$F$24*q17a!$F$24</f>
        <v>242127198.88</v>
      </c>
      <c r="AK24" s="121">
        <f>+$G$24*q17a!$G$24</f>
        <v>253699246.51999998</v>
      </c>
      <c r="AL24" s="121">
        <f>+$H$24*q17a!$H$24</f>
        <v>259769982.04000002</v>
      </c>
      <c r="AM24" s="121">
        <f>+$I$24*q17a!$I$24</f>
        <v>252623130.35999998</v>
      </c>
      <c r="AN24" s="121">
        <f>+$J$24*q17a!$J$24</f>
        <v>255099935.08000001</v>
      </c>
      <c r="AO24" s="121">
        <f>+$K$24*q17a!$K$24</f>
        <v>279910726.19999999</v>
      </c>
      <c r="AP24" s="121">
        <f>+$L$24*q17a!$L$24</f>
        <v>304351326.70999998</v>
      </c>
      <c r="AQ24" s="121">
        <f>+$M$24*q17a!$M$24</f>
        <v>327995704.40000004</v>
      </c>
    </row>
    <row r="25" spans="1:43" s="121" customFormat="1" ht="12.75" customHeight="1">
      <c r="A25" s="54"/>
      <c r="B25" s="56" t="str">
        <f>+'q38'!B25</f>
        <v>M</v>
      </c>
      <c r="C25" s="824">
        <f>+'q38'!C25</f>
        <v>1059.56</v>
      </c>
      <c r="D25" s="824">
        <f>+'q38'!D25</f>
        <v>1067.27</v>
      </c>
      <c r="E25" s="824">
        <f>+'q38'!E25</f>
        <v>1084.73</v>
      </c>
      <c r="F25" s="824">
        <f>+'q38'!F25</f>
        <v>1116.67</v>
      </c>
      <c r="G25" s="824">
        <f>+'q38'!G25</f>
        <v>1150.99</v>
      </c>
      <c r="H25" s="824">
        <f>+'q38'!H25</f>
        <v>1186.8499999999999</v>
      </c>
      <c r="I25" s="824">
        <f>+'q38'!I25</f>
        <v>1220.1400000000001</v>
      </c>
      <c r="J25" s="824">
        <f>+'q38'!J25</f>
        <v>1256.71</v>
      </c>
      <c r="K25" s="824">
        <f>+'q38'!K25</f>
        <v>1318.08</v>
      </c>
      <c r="L25" s="824">
        <f>+'q38'!L25</f>
        <v>1414.24</v>
      </c>
      <c r="M25" s="824">
        <f>+'q38'!M25</f>
        <v>1529.5</v>
      </c>
      <c r="P25" s="54"/>
      <c r="Q25" s="56" t="s">
        <v>53</v>
      </c>
      <c r="R25" s="121">
        <f>+$C$25*q17a!$C$25</f>
        <v>150539106.12</v>
      </c>
      <c r="S25" s="121">
        <f>+$D$25*q17a!$D$25</f>
        <v>160387201.06</v>
      </c>
      <c r="T25" s="121">
        <f>+$E$25*q17a!$E$25</f>
        <v>170477251.53</v>
      </c>
      <c r="U25" s="121">
        <f>+$F$25*q17a!$F$25</f>
        <v>180939623.45000002</v>
      </c>
      <c r="V25" s="121">
        <f>+$G$25*q17a!$G$25</f>
        <v>189541580.22999999</v>
      </c>
      <c r="W25" s="121">
        <f>+$H$25*q17a!$H$25</f>
        <v>192442980.09999999</v>
      </c>
      <c r="X25" s="121">
        <f>+$I$25*q17a!$I$25</f>
        <v>189071674.26000002</v>
      </c>
      <c r="Y25" s="121">
        <f>+$J$25*q17a!$J$25</f>
        <v>191709853.78999999</v>
      </c>
      <c r="Z25" s="121">
        <f>+$K$25*q17a!$K$25</f>
        <v>208414809.59999999</v>
      </c>
      <c r="AA25" s="121">
        <f>+$L$25*q17a!$L$25</f>
        <v>224627981.91999999</v>
      </c>
      <c r="AB25" s="121">
        <f>+$M$25*q17a!$M$25</f>
        <v>237578764.5</v>
      </c>
      <c r="AE25" s="54"/>
      <c r="AF25" s="56" t="s">
        <v>53</v>
      </c>
      <c r="AG25" s="121">
        <f>+$C$25*q17a!$C$25</f>
        <v>150539106.12</v>
      </c>
      <c r="AH25" s="121">
        <f>+$D$25*q17a!$D$25</f>
        <v>160387201.06</v>
      </c>
      <c r="AI25" s="121">
        <f>+$E$25*q17a!$E$25</f>
        <v>170477251.53</v>
      </c>
      <c r="AJ25" s="121">
        <f>+$F$25*q17a!$F$25</f>
        <v>180939623.45000002</v>
      </c>
      <c r="AK25" s="121">
        <f>+$G$25*q17a!$G$25</f>
        <v>189541580.22999999</v>
      </c>
      <c r="AL25" s="121">
        <f>+$H$25*q17a!$H$25</f>
        <v>192442980.09999999</v>
      </c>
      <c r="AM25" s="121">
        <f>+$I$25*q17a!$I$25</f>
        <v>189071674.26000002</v>
      </c>
      <c r="AN25" s="121">
        <f>+$J$25*q17a!$J$25</f>
        <v>191709853.78999999</v>
      </c>
      <c r="AO25" s="121">
        <f>+$K$25*q17a!$K$25</f>
        <v>208414809.59999999</v>
      </c>
      <c r="AP25" s="121">
        <f>+$L$25*q17a!$L$25</f>
        <v>224627981.91999999</v>
      </c>
      <c r="AQ25" s="121">
        <f>+$M$25*q17a!$M$25</f>
        <v>237578764.5</v>
      </c>
    </row>
    <row r="26" spans="1:43" s="121" customFormat="1" ht="16.5" customHeight="1">
      <c r="A26" s="54" t="str">
        <f>+'q38'!A26</f>
        <v>45-49 anos</v>
      </c>
      <c r="B26" s="52" t="str">
        <f>+'q38'!B26</f>
        <v>T</v>
      </c>
      <c r="C26" s="85">
        <f>+'q38'!C26</f>
        <v>1181.01</v>
      </c>
      <c r="D26" s="85">
        <f>+'q38'!D26</f>
        <v>1187.8800000000001</v>
      </c>
      <c r="E26" s="85">
        <f>+'q38'!E26</f>
        <v>1205.0899999999999</v>
      </c>
      <c r="F26" s="85">
        <f>+'q38'!F26</f>
        <v>1239.57</v>
      </c>
      <c r="G26" s="85">
        <f>+'q38'!G26</f>
        <v>1285.8</v>
      </c>
      <c r="H26" s="85">
        <f>+'q38'!H26</f>
        <v>1339.38</v>
      </c>
      <c r="I26" s="85">
        <f>+'q38'!I26</f>
        <v>1380.51</v>
      </c>
      <c r="J26" s="85">
        <f>+'q38'!J26</f>
        <v>1422.45</v>
      </c>
      <c r="K26" s="85">
        <f>+'q38'!K26</f>
        <v>1499.91</v>
      </c>
      <c r="L26" s="85">
        <f>+'q38'!L26</f>
        <v>1610.09</v>
      </c>
      <c r="M26" s="85">
        <f>+'q38'!M26</f>
        <v>1727.04</v>
      </c>
      <c r="P26" s="54" t="s">
        <v>60</v>
      </c>
      <c r="Q26" s="52" t="s">
        <v>44</v>
      </c>
      <c r="R26" s="121">
        <f>+$C$26*q17a!$C$26</f>
        <v>299592711.75</v>
      </c>
      <c r="S26" s="121">
        <f>+$D$26*q17a!$D$26</f>
        <v>313382937.96000004</v>
      </c>
      <c r="T26" s="121">
        <f>+$E$26*q17a!$E$26</f>
        <v>333829211.44</v>
      </c>
      <c r="U26" s="121">
        <f>+$F$26*q17a!$F$26</f>
        <v>359681068.62</v>
      </c>
      <c r="V26" s="121">
        <f>+$G$26*q17a!$G$26</f>
        <v>391326801</v>
      </c>
      <c r="W26" s="121">
        <f>+$H$26*q17a!$H$26</f>
        <v>416780232.12</v>
      </c>
      <c r="X26" s="121">
        <f>+$I$26*q17a!$I$26</f>
        <v>432051312.14999998</v>
      </c>
      <c r="Y26" s="121">
        <f>+$J$26*q17a!$J$26</f>
        <v>458890904.69999999</v>
      </c>
      <c r="Z26" s="121">
        <f>+$K$26*q17a!$K$26</f>
        <v>518910363.51000005</v>
      </c>
      <c r="AA26" s="121">
        <f>+$L$26*q17a!$L$26</f>
        <v>567745105.52999997</v>
      </c>
      <c r="AB26" s="121">
        <f>+$M$26*q17a!$M$26</f>
        <v>607726378.55999994</v>
      </c>
      <c r="AE26" s="54" t="s">
        <v>60</v>
      </c>
      <c r="AF26" s="52" t="s">
        <v>44</v>
      </c>
      <c r="AG26" s="121">
        <f>+$C$26*q17a!$C$26</f>
        <v>299592711.75</v>
      </c>
      <c r="AH26" s="121">
        <f>+$D$26*q17a!$D$26</f>
        <v>313382937.96000004</v>
      </c>
      <c r="AI26" s="121">
        <f>+$E$26*q17a!$E$26</f>
        <v>333829211.44</v>
      </c>
      <c r="AJ26" s="121">
        <f>+$F$26*q17a!$F$26</f>
        <v>359681068.62</v>
      </c>
      <c r="AK26" s="121">
        <f>+$G$26*q17a!$G$26</f>
        <v>391326801</v>
      </c>
      <c r="AL26" s="121">
        <f>+$H$26*q17a!$H$26</f>
        <v>416780232.12</v>
      </c>
      <c r="AM26" s="121">
        <f>+$I$26*q17a!$I$26</f>
        <v>432051312.14999998</v>
      </c>
      <c r="AN26" s="121">
        <f>+$J$26*q17a!$J$26</f>
        <v>458890904.69999999</v>
      </c>
      <c r="AO26" s="121">
        <f>+$K$26*q17a!$K$26</f>
        <v>518910363.51000005</v>
      </c>
      <c r="AP26" s="121">
        <f>+$L$26*q17a!$L$26</f>
        <v>567745105.52999997</v>
      </c>
      <c r="AQ26" s="121">
        <f>+$M$26*q17a!$M$26</f>
        <v>607726378.55999994</v>
      </c>
    </row>
    <row r="27" spans="1:43" s="121" customFormat="1" ht="12.75" customHeight="1">
      <c r="A27" s="55"/>
      <c r="B27" s="56" t="str">
        <f>+'q38'!B27</f>
        <v>H</v>
      </c>
      <c r="C27" s="824">
        <f>+'q38'!C27</f>
        <v>1332.05</v>
      </c>
      <c r="D27" s="824">
        <f>+'q38'!D27</f>
        <v>1338.47</v>
      </c>
      <c r="E27" s="824">
        <f>+'q38'!E27</f>
        <v>1349.5</v>
      </c>
      <c r="F27" s="824">
        <f>+'q38'!F27</f>
        <v>1378.91</v>
      </c>
      <c r="G27" s="824">
        <f>+'q38'!G27</f>
        <v>1423.62</v>
      </c>
      <c r="H27" s="824">
        <f>+'q38'!H27</f>
        <v>1479.48</v>
      </c>
      <c r="I27" s="824">
        <f>+'q38'!I27</f>
        <v>1515.45</v>
      </c>
      <c r="J27" s="824">
        <f>+'q38'!J27</f>
        <v>1559.28</v>
      </c>
      <c r="K27" s="824">
        <f>+'q38'!K27</f>
        <v>1643.32</v>
      </c>
      <c r="L27" s="824">
        <f>+'q38'!L27</f>
        <v>1758.57</v>
      </c>
      <c r="M27" s="824">
        <f>+'q38'!M27</f>
        <v>1878.49</v>
      </c>
      <c r="P27" s="55"/>
      <c r="Q27" s="56" t="s">
        <v>52</v>
      </c>
      <c r="R27" s="121">
        <f>+$C$27*q17a!$C$27</f>
        <v>181790191.69999999</v>
      </c>
      <c r="S27" s="121">
        <f>+$D$27*q17a!$D$27</f>
        <v>188613176.99000001</v>
      </c>
      <c r="T27" s="121">
        <f>+$E$27*q17a!$E$27</f>
        <v>199253675</v>
      </c>
      <c r="U27" s="121">
        <f>+$F$27*q17a!$F$27</f>
        <v>213932370.86000001</v>
      </c>
      <c r="V27" s="121">
        <f>+$G$27*q17a!$G$27</f>
        <v>231761065.13999999</v>
      </c>
      <c r="W27" s="121">
        <f>+$H$27*q17a!$H$27</f>
        <v>246330461.03999999</v>
      </c>
      <c r="X27" s="121">
        <f>+$I$27*q17a!$I$27</f>
        <v>253757556.15000001</v>
      </c>
      <c r="Y27" s="121">
        <f>+$J$27*q17a!$J$27</f>
        <v>266448207.12</v>
      </c>
      <c r="Z27" s="121">
        <f>+$K$27*q17a!$K$27</f>
        <v>300030792.31999999</v>
      </c>
      <c r="AA27" s="121">
        <f>+$L$27*q17a!$L$27</f>
        <v>327275152.70999998</v>
      </c>
      <c r="AB27" s="121">
        <f>+$M$27*q17a!$M$27</f>
        <v>350212526.17000002</v>
      </c>
      <c r="AE27" s="55"/>
      <c r="AF27" s="56" t="s">
        <v>52</v>
      </c>
      <c r="AG27" s="121">
        <f>+$C$27*q17a!$C$27</f>
        <v>181790191.69999999</v>
      </c>
      <c r="AH27" s="121">
        <f>+$D$27*q17a!$D$27</f>
        <v>188613176.99000001</v>
      </c>
      <c r="AI27" s="121">
        <f>+$E$27*q17a!$E$27</f>
        <v>199253675</v>
      </c>
      <c r="AJ27" s="121">
        <f>+$F$27*q17a!$F$27</f>
        <v>213932370.86000001</v>
      </c>
      <c r="AK27" s="121">
        <f>+$G$27*q17a!$G$27</f>
        <v>231761065.13999999</v>
      </c>
      <c r="AL27" s="121">
        <f>+$H$27*q17a!$H$27</f>
        <v>246330461.03999999</v>
      </c>
      <c r="AM27" s="121">
        <f>+$I$27*q17a!$I$27</f>
        <v>253757556.15000001</v>
      </c>
      <c r="AN27" s="121">
        <f>+$J$27*q17a!$J$27</f>
        <v>266448207.12</v>
      </c>
      <c r="AO27" s="121">
        <f>+$K$27*q17a!$K$27</f>
        <v>300030792.31999999</v>
      </c>
      <c r="AP27" s="121">
        <f>+$L$27*q17a!$L$27</f>
        <v>327275152.70999998</v>
      </c>
      <c r="AQ27" s="121">
        <f>+$M$27*q17a!$M$27</f>
        <v>350212526.17000002</v>
      </c>
    </row>
    <row r="28" spans="1:43" s="121" customFormat="1" ht="12.75" customHeight="1">
      <c r="A28" s="54"/>
      <c r="B28" s="56" t="str">
        <f>+'q38'!B28</f>
        <v>M</v>
      </c>
      <c r="C28" s="824">
        <f>+'q38'!C28</f>
        <v>1005.13</v>
      </c>
      <c r="D28" s="824">
        <f>+'q38'!D28</f>
        <v>1015.23</v>
      </c>
      <c r="E28" s="824">
        <f>+'q38'!E28</f>
        <v>1040.28</v>
      </c>
      <c r="F28" s="824">
        <f>+'q38'!F28</f>
        <v>1079.45</v>
      </c>
      <c r="G28" s="824">
        <f>+'q38'!G28</f>
        <v>1127.3</v>
      </c>
      <c r="H28" s="824">
        <f>+'q38'!H28</f>
        <v>1178.1400000000001</v>
      </c>
      <c r="I28" s="824">
        <f>+'q38'!I28</f>
        <v>1225.22</v>
      </c>
      <c r="J28" s="824">
        <f>+'q38'!J28</f>
        <v>1268.3399999999999</v>
      </c>
      <c r="K28" s="824">
        <f>+'q38'!K28</f>
        <v>1339.65</v>
      </c>
      <c r="L28" s="824">
        <f>+'q38'!L28</f>
        <v>1444.15</v>
      </c>
      <c r="M28" s="824">
        <f>+'q38'!M28</f>
        <v>1556.4</v>
      </c>
      <c r="P28" s="54"/>
      <c r="Q28" s="56" t="s">
        <v>53</v>
      </c>
      <c r="R28" s="121">
        <f>+$C$28*q17a!$C$28</f>
        <v>117802241.13</v>
      </c>
      <c r="S28" s="121">
        <f>+$D$28*q17a!$D$28</f>
        <v>124771767</v>
      </c>
      <c r="T28" s="121">
        <f>+$E$28*q17a!$E$28</f>
        <v>134576862.47999999</v>
      </c>
      <c r="U28" s="121">
        <f>+$F$28*q17a!$F$28</f>
        <v>145747339</v>
      </c>
      <c r="V28" s="121">
        <f>+$G$28*q17a!$G$28</f>
        <v>159567060.40000001</v>
      </c>
      <c r="W28" s="121">
        <f>+$H$28*q17a!$H$28</f>
        <v>170448582.64000002</v>
      </c>
      <c r="X28" s="121">
        <f>+$I$28*q17a!$I$28</f>
        <v>178291563.96000001</v>
      </c>
      <c r="Y28" s="121">
        <f>+$J$28*q17a!$J$28</f>
        <v>192441423.17999998</v>
      </c>
      <c r="Z28" s="121">
        <f>+$K$28*q17a!$K$28</f>
        <v>218878715.25</v>
      </c>
      <c r="AA28" s="121">
        <f>+$L$28*q17a!$L$28</f>
        <v>240471193.10000002</v>
      </c>
      <c r="AB28" s="121">
        <f>+$M$28*q17a!$M$28</f>
        <v>257515718.40000001</v>
      </c>
      <c r="AE28" s="54"/>
      <c r="AF28" s="56" t="s">
        <v>53</v>
      </c>
      <c r="AG28" s="121">
        <f>+$C$28*q17a!$C$28</f>
        <v>117802241.13</v>
      </c>
      <c r="AH28" s="121">
        <f>+$D$28*q17a!$D$28</f>
        <v>124771767</v>
      </c>
      <c r="AI28" s="121">
        <f>+$E$28*q17a!$E$28</f>
        <v>134576862.47999999</v>
      </c>
      <c r="AJ28" s="121">
        <f>+$F$28*q17a!$F$28</f>
        <v>145747339</v>
      </c>
      <c r="AK28" s="121">
        <f>+$G$28*q17a!$G$28</f>
        <v>159567060.40000001</v>
      </c>
      <c r="AL28" s="121">
        <f>+$H$28*q17a!$H$28</f>
        <v>170448582.64000002</v>
      </c>
      <c r="AM28" s="121">
        <f>+$I$28*q17a!$I$28</f>
        <v>178291563.96000001</v>
      </c>
      <c r="AN28" s="121">
        <f>+$J$28*q17a!$J$28</f>
        <v>192441423.17999998</v>
      </c>
      <c r="AO28" s="121">
        <f>+$K$28*q17a!$K$28</f>
        <v>218878715.25</v>
      </c>
      <c r="AP28" s="121">
        <f>+$L$28*q17a!$L$28</f>
        <v>240471193.10000002</v>
      </c>
      <c r="AQ28" s="121">
        <f>+$M$28*q17a!$M$28</f>
        <v>257515718.40000001</v>
      </c>
    </row>
    <row r="29" spans="1:43" s="121" customFormat="1" ht="16.5" customHeight="1">
      <c r="A29" s="54" t="str">
        <f>+'q38'!A29</f>
        <v>50-54 anos</v>
      </c>
      <c r="B29" s="52" t="str">
        <f>+'q38'!B29</f>
        <v>T</v>
      </c>
      <c r="C29" s="85">
        <f>+'q38'!C29</f>
        <v>1190.3399999999999</v>
      </c>
      <c r="D29" s="85">
        <f>+'q38'!D29</f>
        <v>1189.6400000000001</v>
      </c>
      <c r="E29" s="85">
        <f>+'q38'!E29</f>
        <v>1198.54</v>
      </c>
      <c r="F29" s="85">
        <f>+'q38'!F29</f>
        <v>1218.03</v>
      </c>
      <c r="G29" s="85">
        <f>+'q38'!G29</f>
        <v>1252.93</v>
      </c>
      <c r="H29" s="85">
        <f>+'q38'!H29</f>
        <v>1283.5999999999999</v>
      </c>
      <c r="I29" s="85">
        <f>+'q38'!I29</f>
        <v>1324.32</v>
      </c>
      <c r="J29" s="85">
        <f>+'q38'!J29</f>
        <v>1369.01</v>
      </c>
      <c r="K29" s="85">
        <f>+'q38'!K29</f>
        <v>1457.11</v>
      </c>
      <c r="L29" s="85">
        <f>+'q38'!L29</f>
        <v>1577.03</v>
      </c>
      <c r="M29" s="85">
        <f>+'q38'!M29</f>
        <v>1717.38</v>
      </c>
      <c r="P29" s="54" t="s">
        <v>61</v>
      </c>
      <c r="Q29" s="52" t="s">
        <v>44</v>
      </c>
      <c r="R29" s="121">
        <f>+$C$29*q17a!$C$29</f>
        <v>243985180.13999999</v>
      </c>
      <c r="S29" s="121">
        <f>+$D$29*q17a!$D$29</f>
        <v>256608916.92000002</v>
      </c>
      <c r="T29" s="121">
        <f>+$E$29*q17a!$E$29</f>
        <v>274380563.65999997</v>
      </c>
      <c r="U29" s="121">
        <f>+$F$29*q17a!$F$29</f>
        <v>292564715.84999996</v>
      </c>
      <c r="V29" s="121">
        <f>+$G$29*q17a!$G$29</f>
        <v>315495291.58000004</v>
      </c>
      <c r="W29" s="121">
        <f>+$H$29*q17a!$H$29</f>
        <v>326238492.39999998</v>
      </c>
      <c r="X29" s="121">
        <f>+$I$29*q17a!$I$29</f>
        <v>334218638.39999998</v>
      </c>
      <c r="Y29" s="121">
        <f>+$J$29*q17a!$J$29</f>
        <v>359419885.39999998</v>
      </c>
      <c r="Z29" s="121">
        <f>+$K$29*q17a!$K$29</f>
        <v>413897923.94</v>
      </c>
      <c r="AA29" s="121">
        <f>+$L$29*q17a!$L$29</f>
        <v>468207590.75999999</v>
      </c>
      <c r="AB29" s="121">
        <f>+$M$29*q17a!$M$29</f>
        <v>524596046.94000006</v>
      </c>
      <c r="AE29" s="54" t="s">
        <v>61</v>
      </c>
      <c r="AF29" s="52" t="s">
        <v>44</v>
      </c>
      <c r="AG29" s="121">
        <f>+$C$29*q17a!$C$29</f>
        <v>243985180.13999999</v>
      </c>
      <c r="AH29" s="121">
        <f>+$D$29*q17a!$D$29</f>
        <v>256608916.92000002</v>
      </c>
      <c r="AI29" s="121">
        <f>+$E$29*q17a!$E$29</f>
        <v>274380563.65999997</v>
      </c>
      <c r="AJ29" s="121">
        <f>+$F$29*q17a!$F$29</f>
        <v>292564715.84999996</v>
      </c>
      <c r="AK29" s="121">
        <f>+$G$29*q17a!$G$29</f>
        <v>315495291.58000004</v>
      </c>
      <c r="AL29" s="121">
        <f>+$H$29*q17a!$H$29</f>
        <v>326238492.39999998</v>
      </c>
      <c r="AM29" s="121">
        <f>+$I$29*q17a!$I$29</f>
        <v>334218638.39999998</v>
      </c>
      <c r="AN29" s="121">
        <f>+$J$29*q17a!$J$29</f>
        <v>359419885.39999998</v>
      </c>
      <c r="AO29" s="121">
        <f>+$K$29*q17a!$K$29</f>
        <v>413897923.94</v>
      </c>
      <c r="AP29" s="121">
        <f>+$L$29*q17a!$L$29</f>
        <v>468207590.75999999</v>
      </c>
      <c r="AQ29" s="121">
        <f>+$M$29*q17a!$M$29</f>
        <v>524596046.94000006</v>
      </c>
    </row>
    <row r="30" spans="1:43" s="121" customFormat="1" ht="12.75" customHeight="1">
      <c r="A30" s="55"/>
      <c r="B30" s="56" t="str">
        <f>+'q38'!B30</f>
        <v>H</v>
      </c>
      <c r="C30" s="824">
        <f>+'q38'!C30</f>
        <v>1362.31</v>
      </c>
      <c r="D30" s="824">
        <f>+'q38'!D30</f>
        <v>1359.58</v>
      </c>
      <c r="E30" s="824">
        <f>+'q38'!E30</f>
        <v>1361.4</v>
      </c>
      <c r="F30" s="824">
        <f>+'q38'!F30</f>
        <v>1373.4</v>
      </c>
      <c r="G30" s="824">
        <f>+'q38'!G30</f>
        <v>1404.54</v>
      </c>
      <c r="H30" s="824">
        <f>+'q38'!H30</f>
        <v>1430.18</v>
      </c>
      <c r="I30" s="824">
        <f>+'q38'!I30</f>
        <v>1468.57</v>
      </c>
      <c r="J30" s="824">
        <f>+'q38'!J30</f>
        <v>1515.09</v>
      </c>
      <c r="K30" s="824">
        <f>+'q38'!K30</f>
        <v>1615.19</v>
      </c>
      <c r="L30" s="824">
        <f>+'q38'!L30</f>
        <v>1743.83</v>
      </c>
      <c r="M30" s="824">
        <f>+'q38'!M30</f>
        <v>1890.32</v>
      </c>
      <c r="P30" s="55"/>
      <c r="Q30" s="56" t="s">
        <v>52</v>
      </c>
      <c r="R30" s="121">
        <f>+$C$30*q17a!$C$30</f>
        <v>155073109.60999998</v>
      </c>
      <c r="S30" s="121">
        <f>+$D$30*q17a!$D$30</f>
        <v>161927337.57999998</v>
      </c>
      <c r="T30" s="121">
        <f>+$E$30*q17a!$E$30</f>
        <v>171520063.20000002</v>
      </c>
      <c r="U30" s="121">
        <f>+$F$30*q17a!$F$30</f>
        <v>181791464.40000001</v>
      </c>
      <c r="V30" s="121">
        <f>+$G$30*q17a!$G$30</f>
        <v>194757730.01999998</v>
      </c>
      <c r="W30" s="121">
        <f>+$H$30*q17a!$H$30</f>
        <v>199402846.5</v>
      </c>
      <c r="X30" s="121">
        <f>+$I$30*q17a!$I$30</f>
        <v>203540864.85999998</v>
      </c>
      <c r="Y30" s="121">
        <f>+$J$30*q17a!$J$30</f>
        <v>215613972.98999998</v>
      </c>
      <c r="Z30" s="121">
        <f>+$K$30*q17a!$K$30</f>
        <v>247367963.69</v>
      </c>
      <c r="AA30" s="121">
        <f>+$L$30*q17a!$L$30</f>
        <v>277938600.71999997</v>
      </c>
      <c r="AB30" s="121">
        <f>+$M$30*q17a!$M$30</f>
        <v>309806435.12</v>
      </c>
      <c r="AE30" s="55"/>
      <c r="AF30" s="56" t="s">
        <v>52</v>
      </c>
      <c r="AG30" s="121">
        <f>+$C$30*q17a!$C$30</f>
        <v>155073109.60999998</v>
      </c>
      <c r="AH30" s="121">
        <f>+$D$30*q17a!$D$30</f>
        <v>161927337.57999998</v>
      </c>
      <c r="AI30" s="121">
        <f>+$E$30*q17a!$E$30</f>
        <v>171520063.20000002</v>
      </c>
      <c r="AJ30" s="121">
        <f>+$F$30*q17a!$F$30</f>
        <v>181791464.40000001</v>
      </c>
      <c r="AK30" s="121">
        <f>+$G$30*q17a!$G$30</f>
        <v>194757730.01999998</v>
      </c>
      <c r="AL30" s="121">
        <f>+$H$30*q17a!$H$30</f>
        <v>199402846.5</v>
      </c>
      <c r="AM30" s="121">
        <f>+$I$30*q17a!$I$30</f>
        <v>203540864.85999998</v>
      </c>
      <c r="AN30" s="121">
        <f>+$J$30*q17a!$J$30</f>
        <v>215613972.98999998</v>
      </c>
      <c r="AO30" s="121">
        <f>+$K$30*q17a!$K$30</f>
        <v>247367963.69</v>
      </c>
      <c r="AP30" s="121">
        <f>+$L$30*q17a!$L$30</f>
        <v>277938600.71999997</v>
      </c>
      <c r="AQ30" s="121">
        <f>+$M$30*q17a!$M$30</f>
        <v>309806435.12</v>
      </c>
    </row>
    <row r="31" spans="1:43" s="121" customFormat="1" ht="12.75" customHeight="1">
      <c r="A31" s="54"/>
      <c r="B31" s="56" t="str">
        <f>+'q38'!B31</f>
        <v>M</v>
      </c>
      <c r="C31" s="824">
        <f>+'q38'!C31</f>
        <v>975.55</v>
      </c>
      <c r="D31" s="824">
        <f>+'q38'!D31</f>
        <v>980.12</v>
      </c>
      <c r="E31" s="824">
        <f>+'q38'!E31</f>
        <v>999.21</v>
      </c>
      <c r="F31" s="824">
        <f>+'q38'!F31</f>
        <v>1027.31</v>
      </c>
      <c r="G31" s="824">
        <f>+'q38'!G31</f>
        <v>1067.1300000000001</v>
      </c>
      <c r="H31" s="824">
        <f>+'q38'!H31</f>
        <v>1105.46</v>
      </c>
      <c r="I31" s="824">
        <f>+'q38'!I31</f>
        <v>1148.5999999999999</v>
      </c>
      <c r="J31" s="824">
        <f>+'q38'!J31</f>
        <v>1196.0999999999999</v>
      </c>
      <c r="K31" s="824">
        <f>+'q38'!K31</f>
        <v>1272.17</v>
      </c>
      <c r="L31" s="824">
        <f>+'q38'!L31</f>
        <v>1383.68</v>
      </c>
      <c r="M31" s="824">
        <f>+'q38'!M31</f>
        <v>1517.17</v>
      </c>
      <c r="P31" s="54"/>
      <c r="Q31" s="56" t="s">
        <v>53</v>
      </c>
      <c r="R31" s="121">
        <f>+$C$31*q17a!$C$31</f>
        <v>88911627</v>
      </c>
      <c r="S31" s="121">
        <f>+$D$31*q17a!$D$31</f>
        <v>94681552.239999995</v>
      </c>
      <c r="T31" s="121">
        <f>+$E$31*q17a!$E$31</f>
        <v>102859676.61</v>
      </c>
      <c r="U31" s="121">
        <f>+$F$31*q17a!$F$31</f>
        <v>110773809.98999999</v>
      </c>
      <c r="V31" s="121">
        <f>+$G$31*q17a!$G$31</f>
        <v>120738289.59000002</v>
      </c>
      <c r="W31" s="121">
        <f>+$H$31*q17a!$H$31</f>
        <v>126833847.64</v>
      </c>
      <c r="X31" s="121">
        <f>+$I$31*q17a!$I$31</f>
        <v>130678519.19999999</v>
      </c>
      <c r="Y31" s="121">
        <f>+$J$31*q17a!$J$31</f>
        <v>143805906.89999998</v>
      </c>
      <c r="Z31" s="121">
        <f>+$K$31*q17a!$K$31</f>
        <v>166530869.51000002</v>
      </c>
      <c r="AA31" s="121">
        <f>+$L$31*q17a!$L$31</f>
        <v>190267069.44</v>
      </c>
      <c r="AB31" s="121">
        <f>+$M$31*q17a!$M$31</f>
        <v>214788791.24000001</v>
      </c>
      <c r="AE31" s="54"/>
      <c r="AF31" s="56" t="s">
        <v>53</v>
      </c>
      <c r="AG31" s="121">
        <f>+$C$31*q17a!$C$31</f>
        <v>88911627</v>
      </c>
      <c r="AH31" s="121">
        <f>+$D$31*q17a!$D$31</f>
        <v>94681552.239999995</v>
      </c>
      <c r="AI31" s="121">
        <f>+$E$31*q17a!$E$31</f>
        <v>102859676.61</v>
      </c>
      <c r="AJ31" s="121">
        <f>+$F$31*q17a!$F$31</f>
        <v>110773809.98999999</v>
      </c>
      <c r="AK31" s="121">
        <f>+$G$31*q17a!$G$31</f>
        <v>120738289.59000002</v>
      </c>
      <c r="AL31" s="121">
        <f>+$H$31*q17a!$H$31</f>
        <v>126833847.64</v>
      </c>
      <c r="AM31" s="121">
        <f>+$I$31*q17a!$I$31</f>
        <v>130678519.19999999</v>
      </c>
      <c r="AN31" s="121">
        <f>+$J$31*q17a!$J$31</f>
        <v>143805906.89999998</v>
      </c>
      <c r="AO31" s="121">
        <f>+$K$31*q17a!$K$31</f>
        <v>166530869.51000002</v>
      </c>
      <c r="AP31" s="121">
        <f>+$L$31*q17a!$L$31</f>
        <v>190267069.44</v>
      </c>
      <c r="AQ31" s="121">
        <f>+$M$31*q17a!$M$31</f>
        <v>214788791.24000001</v>
      </c>
    </row>
    <row r="32" spans="1:43" s="121" customFormat="1" ht="16.5" customHeight="1">
      <c r="A32" s="54" t="str">
        <f>+'q38'!A32</f>
        <v>55-59 anos</v>
      </c>
      <c r="B32" s="52" t="str">
        <f>+'q38'!B32</f>
        <v>T</v>
      </c>
      <c r="C32" s="85">
        <f>+'q38'!C32</f>
        <v>1243.7</v>
      </c>
      <c r="D32" s="85">
        <f>+'q38'!D32</f>
        <v>1231.83</v>
      </c>
      <c r="E32" s="85">
        <f>+'q38'!E32</f>
        <v>1222.26</v>
      </c>
      <c r="F32" s="85">
        <f>+'q38'!F32</f>
        <v>1222.04</v>
      </c>
      <c r="G32" s="85">
        <f>+'q38'!G32</f>
        <v>1243.21</v>
      </c>
      <c r="H32" s="85">
        <f>+'q38'!H32</f>
        <v>1254.19</v>
      </c>
      <c r="I32" s="85">
        <f>+'q38'!I32</f>
        <v>1291.3399999999999</v>
      </c>
      <c r="J32" s="85">
        <f>+'q38'!J32</f>
        <v>1322.84</v>
      </c>
      <c r="K32" s="85">
        <f>+'q38'!K32</f>
        <v>1391.44</v>
      </c>
      <c r="L32" s="85">
        <f>+'q38'!L32</f>
        <v>1501.07</v>
      </c>
      <c r="M32" s="85">
        <f>+'q38'!M32</f>
        <v>1615.56</v>
      </c>
      <c r="P32" s="54" t="s">
        <v>62</v>
      </c>
      <c r="Q32" s="52" t="s">
        <v>44</v>
      </c>
      <c r="R32" s="121">
        <f>+$C$32*q17a!$C$32</f>
        <v>180611357.70000002</v>
      </c>
      <c r="S32" s="121">
        <f>+$D$32*q17a!$D$32</f>
        <v>191164002.20999998</v>
      </c>
      <c r="T32" s="121">
        <f>+$E$32*q17a!$E$32</f>
        <v>201917352</v>
      </c>
      <c r="U32" s="121">
        <f>+$F$32*q17a!$F$32</f>
        <v>216752012.75999999</v>
      </c>
      <c r="V32" s="121">
        <f>+$G$32*q17a!$G$32</f>
        <v>234915718.39000002</v>
      </c>
      <c r="W32" s="121">
        <f>+$H$32*q17a!$H$32</f>
        <v>243595052.75</v>
      </c>
      <c r="X32" s="121">
        <f>+$I$32*q17a!$I$32</f>
        <v>253032907.63999999</v>
      </c>
      <c r="Y32" s="121">
        <f>+$J$32*q17a!$J$32</f>
        <v>270578984.95999998</v>
      </c>
      <c r="Z32" s="121">
        <f>+$K$32*q17a!$K$32</f>
        <v>307374661.75999999</v>
      </c>
      <c r="AA32" s="121">
        <f>+$L$32*q17a!$L$32</f>
        <v>347319077.66999996</v>
      </c>
      <c r="AB32" s="121">
        <f>+$M$32*q17a!$M$32</f>
        <v>381962004.12</v>
      </c>
      <c r="AE32" s="54" t="s">
        <v>62</v>
      </c>
      <c r="AF32" s="52" t="s">
        <v>44</v>
      </c>
      <c r="AG32" s="121">
        <f>+$C$32*q17a!$C$32</f>
        <v>180611357.70000002</v>
      </c>
      <c r="AH32" s="121">
        <f>+$D$32*q17a!$D$32</f>
        <v>191164002.20999998</v>
      </c>
      <c r="AI32" s="121">
        <f>+$E$32*q17a!$E$32</f>
        <v>201917352</v>
      </c>
      <c r="AJ32" s="121">
        <f>+$F$32*q17a!$F$32</f>
        <v>216752012.75999999</v>
      </c>
      <c r="AK32" s="121">
        <f>+$G$32*q17a!$G$32</f>
        <v>234915718.39000002</v>
      </c>
      <c r="AL32" s="121">
        <f>+$H$32*q17a!$H$32</f>
        <v>243595052.75</v>
      </c>
      <c r="AM32" s="121">
        <f>+$I$32*q17a!$I$32</f>
        <v>253032907.63999999</v>
      </c>
      <c r="AN32" s="121">
        <f>+$J$32*q17a!$J$32</f>
        <v>270578984.95999998</v>
      </c>
      <c r="AO32" s="121">
        <f>+$K$32*q17a!$K$32</f>
        <v>307374661.75999999</v>
      </c>
      <c r="AP32" s="121">
        <f>+$L$32*q17a!$L$32</f>
        <v>347319077.66999996</v>
      </c>
      <c r="AQ32" s="121">
        <f>+$M$32*q17a!$M$32</f>
        <v>381962004.12</v>
      </c>
    </row>
    <row r="33" spans="1:54" s="121" customFormat="1" ht="12.75" customHeight="1">
      <c r="A33" s="55"/>
      <c r="B33" s="56" t="str">
        <f>+'q38'!B33</f>
        <v>H</v>
      </c>
      <c r="C33" s="824">
        <f>+'q38'!C33</f>
        <v>1421.03</v>
      </c>
      <c r="D33" s="824">
        <f>+'q38'!D33</f>
        <v>1403.84</v>
      </c>
      <c r="E33" s="824">
        <f>+'q38'!E33</f>
        <v>1388.66</v>
      </c>
      <c r="F33" s="824">
        <f>+'q38'!F33</f>
        <v>1378.05</v>
      </c>
      <c r="G33" s="824">
        <f>+'q38'!G33</f>
        <v>1397.96</v>
      </c>
      <c r="H33" s="824">
        <f>+'q38'!H33</f>
        <v>1408.16</v>
      </c>
      <c r="I33" s="824">
        <f>+'q38'!I33</f>
        <v>1443.49</v>
      </c>
      <c r="J33" s="824">
        <f>+'q38'!J33</f>
        <v>1472.73</v>
      </c>
      <c r="K33" s="824">
        <f>+'q38'!K33</f>
        <v>1554.15</v>
      </c>
      <c r="L33" s="824">
        <f>+'q38'!L33</f>
        <v>1671.26</v>
      </c>
      <c r="M33" s="824">
        <f>+'q38'!M33</f>
        <v>1790.01</v>
      </c>
      <c r="P33" s="55"/>
      <c r="Q33" s="56" t="s">
        <v>52</v>
      </c>
      <c r="R33" s="121">
        <f>+$C$33*q17a!$C$33</f>
        <v>119971878.78</v>
      </c>
      <c r="S33" s="121">
        <f>+$D$33*q17a!$D$33</f>
        <v>125353085.11999999</v>
      </c>
      <c r="T33" s="121">
        <f>+$E$33*q17a!$E$33</f>
        <v>131132552.46000001</v>
      </c>
      <c r="U33" s="121">
        <f>+$F$33*q17a!$F$33</f>
        <v>140310294.90000001</v>
      </c>
      <c r="V33" s="121">
        <f>+$G$33*q17a!$G$33</f>
        <v>151187976.03999999</v>
      </c>
      <c r="W33" s="121">
        <f>+$H$33*q17a!$H$33</f>
        <v>156043842.24000001</v>
      </c>
      <c r="X33" s="121">
        <f>+$I$33*q17a!$I$33</f>
        <v>161089153.53</v>
      </c>
      <c r="Y33" s="121">
        <f>+$J$33*q17a!$J$33</f>
        <v>169503859.34999999</v>
      </c>
      <c r="Z33" s="121">
        <f>+$K$33*q17a!$K$33</f>
        <v>190806103.80000001</v>
      </c>
      <c r="AA33" s="121">
        <f>+$L$33*q17a!$L$33</f>
        <v>214327396.18000001</v>
      </c>
      <c r="AB33" s="121">
        <f>+$M$33*q17a!$M$33</f>
        <v>233628525.18000001</v>
      </c>
      <c r="AE33" s="55"/>
      <c r="AF33" s="56" t="s">
        <v>52</v>
      </c>
      <c r="AG33" s="121">
        <f>+$C$33*q17a!$C$33</f>
        <v>119971878.78</v>
      </c>
      <c r="AH33" s="121">
        <f>+$D$33*q17a!$D$33</f>
        <v>125353085.11999999</v>
      </c>
      <c r="AI33" s="121">
        <f>+$E$33*q17a!$E$33</f>
        <v>131132552.46000001</v>
      </c>
      <c r="AJ33" s="121">
        <f>+$F$33*q17a!$F$33</f>
        <v>140310294.90000001</v>
      </c>
      <c r="AK33" s="121">
        <f>+$G$33*q17a!$G$33</f>
        <v>151187976.03999999</v>
      </c>
      <c r="AL33" s="121">
        <f>+$H$33*q17a!$H$33</f>
        <v>156043842.24000001</v>
      </c>
      <c r="AM33" s="121">
        <f>+$I$33*q17a!$I$33</f>
        <v>161089153.53</v>
      </c>
      <c r="AN33" s="121">
        <f>+$J$33*q17a!$J$33</f>
        <v>169503859.34999999</v>
      </c>
      <c r="AO33" s="121">
        <f>+$K$33*q17a!$K$33</f>
        <v>190806103.80000001</v>
      </c>
      <c r="AP33" s="121">
        <f>+$L$33*q17a!$L$33</f>
        <v>214327396.18000001</v>
      </c>
      <c r="AQ33" s="121">
        <f>+$M$33*q17a!$M$33</f>
        <v>233628525.18000001</v>
      </c>
    </row>
    <row r="34" spans="1:54" s="121" customFormat="1" ht="12.75" customHeight="1">
      <c r="A34" s="54"/>
      <c r="B34" s="56" t="str">
        <f>+'q38'!B34</f>
        <v>M</v>
      </c>
      <c r="C34" s="824">
        <f>+'q38'!C34</f>
        <v>997.43</v>
      </c>
      <c r="D34" s="824">
        <f>+'q38'!D34</f>
        <v>998.73</v>
      </c>
      <c r="E34" s="824">
        <f>+'q38'!E34</f>
        <v>1000.23</v>
      </c>
      <c r="F34" s="824">
        <f>+'q38'!F34</f>
        <v>1011.79</v>
      </c>
      <c r="G34" s="824">
        <f>+'q38'!G34</f>
        <v>1036.0999999999999</v>
      </c>
      <c r="H34" s="824">
        <f>+'q38'!H34</f>
        <v>1049.6400000000001</v>
      </c>
      <c r="I34" s="824">
        <f>+'q38'!I34</f>
        <v>1090.05</v>
      </c>
      <c r="J34" s="824">
        <f>+'q38'!J34</f>
        <v>1129.96</v>
      </c>
      <c r="K34" s="824">
        <f>+'q38'!K34</f>
        <v>1187.8900000000001</v>
      </c>
      <c r="L34" s="824">
        <f>+'q38'!L34</f>
        <v>1289.45</v>
      </c>
      <c r="M34" s="824">
        <f>+'q38'!M34</f>
        <v>1400.56</v>
      </c>
      <c r="P34" s="54"/>
      <c r="Q34" s="56" t="s">
        <v>53</v>
      </c>
      <c r="R34" s="121">
        <f>+$C$34*q17a!$C$34</f>
        <v>60638756.849999994</v>
      </c>
      <c r="S34" s="121">
        <f>+$D$34*q17a!$D$34</f>
        <v>65810314.620000005</v>
      </c>
      <c r="T34" s="121">
        <f>+$E$34*q17a!$E$34</f>
        <v>70785276.870000005</v>
      </c>
      <c r="U34" s="121">
        <f>+$F$34*q17a!$F$34</f>
        <v>76441746.289999992</v>
      </c>
      <c r="V34" s="121">
        <f>+$G$34*q17a!$G$34</f>
        <v>83727241</v>
      </c>
      <c r="W34" s="121">
        <f>+$H$34*q17a!$H$34</f>
        <v>87551522.040000007</v>
      </c>
      <c r="X34" s="121">
        <f>+$I$34*q17a!$I$34</f>
        <v>91944627.450000003</v>
      </c>
      <c r="Y34" s="121">
        <f>+$J$34*q17a!$J$34</f>
        <v>101073792.04000001</v>
      </c>
      <c r="Z34" s="121">
        <f>+$K$34*q17a!$K$34</f>
        <v>116570021.48</v>
      </c>
      <c r="AA34" s="121">
        <f>+$L$34*q17a!$L$34</f>
        <v>132991294.10000001</v>
      </c>
      <c r="AB34" s="121">
        <f>+$M$34*q17a!$M$34</f>
        <v>148331909.03999999</v>
      </c>
      <c r="AE34" s="54"/>
      <c r="AF34" s="56" t="s">
        <v>53</v>
      </c>
      <c r="AG34" s="121">
        <f>+$C$34*q17a!$C$34</f>
        <v>60638756.849999994</v>
      </c>
      <c r="AH34" s="121">
        <f>+$D$34*q17a!$D$34</f>
        <v>65810314.620000005</v>
      </c>
      <c r="AI34" s="121">
        <f>+$E$34*q17a!$E$34</f>
        <v>70785276.870000005</v>
      </c>
      <c r="AJ34" s="121">
        <f>+$F$34*q17a!$F$34</f>
        <v>76441746.289999992</v>
      </c>
      <c r="AK34" s="121">
        <f>+$G$34*q17a!$G$34</f>
        <v>83727241</v>
      </c>
      <c r="AL34" s="121">
        <f>+$H$34*q17a!$H$34</f>
        <v>87551522.040000007</v>
      </c>
      <c r="AM34" s="121">
        <f>+$I$34*q17a!$I$34</f>
        <v>91944627.450000003</v>
      </c>
      <c r="AN34" s="121">
        <f>+$J$34*q17a!$J$34</f>
        <v>101073792.04000001</v>
      </c>
      <c r="AO34" s="121">
        <f>+$K$34*q17a!$K$34</f>
        <v>116570021.48</v>
      </c>
      <c r="AP34" s="121">
        <f>+$L$34*q17a!$L$34</f>
        <v>132991294.10000001</v>
      </c>
      <c r="AQ34" s="121">
        <f>+$M$34*q17a!$M$34</f>
        <v>148331909.03999999</v>
      </c>
    </row>
    <row r="35" spans="1:54" s="121" customFormat="1" ht="16.5" customHeight="1">
      <c r="A35" s="54" t="str">
        <f>+'q38'!A35</f>
        <v>60-64 anos</v>
      </c>
      <c r="B35" s="52" t="str">
        <f>+'q38'!B35</f>
        <v>T</v>
      </c>
      <c r="C35" s="85">
        <f>+'q38'!C35</f>
        <v>1252.29</v>
      </c>
      <c r="D35" s="85">
        <f>+'q38'!D35</f>
        <v>1263.1199999999999</v>
      </c>
      <c r="E35" s="85">
        <f>+'q38'!E35</f>
        <v>1258.95</v>
      </c>
      <c r="F35" s="85">
        <f>+'q38'!F35</f>
        <v>1268.01</v>
      </c>
      <c r="G35" s="85">
        <f>+'q38'!G35</f>
        <v>1288.9000000000001</v>
      </c>
      <c r="H35" s="85">
        <f>+'q38'!H35</f>
        <v>1302.31</v>
      </c>
      <c r="I35" s="85">
        <f>+'q38'!I35</f>
        <v>1330.04</v>
      </c>
      <c r="J35" s="85">
        <f>+'q38'!J35</f>
        <v>1336.9</v>
      </c>
      <c r="K35" s="85">
        <f>+'q38'!K35</f>
        <v>1381.21</v>
      </c>
      <c r="L35" s="85">
        <f>+'q38'!L35</f>
        <v>1465.81</v>
      </c>
      <c r="M35" s="85">
        <f>+'q38'!M35</f>
        <v>1574.97</v>
      </c>
      <c r="P35" s="54" t="s">
        <v>63</v>
      </c>
      <c r="Q35" s="52" t="s">
        <v>44</v>
      </c>
      <c r="R35" s="121">
        <f>+$C$35*q17a!$C$35</f>
        <v>83111982.719999999</v>
      </c>
      <c r="S35" s="121">
        <f>+$D$35*q17a!$D$35</f>
        <v>91679775.839999989</v>
      </c>
      <c r="T35" s="121">
        <f>+$E$35*q17a!$E$35</f>
        <v>98201876.850000009</v>
      </c>
      <c r="U35" s="121">
        <f>+$F$35*q17a!$F$35</f>
        <v>111033295.65000001</v>
      </c>
      <c r="V35" s="121">
        <f>+$G$35*q17a!$G$35</f>
        <v>119087915.50000001</v>
      </c>
      <c r="W35" s="121">
        <f>+$H$35*q17a!$H$35</f>
        <v>126630112.84999999</v>
      </c>
      <c r="X35" s="121">
        <f>+$I$35*q17a!$I$35</f>
        <v>132035730.88</v>
      </c>
      <c r="Y35" s="121">
        <f>+$J$35*q17a!$J$35</f>
        <v>145460067.60000002</v>
      </c>
      <c r="Z35" s="121">
        <f>+$K$35*q17a!$K$35</f>
        <v>172069760.59</v>
      </c>
      <c r="AA35" s="121">
        <f>+$L$35*q17a!$L$35</f>
        <v>201000662.06</v>
      </c>
      <c r="AB35" s="121">
        <f>+$M$35*q17a!$M$35</f>
        <v>225841248.18000001</v>
      </c>
      <c r="AE35" s="54" t="s">
        <v>63</v>
      </c>
      <c r="AF35" s="52" t="s">
        <v>44</v>
      </c>
      <c r="AG35" s="121">
        <f>+$C$35*q17a!$C$35</f>
        <v>83111982.719999999</v>
      </c>
      <c r="AH35" s="121">
        <f>+$D$35*q17a!$D$35</f>
        <v>91679775.839999989</v>
      </c>
      <c r="AI35" s="121">
        <f>+$E$35*q17a!$E$35</f>
        <v>98201876.850000009</v>
      </c>
      <c r="AJ35" s="121">
        <f>+$F$35*q17a!$F$35</f>
        <v>111033295.65000001</v>
      </c>
      <c r="AK35" s="121">
        <f>+$G$35*q17a!$G$35</f>
        <v>119087915.50000001</v>
      </c>
      <c r="AL35" s="121">
        <f>+$H$35*q17a!$H$35</f>
        <v>126630112.84999999</v>
      </c>
      <c r="AM35" s="121">
        <f>+$I$35*q17a!$I$35</f>
        <v>132035730.88</v>
      </c>
      <c r="AN35" s="121">
        <f>+$J$35*q17a!$J$35</f>
        <v>145460067.60000002</v>
      </c>
      <c r="AO35" s="121">
        <f>+$K$35*q17a!$K$35</f>
        <v>172069760.59</v>
      </c>
      <c r="AP35" s="121">
        <f>+$L$35*q17a!$L$35</f>
        <v>201000662.06</v>
      </c>
      <c r="AQ35" s="121">
        <f>+$M$35*q17a!$M$35</f>
        <v>225841248.18000001</v>
      </c>
    </row>
    <row r="36" spans="1:54" s="121" customFormat="1" ht="12.75" customHeight="1">
      <c r="A36" s="55"/>
      <c r="B36" s="56" t="str">
        <f>+'q38'!B36</f>
        <v>H</v>
      </c>
      <c r="C36" s="824">
        <f>+'q38'!C36</f>
        <v>1455.06</v>
      </c>
      <c r="D36" s="824">
        <f>+'q38'!D36</f>
        <v>1469.17</v>
      </c>
      <c r="E36" s="824">
        <f>+'q38'!E36</f>
        <v>1457.86</v>
      </c>
      <c r="F36" s="824">
        <f>+'q38'!F36</f>
        <v>1446.99</v>
      </c>
      <c r="G36" s="824">
        <f>+'q38'!G36</f>
        <v>1460.43</v>
      </c>
      <c r="H36" s="824">
        <f>+'q38'!H36</f>
        <v>1461.58</v>
      </c>
      <c r="I36" s="824">
        <f>+'q38'!I36</f>
        <v>1484.54</v>
      </c>
      <c r="J36" s="824">
        <f>+'q38'!J36</f>
        <v>1484.84</v>
      </c>
      <c r="K36" s="824">
        <f>+'q38'!K36</f>
        <v>1536.23</v>
      </c>
      <c r="L36" s="824">
        <f>+'q38'!L36</f>
        <v>1629.73</v>
      </c>
      <c r="M36" s="824">
        <f>+'q38'!M36</f>
        <v>1753.77</v>
      </c>
      <c r="P36" s="55"/>
      <c r="Q36" s="56" t="s">
        <v>52</v>
      </c>
      <c r="R36" s="121">
        <f>+$C$36*q17a!$C$36</f>
        <v>57646567.079999998</v>
      </c>
      <c r="S36" s="121">
        <f>+$D$36*q17a!$D$36</f>
        <v>63387339.650000006</v>
      </c>
      <c r="T36" s="121">
        <f>+$E$36*q17a!$E$36</f>
        <v>67026571.359999992</v>
      </c>
      <c r="U36" s="121">
        <f>+$F$36*q17a!$F$36</f>
        <v>74888967.450000003</v>
      </c>
      <c r="V36" s="121">
        <f>+$G$36*q17a!$G$36</f>
        <v>78860299.140000001</v>
      </c>
      <c r="W36" s="121">
        <f>+$H$36*q17a!$H$36</f>
        <v>82440419.899999991</v>
      </c>
      <c r="X36" s="121">
        <f>+$I$36*q17a!$I$36</f>
        <v>85356596.379999995</v>
      </c>
      <c r="Y36" s="121">
        <f>+$J$36*q17a!$J$36</f>
        <v>92983650.479999989</v>
      </c>
      <c r="Z36" s="121">
        <f>+$K$36*q17a!$K$36</f>
        <v>109591575.73999999</v>
      </c>
      <c r="AA36" s="121">
        <f>+$L$36*q17a!$L$36</f>
        <v>127146645.41</v>
      </c>
      <c r="AB36" s="121">
        <f>+$M$36*q17a!$M$36</f>
        <v>142102721.78999999</v>
      </c>
      <c r="AE36" s="55"/>
      <c r="AF36" s="56" t="s">
        <v>52</v>
      </c>
      <c r="AG36" s="121">
        <f>+$C$36*q17a!$C$36</f>
        <v>57646567.079999998</v>
      </c>
      <c r="AH36" s="121">
        <f>+$D$36*q17a!$D$36</f>
        <v>63387339.650000006</v>
      </c>
      <c r="AI36" s="121">
        <f>+$E$36*q17a!$E$36</f>
        <v>67026571.359999992</v>
      </c>
      <c r="AJ36" s="121">
        <f>+$F$36*q17a!$F$36</f>
        <v>74888967.450000003</v>
      </c>
      <c r="AK36" s="121">
        <f>+$G$36*q17a!$G$36</f>
        <v>78860299.140000001</v>
      </c>
      <c r="AL36" s="121">
        <f>+$H$36*q17a!$H$36</f>
        <v>82440419.899999991</v>
      </c>
      <c r="AM36" s="121">
        <f>+$I$36*q17a!$I$36</f>
        <v>85356596.379999995</v>
      </c>
      <c r="AN36" s="121">
        <f>+$J$36*q17a!$J$36</f>
        <v>92983650.479999989</v>
      </c>
      <c r="AO36" s="121">
        <f>+$K$36*q17a!$K$36</f>
        <v>109591575.73999999</v>
      </c>
      <c r="AP36" s="121">
        <f>+$L$36*q17a!$L$36</f>
        <v>127146645.41</v>
      </c>
      <c r="AQ36" s="121">
        <f>+$M$36*q17a!$M$36</f>
        <v>142102721.78999999</v>
      </c>
    </row>
    <row r="37" spans="1:54" s="121" customFormat="1" ht="12.75" customHeight="1">
      <c r="A37" s="54"/>
      <c r="B37" s="56" t="str">
        <f>+'q38'!B37</f>
        <v>M</v>
      </c>
      <c r="C37" s="824">
        <f>+'q38'!C37</f>
        <v>951.97</v>
      </c>
      <c r="D37" s="824">
        <f>+'q38'!D37</f>
        <v>961.12</v>
      </c>
      <c r="E37" s="824">
        <f>+'q38'!E37</f>
        <v>973.4</v>
      </c>
      <c r="F37" s="824">
        <f>+'q38'!F37</f>
        <v>1009.34</v>
      </c>
      <c r="G37" s="824">
        <f>+'q38'!G37</f>
        <v>1047.67</v>
      </c>
      <c r="H37" s="824">
        <f>+'q38'!H37</f>
        <v>1082.28</v>
      </c>
      <c r="I37" s="824">
        <f>+'q38'!I37</f>
        <v>1117.4100000000001</v>
      </c>
      <c r="J37" s="824">
        <f>+'q38'!J37</f>
        <v>1136.29</v>
      </c>
      <c r="K37" s="824">
        <f>+'q38'!K37</f>
        <v>1173.5</v>
      </c>
      <c r="L37" s="824">
        <f>+'q38'!L37</f>
        <v>1249.45</v>
      </c>
      <c r="M37" s="824">
        <f>+'q38'!M37</f>
        <v>1342.68</v>
      </c>
      <c r="P37" s="54"/>
      <c r="Q37" s="56" t="s">
        <v>53</v>
      </c>
      <c r="R37" s="121">
        <f>+$C$37*q17a!$C$37</f>
        <v>25465197.5</v>
      </c>
      <c r="S37" s="121">
        <f>+$D$37*q17a!$D$37</f>
        <v>28292489.440000001</v>
      </c>
      <c r="T37" s="121">
        <f>+$E$37*q17a!$E$37</f>
        <v>31175081.800000001</v>
      </c>
      <c r="U37" s="121">
        <f>+$F$37*q17a!$F$37</f>
        <v>36144465.399999999</v>
      </c>
      <c r="V37" s="121">
        <f>+$G$37*q17a!$G$37</f>
        <v>40227384.990000002</v>
      </c>
      <c r="W37" s="121">
        <f>+$H$37*q17a!$H$37</f>
        <v>44189492.399999999</v>
      </c>
      <c r="X37" s="121">
        <f>+$I$37*q17a!$I$37</f>
        <v>46679802.75</v>
      </c>
      <c r="Y37" s="121">
        <f>+$J$37*q17a!$J$37</f>
        <v>52476144.780000001</v>
      </c>
      <c r="Z37" s="121">
        <f>+$K$37*q17a!$K$37</f>
        <v>62478313.5</v>
      </c>
      <c r="AA37" s="121">
        <f>+$L$37*q17a!$L$37</f>
        <v>73853740.049999997</v>
      </c>
      <c r="AB37" s="121">
        <f>+$M$37*q17a!$M$37</f>
        <v>83738923.560000002</v>
      </c>
      <c r="AE37" s="54"/>
      <c r="AF37" s="56" t="s">
        <v>53</v>
      </c>
      <c r="AG37" s="121">
        <f>+$C$37*q17a!$C$37</f>
        <v>25465197.5</v>
      </c>
      <c r="AH37" s="121">
        <f>+$D$37*q17a!$D$37</f>
        <v>28292489.440000001</v>
      </c>
      <c r="AI37" s="121">
        <f>+$E$37*q17a!$E$37</f>
        <v>31175081.800000001</v>
      </c>
      <c r="AJ37" s="121">
        <f>+$F$37*q17a!$F$37</f>
        <v>36144465.399999999</v>
      </c>
      <c r="AK37" s="121">
        <f>+$G$37*q17a!$G$37</f>
        <v>40227384.990000002</v>
      </c>
      <c r="AL37" s="121">
        <f>+$H$37*q17a!$H$37</f>
        <v>44189492.399999999</v>
      </c>
      <c r="AM37" s="121">
        <f>+$I$37*q17a!$I$37</f>
        <v>46679802.75</v>
      </c>
      <c r="AN37" s="121">
        <f>+$J$37*q17a!$J$37</f>
        <v>52476144.780000001</v>
      </c>
      <c r="AO37" s="121">
        <f>+$K$37*q17a!$K$37</f>
        <v>62478313.5</v>
      </c>
      <c r="AP37" s="121">
        <f>+$L$37*q17a!$L$37</f>
        <v>73853740.049999997</v>
      </c>
      <c r="AQ37" s="121">
        <f>+$M$37*q17a!$M$37</f>
        <v>83738923.560000002</v>
      </c>
    </row>
    <row r="38" spans="1:54" s="214" customFormat="1" ht="16.5" customHeight="1">
      <c r="A38" s="156" t="str">
        <f>+'q38'!A38</f>
        <v>65 e mais anos</v>
      </c>
      <c r="B38" s="213" t="str">
        <f>+'q38'!B38</f>
        <v>T</v>
      </c>
      <c r="C38" s="726">
        <f>+'q38'!C38</f>
        <v>1328.61</v>
      </c>
      <c r="D38" s="726">
        <f>+'q38'!D38</f>
        <v>1341.63</v>
      </c>
      <c r="E38" s="726">
        <f>+'q38'!E38</f>
        <v>1337.56</v>
      </c>
      <c r="F38" s="726">
        <f>+'q38'!F38</f>
        <v>1346.83</v>
      </c>
      <c r="G38" s="726">
        <f>+'q38'!G38</f>
        <v>1353.02</v>
      </c>
      <c r="H38" s="726">
        <f>+'q38'!H38</f>
        <v>1396.55</v>
      </c>
      <c r="I38" s="726">
        <f>+'q38'!I38</f>
        <v>1462.63</v>
      </c>
      <c r="J38" s="726">
        <f>+'q38'!J38</f>
        <v>1470.97</v>
      </c>
      <c r="K38" s="726">
        <f>+'q38'!K38</f>
        <v>1488.54</v>
      </c>
      <c r="L38" s="726">
        <f>+'q38'!L38</f>
        <v>1557.94</v>
      </c>
      <c r="M38" s="726">
        <f>+'q38'!M38</f>
        <v>1651.23</v>
      </c>
      <c r="P38" s="54" t="s">
        <v>64</v>
      </c>
      <c r="Q38" s="52" t="s">
        <v>44</v>
      </c>
      <c r="R38" s="457">
        <f>+$C$38</f>
        <v>1328.61</v>
      </c>
      <c r="S38" s="457">
        <f>+$D$38</f>
        <v>1341.63</v>
      </c>
      <c r="T38" s="457">
        <f>+$E$38</f>
        <v>1337.56</v>
      </c>
      <c r="U38" s="457">
        <f>+$F$38</f>
        <v>1346.83</v>
      </c>
      <c r="V38" s="457">
        <f>+$G$38</f>
        <v>1353.02</v>
      </c>
      <c r="W38" s="457">
        <f>+$H$38</f>
        <v>1396.55</v>
      </c>
      <c r="X38" s="457">
        <f>+$I$38</f>
        <v>1462.63</v>
      </c>
      <c r="Y38" s="457">
        <f>+$J$38</f>
        <v>1470.97</v>
      </c>
      <c r="Z38" s="457">
        <f>+$K$38</f>
        <v>1488.54</v>
      </c>
      <c r="AA38" s="457">
        <f>+$L$38</f>
        <v>1557.94</v>
      </c>
      <c r="AB38" s="457">
        <f>+$M$38</f>
        <v>1651.23</v>
      </c>
      <c r="AE38" s="54" t="s">
        <v>64</v>
      </c>
      <c r="AF38" s="52" t="s">
        <v>44</v>
      </c>
      <c r="AG38" s="457">
        <f>+$C$38*q17a!$C$38</f>
        <v>19213029.209999997</v>
      </c>
      <c r="AH38" s="457">
        <f>+$D$38*q17a!$D$38</f>
        <v>22119453.810000002</v>
      </c>
      <c r="AI38" s="457">
        <f>+$E$38*q17a!$E$38</f>
        <v>24732821.959999997</v>
      </c>
      <c r="AJ38" s="457">
        <f>+$F$38*q17a!$F$38</f>
        <v>28183764.579999998</v>
      </c>
      <c r="AK38" s="457">
        <f>+$G$38*q17a!$G$38</f>
        <v>32676786.02</v>
      </c>
      <c r="AL38" s="457">
        <f>+$H$38*q17a!$H$38</f>
        <v>38297590.649999999</v>
      </c>
      <c r="AM38" s="457">
        <f>+$I$38*q17a!$I$38</f>
        <v>39820101.75</v>
      </c>
      <c r="AN38" s="457">
        <f>+$J$38*q17a!$J$38</f>
        <v>44215887.230000004</v>
      </c>
      <c r="AO38" s="457">
        <f>+$K$38*q17a!$K$38</f>
        <v>51752070.18</v>
      </c>
      <c r="AP38" s="457">
        <f>+$L$38*q17a!$L$38</f>
        <v>60608539.82</v>
      </c>
      <c r="AQ38" s="457">
        <f>+$M$38*q17a!$M$38</f>
        <v>70619804.640000001</v>
      </c>
      <c r="AR38" s="121"/>
      <c r="AS38" s="121"/>
      <c r="AT38" s="121"/>
      <c r="AU38" s="121"/>
      <c r="AV38" s="121"/>
      <c r="AW38" s="121"/>
      <c r="AX38" s="121"/>
      <c r="AY38" s="121"/>
      <c r="AZ38" s="121"/>
      <c r="BA38" s="121"/>
      <c r="BB38" s="121"/>
    </row>
    <row r="39" spans="1:54" s="121" customFormat="1" ht="12.75" customHeight="1">
      <c r="A39" s="55"/>
      <c r="B39" s="56" t="str">
        <f>+'q38'!B39</f>
        <v>H</v>
      </c>
      <c r="C39" s="824">
        <f>+'q38'!C39</f>
        <v>1528.66</v>
      </c>
      <c r="D39" s="824">
        <f>+'q38'!D39</f>
        <v>1547.17</v>
      </c>
      <c r="E39" s="824">
        <f>+'q38'!E39</f>
        <v>1537.86</v>
      </c>
      <c r="F39" s="824">
        <f>+'q38'!F39</f>
        <v>1547.82</v>
      </c>
      <c r="G39" s="824">
        <f>+'q38'!G39</f>
        <v>1534.46</v>
      </c>
      <c r="H39" s="824">
        <f>+'q38'!H39</f>
        <v>1560.37</v>
      </c>
      <c r="I39" s="824">
        <f>+'q38'!I39</f>
        <v>1639.16</v>
      </c>
      <c r="J39" s="824">
        <f>+'q38'!J39</f>
        <v>1631.35</v>
      </c>
      <c r="K39" s="824">
        <f>+'q38'!K39</f>
        <v>1636.3</v>
      </c>
      <c r="L39" s="824">
        <f>+'q38'!L39</f>
        <v>1696.46</v>
      </c>
      <c r="M39" s="824">
        <f>+'q38'!M39</f>
        <v>1785.68</v>
      </c>
      <c r="P39" s="55"/>
      <c r="Q39" s="56" t="s">
        <v>52</v>
      </c>
      <c r="R39" s="457">
        <f>+$C$39</f>
        <v>1528.66</v>
      </c>
      <c r="S39" s="457">
        <f>+$D$39</f>
        <v>1547.17</v>
      </c>
      <c r="T39" s="457">
        <f>+$E$39</f>
        <v>1537.86</v>
      </c>
      <c r="U39" s="457">
        <f>+$F$39</f>
        <v>1547.82</v>
      </c>
      <c r="V39" s="457">
        <f>+$G$39</f>
        <v>1534.46</v>
      </c>
      <c r="W39" s="457">
        <f>+$H$39</f>
        <v>1560.37</v>
      </c>
      <c r="X39" s="457">
        <f>+$I$39</f>
        <v>1639.16</v>
      </c>
      <c r="Y39" s="457">
        <f>+$J$39</f>
        <v>1631.35</v>
      </c>
      <c r="Z39" s="457">
        <f>+$K$39</f>
        <v>1636.3</v>
      </c>
      <c r="AA39" s="457">
        <f>+$L$39</f>
        <v>1696.46</v>
      </c>
      <c r="AB39" s="457">
        <f>+$M$39</f>
        <v>1785.68</v>
      </c>
      <c r="AE39" s="55"/>
      <c r="AF39" s="56" t="s">
        <v>52</v>
      </c>
      <c r="AG39" s="457">
        <f>+$C$39*q17a!$C$39</f>
        <v>13942907.860000001</v>
      </c>
      <c r="AH39" s="457">
        <f>+$D$39*q17a!$D$39</f>
        <v>15742454.75</v>
      </c>
      <c r="AI39" s="457">
        <f>+$E$39*q17a!$E$39</f>
        <v>17339371.5</v>
      </c>
      <c r="AJ39" s="457">
        <f>+$F$39*q17a!$F$39</f>
        <v>20096894.879999999</v>
      </c>
      <c r="AK39" s="457">
        <f>+$G$39*q17a!$G$39</f>
        <v>22964728.359999999</v>
      </c>
      <c r="AL39" s="457">
        <f>+$H$39*q17a!$H$39</f>
        <v>27139515.409999996</v>
      </c>
      <c r="AM39" s="457">
        <f>+$I$39*q17a!$I$39</f>
        <v>28331241.440000001</v>
      </c>
      <c r="AN39" s="457">
        <f>+$J$39*q17a!$J$39</f>
        <v>30719951.849999998</v>
      </c>
      <c r="AO39" s="457">
        <f>+$K$39*q17a!$K$39</f>
        <v>35666431.100000001</v>
      </c>
      <c r="AP39" s="457">
        <f>+$L$39*q17a!$L$39</f>
        <v>41471661.160000004</v>
      </c>
      <c r="AQ39" s="457">
        <f>+$M$39*q17a!$M$39</f>
        <v>47968721.840000004</v>
      </c>
    </row>
    <row r="40" spans="1:54" s="121" customFormat="1" ht="12.75" customHeight="1">
      <c r="A40" s="54"/>
      <c r="B40" s="56" t="str">
        <f>+'q38'!B40</f>
        <v>M</v>
      </c>
      <c r="C40" s="824">
        <f>+'q38'!C40</f>
        <v>986.9</v>
      </c>
      <c r="D40" s="824">
        <f>+'q38'!D40</f>
        <v>1010.31</v>
      </c>
      <c r="E40" s="824">
        <f>+'q38'!E40</f>
        <v>1024.6099999999999</v>
      </c>
      <c r="F40" s="824">
        <f>+'q38'!F40</f>
        <v>1018.23</v>
      </c>
      <c r="G40" s="824">
        <f>+'q38'!G40</f>
        <v>1057.3800000000001</v>
      </c>
      <c r="H40" s="824">
        <f>+'q38'!H40</f>
        <v>1112.47</v>
      </c>
      <c r="I40" s="824">
        <f>+'q38'!I40</f>
        <v>1155.7</v>
      </c>
      <c r="J40" s="824">
        <f>+'q38'!J40</f>
        <v>1202</v>
      </c>
      <c r="K40" s="824">
        <f>+'q38'!K40</f>
        <v>1240.21</v>
      </c>
      <c r="L40" s="824">
        <f>+'q38'!L40</f>
        <v>1323.72</v>
      </c>
      <c r="M40" s="824">
        <f>+'q38'!M40</f>
        <v>1424.15</v>
      </c>
      <c r="P40" s="54"/>
      <c r="Q40" s="56" t="s">
        <v>53</v>
      </c>
      <c r="R40" s="457">
        <f>+$C$40</f>
        <v>986.9</v>
      </c>
      <c r="S40" s="457">
        <f>+$D$40</f>
        <v>1010.31</v>
      </c>
      <c r="T40" s="457">
        <f>+$E$40</f>
        <v>1024.6099999999999</v>
      </c>
      <c r="U40" s="457">
        <f>+$F$40</f>
        <v>1018.23</v>
      </c>
      <c r="V40" s="457">
        <f>+$G$40</f>
        <v>1057.3800000000001</v>
      </c>
      <c r="W40" s="457">
        <f>+$H$40</f>
        <v>1112.47</v>
      </c>
      <c r="X40" s="457">
        <f>+$I$40</f>
        <v>1155.7</v>
      </c>
      <c r="Y40" s="457">
        <f>+$J$40</f>
        <v>1202</v>
      </c>
      <c r="Z40" s="457">
        <f>+$K$40</f>
        <v>1240.21</v>
      </c>
      <c r="AA40" s="457">
        <f>+$L$40</f>
        <v>1323.72</v>
      </c>
      <c r="AB40" s="457">
        <f>+$M$40</f>
        <v>1424.15</v>
      </c>
      <c r="AE40" s="54"/>
      <c r="AF40" s="56" t="s">
        <v>53</v>
      </c>
      <c r="AG40" s="457">
        <f>+$C$40*q17a!$C$40</f>
        <v>5270046</v>
      </c>
      <c r="AH40" s="457">
        <f>+$D$40*q17a!$D$40</f>
        <v>6377076.7199999997</v>
      </c>
      <c r="AI40" s="457">
        <f>+$E$40*q17a!$E$40</f>
        <v>7393585.7599999988</v>
      </c>
      <c r="AJ40" s="457">
        <f>+$F$40*q17a!$F$40</f>
        <v>8086782.6600000001</v>
      </c>
      <c r="AK40" s="457">
        <f>+$G$40*q17a!$G$40</f>
        <v>9712035.3000000007</v>
      </c>
      <c r="AL40" s="457">
        <f>+$H$40*q17a!$H$40</f>
        <v>11158074.1</v>
      </c>
      <c r="AM40" s="457">
        <f>+$I$40*q17a!$I$40</f>
        <v>11488813.700000001</v>
      </c>
      <c r="AN40" s="457">
        <f>+$J$40*q17a!$J$40</f>
        <v>13496056</v>
      </c>
      <c r="AO40" s="457">
        <f>+$K$40*q17a!$K$40</f>
        <v>16085523.700000001</v>
      </c>
      <c r="AP40" s="457">
        <f>+$L$40*q17a!$L$40</f>
        <v>19137020.039999999</v>
      </c>
      <c r="AQ40" s="457">
        <f>+$M$40*q17a!$M$40</f>
        <v>22651105.75</v>
      </c>
    </row>
    <row r="41" spans="1:54" s="121" customFormat="1" ht="16.5" customHeight="1">
      <c r="A41" s="54" t="str">
        <f>+'q38'!A41</f>
        <v>Ignorado</v>
      </c>
      <c r="B41" s="52" t="str">
        <f>+'q38'!B41</f>
        <v>T</v>
      </c>
      <c r="C41" s="85">
        <f>+'q38'!C41</f>
        <v>1575.8</v>
      </c>
      <c r="D41" s="85">
        <f>+'q38'!D41</f>
        <v>1535.44</v>
      </c>
      <c r="E41" s="85">
        <f>+'q38'!E41</f>
        <v>1559.75</v>
      </c>
      <c r="F41" s="85">
        <f>+'q38'!F41</f>
        <v>1616.05</v>
      </c>
      <c r="G41" s="85">
        <f>+'q38'!G41</f>
        <v>1651.82</v>
      </c>
      <c r="H41" s="85">
        <f>+'q38'!H41</f>
        <v>1070.05</v>
      </c>
      <c r="I41" s="85">
        <f>+'q38'!I41</f>
        <v>1183.3900000000001</v>
      </c>
      <c r="J41" s="85">
        <f>+'q38'!J41</f>
        <v>1143.72</v>
      </c>
      <c r="K41" s="85">
        <f>+'q38'!K41</f>
        <v>1226.25</v>
      </c>
      <c r="L41" s="85">
        <f>+'q38'!L41</f>
        <v>765</v>
      </c>
      <c r="M41" s="85">
        <f>+'q38'!M41</f>
        <v>1346.77</v>
      </c>
      <c r="P41" s="54" t="s">
        <v>12</v>
      </c>
      <c r="Q41" s="52" t="s">
        <v>44</v>
      </c>
      <c r="R41" s="457">
        <f>+$C$41</f>
        <v>1575.8</v>
      </c>
      <c r="S41" s="457">
        <f>+$D$41</f>
        <v>1535.44</v>
      </c>
      <c r="T41" s="457">
        <f>+$E$41</f>
        <v>1559.75</v>
      </c>
      <c r="U41" s="457">
        <f>+$F$41</f>
        <v>1616.05</v>
      </c>
      <c r="V41" s="457">
        <f>+$G$41</f>
        <v>1651.82</v>
      </c>
      <c r="W41" s="457">
        <f>+$H$41</f>
        <v>1070.05</v>
      </c>
      <c r="X41" s="457">
        <f>+$I$41</f>
        <v>1183.3900000000001</v>
      </c>
      <c r="Y41" s="457">
        <f>+$J$41</f>
        <v>1143.72</v>
      </c>
      <c r="Z41" s="457">
        <f>+$K$41</f>
        <v>1226.25</v>
      </c>
      <c r="AA41" s="457">
        <f>+$L$41</f>
        <v>765</v>
      </c>
      <c r="AB41" s="457">
        <f>+$M$41</f>
        <v>1346.77</v>
      </c>
      <c r="AE41" s="54" t="s">
        <v>12</v>
      </c>
      <c r="AF41" s="52" t="s">
        <v>44</v>
      </c>
      <c r="AG41" s="457">
        <f>+$C$41*q17a!$C$41</f>
        <v>2187210.4</v>
      </c>
      <c r="AH41" s="457">
        <f>+$D$41*q17a!$D$41</f>
        <v>2192608.3200000003</v>
      </c>
      <c r="AI41" s="457">
        <f>+$E$41*q17a!$E$41</f>
        <v>2327147</v>
      </c>
      <c r="AJ41" s="457">
        <f>+$F$41*q17a!$F$41</f>
        <v>2474172.5499999998</v>
      </c>
      <c r="AK41" s="457">
        <f>+$G$41*q17a!$G$41</f>
        <v>2842782.2199999997</v>
      </c>
      <c r="AL41" s="457">
        <f>+$H$41*q17a!$H$41</f>
        <v>418389.55</v>
      </c>
      <c r="AM41" s="457">
        <f>+$I$41*q17a!$I$41</f>
        <v>299397.67000000004</v>
      </c>
      <c r="AN41" s="457">
        <f>+$J$41*q17a!$J$41</f>
        <v>436901.04000000004</v>
      </c>
      <c r="AO41" s="457">
        <f>+$K$41*q17a!$K$41</f>
        <v>234213.75</v>
      </c>
      <c r="AP41" s="457">
        <f>+$L$41*q17a!$L$41</f>
        <v>765</v>
      </c>
      <c r="AQ41" s="457">
        <f>+$M$41*q17a!$M$41</f>
        <v>488877.51</v>
      </c>
    </row>
    <row r="42" spans="1:54" s="121" customFormat="1" ht="12.75" customHeight="1">
      <c r="A42" s="57"/>
      <c r="B42" s="56" t="str">
        <f>+'q38'!B42</f>
        <v>H</v>
      </c>
      <c r="C42" s="824">
        <f>+'q38'!C42</f>
        <v>1777.61</v>
      </c>
      <c r="D42" s="824">
        <f>+'q38'!D42</f>
        <v>1696.32</v>
      </c>
      <c r="E42" s="824">
        <f>+'q38'!E42</f>
        <v>1736.81</v>
      </c>
      <c r="F42" s="824">
        <f>+'q38'!F42</f>
        <v>1791.32</v>
      </c>
      <c r="G42" s="824">
        <f>+'q38'!G42</f>
        <v>1833.13</v>
      </c>
      <c r="H42" s="824">
        <f>+'q38'!H42</f>
        <v>1099.3800000000001</v>
      </c>
      <c r="I42" s="824">
        <f>+'q38'!I42</f>
        <v>1212.5</v>
      </c>
      <c r="J42" s="824">
        <f>+'q38'!J42</f>
        <v>1180.2</v>
      </c>
      <c r="K42" s="824">
        <f>+'q38'!K42</f>
        <v>1283.81</v>
      </c>
      <c r="L42" s="824">
        <f>+'q38'!L42</f>
        <v>765</v>
      </c>
      <c r="M42" s="824">
        <f>+'q38'!M42</f>
        <v>1413.78</v>
      </c>
      <c r="P42" s="55"/>
      <c r="Q42" s="56" t="s">
        <v>52</v>
      </c>
      <c r="R42" s="457">
        <f>+$C$42</f>
        <v>1777.61</v>
      </c>
      <c r="S42" s="457">
        <f>+$D$42</f>
        <v>1696.32</v>
      </c>
      <c r="T42" s="457">
        <f>+$E$42</f>
        <v>1736.81</v>
      </c>
      <c r="U42" s="457">
        <f>+$F$42</f>
        <v>1791.32</v>
      </c>
      <c r="V42" s="457">
        <f>+$G$42</f>
        <v>1833.13</v>
      </c>
      <c r="W42" s="457">
        <f>+$H$42</f>
        <v>1099.3800000000001</v>
      </c>
      <c r="X42" s="457">
        <f>+$I$42</f>
        <v>1212.5</v>
      </c>
      <c r="Y42" s="457">
        <f>+$J$42</f>
        <v>1180.2</v>
      </c>
      <c r="Z42" s="457">
        <f>+$K$42</f>
        <v>1283.81</v>
      </c>
      <c r="AA42" s="457">
        <f>+$L$42</f>
        <v>765</v>
      </c>
      <c r="AB42" s="457">
        <f>+$M$42</f>
        <v>1413.78</v>
      </c>
      <c r="AE42" s="55"/>
      <c r="AF42" s="56" t="s">
        <v>52</v>
      </c>
      <c r="AG42" s="457">
        <f>+$C$42*q17a!$C$42</f>
        <v>1644289.25</v>
      </c>
      <c r="AH42" s="457">
        <f>+$D$42*q17a!$D$42</f>
        <v>1596237.1199999999</v>
      </c>
      <c r="AI42" s="457">
        <f>+$E$42*q17a!$E$42</f>
        <v>1740283.6199999999</v>
      </c>
      <c r="AJ42" s="457">
        <f>+$F$42*q17a!$F$42</f>
        <v>1834311.6799999999</v>
      </c>
      <c r="AK42" s="457">
        <f>+$G$42*q17a!$G$42</f>
        <v>2152094.62</v>
      </c>
      <c r="AL42" s="457">
        <f>+$H$42*q17a!$H$42</f>
        <v>197888.40000000002</v>
      </c>
      <c r="AM42" s="457">
        <f>+$I$42*q17a!$I$42</f>
        <v>175812.5</v>
      </c>
      <c r="AN42" s="457">
        <f>+$J$42*q17a!$J$42</f>
        <v>227778.6</v>
      </c>
      <c r="AO42" s="457">
        <f>+$K$42*q17a!$K$42</f>
        <v>138651.47999999998</v>
      </c>
      <c r="AP42" s="457">
        <f>+$L$42*q17a!$L$42</f>
        <v>765</v>
      </c>
      <c r="AQ42" s="457">
        <f>+$M$42*q17a!$M$42</f>
        <v>248825.28</v>
      </c>
    </row>
    <row r="43" spans="1:54" s="121" customFormat="1" ht="12.75" customHeight="1">
      <c r="A43" s="7"/>
      <c r="B43" s="58" t="str">
        <f>+'q38'!B43</f>
        <v>M</v>
      </c>
      <c r="C43" s="825">
        <f>+'q38'!C43</f>
        <v>1172.6099999999999</v>
      </c>
      <c r="D43" s="825">
        <f>+'q38'!D43</f>
        <v>1224.5999999999999</v>
      </c>
      <c r="E43" s="825">
        <f>+'q38'!E43</f>
        <v>1197.69</v>
      </c>
      <c r="F43" s="825">
        <f>+'q38'!F43</f>
        <v>1262.06</v>
      </c>
      <c r="G43" s="825">
        <f>+'q38'!G43</f>
        <v>1262.67</v>
      </c>
      <c r="H43" s="825">
        <f>+'q38'!H43</f>
        <v>1045.04</v>
      </c>
      <c r="I43" s="825">
        <f>+'q38'!I43</f>
        <v>1144.3</v>
      </c>
      <c r="J43" s="825">
        <f>+'q38'!J43</f>
        <v>1106.46</v>
      </c>
      <c r="K43" s="825">
        <f>+'q38'!K43</f>
        <v>1151.3499999999999</v>
      </c>
      <c r="L43" s="825">
        <f>+'q38'!L43</f>
        <v>0</v>
      </c>
      <c r="M43" s="825">
        <f>+'q38'!M43</f>
        <v>1283.7</v>
      </c>
      <c r="P43" s="17"/>
      <c r="Q43" s="58" t="s">
        <v>53</v>
      </c>
      <c r="R43" s="457">
        <f>+$C$43</f>
        <v>1172.6099999999999</v>
      </c>
      <c r="S43" s="457">
        <f>+$D$43</f>
        <v>1224.5999999999999</v>
      </c>
      <c r="T43" s="457">
        <f>+$E$43</f>
        <v>1197.69</v>
      </c>
      <c r="U43" s="457">
        <f>+$F$43</f>
        <v>1262.06</v>
      </c>
      <c r="V43" s="457">
        <f>+$G$43</f>
        <v>1262.67</v>
      </c>
      <c r="W43" s="457">
        <f>+$H$43</f>
        <v>1045.04</v>
      </c>
      <c r="X43" s="457">
        <f>+$I$43</f>
        <v>1144.3</v>
      </c>
      <c r="Y43" s="457">
        <f>+$J$43</f>
        <v>1106.46</v>
      </c>
      <c r="Z43" s="457">
        <f>+$K$43</f>
        <v>1151.3499999999999</v>
      </c>
      <c r="AA43" s="457">
        <f>+$L$43</f>
        <v>0</v>
      </c>
      <c r="AB43" s="457">
        <f>+$M$43</f>
        <v>1283.7</v>
      </c>
      <c r="AE43" s="17"/>
      <c r="AF43" s="58" t="s">
        <v>53</v>
      </c>
      <c r="AG43" s="457">
        <f>+$C$43*q17a!$C$43</f>
        <v>542918.42999999993</v>
      </c>
      <c r="AH43" s="457">
        <f>+$D$43*q17a!$D$43</f>
        <v>596380.19999999995</v>
      </c>
      <c r="AI43" s="457">
        <f>+$E$43*q17a!$E$43</f>
        <v>586868.1</v>
      </c>
      <c r="AJ43" s="457">
        <f>+$F$43*q17a!$F$43</f>
        <v>639864.41999999993</v>
      </c>
      <c r="AK43" s="457">
        <f>+$G$43*q17a!$G$43</f>
        <v>690680.49</v>
      </c>
      <c r="AL43" s="457">
        <f>+$H$43*q17a!$H$43</f>
        <v>220503.44</v>
      </c>
      <c r="AM43" s="457">
        <f>+$I$43*q17a!$I$43</f>
        <v>123584.4</v>
      </c>
      <c r="AN43" s="457">
        <f>+$J$43*q17a!$J$43</f>
        <v>209120.94</v>
      </c>
      <c r="AO43" s="457">
        <f>+$K$43*q17a!$K$43</f>
        <v>95562.049999999988</v>
      </c>
      <c r="AP43" s="457">
        <f>+$L$43*q17a!$L$43</f>
        <v>0</v>
      </c>
      <c r="AQ43" s="457">
        <f>+$M$43*q17a!$M$43</f>
        <v>240051.9</v>
      </c>
    </row>
    <row r="44" spans="1:54" s="118" customFormat="1" ht="15" customHeight="1">
      <c r="A44" s="19" t="str">
        <f>+'q38'!A44</f>
        <v>Fonte: DGCP/MTSSS, Quadros de Pessoal.</v>
      </c>
      <c r="B44" s="66"/>
      <c r="C44" s="51"/>
      <c r="D44" s="51"/>
      <c r="E44" s="51"/>
      <c r="F44" s="51"/>
      <c r="G44" s="85"/>
      <c r="H44" s="85"/>
      <c r="I44" s="85"/>
      <c r="J44" s="85"/>
      <c r="K44" s="85"/>
      <c r="L44" s="85"/>
      <c r="M44" s="85"/>
    </row>
    <row r="45" spans="1:54" s="118" customFormat="1" ht="23.25" customHeight="1">
      <c r="A45" s="966" t="s">
        <v>6</v>
      </c>
      <c r="B45" s="966"/>
      <c r="C45" s="966"/>
      <c r="D45" s="966"/>
      <c r="E45" s="966"/>
      <c r="F45" s="966"/>
      <c r="G45" s="966"/>
      <c r="H45" s="966"/>
      <c r="I45" s="966"/>
      <c r="J45" s="966"/>
      <c r="K45" s="966"/>
      <c r="L45" s="966"/>
      <c r="M45" s="966"/>
    </row>
  </sheetData>
  <mergeCells count="2">
    <mergeCell ref="A1:M1"/>
    <mergeCell ref="A45:M45"/>
  </mergeCells>
  <conditionalFormatting sqref="A45 A1 G44 N44:XFD1048576 A46:D1048576 A2:D2 A4:D4 B44:D44 A5:I43 AC1:XFD2 N1:O43 R5:AD7 AC8:AD43 A3:M3 AC3:AD4 BC3:XFD43">
    <cfRule type="cellIs" dxfId="2483" priority="65" operator="equal">
      <formula>0</formula>
    </cfRule>
  </conditionalFormatting>
  <conditionalFormatting sqref="E2 E46:E1048576 E4">
    <cfRule type="cellIs" dxfId="2482" priority="64" operator="equal">
      <formula>0</formula>
    </cfRule>
  </conditionalFormatting>
  <conditionalFormatting sqref="E44">
    <cfRule type="cellIs" dxfId="2481" priority="63" operator="equal">
      <formula>0</formula>
    </cfRule>
  </conditionalFormatting>
  <conditionalFormatting sqref="A44">
    <cfRule type="cellIs" dxfId="2480" priority="62" operator="equal">
      <formula>0</formula>
    </cfRule>
  </conditionalFormatting>
  <conditionalFormatting sqref="G2 G46:G1048576 G4:I4">
    <cfRule type="cellIs" dxfId="2479" priority="60" operator="equal">
      <formula>0</formula>
    </cfRule>
  </conditionalFormatting>
  <conditionalFormatting sqref="F2 F46:F1048576 F4">
    <cfRule type="cellIs" dxfId="2478" priority="58" operator="equal">
      <formula>0</formula>
    </cfRule>
  </conditionalFormatting>
  <conditionalFormatting sqref="F44">
    <cfRule type="cellIs" dxfId="2477" priority="57" operator="equal">
      <formula>0</formula>
    </cfRule>
  </conditionalFormatting>
  <conditionalFormatting sqref="I44">
    <cfRule type="cellIs" dxfId="2476" priority="56" operator="equal">
      <formula>0</formula>
    </cfRule>
  </conditionalFormatting>
  <conditionalFormatting sqref="I2 I46:I1048576">
    <cfRule type="cellIs" dxfId="2475" priority="54" operator="equal">
      <formula>0</formula>
    </cfRule>
  </conditionalFormatting>
  <conditionalFormatting sqref="H44">
    <cfRule type="cellIs" dxfId="2474" priority="53" operator="equal">
      <formula>0</formula>
    </cfRule>
  </conditionalFormatting>
  <conditionalFormatting sqref="H2 H46:H1048576">
    <cfRule type="cellIs" dxfId="2473" priority="51" operator="equal">
      <formula>0</formula>
    </cfRule>
  </conditionalFormatting>
  <conditionalFormatting sqref="J11:J43">
    <cfRule type="cellIs" dxfId="2472" priority="50" operator="equal">
      <formula>0</formula>
    </cfRule>
  </conditionalFormatting>
  <conditionalFormatting sqref="J4">
    <cfRule type="cellIs" dxfId="2471" priority="49" operator="equal">
      <formula>0</formula>
    </cfRule>
  </conditionalFormatting>
  <conditionalFormatting sqref="J5:J7">
    <cfRule type="cellIs" dxfId="2470" priority="48" operator="equal">
      <formula>0</formula>
    </cfRule>
  </conditionalFormatting>
  <conditionalFormatting sqref="J8:J10">
    <cfRule type="cellIs" dxfId="2469" priority="47" operator="equal">
      <formula>0</formula>
    </cfRule>
  </conditionalFormatting>
  <conditionalFormatting sqref="J44">
    <cfRule type="cellIs" dxfId="2468" priority="46" operator="equal">
      <formula>0</formula>
    </cfRule>
  </conditionalFormatting>
  <conditionalFormatting sqref="J2 J46:J1048576">
    <cfRule type="cellIs" dxfId="2467" priority="44" operator="equal">
      <formula>0</formula>
    </cfRule>
  </conditionalFormatting>
  <conditionalFormatting sqref="K11:K43">
    <cfRule type="cellIs" dxfId="2466" priority="43" operator="equal">
      <formula>0</formula>
    </cfRule>
  </conditionalFormatting>
  <conditionalFormatting sqref="K4">
    <cfRule type="cellIs" dxfId="2465" priority="42" operator="equal">
      <formula>0</formula>
    </cfRule>
  </conditionalFormatting>
  <conditionalFormatting sqref="K5:K7">
    <cfRule type="cellIs" dxfId="2464" priority="41" operator="equal">
      <formula>0</formula>
    </cfRule>
  </conditionalFormatting>
  <conditionalFormatting sqref="K8:K10">
    <cfRule type="cellIs" dxfId="2463" priority="40" operator="equal">
      <formula>0</formula>
    </cfRule>
  </conditionalFormatting>
  <conditionalFormatting sqref="K44">
    <cfRule type="cellIs" dxfId="2462" priority="39" operator="equal">
      <formula>0</formula>
    </cfRule>
  </conditionalFormatting>
  <conditionalFormatting sqref="K2 K46:K1048576">
    <cfRule type="cellIs" dxfId="2461" priority="37" operator="equal">
      <formula>0</formula>
    </cfRule>
  </conditionalFormatting>
  <conditionalFormatting sqref="L11:L43">
    <cfRule type="cellIs" dxfId="2460" priority="36" operator="equal">
      <formula>0</formula>
    </cfRule>
  </conditionalFormatting>
  <conditionalFormatting sqref="L4">
    <cfRule type="cellIs" dxfId="2459" priority="35" operator="equal">
      <formula>0</formula>
    </cfRule>
  </conditionalFormatting>
  <conditionalFormatting sqref="L5:L7">
    <cfRule type="cellIs" dxfId="2458" priority="34" operator="equal">
      <formula>0</formula>
    </cfRule>
  </conditionalFormatting>
  <conditionalFormatting sqref="L8:L10">
    <cfRule type="cellIs" dxfId="2457" priority="33" operator="equal">
      <formula>0</formula>
    </cfRule>
  </conditionalFormatting>
  <conditionalFormatting sqref="L44">
    <cfRule type="cellIs" dxfId="2456" priority="32" operator="equal">
      <formula>0</formula>
    </cfRule>
  </conditionalFormatting>
  <conditionalFormatting sqref="L2 L46:L1048576">
    <cfRule type="cellIs" dxfId="2455" priority="30" operator="equal">
      <formula>0</formula>
    </cfRule>
  </conditionalFormatting>
  <conditionalFormatting sqref="M11:M43">
    <cfRule type="cellIs" dxfId="2454" priority="29" operator="equal">
      <formula>0</formula>
    </cfRule>
  </conditionalFormatting>
  <conditionalFormatting sqref="M4">
    <cfRule type="cellIs" dxfId="2453" priority="28" operator="equal">
      <formula>0</formula>
    </cfRule>
  </conditionalFormatting>
  <conditionalFormatting sqref="M5:M7">
    <cfRule type="cellIs" dxfId="2452" priority="27" operator="equal">
      <formula>0</formula>
    </cfRule>
  </conditionalFormatting>
  <conditionalFormatting sqref="M8:M10">
    <cfRule type="cellIs" dxfId="2451" priority="26" operator="equal">
      <formula>0</formula>
    </cfRule>
  </conditionalFormatting>
  <conditionalFormatting sqref="M44">
    <cfRule type="cellIs" dxfId="2450" priority="25" operator="equal">
      <formula>0</formula>
    </cfRule>
  </conditionalFormatting>
  <conditionalFormatting sqref="M2 M46:M1048576">
    <cfRule type="cellIs" dxfId="2449" priority="23" operator="equal">
      <formula>0</formula>
    </cfRule>
  </conditionalFormatting>
  <conditionalFormatting sqref="P3:AB3 Q1:AB2">
    <cfRule type="cellIs" dxfId="2448" priority="22" operator="equal">
      <formula>0</formula>
    </cfRule>
  </conditionalFormatting>
  <conditionalFormatting sqref="P4:S4">
    <cfRule type="cellIs" dxfId="2447" priority="21" operator="equal">
      <formula>0</formula>
    </cfRule>
  </conditionalFormatting>
  <conditionalFormatting sqref="T4:U4">
    <cfRule type="cellIs" dxfId="2446" priority="20" operator="equal">
      <formula>0</formula>
    </cfRule>
  </conditionalFormatting>
  <conditionalFormatting sqref="V4:X4">
    <cfRule type="cellIs" dxfId="2445" priority="19" operator="equal">
      <formula>0</formula>
    </cfRule>
  </conditionalFormatting>
  <conditionalFormatting sqref="Y4">
    <cfRule type="cellIs" dxfId="2444" priority="18" operator="equal">
      <formula>0</formula>
    </cfRule>
  </conditionalFormatting>
  <conditionalFormatting sqref="Z4">
    <cfRule type="cellIs" dxfId="2443" priority="17" operator="equal">
      <formula>0</formula>
    </cfRule>
  </conditionalFormatting>
  <conditionalFormatting sqref="AA4">
    <cfRule type="cellIs" dxfId="2442" priority="16" operator="equal">
      <formula>0</formula>
    </cfRule>
  </conditionalFormatting>
  <conditionalFormatting sqref="AB4">
    <cfRule type="cellIs" dxfId="2441" priority="15" operator="equal">
      <formula>0</formula>
    </cfRule>
  </conditionalFormatting>
  <conditionalFormatting sqref="P1">
    <cfRule type="cellIs" dxfId="2440" priority="14" operator="equal">
      <formula>0</formula>
    </cfRule>
  </conditionalFormatting>
  <conditionalFormatting sqref="P5:P42">
    <cfRule type="cellIs" dxfId="2439" priority="13" operator="equal">
      <formula>0</formula>
    </cfRule>
  </conditionalFormatting>
  <conditionalFormatting sqref="P43">
    <cfRule type="cellIs" dxfId="2438" priority="12" operator="equal">
      <formula>0</formula>
    </cfRule>
  </conditionalFormatting>
  <conditionalFormatting sqref="Q5:Q42">
    <cfRule type="cellIs" dxfId="2437" priority="11" operator="equal">
      <formula>0</formula>
    </cfRule>
  </conditionalFormatting>
  <conditionalFormatting sqref="Q43">
    <cfRule type="cellIs" dxfId="2436" priority="10" operator="equal">
      <formula>0</formula>
    </cfRule>
  </conditionalFormatting>
  <conditionalFormatting sqref="R8:AB43">
    <cfRule type="cellIs" dxfId="2435" priority="9" operator="equal">
      <formula>0</formula>
    </cfRule>
  </conditionalFormatting>
  <conditionalFormatting sqref="AE3:BB3 AG5:AQ7 AR5:BB43">
    <cfRule type="cellIs" dxfId="2434" priority="8" operator="equal">
      <formula>0</formula>
    </cfRule>
  </conditionalFormatting>
  <conditionalFormatting sqref="AG5:AQ43">
    <cfRule type="cellIs" dxfId="2433" priority="7" operator="equal">
      <formula>0</formula>
    </cfRule>
  </conditionalFormatting>
  <conditionalFormatting sqref="AE4:AQ4">
    <cfRule type="cellIs" dxfId="2432" priority="6" operator="equal">
      <formula>0</formula>
    </cfRule>
  </conditionalFormatting>
  <conditionalFormatting sqref="AE5:AE42">
    <cfRule type="cellIs" dxfId="2431" priority="5" operator="equal">
      <formula>0</formula>
    </cfRule>
  </conditionalFormatting>
  <conditionalFormatting sqref="AE43">
    <cfRule type="cellIs" dxfId="2430" priority="4" operator="equal">
      <formula>0</formula>
    </cfRule>
  </conditionalFormatting>
  <conditionalFormatting sqref="AF5:AF42">
    <cfRule type="cellIs" dxfId="2429" priority="3" operator="equal">
      <formula>0</formula>
    </cfRule>
  </conditionalFormatting>
  <conditionalFormatting sqref="AF43">
    <cfRule type="cellIs" dxfId="2428" priority="2" operator="equal">
      <formula>0</formula>
    </cfRule>
  </conditionalFormatting>
  <conditionalFormatting sqref="AR4:BB4">
    <cfRule type="cellIs" dxfId="2427"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DAE03-2EAE-4941-887B-16ACDB9749B8}">
  <sheetPr codeName="Folha3">
    <tabColor rgb="FFFFFF00"/>
  </sheetPr>
  <dimension ref="A1:Y56"/>
  <sheetViews>
    <sheetView showGridLines="0" showRowColHeaders="0" zoomScaleNormal="100" zoomScaleSheetLayoutView="100" workbookViewId="0"/>
  </sheetViews>
  <sheetFormatPr defaultColWidth="0" defaultRowHeight="15" zeroHeight="1"/>
  <cols>
    <col min="1" max="11" width="8.42578125" style="894" customWidth="1"/>
    <col min="12" max="12" width="7" style="894" customWidth="1"/>
    <col min="13" max="23" width="8.7109375" style="894" customWidth="1"/>
    <col min="24" max="25" width="0" style="894" hidden="1" customWidth="1"/>
    <col min="26" max="16384" width="8.7109375" style="894" hidden="1"/>
  </cols>
  <sheetData>
    <row r="1" spans="1:23">
      <c r="A1" s="912"/>
      <c r="B1" s="912"/>
      <c r="C1" s="912"/>
      <c r="D1" s="912"/>
      <c r="E1" s="912"/>
      <c r="F1" s="912"/>
      <c r="G1" s="912"/>
      <c r="H1" s="912"/>
      <c r="I1" s="912"/>
      <c r="J1" s="912"/>
      <c r="K1" s="912"/>
      <c r="L1" s="912"/>
      <c r="M1" s="912"/>
      <c r="N1" s="912"/>
      <c r="O1" s="912"/>
      <c r="P1" s="912"/>
      <c r="Q1" s="912"/>
      <c r="R1" s="912"/>
      <c r="S1" s="912"/>
      <c r="T1" s="912"/>
      <c r="U1" s="912"/>
      <c r="V1" s="912"/>
      <c r="W1" s="912"/>
    </row>
    <row r="2" spans="1:23">
      <c r="A2" s="912"/>
      <c r="B2" s="912"/>
      <c r="C2" s="912"/>
      <c r="D2" s="912"/>
      <c r="E2" s="912"/>
      <c r="F2" s="912"/>
      <c r="G2" s="912"/>
      <c r="H2" s="912"/>
      <c r="I2" s="912"/>
      <c r="J2" s="912"/>
      <c r="K2" s="912"/>
      <c r="L2" s="912"/>
      <c r="M2" s="912"/>
      <c r="N2" s="912"/>
      <c r="O2" s="912"/>
      <c r="P2" s="912"/>
      <c r="Q2" s="912"/>
      <c r="R2" s="912"/>
      <c r="S2" s="912"/>
      <c r="T2" s="912"/>
      <c r="U2" s="912"/>
      <c r="V2" s="912"/>
      <c r="W2" s="912"/>
    </row>
    <row r="3" spans="1:23">
      <c r="A3" s="912"/>
      <c r="B3" s="912"/>
      <c r="C3" s="912"/>
      <c r="D3" s="912"/>
      <c r="E3" s="912"/>
      <c r="F3" s="912"/>
      <c r="G3" s="912"/>
      <c r="H3" s="912"/>
      <c r="I3" s="912"/>
      <c r="J3" s="912"/>
      <c r="K3" s="912"/>
      <c r="L3" s="912"/>
      <c r="M3" s="912"/>
      <c r="N3" s="912"/>
      <c r="O3" s="912"/>
      <c r="P3" s="912"/>
      <c r="Q3" s="912"/>
      <c r="R3" s="912"/>
      <c r="S3" s="912"/>
      <c r="T3" s="912"/>
      <c r="U3" s="912"/>
      <c r="V3" s="912"/>
      <c r="W3" s="912"/>
    </row>
    <row r="4" spans="1:23">
      <c r="A4" s="912"/>
      <c r="B4" s="912"/>
      <c r="C4" s="912"/>
      <c r="D4" s="912"/>
      <c r="E4" s="912"/>
      <c r="F4" s="912"/>
      <c r="G4" s="912"/>
      <c r="H4" s="912"/>
      <c r="I4" s="912"/>
      <c r="J4" s="912"/>
      <c r="K4" s="912"/>
      <c r="L4" s="912"/>
      <c r="M4" s="912"/>
      <c r="N4" s="912"/>
      <c r="O4" s="912"/>
      <c r="P4" s="912"/>
      <c r="Q4" s="912"/>
      <c r="R4" s="912"/>
      <c r="S4" s="912"/>
      <c r="T4" s="912"/>
      <c r="U4" s="912"/>
      <c r="V4" s="912"/>
      <c r="W4" s="912"/>
    </row>
    <row r="5" spans="1:23">
      <c r="A5" s="912"/>
      <c r="B5" s="912"/>
      <c r="C5" s="912"/>
      <c r="D5" s="912"/>
      <c r="E5" s="912"/>
      <c r="F5" s="912"/>
      <c r="G5" s="912"/>
      <c r="H5" s="912"/>
      <c r="I5" s="912"/>
      <c r="J5" s="912"/>
      <c r="K5" s="912"/>
      <c r="L5" s="912"/>
      <c r="M5" s="912"/>
      <c r="N5" s="912"/>
      <c r="O5" s="912"/>
      <c r="P5" s="912"/>
      <c r="Q5" s="912"/>
      <c r="R5" s="912"/>
      <c r="S5" s="912"/>
      <c r="T5" s="912"/>
      <c r="U5" s="912"/>
      <c r="V5" s="912"/>
      <c r="W5" s="912"/>
    </row>
    <row r="6" spans="1:23">
      <c r="A6" s="912"/>
      <c r="B6" s="912"/>
      <c r="C6" s="912"/>
      <c r="D6" s="912"/>
      <c r="E6" s="912"/>
      <c r="F6" s="912"/>
      <c r="G6" s="913"/>
      <c r="H6" s="912"/>
      <c r="I6" s="912"/>
      <c r="J6" s="912"/>
      <c r="K6" s="912"/>
      <c r="L6" s="914"/>
      <c r="M6" s="914"/>
      <c r="N6" s="914"/>
      <c r="O6" s="914"/>
      <c r="P6" s="914"/>
      <c r="Q6" s="914"/>
      <c r="R6" s="912"/>
      <c r="S6" s="912"/>
      <c r="T6" s="912"/>
      <c r="U6" s="912"/>
      <c r="V6" s="912"/>
      <c r="W6" s="912"/>
    </row>
    <row r="7" spans="1:23">
      <c r="A7" s="915"/>
      <c r="B7" s="915"/>
      <c r="C7" s="915"/>
      <c r="D7" s="915"/>
      <c r="E7" s="915"/>
      <c r="F7" s="915"/>
      <c r="G7" s="912"/>
      <c r="H7" s="912"/>
      <c r="I7" s="912"/>
      <c r="J7" s="912"/>
      <c r="K7" s="912"/>
      <c r="L7" s="912"/>
      <c r="M7" s="912"/>
      <c r="N7" s="912"/>
      <c r="O7" s="912"/>
      <c r="P7" s="912"/>
      <c r="Q7" s="912"/>
      <c r="R7" s="912"/>
      <c r="S7" s="912"/>
      <c r="T7" s="912"/>
      <c r="U7" s="912"/>
      <c r="V7" s="912"/>
      <c r="W7" s="912"/>
    </row>
    <row r="8" spans="1:23" ht="15" customHeight="1">
      <c r="A8" s="912"/>
      <c r="B8" s="912"/>
      <c r="C8" s="912"/>
      <c r="D8" s="912"/>
      <c r="E8" s="912"/>
      <c r="F8" s="916"/>
      <c r="G8" s="916"/>
      <c r="H8" s="912"/>
      <c r="I8" s="912"/>
      <c r="J8" s="912"/>
      <c r="K8" s="912"/>
      <c r="L8" s="912"/>
      <c r="M8" s="912"/>
      <c r="N8" s="912"/>
      <c r="O8" s="912"/>
      <c r="P8" s="912"/>
      <c r="Q8" s="912"/>
      <c r="R8" s="912"/>
      <c r="S8" s="912"/>
      <c r="T8" s="912"/>
      <c r="U8" s="912"/>
      <c r="V8" s="912"/>
      <c r="W8" s="912"/>
    </row>
    <row r="9" spans="1:23" ht="15" customHeight="1">
      <c r="A9" s="912"/>
      <c r="B9" s="912"/>
      <c r="C9" s="912"/>
      <c r="D9" s="912"/>
      <c r="E9" s="912"/>
      <c r="F9" s="916"/>
      <c r="G9" s="916"/>
      <c r="H9" s="912"/>
      <c r="I9" s="912"/>
      <c r="J9" s="912"/>
      <c r="K9" s="912"/>
      <c r="L9" s="912"/>
      <c r="M9" s="912"/>
      <c r="N9" s="912"/>
      <c r="O9" s="912"/>
      <c r="P9" s="912"/>
      <c r="Q9" s="912"/>
      <c r="R9" s="912"/>
      <c r="S9" s="912"/>
      <c r="T9" s="912"/>
      <c r="U9" s="912"/>
      <c r="V9" s="912"/>
      <c r="W9" s="912"/>
    </row>
    <row r="10" spans="1:23">
      <c r="A10" s="912"/>
      <c r="B10" s="912"/>
      <c r="C10" s="912"/>
      <c r="D10" s="912"/>
      <c r="E10" s="912"/>
      <c r="F10" s="916"/>
      <c r="G10" s="916"/>
      <c r="H10" s="912"/>
      <c r="I10" s="912"/>
      <c r="J10" s="912"/>
      <c r="K10" s="912"/>
      <c r="L10" s="912"/>
      <c r="M10" s="912"/>
      <c r="N10" s="912"/>
      <c r="O10" s="912"/>
      <c r="P10" s="912"/>
      <c r="Q10" s="912"/>
      <c r="R10" s="912"/>
      <c r="S10" s="912"/>
      <c r="T10" s="912"/>
      <c r="U10" s="912"/>
      <c r="V10" s="912"/>
      <c r="W10" s="912"/>
    </row>
    <row r="11" spans="1:23" ht="15" customHeight="1">
      <c r="A11" s="912"/>
      <c r="B11" s="912"/>
      <c r="C11" s="912"/>
      <c r="D11" s="912"/>
      <c r="E11" s="912"/>
      <c r="F11" s="916"/>
      <c r="G11" s="916"/>
      <c r="H11" s="912"/>
      <c r="I11" s="912"/>
      <c r="J11" s="912"/>
      <c r="K11" s="912"/>
      <c r="L11" s="912"/>
      <c r="M11" s="912"/>
      <c r="N11" s="912"/>
      <c r="O11" s="912"/>
      <c r="P11" s="912"/>
      <c r="Q11" s="912"/>
      <c r="R11" s="912"/>
      <c r="S11" s="912"/>
      <c r="T11" s="912"/>
      <c r="U11" s="912"/>
      <c r="V11" s="912"/>
      <c r="W11" s="912"/>
    </row>
    <row r="12" spans="1:23" ht="15" customHeight="1">
      <c r="A12" s="912"/>
      <c r="B12" s="912"/>
      <c r="C12" s="912"/>
      <c r="D12" s="912"/>
      <c r="E12" s="912"/>
      <c r="F12" s="916"/>
      <c r="G12" s="916"/>
      <c r="H12" s="912"/>
      <c r="I12" s="912"/>
      <c r="J12" s="912"/>
      <c r="K12" s="912"/>
      <c r="L12" s="912"/>
      <c r="M12" s="912"/>
      <c r="N12" s="912"/>
      <c r="O12" s="912"/>
      <c r="P12" s="912"/>
      <c r="Q12" s="912"/>
      <c r="R12" s="912"/>
      <c r="S12" s="912"/>
      <c r="T12" s="912"/>
      <c r="U12" s="912"/>
      <c r="V12" s="912"/>
      <c r="W12" s="912"/>
    </row>
    <row r="13" spans="1:23">
      <c r="A13" s="912"/>
      <c r="B13" s="912"/>
      <c r="C13" s="912"/>
      <c r="D13" s="912"/>
      <c r="E13" s="912"/>
      <c r="F13" s="916"/>
      <c r="G13" s="916"/>
      <c r="H13" s="912"/>
      <c r="I13" s="912"/>
      <c r="J13" s="912"/>
      <c r="K13" s="912"/>
      <c r="L13" s="912"/>
      <c r="M13" s="912"/>
      <c r="N13" s="912"/>
      <c r="O13" s="912"/>
      <c r="P13" s="912"/>
      <c r="Q13" s="912"/>
      <c r="R13" s="912"/>
      <c r="S13" s="912"/>
      <c r="T13" s="912"/>
      <c r="U13" s="912"/>
      <c r="V13" s="912"/>
      <c r="W13" s="912"/>
    </row>
    <row r="14" spans="1:23">
      <c r="A14" s="912"/>
      <c r="B14" s="912"/>
      <c r="C14" s="912"/>
      <c r="D14" s="912"/>
      <c r="E14" s="912"/>
      <c r="F14" s="912"/>
      <c r="G14" s="912"/>
      <c r="H14" s="912"/>
      <c r="I14" s="912"/>
      <c r="J14" s="912"/>
      <c r="K14" s="912"/>
      <c r="L14" s="912"/>
      <c r="M14" s="912"/>
      <c r="N14" s="912"/>
      <c r="O14" s="912"/>
      <c r="P14" s="912"/>
      <c r="Q14" s="912"/>
      <c r="R14" s="912"/>
      <c r="S14" s="912"/>
      <c r="T14" s="912"/>
      <c r="U14" s="912"/>
      <c r="V14" s="912"/>
      <c r="W14" s="912"/>
    </row>
    <row r="15" spans="1:23">
      <c r="A15" s="912"/>
      <c r="B15" s="912"/>
      <c r="C15" s="912"/>
      <c r="D15" s="912"/>
      <c r="E15" s="912"/>
      <c r="F15" s="912"/>
      <c r="G15" s="912"/>
      <c r="H15" s="912"/>
      <c r="I15" s="912"/>
      <c r="J15" s="912"/>
      <c r="K15" s="912"/>
      <c r="L15" s="912"/>
      <c r="M15" s="912"/>
      <c r="N15" s="912"/>
      <c r="O15" s="912"/>
      <c r="P15" s="912"/>
      <c r="Q15" s="912"/>
      <c r="R15" s="912"/>
      <c r="S15" s="912"/>
      <c r="T15" s="912"/>
      <c r="U15" s="912"/>
      <c r="V15" s="912"/>
      <c r="W15" s="912"/>
    </row>
    <row r="16" spans="1:23">
      <c r="A16" s="912"/>
      <c r="B16" s="912"/>
      <c r="C16" s="912"/>
      <c r="D16" s="912"/>
      <c r="E16" s="912"/>
      <c r="F16" s="912"/>
      <c r="G16" s="912"/>
      <c r="H16" s="912"/>
      <c r="I16" s="912"/>
      <c r="J16" s="912"/>
      <c r="K16" s="912"/>
      <c r="L16" s="912"/>
      <c r="M16" s="912"/>
      <c r="N16" s="912"/>
      <c r="O16" s="912"/>
      <c r="P16" s="912"/>
      <c r="Q16" s="912"/>
      <c r="R16" s="912"/>
      <c r="S16" s="912"/>
      <c r="T16" s="912"/>
      <c r="U16" s="912"/>
      <c r="V16" s="912"/>
      <c r="W16" s="912"/>
    </row>
    <row r="17" spans="1:25">
      <c r="A17" s="912"/>
      <c r="B17" s="912"/>
      <c r="C17" s="912"/>
      <c r="D17" s="912"/>
      <c r="E17" s="912"/>
      <c r="F17" s="912"/>
      <c r="G17" s="912"/>
      <c r="H17" s="912"/>
      <c r="I17" s="912"/>
      <c r="J17" s="912"/>
      <c r="K17" s="912"/>
      <c r="L17" s="912"/>
      <c r="M17" s="912"/>
      <c r="N17" s="912"/>
      <c r="O17" s="912"/>
      <c r="P17" s="912"/>
      <c r="Q17" s="912"/>
      <c r="R17" s="912"/>
      <c r="S17" s="912"/>
      <c r="T17" s="912"/>
      <c r="U17" s="912"/>
      <c r="V17" s="912"/>
      <c r="W17" s="912"/>
    </row>
    <row r="18" spans="1:25">
      <c r="A18" s="912"/>
      <c r="B18" s="912"/>
      <c r="C18" s="912"/>
      <c r="D18" s="912"/>
      <c r="E18" s="912"/>
      <c r="F18" s="912"/>
      <c r="G18" s="912"/>
      <c r="H18" s="912"/>
      <c r="I18" s="912"/>
      <c r="J18" s="912"/>
      <c r="K18" s="912"/>
      <c r="L18" s="912"/>
      <c r="M18" s="912"/>
      <c r="N18" s="912"/>
      <c r="O18" s="912"/>
      <c r="P18" s="912"/>
      <c r="Q18" s="912"/>
      <c r="R18" s="912"/>
      <c r="S18" s="912"/>
      <c r="T18" s="912"/>
      <c r="U18" s="912"/>
      <c r="V18" s="912"/>
      <c r="W18" s="912"/>
    </row>
    <row r="19" spans="1:25">
      <c r="A19" s="912"/>
      <c r="B19" s="912"/>
      <c r="C19" s="912"/>
      <c r="D19" s="912"/>
      <c r="E19" s="912"/>
      <c r="F19" s="912"/>
      <c r="G19" s="912"/>
      <c r="H19" s="912"/>
      <c r="I19" s="912"/>
      <c r="J19" s="912"/>
      <c r="K19" s="912"/>
      <c r="L19" s="912"/>
      <c r="M19" s="912"/>
      <c r="N19" s="912"/>
      <c r="O19" s="912"/>
      <c r="P19" s="912"/>
      <c r="Q19" s="912"/>
      <c r="R19" s="912"/>
      <c r="S19" s="912"/>
      <c r="T19" s="912"/>
      <c r="U19" s="912"/>
      <c r="V19" s="912"/>
      <c r="W19" s="912"/>
    </row>
    <row r="20" spans="1:25">
      <c r="A20" s="912"/>
      <c r="B20" s="912"/>
      <c r="C20" s="912"/>
      <c r="D20" s="912"/>
      <c r="E20" s="912"/>
      <c r="F20" s="912"/>
      <c r="G20" s="912"/>
      <c r="H20" s="912"/>
      <c r="I20" s="912"/>
      <c r="J20" s="912"/>
      <c r="K20" s="912"/>
      <c r="L20" s="912"/>
      <c r="M20" s="912"/>
      <c r="N20" s="912"/>
      <c r="O20" s="912"/>
      <c r="P20" s="912"/>
      <c r="Q20" s="912"/>
      <c r="R20" s="912"/>
      <c r="S20" s="912"/>
      <c r="T20" s="912"/>
      <c r="U20" s="912"/>
      <c r="V20" s="912"/>
      <c r="W20" s="912"/>
    </row>
    <row r="21" spans="1:25">
      <c r="A21" s="912"/>
      <c r="B21" s="912"/>
      <c r="C21" s="912"/>
      <c r="D21" s="912"/>
      <c r="E21" s="912"/>
      <c r="F21" s="912"/>
      <c r="G21" s="912"/>
      <c r="H21" s="912"/>
      <c r="I21" s="912"/>
      <c r="J21" s="912"/>
      <c r="K21" s="912"/>
      <c r="L21" s="912"/>
      <c r="M21" s="912"/>
      <c r="N21" s="912"/>
      <c r="O21" s="912"/>
      <c r="P21" s="912"/>
      <c r="Q21" s="912"/>
      <c r="R21" s="912"/>
      <c r="S21" s="912"/>
      <c r="T21" s="912"/>
      <c r="U21" s="912"/>
      <c r="V21" s="912"/>
      <c r="W21" s="912"/>
    </row>
    <row r="22" spans="1:25">
      <c r="A22" s="912"/>
      <c r="B22" s="912"/>
      <c r="C22" s="912"/>
      <c r="D22" s="912"/>
      <c r="E22" s="912"/>
      <c r="F22" s="912"/>
      <c r="G22" s="912"/>
      <c r="H22" s="912"/>
      <c r="I22" s="912"/>
      <c r="J22" s="912"/>
      <c r="K22" s="912"/>
      <c r="L22" s="912"/>
      <c r="M22" s="912"/>
      <c r="N22" s="912"/>
      <c r="O22" s="912"/>
      <c r="P22" s="912"/>
      <c r="Q22" s="912"/>
      <c r="R22" s="912"/>
      <c r="S22" s="912"/>
      <c r="T22" s="912"/>
      <c r="U22" s="912"/>
      <c r="V22" s="912"/>
      <c r="W22" s="912"/>
    </row>
    <row r="23" spans="1:25">
      <c r="A23" s="912"/>
      <c r="B23" s="912"/>
      <c r="C23" s="912"/>
      <c r="D23" s="912"/>
      <c r="E23" s="912"/>
      <c r="F23" s="912"/>
      <c r="G23" s="912"/>
      <c r="H23" s="912"/>
      <c r="I23" s="912"/>
      <c r="J23" s="912"/>
      <c r="K23" s="912"/>
      <c r="L23" s="912"/>
      <c r="M23" s="912"/>
      <c r="N23" s="912"/>
      <c r="O23" s="912"/>
      <c r="P23" s="912"/>
      <c r="Q23" s="912"/>
      <c r="R23" s="912"/>
      <c r="S23" s="912"/>
      <c r="T23" s="912"/>
      <c r="U23" s="912"/>
      <c r="V23" s="912"/>
      <c r="W23" s="912"/>
    </row>
    <row r="24" spans="1:25">
      <c r="A24" s="912"/>
      <c r="B24" s="912"/>
      <c r="C24" s="912"/>
      <c r="D24" s="912"/>
      <c r="E24" s="912"/>
      <c r="F24" s="912"/>
      <c r="G24" s="912"/>
      <c r="H24" s="912"/>
      <c r="I24" s="912"/>
      <c r="J24" s="912"/>
      <c r="K24" s="912"/>
      <c r="L24" s="912"/>
      <c r="M24" s="912"/>
      <c r="N24" s="912"/>
      <c r="O24" s="912"/>
      <c r="P24" s="912"/>
      <c r="Q24" s="912"/>
      <c r="R24" s="912"/>
      <c r="S24" s="912"/>
      <c r="T24" s="912"/>
      <c r="U24" s="912"/>
      <c r="V24" s="912"/>
      <c r="W24" s="912"/>
    </row>
    <row r="25" spans="1:25">
      <c r="A25" s="912"/>
      <c r="B25" s="912"/>
      <c r="C25" s="912"/>
      <c r="D25" s="912"/>
      <c r="E25" s="912"/>
      <c r="F25" s="912"/>
      <c r="G25" s="912"/>
      <c r="H25" s="912"/>
      <c r="I25" s="912"/>
      <c r="J25" s="912"/>
      <c r="K25" s="912"/>
      <c r="L25" s="912"/>
      <c r="M25" s="912"/>
      <c r="N25" s="912"/>
      <c r="O25" s="912"/>
      <c r="P25" s="912"/>
      <c r="Q25" s="912"/>
      <c r="R25" s="912"/>
      <c r="S25" s="912"/>
      <c r="T25" s="912"/>
      <c r="U25" s="912"/>
      <c r="V25" s="912"/>
      <c r="W25" s="912"/>
    </row>
    <row r="26" spans="1:25">
      <c r="A26" s="912"/>
      <c r="B26" s="912"/>
      <c r="C26" s="912"/>
      <c r="D26" s="912"/>
      <c r="E26" s="912"/>
      <c r="F26" s="912"/>
      <c r="G26" s="912"/>
      <c r="H26" s="912"/>
      <c r="I26" s="912"/>
      <c r="J26" s="912"/>
      <c r="K26" s="912"/>
      <c r="L26" s="912"/>
      <c r="M26" s="912"/>
      <c r="N26" s="912"/>
      <c r="O26" s="912"/>
      <c r="P26" s="912"/>
      <c r="Q26" s="912"/>
      <c r="R26" s="912"/>
      <c r="S26" s="912"/>
      <c r="T26" s="912"/>
      <c r="U26" s="912"/>
      <c r="V26" s="912"/>
      <c r="W26" s="912"/>
    </row>
    <row r="27" spans="1:25">
      <c r="A27" s="912"/>
      <c r="B27" s="912"/>
      <c r="C27" s="912"/>
      <c r="D27" s="912"/>
      <c r="E27" s="912"/>
      <c r="F27" s="912"/>
      <c r="G27" s="912"/>
      <c r="H27" s="912"/>
      <c r="I27" s="912"/>
      <c r="J27" s="912"/>
      <c r="K27" s="912"/>
      <c r="L27" s="912"/>
      <c r="M27" s="912"/>
      <c r="N27" s="912"/>
      <c r="O27" s="912"/>
      <c r="P27" s="912"/>
      <c r="Q27" s="912"/>
      <c r="R27" s="912"/>
      <c r="S27" s="912"/>
      <c r="T27" s="912"/>
      <c r="U27" s="912"/>
      <c r="V27" s="912"/>
      <c r="W27" s="912"/>
    </row>
    <row r="28" spans="1:25">
      <c r="A28" s="912"/>
      <c r="B28" s="912"/>
      <c r="C28" s="912"/>
      <c r="D28" s="912"/>
      <c r="E28" s="912"/>
      <c r="F28" s="912"/>
      <c r="G28" s="912"/>
      <c r="H28" s="912"/>
      <c r="I28" s="912"/>
      <c r="J28" s="912"/>
      <c r="K28" s="912"/>
      <c r="L28" s="912"/>
      <c r="M28" s="912"/>
      <c r="N28" s="912"/>
      <c r="O28" s="912"/>
      <c r="P28" s="917"/>
      <c r="Q28" s="917"/>
      <c r="R28" s="917"/>
      <c r="S28" s="917"/>
      <c r="T28" s="917"/>
      <c r="U28" s="917"/>
      <c r="V28" s="917"/>
      <c r="W28" s="917"/>
      <c r="X28" s="895"/>
      <c r="Y28" s="895"/>
    </row>
    <row r="29" spans="1:25">
      <c r="A29" s="912"/>
      <c r="B29" s="912"/>
      <c r="C29" s="912"/>
      <c r="D29" s="912"/>
      <c r="E29" s="912"/>
      <c r="F29" s="912"/>
      <c r="G29" s="912"/>
      <c r="H29" s="912"/>
      <c r="I29" s="912"/>
      <c r="J29" s="912"/>
      <c r="K29" s="912"/>
      <c r="L29" s="912"/>
      <c r="M29" s="912"/>
      <c r="N29" s="912"/>
      <c r="O29" s="912"/>
      <c r="P29" s="918"/>
      <c r="Q29" s="918"/>
      <c r="R29" s="918"/>
      <c r="S29" s="918"/>
      <c r="T29" s="918"/>
      <c r="U29" s="918"/>
      <c r="V29" s="912"/>
      <c r="W29" s="919"/>
      <c r="X29" s="896"/>
      <c r="Y29" s="896"/>
    </row>
    <row r="30" spans="1:25">
      <c r="A30" s="912"/>
      <c r="B30" s="912"/>
      <c r="C30" s="912"/>
      <c r="D30" s="912"/>
      <c r="E30" s="912"/>
      <c r="F30" s="912"/>
      <c r="G30" s="912"/>
      <c r="H30" s="912"/>
      <c r="I30" s="912"/>
      <c r="J30" s="912"/>
      <c r="K30" s="912"/>
      <c r="L30" s="912"/>
      <c r="M30" s="912"/>
      <c r="N30" s="912"/>
      <c r="O30" s="912"/>
      <c r="P30" s="912"/>
      <c r="Q30" s="912"/>
      <c r="R30" s="912"/>
      <c r="S30" s="912"/>
      <c r="T30" s="912"/>
      <c r="U30" s="912"/>
      <c r="V30" s="912"/>
      <c r="W30" s="912"/>
    </row>
    <row r="31" spans="1:25">
      <c r="A31" s="912"/>
      <c r="B31" s="912"/>
      <c r="C31" s="912"/>
      <c r="D31" s="912"/>
      <c r="E31" s="912"/>
      <c r="F31" s="912"/>
      <c r="G31" s="912"/>
      <c r="H31" s="912"/>
      <c r="I31" s="912"/>
      <c r="J31" s="912"/>
      <c r="K31" s="912"/>
      <c r="L31" s="912"/>
      <c r="M31" s="912"/>
      <c r="N31" s="912"/>
      <c r="O31" s="912"/>
      <c r="P31" s="920"/>
      <c r="Q31" s="912"/>
      <c r="R31" s="912"/>
      <c r="S31" s="912"/>
      <c r="T31" s="912"/>
      <c r="U31" s="912"/>
      <c r="V31" s="912"/>
      <c r="W31" s="912"/>
    </row>
    <row r="32" spans="1:25">
      <c r="A32" s="912"/>
      <c r="B32" s="912"/>
      <c r="C32" s="912"/>
      <c r="D32" s="912"/>
      <c r="E32" s="912"/>
      <c r="F32" s="912"/>
      <c r="G32" s="912"/>
      <c r="H32" s="912"/>
      <c r="I32" s="912"/>
      <c r="J32" s="912"/>
      <c r="K32" s="912"/>
      <c r="L32" s="912"/>
      <c r="M32" s="912"/>
      <c r="N32" s="912"/>
      <c r="O32" s="912"/>
      <c r="P32" s="919"/>
      <c r="Q32" s="912"/>
      <c r="R32" s="912"/>
      <c r="S32" s="912"/>
      <c r="T32" s="912"/>
      <c r="U32" s="912"/>
      <c r="V32" s="912"/>
      <c r="W32" s="912"/>
    </row>
    <row r="33" spans="1:23">
      <c r="A33" s="912"/>
      <c r="B33" s="912"/>
      <c r="C33" s="912"/>
      <c r="D33" s="912"/>
      <c r="E33" s="912"/>
      <c r="F33" s="912"/>
      <c r="G33" s="912"/>
      <c r="H33" s="912"/>
      <c r="I33" s="912"/>
      <c r="J33" s="912"/>
      <c r="K33" s="912"/>
      <c r="L33" s="912"/>
      <c r="M33" s="912"/>
      <c r="N33" s="912"/>
      <c r="O33" s="912"/>
      <c r="P33" s="919"/>
      <c r="Q33" s="912"/>
      <c r="R33" s="912"/>
      <c r="S33" s="912"/>
      <c r="T33" s="912"/>
      <c r="U33" s="912"/>
      <c r="V33" s="912"/>
      <c r="W33" s="912"/>
    </row>
    <row r="34" spans="1:23">
      <c r="A34" s="912"/>
      <c r="B34" s="912"/>
      <c r="C34" s="912"/>
      <c r="D34" s="912"/>
      <c r="E34" s="912"/>
      <c r="F34" s="912"/>
      <c r="G34" s="912"/>
      <c r="H34" s="912"/>
      <c r="I34" s="912"/>
      <c r="J34" s="912"/>
      <c r="K34" s="912"/>
      <c r="L34" s="912"/>
      <c r="M34" s="912"/>
      <c r="N34" s="912"/>
      <c r="O34" s="912"/>
      <c r="P34" s="919"/>
      <c r="Q34" s="912"/>
      <c r="R34" s="912"/>
      <c r="S34" s="912"/>
      <c r="T34" s="912"/>
      <c r="U34" s="912"/>
      <c r="V34" s="912"/>
      <c r="W34" s="912"/>
    </row>
    <row r="35" spans="1:23">
      <c r="A35" s="912"/>
      <c r="B35" s="912"/>
      <c r="C35" s="912"/>
      <c r="D35" s="912"/>
      <c r="E35" s="912"/>
      <c r="F35" s="912"/>
      <c r="G35" s="912"/>
      <c r="H35" s="921"/>
      <c r="I35" s="912"/>
      <c r="J35" s="920"/>
      <c r="K35" s="912"/>
      <c r="L35" s="912"/>
      <c r="M35" s="919"/>
      <c r="N35" s="919"/>
      <c r="O35" s="919"/>
      <c r="P35" s="919"/>
      <c r="Q35" s="912"/>
      <c r="R35" s="912"/>
      <c r="S35" s="912"/>
      <c r="T35" s="912"/>
      <c r="U35" s="912"/>
      <c r="V35" s="912"/>
      <c r="W35" s="912"/>
    </row>
    <row r="36" spans="1:23">
      <c r="A36" s="912"/>
      <c r="B36" s="912"/>
      <c r="C36" s="912"/>
      <c r="D36" s="912"/>
      <c r="E36" s="912"/>
      <c r="F36" s="912"/>
      <c r="G36" s="912"/>
      <c r="H36" s="921"/>
      <c r="I36" s="912"/>
      <c r="J36" s="920"/>
      <c r="K36" s="912"/>
      <c r="L36" s="912"/>
      <c r="M36" s="919"/>
      <c r="N36" s="919"/>
      <c r="O36" s="919"/>
      <c r="P36" s="919"/>
      <c r="Q36" s="912"/>
      <c r="R36" s="912"/>
      <c r="S36" s="912"/>
      <c r="T36" s="912"/>
      <c r="U36" s="912"/>
      <c r="V36" s="912"/>
      <c r="W36" s="912"/>
    </row>
    <row r="37" spans="1:23">
      <c r="A37" s="912"/>
      <c r="B37" s="912"/>
      <c r="C37" s="912"/>
      <c r="D37" s="912"/>
      <c r="E37" s="912"/>
      <c r="F37" s="912"/>
      <c r="G37" s="912"/>
      <c r="H37" s="912"/>
      <c r="I37" s="912"/>
      <c r="J37" s="920"/>
      <c r="K37" s="912"/>
      <c r="L37" s="912"/>
      <c r="M37" s="922"/>
      <c r="N37" s="921"/>
      <c r="O37" s="919"/>
      <c r="P37" s="919"/>
      <c r="Q37" s="912"/>
      <c r="R37" s="912"/>
      <c r="S37" s="912"/>
      <c r="T37" s="912"/>
      <c r="U37" s="912"/>
      <c r="V37" s="912"/>
      <c r="W37" s="912"/>
    </row>
    <row r="38" spans="1:23">
      <c r="A38" s="912"/>
      <c r="B38" s="912"/>
      <c r="C38" s="912"/>
      <c r="D38" s="912"/>
      <c r="E38" s="912"/>
      <c r="F38" s="912"/>
      <c r="G38" s="912"/>
      <c r="H38" s="921"/>
      <c r="I38" s="912"/>
      <c r="J38" s="920"/>
      <c r="K38" s="912"/>
      <c r="L38" s="912"/>
      <c r="M38" s="919"/>
      <c r="N38" s="919"/>
      <c r="O38" s="919"/>
      <c r="P38" s="919"/>
      <c r="Q38" s="912"/>
      <c r="R38" s="912"/>
      <c r="S38" s="912"/>
      <c r="T38" s="912"/>
      <c r="U38" s="912"/>
      <c r="V38" s="912"/>
      <c r="W38" s="912"/>
    </row>
    <row r="39" spans="1:23">
      <c r="A39" s="912"/>
      <c r="B39" s="912"/>
      <c r="C39" s="912"/>
      <c r="D39" s="912"/>
      <c r="E39" s="912"/>
      <c r="F39" s="912"/>
      <c r="G39" s="912"/>
      <c r="H39" s="920"/>
      <c r="I39" s="920"/>
      <c r="J39" s="920"/>
      <c r="K39" s="912"/>
      <c r="L39" s="919"/>
      <c r="M39" s="919"/>
      <c r="N39" s="919"/>
      <c r="O39" s="919"/>
      <c r="P39" s="919"/>
      <c r="Q39" s="912"/>
      <c r="R39" s="912"/>
      <c r="S39" s="912"/>
      <c r="T39" s="912"/>
      <c r="U39" s="912"/>
      <c r="V39" s="912"/>
      <c r="W39" s="912"/>
    </row>
    <row r="40" spans="1:23">
      <c r="A40" s="912"/>
      <c r="B40" s="912"/>
      <c r="C40" s="912"/>
      <c r="D40" s="912"/>
      <c r="E40" s="912"/>
      <c r="F40" s="912"/>
      <c r="G40" s="919"/>
      <c r="H40" s="919"/>
      <c r="I40" s="919"/>
      <c r="J40" s="919"/>
      <c r="K40" s="919"/>
      <c r="L40" s="919"/>
      <c r="M40" s="919"/>
      <c r="N40" s="919"/>
      <c r="O40" s="919"/>
      <c r="P40" s="919"/>
      <c r="Q40" s="912"/>
      <c r="R40" s="912"/>
      <c r="S40" s="912"/>
      <c r="T40" s="912"/>
      <c r="U40" s="912"/>
      <c r="V40" s="912"/>
      <c r="W40" s="912"/>
    </row>
    <row r="41" spans="1:23">
      <c r="A41" s="912"/>
      <c r="B41" s="912"/>
      <c r="C41" s="912"/>
      <c r="D41" s="912"/>
      <c r="E41" s="912"/>
      <c r="F41" s="912"/>
      <c r="G41" s="919"/>
      <c r="H41" s="919"/>
      <c r="I41" s="919"/>
      <c r="J41" s="919"/>
      <c r="K41" s="919"/>
      <c r="L41" s="919"/>
      <c r="M41" s="919"/>
      <c r="N41" s="919"/>
      <c r="O41" s="919"/>
      <c r="P41" s="919"/>
      <c r="Q41" s="912"/>
      <c r="R41" s="912"/>
      <c r="S41" s="912"/>
      <c r="T41" s="912"/>
      <c r="U41" s="912"/>
      <c r="V41" s="912"/>
      <c r="W41" s="912"/>
    </row>
    <row r="42" spans="1:23">
      <c r="A42" s="912"/>
      <c r="B42" s="912"/>
      <c r="C42" s="912"/>
      <c r="D42" s="912"/>
      <c r="E42" s="912"/>
      <c r="F42" s="912"/>
      <c r="G42" s="919"/>
      <c r="H42" s="919"/>
      <c r="I42" s="919"/>
      <c r="J42" s="919"/>
      <c r="K42" s="919"/>
      <c r="L42" s="919"/>
      <c r="M42" s="919"/>
      <c r="N42" s="919"/>
      <c r="O42" s="919"/>
      <c r="P42" s="919"/>
      <c r="Q42" s="912"/>
      <c r="R42" s="912"/>
      <c r="S42" s="912"/>
      <c r="T42" s="912"/>
      <c r="U42" s="912"/>
      <c r="V42" s="912"/>
      <c r="W42" s="912"/>
    </row>
    <row r="43" spans="1:23">
      <c r="A43" s="912"/>
      <c r="B43" s="912"/>
      <c r="C43" s="912"/>
      <c r="D43" s="912"/>
      <c r="E43" s="912"/>
      <c r="F43" s="912"/>
      <c r="G43" s="919"/>
      <c r="H43" s="919"/>
      <c r="I43" s="919"/>
      <c r="J43" s="919"/>
      <c r="K43" s="919"/>
      <c r="L43" s="919"/>
      <c r="M43" s="919"/>
      <c r="N43" s="919"/>
      <c r="O43" s="919"/>
      <c r="P43" s="919"/>
      <c r="Q43" s="912"/>
      <c r="R43" s="912"/>
      <c r="S43" s="912"/>
      <c r="T43" s="912"/>
      <c r="U43" s="912"/>
      <c r="V43" s="912"/>
      <c r="W43" s="912"/>
    </row>
    <row r="44" spans="1:23">
      <c r="A44" s="912"/>
      <c r="B44" s="912"/>
      <c r="C44" s="912"/>
      <c r="D44" s="912"/>
      <c r="E44" s="912"/>
      <c r="F44" s="912"/>
      <c r="G44" s="919"/>
      <c r="H44" s="919"/>
      <c r="I44" s="919"/>
      <c r="J44" s="919"/>
      <c r="K44" s="919"/>
      <c r="L44" s="919"/>
      <c r="M44" s="919"/>
      <c r="N44" s="919"/>
      <c r="O44" s="919"/>
      <c r="P44" s="919"/>
      <c r="Q44" s="912"/>
      <c r="R44" s="912"/>
      <c r="S44" s="912"/>
      <c r="T44" s="912"/>
      <c r="U44" s="912"/>
      <c r="V44" s="912"/>
      <c r="W44" s="912"/>
    </row>
    <row r="45" spans="1:23">
      <c r="A45" s="912"/>
      <c r="B45" s="912"/>
      <c r="C45" s="912"/>
      <c r="D45" s="912"/>
      <c r="E45" s="912"/>
      <c r="F45" s="912"/>
      <c r="G45" s="919"/>
      <c r="H45" s="919"/>
      <c r="I45" s="919"/>
      <c r="J45" s="919"/>
      <c r="K45" s="919"/>
      <c r="L45" s="919"/>
      <c r="M45" s="923"/>
      <c r="N45" s="919"/>
      <c r="O45" s="919"/>
      <c r="P45" s="924"/>
      <c r="Q45" s="924"/>
      <c r="R45" s="912"/>
      <c r="S45" s="912"/>
      <c r="T45" s="912"/>
      <c r="U45" s="912"/>
      <c r="V45" s="912"/>
      <c r="W45" s="912"/>
    </row>
    <row r="46" spans="1:23">
      <c r="A46" s="912"/>
      <c r="B46" s="912"/>
      <c r="C46" s="912"/>
      <c r="D46" s="912"/>
      <c r="E46" s="912"/>
      <c r="F46" s="912"/>
      <c r="G46" s="919"/>
      <c r="H46" s="919"/>
      <c r="I46" s="919"/>
      <c r="J46" s="919"/>
      <c r="K46" s="919"/>
      <c r="L46" s="919"/>
      <c r="M46" s="919"/>
      <c r="N46" s="919"/>
      <c r="O46" s="919"/>
      <c r="P46" s="919"/>
      <c r="Q46" s="912"/>
      <c r="R46" s="912"/>
      <c r="S46" s="912"/>
      <c r="T46" s="912"/>
      <c r="U46" s="912"/>
      <c r="V46" s="912"/>
      <c r="W46" s="912"/>
    </row>
    <row r="47" spans="1:23">
      <c r="A47" s="912"/>
      <c r="B47" s="912"/>
      <c r="C47" s="912"/>
      <c r="D47" s="912"/>
      <c r="E47" s="912"/>
      <c r="F47" s="912"/>
      <c r="G47" s="919"/>
      <c r="H47" s="919"/>
      <c r="I47" s="919"/>
      <c r="J47" s="919"/>
      <c r="K47" s="919"/>
      <c r="L47" s="919"/>
      <c r="M47" s="919"/>
      <c r="N47" s="919"/>
      <c r="O47" s="919"/>
      <c r="P47" s="919"/>
      <c r="Q47" s="912"/>
      <c r="R47" s="912"/>
      <c r="S47" s="912"/>
      <c r="T47" s="912"/>
      <c r="U47" s="912"/>
      <c r="V47" s="912"/>
      <c r="W47" s="912"/>
    </row>
    <row r="48" spans="1:23">
      <c r="A48" s="912"/>
      <c r="B48" s="912"/>
      <c r="C48" s="912"/>
      <c r="D48" s="912"/>
      <c r="E48" s="912"/>
      <c r="F48" s="912"/>
      <c r="G48" s="919"/>
      <c r="H48" s="919"/>
      <c r="I48" s="919"/>
      <c r="J48" s="919"/>
      <c r="K48" s="919"/>
      <c r="L48" s="919"/>
      <c r="M48" s="919"/>
      <c r="N48" s="919"/>
      <c r="O48" s="919"/>
      <c r="P48" s="919"/>
      <c r="Q48" s="912"/>
      <c r="R48" s="912"/>
      <c r="S48" s="912"/>
      <c r="T48" s="912"/>
      <c r="U48" s="912"/>
      <c r="V48" s="912"/>
      <c r="W48" s="912"/>
    </row>
    <row r="49" spans="1:25">
      <c r="A49" s="912"/>
      <c r="B49" s="912"/>
      <c r="C49" s="912"/>
      <c r="D49" s="912"/>
      <c r="E49" s="912"/>
      <c r="F49" s="912"/>
      <c r="G49" s="919"/>
      <c r="H49" s="919"/>
      <c r="I49" s="919"/>
      <c r="J49" s="919"/>
      <c r="K49" s="919"/>
      <c r="L49" s="925"/>
      <c r="M49" s="925"/>
      <c r="N49" s="925"/>
      <c r="O49" s="925"/>
      <c r="P49" s="919"/>
      <c r="Q49" s="919"/>
      <c r="R49" s="919"/>
      <c r="S49" s="919"/>
      <c r="T49" s="919"/>
      <c r="U49" s="919"/>
      <c r="V49" s="919"/>
      <c r="W49" s="919"/>
      <c r="X49" s="896"/>
      <c r="Y49" s="896"/>
    </row>
    <row r="50" spans="1:25">
      <c r="A50" s="912"/>
      <c r="B50" s="912"/>
      <c r="C50" s="912"/>
      <c r="D50" s="912"/>
      <c r="E50" s="912"/>
      <c r="F50" s="912"/>
      <c r="G50" s="919"/>
      <c r="H50" s="919"/>
      <c r="I50" s="919"/>
      <c r="J50" s="919"/>
      <c r="K50" s="919"/>
      <c r="L50" s="919"/>
      <c r="M50" s="919"/>
      <c r="N50" s="919"/>
      <c r="O50" s="919"/>
      <c r="P50" s="919"/>
      <c r="Q50" s="919"/>
      <c r="R50" s="919"/>
      <c r="S50" s="919"/>
      <c r="T50" s="919"/>
      <c r="U50" s="919"/>
      <c r="V50" s="919"/>
      <c r="W50" s="919"/>
      <c r="X50" s="896"/>
      <c r="Y50" s="896"/>
    </row>
    <row r="51" spans="1:25">
      <c r="A51" s="912"/>
      <c r="B51" s="912"/>
      <c r="C51" s="912"/>
      <c r="D51" s="912"/>
      <c r="E51" s="912"/>
      <c r="F51" s="912"/>
      <c r="G51" s="919"/>
      <c r="H51" s="919"/>
      <c r="I51" s="919"/>
      <c r="J51" s="919"/>
      <c r="K51" s="919"/>
      <c r="L51" s="919"/>
      <c r="M51" s="919"/>
      <c r="N51" s="919"/>
      <c r="O51" s="919"/>
      <c r="P51" s="912"/>
      <c r="Q51" s="912"/>
      <c r="R51" s="912"/>
      <c r="S51" s="912"/>
      <c r="T51" s="912"/>
      <c r="U51" s="912"/>
      <c r="V51" s="912"/>
      <c r="W51" s="912"/>
    </row>
    <row r="52" spans="1:25">
      <c r="A52" s="912"/>
      <c r="B52" s="912"/>
      <c r="C52" s="912"/>
      <c r="D52" s="912"/>
      <c r="E52" s="912"/>
      <c r="F52" s="912"/>
      <c r="G52" s="912"/>
      <c r="H52" s="912"/>
      <c r="I52" s="912"/>
      <c r="J52" s="912"/>
      <c r="K52" s="912"/>
      <c r="L52" s="912"/>
      <c r="M52" s="912"/>
      <c r="N52" s="912"/>
      <c r="O52" s="912"/>
      <c r="P52" s="912"/>
      <c r="Q52" s="912"/>
      <c r="R52" s="912"/>
      <c r="S52" s="912"/>
      <c r="T52" s="912"/>
      <c r="U52" s="912"/>
      <c r="V52" s="912"/>
      <c r="W52" s="912"/>
    </row>
    <row r="53" spans="1:25">
      <c r="A53" s="912"/>
      <c r="B53" s="912"/>
      <c r="C53" s="912"/>
      <c r="D53" s="912"/>
      <c r="E53" s="912"/>
      <c r="F53" s="912"/>
      <c r="G53" s="912"/>
      <c r="H53" s="912"/>
      <c r="I53" s="912"/>
      <c r="J53" s="912"/>
      <c r="K53" s="912"/>
      <c r="L53" s="912"/>
      <c r="M53" s="912"/>
      <c r="N53" s="912"/>
      <c r="O53" s="912"/>
      <c r="P53" s="912"/>
      <c r="Q53" s="912"/>
      <c r="R53" s="912"/>
      <c r="S53" s="912"/>
      <c r="T53" s="912"/>
      <c r="U53" s="912"/>
      <c r="V53" s="912"/>
      <c r="W53" s="912"/>
    </row>
    <row r="54" spans="1:25" hidden="1"/>
    <row r="55" spans="1:25" hidden="1">
      <c r="J55" s="899"/>
      <c r="R55" s="899"/>
    </row>
    <row r="56" spans="1:25" hidden="1">
      <c r="R56" s="899"/>
    </row>
  </sheetData>
  <sheetProtection algorithmName="SHA-512" hashValue="nJbBGM2AFjw/RhhTg+zSJ6gxFN5CySOathFKePBV3wqYb6jrkQozE0J+C4uNg6a6FTqKbDOUNq7Nu8V7gHKhrQ==" saltValue="UXQ02HlcVVaccZAHatluUQ==" spinCount="100000" sheet="1" objects="1" scenarios="1"/>
  <printOptions horizontalCentered="1" verticalCentered="1"/>
  <pageMargins left="0" right="0" top="0" bottom="0" header="0" footer="0"/>
  <pageSetup paperSize="9" scale="75" fitToWidth="0" fitToHeight="0"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5124" r:id="rId4" name="Drop Down 4">
              <controlPr defaultSize="0" autoLine="0" autoPict="0">
                <anchor moveWithCells="1">
                  <from>
                    <xdr:col>14</xdr:col>
                    <xdr:colOff>438150</xdr:colOff>
                    <xdr:row>3</xdr:row>
                    <xdr:rowOff>9525</xdr:rowOff>
                  </from>
                  <to>
                    <xdr:col>16</xdr:col>
                    <xdr:colOff>571500</xdr:colOff>
                    <xdr:row>4</xdr:row>
                    <xdr:rowOff>28575</xdr:rowOff>
                  </to>
                </anchor>
              </controlPr>
            </control>
          </mc:Choice>
        </mc:AlternateContent>
        <mc:AlternateContent xmlns:mc="http://schemas.openxmlformats.org/markup-compatibility/2006">
          <mc:Choice Requires="x14">
            <control shapeId="5125" r:id="rId5" name="Drop Down 5">
              <controlPr defaultSize="0" autoLine="0" autoPict="0">
                <anchor moveWithCells="1">
                  <from>
                    <xdr:col>14</xdr:col>
                    <xdr:colOff>542925</xdr:colOff>
                    <xdr:row>27</xdr:row>
                    <xdr:rowOff>133350</xdr:rowOff>
                  </from>
                  <to>
                    <xdr:col>17</xdr:col>
                    <xdr:colOff>47625</xdr:colOff>
                    <xdr:row>28</xdr:row>
                    <xdr:rowOff>133350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35814-13B2-4F6E-AC73-177FDEC28026}">
  <dimension ref="A3:AG55"/>
  <sheetViews>
    <sheetView showGridLines="0" topLeftCell="B31" zoomScale="120" zoomScaleNormal="120" workbookViewId="0">
      <selection activeCell="Y70" sqref="Y70"/>
    </sheetView>
  </sheetViews>
  <sheetFormatPr defaultColWidth="8.7109375" defaultRowHeight="12"/>
  <cols>
    <col min="1" max="1" width="17.7109375" style="453" bestFit="1" customWidth="1"/>
    <col min="2" max="16384" width="8.7109375" style="453"/>
  </cols>
  <sheetData>
    <row r="3" spans="1:16">
      <c r="A3" s="423" t="s">
        <v>373</v>
      </c>
      <c r="N3" s="485"/>
    </row>
    <row r="4" spans="1:16">
      <c r="A4" s="423" t="s">
        <v>371</v>
      </c>
      <c r="N4" s="485"/>
    </row>
    <row r="5" spans="1:16">
      <c r="B5" s="423">
        <f>+'q21'!$B$4</f>
        <v>2014</v>
      </c>
      <c r="C5" s="423">
        <f>+'q21'!$C$4</f>
        <v>2015</v>
      </c>
      <c r="D5" s="423">
        <f>+'q21'!$D$4</f>
        <v>2016</v>
      </c>
      <c r="E5" s="423">
        <f>+'q21'!$E$4</f>
        <v>2017</v>
      </c>
      <c r="F5" s="423">
        <f>+'q21'!$F$4</f>
        <v>2018</v>
      </c>
      <c r="G5" s="423">
        <f>+'q21'!$G$4</f>
        <v>2019</v>
      </c>
      <c r="H5" s="423">
        <f>+'q21'!$H$4</f>
        <v>2020</v>
      </c>
      <c r="I5" s="423">
        <f>+'q21'!$I$4</f>
        <v>2021</v>
      </c>
      <c r="J5" s="423">
        <f>+'q21'!$J$4</f>
        <v>2022</v>
      </c>
      <c r="K5" s="423">
        <f>+'q21'!$K$4</f>
        <v>2023</v>
      </c>
      <c r="L5" s="423">
        <f>+'q21'!$L$4</f>
        <v>2024</v>
      </c>
      <c r="N5" s="485"/>
    </row>
    <row r="6" spans="1:16">
      <c r="A6" s="423" t="s">
        <v>376</v>
      </c>
      <c r="B6" s="475">
        <f>((+'q21'!$B$6)/(+'q21'!$B$5))</f>
        <v>7.5470347823245985E-3</v>
      </c>
      <c r="C6" s="475">
        <f>((+'q21'!C6)/(+'q21'!C$5))</f>
        <v>5.8283457994476508E-3</v>
      </c>
      <c r="D6" s="475">
        <f>((+'q21'!D6)/(+'q21'!D$5))</f>
        <v>5.3890411798856496E-3</v>
      </c>
      <c r="E6" s="475">
        <f>((+'q21'!E6)/(+'q21'!E$5))</f>
        <v>5.3899189612480261E-3</v>
      </c>
      <c r="F6" s="475">
        <f>((+'q21'!F6)/(+'q21'!F$5))</f>
        <v>4.6670768628066213E-3</v>
      </c>
      <c r="G6" s="475">
        <f>((+'q21'!G6)/(+'q21'!G$5))</f>
        <v>4.9964164128292422E-3</v>
      </c>
      <c r="H6" s="475">
        <f>((+'q21'!H6)/(+'q21'!H$5))</f>
        <v>4.6522416984656105E-3</v>
      </c>
      <c r="I6" s="475">
        <f>((+'q21'!I6)/(+'q21'!I$5))</f>
        <v>5.0086476651304149E-3</v>
      </c>
      <c r="J6" s="475">
        <f>((+'q21'!J6)/(+'q21'!J$5))</f>
        <v>4.7863844973833336E-3</v>
      </c>
      <c r="K6" s="475">
        <f>((+'q21'!K6)/(+'q21'!K$5))</f>
        <v>4.5003242016534283E-3</v>
      </c>
      <c r="L6" s="475">
        <f>((+'q21'!L6)/(+'q21'!L$5))</f>
        <v>3.8617246483820125E-3</v>
      </c>
      <c r="M6" s="484">
        <f>+L6-B6</f>
        <v>-3.685310133942586E-3</v>
      </c>
      <c r="N6" s="473"/>
      <c r="O6" s="473"/>
    </row>
    <row r="7" spans="1:16">
      <c r="A7" s="423" t="s">
        <v>118</v>
      </c>
      <c r="B7" s="475">
        <f>((+'q21'!$B$7)/(+'q21'!$B$5))</f>
        <v>0.20369215067932647</v>
      </c>
      <c r="C7" s="475">
        <f>((+'q21'!C7)/(+'q21'!C$5))</f>
        <v>0.18384224845075486</v>
      </c>
      <c r="D7" s="475">
        <f>((+'q21'!D7)/(+'q21'!D$5))</f>
        <v>0.22109181370872022</v>
      </c>
      <c r="E7" s="475">
        <f>((+'q21'!E7)/(+'q21'!E$5))</f>
        <v>0.22888510621531627</v>
      </c>
      <c r="F7" s="475">
        <f>((+'q21'!F7)/(+'q21'!F$5))</f>
        <v>0.22317088266380225</v>
      </c>
      <c r="G7" s="475">
        <f>((+'q21'!G7)/(+'q21'!G$5))</f>
        <v>0.20974556531087618</v>
      </c>
      <c r="H7" s="475">
        <f>((+'q21'!H7)/(+'q21'!H$5))</f>
        <v>0.23879843890213009</v>
      </c>
      <c r="I7" s="475">
        <f>((+'q21'!I7)/(+'q21'!I$5))</f>
        <v>0.23485068122516012</v>
      </c>
      <c r="J7" s="475">
        <f>((+'q21'!J7)/(+'q21'!J$5))</f>
        <v>0.23346050170130656</v>
      </c>
      <c r="K7" s="475">
        <f>((+'q21'!K7)/(+'q21'!K$5))</f>
        <v>0.20624493434916519</v>
      </c>
      <c r="L7" s="475">
        <f>((+'q21'!L7)/(+'q21'!L$5))</f>
        <v>0.20405750343749737</v>
      </c>
      <c r="M7" s="484">
        <f>+L7-B7</f>
        <v>3.653527581709004E-4</v>
      </c>
      <c r="N7" s="482">
        <f>+(L7-B7)*100</f>
        <v>3.653527581709004E-2</v>
      </c>
      <c r="O7" s="482">
        <f>+(L8-B8)*100</f>
        <v>-20.698497970008578</v>
      </c>
    </row>
    <row r="8" spans="1:16">
      <c r="A8" s="423" t="s">
        <v>634</v>
      </c>
      <c r="B8" s="475">
        <f>((+'q21'!$B$8)/(+'q21'!$B$5))</f>
        <v>0.54175553996329417</v>
      </c>
      <c r="C8" s="475">
        <f>((+'q21'!C8)/(+'q21'!C$5))</f>
        <v>0.5613940017005411</v>
      </c>
      <c r="D8" s="475">
        <f>((+'q21'!D8)/(+'q21'!D$5))</f>
        <v>0.52377937535980879</v>
      </c>
      <c r="E8" s="475">
        <f>((+'q21'!E8)/(+'q21'!E$5))</f>
        <v>0.50997986343912571</v>
      </c>
      <c r="F8" s="475">
        <f>((+'q21'!F8)/(+'q21'!F$5))</f>
        <v>0.50294203130519</v>
      </c>
      <c r="G8" s="475">
        <f>((+'q21'!G8)/(+'q21'!G$5))</f>
        <v>0.49900779430209641</v>
      </c>
      <c r="H8" s="475">
        <f>((+'q21'!H8)/(+'q21'!H$5))</f>
        <v>0.44975874698144924</v>
      </c>
      <c r="I8" s="475">
        <f>((+'q21'!I8)/(+'q21'!I$5))</f>
        <v>0.43323348150544805</v>
      </c>
      <c r="J8" s="475">
        <f>((+'q21'!J8)/(+'q21'!J$5))</f>
        <v>0.40428893382685605</v>
      </c>
      <c r="K8" s="475">
        <f>((+'q21'!K8)/(+'q21'!K$5))</f>
        <v>0.38834576106338142</v>
      </c>
      <c r="L8" s="475">
        <f>((+'q21'!L8)/(+'q21'!L$5))</f>
        <v>0.33477056026320839</v>
      </c>
      <c r="M8" s="484">
        <f>+L8-B8</f>
        <v>-0.20698497970008578</v>
      </c>
      <c r="N8" s="542">
        <f>+(L7+L8)</f>
        <v>0.53882806370070579</v>
      </c>
      <c r="O8" s="541">
        <f>+B7+B8</f>
        <v>0.74544769064262062</v>
      </c>
      <c r="P8" s="473">
        <f>+(N8-O8)*100</f>
        <v>-20.661962694191484</v>
      </c>
    </row>
    <row r="9" spans="1:16">
      <c r="A9" s="423" t="s">
        <v>173</v>
      </c>
      <c r="B9" s="475">
        <f>((+'q21'!$B$9)/(+'q21'!$B$5))</f>
        <v>0.13515638329373902</v>
      </c>
      <c r="C9" s="475">
        <f>((+'q21'!C9)/(+'q21'!C$5))</f>
        <v>0.13673033065127307</v>
      </c>
      <c r="D9" s="475">
        <f>((+'q21'!D9)/(+'q21'!D$5))</f>
        <v>0.13732516882726309</v>
      </c>
      <c r="E9" s="475">
        <f>((+'q21'!E9)/(+'q21'!E$5))</f>
        <v>0.1414573466551404</v>
      </c>
      <c r="F9" s="475">
        <f>((+'q21'!F9)/(+'q21'!F$5))</f>
        <v>0.14863141246975106</v>
      </c>
      <c r="G9" s="475">
        <f>((+'q21'!G9)/(+'q21'!G$5))</f>
        <v>0.15694678373051424</v>
      </c>
      <c r="H9" s="475">
        <f>((+'q21'!H9)/(+'q21'!H$5))</f>
        <v>0.16926526187573876</v>
      </c>
      <c r="I9" s="475">
        <f>((+'q21'!I9)/(+'q21'!I$5))</f>
        <v>0.17971693097409155</v>
      </c>
      <c r="J9" s="475">
        <f>((+'q21'!J9)/(+'q21'!J$5))</f>
        <v>0.19453183031966045</v>
      </c>
      <c r="K9" s="475">
        <f>((+'q21'!K9)/(+'q21'!K$5))</f>
        <v>0.21866266817960772</v>
      </c>
      <c r="L9" s="475">
        <f>((+'q21'!L9)/(+'q21'!L$5))</f>
        <v>0.24863228092261752</v>
      </c>
      <c r="M9" s="484">
        <f t="shared" ref="M9:M13" si="0">+L9-B9</f>
        <v>0.1134758976288785</v>
      </c>
      <c r="N9" s="473"/>
      <c r="O9" s="473"/>
    </row>
    <row r="10" spans="1:16">
      <c r="A10" s="423" t="s">
        <v>174</v>
      </c>
      <c r="B10" s="475">
        <f>((+'q21'!$B$10)/(+'q21'!$B$5))</f>
        <v>7.6610207814419587E-2</v>
      </c>
      <c r="C10" s="475">
        <f>((+'q21'!C10)/(+'q21'!C$5))</f>
        <v>7.6416368385605976E-2</v>
      </c>
      <c r="D10" s="475">
        <f>((+'q21'!D10)/(+'q21'!D$5))</f>
        <v>7.5857299902526196E-2</v>
      </c>
      <c r="E10" s="475">
        <f>((+'q21'!E10)/(+'q21'!E$5))</f>
        <v>7.7197654909160335E-2</v>
      </c>
      <c r="F10" s="475">
        <f>((+'q21'!F10)/(+'q21'!F$5))</f>
        <v>8.1324936554869331E-2</v>
      </c>
      <c r="G10" s="475">
        <f>((+'q21'!G10)/(+'q21'!G$5))</f>
        <v>8.6777011288299594E-2</v>
      </c>
      <c r="H10" s="475">
        <f>((+'q21'!H10)/(+'q21'!H$5))</f>
        <v>9.2550406216296899E-2</v>
      </c>
      <c r="I10" s="475">
        <f>((+'q21'!I10)/(+'q21'!I$5))</f>
        <v>9.8043982670133603E-2</v>
      </c>
      <c r="J10" s="475">
        <f>((+'q21'!J10)/(+'q21'!J$5))</f>
        <v>0.10679828206968098</v>
      </c>
      <c r="K10" s="475">
        <f>((+'q21'!K10)/(+'q21'!K$5))</f>
        <v>0.11902577403144755</v>
      </c>
      <c r="L10" s="475">
        <f>((+'q21'!L10)/(+'q21'!L$5))</f>
        <v>0.13502074864245281</v>
      </c>
      <c r="M10" s="484">
        <f t="shared" si="0"/>
        <v>5.8410540828033222E-2</v>
      </c>
      <c r="N10" s="473"/>
      <c r="O10" s="473"/>
    </row>
    <row r="11" spans="1:16">
      <c r="A11" s="423" t="s">
        <v>175</v>
      </c>
      <c r="B11" s="475">
        <f>((+'q21'!$B$11)/(+'q21'!$B$5))</f>
        <v>2.339357788982771E-2</v>
      </c>
      <c r="C11" s="475">
        <f>((+'q21'!C11)/(+'q21'!C$5))</f>
        <v>2.3905006752443711E-2</v>
      </c>
      <c r="D11" s="475">
        <f>((+'q21'!D11)/(+'q21'!D$5))</f>
        <v>2.4396190394620498E-2</v>
      </c>
      <c r="E11" s="475">
        <f>((+'q21'!E11)/(+'q21'!E$5))</f>
        <v>2.4870739977569757E-2</v>
      </c>
      <c r="F11" s="475">
        <f>((+'q21'!F11)/(+'q21'!F$5))</f>
        <v>2.6643100792627713E-2</v>
      </c>
      <c r="G11" s="475">
        <f>((+'q21'!G11)/(+'q21'!G$5))</f>
        <v>2.8876545421967388E-2</v>
      </c>
      <c r="H11" s="475">
        <f>((+'q21'!H11)/(+'q21'!H$5))</f>
        <v>3.0903582891505917E-2</v>
      </c>
      <c r="I11" s="475">
        <f>((+'q21'!I11)/(+'q21'!I$5))</f>
        <v>3.3638190415860442E-2</v>
      </c>
      <c r="J11" s="475">
        <f>((+'q21'!J11)/(+'q21'!J$5))</f>
        <v>3.7576464102116271E-2</v>
      </c>
      <c r="K11" s="475">
        <f>((+'q21'!K11)/(+'q21'!K$5))</f>
        <v>4.157278327119468E-2</v>
      </c>
      <c r="L11" s="475">
        <f>((+'q21'!L11)/(+'q21'!L$5))</f>
        <v>4.7016028889737209E-2</v>
      </c>
      <c r="M11" s="484">
        <f t="shared" si="0"/>
        <v>2.3622450999909499E-2</v>
      </c>
      <c r="N11" s="473"/>
      <c r="O11" s="473"/>
    </row>
    <row r="12" spans="1:16">
      <c r="A12" s="423" t="s">
        <v>176</v>
      </c>
      <c r="B12" s="475">
        <f>((+'q21'!$B$12)/(+'q21'!$B$5))</f>
        <v>6.3013825080757372E-3</v>
      </c>
      <c r="C12" s="475">
        <f>((+'q21'!C12)/(+'q21'!C$5))</f>
        <v>6.294412572552986E-3</v>
      </c>
      <c r="D12" s="475">
        <f>((+'q21'!D12)/(+'q21'!D$5))</f>
        <v>6.5929862655852252E-3</v>
      </c>
      <c r="E12" s="475">
        <f>((+'q21'!E12)/(+'q21'!E$5))</f>
        <v>6.6052422602292842E-3</v>
      </c>
      <c r="F12" s="475">
        <f>((+'q21'!F12)/(+'q21'!F$5))</f>
        <v>6.8258209552794014E-3</v>
      </c>
      <c r="G12" s="475">
        <f>((+'q21'!G12)/(+'q21'!G$5))</f>
        <v>7.3396344741085825E-3</v>
      </c>
      <c r="H12" s="475">
        <f>((+'q21'!H12)/(+'q21'!H$5))</f>
        <v>7.7306320635011586E-3</v>
      </c>
      <c r="I12" s="475">
        <f>((+'q21'!I12)/(+'q21'!I$5))</f>
        <v>8.580410561875567E-3</v>
      </c>
      <c r="J12" s="475">
        <f>((+'q21'!J12)/(+'q21'!J$5))</f>
        <v>1.0213310382704541E-2</v>
      </c>
      <c r="K12" s="475">
        <f>((+'q21'!K12)/(+'q21'!K$5))</f>
        <v>1.179202463932566E-2</v>
      </c>
      <c r="L12" s="475">
        <f>((+'q21'!L12)/(+'q21'!L$5))</f>
        <v>1.4989363403806518E-2</v>
      </c>
      <c r="M12" s="484">
        <f t="shared" si="0"/>
        <v>8.6879808957307809E-3</v>
      </c>
      <c r="N12" s="473"/>
      <c r="O12" s="473"/>
    </row>
    <row r="13" spans="1:16">
      <c r="A13" s="423" t="s">
        <v>177</v>
      </c>
      <c r="B13" s="475">
        <f>((+'q21'!$B$13)/(+'q21'!$B$5))</f>
        <v>5.5437230689926445E-3</v>
      </c>
      <c r="C13" s="475">
        <f>((+'q21'!C13)/(+'q21'!C$5))</f>
        <v>5.58928568738069E-3</v>
      </c>
      <c r="D13" s="475">
        <f>((+'q21'!D13)/(+'q21'!D$5))</f>
        <v>5.5681243615903556E-3</v>
      </c>
      <c r="E13" s="475">
        <f>((+'q21'!E13)/(+'q21'!E$5))</f>
        <v>5.6141275822102184E-3</v>
      </c>
      <c r="F13" s="475">
        <f>((+'q21'!F13)/(+'q21'!F$5))</f>
        <v>5.7947383956736247E-3</v>
      </c>
      <c r="G13" s="475">
        <f>((+'q21'!G13)/(+'q21'!G$5))</f>
        <v>6.3102490593083677E-3</v>
      </c>
      <c r="H13" s="475">
        <f>((+'q21'!H13)/(+'q21'!H$5))</f>
        <v>6.340689370912307E-3</v>
      </c>
      <c r="I13" s="475">
        <f>((+'q21'!I13)/(+'q21'!I$5))</f>
        <v>6.9276749823002333E-3</v>
      </c>
      <c r="J13" s="475">
        <f>((+'q21'!J13)/(+'q21'!J$5))</f>
        <v>8.3442931002918625E-3</v>
      </c>
      <c r="K13" s="475">
        <f>((+'q21'!K13)/(+'q21'!K$5))</f>
        <v>9.8557302642243473E-3</v>
      </c>
      <c r="L13" s="475">
        <f>((+'q21'!L13)/(+'q21'!L$5))</f>
        <v>1.1651789792298171E-2</v>
      </c>
      <c r="M13" s="484">
        <f t="shared" si="0"/>
        <v>6.1080667233055263E-3</v>
      </c>
      <c r="N13" s="473"/>
      <c r="O13" s="473"/>
    </row>
    <row r="14" spans="1:16">
      <c r="A14" s="423" t="s">
        <v>11</v>
      </c>
      <c r="B14" s="474">
        <f>+'q21'!$B$5</f>
        <v>1928307</v>
      </c>
      <c r="C14" s="474">
        <f>+'q21'!$C$5</f>
        <v>1991131</v>
      </c>
      <c r="D14" s="474">
        <f>+'q21'!$D$5</f>
        <v>2054911</v>
      </c>
      <c r="E14" s="474">
        <f>+'q21'!$E$5</f>
        <v>2131943</v>
      </c>
      <c r="F14" s="474">
        <f>+'q21'!$F$5</f>
        <v>2205449</v>
      </c>
      <c r="G14" s="474">
        <f>+'q21'!$G$5</f>
        <v>2232400</v>
      </c>
      <c r="H14" s="474">
        <f>+'q21'!$H$5</f>
        <v>2164118</v>
      </c>
      <c r="I14" s="474">
        <f>+'q21'!$I$5</f>
        <v>2200594</v>
      </c>
      <c r="J14" s="474">
        <f>+'q21'!$J$5</f>
        <v>2376115</v>
      </c>
      <c r="K14" s="474">
        <f>+'q21'!$K$5</f>
        <v>2467600</v>
      </c>
      <c r="L14" s="474">
        <f>+'q21'!$L$5</f>
        <v>2506911</v>
      </c>
      <c r="M14" s="486"/>
      <c r="N14" s="473"/>
      <c r="O14" s="473"/>
    </row>
    <row r="16" spans="1:16">
      <c r="B16" s="453">
        <v>100</v>
      </c>
      <c r="C16" s="453">
        <v>100</v>
      </c>
      <c r="D16" s="453">
        <v>100</v>
      </c>
      <c r="E16" s="453">
        <v>100</v>
      </c>
      <c r="F16" s="453">
        <v>100</v>
      </c>
      <c r="G16" s="453">
        <v>100</v>
      </c>
      <c r="H16" s="453">
        <v>100</v>
      </c>
      <c r="I16" s="453">
        <v>100</v>
      </c>
      <c r="J16" s="453">
        <v>100</v>
      </c>
      <c r="K16" s="453">
        <v>100</v>
      </c>
      <c r="L16" s="453">
        <v>100</v>
      </c>
    </row>
    <row r="18" spans="1:33">
      <c r="A18" s="423" t="s">
        <v>372</v>
      </c>
    </row>
    <row r="19" spans="1:33">
      <c r="A19" s="423" t="s">
        <v>371</v>
      </c>
    </row>
    <row r="20" spans="1:33">
      <c r="B20" s="423">
        <f>+'q21'!$B$4</f>
        <v>2014</v>
      </c>
      <c r="C20" s="423">
        <f>+'q21'!$C$4</f>
        <v>2015</v>
      </c>
      <c r="D20" s="423">
        <f>+'q21'!$D$4</f>
        <v>2016</v>
      </c>
      <c r="E20" s="423">
        <f>+'q21'!$E$4</f>
        <v>2017</v>
      </c>
      <c r="F20" s="423">
        <f>+'q21'!$F$4</f>
        <v>2018</v>
      </c>
      <c r="G20" s="423">
        <f>+'q21'!$G$4</f>
        <v>2019</v>
      </c>
      <c r="H20" s="423">
        <f>+'q21'!$H$4</f>
        <v>2020</v>
      </c>
      <c r="I20" s="423">
        <f>+'q21'!$I$4</f>
        <v>2021</v>
      </c>
      <c r="J20" s="423">
        <f>+'q21'!$J$4</f>
        <v>2022</v>
      </c>
      <c r="K20" s="423">
        <f>+'q21'!$K$4</f>
        <v>2023</v>
      </c>
      <c r="L20" s="423">
        <f>+'q21'!$L$4</f>
        <v>2024</v>
      </c>
    </row>
    <row r="21" spans="1:33">
      <c r="A21" s="423" t="s">
        <v>376</v>
      </c>
      <c r="B21" s="475">
        <f>((+'q32'!$B$6)/(+'q32'!$B$5))</f>
        <v>2.7480064118420976E-3</v>
      </c>
      <c r="C21" s="475">
        <f>((+'q32'!C6)/(+'q32'!C$5))</f>
        <v>2.4257570195029862E-3</v>
      </c>
      <c r="D21" s="475">
        <f>((+'q32'!D6)/(+'q32'!D$5))</f>
        <v>2.4886722587985563E-3</v>
      </c>
      <c r="E21" s="475">
        <f>((+'q32'!E6)/(+'q32'!E$5))</f>
        <v>2.1126268385224184E-3</v>
      </c>
      <c r="F21" s="475">
        <f>((+'q32'!F6)/(+'q32'!F$5))</f>
        <v>1.7647200184633606E-3</v>
      </c>
      <c r="G21" s="475">
        <f>((+'q32'!G6)/(+'q32'!G$5))</f>
        <v>1.8872065938003943E-3</v>
      </c>
      <c r="H21" s="475">
        <f>((+'q32'!H6)/(+'q32'!H$5))</f>
        <v>1.6981513947021373E-3</v>
      </c>
      <c r="I21" s="475">
        <f>((+'q32'!I6)/(+'q32'!I$5))</f>
        <v>1.7358949447285597E-3</v>
      </c>
      <c r="J21" s="475">
        <f>((+'q32'!J6)/(+'q32'!J$5))</f>
        <v>1.761278389303548E-3</v>
      </c>
      <c r="K21" s="475">
        <f>((+'q32'!K6)/(+'q32'!K$5))</f>
        <v>1.5618414653914734E-3</v>
      </c>
      <c r="L21" s="475">
        <f>((+'q32'!L6)/(+'q32'!L$5))</f>
        <v>1.2337893128236304E-3</v>
      </c>
      <c r="M21" s="458">
        <f>+(L21-B21)*100</f>
        <v>-0.15142170990184672</v>
      </c>
    </row>
    <row r="22" spans="1:33">
      <c r="A22" s="423" t="s">
        <v>118</v>
      </c>
      <c r="B22" s="475">
        <f>((+'q32'!$B$7)/(+'q32'!$B$5))</f>
        <v>4.9883135828475443E-2</v>
      </c>
      <c r="C22" s="475">
        <f>((+'q32'!C7)/(+'q32'!C$5))</f>
        <v>4.7405720668303591E-2</v>
      </c>
      <c r="D22" s="475">
        <f>((+'q32'!D7)/(+'q32'!D$5))</f>
        <v>5.4094800212758608E-2</v>
      </c>
      <c r="E22" s="475">
        <f>((+'q32'!E7)/(+'q32'!E$5))</f>
        <v>5.3383697406544174E-2</v>
      </c>
      <c r="F22" s="475">
        <f>((+'q32'!F7)/(+'q32'!F$5))</f>
        <v>5.2246503999865787E-2</v>
      </c>
      <c r="G22" s="475">
        <f>((+'q32'!G7)/(+'q32'!G$5))</f>
        <v>4.8300483784268052E-2</v>
      </c>
      <c r="H22" s="475">
        <f>((+'q32'!H7)/(+'q32'!H$5))</f>
        <v>4.9281970761298595E-2</v>
      </c>
      <c r="I22" s="475">
        <f>((+'q32'!I7)/(+'q32'!I$5))</f>
        <v>4.6096644814990859E-2</v>
      </c>
      <c r="J22" s="475">
        <f>((+'q32'!J7)/(+'q32'!J$5))</f>
        <v>4.5002451480673285E-2</v>
      </c>
      <c r="K22" s="475">
        <f>((+'q32'!K7)/(+'q32'!K$5))</f>
        <v>4.1181715026746633E-2</v>
      </c>
      <c r="L22" s="475">
        <f>((+'q32'!L7)/(+'q32'!L$5))</f>
        <v>4.006923261336362E-2</v>
      </c>
      <c r="M22" s="458">
        <f t="shared" ref="M22:M28" si="1">+(L22-B22)*100</f>
        <v>-0.98139032151118233</v>
      </c>
      <c r="N22" s="473">
        <f>+(L22-B22)*100</f>
        <v>-0.98139032151118233</v>
      </c>
      <c r="O22" s="473">
        <f>+(L23-B23)*100</f>
        <v>-38.299551033592685</v>
      </c>
    </row>
    <row r="23" spans="1:33">
      <c r="A23" s="423" t="s">
        <v>634</v>
      </c>
      <c r="B23" s="475">
        <f>((+'q32'!$B$8)/(+'q32'!$B$5))</f>
        <v>0.6144576563794043</v>
      </c>
      <c r="C23" s="475">
        <f>((+'q32'!C8)/(+'q32'!C$5))</f>
        <v>0.61444575972148496</v>
      </c>
      <c r="D23" s="475">
        <f>((+'q32'!D8)/(+'q32'!D$5))</f>
        <v>0.60386167576114003</v>
      </c>
      <c r="E23" s="475">
        <f>((+'q32'!E8)/(+'q32'!E$5))</f>
        <v>0.59158476563397799</v>
      </c>
      <c r="F23" s="475">
        <f>((+'q32'!F8)/(+'q32'!F$5))</f>
        <v>0.56911857857515635</v>
      </c>
      <c r="G23" s="475">
        <f>((+'q32'!G8)/(+'q32'!G$5))</f>
        <v>0.54308860419279703</v>
      </c>
      <c r="H23" s="475">
        <f>((+'q32'!H8)/(+'q32'!H$5))</f>
        <v>0.5133172035905621</v>
      </c>
      <c r="I23" s="475">
        <f>((+'q32'!I8)/(+'q32'!I$5))</f>
        <v>0.48613783369399355</v>
      </c>
      <c r="J23" s="475">
        <f>((+'q32'!J8)/(+'q32'!J$5))</f>
        <v>0.43309814550221687</v>
      </c>
      <c r="K23" s="475">
        <f>((+'q32'!K8)/(+'q32'!K$5))</f>
        <v>0.34796685038093694</v>
      </c>
      <c r="L23" s="475">
        <f>((+'q32'!L8)/(+'q32'!L$5))</f>
        <v>0.23146214604347742</v>
      </c>
      <c r="M23" s="458">
        <f>+(L23-B23)*100</f>
        <v>-38.299551033592685</v>
      </c>
      <c r="N23" s="538">
        <f>+L22+L23</f>
        <v>0.27153137865684107</v>
      </c>
      <c r="O23" s="475">
        <f>+B22+B23</f>
        <v>0.66434079220787978</v>
      </c>
      <c r="P23" s="473">
        <f>+(N23-O23)*100</f>
        <v>-39.28094135510387</v>
      </c>
      <c r="R23" s="453" t="s">
        <v>374</v>
      </c>
    </row>
    <row r="24" spans="1:33">
      <c r="A24" s="423" t="s">
        <v>173</v>
      </c>
      <c r="B24" s="475">
        <f>((+'q32'!$B$9)/(+'q32'!$B$5))</f>
        <v>0.16805000448580024</v>
      </c>
      <c r="C24" s="475">
        <f>((+'q32'!C9)/(+'q32'!C$5))</f>
        <v>0.17108266608274392</v>
      </c>
      <c r="D24" s="475">
        <f>((+'q32'!D9)/(+'q32'!D$5))</f>
        <v>0.17426058841477807</v>
      </c>
      <c r="E24" s="475">
        <f>((+'q32'!E9)/(+'q32'!E$5))</f>
        <v>0.18309823480271284</v>
      </c>
      <c r="F24" s="475">
        <f>((+'q32'!F9)/(+'q32'!F$5))</f>
        <v>0.19677308339480987</v>
      </c>
      <c r="G24" s="475">
        <f>((+'q32'!G9)/(+'q32'!G$5))</f>
        <v>0.21366197814011825</v>
      </c>
      <c r="H24" s="475">
        <f>((+'q32'!H9)/(+'q32'!H$5))</f>
        <v>0.22926383866314129</v>
      </c>
      <c r="I24" s="475">
        <f>((+'q32'!I9)/(+'q32'!I$5))</f>
        <v>0.24640756086765664</v>
      </c>
      <c r="J24" s="475">
        <f>((+'q32'!J9)/(+'q32'!J$5))</f>
        <v>0.27650387291860873</v>
      </c>
      <c r="K24" s="475">
        <f>((+'q32'!K9)/(+'q32'!K$5))</f>
        <v>0.33085021883611604</v>
      </c>
      <c r="L24" s="475">
        <f>((+'q32'!L9)/(+'q32'!L$5))</f>
        <v>0.40596016372340304</v>
      </c>
      <c r="M24" s="458">
        <f t="shared" si="1"/>
        <v>23.791015923760281</v>
      </c>
      <c r="R24" s="453" t="s">
        <v>375</v>
      </c>
    </row>
    <row r="25" spans="1:33">
      <c r="A25" s="423" t="s">
        <v>174</v>
      </c>
      <c r="B25" s="475">
        <f>((+'q32'!$B$10)/(+'q32'!$B$5))</f>
        <v>0.10662150788230297</v>
      </c>
      <c r="C25" s="475">
        <f>((+'q32'!C10)/(+'q32'!C$5))</f>
        <v>0.10646562179987153</v>
      </c>
      <c r="D25" s="475">
        <f>((+'q32'!D10)/(+'q32'!D$5))</f>
        <v>0.10664549462239484</v>
      </c>
      <c r="E25" s="475">
        <f>((+'q32'!E10)/(+'q32'!E$5))</f>
        <v>0.11032658940694005</v>
      </c>
      <c r="F25" s="475">
        <f>((+'q32'!F10)/(+'q32'!F$5))</f>
        <v>0.11769757541434873</v>
      </c>
      <c r="G25" s="475">
        <f>((+'q32'!G10)/(+'q32'!G$5))</f>
        <v>0.12736964701666367</v>
      </c>
      <c r="H25" s="475">
        <f>((+'q32'!H10)/(+'q32'!H$5))</f>
        <v>0.13675455774592699</v>
      </c>
      <c r="I25" s="475">
        <f>((+'q32'!I10)/(+'q32'!I$5))</f>
        <v>0.14504629204660197</v>
      </c>
      <c r="J25" s="475">
        <f>((+'q32'!J10)/(+'q32'!J$5))</f>
        <v>0.15884584710756844</v>
      </c>
      <c r="K25" s="475">
        <f>((+'q32'!K10)/(+'q32'!K$5))</f>
        <v>0.18160196142000323</v>
      </c>
      <c r="L25" s="475">
        <f>((+'q32'!L10)/(+'q32'!L$5))</f>
        <v>0.20814620064294265</v>
      </c>
      <c r="M25" s="458">
        <f t="shared" si="1"/>
        <v>10.152469276063968</v>
      </c>
      <c r="AA25" s="454" t="s">
        <v>493</v>
      </c>
      <c r="AB25" s="454"/>
      <c r="AC25" s="454"/>
      <c r="AD25" s="454"/>
      <c r="AE25" s="454"/>
      <c r="AF25" s="454"/>
      <c r="AG25" s="454"/>
    </row>
    <row r="26" spans="1:33">
      <c r="A26" s="423" t="s">
        <v>175</v>
      </c>
      <c r="B26" s="475">
        <f>((+'q32'!$B$11)/(+'q32'!$B$5))</f>
        <v>3.8366297482714112E-2</v>
      </c>
      <c r="C26" s="475">
        <f>((+'q32'!C11)/(+'q32'!C$5))</f>
        <v>3.8309885185856679E-2</v>
      </c>
      <c r="D26" s="475">
        <f>((+'q32'!D11)/(+'q32'!D$5))</f>
        <v>3.8479525390637356E-2</v>
      </c>
      <c r="E26" s="475">
        <f>((+'q32'!E11)/(+'q32'!E$5))</f>
        <v>3.9048886391427916E-2</v>
      </c>
      <c r="F26" s="475">
        <f>((+'q32'!F11)/(+'q32'!F$5))</f>
        <v>4.0913210869986109E-2</v>
      </c>
      <c r="G26" s="475">
        <f>((+'q32'!G11)/(+'q32'!G$5))</f>
        <v>4.3067998566565131E-2</v>
      </c>
      <c r="H26" s="475">
        <f>((+'q32'!H11)/(+'q32'!H$5))</f>
        <v>4.6109315665781622E-2</v>
      </c>
      <c r="I26" s="475">
        <f>((+'q32'!I11)/(+'q32'!I$5))</f>
        <v>4.8960871473792987E-2</v>
      </c>
      <c r="J26" s="475">
        <f>((+'q32'!J11)/(+'q32'!J$5))</f>
        <v>5.5147583345082206E-2</v>
      </c>
      <c r="K26" s="475">
        <f>((+'q32'!K11)/(+'q32'!K$5))</f>
        <v>6.1939131139568809E-2</v>
      </c>
      <c r="L26" s="475">
        <f>((+'q32'!L11)/(+'q32'!L$5))</f>
        <v>7.0512275864599905E-2</v>
      </c>
      <c r="M26" s="458">
        <f t="shared" si="1"/>
        <v>3.2145978381885794</v>
      </c>
    </row>
    <row r="27" spans="1:33">
      <c r="A27" s="423" t="s">
        <v>176</v>
      </c>
      <c r="B27" s="475">
        <f>((+'q32'!$B$12)/(+'q32'!$B$5))</f>
        <v>1.1010694873793437E-2</v>
      </c>
      <c r="C27" s="475">
        <f>((+'q32'!C12)/(+'q32'!C$5))</f>
        <v>1.1017356467254038E-2</v>
      </c>
      <c r="D27" s="475">
        <f>((+'q32'!D12)/(+'q32'!D$5))</f>
        <v>1.1287106838203699E-2</v>
      </c>
      <c r="E27" s="475">
        <f>((+'q32'!E12)/(+'q32'!E$5))</f>
        <v>1.1404151049066509E-2</v>
      </c>
      <c r="F27" s="475">
        <f>((+'q32'!F12)/(+'q32'!F$5))</f>
        <v>1.1988941934272794E-2</v>
      </c>
      <c r="G27" s="475">
        <f>((+'q32'!G12)/(+'q32'!G$5))</f>
        <v>1.2757122379501881E-2</v>
      </c>
      <c r="H27" s="475">
        <f>((+'q32'!H12)/(+'q32'!H$5))</f>
        <v>1.3377274252143367E-2</v>
      </c>
      <c r="I27" s="475">
        <f>((+'q32'!I12)/(+'q32'!I$5))</f>
        <v>1.4589697145407103E-2</v>
      </c>
      <c r="J27" s="475">
        <f>((+'q32'!J12)/(+'q32'!J$5))</f>
        <v>1.6623774522697764E-2</v>
      </c>
      <c r="K27" s="475">
        <f>((+'q32'!K12)/(+'q32'!K$5))</f>
        <v>1.9549359701734478E-2</v>
      </c>
      <c r="L27" s="475">
        <f>((+'q32'!L12)/(+'q32'!L$5))</f>
        <v>2.3664182733252197E-2</v>
      </c>
      <c r="M27" s="458">
        <f t="shared" si="1"/>
        <v>1.2653487859458761</v>
      </c>
    </row>
    <row r="28" spans="1:33">
      <c r="A28" s="423" t="s">
        <v>177</v>
      </c>
      <c r="B28" s="475">
        <f>((+'q32'!$B$13)/(+'q32'!$B$5))</f>
        <v>8.8626966556673813E-3</v>
      </c>
      <c r="C28" s="475">
        <f>((+'q32'!C13)/(+'q32'!C$5))</f>
        <v>8.8472330549823185E-3</v>
      </c>
      <c r="D28" s="475">
        <f>((+'q32'!D13)/(+'q32'!D$5))</f>
        <v>8.8821365012888634E-3</v>
      </c>
      <c r="E28" s="475">
        <f>((+'q32'!E13)/(+'q32'!E$5))</f>
        <v>9.0410484708080847E-3</v>
      </c>
      <c r="F28" s="475">
        <f>((+'q32'!F13)/(+'q32'!F$5))</f>
        <v>9.497385793097007E-3</v>
      </c>
      <c r="G28" s="475">
        <f>((+'q32'!G13)/(+'q32'!G$5))</f>
        <v>9.8669593262856112E-3</v>
      </c>
      <c r="H28" s="475">
        <f>((+'q32'!H13)/(+'q32'!H$5))</f>
        <v>1.0197687926443938E-2</v>
      </c>
      <c r="I28" s="475">
        <f>((+'q32'!I13)/(+'q32'!I$5))</f>
        <v>1.1025205012828354E-2</v>
      </c>
      <c r="J28" s="475">
        <f>((+'q32'!J13)/(+'q32'!J$5))</f>
        <v>1.3017046733849161E-2</v>
      </c>
      <c r="K28" s="475">
        <f>((+'q32'!K13)/(+'q32'!K$5))</f>
        <v>1.5348922029502351E-2</v>
      </c>
      <c r="L28" s="475">
        <f>((+'q32'!L13)/(+'q32'!L$5))</f>
        <v>1.895200906613757E-2</v>
      </c>
      <c r="M28" s="458">
        <f t="shared" si="1"/>
        <v>1.0089312410470188</v>
      </c>
    </row>
    <row r="29" spans="1:33">
      <c r="A29" s="423" t="s">
        <v>11</v>
      </c>
      <c r="B29" s="474">
        <f>+'q32'!$B$5</f>
        <v>1928307</v>
      </c>
      <c r="C29" s="474">
        <f>+'q32'!$C$5</f>
        <v>1991131</v>
      </c>
      <c r="D29" s="474">
        <f>+'q32'!$D$5</f>
        <v>2054911</v>
      </c>
      <c r="E29" s="474">
        <f>+'q32'!$E$5</f>
        <v>2131943</v>
      </c>
      <c r="F29" s="474">
        <f>+'q32'!$F$5</f>
        <v>2205449</v>
      </c>
      <c r="G29" s="474">
        <f>+'q32'!$G$5</f>
        <v>2232400</v>
      </c>
      <c r="H29" s="474">
        <f>+'q32'!$H$5</f>
        <v>2164118</v>
      </c>
      <c r="I29" s="474">
        <f>+'q32'!$I$5</f>
        <v>2200594</v>
      </c>
      <c r="J29" s="474">
        <f>+'q32'!$J$5</f>
        <v>2376115</v>
      </c>
      <c r="K29" s="474">
        <f>+'q32'!$K$5</f>
        <v>2467600</v>
      </c>
      <c r="L29" s="474">
        <f>+'q32'!$L$5</f>
        <v>2506911</v>
      </c>
      <c r="R29" s="423" t="s">
        <v>476</v>
      </c>
      <c r="W29" s="423" t="s">
        <v>476</v>
      </c>
    </row>
    <row r="30" spans="1:33">
      <c r="Q30" s="423" t="s">
        <v>262</v>
      </c>
      <c r="R30" s="453">
        <f>+$L$5</f>
        <v>2024</v>
      </c>
      <c r="V30" s="423" t="s">
        <v>263</v>
      </c>
      <c r="W30" s="453">
        <f>+$L$20</f>
        <v>2024</v>
      </c>
    </row>
    <row r="31" spans="1:33">
      <c r="R31" s="453" t="s">
        <v>477</v>
      </c>
      <c r="W31" s="453" t="s">
        <v>480</v>
      </c>
    </row>
    <row r="32" spans="1:33" ht="12.75">
      <c r="H32" s="535"/>
      <c r="I32" s="535"/>
      <c r="J32" s="535"/>
      <c r="K32" s="535"/>
      <c r="L32" s="863"/>
      <c r="M32" s="535"/>
      <c r="N32" s="535"/>
      <c r="R32" s="453" t="s">
        <v>662</v>
      </c>
      <c r="W32" s="453" t="s">
        <v>660</v>
      </c>
      <c r="AA32" s="522" t="s">
        <v>481</v>
      </c>
    </row>
    <row r="33" spans="2:33">
      <c r="R33" s="453" t="str">
        <f>+TEXT(N8,"##.###,0%")</f>
        <v>53,9%</v>
      </c>
      <c r="W33" s="453" t="str">
        <f>+TEXT(N23,"##.###,0%")</f>
        <v>27,2%</v>
      </c>
      <c r="AA33" s="960" t="str">
        <f>W30&amp;" - "&amp;W31&amp;" "&amp;W32&amp;W33&amp;" ("&amp;W34&amp;" "&amp;W35&amp;" "&amp;W36&amp;"):"&amp;CHAR(10)&amp;W37&amp;W38&amp;" ("&amp;Y38&amp;" "&amp;W35&amp;" "&amp;W36&amp;")"&amp;CHAR(10)&amp;W39&amp;W40&amp;" ("&amp;Y40&amp;" "&amp;W35&amp;" "&amp;W36&amp;")."</f>
        <v>2024 - Proporção de TCO com remuneração Ganho: Igual à RMMG e &lt; 1.000 €:  27,2% (-39,3 p.p. face a 2014):
Igual à RMMG: 4,0% (-1,0 p.p. face a 2014)
Entre RMMG e &lt; 1.000 €: 23,1% (-38,3 p.p. face a 2014).</v>
      </c>
      <c r="AB33" s="960"/>
      <c r="AC33" s="960"/>
      <c r="AD33" s="960"/>
      <c r="AE33" s="960"/>
      <c r="AF33" s="960"/>
      <c r="AG33" s="960"/>
    </row>
    <row r="34" spans="2:33">
      <c r="R34" s="453" t="str">
        <f>IF(P8&gt;0,"+"&amp;TEXT(P8,"##.###,0 p.p."),TEXT(P8,"##.###,0 p.p."))</f>
        <v>-20,7 p.p.</v>
      </c>
      <c r="W34" s="453" t="str">
        <f>IF(P23&gt;0,"+"&amp;TEXT(P23,"##.###,0 p.p."),TEXT(P23,"##.###,0 p.p."))</f>
        <v>-39,3 p.p.</v>
      </c>
      <c r="AA34" s="960"/>
      <c r="AB34" s="960"/>
      <c r="AC34" s="960"/>
      <c r="AD34" s="960"/>
      <c r="AE34" s="960"/>
      <c r="AF34" s="960"/>
      <c r="AG34" s="960"/>
    </row>
    <row r="35" spans="2:33">
      <c r="R35" s="453" t="s">
        <v>478</v>
      </c>
      <c r="W35" s="453" t="s">
        <v>478</v>
      </c>
      <c r="AA35" s="960"/>
      <c r="AB35" s="960"/>
      <c r="AC35" s="960"/>
      <c r="AD35" s="960"/>
      <c r="AE35" s="960"/>
      <c r="AF35" s="960"/>
      <c r="AG35" s="960"/>
    </row>
    <row r="36" spans="2:33">
      <c r="R36" s="453">
        <f>+$B$5</f>
        <v>2014</v>
      </c>
      <c r="W36" s="453">
        <f>+$B$20</f>
        <v>2014</v>
      </c>
      <c r="AA36" s="960"/>
      <c r="AB36" s="960"/>
      <c r="AC36" s="960"/>
      <c r="AD36" s="960"/>
      <c r="AE36" s="960"/>
      <c r="AF36" s="960"/>
      <c r="AG36" s="960"/>
    </row>
    <row r="37" spans="2:33" ht="12.75">
      <c r="H37" s="522" t="s">
        <v>479</v>
      </c>
      <c r="J37" s="458"/>
      <c r="R37" s="453" t="s">
        <v>492</v>
      </c>
      <c r="W37" s="453" t="s">
        <v>492</v>
      </c>
    </row>
    <row r="38" spans="2:33">
      <c r="H38" s="960" t="str">
        <f>R30&amp;" - "&amp;R31&amp;" "&amp;R32&amp;R33&amp;" ("&amp;R34&amp;" "&amp;R35&amp;" "&amp;R36&amp;"):"&amp;CHAR(10)&amp;R37&amp;R38&amp;" ("&amp;T38&amp;" "&amp;R35&amp;" "&amp;R36&amp;")"&amp;CHAR(10)&amp;R39&amp;R40&amp;" ("&amp;T40&amp;" "&amp;R35&amp;" "&amp;R36&amp;")."</f>
        <v>2024 - Proporção de TCO com remuneração Base: Igual à RMMG e &lt; 1.000 €: 53,9% (-20,7 p.p. face a 2014):
Igual à RMMG: 20,4% (inalterado face a 2014)
Entre RMMG e &lt; 1.000 €: 33,5% (-20,7 p.p. face a 2014).</v>
      </c>
      <c r="I38" s="960"/>
      <c r="J38" s="960"/>
      <c r="K38" s="960"/>
      <c r="L38" s="960"/>
      <c r="M38" s="960"/>
      <c r="N38" s="960"/>
      <c r="R38" s="538" t="str">
        <f>TEXT(L7,"##.###,0%")</f>
        <v>20,4%</v>
      </c>
      <c r="T38" s="453" t="str">
        <f>+IF(TEXT(N7,"0,0")="0,0","inalterado",IF(N7&gt;0,"+"&amp;TEXT(N7,"##.##0,0 ""p.p."""),TEXT(N7,"##.##0,0 ""p.p.""")))</f>
        <v>inalterado</v>
      </c>
      <c r="W38" s="538" t="str">
        <f>TEXT(L22,"##.###,0%")</f>
        <v>4,0%</v>
      </c>
      <c r="Y38" s="453" t="str">
        <f>+IF(M22&gt;0,"+"&amp;TEXT(M22,"##.##0,0 p.p."),TEXT(M22,"##.###,0 p.p."))</f>
        <v>-1,0 p.p.</v>
      </c>
    </row>
    <row r="39" spans="2:33">
      <c r="H39" s="960"/>
      <c r="I39" s="960"/>
      <c r="J39" s="960"/>
      <c r="K39" s="960"/>
      <c r="L39" s="960"/>
      <c r="M39" s="960"/>
      <c r="N39" s="960"/>
      <c r="R39" s="453" t="s">
        <v>661</v>
      </c>
      <c r="W39" s="453" t="s">
        <v>661</v>
      </c>
    </row>
    <row r="40" spans="2:33">
      <c r="H40" s="960"/>
      <c r="I40" s="960"/>
      <c r="J40" s="960"/>
      <c r="K40" s="960"/>
      <c r="L40" s="960"/>
      <c r="M40" s="960"/>
      <c r="N40" s="960"/>
      <c r="R40" s="538" t="str">
        <f>TEXT(L8,"##.###,0%")</f>
        <v>33,5%</v>
      </c>
      <c r="T40" s="453" t="str">
        <f>+IF(O7&gt;0,"+"&amp;TEXT(O7,"##.###,0 p.p."),TEXT(O7,"##.###,0 p.p."))</f>
        <v>-20,7 p.p.</v>
      </c>
      <c r="W40" s="538" t="str">
        <f>TEXT(L23,"##.###,0%")</f>
        <v>23,1%</v>
      </c>
      <c r="Y40" s="453" t="str">
        <f>+IF(M23&gt;0,"+"&amp;TEXT(M23,"##.###,0 p.p."),TEXT(M23,"##.###,0 p.p."))</f>
        <v>-38,3 p.p.</v>
      </c>
    </row>
    <row r="41" spans="2:33">
      <c r="H41" s="960"/>
      <c r="I41" s="960"/>
      <c r="J41" s="960"/>
      <c r="K41" s="960"/>
      <c r="L41" s="960"/>
      <c r="M41" s="960"/>
      <c r="N41" s="960"/>
    </row>
    <row r="43" spans="2:33">
      <c r="H43" s="454" t="s">
        <v>493</v>
      </c>
      <c r="I43" s="454"/>
      <c r="J43" s="454"/>
      <c r="K43" s="454"/>
      <c r="L43" s="454"/>
      <c r="M43" s="454"/>
      <c r="N43" s="454"/>
      <c r="R43" s="453" t="str">
        <f>+IF(N7&gt;0,"+"&amp;TEXT(N7,"##.###,0 p.p."),TEXT(N7,"##.###,0 p.p."))</f>
        <v>+,0 p.p.</v>
      </c>
      <c r="S43" s="453" t="s">
        <v>839</v>
      </c>
    </row>
    <row r="45" spans="2:33">
      <c r="B45" s="967"/>
      <c r="C45" s="967"/>
      <c r="D45" s="967"/>
      <c r="E45" s="967"/>
      <c r="F45" s="967"/>
      <c r="G45" s="967"/>
      <c r="H45" s="967"/>
      <c r="I45" s="967"/>
      <c r="J45" s="967"/>
      <c r="K45" s="967"/>
      <c r="L45" s="967"/>
      <c r="M45" s="967"/>
      <c r="N45" s="967"/>
      <c r="O45" s="967"/>
      <c r="P45" s="967"/>
      <c r="Q45" s="967"/>
      <c r="R45" s="967"/>
      <c r="S45" s="967"/>
      <c r="T45" s="967"/>
      <c r="U45" s="967"/>
      <c r="V45" s="967"/>
      <c r="W45" s="967"/>
    </row>
    <row r="47" spans="2:33">
      <c r="B47" s="475"/>
      <c r="C47" s="475"/>
      <c r="D47" s="475"/>
      <c r="E47" s="475"/>
      <c r="F47" s="475"/>
      <c r="G47" s="475"/>
      <c r="H47" s="475"/>
      <c r="I47" s="475"/>
      <c r="J47" s="475"/>
      <c r="K47" s="475"/>
      <c r="L47" s="475"/>
      <c r="M47" s="475"/>
      <c r="N47" s="475"/>
      <c r="O47" s="475"/>
      <c r="P47" s="475"/>
      <c r="Q47" s="475"/>
      <c r="R47" s="475"/>
      <c r="S47" s="475"/>
      <c r="T47" s="475"/>
      <c r="U47" s="475"/>
      <c r="V47" s="475"/>
      <c r="W47" s="475"/>
    </row>
    <row r="48" spans="2:33">
      <c r="B48" s="475"/>
      <c r="C48" s="475"/>
      <c r="D48" s="475"/>
      <c r="E48" s="475"/>
      <c r="F48" s="475"/>
      <c r="G48" s="475"/>
      <c r="H48" s="475"/>
      <c r="I48" s="475"/>
      <c r="J48" s="475"/>
      <c r="K48" s="475"/>
      <c r="L48" s="475"/>
      <c r="M48" s="475"/>
      <c r="N48" s="475"/>
      <c r="O48" s="475"/>
      <c r="P48" s="475"/>
      <c r="Q48" s="475"/>
      <c r="R48" s="475"/>
      <c r="S48" s="475"/>
      <c r="T48" s="475"/>
      <c r="U48" s="475"/>
      <c r="V48" s="475"/>
      <c r="W48" s="475"/>
    </row>
    <row r="49" spans="2:23">
      <c r="B49" s="475"/>
      <c r="C49" s="475"/>
      <c r="D49" s="475"/>
      <c r="E49" s="475"/>
      <c r="F49" s="475"/>
      <c r="G49" s="475"/>
      <c r="H49" s="475"/>
      <c r="I49" s="475"/>
      <c r="J49" s="475"/>
      <c r="K49" s="475"/>
      <c r="L49" s="475"/>
      <c r="M49" s="475"/>
      <c r="N49" s="475"/>
      <c r="O49" s="475"/>
      <c r="P49" s="475"/>
      <c r="Q49" s="475"/>
      <c r="R49" s="475"/>
      <c r="S49" s="475"/>
      <c r="T49" s="475"/>
      <c r="U49" s="475"/>
      <c r="V49" s="475"/>
      <c r="W49" s="475"/>
    </row>
    <row r="50" spans="2:23">
      <c r="B50" s="475"/>
      <c r="C50" s="475"/>
      <c r="D50" s="475"/>
      <c r="E50" s="475"/>
      <c r="F50" s="475"/>
      <c r="G50" s="475"/>
      <c r="H50" s="475"/>
      <c r="I50" s="475"/>
      <c r="J50" s="475"/>
      <c r="K50" s="475"/>
      <c r="L50" s="475"/>
      <c r="M50" s="475"/>
      <c r="N50" s="475"/>
      <c r="O50" s="475"/>
      <c r="P50" s="475"/>
      <c r="Q50" s="475"/>
      <c r="R50" s="475"/>
      <c r="S50" s="475"/>
      <c r="T50" s="475"/>
      <c r="U50" s="475"/>
      <c r="V50" s="475"/>
      <c r="W50" s="475"/>
    </row>
    <row r="51" spans="2:23">
      <c r="B51" s="475"/>
      <c r="C51" s="475"/>
      <c r="D51" s="475"/>
      <c r="E51" s="475"/>
      <c r="F51" s="475"/>
      <c r="G51" s="475"/>
      <c r="H51" s="475"/>
      <c r="I51" s="475"/>
      <c r="J51" s="475"/>
      <c r="K51" s="475"/>
      <c r="L51" s="475"/>
      <c r="M51" s="475"/>
      <c r="N51" s="475"/>
      <c r="O51" s="475"/>
      <c r="P51" s="475"/>
      <c r="Q51" s="475"/>
      <c r="R51" s="475"/>
      <c r="S51" s="475"/>
      <c r="T51" s="475"/>
      <c r="U51" s="475"/>
      <c r="V51" s="475"/>
      <c r="W51" s="475"/>
    </row>
    <row r="52" spans="2:23">
      <c r="B52" s="475"/>
      <c r="C52" s="475"/>
      <c r="D52" s="475"/>
      <c r="E52" s="475"/>
      <c r="F52" s="475"/>
      <c r="G52" s="475"/>
      <c r="H52" s="475"/>
      <c r="I52" s="475"/>
      <c r="J52" s="475"/>
      <c r="K52" s="475"/>
      <c r="L52" s="475"/>
      <c r="M52" s="475"/>
      <c r="N52" s="475"/>
      <c r="O52" s="475"/>
      <c r="P52" s="475"/>
      <c r="Q52" s="475"/>
      <c r="R52" s="475"/>
      <c r="S52" s="475"/>
      <c r="T52" s="475"/>
      <c r="U52" s="475"/>
      <c r="V52" s="475"/>
      <c r="W52" s="475"/>
    </row>
    <row r="53" spans="2:23">
      <c r="B53" s="475"/>
      <c r="C53" s="475"/>
      <c r="D53" s="475"/>
      <c r="E53" s="475"/>
      <c r="F53" s="475"/>
      <c r="G53" s="475"/>
      <c r="H53" s="475"/>
      <c r="I53" s="475"/>
      <c r="J53" s="475"/>
      <c r="K53" s="475"/>
      <c r="L53" s="475"/>
      <c r="M53" s="475"/>
      <c r="N53" s="475"/>
      <c r="O53" s="475"/>
      <c r="P53" s="475"/>
      <c r="Q53" s="475"/>
      <c r="R53" s="475"/>
      <c r="S53" s="475"/>
      <c r="T53" s="475"/>
      <c r="U53" s="475"/>
      <c r="V53" s="475"/>
      <c r="W53" s="475"/>
    </row>
    <row r="54" spans="2:23">
      <c r="B54" s="475"/>
      <c r="C54" s="475"/>
      <c r="D54" s="475"/>
      <c r="E54" s="475"/>
      <c r="F54" s="475"/>
      <c r="G54" s="475"/>
      <c r="H54" s="475"/>
      <c r="I54" s="475"/>
      <c r="J54" s="475"/>
      <c r="K54" s="475"/>
      <c r="L54" s="475"/>
      <c r="M54" s="475"/>
      <c r="N54" s="475"/>
      <c r="O54" s="475"/>
      <c r="P54" s="475"/>
      <c r="Q54" s="475"/>
      <c r="R54" s="475"/>
      <c r="S54" s="475"/>
      <c r="T54" s="475"/>
      <c r="U54" s="475"/>
      <c r="V54" s="475"/>
      <c r="W54" s="475"/>
    </row>
    <row r="55" spans="2:23">
      <c r="B55" s="475"/>
      <c r="C55" s="475"/>
      <c r="D55" s="475"/>
      <c r="E55" s="475"/>
      <c r="F55" s="475"/>
      <c r="G55" s="475"/>
      <c r="H55" s="475"/>
      <c r="I55" s="475"/>
      <c r="J55" s="475"/>
      <c r="K55" s="475"/>
      <c r="L55" s="475"/>
      <c r="M55" s="475"/>
      <c r="N55" s="475"/>
      <c r="O55" s="475"/>
      <c r="P55" s="475"/>
      <c r="Q55" s="475"/>
      <c r="R55" s="475"/>
      <c r="S55" s="475"/>
      <c r="T55" s="475"/>
      <c r="U55" s="475"/>
      <c r="V55" s="475"/>
      <c r="W55" s="475"/>
    </row>
  </sheetData>
  <mergeCells count="13">
    <mergeCell ref="H38:N41"/>
    <mergeCell ref="AA33:AG36"/>
    <mergeCell ref="D45:E45"/>
    <mergeCell ref="B45:C45"/>
    <mergeCell ref="V45:W45"/>
    <mergeCell ref="T45:U45"/>
    <mergeCell ref="R45:S45"/>
    <mergeCell ref="P45:Q45"/>
    <mergeCell ref="N45:O45"/>
    <mergeCell ref="L45:M45"/>
    <mergeCell ref="J45:K45"/>
    <mergeCell ref="H45:I45"/>
    <mergeCell ref="F45:G45"/>
  </mergeCells>
  <pageMargins left="0.7" right="0.7" top="0.75" bottom="0.75" header="0.3" footer="0.3"/>
  <pageSetup paperSize="9" orientation="portrait" horizontalDpi="1200" verticalDpi="12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65479-BC5B-4E0A-87F1-5B9C49C3649E}">
  <dimension ref="A2:AH84"/>
  <sheetViews>
    <sheetView showGridLines="0" topLeftCell="R76" zoomScale="120" zoomScaleNormal="120" workbookViewId="0">
      <selection activeCell="Y70" sqref="Y70"/>
    </sheetView>
  </sheetViews>
  <sheetFormatPr defaultRowHeight="12.75"/>
  <cols>
    <col min="1" max="1" width="31.5703125" bestFit="1" customWidth="1"/>
    <col min="2" max="2" width="11.42578125" bestFit="1" customWidth="1"/>
    <col min="3" max="12" width="9.42578125" bestFit="1" customWidth="1"/>
  </cols>
  <sheetData>
    <row r="2" spans="1:34">
      <c r="AA2" s="383"/>
    </row>
    <row r="3" spans="1:34">
      <c r="A3" s="383" t="s">
        <v>378</v>
      </c>
    </row>
    <row r="4" spans="1:34">
      <c r="B4" s="453">
        <f>+'q20'!$B$4</f>
        <v>2014</v>
      </c>
      <c r="C4" s="453">
        <f>+'q20'!$C$4</f>
        <v>2015</v>
      </c>
      <c r="D4" s="453">
        <f>+'q20'!$D$4</f>
        <v>2016</v>
      </c>
      <c r="E4" s="453">
        <f>+'q20'!$E$4</f>
        <v>2017</v>
      </c>
      <c r="F4" s="453">
        <f>+'q20'!$F$4</f>
        <v>2018</v>
      </c>
      <c r="G4" s="453">
        <f>+'q20'!$G$4</f>
        <v>2019</v>
      </c>
      <c r="H4" s="453">
        <f>+'q20'!$H$4</f>
        <v>2020</v>
      </c>
      <c r="I4" s="453">
        <f>+'q20'!$I$4</f>
        <v>2021</v>
      </c>
      <c r="J4" s="453">
        <f>+'q20'!$J$4</f>
        <v>2022</v>
      </c>
      <c r="K4" s="453">
        <f>+'q20'!$K$4</f>
        <v>2023</v>
      </c>
      <c r="L4" s="453">
        <f>+'q20'!$L$4</f>
        <v>2024</v>
      </c>
    </row>
    <row r="5" spans="1:34">
      <c r="A5" t="s">
        <v>11</v>
      </c>
      <c r="B5" s="462">
        <f>+'q20'!$B$5</f>
        <v>2458163</v>
      </c>
      <c r="C5" s="462">
        <f>+'q20'!$C$5</f>
        <v>2537653</v>
      </c>
      <c r="D5" s="462">
        <f>+'q20'!$D$5</f>
        <v>2641919</v>
      </c>
      <c r="E5" s="462">
        <f>+'q20'!$E$5</f>
        <v>2767521</v>
      </c>
      <c r="F5" s="462">
        <f>+'q20'!$F$5</f>
        <v>2877918</v>
      </c>
      <c r="G5" s="462">
        <f>+'q20'!$G$5</f>
        <v>2930482</v>
      </c>
      <c r="H5" s="462">
        <f>+'q20'!$H$5</f>
        <v>2902825</v>
      </c>
      <c r="I5" s="462">
        <f>+'q20'!$I$5</f>
        <v>2922343</v>
      </c>
      <c r="J5" s="462">
        <f>+'q20'!$J$5</f>
        <v>3148147</v>
      </c>
      <c r="K5" s="462">
        <f>+'q20'!$K$5</f>
        <v>3296134</v>
      </c>
      <c r="L5" s="462">
        <f>+'q20'!$L$5</f>
        <v>3354136</v>
      </c>
      <c r="M5" s="553" t="str">
        <f>+"%"&amp;L4</f>
        <v>%2024</v>
      </c>
      <c r="N5" s="553" t="str">
        <f>+"%"&amp;B4</f>
        <v>%2014</v>
      </c>
      <c r="O5" s="384" t="str">
        <f>+L4&amp;" - "&amp;B4</f>
        <v>2024 - 2014</v>
      </c>
    </row>
    <row r="6" spans="1:34">
      <c r="A6" t="s">
        <v>196</v>
      </c>
      <c r="B6" s="462">
        <f>+'q20'!$B$6</f>
        <v>1802130</v>
      </c>
      <c r="C6" s="462">
        <f>+'q20'!$C$6</f>
        <v>1855203</v>
      </c>
      <c r="D6" s="462">
        <f>+'q20'!$D$6</f>
        <v>1911498</v>
      </c>
      <c r="E6" s="462">
        <f>+'q20'!$E$6</f>
        <v>1975887</v>
      </c>
      <c r="F6" s="462">
        <f>+'q20'!$F$6</f>
        <v>2073822</v>
      </c>
      <c r="G6" s="462">
        <f>+'q20'!$G$6</f>
        <v>2078465</v>
      </c>
      <c r="H6" s="462">
        <f>+'q20'!$H$6</f>
        <v>2014412</v>
      </c>
      <c r="I6" s="462">
        <f>+'q20'!$I$6</f>
        <v>2031422</v>
      </c>
      <c r="J6" s="462">
        <f>+'q20'!$J$6</f>
        <v>2174986</v>
      </c>
      <c r="K6" s="462">
        <f>+'q20'!$K$6</f>
        <v>2283826</v>
      </c>
      <c r="L6" s="462">
        <f>+'q20'!$L$6</f>
        <v>2309722</v>
      </c>
      <c r="M6" s="531">
        <f>+L6/$L$5</f>
        <v>0.6886190661320829</v>
      </c>
      <c r="N6" s="532">
        <f>+B6/$B$5</f>
        <v>0.73312062706988923</v>
      </c>
      <c r="O6" s="531">
        <f>+M6-N6</f>
        <v>-4.4501560937806328E-2</v>
      </c>
      <c r="P6" s="453" t="str">
        <f>+A6</f>
        <v>Contrato Coletivo de Trabalho (CCT)</v>
      </c>
      <c r="S6" s="415">
        <f>+O6*100</f>
        <v>-4.4501560937806328</v>
      </c>
      <c r="T6" t="s">
        <v>729</v>
      </c>
    </row>
    <row r="7" spans="1:34">
      <c r="A7" t="s">
        <v>197</v>
      </c>
      <c r="B7" s="462">
        <f>+'q20'!$B$7</f>
        <v>97038</v>
      </c>
      <c r="C7" s="462">
        <f>+'q20'!$C$7</f>
        <v>99532</v>
      </c>
      <c r="D7" s="462">
        <f>+'q20'!$D$7</f>
        <v>101183</v>
      </c>
      <c r="E7" s="462">
        <f>+'q20'!$E$7</f>
        <v>106693</v>
      </c>
      <c r="F7" s="462">
        <f>+'q20'!$F$7</f>
        <v>109690</v>
      </c>
      <c r="G7" s="462">
        <f>+'q20'!$G$7</f>
        <v>104297</v>
      </c>
      <c r="H7" s="462">
        <f>+'q20'!$H$7</f>
        <v>118636</v>
      </c>
      <c r="I7" s="462">
        <f>+'q20'!$I$7</f>
        <v>118983</v>
      </c>
      <c r="J7" s="462">
        <f>+'q20'!$J$7</f>
        <v>122759</v>
      </c>
      <c r="K7" s="462">
        <f>+'q20'!$K$7</f>
        <v>125278</v>
      </c>
      <c r="L7" s="462">
        <f>+'q20'!$L$7</f>
        <v>126087</v>
      </c>
      <c r="M7" s="552">
        <f t="shared" ref="M7:M10" si="0">+L7/$L$5</f>
        <v>3.7591498973208001E-2</v>
      </c>
      <c r="N7" s="532">
        <f t="shared" ref="N7:N9" si="1">+B7/$B$5</f>
        <v>3.9475819951728178E-2</v>
      </c>
      <c r="O7" s="552">
        <f t="shared" ref="O7:O10" si="2">+M7-N7</f>
        <v>-1.8843209785201764E-3</v>
      </c>
      <c r="P7" s="453" t="str">
        <f t="shared" ref="P7:P10" si="3">+A7</f>
        <v>Acordo Coletivo de Trabalho (ACT)</v>
      </c>
    </row>
    <row r="8" spans="1:34">
      <c r="A8" s="383" t="s">
        <v>377</v>
      </c>
      <c r="B8" s="462">
        <f>+'q20'!$B$8</f>
        <v>205896</v>
      </c>
      <c r="C8" s="462">
        <f>+'q20'!$C$8</f>
        <v>212238</v>
      </c>
      <c r="D8" s="462">
        <f>+'q20'!$D$8</f>
        <v>219677</v>
      </c>
      <c r="E8" s="462">
        <f>+'q20'!$E$8</f>
        <v>226793</v>
      </c>
      <c r="F8" s="462">
        <f>+'q20'!$F$8</f>
        <v>211503</v>
      </c>
      <c r="G8" s="462">
        <f>+'q20'!$G$8</f>
        <v>219272</v>
      </c>
      <c r="H8" s="462">
        <f>+'q20'!$H$8</f>
        <v>221568</v>
      </c>
      <c r="I8" s="462">
        <f>+'q20'!$I$8</f>
        <v>214401</v>
      </c>
      <c r="J8" s="462">
        <f>+'q20'!$J$8</f>
        <v>232081</v>
      </c>
      <c r="K8" s="462">
        <f>+'q20'!$K$8</f>
        <v>241230</v>
      </c>
      <c r="L8" s="462">
        <f>+'q20'!$L$8</f>
        <v>243628</v>
      </c>
      <c r="M8" s="552">
        <f t="shared" si="0"/>
        <v>7.2635098874941267E-2</v>
      </c>
      <c r="N8" s="532">
        <f t="shared" si="1"/>
        <v>8.3760108666512345E-2</v>
      </c>
      <c r="O8" s="552">
        <f t="shared" si="2"/>
        <v>-1.1125009791571078E-2</v>
      </c>
      <c r="P8" s="453" t="str">
        <f t="shared" si="3"/>
        <v>Portaria de Cond. de Trabalho (PCT)</v>
      </c>
      <c r="AA8" s="383"/>
      <c r="AE8" s="555"/>
      <c r="AF8" s="555"/>
      <c r="AG8" s="555"/>
      <c r="AH8" s="555"/>
    </row>
    <row r="9" spans="1:34">
      <c r="A9" t="s">
        <v>43</v>
      </c>
      <c r="B9" s="462">
        <f>+'q20'!$B$9</f>
        <v>80029</v>
      </c>
      <c r="C9" s="462">
        <f>+'q20'!$C$9</f>
        <v>78163</v>
      </c>
      <c r="D9" s="462">
        <f>+'q20'!$D$9</f>
        <v>79933</v>
      </c>
      <c r="E9" s="462">
        <f>+'q20'!$E$9</f>
        <v>85752</v>
      </c>
      <c r="F9" s="462">
        <f>+'q20'!$F$9</f>
        <v>86043</v>
      </c>
      <c r="G9" s="462">
        <f>+'q20'!$G$9</f>
        <v>91984</v>
      </c>
      <c r="H9" s="462">
        <f>+'q20'!$H$9</f>
        <v>90179</v>
      </c>
      <c r="I9" s="462">
        <f>+'q20'!$I$9</f>
        <v>89882</v>
      </c>
      <c r="J9" s="462">
        <f>+'q20'!$J$9</f>
        <v>92151</v>
      </c>
      <c r="K9" s="462">
        <f>+'q20'!$K$9</f>
        <v>93763</v>
      </c>
      <c r="L9" s="462">
        <f>+'q20'!$L$9</f>
        <v>97792</v>
      </c>
      <c r="M9" s="552">
        <f t="shared" si="0"/>
        <v>2.9155645447888817E-2</v>
      </c>
      <c r="N9" s="532">
        <f t="shared" si="1"/>
        <v>3.2556425265533651E-2</v>
      </c>
      <c r="O9" s="552">
        <f t="shared" si="2"/>
        <v>-3.4007798176448334E-3</v>
      </c>
      <c r="P9" s="453" t="str">
        <f t="shared" si="3"/>
        <v>Acordo de Empresa (AE)</v>
      </c>
      <c r="AE9" s="555"/>
      <c r="AF9" s="555"/>
      <c r="AG9" s="555"/>
      <c r="AH9" s="555"/>
    </row>
    <row r="10" spans="1:34">
      <c r="A10" s="453" t="s">
        <v>379</v>
      </c>
      <c r="B10" s="462">
        <f>+'q20'!$B$10</f>
        <v>273070</v>
      </c>
      <c r="C10" s="462">
        <f>+'q20'!$C$10</f>
        <v>292517</v>
      </c>
      <c r="D10" s="462">
        <f>+'q20'!$D$10</f>
        <v>329628</v>
      </c>
      <c r="E10" s="462">
        <f>+'q20'!$E$10</f>
        <v>372396</v>
      </c>
      <c r="F10" s="462">
        <f>+'q20'!$F$10</f>
        <v>396860</v>
      </c>
      <c r="G10" s="462">
        <f>+'q20'!$G$10</f>
        <v>436464</v>
      </c>
      <c r="H10" s="462">
        <f>+'q20'!$H$10</f>
        <v>458030</v>
      </c>
      <c r="I10" s="462">
        <f>+'q20'!$I$10</f>
        <v>467655</v>
      </c>
      <c r="J10" s="462">
        <f>+'q20'!$J$10</f>
        <v>526170</v>
      </c>
      <c r="K10" s="462">
        <f>+'q20'!$K$10</f>
        <v>552037</v>
      </c>
      <c r="L10" s="462">
        <f>+'q20'!$L$10</f>
        <v>576907</v>
      </c>
      <c r="M10" s="531">
        <f t="shared" si="0"/>
        <v>0.17199869057187903</v>
      </c>
      <c r="N10" s="532">
        <f>+B10/$B$5</f>
        <v>0.11108701904633664</v>
      </c>
      <c r="O10" s="531">
        <f t="shared" si="2"/>
        <v>6.0911671525542388E-2</v>
      </c>
      <c r="P10" s="453" t="str">
        <f t="shared" si="3"/>
        <v>Não Abrangidos por Regulamentação Coletiva</v>
      </c>
      <c r="S10" s="415">
        <f>+O10*100</f>
        <v>6.091167152554239</v>
      </c>
      <c r="T10" t="s">
        <v>729</v>
      </c>
      <c r="AE10" s="555"/>
      <c r="AF10" s="555"/>
      <c r="AG10" s="555"/>
      <c r="AH10" s="555"/>
    </row>
    <row r="11" spans="1:34">
      <c r="AE11" s="555"/>
      <c r="AF11" s="555"/>
      <c r="AG11" s="555"/>
      <c r="AH11" s="555"/>
    </row>
    <row r="12" spans="1:34">
      <c r="AA12" s="383"/>
      <c r="AE12" s="555"/>
      <c r="AF12" s="555"/>
      <c r="AG12" s="555"/>
      <c r="AH12" s="555"/>
    </row>
    <row r="13" spans="1:34">
      <c r="A13" s="383" t="s">
        <v>250</v>
      </c>
      <c r="N13" s="415">
        <f>+M6+M10</f>
        <v>0.8606177567039619</v>
      </c>
      <c r="AA13" s="532"/>
      <c r="AE13" s="555"/>
      <c r="AF13" s="555"/>
      <c r="AG13" s="555"/>
      <c r="AH13" s="555"/>
    </row>
    <row r="14" spans="1:34">
      <c r="B14" s="453">
        <f>+'q20'!$B$4</f>
        <v>2014</v>
      </c>
      <c r="C14" s="453">
        <f>+'q20'!$C$4</f>
        <v>2015</v>
      </c>
      <c r="D14" s="453">
        <f>+'q20'!$D$4</f>
        <v>2016</v>
      </c>
      <c r="E14" s="453">
        <f>+'q20'!$E$4</f>
        <v>2017</v>
      </c>
      <c r="F14" s="453">
        <f>+'q20'!$F$4</f>
        <v>2018</v>
      </c>
      <c r="G14" s="453">
        <f>+'q20'!$G$4</f>
        <v>2019</v>
      </c>
      <c r="H14" s="453">
        <f>+'q20'!$H$4</f>
        <v>2020</v>
      </c>
      <c r="I14" s="453">
        <f>+'q20'!$I$4</f>
        <v>2021</v>
      </c>
      <c r="J14" s="453">
        <f>+'q20'!$J$4</f>
        <v>2022</v>
      </c>
      <c r="K14" s="453">
        <f>+'q20'!$K$4</f>
        <v>2023</v>
      </c>
      <c r="L14" s="453">
        <f>+'q20'!$L$4</f>
        <v>2024</v>
      </c>
      <c r="R14" s="383"/>
      <c r="AE14" s="555"/>
      <c r="AF14" s="555"/>
      <c r="AG14" s="555"/>
      <c r="AH14" s="555"/>
    </row>
    <row r="15" spans="1:34">
      <c r="A15" t="s">
        <v>11</v>
      </c>
      <c r="B15" s="463">
        <f>+'q30'!$B$5</f>
        <v>909.49</v>
      </c>
      <c r="C15" s="463">
        <f>+'q30'!$C$5</f>
        <v>913.93</v>
      </c>
      <c r="D15" s="463">
        <f>+'q30'!$D$5</f>
        <v>924.94</v>
      </c>
      <c r="E15" s="463">
        <f>+'q30'!$E$5</f>
        <v>943</v>
      </c>
      <c r="F15" s="463">
        <f>+'q30'!$F$5</f>
        <v>970.42</v>
      </c>
      <c r="G15" s="463">
        <f>+'q30'!$G$5</f>
        <v>1005.09</v>
      </c>
      <c r="H15" s="463">
        <f>+'q30'!$H$5</f>
        <v>1041.99</v>
      </c>
      <c r="I15" s="463">
        <f>+'q30'!$I$5</f>
        <v>1082.77</v>
      </c>
      <c r="J15" s="463">
        <f>+'q30'!$J$5</f>
        <v>1143.45</v>
      </c>
      <c r="K15" s="463">
        <f>+'q30'!$K$5</f>
        <v>1219.8699999999999</v>
      </c>
      <c r="L15" s="463">
        <f>+'q30'!$L$5</f>
        <v>1308.96</v>
      </c>
    </row>
    <row r="16" spans="1:34">
      <c r="A16" t="s">
        <v>196</v>
      </c>
      <c r="B16" s="463">
        <f>+'q30'!$B$6</f>
        <v>814.02</v>
      </c>
      <c r="C16" s="463">
        <f>+'q30'!$C$6</f>
        <v>822.04</v>
      </c>
      <c r="D16" s="463">
        <f>+'q30'!$D$6</f>
        <v>834.1</v>
      </c>
      <c r="E16" s="463">
        <f>+'q30'!$E$6</f>
        <v>851.63</v>
      </c>
      <c r="F16" s="463">
        <f>+'q30'!$F$6</f>
        <v>878.73</v>
      </c>
      <c r="G16" s="463">
        <f>+'q30'!$G$6</f>
        <v>910.7</v>
      </c>
      <c r="H16" s="463">
        <f>+'q30'!$H$6</f>
        <v>946.93</v>
      </c>
      <c r="I16" s="463">
        <f>+'q30'!$I$6</f>
        <v>985.26</v>
      </c>
      <c r="J16" s="463">
        <f>+'q30'!$J$6</f>
        <v>1034.9100000000001</v>
      </c>
      <c r="K16" s="463">
        <f>+'q30'!$K$6</f>
        <v>1104.8399999999999</v>
      </c>
      <c r="L16" s="463">
        <f>+'q30'!$L$6</f>
        <v>1180.44</v>
      </c>
      <c r="M16" s="487">
        <f>+L16/L15*100</f>
        <v>90.181518151815183</v>
      </c>
      <c r="N16" s="488">
        <f>+L16-L15</f>
        <v>-128.51999999999998</v>
      </c>
      <c r="O16" s="415">
        <f>+(L16/B16-1)*100</f>
        <v>45.013636028598825</v>
      </c>
    </row>
    <row r="17" spans="1:27">
      <c r="A17" t="s">
        <v>197</v>
      </c>
      <c r="B17" s="463">
        <f>+'q30'!$B$7</f>
        <v>1355.5</v>
      </c>
      <c r="C17" s="463">
        <f>+'q30'!$C$7</f>
        <v>1369.22</v>
      </c>
      <c r="D17" s="463">
        <f>+'q30'!$D$7</f>
        <v>1380.34</v>
      </c>
      <c r="E17" s="463">
        <f>+'q30'!$E$7</f>
        <v>1384.89</v>
      </c>
      <c r="F17" s="463">
        <f>+'q30'!$F$7</f>
        <v>1383.1</v>
      </c>
      <c r="G17" s="463">
        <f>+'q30'!$G$7</f>
        <v>1377.83</v>
      </c>
      <c r="H17" s="463">
        <f>+'q30'!$H$7</f>
        <v>1398.04</v>
      </c>
      <c r="I17" s="463">
        <f>+'q30'!$I$7</f>
        <v>1401.27</v>
      </c>
      <c r="J17" s="463">
        <f>+'q30'!$J$7</f>
        <v>1434.7</v>
      </c>
      <c r="K17" s="463">
        <f>+'q30'!$K$7</f>
        <v>1540.55</v>
      </c>
      <c r="L17" s="463">
        <f>+'q30'!$L$7</f>
        <v>1675.48</v>
      </c>
      <c r="O17" s="415">
        <f t="shared" ref="O17:O20" si="4">+(L17/B17-1)*100</f>
        <v>23.606049428255261</v>
      </c>
      <c r="AA17" s="522"/>
    </row>
    <row r="18" spans="1:27">
      <c r="A18" s="383" t="s">
        <v>377</v>
      </c>
      <c r="B18" s="463">
        <f>+'q30'!$B$8</f>
        <v>972.19</v>
      </c>
      <c r="C18" s="463">
        <f>+'q30'!$C$8</f>
        <v>967.53</v>
      </c>
      <c r="D18" s="463">
        <f>+'q30'!$D$8</f>
        <v>971.01</v>
      </c>
      <c r="E18" s="463">
        <f>+'q30'!$E$8</f>
        <v>992.05</v>
      </c>
      <c r="F18" s="463">
        <f>+'q30'!$F$8</f>
        <v>1032.1099999999999</v>
      </c>
      <c r="G18" s="463">
        <f>+'q30'!$G$8</f>
        <v>1074.6099999999999</v>
      </c>
      <c r="H18" s="463">
        <f>+'q30'!$H$8</f>
        <v>1119.8599999999999</v>
      </c>
      <c r="I18" s="463">
        <f>+'q30'!$I$8</f>
        <v>1179.75</v>
      </c>
      <c r="J18" s="463">
        <f>+'q30'!$J$8</f>
        <v>1261.6500000000001</v>
      </c>
      <c r="K18" s="463">
        <f>+'q30'!$K$8</f>
        <v>1353.7</v>
      </c>
      <c r="L18" s="463">
        <f>+'q30'!$L$8</f>
        <v>1439.19</v>
      </c>
      <c r="O18" s="415">
        <f t="shared" si="4"/>
        <v>48.035877760520052</v>
      </c>
    </row>
    <row r="19" spans="1:27">
      <c r="A19" t="s">
        <v>43</v>
      </c>
      <c r="B19" s="463">
        <f>+'q30'!$B$9</f>
        <v>1444.7</v>
      </c>
      <c r="C19" s="463">
        <f>+'q30'!$C$9</f>
        <v>1449</v>
      </c>
      <c r="D19" s="463">
        <f>+'q30'!$D$9</f>
        <v>1443.02</v>
      </c>
      <c r="E19" s="463">
        <f>+'q30'!$E$9</f>
        <v>1460.94</v>
      </c>
      <c r="F19" s="463">
        <f>+'q30'!$F$9</f>
        <v>1499.23</v>
      </c>
      <c r="G19" s="463">
        <f>+'q30'!$G$9</f>
        <v>1520.65</v>
      </c>
      <c r="H19" s="463">
        <f>+'q30'!$H$9</f>
        <v>1451.9</v>
      </c>
      <c r="I19" s="463">
        <f>+'q30'!$I$9</f>
        <v>1476.86</v>
      </c>
      <c r="J19" s="463">
        <f>+'q30'!$J$9</f>
        <v>1594.67</v>
      </c>
      <c r="K19" s="463">
        <f>+'q30'!$K$9</f>
        <v>1672.43</v>
      </c>
      <c r="L19" s="463">
        <f>+'q30'!$L$9</f>
        <v>1750.46</v>
      </c>
      <c r="O19" s="415">
        <f t="shared" si="4"/>
        <v>21.16425555478645</v>
      </c>
    </row>
    <row r="20" spans="1:27">
      <c r="A20" s="453" t="s">
        <v>379</v>
      </c>
      <c r="B20" s="463">
        <f>+'q30'!$B$10</f>
        <v>1121.4000000000001</v>
      </c>
      <c r="C20" s="463">
        <f>+'q30'!$C$10</f>
        <v>1104.3499999999999</v>
      </c>
      <c r="D20" s="463">
        <f>+'q30'!$D$10</f>
        <v>1107.47</v>
      </c>
      <c r="E20" s="463">
        <f>+'q30'!$E$10</f>
        <v>1109.81</v>
      </c>
      <c r="F20" s="463">
        <f>+'q30'!$F$10</f>
        <v>1145.6199999999999</v>
      </c>
      <c r="G20" s="463">
        <f>+'q30'!$G$10</f>
        <v>1184.1099999999999</v>
      </c>
      <c r="H20" s="463">
        <f>+'q30'!$H$10</f>
        <v>1211.97</v>
      </c>
      <c r="I20" s="463">
        <f>+'q30'!$I$10</f>
        <v>1273.56</v>
      </c>
      <c r="J20" s="463">
        <f>+'q30'!$J$10</f>
        <v>1356.61</v>
      </c>
      <c r="K20" s="463">
        <f>+'q30'!$K$10</f>
        <v>1446.74</v>
      </c>
      <c r="L20" s="463">
        <f>+'q30'!$L$10</f>
        <v>1568.84</v>
      </c>
      <c r="M20" s="487">
        <f>+L20/L15*100</f>
        <v>119.85392983742817</v>
      </c>
      <c r="N20" s="488">
        <f>+L20-L15</f>
        <v>259.87999999999988</v>
      </c>
      <c r="O20" s="415">
        <f t="shared" si="4"/>
        <v>39.900124843945051</v>
      </c>
    </row>
    <row r="21" spans="1:27">
      <c r="M21" s="487">
        <f>+M20-100</f>
        <v>19.853929837428169</v>
      </c>
    </row>
    <row r="24" spans="1:27">
      <c r="A24" s="383" t="s">
        <v>251</v>
      </c>
    </row>
    <row r="25" spans="1:27">
      <c r="B25" s="453">
        <f>+'q20'!$B$4</f>
        <v>2014</v>
      </c>
      <c r="C25" s="453">
        <f>+'q20'!$C$4</f>
        <v>2015</v>
      </c>
      <c r="D25" s="453">
        <f>+'q20'!$D$4</f>
        <v>2016</v>
      </c>
      <c r="E25" s="453">
        <f>+'q20'!$E$4</f>
        <v>2017</v>
      </c>
      <c r="F25" s="453">
        <f>+'q20'!$F$4</f>
        <v>2018</v>
      </c>
      <c r="G25" s="453">
        <f>+'q20'!$G$4</f>
        <v>2019</v>
      </c>
      <c r="H25" s="453">
        <f>+'q20'!$H$4</f>
        <v>2020</v>
      </c>
      <c r="I25" s="453">
        <f>+'q20'!$I$4</f>
        <v>2021</v>
      </c>
      <c r="J25" s="453">
        <f>+'q20'!$J$4</f>
        <v>2022</v>
      </c>
      <c r="K25" s="453">
        <f>+'q20'!$K$4</f>
        <v>2023</v>
      </c>
      <c r="L25" s="453">
        <f>+'q20'!$L$4</f>
        <v>2024</v>
      </c>
    </row>
    <row r="26" spans="1:27">
      <c r="A26" t="s">
        <v>11</v>
      </c>
      <c r="B26" s="463">
        <f>+'q42'!$B$5</f>
        <v>1093.21</v>
      </c>
      <c r="C26" s="463">
        <f>+'q42'!$C$5</f>
        <v>1096.6600000000001</v>
      </c>
      <c r="D26" s="463">
        <f>+'q42'!$D$5</f>
        <v>1107.8599999999999</v>
      </c>
      <c r="E26" s="463">
        <f>+'q42'!$E$5</f>
        <v>1133.3399999999999</v>
      </c>
      <c r="F26" s="463">
        <f>+'q42'!$F$5</f>
        <v>1170.25</v>
      </c>
      <c r="G26" s="463">
        <f>+'q42'!$G$5</f>
        <v>1209.94</v>
      </c>
      <c r="H26" s="463">
        <f>+'q42'!$H$5</f>
        <v>1250.75</v>
      </c>
      <c r="I26" s="463">
        <f>+'q42'!$I$5</f>
        <v>1294.1099999999999</v>
      </c>
      <c r="J26" s="463">
        <f>+'q42'!$J$5</f>
        <v>1368</v>
      </c>
      <c r="K26" s="463">
        <f>+'q42'!$K$5</f>
        <v>1466.66</v>
      </c>
      <c r="L26" s="463">
        <f>+'q42'!$L$5</f>
        <v>1582.75</v>
      </c>
    </row>
    <row r="27" spans="1:27">
      <c r="A27" t="s">
        <v>196</v>
      </c>
      <c r="B27" s="463">
        <f>+'q42'!$B$6</f>
        <v>958.21</v>
      </c>
      <c r="C27" s="463">
        <f>+'q42'!$C$6</f>
        <v>967.68</v>
      </c>
      <c r="D27" s="463">
        <f>+'q42'!$D$6</f>
        <v>981.32</v>
      </c>
      <c r="E27" s="463">
        <f>+'q42'!$E$6</f>
        <v>1003.59</v>
      </c>
      <c r="F27" s="463">
        <f>+'q42'!$F$6</f>
        <v>1039.96</v>
      </c>
      <c r="G27" s="463">
        <f>+'q42'!$G$6</f>
        <v>1077.22</v>
      </c>
      <c r="H27" s="463">
        <f>+'q42'!$H$6</f>
        <v>1117.7</v>
      </c>
      <c r="I27" s="463">
        <f>+'q42'!$I$6</f>
        <v>1159.75</v>
      </c>
      <c r="J27" s="463">
        <f>+'q42'!$J$6</f>
        <v>1221.48</v>
      </c>
      <c r="K27" s="463">
        <f>+'q42'!$K$6</f>
        <v>1310.4000000000001</v>
      </c>
      <c r="L27" s="463">
        <f>+'q42'!$L$6</f>
        <v>1409.17</v>
      </c>
      <c r="M27" s="487">
        <f>+L27/L26*100</f>
        <v>89.033012162375613</v>
      </c>
      <c r="O27" s="415"/>
    </row>
    <row r="28" spans="1:27">
      <c r="A28" t="s">
        <v>197</v>
      </c>
      <c r="B28" s="463">
        <f>+'q42'!$B$7</f>
        <v>1928.43</v>
      </c>
      <c r="C28" s="463">
        <f>+'q42'!$C$7</f>
        <v>1936.67</v>
      </c>
      <c r="D28" s="463">
        <f>+'q42'!$D$7</f>
        <v>1944.81</v>
      </c>
      <c r="E28" s="463">
        <f>+'q42'!$E$7</f>
        <v>1970.67</v>
      </c>
      <c r="F28" s="463">
        <f>+'q42'!$F$7</f>
        <v>1974.69</v>
      </c>
      <c r="G28" s="463">
        <f>+'q42'!$G$7</f>
        <v>1933.53</v>
      </c>
      <c r="H28" s="463">
        <f>+'q42'!$H$7</f>
        <v>1966.25</v>
      </c>
      <c r="I28" s="463">
        <f>+'q42'!$I$7</f>
        <v>1956.61</v>
      </c>
      <c r="J28" s="463">
        <f>+'q42'!$J$7</f>
        <v>2014.6</v>
      </c>
      <c r="K28" s="463">
        <f>+'q42'!$K$7</f>
        <v>2185.2800000000002</v>
      </c>
      <c r="L28" s="463">
        <f>+'q42'!$L$7</f>
        <v>2405.85</v>
      </c>
      <c r="O28" s="415"/>
    </row>
    <row r="29" spans="1:27">
      <c r="A29" s="383" t="s">
        <v>377</v>
      </c>
      <c r="B29" s="463">
        <f>+'q42'!$B$8</f>
        <v>1112.83</v>
      </c>
      <c r="C29" s="463">
        <f>+'q42'!$C$8</f>
        <v>1108.6500000000001</v>
      </c>
      <c r="D29" s="463">
        <f>+'q42'!$D$8</f>
        <v>1109.69</v>
      </c>
      <c r="E29" s="463">
        <f>+'q42'!$E$8</f>
        <v>1137.24</v>
      </c>
      <c r="F29" s="463">
        <f>+'q42'!$F$8</f>
        <v>1189.52</v>
      </c>
      <c r="G29" s="463">
        <f>+'q42'!$G$8</f>
        <v>1243.71</v>
      </c>
      <c r="H29" s="463">
        <f>+'q42'!$H$8</f>
        <v>1290.47</v>
      </c>
      <c r="I29" s="463">
        <f>+'q42'!$I$8</f>
        <v>1355.96</v>
      </c>
      <c r="J29" s="463">
        <f>+'q42'!$J$8</f>
        <v>1448.63</v>
      </c>
      <c r="K29" s="463">
        <f>+'q42'!$K$8</f>
        <v>1565.83</v>
      </c>
      <c r="L29" s="463">
        <f>+'q42'!$L$8</f>
        <v>1674.27</v>
      </c>
      <c r="O29" s="415"/>
    </row>
    <row r="30" spans="1:27">
      <c r="A30" t="s">
        <v>43</v>
      </c>
      <c r="B30" s="463">
        <f>+'q42'!$B$9</f>
        <v>2002.28</v>
      </c>
      <c r="C30" s="463">
        <f>+'q42'!$C$9</f>
        <v>1985.41</v>
      </c>
      <c r="D30" s="463">
        <f>+'q42'!$D$9</f>
        <v>1982.63</v>
      </c>
      <c r="E30" s="463">
        <f>+'q42'!$E$9</f>
        <v>2024.68</v>
      </c>
      <c r="F30" s="463">
        <f>+'q42'!$F$9</f>
        <v>2085.6</v>
      </c>
      <c r="G30" s="463">
        <f>+'q42'!$G$9</f>
        <v>2111.4</v>
      </c>
      <c r="H30" s="463">
        <f>+'q42'!$H$9</f>
        <v>1993.24</v>
      </c>
      <c r="I30" s="463">
        <f>+'q42'!$I$9</f>
        <v>2027.84</v>
      </c>
      <c r="J30" s="463">
        <f>+'q42'!$J$9</f>
        <v>2202.54</v>
      </c>
      <c r="K30" s="463">
        <f>+'q42'!$K$9</f>
        <v>2332.16</v>
      </c>
      <c r="L30" s="463">
        <f>+'q42'!$L$9</f>
        <v>2393.0300000000002</v>
      </c>
      <c r="O30" s="415"/>
    </row>
    <row r="31" spans="1:27">
      <c r="A31" s="453" t="s">
        <v>379</v>
      </c>
      <c r="B31" s="463">
        <f>+'q42'!$B$10</f>
        <v>1313.3</v>
      </c>
      <c r="C31" s="463">
        <f>+'q42'!$C$10</f>
        <v>1292.21</v>
      </c>
      <c r="D31" s="463">
        <f>+'q42'!$D$10</f>
        <v>1292.3699999999999</v>
      </c>
      <c r="E31" s="463">
        <f>+'q42'!$E$10</f>
        <v>1303.6199999999999</v>
      </c>
      <c r="F31" s="463">
        <f>+'q42'!$F$10</f>
        <v>1350.43</v>
      </c>
      <c r="G31" s="463">
        <f>+'q42'!$G$10</f>
        <v>1400.22</v>
      </c>
      <c r="H31" s="463">
        <f>+'q42'!$H$10</f>
        <v>1426.6</v>
      </c>
      <c r="I31" s="463">
        <f>+'q42'!$I$10</f>
        <v>1489.71</v>
      </c>
      <c r="J31" s="463">
        <f>+'q42'!$J$10</f>
        <v>1584.35</v>
      </c>
      <c r="K31" s="463">
        <f>+'q42'!$K$10</f>
        <v>1696.04</v>
      </c>
      <c r="L31" s="463">
        <f>+'q42'!$L$10</f>
        <v>1853.4</v>
      </c>
      <c r="M31" s="487">
        <f>+L31/L26*100</f>
        <v>117.099984204707</v>
      </c>
      <c r="O31" s="415"/>
    </row>
    <row r="32" spans="1:27">
      <c r="M32" s="487">
        <f>+M31-100</f>
        <v>17.099984204706999</v>
      </c>
    </row>
    <row r="37" spans="1:29">
      <c r="A37" s="509"/>
      <c r="J37" t="s">
        <v>434</v>
      </c>
    </row>
    <row r="38" spans="1:29">
      <c r="A38" s="453"/>
    </row>
    <row r="39" spans="1:29">
      <c r="T39" s="384" t="s">
        <v>486</v>
      </c>
      <c r="U39" s="522" t="s">
        <v>488</v>
      </c>
    </row>
    <row r="41" spans="1:29">
      <c r="B41">
        <v>100</v>
      </c>
    </row>
    <row r="42" spans="1:29">
      <c r="T42" s="384" t="s">
        <v>182</v>
      </c>
    </row>
    <row r="43" spans="1:29">
      <c r="A43" s="453"/>
      <c r="B43" s="453">
        <f>+'q20'!$B$4</f>
        <v>2014</v>
      </c>
      <c r="C43" s="453">
        <f>+'q20'!$C$4</f>
        <v>2015</v>
      </c>
      <c r="D43" s="453">
        <f>+'q20'!$D$4</f>
        <v>2016</v>
      </c>
      <c r="E43" s="453">
        <f>+'q20'!$E$4</f>
        <v>2017</v>
      </c>
      <c r="F43" s="453">
        <f>+'q20'!$F$4</f>
        <v>2018</v>
      </c>
      <c r="G43" s="453">
        <f>+'q20'!$G$4</f>
        <v>2019</v>
      </c>
      <c r="H43" s="453">
        <f>+'q20'!$H$4</f>
        <v>2020</v>
      </c>
      <c r="I43" s="453">
        <f>+'q20'!$I$4</f>
        <v>2021</v>
      </c>
      <c r="J43" s="453">
        <f>+'q20'!$J$4</f>
        <v>2022</v>
      </c>
      <c r="K43" s="453">
        <f>+'q20'!$K$4</f>
        <v>2023</v>
      </c>
      <c r="L43" s="453">
        <f>+'q20'!$L$4</f>
        <v>2024</v>
      </c>
    </row>
    <row r="44" spans="1:29">
      <c r="A44" s="453" t="s">
        <v>11</v>
      </c>
      <c r="B44" s="532">
        <f>(B5/B$5)</f>
        <v>1</v>
      </c>
      <c r="C44" s="532">
        <f t="shared" ref="C44:L44" si="5">(C5/C$5)</f>
        <v>1</v>
      </c>
      <c r="D44" s="532">
        <f t="shared" si="5"/>
        <v>1</v>
      </c>
      <c r="E44" s="532">
        <f t="shared" si="5"/>
        <v>1</v>
      </c>
      <c r="F44" s="532">
        <f t="shared" si="5"/>
        <v>1</v>
      </c>
      <c r="G44" s="532">
        <f t="shared" si="5"/>
        <v>1</v>
      </c>
      <c r="H44" s="532">
        <f t="shared" si="5"/>
        <v>1</v>
      </c>
      <c r="I44" s="532">
        <f t="shared" si="5"/>
        <v>1</v>
      </c>
      <c r="J44" s="532">
        <f t="shared" si="5"/>
        <v>1</v>
      </c>
      <c r="K44" s="532">
        <f t="shared" si="5"/>
        <v>1</v>
      </c>
      <c r="L44" s="532">
        <f t="shared" si="5"/>
        <v>1</v>
      </c>
      <c r="M44" s="384" t="str">
        <f>+L43&amp;" - "&amp;B43</f>
        <v>2024 - 2014</v>
      </c>
    </row>
    <row r="45" spans="1:29">
      <c r="A45" s="453" t="s">
        <v>196</v>
      </c>
      <c r="B45" s="532">
        <f t="shared" ref="B45:L49" si="6">(B6/B$5)</f>
        <v>0.73312062706988923</v>
      </c>
      <c r="C45" s="532">
        <f t="shared" si="6"/>
        <v>0.73107040245455146</v>
      </c>
      <c r="D45" s="532">
        <f t="shared" si="6"/>
        <v>0.72352634581151054</v>
      </c>
      <c r="E45" s="532">
        <f t="shared" si="6"/>
        <v>0.71395555806080602</v>
      </c>
      <c r="F45" s="532">
        <f t="shared" si="6"/>
        <v>0.72059801564881276</v>
      </c>
      <c r="G45" s="532">
        <f t="shared" si="6"/>
        <v>0.70925704372181775</v>
      </c>
      <c r="H45" s="532">
        <f t="shared" si="6"/>
        <v>0.69394882571288319</v>
      </c>
      <c r="I45" s="532">
        <f t="shared" si="6"/>
        <v>0.69513469158137842</v>
      </c>
      <c r="J45" s="532">
        <f t="shared" si="6"/>
        <v>0.6908781578496811</v>
      </c>
      <c r="K45" s="532">
        <f t="shared" si="6"/>
        <v>0.69288020450624888</v>
      </c>
      <c r="L45" s="531">
        <f>(L6/L$5)</f>
        <v>0.6886190661320829</v>
      </c>
      <c r="M45" s="531">
        <f>+L45-B45</f>
        <v>-4.4501560937806328E-2</v>
      </c>
      <c r="N45" s="453" t="str">
        <f>+A45</f>
        <v>Contrato Coletivo de Trabalho (CCT)</v>
      </c>
      <c r="O45" s="552"/>
      <c r="U45">
        <f>+L43</f>
        <v>2024</v>
      </c>
      <c r="Z45" s="968" t="str">
        <f>+U45&amp;":"&amp;CHAR(10)&amp;U46&amp;" "&amp;V47&amp;": "&amp;U47&amp;" ("&amp;V48&amp;"face a "&amp;W48&amp;");"&amp;CHAR(10)&amp;U50&amp;": "&amp;V51&amp;" ("&amp;W52&amp;" face a "&amp;W48&amp;")."</f>
        <v>2024:
TCO abrangidos por  Contrato Coletivo de Trabalho (CCT): 68,9% (-4,5 p.p.face a 2014);
TCO não abrangidos por IRCT: 17,2% (+6,1 p.p. face a 2014).</v>
      </c>
      <c r="AA45" s="968"/>
      <c r="AB45" s="968"/>
      <c r="AC45" s="968"/>
    </row>
    <row r="46" spans="1:29">
      <c r="A46" s="453" t="s">
        <v>197</v>
      </c>
      <c r="B46" s="532">
        <f t="shared" si="6"/>
        <v>3.9475819951728178E-2</v>
      </c>
      <c r="C46" s="532">
        <f t="shared" si="6"/>
        <v>3.9222068580692472E-2</v>
      </c>
      <c r="D46" s="532">
        <f t="shared" si="6"/>
        <v>3.8299054588728877E-2</v>
      </c>
      <c r="E46" s="532">
        <f t="shared" si="6"/>
        <v>3.8551830320348063E-2</v>
      </c>
      <c r="F46" s="532">
        <f t="shared" si="6"/>
        <v>3.8114359060960043E-2</v>
      </c>
      <c r="G46" s="532">
        <f t="shared" si="6"/>
        <v>3.5590390932276672E-2</v>
      </c>
      <c r="H46" s="532">
        <f t="shared" si="6"/>
        <v>4.0869153324778446E-2</v>
      </c>
      <c r="I46" s="532">
        <f t="shared" si="6"/>
        <v>4.0714933188883029E-2</v>
      </c>
      <c r="J46" s="532">
        <f t="shared" si="6"/>
        <v>3.8994049515476879E-2</v>
      </c>
      <c r="K46" s="532">
        <f t="shared" si="6"/>
        <v>3.8007556731613462E-2</v>
      </c>
      <c r="L46" s="532">
        <f t="shared" si="6"/>
        <v>3.7591498973208001E-2</v>
      </c>
      <c r="M46" s="552">
        <f t="shared" ref="M46:M49" si="7">+L46-B46</f>
        <v>-1.8843209785201764E-3</v>
      </c>
      <c r="N46" s="453" t="str">
        <f>+A46</f>
        <v>Acordo Coletivo de Trabalho (ACT)</v>
      </c>
      <c r="O46" s="552"/>
      <c r="U46" s="383" t="s">
        <v>484</v>
      </c>
      <c r="Z46" s="968"/>
      <c r="AA46" s="968"/>
      <c r="AB46" s="968"/>
      <c r="AC46" s="968"/>
    </row>
    <row r="47" spans="1:29">
      <c r="A47" s="453" t="s">
        <v>377</v>
      </c>
      <c r="B47" s="532">
        <f t="shared" si="6"/>
        <v>8.3760108666512345E-2</v>
      </c>
      <c r="C47" s="532">
        <f t="shared" si="6"/>
        <v>8.3635548280241626E-2</v>
      </c>
      <c r="D47" s="532">
        <f t="shared" si="6"/>
        <v>8.3150543222559062E-2</v>
      </c>
      <c r="E47" s="532">
        <f t="shared" si="6"/>
        <v>8.1948068325407464E-2</v>
      </c>
      <c r="F47" s="532">
        <f t="shared" si="6"/>
        <v>7.3491670019785141E-2</v>
      </c>
      <c r="G47" s="532">
        <f t="shared" si="6"/>
        <v>7.4824551046551391E-2</v>
      </c>
      <c r="H47" s="532">
        <f t="shared" si="6"/>
        <v>7.6328404226916877E-2</v>
      </c>
      <c r="I47" s="532">
        <f t="shared" si="6"/>
        <v>7.336613121731432E-2</v>
      </c>
      <c r="J47" s="532">
        <f t="shared" si="6"/>
        <v>7.3719873944895209E-2</v>
      </c>
      <c r="K47" s="532">
        <f t="shared" si="6"/>
        <v>7.3185738201177505E-2</v>
      </c>
      <c r="L47" s="532">
        <f t="shared" si="6"/>
        <v>7.2635098874941267E-2</v>
      </c>
      <c r="M47" s="552">
        <f t="shared" si="7"/>
        <v>-1.1125009791571078E-2</v>
      </c>
      <c r="N47" s="453" t="str">
        <f>+A47</f>
        <v>Portaria de Cond. de Trabalho (PCT)</v>
      </c>
      <c r="O47" s="552"/>
      <c r="T47">
        <f>+LARGE($L$45:$L$49,1)</f>
        <v>0.6886190661320829</v>
      </c>
      <c r="U47" t="str">
        <f>+TEXT(LARGE($L$45:$L$49,1),"##.###,0%")</f>
        <v>68,9%</v>
      </c>
      <c r="V47" t="str">
        <f>+VLOOKUP(T47,L45:N49,3,0)</f>
        <v>Contrato Coletivo de Trabalho (CCT)</v>
      </c>
      <c r="Z47" s="968"/>
      <c r="AA47" s="968"/>
      <c r="AB47" s="968"/>
      <c r="AC47" s="968"/>
    </row>
    <row r="48" spans="1:29">
      <c r="A48" s="453" t="s">
        <v>43</v>
      </c>
      <c r="B48" s="532">
        <f t="shared" si="6"/>
        <v>3.2556425265533651E-2</v>
      </c>
      <c r="C48" s="532">
        <f t="shared" si="6"/>
        <v>3.0801295527796747E-2</v>
      </c>
      <c r="D48" s="532">
        <f t="shared" si="6"/>
        <v>3.0255658860093744E-2</v>
      </c>
      <c r="E48" s="532">
        <f t="shared" si="6"/>
        <v>3.0985130736135336E-2</v>
      </c>
      <c r="F48" s="532">
        <f t="shared" si="6"/>
        <v>2.9897655179890462E-2</v>
      </c>
      <c r="G48" s="532">
        <f t="shared" si="6"/>
        <v>3.1388693054589654E-2</v>
      </c>
      <c r="H48" s="532">
        <f t="shared" si="6"/>
        <v>3.1065944381766037E-2</v>
      </c>
      <c r="I48" s="532">
        <f t="shared" si="6"/>
        <v>3.0756827655069922E-2</v>
      </c>
      <c r="J48" s="532">
        <f t="shared" si="6"/>
        <v>2.9271504793137042E-2</v>
      </c>
      <c r="K48" s="532">
        <f t="shared" si="6"/>
        <v>2.8446355639667562E-2</v>
      </c>
      <c r="L48" s="532">
        <f t="shared" si="6"/>
        <v>2.9155645447888817E-2</v>
      </c>
      <c r="M48" s="552">
        <f t="shared" si="7"/>
        <v>-3.4007798176448334E-3</v>
      </c>
      <c r="N48" s="453" t="str">
        <f>+A48</f>
        <v>Acordo de Empresa (AE)</v>
      </c>
      <c r="O48" s="552"/>
      <c r="U48">
        <f>+VLOOKUP(V47,A45:M49,13,0)</f>
        <v>-4.4501560937806328E-2</v>
      </c>
      <c r="V48" t="str">
        <f>+IF(U49&gt;0,"+"&amp;TEXT(U49,"##.###,0 p.p."),TEXT(U49,"##.###,0 p.p."))</f>
        <v>-4,5 p.p.</v>
      </c>
      <c r="W48">
        <f>+B43</f>
        <v>2014</v>
      </c>
      <c r="Z48" s="968"/>
      <c r="AA48" s="968"/>
      <c r="AB48" s="968"/>
      <c r="AC48" s="968"/>
    </row>
    <row r="49" spans="1:31">
      <c r="A49" s="453" t="s">
        <v>379</v>
      </c>
      <c r="B49" s="532">
        <f t="shared" si="6"/>
        <v>0.11108701904633664</v>
      </c>
      <c r="C49" s="532">
        <f t="shared" si="6"/>
        <v>0.11527068515671765</v>
      </c>
      <c r="D49" s="532">
        <f t="shared" si="6"/>
        <v>0.12476839751710783</v>
      </c>
      <c r="E49" s="532">
        <f t="shared" si="6"/>
        <v>0.13455941255730308</v>
      </c>
      <c r="F49" s="532">
        <f t="shared" si="6"/>
        <v>0.13789830009055157</v>
      </c>
      <c r="G49" s="532">
        <f t="shared" si="6"/>
        <v>0.1489393212447645</v>
      </c>
      <c r="H49" s="532">
        <f t="shared" si="6"/>
        <v>0.15778767235365548</v>
      </c>
      <c r="I49" s="532">
        <f t="shared" si="6"/>
        <v>0.16002741635735435</v>
      </c>
      <c r="J49" s="532">
        <f t="shared" si="6"/>
        <v>0.16713641389680978</v>
      </c>
      <c r="K49" s="532">
        <f t="shared" si="6"/>
        <v>0.16748014492129265</v>
      </c>
      <c r="L49" s="531">
        <f t="shared" si="6"/>
        <v>0.17199869057187903</v>
      </c>
      <c r="M49" s="531">
        <f t="shared" si="7"/>
        <v>6.0911671525542388E-2</v>
      </c>
      <c r="N49" s="453" t="str">
        <f>+A49</f>
        <v>Não Abrangidos por Regulamentação Coletiva</v>
      </c>
      <c r="O49" s="552"/>
      <c r="U49">
        <f>+U48*100</f>
        <v>-4.4501560937806328</v>
      </c>
      <c r="Z49" s="968"/>
      <c r="AA49" s="968"/>
      <c r="AB49" s="968"/>
      <c r="AC49" s="968"/>
    </row>
    <row r="50" spans="1:31">
      <c r="U50" s="383" t="s">
        <v>485</v>
      </c>
      <c r="Z50" s="968"/>
      <c r="AA50" s="968"/>
      <c r="AB50" s="968"/>
      <c r="AC50" s="968"/>
    </row>
    <row r="51" spans="1:31">
      <c r="A51" s="453" t="s">
        <v>428</v>
      </c>
      <c r="B51" s="554">
        <f>+B44-B49</f>
        <v>0.88891298095366333</v>
      </c>
      <c r="C51" s="554">
        <f t="shared" ref="C51:L51" si="8">+C44-C49</f>
        <v>0.88472931484328232</v>
      </c>
      <c r="D51" s="554">
        <f t="shared" si="8"/>
        <v>0.87523160248289211</v>
      </c>
      <c r="E51" s="554">
        <f t="shared" si="8"/>
        <v>0.86544058744269692</v>
      </c>
      <c r="F51" s="554">
        <f t="shared" si="8"/>
        <v>0.8621016999094484</v>
      </c>
      <c r="G51" s="554">
        <f t="shared" si="8"/>
        <v>0.8510606787552355</v>
      </c>
      <c r="H51" s="554">
        <f t="shared" si="8"/>
        <v>0.84221232764634446</v>
      </c>
      <c r="I51" s="554">
        <f t="shared" si="8"/>
        <v>0.83997258364264571</v>
      </c>
      <c r="J51" s="554">
        <f t="shared" si="8"/>
        <v>0.83286358610319022</v>
      </c>
      <c r="K51" s="554">
        <f t="shared" si="8"/>
        <v>0.8325198550787074</v>
      </c>
      <c r="L51" s="554">
        <f t="shared" si="8"/>
        <v>0.828001309428121</v>
      </c>
      <c r="U51" s="532">
        <f>+L49</f>
        <v>0.17199869057187903</v>
      </c>
      <c r="V51" t="str">
        <f>+TEXT(U51,"##.###,0%")</f>
        <v>17,2%</v>
      </c>
      <c r="Z51" s="968"/>
      <c r="AA51" s="968"/>
      <c r="AB51" s="968"/>
      <c r="AC51" s="968"/>
    </row>
    <row r="52" spans="1:31">
      <c r="V52">
        <f>+VLOOKUP(U51,L45:M49,2,0)</f>
        <v>6.0911671525542388E-2</v>
      </c>
      <c r="W52" t="str">
        <f>+IF(V53&gt;0,"+"&amp;TEXT(V53,"##.###,0 p.p."),TEXT(V53,"##.###,0 p.p."))</f>
        <v>+6,1 p.p.</v>
      </c>
    </row>
    <row r="53" spans="1:31">
      <c r="A53" s="383" t="s">
        <v>250</v>
      </c>
      <c r="B53">
        <v>100</v>
      </c>
      <c r="V53">
        <f>+V52*100</f>
        <v>6.091167152554239</v>
      </c>
    </row>
    <row r="54" spans="1:31">
      <c r="B54" s="453">
        <f>+'q20'!$B$4</f>
        <v>2014</v>
      </c>
      <c r="C54" s="453">
        <f>+'q20'!$C$4</f>
        <v>2015</v>
      </c>
      <c r="D54" s="453">
        <f>+'q20'!$D$4</f>
        <v>2016</v>
      </c>
      <c r="E54" s="453">
        <f>+'q20'!$E$4</f>
        <v>2017</v>
      </c>
      <c r="F54" s="453">
        <f>+'q20'!$F$4</f>
        <v>2018</v>
      </c>
      <c r="G54" s="453">
        <f>+'q20'!$G$4</f>
        <v>2019</v>
      </c>
      <c r="H54" s="453">
        <f>+'q20'!$H$4</f>
        <v>2020</v>
      </c>
      <c r="I54" s="453">
        <f>+'q20'!$I$4</f>
        <v>2021</v>
      </c>
      <c r="J54" s="453">
        <f>+'q20'!$J$4</f>
        <v>2022</v>
      </c>
      <c r="K54" s="453">
        <f>+'q20'!$K$4</f>
        <v>2023</v>
      </c>
      <c r="L54" s="453">
        <f>+'q20'!$L$4</f>
        <v>2024</v>
      </c>
    </row>
    <row r="55" spans="1:31">
      <c r="A55" t="s">
        <v>11</v>
      </c>
      <c r="B55" s="532">
        <f>(B15/B$15)</f>
        <v>1</v>
      </c>
      <c r="C55" s="532">
        <f t="shared" ref="C55:L55" si="9">(C15/C$15)</f>
        <v>1</v>
      </c>
      <c r="D55" s="532">
        <f t="shared" si="9"/>
        <v>1</v>
      </c>
      <c r="E55" s="532">
        <f t="shared" si="9"/>
        <v>1</v>
      </c>
      <c r="F55" s="532">
        <f t="shared" si="9"/>
        <v>1</v>
      </c>
      <c r="G55" s="532">
        <f t="shared" si="9"/>
        <v>1</v>
      </c>
      <c r="H55" s="532">
        <f t="shared" si="9"/>
        <v>1</v>
      </c>
      <c r="I55" s="532">
        <f t="shared" si="9"/>
        <v>1</v>
      </c>
      <c r="J55" s="532">
        <f t="shared" si="9"/>
        <v>1</v>
      </c>
      <c r="K55" s="532">
        <f t="shared" si="9"/>
        <v>1</v>
      </c>
      <c r="L55" s="532">
        <f t="shared" si="9"/>
        <v>1</v>
      </c>
      <c r="M55" s="384" t="str">
        <f>+L54&amp;" - "&amp;B54</f>
        <v>2024 - 2014</v>
      </c>
    </row>
    <row r="56" spans="1:31">
      <c r="A56" t="s">
        <v>196</v>
      </c>
      <c r="B56" s="532">
        <f t="shared" ref="B56:L60" si="10">(B16/B$15)</f>
        <v>0.89502908223289968</v>
      </c>
      <c r="C56" s="532">
        <f t="shared" si="10"/>
        <v>0.89945619467574101</v>
      </c>
      <c r="D56" s="532">
        <f t="shared" si="10"/>
        <v>0.90178822410102277</v>
      </c>
      <c r="E56" s="532">
        <f t="shared" si="10"/>
        <v>0.9031071049840933</v>
      </c>
      <c r="F56" s="532">
        <f t="shared" si="10"/>
        <v>0.90551513777539627</v>
      </c>
      <c r="G56" s="532">
        <f t="shared" si="10"/>
        <v>0.90608801201882416</v>
      </c>
      <c r="H56" s="532">
        <f t="shared" si="10"/>
        <v>0.90877071756926642</v>
      </c>
      <c r="I56" s="532">
        <f t="shared" si="10"/>
        <v>0.90994394007961066</v>
      </c>
      <c r="J56" s="532">
        <f t="shared" si="10"/>
        <v>0.90507674144037786</v>
      </c>
      <c r="K56" s="532">
        <f t="shared" si="10"/>
        <v>0.90570306672022427</v>
      </c>
      <c r="L56" s="531">
        <f t="shared" si="10"/>
        <v>0.90181518151815188</v>
      </c>
      <c r="M56" s="531">
        <f>+L56-B56</f>
        <v>6.7860992852522006E-3</v>
      </c>
      <c r="N56" s="453" t="str">
        <f>+A56</f>
        <v>Contrato Coletivo de Trabalho (CCT)</v>
      </c>
    </row>
    <row r="57" spans="1:31">
      <c r="A57" t="s">
        <v>197</v>
      </c>
      <c r="B57" s="532">
        <f t="shared" si="10"/>
        <v>1.4903957162805528</v>
      </c>
      <c r="C57" s="532">
        <f t="shared" si="10"/>
        <v>1.49816725569792</v>
      </c>
      <c r="D57" s="532">
        <f t="shared" si="10"/>
        <v>1.4923562609466559</v>
      </c>
      <c r="E57" s="532">
        <f t="shared" si="10"/>
        <v>1.4686002120890775</v>
      </c>
      <c r="F57" s="532">
        <f t="shared" si="10"/>
        <v>1.4252591661342511</v>
      </c>
      <c r="G57" s="532">
        <f t="shared" si="10"/>
        <v>1.3708523614800663</v>
      </c>
      <c r="H57" s="532">
        <f t="shared" si="10"/>
        <v>1.3417019357191526</v>
      </c>
      <c r="I57" s="532">
        <f t="shared" si="10"/>
        <v>1.2941529595389603</v>
      </c>
      <c r="J57" s="532">
        <f t="shared" si="10"/>
        <v>1.2547116183479821</v>
      </c>
      <c r="K57" s="532">
        <f t="shared" si="10"/>
        <v>1.2628804708698469</v>
      </c>
      <c r="L57" s="532">
        <f t="shared" si="10"/>
        <v>1.2800085564111967</v>
      </c>
      <c r="M57" s="552">
        <f t="shared" ref="M57:M60" si="11">+L57-B57</f>
        <v>-0.21038715986935608</v>
      </c>
      <c r="N57" s="453" t="str">
        <f>+A57</f>
        <v>Acordo Coletivo de Trabalho (ACT)</v>
      </c>
    </row>
    <row r="58" spans="1:31">
      <c r="A58" s="383" t="s">
        <v>377</v>
      </c>
      <c r="B58" s="532">
        <f t="shared" si="10"/>
        <v>1.0689397354561347</v>
      </c>
      <c r="C58" s="532">
        <f t="shared" si="10"/>
        <v>1.058647817666561</v>
      </c>
      <c r="D58" s="532">
        <f t="shared" si="10"/>
        <v>1.0498086362358638</v>
      </c>
      <c r="E58" s="532">
        <f t="shared" si="10"/>
        <v>1.0520148462354189</v>
      </c>
      <c r="F58" s="532">
        <f t="shared" si="10"/>
        <v>1.0635704128109478</v>
      </c>
      <c r="G58" s="532">
        <f t="shared" si="10"/>
        <v>1.069167935209782</v>
      </c>
      <c r="H58" s="532">
        <f t="shared" si="10"/>
        <v>1.0747320031862109</v>
      </c>
      <c r="I58" s="532">
        <f t="shared" si="10"/>
        <v>1.0895665746188017</v>
      </c>
      <c r="J58" s="532">
        <f t="shared" si="10"/>
        <v>1.1033713760986488</v>
      </c>
      <c r="K58" s="532">
        <f t="shared" si="10"/>
        <v>1.1097084115520508</v>
      </c>
      <c r="L58" s="532">
        <f t="shared" si="10"/>
        <v>1.0994911991199121</v>
      </c>
      <c r="M58" s="552">
        <f t="shared" si="11"/>
        <v>3.0551463663777367E-2</v>
      </c>
      <c r="N58" s="453" t="str">
        <f>+A58</f>
        <v>Portaria de Cond. de Trabalho (PCT)</v>
      </c>
      <c r="T58" s="384" t="s">
        <v>268</v>
      </c>
    </row>
    <row r="59" spans="1:31">
      <c r="A59" t="s">
        <v>43</v>
      </c>
      <c r="B59" s="532">
        <f t="shared" si="10"/>
        <v>1.5884726605020396</v>
      </c>
      <c r="C59" s="532">
        <f t="shared" si="10"/>
        <v>1.585460593262066</v>
      </c>
      <c r="D59" s="532">
        <f t="shared" si="10"/>
        <v>1.5601228187774341</v>
      </c>
      <c r="E59" s="532">
        <f t="shared" si="10"/>
        <v>1.5492470837751857</v>
      </c>
      <c r="F59" s="532">
        <f t="shared" si="10"/>
        <v>1.5449289998145135</v>
      </c>
      <c r="G59" s="532">
        <f t="shared" si="10"/>
        <v>1.5129490891362962</v>
      </c>
      <c r="H59" s="532">
        <f t="shared" si="10"/>
        <v>1.3933914912811065</v>
      </c>
      <c r="I59" s="532">
        <f t="shared" si="10"/>
        <v>1.363964646231425</v>
      </c>
      <c r="J59" s="532">
        <f t="shared" si="10"/>
        <v>1.3946127946127946</v>
      </c>
      <c r="K59" s="532">
        <f t="shared" si="10"/>
        <v>1.3709903514308903</v>
      </c>
      <c r="L59" s="532">
        <f t="shared" si="10"/>
        <v>1.3372906735117955</v>
      </c>
      <c r="M59" s="552">
        <f t="shared" si="11"/>
        <v>-0.25118198699024408</v>
      </c>
      <c r="N59" s="453" t="str">
        <f>+A59</f>
        <v>Acordo de Empresa (AE)</v>
      </c>
    </row>
    <row r="60" spans="1:31">
      <c r="A60" s="453" t="s">
        <v>379</v>
      </c>
      <c r="B60" s="532">
        <f t="shared" si="10"/>
        <v>1.2329987135647451</v>
      </c>
      <c r="C60" s="532">
        <f t="shared" si="10"/>
        <v>1.208352937314674</v>
      </c>
      <c r="D60" s="532">
        <f t="shared" si="10"/>
        <v>1.1973425303262915</v>
      </c>
      <c r="E60" s="532">
        <f t="shared" si="10"/>
        <v>1.1768928950159065</v>
      </c>
      <c r="F60" s="532">
        <f t="shared" si="10"/>
        <v>1.1805403845757507</v>
      </c>
      <c r="G60" s="532">
        <f t="shared" si="10"/>
        <v>1.1781134027798503</v>
      </c>
      <c r="H60" s="532">
        <f t="shared" si="10"/>
        <v>1.1631301643969711</v>
      </c>
      <c r="I60" s="532">
        <f t="shared" si="10"/>
        <v>1.1762054729998059</v>
      </c>
      <c r="J60" s="532">
        <f t="shared" si="10"/>
        <v>1.1864182955092044</v>
      </c>
      <c r="K60" s="532">
        <f t="shared" si="10"/>
        <v>1.1859788338101602</v>
      </c>
      <c r="L60" s="531">
        <f t="shared" si="10"/>
        <v>1.1985392983742817</v>
      </c>
      <c r="M60" s="531">
        <f t="shared" si="11"/>
        <v>-3.4459415190463361E-2</v>
      </c>
      <c r="N60" s="453" t="str">
        <f>+A60</f>
        <v>Não Abrangidos por Regulamentação Coletiva</v>
      </c>
      <c r="U60">
        <f>+L54</f>
        <v>2024</v>
      </c>
      <c r="V60" s="383" t="s">
        <v>487</v>
      </c>
    </row>
    <row r="61" spans="1:31">
      <c r="B61" s="532">
        <f t="shared" ref="B61:L61" si="12">(+(B20/B15-1)*100)/100</f>
        <v>0.23299871356474511</v>
      </c>
      <c r="C61" s="532">
        <f t="shared" si="12"/>
        <v>0.20835293731467394</v>
      </c>
      <c r="D61" s="532">
        <f t="shared" si="12"/>
        <v>0.19734253032629145</v>
      </c>
      <c r="E61" s="532">
        <f t="shared" si="12"/>
        <v>0.17689289501590655</v>
      </c>
      <c r="F61" s="532">
        <f t="shared" si="12"/>
        <v>0.18054038457575072</v>
      </c>
      <c r="G61" s="532">
        <f t="shared" si="12"/>
        <v>0.17811340277985033</v>
      </c>
      <c r="H61" s="532">
        <f t="shared" si="12"/>
        <v>0.16313016439697114</v>
      </c>
      <c r="I61" s="532">
        <f t="shared" si="12"/>
        <v>0.17620547299980593</v>
      </c>
      <c r="J61" s="532">
        <f t="shared" si="12"/>
        <v>0.18641829550920441</v>
      </c>
      <c r="K61" s="532">
        <f t="shared" si="12"/>
        <v>0.18597883381016023</v>
      </c>
      <c r="L61" s="532">
        <f t="shared" si="12"/>
        <v>0.19853929837428175</v>
      </c>
      <c r="M61" s="554">
        <f>+L61-B61</f>
        <v>-3.4459415190463361E-2</v>
      </c>
      <c r="U61" s="383" t="s">
        <v>484</v>
      </c>
    </row>
    <row r="62" spans="1:31">
      <c r="V62" t="str">
        <f>+V47</f>
        <v>Contrato Coletivo de Trabalho (CCT)</v>
      </c>
    </row>
    <row r="63" spans="1:31">
      <c r="U63">
        <f>+VLOOKUP(V62,A56:L60,12,0)</f>
        <v>0.90181518151815188</v>
      </c>
      <c r="V63" t="str">
        <f>+TEXT(U63,"##.###,0%")</f>
        <v>90,2%</v>
      </c>
      <c r="Z63" s="969" t="str">
        <f>+U60&amp;" - "&amp;V60&amp;CHAR(10)&amp;U61&amp;" "&amp;V62&amp;": "&amp;V63&amp;" da remuneração média total;"&amp;CHAR(10)&amp;U65&amp;": "&amp;W67&amp;" "&amp;W68&amp;" à remuneração média total."</f>
        <v>2024 - Remuneração média mensal Base:
TCO abrangidos por  Contrato Coletivo de Trabalho (CCT): 90,2% da remuneração média total;
TCO não abrangidos por IRCT: 19,9% superior à remuneração média total.</v>
      </c>
      <c r="AA63" s="969"/>
      <c r="AB63" s="969"/>
      <c r="AC63" s="969"/>
      <c r="AD63" s="969"/>
      <c r="AE63" s="969"/>
    </row>
    <row r="64" spans="1:31">
      <c r="A64" s="383" t="s">
        <v>251</v>
      </c>
      <c r="Z64" s="969"/>
      <c r="AA64" s="969"/>
      <c r="AB64" s="969"/>
      <c r="AC64" s="969"/>
      <c r="AD64" s="969"/>
      <c r="AE64" s="969"/>
    </row>
    <row r="65" spans="1:31">
      <c r="B65" s="453">
        <f>+'q20'!$B$4</f>
        <v>2014</v>
      </c>
      <c r="C65" s="453">
        <f>+'q20'!$C$4</f>
        <v>2015</v>
      </c>
      <c r="D65" s="453">
        <f>+'q20'!$D$4</f>
        <v>2016</v>
      </c>
      <c r="E65" s="453">
        <f>+'q20'!$E$4</f>
        <v>2017</v>
      </c>
      <c r="F65" s="453">
        <f>+'q20'!$F$4</f>
        <v>2018</v>
      </c>
      <c r="G65" s="453">
        <f>+'q20'!$G$4</f>
        <v>2019</v>
      </c>
      <c r="H65" s="453">
        <f>+'q20'!$H$4</f>
        <v>2020</v>
      </c>
      <c r="I65" s="453">
        <f>+'q20'!$I$4</f>
        <v>2021</v>
      </c>
      <c r="J65" s="453">
        <f>+'q20'!$J$4</f>
        <v>2022</v>
      </c>
      <c r="K65" s="453">
        <f>+'q20'!$K$4</f>
        <v>2023</v>
      </c>
      <c r="L65" s="453">
        <f>+'q20'!$L$4</f>
        <v>2024</v>
      </c>
      <c r="U65" s="383" t="s">
        <v>485</v>
      </c>
      <c r="Z65" s="969"/>
      <c r="AA65" s="969"/>
      <c r="AB65" s="969"/>
      <c r="AC65" s="969"/>
      <c r="AD65" s="969"/>
      <c r="AE65" s="969"/>
    </row>
    <row r="66" spans="1:31">
      <c r="A66" t="s">
        <v>11</v>
      </c>
      <c r="B66" s="536">
        <f>B26/B$26</f>
        <v>1</v>
      </c>
      <c r="C66" s="536">
        <f t="shared" ref="C66:L66" si="13">C26/C$26</f>
        <v>1</v>
      </c>
      <c r="D66" s="536">
        <f t="shared" si="13"/>
        <v>1</v>
      </c>
      <c r="E66" s="536">
        <f t="shared" si="13"/>
        <v>1</v>
      </c>
      <c r="F66" s="536">
        <f t="shared" si="13"/>
        <v>1</v>
      </c>
      <c r="G66" s="536">
        <f t="shared" si="13"/>
        <v>1</v>
      </c>
      <c r="H66" s="536">
        <f t="shared" si="13"/>
        <v>1</v>
      </c>
      <c r="I66" s="536">
        <f t="shared" si="13"/>
        <v>1</v>
      </c>
      <c r="J66" s="536">
        <f t="shared" si="13"/>
        <v>1</v>
      </c>
      <c r="K66" s="536">
        <f t="shared" si="13"/>
        <v>1</v>
      </c>
      <c r="L66" s="536">
        <f t="shared" si="13"/>
        <v>1</v>
      </c>
      <c r="M66" s="384" t="str">
        <f>+L65&amp;" - "&amp;B65</f>
        <v>2024 - 2014</v>
      </c>
      <c r="U66" s="532">
        <f>+L60</f>
        <v>1.1985392983742817</v>
      </c>
      <c r="V66" t="str">
        <f>+TEXT(U66,"##.###,0%")</f>
        <v>119,9%</v>
      </c>
      <c r="Z66" s="969"/>
      <c r="AA66" s="969"/>
      <c r="AB66" s="969"/>
      <c r="AC66" s="969"/>
      <c r="AD66" s="969"/>
      <c r="AE66" s="969"/>
    </row>
    <row r="67" spans="1:31">
      <c r="A67" t="s">
        <v>196</v>
      </c>
      <c r="B67" s="536">
        <f t="shared" ref="B67:L67" si="14">B27/B$26</f>
        <v>0.87651046002140487</v>
      </c>
      <c r="C67" s="536">
        <f t="shared" si="14"/>
        <v>0.8823883427862782</v>
      </c>
      <c r="D67" s="536">
        <f t="shared" si="14"/>
        <v>0.88577979167042775</v>
      </c>
      <c r="E67" s="536">
        <f t="shared" si="14"/>
        <v>0.8855153793212982</v>
      </c>
      <c r="F67" s="536">
        <f t="shared" si="14"/>
        <v>0.88866481521042517</v>
      </c>
      <c r="G67" s="536">
        <f t="shared" si="14"/>
        <v>0.89030861034431452</v>
      </c>
      <c r="H67" s="536">
        <f t="shared" si="14"/>
        <v>0.89362382570457732</v>
      </c>
      <c r="I67" s="536">
        <f t="shared" si="14"/>
        <v>0.89617575012943262</v>
      </c>
      <c r="J67" s="536">
        <f t="shared" si="14"/>
        <v>0.8928947368421053</v>
      </c>
      <c r="K67" s="536">
        <f t="shared" si="14"/>
        <v>0.89345860663003018</v>
      </c>
      <c r="L67" s="536">
        <f t="shared" si="14"/>
        <v>0.89033012162375613</v>
      </c>
      <c r="M67" s="531">
        <f>+L67-B67</f>
        <v>1.3819661602351263E-2</v>
      </c>
      <c r="N67" s="453" t="str">
        <f>+A67</f>
        <v>Contrato Coletivo de Trabalho (CCT)</v>
      </c>
      <c r="V67" s="532">
        <f>+V66-L55</f>
        <v>0.19900000000000007</v>
      </c>
      <c r="W67" t="str">
        <f>+TEXT(V67,"##.###,0%")</f>
        <v>19,9%</v>
      </c>
      <c r="Z67" s="969"/>
      <c r="AA67" s="969"/>
      <c r="AB67" s="969"/>
      <c r="AC67" s="969"/>
      <c r="AD67" s="969"/>
      <c r="AE67" s="969"/>
    </row>
    <row r="68" spans="1:31">
      <c r="A68" t="s">
        <v>197</v>
      </c>
      <c r="B68" s="536">
        <f t="shared" ref="B68:L68" si="15">B28/B$26</f>
        <v>1.7640069154142388</v>
      </c>
      <c r="C68" s="536">
        <f t="shared" si="15"/>
        <v>1.7659712217095545</v>
      </c>
      <c r="D68" s="536">
        <f t="shared" si="15"/>
        <v>1.7554654920296791</v>
      </c>
      <c r="E68" s="536">
        <f t="shared" si="15"/>
        <v>1.7388162422573987</v>
      </c>
      <c r="F68" s="536">
        <f t="shared" si="15"/>
        <v>1.687408673360393</v>
      </c>
      <c r="G68" s="536">
        <f t="shared" si="15"/>
        <v>1.5980379192356644</v>
      </c>
      <c r="H68" s="536">
        <f t="shared" si="15"/>
        <v>1.5720567659404356</v>
      </c>
      <c r="I68" s="536">
        <f t="shared" si="15"/>
        <v>1.5119348432513464</v>
      </c>
      <c r="J68" s="536">
        <f t="shared" si="15"/>
        <v>1.4726608187134502</v>
      </c>
      <c r="K68" s="536">
        <f t="shared" si="15"/>
        <v>1.4899704089564043</v>
      </c>
      <c r="L68" s="536">
        <f t="shared" si="15"/>
        <v>1.5200442268204075</v>
      </c>
      <c r="M68" s="552">
        <f t="shared" ref="M68:M71" si="16">+L68-B68</f>
        <v>-0.2439626885938313</v>
      </c>
      <c r="N68" s="453" t="str">
        <f>+A68</f>
        <v>Acordo Coletivo de Trabalho (ACT)</v>
      </c>
      <c r="W68" t="str">
        <f>+IF(V67&gt;0,"superior","inferior")</f>
        <v>superior</v>
      </c>
    </row>
    <row r="69" spans="1:31">
      <c r="A69" s="383" t="s">
        <v>377</v>
      </c>
      <c r="B69" s="536">
        <f t="shared" ref="B69:L69" si="17">B29/B$26</f>
        <v>1.017947146476889</v>
      </c>
      <c r="C69" s="536">
        <f t="shared" si="17"/>
        <v>1.0109331971622928</v>
      </c>
      <c r="D69" s="536">
        <f t="shared" si="17"/>
        <v>1.0016518332641311</v>
      </c>
      <c r="E69" s="536">
        <f t="shared" si="17"/>
        <v>1.0034411562284928</v>
      </c>
      <c r="F69" s="536">
        <f t="shared" si="17"/>
        <v>1.016466566972869</v>
      </c>
      <c r="G69" s="536">
        <f t="shared" si="17"/>
        <v>1.0279104748995818</v>
      </c>
      <c r="H69" s="536">
        <f t="shared" si="17"/>
        <v>1.0317569458325004</v>
      </c>
      <c r="I69" s="536">
        <f t="shared" si="17"/>
        <v>1.0477934642341069</v>
      </c>
      <c r="J69" s="536">
        <f t="shared" si="17"/>
        <v>1.0589400584795323</v>
      </c>
      <c r="K69" s="536">
        <f t="shared" si="17"/>
        <v>1.0676162164373473</v>
      </c>
      <c r="L69" s="536">
        <f t="shared" si="17"/>
        <v>1.05782340862423</v>
      </c>
      <c r="M69" s="552">
        <f t="shared" si="16"/>
        <v>3.9876262147340968E-2</v>
      </c>
      <c r="N69" s="453" t="str">
        <f>+A69</f>
        <v>Portaria de Cond. de Trabalho (PCT)</v>
      </c>
    </row>
    <row r="70" spans="1:31">
      <c r="A70" t="s">
        <v>43</v>
      </c>
      <c r="B70" s="536">
        <f t="shared" ref="B70:L70" si="18">B30/B$26</f>
        <v>1.8315602674691962</v>
      </c>
      <c r="C70" s="536">
        <f t="shared" si="18"/>
        <v>1.8104152608830448</v>
      </c>
      <c r="D70" s="536">
        <f t="shared" si="18"/>
        <v>1.7896033794883832</v>
      </c>
      <c r="E70" s="536">
        <f t="shared" si="18"/>
        <v>1.7864718442832692</v>
      </c>
      <c r="F70" s="536">
        <f t="shared" si="18"/>
        <v>1.7821832941679128</v>
      </c>
      <c r="G70" s="536">
        <f t="shared" si="18"/>
        <v>1.7450452088533315</v>
      </c>
      <c r="H70" s="536">
        <f t="shared" si="18"/>
        <v>1.5936358185088946</v>
      </c>
      <c r="I70" s="536">
        <f t="shared" si="18"/>
        <v>1.5669765321340536</v>
      </c>
      <c r="J70" s="536">
        <f t="shared" si="18"/>
        <v>1.6100438596491229</v>
      </c>
      <c r="K70" s="536">
        <f t="shared" si="18"/>
        <v>1.5901163187105394</v>
      </c>
      <c r="L70" s="536">
        <f t="shared" si="18"/>
        <v>1.5119444005686307</v>
      </c>
      <c r="M70" s="552">
        <f t="shared" si="16"/>
        <v>-0.31961586690056554</v>
      </c>
      <c r="N70" s="453" t="str">
        <f>+A70</f>
        <v>Acordo de Empresa (AE)</v>
      </c>
    </row>
    <row r="71" spans="1:31">
      <c r="A71" s="453" t="s">
        <v>379</v>
      </c>
      <c r="B71" s="536">
        <f t="shared" ref="B71:L71" si="19">B31/B$26</f>
        <v>1.2013245396584371</v>
      </c>
      <c r="C71" s="536">
        <f t="shared" si="19"/>
        <v>1.1783141538854338</v>
      </c>
      <c r="D71" s="536">
        <f t="shared" si="19"/>
        <v>1.1665463145162747</v>
      </c>
      <c r="E71" s="536">
        <f t="shared" si="19"/>
        <v>1.1502461750224999</v>
      </c>
      <c r="F71" s="536">
        <f t="shared" si="19"/>
        <v>1.1539671010467849</v>
      </c>
      <c r="G71" s="536">
        <f t="shared" si="19"/>
        <v>1.157263996561813</v>
      </c>
      <c r="H71" s="536">
        <f t="shared" si="19"/>
        <v>1.1405956426144312</v>
      </c>
      <c r="I71" s="536">
        <f t="shared" si="19"/>
        <v>1.1511463476829638</v>
      </c>
      <c r="J71" s="536">
        <f t="shared" si="19"/>
        <v>1.1581505847953215</v>
      </c>
      <c r="K71" s="536">
        <f t="shared" si="19"/>
        <v>1.1563961654371155</v>
      </c>
      <c r="L71" s="536">
        <f t="shared" si="19"/>
        <v>1.17099984204707</v>
      </c>
      <c r="M71" s="531">
        <f t="shared" si="16"/>
        <v>-3.0324697611367135E-2</v>
      </c>
      <c r="N71" s="453" t="str">
        <f>+A71</f>
        <v>Não Abrangidos por Regulamentação Coletiva</v>
      </c>
    </row>
    <row r="72" spans="1:31">
      <c r="B72" s="483">
        <f>+(B31/B26-1)*100</f>
        <v>20.132453965843709</v>
      </c>
      <c r="C72" s="483">
        <f t="shared" ref="C72:L72" si="20">+(C31/C26-1)*100</f>
        <v>17.83141538854338</v>
      </c>
      <c r="D72" s="483">
        <f t="shared" si="20"/>
        <v>16.654631451627466</v>
      </c>
      <c r="E72" s="483">
        <f t="shared" si="20"/>
        <v>15.024617502249992</v>
      </c>
      <c r="F72" s="483">
        <f t="shared" si="20"/>
        <v>15.39671010467849</v>
      </c>
      <c r="G72" s="483">
        <f t="shared" si="20"/>
        <v>15.7263996561813</v>
      </c>
      <c r="H72" s="483">
        <f t="shared" si="20"/>
        <v>14.059564261443125</v>
      </c>
      <c r="I72" s="483">
        <f t="shared" si="20"/>
        <v>15.114634768296376</v>
      </c>
      <c r="J72" s="483">
        <f t="shared" si="20"/>
        <v>15.815058479532151</v>
      </c>
      <c r="K72" s="483">
        <f t="shared" si="20"/>
        <v>15.639616543711554</v>
      </c>
      <c r="L72" s="483">
        <f t="shared" si="20"/>
        <v>17.099984204706999</v>
      </c>
      <c r="M72" s="554">
        <f>+L72-B72</f>
        <v>-3.03246976113671</v>
      </c>
    </row>
    <row r="74" spans="1:31">
      <c r="T74" s="384" t="s">
        <v>269</v>
      </c>
    </row>
    <row r="76" spans="1:31">
      <c r="U76">
        <f>+L65</f>
        <v>2024</v>
      </c>
      <c r="V76" s="383" t="s">
        <v>489</v>
      </c>
    </row>
    <row r="77" spans="1:31">
      <c r="U77" s="383" t="s">
        <v>484</v>
      </c>
    </row>
    <row r="78" spans="1:31">
      <c r="V78" t="str">
        <f>+V47</f>
        <v>Contrato Coletivo de Trabalho (CCT)</v>
      </c>
    </row>
    <row r="79" spans="1:31">
      <c r="U79">
        <f>+VLOOKUP(V78,A67:M71,12,0)</f>
        <v>0.89033012162375613</v>
      </c>
      <c r="V79" t="str">
        <f>+TEXT(U79,"##.###,0%")</f>
        <v>89,0%</v>
      </c>
    </row>
    <row r="80" spans="1:31">
      <c r="Z80" s="969" t="str">
        <f>+U76&amp;" - "&amp;V76&amp;CHAR(10)&amp;U77&amp;" "&amp;V78&amp;": "&amp;V79&amp;" da remuneração média total;"&amp;CHAR(10)&amp;U81&amp;": "&amp;W83&amp;" "&amp;W84&amp;" à remuneração média total."</f>
        <v>2024 - Remuneração média mensal Ganho:
TCO abrangidos por  Contrato Coletivo de Trabalho (CCT): 89,0% da remuneração média total;
TCO não abrangidos por IRCT: 17,1% superior à remuneração média total.</v>
      </c>
      <c r="AA80" s="969"/>
      <c r="AB80" s="969"/>
      <c r="AC80" s="969"/>
      <c r="AD80" s="969"/>
      <c r="AE80" s="969"/>
    </row>
    <row r="81" spans="21:31">
      <c r="U81" s="383" t="s">
        <v>485</v>
      </c>
      <c r="Z81" s="969"/>
      <c r="AA81" s="969"/>
      <c r="AB81" s="969"/>
      <c r="AC81" s="969"/>
      <c r="AD81" s="969"/>
      <c r="AE81" s="969"/>
    </row>
    <row r="82" spans="21:31">
      <c r="U82" s="532">
        <f>+L71</f>
        <v>1.17099984204707</v>
      </c>
      <c r="V82" t="str">
        <f>+TEXT(U82,"##.###,0%")</f>
        <v>117,1%</v>
      </c>
      <c r="Z82" s="969"/>
      <c r="AA82" s="969"/>
      <c r="AB82" s="969"/>
      <c r="AC82" s="969"/>
      <c r="AD82" s="969"/>
      <c r="AE82" s="969"/>
    </row>
    <row r="83" spans="21:31">
      <c r="V83" s="532">
        <f>+V82-L66</f>
        <v>0.17100000000000004</v>
      </c>
      <c r="W83" t="str">
        <f>+TEXT(V83,"##.###,0%")</f>
        <v>17,1%</v>
      </c>
      <c r="Z83" s="969"/>
      <c r="AA83" s="969"/>
      <c r="AB83" s="969"/>
      <c r="AC83" s="969"/>
      <c r="AD83" s="969"/>
      <c r="AE83" s="969"/>
    </row>
    <row r="84" spans="21:31">
      <c r="W84" t="str">
        <f>+IF(V83&gt;0,"superior","inferior")</f>
        <v>superior</v>
      </c>
      <c r="Z84" s="969"/>
      <c r="AA84" s="969"/>
      <c r="AB84" s="969"/>
      <c r="AC84" s="969"/>
      <c r="AD84" s="969"/>
      <c r="AE84" s="969"/>
    </row>
  </sheetData>
  <mergeCells count="3">
    <mergeCell ref="Z45:AC51"/>
    <mergeCell ref="Z63:AE67"/>
    <mergeCell ref="Z80:AE84"/>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E0208-31E7-4AFD-A061-A5985938325F}">
  <dimension ref="A2:BV155"/>
  <sheetViews>
    <sheetView showGridLines="0" topLeftCell="A108" zoomScale="120" zoomScaleNormal="120" zoomScaleSheetLayoutView="100" workbookViewId="0">
      <selection activeCell="Y70" sqref="Y70"/>
    </sheetView>
  </sheetViews>
  <sheetFormatPr defaultColWidth="9.140625" defaultRowHeight="12.75"/>
  <cols>
    <col min="1" max="1" width="34.7109375" style="421" customWidth="1"/>
    <col min="2" max="3" width="9.140625" style="421"/>
    <col min="4" max="4" width="9.42578125" style="421" customWidth="1"/>
    <col min="5" max="6" width="9.140625" style="421"/>
    <col min="7" max="7" width="9.42578125" style="421" bestFit="1" customWidth="1"/>
    <col min="8" max="11" width="9.140625" style="421"/>
    <col min="12" max="12" width="9.42578125" style="421" bestFit="1" customWidth="1"/>
    <col min="13" max="13" width="12.42578125" style="421" customWidth="1"/>
    <col min="14" max="27" width="9.140625" style="421"/>
    <col min="28" max="28" width="9.42578125" style="421" bestFit="1" customWidth="1"/>
    <col min="29" max="72" width="9.140625" style="421"/>
    <col min="73" max="73" width="10.42578125" style="421" customWidth="1"/>
    <col min="74" max="74" width="6" style="421" customWidth="1"/>
    <col min="75" max="16384" width="9.140625" style="421"/>
  </cols>
  <sheetData>
    <row r="2" spans="1:74">
      <c r="N2" s="421" t="s">
        <v>262</v>
      </c>
      <c r="O2" s="421">
        <v>1</v>
      </c>
      <c r="P2" s="421" t="s">
        <v>852</v>
      </c>
    </row>
    <row r="3" spans="1:74">
      <c r="A3" s="422" t="s">
        <v>844</v>
      </c>
      <c r="N3" s="421" t="s">
        <v>263</v>
      </c>
      <c r="O3" s="421">
        <v>2</v>
      </c>
      <c r="P3" s="421" t="s">
        <v>851</v>
      </c>
      <c r="Q3" s="422" t="s">
        <v>841</v>
      </c>
      <c r="BV3" s="480"/>
    </row>
    <row r="4" spans="1:74">
      <c r="BV4" s="480"/>
    </row>
    <row r="5" spans="1:74">
      <c r="BV5" s="480"/>
    </row>
    <row r="6" spans="1:74" ht="16.5" customHeight="1">
      <c r="B6" s="422">
        <f>+'q33 '!$B$4</f>
        <v>2014</v>
      </c>
      <c r="C6" s="422">
        <f>+'q33 '!$C$4</f>
        <v>2015</v>
      </c>
      <c r="D6" s="422">
        <f>+'q33 '!$D$4</f>
        <v>2016</v>
      </c>
      <c r="E6" s="422">
        <f>+'q33 '!$E$4</f>
        <v>2017</v>
      </c>
      <c r="F6" s="422">
        <f>+'q33 '!$F$4</f>
        <v>2018</v>
      </c>
      <c r="G6" s="422">
        <f>+'q33 '!$G$4</f>
        <v>2019</v>
      </c>
      <c r="H6" s="422">
        <f>+'q33 '!$H$4</f>
        <v>2020</v>
      </c>
      <c r="I6" s="422">
        <f>+'q33 '!$I$4</f>
        <v>2021</v>
      </c>
      <c r="J6" s="422">
        <f>+'q33 '!$J$4</f>
        <v>2022</v>
      </c>
      <c r="K6" s="422">
        <f>+'q33 '!$K$4</f>
        <v>2023</v>
      </c>
      <c r="L6" s="422">
        <f>+'q33 '!$L$4</f>
        <v>2024</v>
      </c>
      <c r="R6" s="422">
        <f>+'q31'!$B$4</f>
        <v>2014</v>
      </c>
      <c r="S6" s="422">
        <f>+'q31'!$C$4</f>
        <v>2015</v>
      </c>
      <c r="T6" s="422">
        <f>+'q31'!$D$4</f>
        <v>2016</v>
      </c>
      <c r="U6" s="422">
        <f>+'q31'!$E$4</f>
        <v>2017</v>
      </c>
      <c r="V6" s="422">
        <f>+'q31'!$F$4</f>
        <v>2018</v>
      </c>
      <c r="W6" s="422">
        <f>+'q31'!$G$4</f>
        <v>2019</v>
      </c>
      <c r="X6" s="422">
        <f>+'q31'!$H$4</f>
        <v>2020</v>
      </c>
      <c r="Y6" s="422">
        <f>+'q31'!$I$4</f>
        <v>2021</v>
      </c>
      <c r="Z6" s="422">
        <f>+'q31'!$J$4</f>
        <v>2022</v>
      </c>
      <c r="AA6" s="422">
        <f>+'q31'!$K$4</f>
        <v>2023</v>
      </c>
      <c r="AB6" s="422">
        <f>+'q31'!$L$4</f>
        <v>2024</v>
      </c>
      <c r="BV6" s="480"/>
    </row>
    <row r="7" spans="1:74">
      <c r="A7" s="422" t="s">
        <v>182</v>
      </c>
      <c r="B7" s="433">
        <f>+'q33 '!$B$5</f>
        <v>1928307</v>
      </c>
      <c r="C7" s="433">
        <f>+'q33 '!$C$5</f>
        <v>1991131</v>
      </c>
      <c r="D7" s="433">
        <f>+'q33 '!$D$5</f>
        <v>2054911</v>
      </c>
      <c r="E7" s="433">
        <f>+'q33 '!$E$5</f>
        <v>2131943</v>
      </c>
      <c r="F7" s="433">
        <f>+'q33 '!$F$5</f>
        <v>2205449</v>
      </c>
      <c r="G7" s="433">
        <f>+'q33 '!$G$5</f>
        <v>2232400</v>
      </c>
      <c r="H7" s="433">
        <f>+'q33 '!$H$5</f>
        <v>2164118</v>
      </c>
      <c r="I7" s="433">
        <f>+'q33 '!$I$5</f>
        <v>2200594</v>
      </c>
      <c r="J7" s="433">
        <f>+'q33 '!$J$5</f>
        <v>2376115</v>
      </c>
      <c r="K7" s="433">
        <f>+'q33 '!$K$5</f>
        <v>2467600</v>
      </c>
      <c r="L7" s="433">
        <f>+'q33 '!$L$5</f>
        <v>2506911</v>
      </c>
      <c r="Q7" s="422" t="s">
        <v>182</v>
      </c>
      <c r="R7" s="433">
        <f>+'q31'!$B$5</f>
        <v>1928307</v>
      </c>
      <c r="S7" s="433">
        <f>+'q31'!$C$5</f>
        <v>1991131</v>
      </c>
      <c r="T7" s="433">
        <f>+'q31'!$D$5</f>
        <v>2054911</v>
      </c>
      <c r="U7" s="433">
        <f>+'q31'!$E$5</f>
        <v>2131943</v>
      </c>
      <c r="V7" s="433">
        <f>+'q31'!$F$5</f>
        <v>2205449</v>
      </c>
      <c r="W7" s="433">
        <f>+'q31'!$G$5</f>
        <v>2232400</v>
      </c>
      <c r="X7" s="433">
        <f>+'q31'!$H$5</f>
        <v>2164118</v>
      </c>
      <c r="Y7" s="433">
        <f>+'q31'!$I$5</f>
        <v>2200594</v>
      </c>
      <c r="Z7" s="433">
        <f>+'q31'!$J$5</f>
        <v>2376115</v>
      </c>
      <c r="AA7" s="433">
        <f>+'q31'!$K$5</f>
        <v>2467600</v>
      </c>
      <c r="AB7" s="433">
        <f>+'q31'!$L$5</f>
        <v>2506911</v>
      </c>
      <c r="BV7" s="480"/>
    </row>
    <row r="8" spans="1:74">
      <c r="A8" s="422" t="s">
        <v>380</v>
      </c>
      <c r="B8" s="434">
        <f>+'q33 '!$B$6</f>
        <v>786.99</v>
      </c>
      <c r="C8" s="434">
        <f>+'q33 '!$C$6</f>
        <v>790.03</v>
      </c>
      <c r="D8" s="434">
        <f>+'q33 '!$D$6</f>
        <v>800</v>
      </c>
      <c r="E8" s="434">
        <f>+'q33 '!$E$6</f>
        <v>822.95</v>
      </c>
      <c r="F8" s="434">
        <f>+'q33 '!$F$6</f>
        <v>854.8</v>
      </c>
      <c r="G8" s="434">
        <f>+'q33 '!$G$6</f>
        <v>892.01</v>
      </c>
      <c r="H8" s="434">
        <f>+'q33 '!$H$6</f>
        <v>926.14</v>
      </c>
      <c r="I8" s="434">
        <f>+'q33 '!$I$6</f>
        <v>962.2</v>
      </c>
      <c r="J8" s="434">
        <f>+'q33 '!$J$6</f>
        <v>1017.5</v>
      </c>
      <c r="K8" s="434">
        <f>+'q33 '!$K$6</f>
        <v>1100.17</v>
      </c>
      <c r="L8" s="434">
        <f>+'q33 '!$L$6</f>
        <v>1191.02</v>
      </c>
      <c r="Q8" s="422" t="s">
        <v>842</v>
      </c>
      <c r="R8" s="434">
        <f>+'q31'!$B$6</f>
        <v>641.92999999999995</v>
      </c>
      <c r="S8" s="434">
        <f>+'q31'!$C$6</f>
        <v>650</v>
      </c>
      <c r="T8" s="434">
        <f>+'q31'!$D$6</f>
        <v>650</v>
      </c>
      <c r="U8" s="434">
        <f>+'q31'!$E$6</f>
        <v>660</v>
      </c>
      <c r="V8" s="434">
        <f>+'q31'!$F$6</f>
        <v>690</v>
      </c>
      <c r="W8" s="434">
        <f>+'q31'!$G$6</f>
        <v>720</v>
      </c>
      <c r="X8" s="434">
        <f>+'q31'!$H$6</f>
        <v>750</v>
      </c>
      <c r="Y8" s="434">
        <f>+'q31'!$I$6</f>
        <v>786</v>
      </c>
      <c r="Z8" s="434">
        <f>+'q31'!$J$6</f>
        <v>816.21</v>
      </c>
      <c r="AA8" s="434">
        <f>+'q31'!$K$6</f>
        <v>880</v>
      </c>
      <c r="AB8" s="434">
        <f>+'q31'!$L$6</f>
        <v>950</v>
      </c>
      <c r="BV8" s="480"/>
    </row>
    <row r="9" spans="1:74">
      <c r="A9" s="54" t="s">
        <v>809</v>
      </c>
      <c r="B9" s="434"/>
      <c r="C9" s="434"/>
      <c r="D9" s="434"/>
      <c r="E9" s="434"/>
      <c r="F9" s="434"/>
      <c r="G9" s="434"/>
      <c r="H9" s="434"/>
      <c r="I9" s="434"/>
      <c r="J9" s="434"/>
      <c r="K9" s="434"/>
      <c r="L9" s="434"/>
      <c r="Q9" s="434" t="str">
        <f>+'q31'!A7</f>
        <v>Remuneração base mensal - decis (euros)</v>
      </c>
      <c r="R9" s="434"/>
      <c r="S9" s="434"/>
      <c r="T9" s="434"/>
      <c r="U9" s="434"/>
      <c r="V9" s="434"/>
      <c r="W9" s="434"/>
      <c r="X9" s="434"/>
      <c r="Y9" s="434"/>
      <c r="Z9" s="434"/>
      <c r="AA9" s="434"/>
      <c r="AB9" s="434"/>
      <c r="BV9" s="480"/>
    </row>
    <row r="10" spans="1:74">
      <c r="A10" s="422" t="s">
        <v>105</v>
      </c>
      <c r="B10" s="434">
        <f>+'q33 '!$B$8</f>
        <v>555.6</v>
      </c>
      <c r="C10" s="434">
        <f>+'q33 '!$C$8</f>
        <v>557.4</v>
      </c>
      <c r="D10" s="434">
        <f>+'q33 '!$D$8</f>
        <v>578</v>
      </c>
      <c r="E10" s="434">
        <f>+'q33 '!$E$8</f>
        <v>605</v>
      </c>
      <c r="F10" s="434">
        <f>+'q33 '!$F$8</f>
        <v>632.79999999999995</v>
      </c>
      <c r="G10" s="434">
        <f>+'q33 '!$G$8</f>
        <v>655.20000000000005</v>
      </c>
      <c r="H10" s="434">
        <f>+'q33 '!$H$8</f>
        <v>695</v>
      </c>
      <c r="I10" s="434">
        <f>+'q33 '!$I$8</f>
        <v>728</v>
      </c>
      <c r="J10" s="434">
        <f>+'q33 '!$J$8</f>
        <v>775</v>
      </c>
      <c r="K10" s="434">
        <f>+'q33 '!$K$8</f>
        <v>839.6</v>
      </c>
      <c r="L10" s="434">
        <f>+'q33 '!$L$8</f>
        <v>911</v>
      </c>
      <c r="Q10" s="422" t="s">
        <v>105</v>
      </c>
      <c r="R10" s="434">
        <f>+'q31'!B8</f>
        <v>505</v>
      </c>
      <c r="S10" s="434">
        <f>+'q31'!C8</f>
        <v>505</v>
      </c>
      <c r="T10" s="434">
        <f>+'q31'!D8</f>
        <v>530</v>
      </c>
      <c r="U10" s="434">
        <f>+'q31'!E8</f>
        <v>557</v>
      </c>
      <c r="V10" s="434">
        <f>+'q31'!F8</f>
        <v>580</v>
      </c>
      <c r="W10" s="434">
        <f>+'q31'!G8</f>
        <v>600</v>
      </c>
      <c r="X10" s="434">
        <f>+'q31'!H8</f>
        <v>635</v>
      </c>
      <c r="Y10" s="434">
        <f>+'q31'!I8</f>
        <v>665</v>
      </c>
      <c r="Z10" s="434">
        <f>+'q31'!J8</f>
        <v>705</v>
      </c>
      <c r="AA10" s="434">
        <f>+'q31'!K8</f>
        <v>760</v>
      </c>
      <c r="AB10" s="434">
        <f>+'q31'!L8</f>
        <v>820</v>
      </c>
      <c r="BV10" s="480"/>
    </row>
    <row r="11" spans="1:74">
      <c r="A11" s="422" t="s">
        <v>106</v>
      </c>
      <c r="B11" s="434">
        <f>+'q33 '!$B$9</f>
        <v>603</v>
      </c>
      <c r="C11" s="434">
        <f>+'q33 '!$C$9</f>
        <v>599.86</v>
      </c>
      <c r="D11" s="434">
        <f>+'q33 '!$D$9</f>
        <v>618.22</v>
      </c>
      <c r="E11" s="434">
        <f>+'q33 '!$E$9</f>
        <v>651.55999999999995</v>
      </c>
      <c r="F11" s="434">
        <f>+'q33 '!$F$9</f>
        <v>681.85</v>
      </c>
      <c r="G11" s="434">
        <f>+'q33 '!$G$9</f>
        <v>709.7</v>
      </c>
      <c r="H11" s="434">
        <f>+'q33 '!$H$9</f>
        <v>737.42</v>
      </c>
      <c r="I11" s="434">
        <f>+'q33 '!$I$9</f>
        <v>766</v>
      </c>
      <c r="J11" s="434">
        <f>+'q33 '!$J$9</f>
        <v>809.94</v>
      </c>
      <c r="K11" s="434">
        <f>+'q33 '!$K$9</f>
        <v>885</v>
      </c>
      <c r="L11" s="434">
        <f>+'q33 '!$L$9</f>
        <v>958</v>
      </c>
      <c r="Q11" s="422" t="s">
        <v>106</v>
      </c>
      <c r="R11" s="434">
        <f>+'q31'!B9</f>
        <v>505</v>
      </c>
      <c r="S11" s="434">
        <f>+'q31'!C9</f>
        <v>509</v>
      </c>
      <c r="T11" s="434">
        <f>+'q31'!D9</f>
        <v>530</v>
      </c>
      <c r="U11" s="434">
        <f>+'q31'!E9</f>
        <v>557</v>
      </c>
      <c r="V11" s="434">
        <f>+'q31'!F9</f>
        <v>580</v>
      </c>
      <c r="W11" s="434">
        <f>+'q31'!G9</f>
        <v>600</v>
      </c>
      <c r="X11" s="434">
        <f>+'q31'!H9</f>
        <v>635</v>
      </c>
      <c r="Y11" s="434">
        <f>+'q31'!I9</f>
        <v>665</v>
      </c>
      <c r="Z11" s="434">
        <f>+'q31'!J9</f>
        <v>705</v>
      </c>
      <c r="AA11" s="434">
        <f>+'q31'!K9</f>
        <v>760</v>
      </c>
      <c r="AB11" s="434">
        <f>+'q31'!L9</f>
        <v>820</v>
      </c>
      <c r="BV11" s="480"/>
    </row>
    <row r="12" spans="1:74">
      <c r="A12" s="422" t="s">
        <v>107</v>
      </c>
      <c r="B12" s="434">
        <f>+'q33 '!$B$10</f>
        <v>644.95000000000005</v>
      </c>
      <c r="C12" s="434">
        <f>+'q33 '!$C$10</f>
        <v>647</v>
      </c>
      <c r="D12" s="434">
        <f>+'q33 '!$D$10</f>
        <v>659.1</v>
      </c>
      <c r="E12" s="434">
        <f>+'q33 '!$E$10</f>
        <v>687.15</v>
      </c>
      <c r="F12" s="434">
        <f>+'q33 '!$F$10</f>
        <v>718</v>
      </c>
      <c r="G12" s="434">
        <f>+'q33 '!$G$10</f>
        <v>747.99</v>
      </c>
      <c r="H12" s="434">
        <f>+'q33 '!$H$10</f>
        <v>779.94</v>
      </c>
      <c r="I12" s="434">
        <f>+'q33 '!$I$10</f>
        <v>811.33</v>
      </c>
      <c r="J12" s="434">
        <f>+'q33 '!$J$10</f>
        <v>857.6</v>
      </c>
      <c r="K12" s="434">
        <f>+'q33 '!$K$10</f>
        <v>932</v>
      </c>
      <c r="L12" s="434">
        <f>+'q33 '!$L$10</f>
        <v>1018</v>
      </c>
      <c r="Q12" s="422" t="s">
        <v>107</v>
      </c>
      <c r="R12" s="434">
        <f>+'q31'!B10</f>
        <v>540</v>
      </c>
      <c r="S12" s="434">
        <f>+'q31'!C10</f>
        <v>544.99</v>
      </c>
      <c r="T12" s="434">
        <f>+'q31'!D10</f>
        <v>550</v>
      </c>
      <c r="U12" s="434">
        <f>+'q31'!E10</f>
        <v>571</v>
      </c>
      <c r="V12" s="434">
        <f>+'q31'!F10</f>
        <v>600</v>
      </c>
      <c r="W12" s="434">
        <f>+'q31'!G10</f>
        <v>622</v>
      </c>
      <c r="X12" s="434">
        <f>+'q31'!H10</f>
        <v>650</v>
      </c>
      <c r="Y12" s="434">
        <f>+'q31'!I10</f>
        <v>683.5</v>
      </c>
      <c r="Z12" s="434">
        <f>+'q31'!J10</f>
        <v>721.65</v>
      </c>
      <c r="AA12" s="434">
        <f>+'q31'!K10</f>
        <v>785</v>
      </c>
      <c r="AB12" s="434">
        <f>+'q31'!L10</f>
        <v>850</v>
      </c>
      <c r="BV12" s="480"/>
    </row>
    <row r="13" spans="1:74">
      <c r="A13" s="422" t="s">
        <v>108</v>
      </c>
      <c r="B13" s="434">
        <f>+'q33 '!$B$11</f>
        <v>704.8</v>
      </c>
      <c r="C13" s="434">
        <f>+'q33 '!$C$11</f>
        <v>708.44</v>
      </c>
      <c r="D13" s="434">
        <f>+'q33 '!$D$11</f>
        <v>719.7</v>
      </c>
      <c r="E13" s="434">
        <f>+'q33 '!$E$11</f>
        <v>745.51</v>
      </c>
      <c r="F13" s="434">
        <f>+'q33 '!$F$11</f>
        <v>777.65</v>
      </c>
      <c r="G13" s="434">
        <f>+'q33 '!$G$11</f>
        <v>809.71</v>
      </c>
      <c r="H13" s="434">
        <f>+'q33 '!$H$11</f>
        <v>844.75</v>
      </c>
      <c r="I13" s="434">
        <f>+'q33 '!$I$11</f>
        <v>879.77</v>
      </c>
      <c r="J13" s="434">
        <f>+'q33 '!$J$11</f>
        <v>929.8</v>
      </c>
      <c r="K13" s="434">
        <f>+'q33 '!$K$11</f>
        <v>1005</v>
      </c>
      <c r="L13" s="434">
        <f>+'q33 '!$L$11</f>
        <v>1090.9000000000001</v>
      </c>
      <c r="Q13" s="422" t="s">
        <v>108</v>
      </c>
      <c r="R13" s="434">
        <f>+'q31'!B11</f>
        <v>586.80999999999995</v>
      </c>
      <c r="S13" s="434">
        <f>+'q31'!C11</f>
        <v>591.6</v>
      </c>
      <c r="T13" s="434">
        <f>+'q31'!D11</f>
        <v>600</v>
      </c>
      <c r="U13" s="434">
        <f>+'q31'!E11</f>
        <v>605</v>
      </c>
      <c r="V13" s="434">
        <f>+'q31'!F11</f>
        <v>630</v>
      </c>
      <c r="W13" s="434">
        <f>+'q31'!G11</f>
        <v>650</v>
      </c>
      <c r="X13" s="434">
        <f>+'q31'!H11</f>
        <v>693.62</v>
      </c>
      <c r="Y13" s="434">
        <f>+'q31'!I11</f>
        <v>720</v>
      </c>
      <c r="Z13" s="434">
        <f>+'q31'!J11</f>
        <v>760</v>
      </c>
      <c r="AA13" s="434">
        <f>+'q31'!K11</f>
        <v>823.33</v>
      </c>
      <c r="AB13" s="434">
        <f>+'q31'!L11</f>
        <v>898</v>
      </c>
      <c r="BV13" s="480"/>
    </row>
    <row r="14" spans="1:74">
      <c r="A14" s="422" t="s">
        <v>109</v>
      </c>
      <c r="B14" s="434">
        <f>+'q33 '!$B$12</f>
        <v>786.98</v>
      </c>
      <c r="C14" s="434">
        <f>+'q33 '!$C$12</f>
        <v>790.03</v>
      </c>
      <c r="D14" s="434">
        <f>+'q33 '!$D$12</f>
        <v>800</v>
      </c>
      <c r="E14" s="434">
        <f>+'q33 '!$E$12</f>
        <v>822.95</v>
      </c>
      <c r="F14" s="434">
        <f>+'q33 '!$F$12</f>
        <v>854.8</v>
      </c>
      <c r="G14" s="434">
        <f>+'q33 '!$G$12</f>
        <v>892.01</v>
      </c>
      <c r="H14" s="434">
        <f>+'q33 '!$H$12</f>
        <v>926.14</v>
      </c>
      <c r="I14" s="434">
        <f>+'q33 '!$I$12</f>
        <v>962.2</v>
      </c>
      <c r="J14" s="434">
        <f>+'q33 '!$J$12</f>
        <v>1017.5</v>
      </c>
      <c r="K14" s="434">
        <f>+'q33 '!$K$12</f>
        <v>1100.17</v>
      </c>
      <c r="L14" s="434">
        <f>+'q33 '!$L$12</f>
        <v>1191.02</v>
      </c>
      <c r="Q14" s="422" t="s">
        <v>109</v>
      </c>
      <c r="R14" s="434">
        <f>+'q31'!B12</f>
        <v>641.92999999999995</v>
      </c>
      <c r="S14" s="434">
        <f>+'q31'!C12</f>
        <v>650</v>
      </c>
      <c r="T14" s="434">
        <f>+'q31'!D12</f>
        <v>650</v>
      </c>
      <c r="U14" s="434">
        <f>+'q31'!E12</f>
        <v>660</v>
      </c>
      <c r="V14" s="434">
        <f>+'q31'!F12</f>
        <v>690</v>
      </c>
      <c r="W14" s="434">
        <f>+'q31'!G12</f>
        <v>720</v>
      </c>
      <c r="X14" s="434">
        <f>+'q31'!H12</f>
        <v>750</v>
      </c>
      <c r="Y14" s="434">
        <f>+'q31'!I12</f>
        <v>786</v>
      </c>
      <c r="Z14" s="434">
        <f>+'q31'!J12</f>
        <v>816.21</v>
      </c>
      <c r="AA14" s="434">
        <f>+'q31'!K12</f>
        <v>880</v>
      </c>
      <c r="AB14" s="434">
        <f>+'q31'!L12</f>
        <v>950</v>
      </c>
      <c r="BV14" s="480"/>
    </row>
    <row r="15" spans="1:74">
      <c r="A15" s="422" t="s">
        <v>110</v>
      </c>
      <c r="B15" s="434">
        <f>+'q33 '!$B$13</f>
        <v>894.88</v>
      </c>
      <c r="C15" s="434">
        <f>+'q33 '!$C$13</f>
        <v>898.82</v>
      </c>
      <c r="D15" s="434">
        <f>+'q33 '!$D$13</f>
        <v>905.9</v>
      </c>
      <c r="E15" s="434">
        <f>+'q33 '!$E$13</f>
        <v>930.11</v>
      </c>
      <c r="F15" s="434">
        <f>+'q33 '!$F$13</f>
        <v>964.53</v>
      </c>
      <c r="G15" s="434">
        <f>+'q33 '!$G$13</f>
        <v>1005.04</v>
      </c>
      <c r="H15" s="434">
        <f>+'q33 '!$H$13</f>
        <v>1047</v>
      </c>
      <c r="I15" s="434">
        <f>+'q33 '!$I$13</f>
        <v>1087.1600000000001</v>
      </c>
      <c r="J15" s="434">
        <f>+'q33 '!$J$13</f>
        <v>1145.4000000000001</v>
      </c>
      <c r="K15" s="434">
        <f>+'q33 '!$K$13</f>
        <v>1233</v>
      </c>
      <c r="L15" s="434">
        <f>+'q33 '!$L$13</f>
        <v>1335.83</v>
      </c>
      <c r="Q15" s="422" t="s">
        <v>110</v>
      </c>
      <c r="R15" s="434">
        <f>+'q31'!B13</f>
        <v>731.94</v>
      </c>
      <c r="S15" s="434">
        <f>+'q31'!C13</f>
        <v>738.8</v>
      </c>
      <c r="T15" s="434">
        <f>+'q31'!D13</f>
        <v>745.91</v>
      </c>
      <c r="U15" s="434">
        <f>+'q31'!E13</f>
        <v>750</v>
      </c>
      <c r="V15" s="434">
        <f>+'q31'!F13</f>
        <v>775.51</v>
      </c>
      <c r="W15" s="434">
        <f>+'q31'!G13</f>
        <v>800</v>
      </c>
      <c r="X15" s="434">
        <f>+'q31'!H13</f>
        <v>840</v>
      </c>
      <c r="Y15" s="434">
        <f>+'q31'!I13</f>
        <v>875</v>
      </c>
      <c r="Z15" s="434">
        <f>+'q31'!J13</f>
        <v>920</v>
      </c>
      <c r="AA15" s="434">
        <f>+'q31'!K13</f>
        <v>1000</v>
      </c>
      <c r="AB15" s="434">
        <f>+'q31'!L13</f>
        <v>1052</v>
      </c>
      <c r="BV15" s="480"/>
    </row>
    <row r="16" spans="1:74">
      <c r="A16" s="422" t="s">
        <v>111</v>
      </c>
      <c r="B16" s="434">
        <f>+'q33 '!$B$14</f>
        <v>1065.29</v>
      </c>
      <c r="C16" s="434">
        <f>+'q33 '!$C$14</f>
        <v>1071.26</v>
      </c>
      <c r="D16" s="434">
        <f>+'q33 '!$D$14</f>
        <v>1076.72</v>
      </c>
      <c r="E16" s="434">
        <f>+'q33 '!$E$14</f>
        <v>1098.5</v>
      </c>
      <c r="F16" s="434">
        <f>+'q33 '!$F$14</f>
        <v>1136</v>
      </c>
      <c r="G16" s="434">
        <f>+'q33 '!$G$14</f>
        <v>1183.3800000000001</v>
      </c>
      <c r="H16" s="434">
        <f>+'q33 '!$H$14</f>
        <v>1235.17</v>
      </c>
      <c r="I16" s="434">
        <f>+'q33 '!$I$14</f>
        <v>1278.04</v>
      </c>
      <c r="J16" s="434">
        <f>+'q33 '!$J$14</f>
        <v>1343.83</v>
      </c>
      <c r="K16" s="434">
        <f>+'q33 '!$K$14</f>
        <v>1440.06</v>
      </c>
      <c r="L16" s="434">
        <f>+'q33 '!$L$14</f>
        <v>1551</v>
      </c>
      <c r="Q16" s="422" t="s">
        <v>111</v>
      </c>
      <c r="R16" s="434">
        <f>+'q31'!B14</f>
        <v>874.65</v>
      </c>
      <c r="S16" s="434">
        <f>+'q31'!C14</f>
        <v>877.5</v>
      </c>
      <c r="T16" s="434">
        <f>+'q31'!D14</f>
        <v>884.35</v>
      </c>
      <c r="U16" s="434">
        <f>+'q31'!E14</f>
        <v>900</v>
      </c>
      <c r="V16" s="434">
        <f>+'q31'!F14</f>
        <v>919.34</v>
      </c>
      <c r="W16" s="434">
        <f>+'q31'!G14</f>
        <v>959.4</v>
      </c>
      <c r="X16" s="434">
        <f>+'q31'!H14</f>
        <v>1000</v>
      </c>
      <c r="Y16" s="434">
        <f>+'q31'!I14</f>
        <v>1025.8599999999999</v>
      </c>
      <c r="Z16" s="434">
        <f>+'q31'!J14</f>
        <v>1095.51</v>
      </c>
      <c r="AA16" s="434">
        <f>+'q31'!K14</f>
        <v>1155</v>
      </c>
      <c r="AB16" s="434">
        <f>+'q31'!L14</f>
        <v>1245.72</v>
      </c>
      <c r="BV16" s="480"/>
    </row>
    <row r="17" spans="1:29">
      <c r="A17" s="422" t="s">
        <v>112</v>
      </c>
      <c r="B17" s="434">
        <f>+'q33 '!$B$15</f>
        <v>1349.76</v>
      </c>
      <c r="C17" s="434">
        <f>+'q33 '!$C$15</f>
        <v>1350</v>
      </c>
      <c r="D17" s="434">
        <f>+'q33 '!$D$15</f>
        <v>1351.02</v>
      </c>
      <c r="E17" s="434">
        <f>+'q33 '!$E$15</f>
        <v>1374.6</v>
      </c>
      <c r="F17" s="434">
        <f>+'q33 '!$F$15</f>
        <v>1417.92</v>
      </c>
      <c r="G17" s="434">
        <f>+'q33 '!$G$15</f>
        <v>1471.67</v>
      </c>
      <c r="H17" s="434">
        <f>+'q33 '!$H$15</f>
        <v>1517.99</v>
      </c>
      <c r="I17" s="434">
        <f>+'q33 '!$I$15</f>
        <v>1569.5</v>
      </c>
      <c r="J17" s="434">
        <f>+'q33 '!$J$15</f>
        <v>1652.03</v>
      </c>
      <c r="K17" s="434">
        <f>+'q33 '!$K$15</f>
        <v>1763.96</v>
      </c>
      <c r="L17" s="434">
        <f>+'q33 '!$L$15</f>
        <v>1893.43</v>
      </c>
      <c r="Q17" s="422" t="s">
        <v>112</v>
      </c>
      <c r="R17" s="434">
        <f>+'q31'!B15</f>
        <v>1100</v>
      </c>
      <c r="S17" s="434">
        <f>+'q31'!C15</f>
        <v>1110</v>
      </c>
      <c r="T17" s="434">
        <f>+'q31'!D15</f>
        <v>1118</v>
      </c>
      <c r="U17" s="434">
        <f>+'q31'!E15</f>
        <v>1132</v>
      </c>
      <c r="V17" s="434">
        <f>+'q31'!F15</f>
        <v>1166.48</v>
      </c>
      <c r="W17" s="434">
        <f>+'q31'!G15</f>
        <v>1200.01</v>
      </c>
      <c r="X17" s="434">
        <f>+'q31'!H15</f>
        <v>1226.76</v>
      </c>
      <c r="Y17" s="434">
        <f>+'q31'!I15</f>
        <v>1270</v>
      </c>
      <c r="Z17" s="434">
        <f>+'q31'!J15</f>
        <v>1345.5</v>
      </c>
      <c r="AA17" s="434">
        <f>+'q31'!K15</f>
        <v>1425</v>
      </c>
      <c r="AB17" s="434">
        <f>+'q31'!L15</f>
        <v>1500</v>
      </c>
    </row>
    <row r="18" spans="1:29">
      <c r="A18" s="422" t="s">
        <v>113</v>
      </c>
      <c r="B18" s="434">
        <f>+'q33 '!$B$16</f>
        <v>1932.5</v>
      </c>
      <c r="C18" s="434">
        <f>+'q33 '!$C$16</f>
        <v>1929.23</v>
      </c>
      <c r="D18" s="434">
        <f>+'q33 '!$D$16</f>
        <v>1934.8</v>
      </c>
      <c r="E18" s="434">
        <f>+'q33 '!$E$16</f>
        <v>1951.52</v>
      </c>
      <c r="F18" s="434">
        <f>+'q33 '!$F$16</f>
        <v>2000</v>
      </c>
      <c r="G18" s="434">
        <f>+'q33 '!$G$16</f>
        <v>2061.38</v>
      </c>
      <c r="H18" s="434">
        <f>+'q33 '!$H$16</f>
        <v>2123.3000000000002</v>
      </c>
      <c r="I18" s="434">
        <f>+'q33 '!$I$16</f>
        <v>2181.67</v>
      </c>
      <c r="J18" s="434">
        <f>+'q33 '!$J$16</f>
        <v>2306.09</v>
      </c>
      <c r="K18" s="434">
        <f>+'q33 '!$K$16</f>
        <v>2460.2399999999998</v>
      </c>
      <c r="L18" s="434">
        <f>+'q33 '!$L$16</f>
        <v>2644.06</v>
      </c>
      <c r="Q18" s="422" t="s">
        <v>113</v>
      </c>
      <c r="R18" s="434">
        <f>+'q31'!B16</f>
        <v>1561.6</v>
      </c>
      <c r="S18" s="434">
        <f>+'q31'!C16</f>
        <v>1564.96</v>
      </c>
      <c r="T18" s="434">
        <f>+'q31'!D16</f>
        <v>1570.83</v>
      </c>
      <c r="U18" s="434">
        <f>+'q31'!E16</f>
        <v>1585</v>
      </c>
      <c r="V18" s="434">
        <f>+'q31'!F16</f>
        <v>1612.88</v>
      </c>
      <c r="W18" s="434">
        <f>+'q31'!G16</f>
        <v>1676</v>
      </c>
      <c r="X18" s="434">
        <f>+'q31'!H16</f>
        <v>1725.5</v>
      </c>
      <c r="Y18" s="434">
        <f>+'q31'!I16</f>
        <v>1800</v>
      </c>
      <c r="Z18" s="434">
        <f>+'q31'!J16</f>
        <v>1897.61</v>
      </c>
      <c r="AA18" s="434">
        <f>+'q31'!K16</f>
        <v>2000</v>
      </c>
      <c r="AB18" s="434">
        <f>+'q31'!L16</f>
        <v>2140</v>
      </c>
    </row>
    <row r="19" spans="1:29">
      <c r="A19" s="422"/>
      <c r="B19" s="434"/>
      <c r="C19" s="434"/>
      <c r="D19" s="434"/>
      <c r="E19" s="434"/>
      <c r="F19" s="434"/>
      <c r="G19" s="434"/>
      <c r="H19" s="434"/>
      <c r="I19" s="434"/>
      <c r="J19" s="434"/>
      <c r="K19" s="434"/>
      <c r="L19" s="434"/>
      <c r="Q19" s="422"/>
      <c r="R19" s="434"/>
      <c r="S19" s="434"/>
      <c r="T19" s="434"/>
      <c r="U19" s="434"/>
      <c r="V19" s="434"/>
      <c r="W19" s="434"/>
      <c r="X19" s="434"/>
      <c r="Y19" s="434"/>
      <c r="Z19" s="434"/>
      <c r="AA19" s="434"/>
      <c r="AB19" s="434"/>
    </row>
    <row r="20" spans="1:29">
      <c r="A20" s="422" t="s">
        <v>381</v>
      </c>
      <c r="B20" s="434">
        <f>+'q33 '!$B$28</f>
        <v>524.66</v>
      </c>
      <c r="C20" s="434">
        <f>+'q33 '!$C$28</f>
        <v>526.69000000000005</v>
      </c>
      <c r="D20" s="434">
        <f>+'q33 '!$D$28</f>
        <v>533.33000000000004</v>
      </c>
      <c r="E20" s="434">
        <f>+'q33 '!$E$28</f>
        <v>548.63</v>
      </c>
      <c r="F20" s="434">
        <f>+'q33 '!$F$28</f>
        <v>569.87</v>
      </c>
      <c r="G20" s="434">
        <f>+'q33 '!$G$28</f>
        <v>594.66999999999996</v>
      </c>
      <c r="H20" s="434">
        <f>+'q33 '!$H$28</f>
        <v>617.42999999999995</v>
      </c>
      <c r="I20" s="434">
        <f>+'q33 '!$I$28</f>
        <v>641.47</v>
      </c>
      <c r="J20" s="434">
        <f>+'q33 '!$J$28</f>
        <v>678.33</v>
      </c>
      <c r="K20" s="434">
        <f>+'q33 '!$K$28</f>
        <v>733.45</v>
      </c>
      <c r="L20" s="434">
        <f>+'q33 '!$L$28</f>
        <v>794.01</v>
      </c>
      <c r="M20" s="446"/>
      <c r="Q20" s="422" t="s">
        <v>381</v>
      </c>
      <c r="R20" s="434">
        <f>+'q31'!$B$28</f>
        <v>427.95</v>
      </c>
      <c r="S20" s="434">
        <f>+'q31'!$C$28</f>
        <v>433.33</v>
      </c>
      <c r="T20" s="434">
        <f>+'q31'!$D$28</f>
        <v>433.33</v>
      </c>
      <c r="U20" s="434">
        <f>+'q31'!$E$28</f>
        <v>440</v>
      </c>
      <c r="V20" s="434">
        <f>+'q31'!$F$28</f>
        <v>460</v>
      </c>
      <c r="W20" s="434">
        <f>+'q31'!$G$28</f>
        <v>480</v>
      </c>
      <c r="X20" s="434">
        <f>+'q31'!$H$28</f>
        <v>500</v>
      </c>
      <c r="Y20" s="434">
        <f>+'q31'!$I$28</f>
        <v>524</v>
      </c>
      <c r="Z20" s="434">
        <f>+'q31'!$J$28</f>
        <v>544.14</v>
      </c>
      <c r="AA20" s="434">
        <f>+'q31'!$K$28</f>
        <v>586.66999999999996</v>
      </c>
      <c r="AB20" s="434">
        <f>+'q31'!$L$28</f>
        <v>633.33000000000004</v>
      </c>
      <c r="AC20" s="446"/>
    </row>
    <row r="21" spans="1:29">
      <c r="A21" s="422" t="s">
        <v>382</v>
      </c>
      <c r="B21" s="446">
        <f>+'q33 '!$B$29</f>
        <v>6.78</v>
      </c>
      <c r="C21" s="446">
        <f>+'q33 '!$C$29</f>
        <v>6.7</v>
      </c>
      <c r="D21" s="446">
        <f>+'q33 '!$D$29</f>
        <v>5.86</v>
      </c>
      <c r="E21" s="446">
        <f>+'q33 '!$E$29</f>
        <v>0.19</v>
      </c>
      <c r="F21" s="446">
        <f>+'q33 '!$F$29</f>
        <v>0.16</v>
      </c>
      <c r="G21" s="446">
        <f>+'q33 '!$G$29</f>
        <v>0.18</v>
      </c>
      <c r="H21" s="446">
        <f>+'q33 '!$H$29</f>
        <v>0.14000000000000001</v>
      </c>
      <c r="I21" s="446">
        <f>+'q33 '!$I$29</f>
        <v>0.11</v>
      </c>
      <c r="J21" s="446">
        <f>+'q33 '!$J$29</f>
        <v>0.11</v>
      </c>
      <c r="K21" s="446">
        <f>+'q33 '!$K$29</f>
        <v>0.1</v>
      </c>
      <c r="L21" s="446">
        <f>+'q33 '!$L$29</f>
        <v>0.09</v>
      </c>
      <c r="M21" s="446">
        <f>+L21-B21</f>
        <v>-6.69</v>
      </c>
      <c r="Q21" s="422" t="s">
        <v>382</v>
      </c>
      <c r="R21" s="446">
        <f>+'q31'!$B$29</f>
        <v>0.15</v>
      </c>
      <c r="S21" s="446">
        <f>+'q31'!$C$29</f>
        <v>0.15</v>
      </c>
      <c r="T21" s="446">
        <f>+'q31'!$D$29</f>
        <v>0.1</v>
      </c>
      <c r="U21" s="446">
        <f>+'q31'!$E$29</f>
        <v>0</v>
      </c>
      <c r="V21" s="446">
        <f>+'q31'!$F$29</f>
        <v>0</v>
      </c>
      <c r="W21" s="446">
        <f>+'q31'!$G$29</f>
        <v>0</v>
      </c>
      <c r="X21" s="446">
        <f>+'q31'!$H$29</f>
        <v>0</v>
      </c>
      <c r="Y21" s="446">
        <f>+'q31'!$I$29</f>
        <v>0</v>
      </c>
      <c r="Z21" s="446">
        <f>+'q31'!$J$29</f>
        <v>0</v>
      </c>
      <c r="AA21" s="446">
        <f>+'q31'!$K$29</f>
        <v>0</v>
      </c>
      <c r="AB21" s="446">
        <f>+'q31'!$L$29</f>
        <v>0</v>
      </c>
      <c r="AC21" s="446">
        <f>+AB21-R21</f>
        <v>-0.15</v>
      </c>
    </row>
    <row r="22" spans="1:29">
      <c r="A22" s="422" t="s">
        <v>115</v>
      </c>
      <c r="B22" s="446">
        <f>+'q33 '!$B$30</f>
        <v>5.01</v>
      </c>
      <c r="C22" s="446">
        <f>+'q33 '!$C$30</f>
        <v>4.99</v>
      </c>
      <c r="D22" s="446">
        <f>+'q33 '!$D$30</f>
        <v>4.38</v>
      </c>
      <c r="E22" s="446">
        <f>+'q33 '!$E$30</f>
        <v>0.1</v>
      </c>
      <c r="F22" s="446">
        <f>+'q33 '!$F$30</f>
        <v>0.08</v>
      </c>
      <c r="G22" s="446">
        <f>+'q33 '!$G$30</f>
        <v>0.09</v>
      </c>
      <c r="H22" s="446">
        <f>+'q33 '!$H$30</f>
        <v>7.0000000000000007E-2</v>
      </c>
      <c r="I22" s="446">
        <f>+'q33 '!$I$30</f>
        <v>7.0000000000000007E-2</v>
      </c>
      <c r="J22" s="446">
        <f>+'q33 '!$J$30</f>
        <v>0.08</v>
      </c>
      <c r="K22" s="446">
        <f>+'q33 '!$K$30</f>
        <v>0.08</v>
      </c>
      <c r="L22" s="446">
        <f>+'q33 '!$L$30</f>
        <v>7.0000000000000007E-2</v>
      </c>
      <c r="M22" s="446">
        <f>+G21-B21</f>
        <v>-6.6000000000000005</v>
      </c>
      <c r="Q22" s="422" t="s">
        <v>115</v>
      </c>
      <c r="R22" s="446">
        <f>+'q31'!$B$30</f>
        <v>0.11</v>
      </c>
      <c r="S22" s="446">
        <f>+'q31'!$C$30</f>
        <v>0.1</v>
      </c>
      <c r="T22" s="446">
        <f>+'q31'!$D$30</f>
        <v>0</v>
      </c>
      <c r="U22" s="446">
        <f>+'q31'!$E$30</f>
        <v>0</v>
      </c>
      <c r="V22" s="446">
        <f>+'q31'!$F$30</f>
        <v>0</v>
      </c>
      <c r="W22" s="446">
        <f>+'q31'!$G$30</f>
        <v>0</v>
      </c>
      <c r="X22" s="446">
        <f>+'q31'!$H$30</f>
        <v>0</v>
      </c>
      <c r="Y22" s="446">
        <f>+'q31'!$I$30</f>
        <v>0</v>
      </c>
      <c r="Z22" s="446">
        <f>+'q31'!$J$30</f>
        <v>0</v>
      </c>
      <c r="AA22" s="446">
        <f>+'q31'!$K$30</f>
        <v>0</v>
      </c>
      <c r="AB22" s="446">
        <f>+'q31'!$L$30</f>
        <v>0</v>
      </c>
      <c r="AC22" s="446">
        <f>+W21-R21</f>
        <v>-0.15</v>
      </c>
    </row>
    <row r="23" spans="1:29">
      <c r="A23" s="422" t="s">
        <v>116</v>
      </c>
      <c r="B23" s="446">
        <f>+'q33 '!$B$31</f>
        <v>8.8699999999999992</v>
      </c>
      <c r="C23" s="446">
        <f>+'q33 '!$C$31</f>
        <v>8.6999999999999993</v>
      </c>
      <c r="D23" s="446">
        <f>+'q33 '!$D$31</f>
        <v>7.59</v>
      </c>
      <c r="E23" s="446">
        <f>+'q33 '!$E$31</f>
        <v>0.28999999999999998</v>
      </c>
      <c r="F23" s="446">
        <f>+'q33 '!$F$31</f>
        <v>0.24</v>
      </c>
      <c r="G23" s="446">
        <f>+'q33 '!$G$31</f>
        <v>0.28000000000000003</v>
      </c>
      <c r="H23" s="446">
        <f>+'q33 '!$H$31</f>
        <v>0.21</v>
      </c>
      <c r="I23" s="446">
        <f>+'q33 '!$I$31</f>
        <v>0.15</v>
      </c>
      <c r="J23" s="446">
        <f>+'q33 '!$J$31</f>
        <v>0.15</v>
      </c>
      <c r="K23" s="446">
        <f>+'q33 '!$K$31</f>
        <v>0.13</v>
      </c>
      <c r="L23" s="446">
        <f>+'q33 '!$L$31</f>
        <v>0.11</v>
      </c>
      <c r="M23" s="446">
        <f>+L21-G21</f>
        <v>-0.09</v>
      </c>
      <c r="Q23" s="422" t="s">
        <v>116</v>
      </c>
      <c r="R23" s="446">
        <f>+'q31'!$B$31</f>
        <v>0.2</v>
      </c>
      <c r="S23" s="446">
        <f>+'q31'!$C$31</f>
        <v>0.2</v>
      </c>
      <c r="T23" s="446">
        <f>+'q31'!$D$31</f>
        <v>0.1</v>
      </c>
      <c r="U23" s="446">
        <f>+'q31'!$E$31</f>
        <v>0</v>
      </c>
      <c r="V23" s="446">
        <f>+'q31'!$F$31</f>
        <v>0</v>
      </c>
      <c r="W23" s="446">
        <f>+'q31'!$G$31</f>
        <v>0</v>
      </c>
      <c r="X23" s="446">
        <f>+'q31'!$H$31</f>
        <v>0</v>
      </c>
      <c r="Y23" s="446">
        <f>+'q31'!$I$31</f>
        <v>0</v>
      </c>
      <c r="Z23" s="446">
        <f>+'q31'!$J$31</f>
        <v>0</v>
      </c>
      <c r="AA23" s="446">
        <f>+'q31'!$K$31</f>
        <v>0</v>
      </c>
      <c r="AB23" s="446">
        <f>+'q31'!$L$31</f>
        <v>0</v>
      </c>
      <c r="AC23" s="446">
        <f>+AB21-W21</f>
        <v>0</v>
      </c>
    </row>
    <row r="24" spans="1:29">
      <c r="B24" s="446">
        <f>+B23-B22</f>
        <v>3.8599999999999994</v>
      </c>
      <c r="C24" s="446">
        <f t="shared" ref="C24:L24" si="0">+C23-C22</f>
        <v>3.7099999999999991</v>
      </c>
      <c r="D24" s="446">
        <f t="shared" si="0"/>
        <v>3.21</v>
      </c>
      <c r="E24" s="446">
        <f t="shared" si="0"/>
        <v>0.18999999999999997</v>
      </c>
      <c r="F24" s="446">
        <f t="shared" si="0"/>
        <v>0.15999999999999998</v>
      </c>
      <c r="G24" s="446">
        <f t="shared" si="0"/>
        <v>0.19000000000000003</v>
      </c>
      <c r="H24" s="446">
        <f t="shared" si="0"/>
        <v>0.13999999999999999</v>
      </c>
      <c r="I24" s="446">
        <f t="shared" si="0"/>
        <v>7.9999999999999988E-2</v>
      </c>
      <c r="J24" s="446">
        <f t="shared" si="0"/>
        <v>6.9999999999999993E-2</v>
      </c>
      <c r="K24" s="446">
        <f t="shared" si="0"/>
        <v>0.05</v>
      </c>
      <c r="L24" s="446">
        <f t="shared" si="0"/>
        <v>3.9999999999999994E-2</v>
      </c>
      <c r="M24" s="446">
        <f>+L23-G23</f>
        <v>-0.17000000000000004</v>
      </c>
      <c r="N24" s="446"/>
      <c r="R24" s="446">
        <f>+R23-R22</f>
        <v>9.0000000000000011E-2</v>
      </c>
      <c r="S24" s="446">
        <f t="shared" ref="S24:AB24" si="1">+S23-S22</f>
        <v>0.1</v>
      </c>
      <c r="T24" s="446">
        <f t="shared" si="1"/>
        <v>0.1</v>
      </c>
      <c r="U24" s="446">
        <f t="shared" si="1"/>
        <v>0</v>
      </c>
      <c r="V24" s="446">
        <f t="shared" si="1"/>
        <v>0</v>
      </c>
      <c r="W24" s="446">
        <f t="shared" si="1"/>
        <v>0</v>
      </c>
      <c r="X24" s="446">
        <f t="shared" si="1"/>
        <v>0</v>
      </c>
      <c r="Y24" s="446">
        <f t="shared" si="1"/>
        <v>0</v>
      </c>
      <c r="Z24" s="446">
        <f t="shared" si="1"/>
        <v>0</v>
      </c>
      <c r="AA24" s="446">
        <f t="shared" si="1"/>
        <v>0</v>
      </c>
      <c r="AB24" s="446">
        <f t="shared" si="1"/>
        <v>0</v>
      </c>
      <c r="AC24" s="446">
        <f>+AB23-W23</f>
        <v>0</v>
      </c>
    </row>
    <row r="25" spans="1:29">
      <c r="L25" s="446">
        <f>+L22-B22</f>
        <v>-4.9399999999999995</v>
      </c>
      <c r="M25" s="446">
        <f>+G23-B23</f>
        <v>-8.59</v>
      </c>
      <c r="AB25" s="446">
        <f>+AB22-R22</f>
        <v>-0.11</v>
      </c>
      <c r="AC25" s="446">
        <f>+W23-R23</f>
        <v>-0.2</v>
      </c>
    </row>
    <row r="26" spans="1:29">
      <c r="A26" s="435"/>
      <c r="B26" s="435"/>
      <c r="C26" s="435"/>
      <c r="D26" s="435"/>
      <c r="E26" s="435"/>
      <c r="F26" s="435"/>
      <c r="G26" s="435"/>
      <c r="H26" s="435"/>
      <c r="I26" s="435"/>
      <c r="J26" s="435"/>
      <c r="K26" s="435"/>
      <c r="L26" s="435"/>
      <c r="M26" s="972"/>
    </row>
    <row r="27" spans="1:29">
      <c r="A27" s="543"/>
      <c r="B27" s="544"/>
      <c r="C27" s="544"/>
      <c r="D27" s="544"/>
      <c r="E27" s="544"/>
      <c r="F27" s="544"/>
      <c r="G27" s="544"/>
      <c r="H27" s="544"/>
      <c r="I27" s="544"/>
      <c r="J27" s="544"/>
      <c r="K27" s="544"/>
      <c r="L27" s="544"/>
      <c r="M27" s="972"/>
      <c r="Q27" s="781"/>
    </row>
    <row r="28" spans="1:29">
      <c r="A28" s="435" t="s">
        <v>494</v>
      </c>
      <c r="B28" s="544"/>
      <c r="C28" s="544"/>
      <c r="D28" s="544"/>
      <c r="E28" s="544"/>
      <c r="F28" s="544"/>
      <c r="G28" s="544"/>
      <c r="H28" s="544"/>
      <c r="I28" s="544"/>
      <c r="J28" s="544"/>
      <c r="K28" s="544"/>
      <c r="L28" s="544"/>
      <c r="M28" s="972"/>
      <c r="Q28" s="864" t="s">
        <v>843</v>
      </c>
      <c r="AC28" s="422" t="s">
        <v>860</v>
      </c>
    </row>
    <row r="29" spans="1:29">
      <c r="AC29" s="865" t="s">
        <v>861</v>
      </c>
    </row>
    <row r="30" spans="1:29">
      <c r="A30" s="421">
        <v>2</v>
      </c>
      <c r="AC30" s="434" t="s">
        <v>862</v>
      </c>
    </row>
    <row r="31" spans="1:29">
      <c r="M31" s="383"/>
      <c r="AC31" s="865" t="str">
        <f>+IF($A$30=1,AC30,AC29)</f>
        <v>Ganho mensal - percentis (euros)</v>
      </c>
    </row>
    <row r="33" spans="1:42" ht="12.95" customHeight="1">
      <c r="A33" s="421" t="str">
        <f>+IF(A30=1,P2,P3)</f>
        <v>Ganho mensal - decis (euros)</v>
      </c>
      <c r="AC33" s="971" t="s">
        <v>495</v>
      </c>
      <c r="AD33" s="971"/>
      <c r="AE33" s="971"/>
      <c r="AF33" s="971"/>
      <c r="AG33" s="971"/>
      <c r="AH33" s="971"/>
      <c r="AI33" s="971"/>
      <c r="AJ33" s="971"/>
      <c r="AK33" s="971"/>
      <c r="AL33" s="971"/>
      <c r="AM33" s="971"/>
      <c r="AN33" s="971"/>
      <c r="AO33" s="971"/>
      <c r="AP33" s="971"/>
    </row>
    <row r="34" spans="1:42">
      <c r="B34" s="422">
        <f>+B6</f>
        <v>2014</v>
      </c>
      <c r="C34" s="422">
        <f t="shared" ref="C34:L34" si="2">+C6</f>
        <v>2015</v>
      </c>
      <c r="D34" s="422">
        <f t="shared" si="2"/>
        <v>2016</v>
      </c>
      <c r="E34" s="422">
        <f t="shared" si="2"/>
        <v>2017</v>
      </c>
      <c r="F34" s="422">
        <f t="shared" si="2"/>
        <v>2018</v>
      </c>
      <c r="G34" s="422">
        <f t="shared" si="2"/>
        <v>2019</v>
      </c>
      <c r="H34" s="422">
        <f t="shared" si="2"/>
        <v>2020</v>
      </c>
      <c r="I34" s="422">
        <f t="shared" si="2"/>
        <v>2021</v>
      </c>
      <c r="J34" s="422">
        <f t="shared" si="2"/>
        <v>2022</v>
      </c>
      <c r="K34" s="422">
        <f t="shared" si="2"/>
        <v>2023</v>
      </c>
      <c r="L34" s="422">
        <f t="shared" si="2"/>
        <v>2024</v>
      </c>
      <c r="AC34" s="971"/>
      <c r="AD34" s="971"/>
      <c r="AE34" s="971"/>
      <c r="AF34" s="971"/>
      <c r="AG34" s="971"/>
      <c r="AH34" s="971"/>
      <c r="AI34" s="971"/>
      <c r="AJ34" s="971"/>
      <c r="AK34" s="971"/>
      <c r="AL34" s="971"/>
      <c r="AM34" s="971"/>
      <c r="AN34" s="971"/>
      <c r="AO34" s="971"/>
      <c r="AP34" s="971"/>
    </row>
    <row r="35" spans="1:42">
      <c r="A35" s="672" t="s">
        <v>845</v>
      </c>
      <c r="B35" s="434">
        <f>+IF($A$30=1,R18,B18)</f>
        <v>1932.5</v>
      </c>
      <c r="C35" s="434">
        <f t="shared" ref="C35:L35" si="3">+IF($A$30=1,S18,C18)</f>
        <v>1929.23</v>
      </c>
      <c r="D35" s="434">
        <f t="shared" si="3"/>
        <v>1934.8</v>
      </c>
      <c r="E35" s="434">
        <f t="shared" si="3"/>
        <v>1951.52</v>
      </c>
      <c r="F35" s="434">
        <f t="shared" si="3"/>
        <v>2000</v>
      </c>
      <c r="G35" s="434">
        <f t="shared" si="3"/>
        <v>2061.38</v>
      </c>
      <c r="H35" s="434">
        <f t="shared" si="3"/>
        <v>2123.3000000000002</v>
      </c>
      <c r="I35" s="434">
        <f t="shared" si="3"/>
        <v>2181.67</v>
      </c>
      <c r="J35" s="434">
        <f t="shared" si="3"/>
        <v>2306.09</v>
      </c>
      <c r="K35" s="434">
        <f t="shared" si="3"/>
        <v>2460.2399999999998</v>
      </c>
      <c r="L35" s="434">
        <f t="shared" si="3"/>
        <v>2644.06</v>
      </c>
      <c r="M35" s="672"/>
      <c r="N35" s="448">
        <f>(L35/B35-1)*100</f>
        <v>36.820698576972831</v>
      </c>
      <c r="O35" s="448">
        <f>+L35/L39</f>
        <v>2.9023710208562021</v>
      </c>
      <c r="AC35" s="971"/>
      <c r="AD35" s="971"/>
      <c r="AE35" s="971"/>
      <c r="AF35" s="971"/>
      <c r="AG35" s="971"/>
      <c r="AH35" s="971"/>
      <c r="AI35" s="971"/>
      <c r="AJ35" s="971"/>
      <c r="AK35" s="971"/>
      <c r="AL35" s="971"/>
      <c r="AM35" s="971"/>
      <c r="AN35" s="971"/>
      <c r="AO35" s="971"/>
      <c r="AP35" s="971"/>
    </row>
    <row r="36" spans="1:42">
      <c r="A36" s="672" t="s">
        <v>846</v>
      </c>
      <c r="B36" s="434">
        <f>+IF($A$30=1,R17,B17)</f>
        <v>1349.76</v>
      </c>
      <c r="C36" s="434">
        <f t="shared" ref="C36:L36" si="4">+IF($A$30=1,S17,C17)</f>
        <v>1350</v>
      </c>
      <c r="D36" s="434">
        <f t="shared" si="4"/>
        <v>1351.02</v>
      </c>
      <c r="E36" s="434">
        <f t="shared" si="4"/>
        <v>1374.6</v>
      </c>
      <c r="F36" s="434">
        <f t="shared" si="4"/>
        <v>1417.92</v>
      </c>
      <c r="G36" s="434">
        <f t="shared" si="4"/>
        <v>1471.67</v>
      </c>
      <c r="H36" s="434">
        <f t="shared" si="4"/>
        <v>1517.99</v>
      </c>
      <c r="I36" s="434">
        <f t="shared" si="4"/>
        <v>1569.5</v>
      </c>
      <c r="J36" s="434">
        <f t="shared" si="4"/>
        <v>1652.03</v>
      </c>
      <c r="K36" s="434">
        <f t="shared" si="4"/>
        <v>1763.96</v>
      </c>
      <c r="L36" s="434">
        <f t="shared" si="4"/>
        <v>1893.43</v>
      </c>
      <c r="M36" s="672"/>
      <c r="N36" s="448">
        <f>(L36/B36-1)*100</f>
        <v>40.279012565196794</v>
      </c>
      <c r="AC36" s="971"/>
      <c r="AD36" s="971"/>
      <c r="AE36" s="971"/>
      <c r="AF36" s="971"/>
      <c r="AG36" s="971"/>
      <c r="AH36" s="971"/>
      <c r="AI36" s="971"/>
      <c r="AJ36" s="971"/>
      <c r="AK36" s="971"/>
      <c r="AL36" s="971"/>
      <c r="AM36" s="971"/>
      <c r="AN36" s="971"/>
      <c r="AO36" s="971"/>
      <c r="AP36" s="971"/>
    </row>
    <row r="37" spans="1:42">
      <c r="A37" s="672" t="s">
        <v>855</v>
      </c>
      <c r="B37" s="434">
        <f>+IF($A$30=1,R14,B14)</f>
        <v>786.98</v>
      </c>
      <c r="C37" s="434">
        <f t="shared" ref="C37:L37" si="5">+IF($A$30=1,S14,C14)</f>
        <v>790.03</v>
      </c>
      <c r="D37" s="434">
        <f t="shared" si="5"/>
        <v>800</v>
      </c>
      <c r="E37" s="434">
        <f t="shared" si="5"/>
        <v>822.95</v>
      </c>
      <c r="F37" s="434">
        <f t="shared" si="5"/>
        <v>854.8</v>
      </c>
      <c r="G37" s="434">
        <f t="shared" si="5"/>
        <v>892.01</v>
      </c>
      <c r="H37" s="434">
        <f t="shared" si="5"/>
        <v>926.14</v>
      </c>
      <c r="I37" s="434">
        <f t="shared" si="5"/>
        <v>962.2</v>
      </c>
      <c r="J37" s="434">
        <f t="shared" si="5"/>
        <v>1017.5</v>
      </c>
      <c r="K37" s="434">
        <f t="shared" si="5"/>
        <v>1100.17</v>
      </c>
      <c r="L37" s="434">
        <f t="shared" si="5"/>
        <v>1191.02</v>
      </c>
      <c r="M37" s="672"/>
      <c r="N37" s="448"/>
      <c r="AC37" s="971"/>
      <c r="AD37" s="971"/>
      <c r="AE37" s="971"/>
      <c r="AF37" s="971"/>
      <c r="AG37" s="971"/>
      <c r="AH37" s="971"/>
      <c r="AI37" s="971"/>
      <c r="AJ37" s="971"/>
      <c r="AK37" s="971"/>
      <c r="AL37" s="971"/>
      <c r="AM37" s="971"/>
      <c r="AN37" s="971"/>
      <c r="AO37" s="971"/>
      <c r="AP37" s="971"/>
    </row>
    <row r="38" spans="1:42">
      <c r="A38" s="672" t="s">
        <v>854</v>
      </c>
      <c r="B38" s="434">
        <f>+IF($A$30=1,R11,B11)</f>
        <v>603</v>
      </c>
      <c r="C38" s="434">
        <f t="shared" ref="C38:L38" si="6">+IF($A$30=1,S11,C11)</f>
        <v>599.86</v>
      </c>
      <c r="D38" s="434">
        <f t="shared" si="6"/>
        <v>618.22</v>
      </c>
      <c r="E38" s="434">
        <f t="shared" si="6"/>
        <v>651.55999999999995</v>
      </c>
      <c r="F38" s="434">
        <f t="shared" si="6"/>
        <v>681.85</v>
      </c>
      <c r="G38" s="434">
        <f t="shared" si="6"/>
        <v>709.7</v>
      </c>
      <c r="H38" s="434">
        <f t="shared" si="6"/>
        <v>737.42</v>
      </c>
      <c r="I38" s="434">
        <f t="shared" si="6"/>
        <v>766</v>
      </c>
      <c r="J38" s="434">
        <f t="shared" si="6"/>
        <v>809.94</v>
      </c>
      <c r="K38" s="434">
        <f t="shared" si="6"/>
        <v>885</v>
      </c>
      <c r="L38" s="434">
        <f t="shared" si="6"/>
        <v>958</v>
      </c>
      <c r="M38" s="672"/>
      <c r="N38" s="448">
        <f>(L38/B38-1)*100</f>
        <v>58.872305140961871</v>
      </c>
      <c r="AC38" s="971"/>
      <c r="AD38" s="971"/>
      <c r="AE38" s="971"/>
      <c r="AF38" s="971"/>
      <c r="AG38" s="971"/>
      <c r="AH38" s="971"/>
      <c r="AI38" s="971"/>
      <c r="AJ38" s="971"/>
      <c r="AK38" s="971"/>
      <c r="AL38" s="971"/>
      <c r="AM38" s="971"/>
      <c r="AN38" s="971"/>
      <c r="AO38" s="971"/>
      <c r="AP38" s="971"/>
    </row>
    <row r="39" spans="1:42">
      <c r="A39" s="672" t="s">
        <v>853</v>
      </c>
      <c r="B39" s="434">
        <f>+IF($A$30=1,R10,B10)</f>
        <v>555.6</v>
      </c>
      <c r="C39" s="434">
        <f t="shared" ref="C39:L39" si="7">+IF($A$30=1,S10,C10)</f>
        <v>557.4</v>
      </c>
      <c r="D39" s="434">
        <f t="shared" si="7"/>
        <v>578</v>
      </c>
      <c r="E39" s="434">
        <f t="shared" si="7"/>
        <v>605</v>
      </c>
      <c r="F39" s="434">
        <f t="shared" si="7"/>
        <v>632.79999999999995</v>
      </c>
      <c r="G39" s="434">
        <f t="shared" si="7"/>
        <v>655.20000000000005</v>
      </c>
      <c r="H39" s="434">
        <f t="shared" si="7"/>
        <v>695</v>
      </c>
      <c r="I39" s="434">
        <f t="shared" si="7"/>
        <v>728</v>
      </c>
      <c r="J39" s="434">
        <f t="shared" si="7"/>
        <v>775</v>
      </c>
      <c r="K39" s="434">
        <f t="shared" si="7"/>
        <v>839.6</v>
      </c>
      <c r="L39" s="434">
        <f t="shared" si="7"/>
        <v>911</v>
      </c>
      <c r="M39" s="672"/>
      <c r="N39" s="448">
        <f>(L39/B39-1)*100</f>
        <v>63.966882649388033</v>
      </c>
      <c r="AC39" s="971"/>
      <c r="AD39" s="971"/>
      <c r="AE39" s="971"/>
      <c r="AF39" s="971"/>
      <c r="AG39" s="971"/>
      <c r="AH39" s="971"/>
      <c r="AI39" s="971"/>
      <c r="AJ39" s="971"/>
      <c r="AK39" s="971"/>
      <c r="AL39" s="971"/>
      <c r="AM39" s="971"/>
      <c r="AN39" s="971"/>
      <c r="AO39" s="971"/>
      <c r="AP39" s="971"/>
    </row>
    <row r="40" spans="1:42">
      <c r="M40" s="451"/>
      <c r="AC40" s="971"/>
      <c r="AD40" s="971"/>
      <c r="AE40" s="971"/>
      <c r="AF40" s="971"/>
      <c r="AG40" s="971"/>
      <c r="AH40" s="971"/>
      <c r="AI40" s="971"/>
      <c r="AJ40" s="971"/>
      <c r="AK40" s="971"/>
      <c r="AL40" s="971"/>
      <c r="AM40" s="971"/>
      <c r="AN40" s="971"/>
      <c r="AO40" s="971"/>
      <c r="AP40" s="971"/>
    </row>
    <row r="41" spans="1:42" ht="17.25" customHeight="1">
      <c r="A41" s="421" t="s">
        <v>868</v>
      </c>
      <c r="B41" s="448">
        <f>+B35/B39</f>
        <v>3.4782217422606192</v>
      </c>
      <c r="C41" s="448">
        <f t="shared" ref="C41:L41" si="8">+C35/C39</f>
        <v>3.4611230714029424</v>
      </c>
      <c r="D41" s="448">
        <f t="shared" si="8"/>
        <v>3.3474048442906574</v>
      </c>
      <c r="E41" s="448">
        <f t="shared" si="8"/>
        <v>3.2256528925619836</v>
      </c>
      <c r="F41" s="448">
        <f t="shared" si="8"/>
        <v>3.1605562579013911</v>
      </c>
      <c r="G41" s="448">
        <f t="shared" si="8"/>
        <v>3.1461843711843711</v>
      </c>
      <c r="H41" s="448">
        <f t="shared" si="8"/>
        <v>3.0551079136690649</v>
      </c>
      <c r="I41" s="448">
        <f t="shared" si="8"/>
        <v>2.9967994505494508</v>
      </c>
      <c r="J41" s="448">
        <f t="shared" si="8"/>
        <v>2.9756</v>
      </c>
      <c r="K41" s="448">
        <f t="shared" si="8"/>
        <v>2.9302525011910432</v>
      </c>
      <c r="L41" s="448">
        <f t="shared" si="8"/>
        <v>2.9023710208562021</v>
      </c>
      <c r="M41" s="973"/>
      <c r="AC41" s="971"/>
      <c r="AD41" s="971"/>
      <c r="AE41" s="971"/>
      <c r="AF41" s="971"/>
      <c r="AG41" s="971"/>
      <c r="AH41" s="971"/>
      <c r="AI41" s="971"/>
      <c r="AJ41" s="971"/>
      <c r="AK41" s="971"/>
      <c r="AL41" s="971"/>
      <c r="AM41" s="971"/>
      <c r="AN41" s="971"/>
      <c r="AO41" s="971"/>
      <c r="AP41" s="971"/>
    </row>
    <row r="42" spans="1:42" ht="18.75" customHeight="1">
      <c r="A42" s="421" t="s">
        <v>869</v>
      </c>
      <c r="B42" s="448">
        <f>+B36/B38</f>
        <v>2.2384079601990048</v>
      </c>
      <c r="C42" s="448">
        <f t="shared" ref="C42:L42" si="9">+C36/C38</f>
        <v>2.25052512252859</v>
      </c>
      <c r="D42" s="448">
        <f t="shared" si="9"/>
        <v>2.1853385526188087</v>
      </c>
      <c r="E42" s="448">
        <f t="shared" si="9"/>
        <v>2.1097059365215789</v>
      </c>
      <c r="F42" s="448">
        <f t="shared" si="9"/>
        <v>2.0795189557820635</v>
      </c>
      <c r="G42" s="448">
        <f t="shared" si="9"/>
        <v>2.0736508383824153</v>
      </c>
      <c r="H42" s="448">
        <f t="shared" si="9"/>
        <v>2.0585148219467877</v>
      </c>
      <c r="I42" s="448">
        <f t="shared" si="9"/>
        <v>2.0489556135770237</v>
      </c>
      <c r="J42" s="448">
        <f t="shared" si="9"/>
        <v>2.039694298343087</v>
      </c>
      <c r="K42" s="448">
        <f t="shared" si="9"/>
        <v>1.9931751412429379</v>
      </c>
      <c r="L42" s="448">
        <f t="shared" si="9"/>
        <v>1.9764405010438415</v>
      </c>
      <c r="M42" s="973"/>
      <c r="AC42" s="971"/>
      <c r="AD42" s="971"/>
      <c r="AE42" s="971"/>
      <c r="AF42" s="971"/>
      <c r="AG42" s="971"/>
      <c r="AH42" s="971"/>
      <c r="AI42" s="971"/>
      <c r="AJ42" s="971"/>
      <c r="AK42" s="971"/>
      <c r="AL42" s="971"/>
      <c r="AM42" s="971"/>
      <c r="AN42" s="971"/>
      <c r="AO42" s="971"/>
      <c r="AP42" s="971"/>
    </row>
    <row r="43" spans="1:42">
      <c r="B43" s="434"/>
      <c r="C43" s="434"/>
      <c r="D43" s="434"/>
      <c r="E43" s="434"/>
      <c r="F43" s="434"/>
      <c r="G43" s="434"/>
      <c r="H43" s="434"/>
      <c r="I43" s="434"/>
      <c r="J43" s="434"/>
      <c r="K43" s="434"/>
      <c r="L43" s="434"/>
      <c r="AC43" s="971"/>
      <c r="AD43" s="971"/>
      <c r="AE43" s="971"/>
      <c r="AF43" s="971"/>
      <c r="AG43" s="971"/>
      <c r="AH43" s="971"/>
      <c r="AI43" s="971"/>
      <c r="AJ43" s="971"/>
      <c r="AK43" s="971"/>
      <c r="AL43" s="971"/>
      <c r="AM43" s="971"/>
      <c r="AN43" s="971"/>
      <c r="AO43" s="971"/>
      <c r="AP43" s="971"/>
    </row>
    <row r="44" spans="1:42" ht="15">
      <c r="A44" s="976" t="s">
        <v>847</v>
      </c>
      <c r="B44" s="977"/>
      <c r="C44" s="977"/>
      <c r="D44" s="977"/>
      <c r="E44" s="977"/>
      <c r="F44" s="977"/>
      <c r="G44" s="977"/>
      <c r="H44" s="977"/>
      <c r="I44" s="977"/>
      <c r="J44" s="977"/>
      <c r="K44" s="977"/>
      <c r="L44" s="977"/>
      <c r="M44" s="977"/>
      <c r="N44" s="977"/>
      <c r="AC44" s="971"/>
      <c r="AD44" s="971"/>
      <c r="AE44" s="971"/>
      <c r="AF44" s="971"/>
      <c r="AG44" s="971"/>
      <c r="AH44" s="971"/>
      <c r="AI44" s="971"/>
      <c r="AJ44" s="971"/>
      <c r="AK44" s="971"/>
      <c r="AL44" s="971"/>
      <c r="AM44" s="971"/>
      <c r="AN44" s="971"/>
      <c r="AO44" s="971"/>
      <c r="AP44" s="971"/>
    </row>
    <row r="45" spans="1:42" ht="15">
      <c r="A45" s="977" t="s">
        <v>848</v>
      </c>
      <c r="B45" s="977"/>
      <c r="C45" s="977"/>
      <c r="D45" s="977"/>
      <c r="E45" s="977"/>
      <c r="F45" s="977"/>
      <c r="G45" s="977"/>
      <c r="H45" s="977"/>
      <c r="I45" s="977"/>
      <c r="J45" s="977"/>
      <c r="K45" s="977"/>
      <c r="L45" s="977"/>
      <c r="M45" s="977"/>
      <c r="N45" s="977"/>
      <c r="AC45" s="971"/>
      <c r="AD45" s="971"/>
      <c r="AE45" s="971"/>
      <c r="AF45" s="971"/>
      <c r="AG45" s="971"/>
      <c r="AH45" s="971"/>
      <c r="AI45" s="971"/>
      <c r="AJ45" s="971"/>
      <c r="AK45" s="971"/>
      <c r="AL45" s="971"/>
      <c r="AM45" s="971"/>
      <c r="AN45" s="971"/>
      <c r="AO45" s="971"/>
      <c r="AP45" s="971"/>
    </row>
    <row r="46" spans="1:42" ht="15">
      <c r="A46" s="977" t="s">
        <v>849</v>
      </c>
      <c r="B46" s="977"/>
      <c r="C46" s="977"/>
      <c r="D46" s="977"/>
      <c r="E46" s="977"/>
      <c r="F46" s="977"/>
      <c r="G46" s="977"/>
      <c r="H46" s="977"/>
      <c r="I46" s="977"/>
      <c r="J46" s="977"/>
      <c r="K46" s="977"/>
      <c r="L46" s="977"/>
      <c r="M46" s="977"/>
      <c r="N46" s="977"/>
      <c r="AC46" s="971"/>
      <c r="AD46" s="971"/>
      <c r="AE46" s="971"/>
      <c r="AF46" s="971"/>
      <c r="AG46" s="971"/>
      <c r="AH46" s="971"/>
      <c r="AI46" s="971"/>
      <c r="AJ46" s="971"/>
      <c r="AK46" s="971"/>
      <c r="AL46" s="971"/>
      <c r="AM46" s="971"/>
      <c r="AN46" s="971"/>
      <c r="AO46" s="971"/>
      <c r="AP46" s="971"/>
    </row>
    <row r="47" spans="1:42">
      <c r="A47" s="421" t="s">
        <v>873</v>
      </c>
      <c r="B47" s="434"/>
      <c r="C47" s="434"/>
      <c r="D47" s="434"/>
      <c r="E47" s="434"/>
      <c r="F47" s="434"/>
      <c r="G47" s="434"/>
      <c r="H47" s="434"/>
      <c r="I47" s="434"/>
      <c r="J47" s="434"/>
      <c r="K47" s="434"/>
      <c r="L47" s="434"/>
      <c r="AC47" s="971"/>
      <c r="AD47" s="971"/>
      <c r="AE47" s="971"/>
      <c r="AF47" s="971"/>
      <c r="AG47" s="971"/>
      <c r="AH47" s="971"/>
      <c r="AI47" s="971"/>
      <c r="AJ47" s="971"/>
      <c r="AK47" s="971"/>
      <c r="AL47" s="971"/>
      <c r="AM47" s="971"/>
      <c r="AN47" s="971"/>
      <c r="AO47" s="971"/>
      <c r="AP47" s="971"/>
    </row>
    <row r="48" spans="1:42">
      <c r="A48" s="421" t="s">
        <v>874</v>
      </c>
      <c r="B48" s="426"/>
      <c r="C48" s="426"/>
      <c r="D48" s="551" t="s">
        <v>392</v>
      </c>
      <c r="E48" s="426"/>
      <c r="F48" s="426"/>
      <c r="G48" s="426"/>
      <c r="H48" s="426"/>
      <c r="I48" s="426"/>
      <c r="J48" s="426"/>
      <c r="K48" s="426"/>
      <c r="L48" s="426"/>
      <c r="AC48" s="971"/>
      <c r="AD48" s="971"/>
      <c r="AE48" s="971"/>
      <c r="AF48" s="971"/>
      <c r="AG48" s="971"/>
      <c r="AH48" s="971"/>
      <c r="AI48" s="971"/>
      <c r="AJ48" s="971"/>
      <c r="AK48" s="971"/>
      <c r="AL48" s="971"/>
      <c r="AM48" s="971"/>
      <c r="AN48" s="971"/>
      <c r="AO48" s="971"/>
      <c r="AP48" s="971"/>
    </row>
    <row r="49" spans="1:46">
      <c r="A49" s="422"/>
      <c r="B49" s="426"/>
      <c r="D49" s="434" t="s">
        <v>875</v>
      </c>
      <c r="E49" s="426"/>
      <c r="F49" s="426"/>
      <c r="G49" s="426"/>
      <c r="H49" s="426"/>
      <c r="I49" s="426"/>
      <c r="J49" s="426"/>
      <c r="K49" s="426"/>
      <c r="L49" s="426"/>
      <c r="M49" s="426"/>
      <c r="AC49" s="971"/>
      <c r="AD49" s="971"/>
      <c r="AE49" s="971"/>
      <c r="AF49" s="971"/>
      <c r="AG49" s="971"/>
      <c r="AH49" s="971"/>
      <c r="AI49" s="971"/>
      <c r="AJ49" s="971"/>
      <c r="AK49" s="971"/>
      <c r="AL49" s="971"/>
      <c r="AM49" s="971"/>
      <c r="AN49" s="971"/>
      <c r="AO49" s="971"/>
      <c r="AP49" s="971"/>
    </row>
    <row r="50" spans="1:46">
      <c r="A50" s="422" t="str">
        <f>+$B$34&amp;" - "&amp;$L$34&amp;": "</f>
        <v xml:space="preserve">2014 - 2024: </v>
      </c>
      <c r="B50" s="426"/>
      <c r="C50" s="434"/>
      <c r="D50" s="434"/>
      <c r="E50" s="426"/>
      <c r="F50" s="426"/>
      <c r="G50" s="426"/>
      <c r="H50" s="426"/>
      <c r="I50" s="426"/>
      <c r="J50" s="426"/>
      <c r="K50" s="426"/>
      <c r="L50" s="426"/>
    </row>
    <row r="51" spans="1:46" ht="12.95" customHeight="1">
      <c r="A51" s="421" t="str">
        <f>+"P50 e P80: Em "&amp;$B$34&amp;", metade dos TCO tinham até "</f>
        <v xml:space="preserve">P50 e P80: Em 2014, metade dos TCO tinham até </v>
      </c>
      <c r="B51" s="434" t="str">
        <f>+TEXT($B$37,"##.###")&amp;" euros"</f>
        <v>787 euros</v>
      </c>
      <c r="C51" s="434"/>
      <c r="D51" s="957" t="str">
        <f>+$A$50&amp;CHAR(10)&amp;$A$51&amp;$B$51&amp;" "&amp;$A$52&amp;" "&amp;$A$54&amp;$B$54&amp;" "&amp;$A$55&amp;$B$55&amp;" e "&amp;$B$56&amp;$A$57</f>
        <v>2014 - 2024: 
P50 e P80: Em 2014, metade dos TCO tinham até 787 euros de remuneração ganho e 80% não recebiam mais do que 1.350 euros. Em 2024, estes valores passaram para 1.191 e 1.893 euros, respetivamente.</v>
      </c>
      <c r="E51" s="957"/>
      <c r="F51" s="957"/>
      <c r="G51" s="957"/>
      <c r="H51" s="957"/>
      <c r="I51" s="957"/>
      <c r="J51" s="957"/>
      <c r="K51" s="957"/>
      <c r="L51" s="957"/>
      <c r="AB51" s="867" t="s">
        <v>863</v>
      </c>
      <c r="AC51" s="971" t="s">
        <v>850</v>
      </c>
      <c r="AD51" s="971"/>
      <c r="AE51" s="971"/>
      <c r="AF51" s="971"/>
      <c r="AG51" s="971"/>
      <c r="AH51" s="971"/>
      <c r="AI51" s="971"/>
      <c r="AJ51" s="971"/>
      <c r="AK51" s="971"/>
      <c r="AL51" s="971"/>
      <c r="AM51" s="971"/>
      <c r="AN51" s="971"/>
      <c r="AO51" s="971"/>
      <c r="AP51" s="971"/>
    </row>
    <row r="52" spans="1:46">
      <c r="A52" s="421" t="str">
        <f>+IF($A$30=1,$A$47,$A$48)</f>
        <v>de remuneração ganho</v>
      </c>
      <c r="D52" s="957"/>
      <c r="E52" s="957"/>
      <c r="F52" s="957"/>
      <c r="G52" s="957"/>
      <c r="H52" s="957"/>
      <c r="I52" s="957"/>
      <c r="J52" s="957"/>
      <c r="K52" s="957"/>
      <c r="L52" s="957"/>
      <c r="AC52" s="971"/>
      <c r="AD52" s="971"/>
      <c r="AE52" s="971"/>
      <c r="AF52" s="971"/>
      <c r="AG52" s="971"/>
      <c r="AH52" s="971"/>
      <c r="AI52" s="971"/>
      <c r="AJ52" s="971"/>
      <c r="AK52" s="971"/>
      <c r="AL52" s="971"/>
      <c r="AM52" s="971"/>
      <c r="AN52" s="971"/>
      <c r="AO52" s="971"/>
      <c r="AP52" s="971"/>
    </row>
    <row r="53" spans="1:46">
      <c r="C53" s="434"/>
      <c r="D53" s="957"/>
      <c r="E53" s="957"/>
      <c r="F53" s="957"/>
      <c r="G53" s="957"/>
      <c r="H53" s="957"/>
      <c r="I53" s="957"/>
      <c r="J53" s="957"/>
      <c r="K53" s="957"/>
      <c r="L53" s="957"/>
      <c r="AC53" s="971"/>
      <c r="AD53" s="971"/>
      <c r="AE53" s="971"/>
      <c r="AF53" s="971"/>
      <c r="AG53" s="971"/>
      <c r="AH53" s="971"/>
      <c r="AI53" s="971"/>
      <c r="AJ53" s="971"/>
      <c r="AK53" s="971"/>
      <c r="AL53" s="971"/>
      <c r="AM53" s="971"/>
      <c r="AN53" s="971"/>
      <c r="AO53" s="971"/>
      <c r="AP53" s="971"/>
    </row>
    <row r="54" spans="1:46">
      <c r="A54" s="421" t="s">
        <v>867</v>
      </c>
      <c r="B54" s="434" t="str">
        <f>+TEXT($B$36,"##.###")&amp;" euros."</f>
        <v>1.350 euros.</v>
      </c>
      <c r="C54" s="434"/>
      <c r="D54" s="957"/>
      <c r="E54" s="957"/>
      <c r="F54" s="957"/>
      <c r="G54" s="957"/>
      <c r="H54" s="957"/>
      <c r="I54" s="957"/>
      <c r="J54" s="957"/>
      <c r="K54" s="957"/>
      <c r="L54" s="957"/>
      <c r="AC54" s="971"/>
      <c r="AD54" s="971"/>
      <c r="AE54" s="971"/>
      <c r="AF54" s="971"/>
      <c r="AG54" s="971"/>
      <c r="AH54" s="971"/>
      <c r="AI54" s="971"/>
      <c r="AJ54" s="971"/>
      <c r="AK54" s="971"/>
      <c r="AL54" s="971"/>
      <c r="AM54" s="971"/>
      <c r="AN54" s="971"/>
      <c r="AO54" s="971"/>
      <c r="AP54" s="971"/>
    </row>
    <row r="55" spans="1:46">
      <c r="A55" s="421" t="str">
        <f>+"Em "&amp;$L$34&amp;", estes valores passaram para "</f>
        <v xml:space="preserve">Em 2024, estes valores passaram para </v>
      </c>
      <c r="B55" s="434" t="str">
        <f>+TEXT($L$37,"##.###")</f>
        <v>1.191</v>
      </c>
      <c r="C55" s="434"/>
      <c r="D55" s="970" t="str">
        <f>+A58&amp;A59&amp;B59&amp;CHAR(10)&amp;B60&amp;C60&amp;B61&amp;C61&amp;"."&amp;CHAR(10)&amp;D60&amp;E60&amp;D61&amp;E61&amp;"."</f>
        <v>Entre 2014 e 2024 observou-se uma redução da desigualdade na remuneração ganho. 
P80/P20: 2,2 → 2,0.
P90/P10: 3,5 → 2,9.</v>
      </c>
      <c r="E55" s="970"/>
      <c r="F55" s="970"/>
      <c r="G55" s="970"/>
      <c r="H55" s="970"/>
      <c r="I55" s="970"/>
      <c r="J55" s="970"/>
      <c r="K55" s="970"/>
      <c r="L55" s="970"/>
      <c r="AC55" s="971"/>
      <c r="AD55" s="971"/>
      <c r="AE55" s="971"/>
      <c r="AF55" s="971"/>
      <c r="AG55" s="971"/>
      <c r="AH55" s="971"/>
      <c r="AI55" s="971"/>
      <c r="AJ55" s="971"/>
      <c r="AK55" s="971"/>
      <c r="AL55" s="971"/>
      <c r="AM55" s="971"/>
      <c r="AN55" s="971"/>
      <c r="AO55" s="971"/>
      <c r="AP55" s="971"/>
    </row>
    <row r="56" spans="1:46">
      <c r="B56" s="434" t="str">
        <f>+TEXT($L$36,"##.###")&amp;" euros"</f>
        <v>1.893 euros</v>
      </c>
      <c r="C56" s="434"/>
      <c r="D56" s="970"/>
      <c r="E56" s="970"/>
      <c r="F56" s="970"/>
      <c r="G56" s="970"/>
      <c r="H56" s="970"/>
      <c r="I56" s="970"/>
      <c r="J56" s="970"/>
      <c r="K56" s="970"/>
      <c r="L56" s="970"/>
      <c r="AC56" s="971"/>
      <c r="AD56" s="971"/>
      <c r="AE56" s="971"/>
      <c r="AF56" s="971"/>
      <c r="AG56" s="971"/>
      <c r="AH56" s="971"/>
      <c r="AI56" s="971"/>
      <c r="AJ56" s="971"/>
      <c r="AK56" s="971"/>
      <c r="AL56" s="971"/>
      <c r="AM56" s="971"/>
      <c r="AN56" s="971"/>
      <c r="AO56" s="971"/>
      <c r="AP56" s="971"/>
    </row>
    <row r="57" spans="1:46">
      <c r="A57" s="421" t="s">
        <v>472</v>
      </c>
      <c r="C57" s="550"/>
      <c r="D57" s="970"/>
      <c r="E57" s="970"/>
      <c r="F57" s="970"/>
      <c r="G57" s="970"/>
      <c r="H57" s="970"/>
      <c r="I57" s="970"/>
      <c r="J57" s="970"/>
      <c r="K57" s="970"/>
      <c r="L57" s="970"/>
      <c r="AC57" s="383"/>
    </row>
    <row r="58" spans="1:46">
      <c r="A58" s="421" t="str">
        <f>+"Entre "&amp;$B$34&amp;" e "&amp;L34&amp;" observou-se uma "</f>
        <v xml:space="preserve">Entre 2014 e 2024 observou-se uma </v>
      </c>
      <c r="C58" s="434"/>
      <c r="D58" s="447"/>
      <c r="E58" s="447"/>
      <c r="F58" s="447"/>
      <c r="G58" s="447"/>
      <c r="H58" s="447"/>
      <c r="I58" s="447"/>
      <c r="J58" s="447"/>
      <c r="K58" s="447"/>
      <c r="L58" s="447"/>
      <c r="Q58" s="435"/>
      <c r="AC58" s="383"/>
    </row>
    <row r="59" spans="1:46">
      <c r="A59" s="442" t="s">
        <v>878</v>
      </c>
      <c r="B59" s="421" t="str">
        <f>+IF($A$30=1,$A$60,$A$61)</f>
        <v xml:space="preserve">remuneração ganho. </v>
      </c>
      <c r="C59" s="434"/>
      <c r="D59" s="447"/>
      <c r="E59" s="447"/>
      <c r="F59" s="447"/>
      <c r="G59" s="447"/>
      <c r="H59" s="447"/>
      <c r="I59" s="447"/>
      <c r="J59" s="447"/>
      <c r="K59" s="447"/>
      <c r="L59" s="447"/>
      <c r="Q59" s="868"/>
      <c r="AC59" s="383"/>
    </row>
    <row r="60" spans="1:46">
      <c r="A60" s="867" t="s">
        <v>879</v>
      </c>
      <c r="B60" s="421" t="s">
        <v>876</v>
      </c>
      <c r="C60" s="434" t="str">
        <f>+TEXT($B$42,"##.###,#")</f>
        <v>2,2</v>
      </c>
      <c r="D60" s="421" t="s">
        <v>877</v>
      </c>
      <c r="E60" s="434" t="str">
        <f>+TEXT($B$41,"##.###,#")</f>
        <v>3,5</v>
      </c>
      <c r="F60" s="447"/>
      <c r="G60" s="447"/>
      <c r="H60" s="447"/>
      <c r="I60" s="447"/>
      <c r="J60" s="447"/>
      <c r="K60" s="447"/>
      <c r="L60" s="447"/>
      <c r="AC60" s="383"/>
    </row>
    <row r="61" spans="1:46">
      <c r="A61" s="421" t="s">
        <v>880</v>
      </c>
      <c r="B61" s="421" t="s">
        <v>881</v>
      </c>
      <c r="C61" s="434" t="str">
        <f>+TEXT($L$42,"##.###,0")</f>
        <v>2,0</v>
      </c>
      <c r="D61" s="421" t="s">
        <v>881</v>
      </c>
      <c r="E61" s="434" t="str">
        <f>+TEXT($L$41,"##.###,0")</f>
        <v>2,9</v>
      </c>
    </row>
    <row r="62" spans="1:46">
      <c r="A62" s="422"/>
      <c r="C62" s="434"/>
    </row>
    <row r="63" spans="1:46">
      <c r="A63" s="422"/>
      <c r="C63" s="434"/>
    </row>
    <row r="64" spans="1:46" ht="12.95" customHeight="1">
      <c r="A64" s="383" t="s">
        <v>870</v>
      </c>
      <c r="C64" s="434"/>
      <c r="AJ64" s="957" t="s">
        <v>864</v>
      </c>
      <c r="AK64" s="957"/>
      <c r="AL64" s="957"/>
      <c r="AM64" s="957"/>
      <c r="AN64" s="957"/>
      <c r="AO64" s="957"/>
      <c r="AP64" s="957"/>
      <c r="AQ64" s="957"/>
      <c r="AR64" s="957"/>
      <c r="AS64" s="957"/>
      <c r="AT64" s="957"/>
    </row>
    <row r="65" spans="1:46">
      <c r="A65" s="383" t="s">
        <v>871</v>
      </c>
      <c r="C65" s="434"/>
      <c r="AJ65" s="957"/>
      <c r="AK65" s="957"/>
      <c r="AL65" s="957"/>
      <c r="AM65" s="957"/>
      <c r="AN65" s="957"/>
      <c r="AO65" s="957"/>
      <c r="AP65" s="957"/>
      <c r="AQ65" s="957"/>
      <c r="AR65" s="957"/>
      <c r="AS65" s="957"/>
      <c r="AT65" s="957"/>
    </row>
    <row r="66" spans="1:46">
      <c r="A66" s="422" t="s">
        <v>859</v>
      </c>
      <c r="B66" s="383" t="s">
        <v>872</v>
      </c>
      <c r="C66" s="434"/>
      <c r="AJ66" s="957"/>
      <c r="AK66" s="957"/>
      <c r="AL66" s="957"/>
      <c r="AM66" s="957"/>
      <c r="AN66" s="957"/>
      <c r="AO66" s="957"/>
      <c r="AP66" s="957"/>
      <c r="AQ66" s="957"/>
      <c r="AR66" s="957"/>
      <c r="AS66" s="957"/>
      <c r="AT66" s="957"/>
    </row>
    <row r="67" spans="1:46">
      <c r="A67" s="442" t="s">
        <v>840</v>
      </c>
      <c r="C67" s="434"/>
      <c r="AJ67" s="957"/>
      <c r="AK67" s="957"/>
      <c r="AL67" s="957"/>
      <c r="AM67" s="957"/>
      <c r="AN67" s="957"/>
      <c r="AO67" s="957"/>
      <c r="AP67" s="957"/>
      <c r="AQ67" s="957"/>
      <c r="AR67" s="957"/>
      <c r="AS67" s="957"/>
      <c r="AT67" s="957"/>
    </row>
    <row r="68" spans="1:46">
      <c r="A68" s="422"/>
      <c r="C68" s="434"/>
      <c r="AJ68" s="957"/>
      <c r="AK68" s="957"/>
      <c r="AL68" s="957"/>
      <c r="AM68" s="957"/>
      <c r="AN68" s="957"/>
      <c r="AO68" s="957"/>
      <c r="AP68" s="957"/>
      <c r="AQ68" s="957"/>
      <c r="AR68" s="957"/>
      <c r="AS68" s="957"/>
      <c r="AT68" s="957"/>
    </row>
    <row r="69" spans="1:46">
      <c r="A69" s="422"/>
      <c r="B69" s="885">
        <f>+B74/B72*100</f>
        <v>64.168540896326505</v>
      </c>
      <c r="C69" s="885">
        <f t="shared" ref="C69:L69" si="10">+C74/C72*100</f>
        <v>63.921623229497612</v>
      </c>
      <c r="D69" s="885">
        <f t="shared" si="10"/>
        <v>66.25</v>
      </c>
      <c r="E69" s="885">
        <f t="shared" si="10"/>
        <v>67.683334345950541</v>
      </c>
      <c r="F69" s="885">
        <f t="shared" si="10"/>
        <v>67.852129153018254</v>
      </c>
      <c r="G69" s="885">
        <f t="shared" si="10"/>
        <v>67.263819912332821</v>
      </c>
      <c r="H69" s="885">
        <f t="shared" si="10"/>
        <v>68.564147968989573</v>
      </c>
      <c r="I69" s="885">
        <f t="shared" si="10"/>
        <v>69.112450633963832</v>
      </c>
      <c r="J69" s="885">
        <f t="shared" si="10"/>
        <v>69.287469287469278</v>
      </c>
      <c r="K69" s="885">
        <f t="shared" si="10"/>
        <v>69.080233054891522</v>
      </c>
      <c r="L69" s="885">
        <f t="shared" si="10"/>
        <v>68.848549982368056</v>
      </c>
      <c r="AJ69" s="957"/>
      <c r="AK69" s="957"/>
      <c r="AL69" s="957"/>
      <c r="AM69" s="957"/>
      <c r="AN69" s="957"/>
      <c r="AO69" s="957"/>
      <c r="AP69" s="957"/>
      <c r="AQ69" s="957"/>
      <c r="AR69" s="957"/>
      <c r="AS69" s="957"/>
      <c r="AT69" s="957"/>
    </row>
    <row r="70" spans="1:46">
      <c r="A70" s="422"/>
      <c r="B70" s="885">
        <f>+B74/B73*100</f>
        <v>96.252811344489771</v>
      </c>
      <c r="C70" s="885">
        <f t="shared" ref="C70:L70" si="11">+C74/C73*100</f>
        <v>95.881828020277567</v>
      </c>
      <c r="D70" s="885">
        <f t="shared" si="11"/>
        <v>99.37562109763185</v>
      </c>
      <c r="E70" s="885">
        <f t="shared" si="11"/>
        <v>101.52561835845653</v>
      </c>
      <c r="F70" s="885">
        <f t="shared" si="11"/>
        <v>101.77759839963501</v>
      </c>
      <c r="G70" s="885">
        <f t="shared" si="11"/>
        <v>100.89629542435301</v>
      </c>
      <c r="H70" s="885">
        <f t="shared" si="11"/>
        <v>102.84566671525516</v>
      </c>
      <c r="I70" s="885">
        <f t="shared" si="11"/>
        <v>103.6681372472602</v>
      </c>
      <c r="J70" s="885">
        <f t="shared" si="11"/>
        <v>103.93171465216045</v>
      </c>
      <c r="K70" s="885">
        <f t="shared" si="11"/>
        <v>103.61987865566842</v>
      </c>
      <c r="L70" s="885">
        <f t="shared" si="11"/>
        <v>103.2732585231924</v>
      </c>
      <c r="AJ70" s="957"/>
      <c r="AK70" s="957"/>
      <c r="AL70" s="957"/>
      <c r="AM70" s="957"/>
      <c r="AN70" s="957"/>
      <c r="AO70" s="957"/>
      <c r="AP70" s="957"/>
      <c r="AQ70" s="957"/>
      <c r="AR70" s="957"/>
      <c r="AS70" s="957"/>
      <c r="AT70" s="957"/>
    </row>
    <row r="71" spans="1:46">
      <c r="A71" s="671"/>
      <c r="B71" s="422">
        <f>+B6</f>
        <v>2014</v>
      </c>
      <c r="C71" s="422">
        <f t="shared" ref="C71:L71" si="12">+C6</f>
        <v>2015</v>
      </c>
      <c r="D71" s="422">
        <f t="shared" si="12"/>
        <v>2016</v>
      </c>
      <c r="E71" s="422">
        <f t="shared" si="12"/>
        <v>2017</v>
      </c>
      <c r="F71" s="422">
        <f t="shared" si="12"/>
        <v>2018</v>
      </c>
      <c r="G71" s="422">
        <f t="shared" si="12"/>
        <v>2019</v>
      </c>
      <c r="H71" s="422">
        <f t="shared" si="12"/>
        <v>2020</v>
      </c>
      <c r="I71" s="422">
        <f t="shared" si="12"/>
        <v>2021</v>
      </c>
      <c r="J71" s="422">
        <f t="shared" si="12"/>
        <v>2022</v>
      </c>
      <c r="K71" s="422">
        <f t="shared" si="12"/>
        <v>2023</v>
      </c>
      <c r="L71" s="547">
        <f t="shared" si="12"/>
        <v>2024</v>
      </c>
      <c r="O71" s="635"/>
      <c r="AJ71" s="957"/>
      <c r="AK71" s="957"/>
      <c r="AL71" s="957"/>
      <c r="AM71" s="957"/>
      <c r="AN71" s="957"/>
      <c r="AO71" s="957"/>
      <c r="AP71" s="957"/>
      <c r="AQ71" s="957"/>
      <c r="AR71" s="957"/>
      <c r="AS71" s="957"/>
      <c r="AT71" s="957"/>
    </row>
    <row r="72" spans="1:46">
      <c r="A72" s="422" t="str">
        <f>+IF($A$30=1,Q8,A8)</f>
        <v>Ganho mensal mediano (euros)</v>
      </c>
      <c r="B72" s="434">
        <f>+IF($A$30=1,R8,B8)</f>
        <v>786.99</v>
      </c>
      <c r="C72" s="434">
        <f t="shared" ref="C72:L72" si="13">+IF($A$30=1,S8,C8)</f>
        <v>790.03</v>
      </c>
      <c r="D72" s="434">
        <f t="shared" si="13"/>
        <v>800</v>
      </c>
      <c r="E72" s="434">
        <f t="shared" si="13"/>
        <v>822.95</v>
      </c>
      <c r="F72" s="434">
        <f t="shared" si="13"/>
        <v>854.8</v>
      </c>
      <c r="G72" s="434">
        <f t="shared" si="13"/>
        <v>892.01</v>
      </c>
      <c r="H72" s="434">
        <f t="shared" si="13"/>
        <v>926.14</v>
      </c>
      <c r="I72" s="434">
        <f t="shared" si="13"/>
        <v>962.2</v>
      </c>
      <c r="J72" s="434">
        <f t="shared" si="13"/>
        <v>1017.5</v>
      </c>
      <c r="K72" s="434">
        <f t="shared" si="13"/>
        <v>1100.17</v>
      </c>
      <c r="L72" s="434">
        <f t="shared" si="13"/>
        <v>1191.02</v>
      </c>
      <c r="M72" s="546" t="str">
        <f>+IF((L72/B72-1)&gt;0,"+"&amp;TEXT((L72/B72-1),"##.###,0%"),TEXT((L72/B72-1),"##.###,0%"))</f>
        <v>+51,3%</v>
      </c>
      <c r="N72" s="434">
        <f>+L72-B72</f>
        <v>404.03</v>
      </c>
      <c r="O72" s="446">
        <f>+(L72/B72-1)*100</f>
        <v>51.338644709589708</v>
      </c>
      <c r="AJ72" s="957"/>
      <c r="AK72" s="957"/>
      <c r="AL72" s="957"/>
      <c r="AM72" s="957"/>
      <c r="AN72" s="957"/>
      <c r="AO72" s="957"/>
      <c r="AP72" s="957"/>
      <c r="AQ72" s="957"/>
      <c r="AR72" s="957"/>
      <c r="AS72" s="957"/>
      <c r="AT72" s="957"/>
    </row>
    <row r="73" spans="1:46">
      <c r="A73" s="422" t="s">
        <v>383</v>
      </c>
      <c r="B73" s="434">
        <f>+IF($A$30=1,R20,B20)</f>
        <v>524.66</v>
      </c>
      <c r="C73" s="434">
        <f t="shared" ref="C73:L73" si="14">+IF($A$30=1,S20,C20)</f>
        <v>526.69000000000005</v>
      </c>
      <c r="D73" s="434">
        <f t="shared" si="14"/>
        <v>533.33000000000004</v>
      </c>
      <c r="E73" s="434">
        <f t="shared" si="14"/>
        <v>548.63</v>
      </c>
      <c r="F73" s="434">
        <f t="shared" si="14"/>
        <v>569.87</v>
      </c>
      <c r="G73" s="434">
        <f t="shared" si="14"/>
        <v>594.66999999999996</v>
      </c>
      <c r="H73" s="434">
        <f t="shared" si="14"/>
        <v>617.42999999999995</v>
      </c>
      <c r="I73" s="434">
        <f t="shared" si="14"/>
        <v>641.47</v>
      </c>
      <c r="J73" s="434">
        <f t="shared" si="14"/>
        <v>678.33</v>
      </c>
      <c r="K73" s="434">
        <f t="shared" si="14"/>
        <v>733.45</v>
      </c>
      <c r="L73" s="434">
        <f t="shared" si="14"/>
        <v>794.01</v>
      </c>
      <c r="M73" s="446">
        <f>+(L73/B73-1)*100</f>
        <v>51.338009377501635</v>
      </c>
      <c r="AJ73" s="957"/>
      <c r="AK73" s="957"/>
      <c r="AL73" s="957"/>
      <c r="AM73" s="957"/>
      <c r="AN73" s="957"/>
      <c r="AO73" s="957"/>
      <c r="AP73" s="957"/>
      <c r="AQ73" s="957"/>
      <c r="AR73" s="957"/>
      <c r="AS73" s="957"/>
      <c r="AT73" s="957"/>
    </row>
    <row r="74" spans="1:46">
      <c r="A74" s="422" t="s">
        <v>856</v>
      </c>
      <c r="B74" s="434">
        <v>505</v>
      </c>
      <c r="C74" s="434">
        <v>505</v>
      </c>
      <c r="D74" s="434">
        <v>530</v>
      </c>
      <c r="E74" s="434">
        <v>557</v>
      </c>
      <c r="F74" s="434">
        <v>580</v>
      </c>
      <c r="G74" s="434">
        <v>600</v>
      </c>
      <c r="H74" s="434">
        <v>635</v>
      </c>
      <c r="I74" s="434">
        <v>665</v>
      </c>
      <c r="J74" s="434">
        <v>705</v>
      </c>
      <c r="K74" s="434">
        <v>760</v>
      </c>
      <c r="L74" s="434">
        <v>820</v>
      </c>
      <c r="M74" s="446">
        <f>+(L74/B74-1)*100</f>
        <v>62.376237623762385</v>
      </c>
      <c r="N74" s="446">
        <f>+(L74/F74-1)*100</f>
        <v>41.37931034482758</v>
      </c>
      <c r="AJ74" s="957"/>
      <c r="AK74" s="957"/>
      <c r="AL74" s="957"/>
      <c r="AM74" s="957"/>
      <c r="AN74" s="957"/>
      <c r="AO74" s="957"/>
      <c r="AP74" s="957"/>
      <c r="AQ74" s="957"/>
      <c r="AR74" s="957"/>
      <c r="AS74" s="957"/>
      <c r="AT74" s="957"/>
    </row>
    <row r="75" spans="1:46">
      <c r="A75" s="422" t="s">
        <v>384</v>
      </c>
      <c r="B75" s="426">
        <f>+IF($A$30=1,R21,B21)</f>
        <v>6.78</v>
      </c>
      <c r="C75" s="426">
        <f t="shared" ref="C75:L77" si="15">+IF($A$30=1,S21,C21)</f>
        <v>6.7</v>
      </c>
      <c r="D75" s="426">
        <f t="shared" si="15"/>
        <v>5.86</v>
      </c>
      <c r="E75" s="426">
        <f t="shared" si="15"/>
        <v>0.19</v>
      </c>
      <c r="F75" s="426">
        <f t="shared" si="15"/>
        <v>0.16</v>
      </c>
      <c r="G75" s="426">
        <f t="shared" si="15"/>
        <v>0.18</v>
      </c>
      <c r="H75" s="426">
        <f t="shared" si="15"/>
        <v>0.14000000000000001</v>
      </c>
      <c r="I75" s="426">
        <f t="shared" si="15"/>
        <v>0.11</v>
      </c>
      <c r="J75" s="426">
        <f t="shared" si="15"/>
        <v>0.11</v>
      </c>
      <c r="K75" s="426">
        <f t="shared" si="15"/>
        <v>0.1</v>
      </c>
      <c r="L75" s="426">
        <f t="shared" si="15"/>
        <v>0.09</v>
      </c>
      <c r="M75" s="434">
        <f>+L74-B74</f>
        <v>315</v>
      </c>
      <c r="AJ75" s="957"/>
      <c r="AK75" s="957"/>
      <c r="AL75" s="957"/>
      <c r="AM75" s="957"/>
      <c r="AN75" s="957"/>
      <c r="AO75" s="957"/>
      <c r="AP75" s="957"/>
      <c r="AQ75" s="957"/>
      <c r="AR75" s="957"/>
      <c r="AS75" s="957"/>
      <c r="AT75" s="957"/>
    </row>
    <row r="76" spans="1:46">
      <c r="A76" s="422" t="s">
        <v>385</v>
      </c>
      <c r="B76" s="426">
        <f t="shared" ref="B76:B77" si="16">+IF($A$30=1,R22,B22)</f>
        <v>5.01</v>
      </c>
      <c r="C76" s="426">
        <f t="shared" si="15"/>
        <v>4.99</v>
      </c>
      <c r="D76" s="426">
        <f t="shared" si="15"/>
        <v>4.38</v>
      </c>
      <c r="E76" s="426">
        <f t="shared" si="15"/>
        <v>0.1</v>
      </c>
      <c r="F76" s="426">
        <f t="shared" si="15"/>
        <v>0.08</v>
      </c>
      <c r="G76" s="426">
        <f t="shared" si="15"/>
        <v>0.09</v>
      </c>
      <c r="H76" s="426">
        <f t="shared" si="15"/>
        <v>7.0000000000000007E-2</v>
      </c>
      <c r="I76" s="426">
        <f t="shared" si="15"/>
        <v>7.0000000000000007E-2</v>
      </c>
      <c r="J76" s="426">
        <f t="shared" si="15"/>
        <v>0.08</v>
      </c>
      <c r="K76" s="426">
        <f t="shared" si="15"/>
        <v>0.08</v>
      </c>
      <c r="L76" s="426">
        <f t="shared" si="15"/>
        <v>7.0000000000000007E-2</v>
      </c>
      <c r="AJ76" s="957"/>
      <c r="AK76" s="957"/>
      <c r="AL76" s="957"/>
      <c r="AM76" s="957"/>
      <c r="AN76" s="957"/>
      <c r="AO76" s="957"/>
      <c r="AP76" s="957"/>
      <c r="AQ76" s="957"/>
      <c r="AR76" s="957"/>
      <c r="AS76" s="957"/>
      <c r="AT76" s="957"/>
    </row>
    <row r="77" spans="1:46">
      <c r="A77" s="422" t="s">
        <v>386</v>
      </c>
      <c r="B77" s="426">
        <f t="shared" si="16"/>
        <v>8.8699999999999992</v>
      </c>
      <c r="C77" s="426">
        <f t="shared" si="15"/>
        <v>8.6999999999999993</v>
      </c>
      <c r="D77" s="426">
        <f t="shared" si="15"/>
        <v>7.59</v>
      </c>
      <c r="E77" s="426">
        <f t="shared" si="15"/>
        <v>0.28999999999999998</v>
      </c>
      <c r="F77" s="426">
        <f t="shared" si="15"/>
        <v>0.24</v>
      </c>
      <c r="G77" s="426">
        <f t="shared" si="15"/>
        <v>0.28000000000000003</v>
      </c>
      <c r="H77" s="426">
        <f t="shared" si="15"/>
        <v>0.21</v>
      </c>
      <c r="I77" s="426">
        <f t="shared" si="15"/>
        <v>0.15</v>
      </c>
      <c r="J77" s="426">
        <f t="shared" si="15"/>
        <v>0.15</v>
      </c>
      <c r="K77" s="426">
        <f t="shared" si="15"/>
        <v>0.13</v>
      </c>
      <c r="L77" s="426">
        <f t="shared" si="15"/>
        <v>0.11</v>
      </c>
      <c r="M77" s="421" t="s">
        <v>888</v>
      </c>
    </row>
    <row r="78" spans="1:46">
      <c r="A78" s="422"/>
      <c r="C78" s="434"/>
      <c r="I78" s="480"/>
      <c r="M78" s="421" t="s">
        <v>882</v>
      </c>
      <c r="N78" s="421" t="s">
        <v>883</v>
      </c>
      <c r="Q78" s="422" t="s">
        <v>483</v>
      </c>
      <c r="R78" s="974" t="s">
        <v>882</v>
      </c>
      <c r="S78" s="974"/>
      <c r="T78" s="975" t="s">
        <v>885</v>
      </c>
      <c r="U78" s="975"/>
    </row>
    <row r="79" spans="1:46">
      <c r="A79" s="422"/>
      <c r="C79" s="448">
        <f>+(C74/B74-1)*100</f>
        <v>0</v>
      </c>
      <c r="D79" s="448">
        <f t="shared" ref="D79:K79" si="17">+(D74/C74-1)*100</f>
        <v>4.9504950495049549</v>
      </c>
      <c r="E79" s="448">
        <f t="shared" si="17"/>
        <v>5.0943396226415194</v>
      </c>
      <c r="F79" s="448">
        <f t="shared" si="17"/>
        <v>4.1292639138240661</v>
      </c>
      <c r="G79" s="448">
        <f t="shared" si="17"/>
        <v>3.4482758620689724</v>
      </c>
      <c r="H79" s="448">
        <f t="shared" si="17"/>
        <v>5.8333333333333348</v>
      </c>
      <c r="I79" s="448">
        <f t="shared" si="17"/>
        <v>4.7244094488188892</v>
      </c>
      <c r="J79" s="448">
        <f t="shared" si="17"/>
        <v>6.0150375939849621</v>
      </c>
      <c r="K79" s="448">
        <f t="shared" si="17"/>
        <v>7.8014184397163122</v>
      </c>
      <c r="L79" s="448">
        <f>+(L74/K74-1)*100</f>
        <v>7.8947368421052655</v>
      </c>
      <c r="M79" s="546" t="str">
        <f>+IF((D74/B74-1)&gt;0,"+"&amp;TEXT((D74/B74-1),"##.###,0%"),TEXT((D74/B74-1),"##.###,0%"))</f>
        <v>+5,0%</v>
      </c>
      <c r="N79" s="546" t="str">
        <f>+IF((L74/D74-1)&gt;0,"+"&amp;TEXT((L74/D74-1),"##.###,0%"),TEXT((L74/D74-1),"##.###,0%"))</f>
        <v>+54,7%</v>
      </c>
      <c r="Q79" s="422" t="s">
        <v>44</v>
      </c>
      <c r="R79" s="549">
        <f>(LARGE($B$75:$D$75,1))</f>
        <v>6.78</v>
      </c>
      <c r="S79" s="549">
        <f>(SMALL($B$75:$D$75,1))</f>
        <v>5.86</v>
      </c>
      <c r="T79" s="549">
        <f>(LARGE($E$75:$L$75,1))</f>
        <v>0.19</v>
      </c>
      <c r="U79" s="549">
        <f>(SMALL($E$75:$L$75,1))</f>
        <v>0.09</v>
      </c>
    </row>
    <row r="80" spans="1:46">
      <c r="A80" s="422"/>
      <c r="C80" s="434"/>
      <c r="I80" s="480"/>
      <c r="M80" s="546" t="str">
        <f>+IF((E74/B74-1)&gt;0,"+"&amp;TEXT((E74/B74-1),"##.###,0%"),TEXT((E74/B74-1),"##.###,0%"))</f>
        <v>+10,3%</v>
      </c>
      <c r="N80" s="546" t="str">
        <f>+IF((L74/E74-1)&gt;0,"+"&amp;TEXT((L74/E74-1),"##.###,0%"),TEXT((L74/E74-1),"##.###,0%"))</f>
        <v>+47,2%</v>
      </c>
      <c r="Q80" s="422" t="s">
        <v>52</v>
      </c>
      <c r="R80" s="549">
        <f>(LARGE($B$76:$D$76,1))</f>
        <v>5.01</v>
      </c>
      <c r="S80" s="549">
        <f>(SMALL($B$76:$D$76,1))</f>
        <v>4.38</v>
      </c>
      <c r="T80" s="549">
        <f>(LARGE($E$76:$L$76,1))</f>
        <v>0.1</v>
      </c>
      <c r="U80" s="549">
        <f>(SMALL($E$76:$L$76,1))</f>
        <v>7.0000000000000007E-2</v>
      </c>
    </row>
    <row r="81" spans="1:21">
      <c r="A81" s="422"/>
      <c r="B81" s="434">
        <f>+B73-B74</f>
        <v>19.659999999999968</v>
      </c>
      <c r="C81" s="434">
        <f t="shared" ref="C81:K81" si="18">+C73-C74</f>
        <v>21.690000000000055</v>
      </c>
      <c r="D81" s="434">
        <f t="shared" si="18"/>
        <v>3.3300000000000409</v>
      </c>
      <c r="E81" s="548">
        <f t="shared" si="18"/>
        <v>-8.3700000000000045</v>
      </c>
      <c r="F81" s="581">
        <f>+F73-F74</f>
        <v>-10.129999999999995</v>
      </c>
      <c r="G81" s="581">
        <f t="shared" si="18"/>
        <v>-5.3300000000000409</v>
      </c>
      <c r="H81" s="581">
        <f t="shared" si="18"/>
        <v>-17.57000000000005</v>
      </c>
      <c r="I81" s="434">
        <f t="shared" si="18"/>
        <v>-23.529999999999973</v>
      </c>
      <c r="J81" s="434">
        <f t="shared" si="18"/>
        <v>-26.669999999999959</v>
      </c>
      <c r="K81" s="434">
        <f t="shared" si="18"/>
        <v>-26.549999999999955</v>
      </c>
      <c r="L81" s="434">
        <f>+L73-L74</f>
        <v>-25.990000000000009</v>
      </c>
      <c r="M81" s="421" t="s">
        <v>884</v>
      </c>
      <c r="N81" s="421" t="s">
        <v>885</v>
      </c>
      <c r="Q81" s="422" t="s">
        <v>53</v>
      </c>
      <c r="R81" s="549">
        <f>(LARGE($B$77:$D$77,1))</f>
        <v>8.8699999999999992</v>
      </c>
      <c r="S81" s="549">
        <f>(SMALL($B$77:$D$77,1))</f>
        <v>7.59</v>
      </c>
      <c r="T81" s="549">
        <f>(LARGE($E$77:$L$77,1))</f>
        <v>0.28999999999999998</v>
      </c>
      <c r="U81" s="549">
        <f>(SMALL($E$77:$L$77,1))</f>
        <v>0.11</v>
      </c>
    </row>
    <row r="82" spans="1:21">
      <c r="A82" s="422" t="s">
        <v>860</v>
      </c>
      <c r="C82" s="434"/>
      <c r="E82" s="442" t="s">
        <v>887</v>
      </c>
      <c r="F82" s="435"/>
      <c r="G82" s="435"/>
      <c r="I82" s="480"/>
    </row>
    <row r="83" spans="1:21">
      <c r="A83" s="865" t="s">
        <v>858</v>
      </c>
      <c r="C83" s="434"/>
      <c r="I83" s="480"/>
      <c r="M83" s="545" t="s">
        <v>482</v>
      </c>
    </row>
    <row r="84" spans="1:21">
      <c r="A84" s="865" t="s">
        <v>857</v>
      </c>
      <c r="C84" s="434"/>
      <c r="I84" s="480"/>
      <c r="Q84" s="422" t="s">
        <v>483</v>
      </c>
      <c r="R84" s="421" t="s">
        <v>886</v>
      </c>
    </row>
    <row r="85" spans="1:21">
      <c r="A85" s="865" t="str">
        <f>+IF(A30=1,A84,A83)</f>
        <v>Ganho mensal mediano, limiar de baixos salários*, remuneração mínima mensal garantida e Incidência de baixos salários</v>
      </c>
      <c r="C85" s="434"/>
      <c r="I85" s="480"/>
      <c r="Q85" s="422" t="s">
        <v>44</v>
      </c>
      <c r="R85" s="549">
        <f>(LARGE($B$75:$L$75,1))</f>
        <v>6.78</v>
      </c>
      <c r="S85" s="549">
        <f>(SMALL($B$75:$L$75,1))</f>
        <v>0.09</v>
      </c>
    </row>
    <row r="86" spans="1:21">
      <c r="A86" s="422"/>
      <c r="C86" s="434"/>
      <c r="I86" s="480"/>
      <c r="Q86" s="422" t="s">
        <v>52</v>
      </c>
      <c r="R86" s="549">
        <f>(LARGE($B$76:$L$76,1))</f>
        <v>5.01</v>
      </c>
      <c r="S86" s="549">
        <f>(SMALL($B$76:$L$76,1))</f>
        <v>7.0000000000000007E-2</v>
      </c>
    </row>
    <row r="87" spans="1:21">
      <c r="A87" s="866" t="s">
        <v>865</v>
      </c>
      <c r="C87" s="434"/>
      <c r="I87" s="480"/>
      <c r="Q87" s="422" t="s">
        <v>53</v>
      </c>
      <c r="R87" s="549">
        <f>(LARGE($B$77:$L$77,1))</f>
        <v>8.8699999999999992</v>
      </c>
      <c r="S87" s="549">
        <f>(SMALL($B$77:$L$77,1))</f>
        <v>0.11</v>
      </c>
    </row>
    <row r="88" spans="1:21">
      <c r="A88" s="866" t="s">
        <v>866</v>
      </c>
      <c r="C88" s="434"/>
      <c r="I88" s="480"/>
    </row>
    <row r="89" spans="1:21">
      <c r="A89" s="866" t="str">
        <f>+IF($A$30=1,A88,A87)</f>
        <v>*Limiar de baixos salários - considerado como sendo 2/3 da mediana do ganho mensal do Continente, neste exercício.</v>
      </c>
      <c r="C89" s="434"/>
      <c r="I89" s="480"/>
    </row>
    <row r="90" spans="1:21">
      <c r="A90" s="422"/>
      <c r="C90" s="434"/>
      <c r="I90" s="480"/>
    </row>
    <row r="91" spans="1:21">
      <c r="A91" s="422"/>
      <c r="C91" s="434"/>
      <c r="I91" s="480"/>
    </row>
    <row r="92" spans="1:21">
      <c r="A92" s="422" t="s">
        <v>933</v>
      </c>
      <c r="C92" s="434"/>
      <c r="I92" s="480"/>
    </row>
    <row r="93" spans="1:21">
      <c r="A93" s="422" t="s">
        <v>427</v>
      </c>
      <c r="C93" s="434"/>
      <c r="I93" s="480"/>
    </row>
    <row r="94" spans="1:21">
      <c r="A94" s="422" t="s">
        <v>927</v>
      </c>
      <c r="B94" s="421">
        <f>+$B$6</f>
        <v>2014</v>
      </c>
      <c r="C94" s="434"/>
      <c r="D94" s="421">
        <f>+$L$6</f>
        <v>2024</v>
      </c>
      <c r="I94" s="480"/>
    </row>
    <row r="95" spans="1:21">
      <c r="A95" s="421" t="s">
        <v>928</v>
      </c>
      <c r="B95" s="434" t="str">
        <f>+TEXT($B$37,"##.###")&amp;" €;"</f>
        <v>787 €;</v>
      </c>
      <c r="C95" s="434"/>
      <c r="D95" s="434" t="str">
        <f>+TEXT($L$37,"##.###")&amp;" €;"</f>
        <v>1.191 €;</v>
      </c>
      <c r="I95" s="480"/>
    </row>
    <row r="96" spans="1:21">
      <c r="A96" s="421" t="s">
        <v>925</v>
      </c>
      <c r="B96" s="446" t="str">
        <f>" = "&amp;$M$72</f>
        <v xml:space="preserve"> = +51,3%</v>
      </c>
      <c r="C96" s="434"/>
      <c r="I96" s="480"/>
    </row>
    <row r="97" spans="1:5">
      <c r="C97" s="434"/>
    </row>
    <row r="98" spans="1:5">
      <c r="B98" s="434"/>
      <c r="C98" s="434"/>
      <c r="D98" s="434"/>
    </row>
    <row r="99" spans="1:5">
      <c r="C99" s="434"/>
    </row>
    <row r="100" spans="1:5">
      <c r="A100" s="422" t="s">
        <v>889</v>
      </c>
      <c r="C100" s="434"/>
    </row>
    <row r="101" spans="1:5">
      <c r="A101" s="422" t="str">
        <f>+$R$78&amp;" →"</f>
        <v>2014 - 2016 →</v>
      </c>
      <c r="C101" s="434"/>
    </row>
    <row r="102" spans="1:5" ht="27.6" customHeight="1">
      <c r="A102" s="421" t="s">
        <v>934</v>
      </c>
      <c r="B102" s="421" t="str">
        <f>+TEXT(R79,"##.##0,#0")&amp;"%"</f>
        <v>6,78%</v>
      </c>
      <c r="C102" s="434" t="s">
        <v>443</v>
      </c>
      <c r="D102" s="421" t="str">
        <f>+TEXT(S79,"##.##0,00")&amp;"%"</f>
        <v>5,86%</v>
      </c>
      <c r="E102" s="421" t="s">
        <v>937</v>
      </c>
    </row>
    <row r="103" spans="1:5">
      <c r="A103" s="421" t="s">
        <v>931</v>
      </c>
      <c r="B103" s="421" t="str">
        <f>+TEXT(R80,"##.##0,#0")&amp;"%"</f>
        <v>5,01%</v>
      </c>
      <c r="C103" s="434" t="s">
        <v>443</v>
      </c>
      <c r="D103" s="421" t="str">
        <f>+TEXT(S80,"##.##0,00")&amp;"%"</f>
        <v>4,38%</v>
      </c>
      <c r="E103" s="421" t="s">
        <v>929</v>
      </c>
    </row>
    <row r="104" spans="1:5">
      <c r="A104" s="421" t="s">
        <v>932</v>
      </c>
      <c r="B104" s="421" t="str">
        <f>+TEXT(R81,"##.##0,#0")&amp;"%"</f>
        <v>8,87%</v>
      </c>
      <c r="C104" s="434" t="s">
        <v>443</v>
      </c>
      <c r="D104" s="421" t="str">
        <f>+TEXT(S81,"##.##0,00")&amp;"%"</f>
        <v>7,59%</v>
      </c>
      <c r="E104" s="421" t="s">
        <v>930</v>
      </c>
    </row>
    <row r="105" spans="1:5">
      <c r="A105" s="422"/>
      <c r="C105" s="434" t="s">
        <v>441</v>
      </c>
      <c r="D105" s="421" t="s">
        <v>890</v>
      </c>
    </row>
    <row r="106" spans="1:5">
      <c r="A106" s="422" t="str">
        <f>+$T$78&amp;" →"</f>
        <v>2017 - 2024 →</v>
      </c>
      <c r="C106" s="434"/>
    </row>
    <row r="107" spans="1:5">
      <c r="A107" s="421" t="s">
        <v>934</v>
      </c>
      <c r="B107" s="421" t="str">
        <f>+TEXT(T79,"##.##0,#0")&amp;"%"</f>
        <v>0,19%</v>
      </c>
      <c r="C107" s="434" t="s">
        <v>443</v>
      </c>
      <c r="D107" s="421" t="str">
        <f>+TEXT(U79,"##.##0,00")&amp;"%"</f>
        <v>0,09%</v>
      </c>
      <c r="E107" s="421" t="s">
        <v>935</v>
      </c>
    </row>
    <row r="108" spans="1:5">
      <c r="A108" s="421" t="s">
        <v>931</v>
      </c>
      <c r="B108" s="421" t="str">
        <f>+TEXT(T80,"##.##0,#0")&amp;"%"</f>
        <v>0,10%</v>
      </c>
      <c r="C108" s="434" t="s">
        <v>443</v>
      </c>
      <c r="D108" s="421" t="str">
        <f>+TEXT(U80,"##.##0,00")&amp;"%"</f>
        <v>0,07%</v>
      </c>
    </row>
    <row r="109" spans="1:5">
      <c r="A109" s="421" t="s">
        <v>932</v>
      </c>
      <c r="B109" s="421" t="str">
        <f>+TEXT(T81,"##.##0,#0")&amp;"%"</f>
        <v>0,29%</v>
      </c>
      <c r="C109" s="434" t="s">
        <v>443</v>
      </c>
      <c r="D109" s="421" t="str">
        <f>+TEXT(U81,"##.##0,00")&amp;"%"</f>
        <v>0,11%</v>
      </c>
    </row>
    <row r="110" spans="1:5">
      <c r="A110" s="422" t="str">
        <f>$E$34&amp;" →"</f>
        <v>2017 →</v>
      </c>
    </row>
    <row r="111" spans="1:5">
      <c r="A111" s="421" t="s">
        <v>936</v>
      </c>
    </row>
    <row r="112" spans="1:5">
      <c r="A112" s="422"/>
      <c r="C112" s="434"/>
    </row>
    <row r="113" spans="1:16">
      <c r="A113" s="422" t="s">
        <v>263</v>
      </c>
      <c r="C113" s="434"/>
    </row>
    <row r="114" spans="1:16" s="869" customFormat="1" ht="21" customHeight="1">
      <c r="A114" s="971" t="str">
        <f>$A$93&amp;$A$94&amp;$B$94&amp;$A$95&amp;$B$95&amp;" "&amp;$D$94&amp;$A$95&amp;$D$95&amp;" "&amp;$A$96&amp;$B$96&amp;"."</f>
        <v>Ganho mediano:Total: 2014 = 787 €; 2024 = 1.191 €; Tx. v. h. = +51,3%.</v>
      </c>
      <c r="B114" s="971"/>
      <c r="C114" s="971"/>
      <c r="D114" s="971"/>
      <c r="E114" s="971"/>
      <c r="G114" s="957" t="str">
        <f>+IF($A$30=1,$A$126,$A$114)</f>
        <v>Ganho mediano:Total: 2014 = 787 €; 2024 = 1.191 €; Tx. v. h. = +51,3%.</v>
      </c>
      <c r="H114" s="957"/>
      <c r="I114" s="957"/>
      <c r="J114" s="957"/>
      <c r="K114" s="957"/>
      <c r="L114" s="957"/>
    </row>
    <row r="115" spans="1:16" s="869" customFormat="1" ht="15.6" customHeight="1">
      <c r="A115" s="971"/>
      <c r="B115" s="971"/>
      <c r="C115" s="971"/>
      <c r="D115" s="971"/>
      <c r="E115" s="971"/>
      <c r="G115" s="957"/>
      <c r="H115" s="957"/>
      <c r="I115" s="957"/>
      <c r="J115" s="957"/>
      <c r="K115" s="957"/>
      <c r="L115" s="957"/>
    </row>
    <row r="116" spans="1:16" s="869" customFormat="1" ht="15.6" customHeight="1">
      <c r="A116" s="971"/>
      <c r="B116" s="971"/>
      <c r="C116" s="971"/>
      <c r="D116" s="971"/>
      <c r="E116" s="971"/>
      <c r="G116" s="957"/>
      <c r="H116" s="957"/>
      <c r="I116" s="957"/>
      <c r="J116" s="957"/>
      <c r="K116" s="957"/>
      <c r="L116" s="957"/>
    </row>
    <row r="117" spans="1:16" s="869" customFormat="1" ht="21.75" customHeight="1">
      <c r="A117" s="971"/>
      <c r="B117" s="971"/>
      <c r="C117" s="971"/>
      <c r="D117" s="971"/>
      <c r="E117" s="971"/>
      <c r="G117" s="957"/>
      <c r="H117" s="957"/>
      <c r="I117" s="957"/>
      <c r="J117" s="957"/>
      <c r="K117" s="957"/>
      <c r="L117" s="957"/>
    </row>
    <row r="118" spans="1:16" s="869" customFormat="1" ht="27.6" customHeight="1">
      <c r="A118" s="971"/>
      <c r="B118" s="971"/>
      <c r="C118" s="971"/>
      <c r="D118" s="971"/>
      <c r="E118" s="971"/>
      <c r="G118" s="957"/>
      <c r="H118" s="957"/>
      <c r="I118" s="957"/>
      <c r="J118" s="957"/>
      <c r="K118" s="957"/>
      <c r="L118" s="957"/>
    </row>
    <row r="119" spans="1:16">
      <c r="A119" s="422"/>
      <c r="C119" s="434"/>
    </row>
    <row r="120" spans="1:16">
      <c r="A120" s="971" t="str">
        <f>+$A$100&amp;CHAR(10)&amp;$A$101&amp;$A$102&amp;$B$102&amp;$C$102&amp;$D$102&amp;$C$105&amp;$A$103&amp;$B$103&amp;$C$103&amp;$D$103&amp;$C$105&amp;$A$104&amp;$B$104&amp;$C$104&amp;$D$104&amp;$D$105&amp;CHAR(10)&amp;$A$106&amp;$A$107&amp;$B$107&amp;$C$107&amp;$D$107&amp;$C$105&amp;$A$108&amp;$B$108&amp;$C$108&amp;$D$108&amp;$C$105&amp;$A$109&amp;$B$109&amp;$C$109&amp;$D$109&amp;$D$105&amp;CHAR(10)&amp;$A$110&amp;$A$111</f>
        <v>Incidência de baixos salários:
2014 - 2016 → T entre 6,78% e 5,86%; H entre 5,01% e 4,38%; M entre 8,87% e 7,59%.
2017 - 2024 → T entre 0,19% e 0,09%; H entre 0,10% e 0,07%; M entre 0,29% e 0,11%.
2017 → RMMG &gt; limiar de baixos salários, pela primeira vez.</v>
      </c>
      <c r="B120" s="971"/>
      <c r="C120" s="971"/>
      <c r="D120" s="971"/>
      <c r="E120" s="971"/>
      <c r="G120" s="957" t="str">
        <f>+IF($A$30=1,$A$132,$A$120)</f>
        <v>Incidência de baixos salários:
2014 - 2016 → T entre 6,78% e 5,86%; H entre 5,01% e 4,38%; M entre 8,87% e 7,59%.
2017 - 2024 → T entre 0,19% e 0,09%; H entre 0,10% e 0,07%; M entre 0,29% e 0,11%.
2017 → RMMG &gt; limiar de baixos salários, pela primeira vez.</v>
      </c>
      <c r="H120" s="957"/>
      <c r="I120" s="957"/>
      <c r="J120" s="957"/>
      <c r="K120" s="957"/>
      <c r="L120" s="957"/>
    </row>
    <row r="121" spans="1:16">
      <c r="A121" s="971"/>
      <c r="B121" s="971"/>
      <c r="C121" s="971"/>
      <c r="D121" s="971"/>
      <c r="E121" s="971"/>
      <c r="G121" s="957"/>
      <c r="H121" s="957"/>
      <c r="I121" s="957"/>
      <c r="J121" s="957"/>
      <c r="K121" s="957"/>
      <c r="L121" s="957"/>
    </row>
    <row r="122" spans="1:16">
      <c r="A122" s="971"/>
      <c r="B122" s="971"/>
      <c r="C122" s="971"/>
      <c r="D122" s="971"/>
      <c r="E122" s="971"/>
      <c r="G122" s="957"/>
      <c r="H122" s="957"/>
      <c r="I122" s="957"/>
      <c r="J122" s="957"/>
      <c r="K122" s="957"/>
      <c r="L122" s="957"/>
    </row>
    <row r="123" spans="1:16" ht="25.5" customHeight="1">
      <c r="A123" s="971"/>
      <c r="B123" s="971"/>
      <c r="C123" s="971"/>
      <c r="D123" s="971"/>
      <c r="E123" s="971"/>
      <c r="G123" s="957"/>
      <c r="H123" s="957"/>
      <c r="I123" s="957"/>
      <c r="J123" s="957"/>
      <c r="K123" s="957"/>
      <c r="L123" s="957"/>
    </row>
    <row r="124" spans="1:16">
      <c r="A124" s="422"/>
      <c r="C124" s="434"/>
      <c r="G124" s="957"/>
      <c r="H124" s="957"/>
      <c r="I124" s="957"/>
      <c r="J124" s="957"/>
      <c r="K124" s="957"/>
      <c r="L124" s="957"/>
    </row>
    <row r="125" spans="1:16">
      <c r="A125" s="422" t="s">
        <v>262</v>
      </c>
      <c r="C125" s="434"/>
    </row>
    <row r="126" spans="1:16" ht="12.95" customHeight="1">
      <c r="A126" s="971" t="str">
        <f>$A$92&amp;$A$94&amp;$B$94&amp;$A$95&amp;$B$95&amp;" "&amp;$D$94&amp;$A$95&amp;$D$95&amp;" "&amp;$A$96&amp;$B$96&amp;"."</f>
        <v>Remuneração base mediana: Total: 2014 = 787 €; 2024 = 1.191 €; Tx. v. h. = +51,3%.</v>
      </c>
      <c r="B126" s="971"/>
      <c r="C126" s="971"/>
      <c r="D126" s="971"/>
      <c r="E126" s="971"/>
      <c r="L126" s="957"/>
      <c r="M126" s="957"/>
      <c r="N126" s="957"/>
      <c r="O126" s="957"/>
      <c r="P126" s="957"/>
    </row>
    <row r="127" spans="1:16">
      <c r="A127" s="971"/>
      <c r="B127" s="971"/>
      <c r="C127" s="971"/>
      <c r="D127" s="971"/>
      <c r="E127" s="971"/>
      <c r="L127" s="957"/>
      <c r="M127" s="957"/>
      <c r="N127" s="957"/>
      <c r="O127" s="957"/>
      <c r="P127" s="957"/>
    </row>
    <row r="128" spans="1:16">
      <c r="A128" s="971"/>
      <c r="B128" s="971"/>
      <c r="C128" s="971"/>
      <c r="D128" s="971"/>
      <c r="E128" s="971"/>
      <c r="L128" s="957"/>
      <c r="M128" s="957"/>
      <c r="N128" s="957"/>
      <c r="O128" s="957"/>
      <c r="P128" s="957"/>
    </row>
    <row r="129" spans="1:17">
      <c r="A129" s="971"/>
      <c r="B129" s="971"/>
      <c r="C129" s="971"/>
      <c r="D129" s="971"/>
      <c r="E129" s="971"/>
      <c r="L129" s="957"/>
      <c r="M129" s="957"/>
      <c r="N129" s="957"/>
      <c r="O129" s="957"/>
      <c r="P129" s="957"/>
    </row>
    <row r="130" spans="1:17" ht="29.45" customHeight="1">
      <c r="A130" s="971"/>
      <c r="B130" s="971"/>
      <c r="C130" s="971"/>
      <c r="D130" s="971"/>
      <c r="E130" s="971"/>
    </row>
    <row r="131" spans="1:17" ht="12.75" customHeight="1">
      <c r="A131" s="422"/>
      <c r="C131" s="434"/>
      <c r="L131" s="971" t="s">
        <v>926</v>
      </c>
      <c r="M131" s="971"/>
      <c r="N131" s="971"/>
      <c r="O131" s="971"/>
      <c r="P131" s="971"/>
    </row>
    <row r="132" spans="1:17" ht="12.75" customHeight="1">
      <c r="A132" s="971" t="str">
        <f>+$A$100&amp;CHAR(10)&amp;$A$101&amp;$E$102&amp;$B$102&amp;$C$102&amp;$D$102&amp;$C$105&amp;$E$103&amp;$B$103&amp;$C$103&amp;$D$103&amp;$C$105&amp;$E$104&amp;$B$104&amp;$C$104&amp;$D$104&amp;$D$105&amp;CHAR(10)&amp;A106&amp;E107&amp;": "&amp;B107&amp;"."</f>
        <v>Incidência de baixos salários:
2014 - 2016 → Total entre 6,78% e 5,86%; Homens entre 5,01% e 4,38%; Mulheres entre 8,87% e 7,59%.
2017 - 2024 → Total, Homens e Mulheres: 0,19%.</v>
      </c>
      <c r="B132" s="971"/>
      <c r="C132" s="971"/>
      <c r="D132" s="971"/>
      <c r="E132" s="971"/>
      <c r="L132" s="971"/>
      <c r="M132" s="971"/>
      <c r="N132" s="971"/>
      <c r="O132" s="971"/>
      <c r="P132" s="971"/>
      <c r="Q132" s="421" t="s">
        <v>923</v>
      </c>
    </row>
    <row r="133" spans="1:17">
      <c r="A133" s="971"/>
      <c r="B133" s="971"/>
      <c r="C133" s="971"/>
      <c r="D133" s="971"/>
      <c r="E133" s="971"/>
      <c r="L133" s="971"/>
      <c r="M133" s="971"/>
      <c r="N133" s="971"/>
      <c r="O133" s="971"/>
      <c r="P133" s="971"/>
    </row>
    <row r="134" spans="1:17">
      <c r="A134" s="971"/>
      <c r="B134" s="971"/>
      <c r="C134" s="971"/>
      <c r="D134" s="971"/>
      <c r="E134" s="971"/>
      <c r="L134" s="971"/>
      <c r="M134" s="971"/>
      <c r="N134" s="971"/>
      <c r="O134" s="971"/>
      <c r="P134" s="971"/>
      <c r="Q134" s="421" t="s">
        <v>922</v>
      </c>
    </row>
    <row r="135" spans="1:17" ht="38.1" customHeight="1">
      <c r="A135" s="971"/>
      <c r="B135" s="971"/>
      <c r="C135" s="971"/>
      <c r="D135" s="971"/>
      <c r="E135" s="971"/>
      <c r="L135" s="971"/>
      <c r="M135" s="971"/>
      <c r="N135" s="971"/>
      <c r="O135" s="971"/>
      <c r="P135" s="971"/>
    </row>
    <row r="136" spans="1:17">
      <c r="A136" s="422"/>
      <c r="C136" s="434"/>
      <c r="L136" s="971"/>
      <c r="M136" s="971"/>
      <c r="N136" s="971"/>
      <c r="O136" s="971"/>
      <c r="P136" s="971"/>
    </row>
    <row r="137" spans="1:17">
      <c r="A137" s="422"/>
      <c r="C137" s="434"/>
      <c r="L137" s="971"/>
      <c r="M137" s="971"/>
      <c r="N137" s="971"/>
      <c r="O137" s="971"/>
      <c r="P137" s="971"/>
    </row>
    <row r="138" spans="1:17">
      <c r="A138" s="422"/>
      <c r="C138" s="434"/>
      <c r="L138" s="971"/>
      <c r="M138" s="971"/>
      <c r="N138" s="971"/>
      <c r="O138" s="971"/>
      <c r="P138" s="971"/>
    </row>
    <row r="139" spans="1:17">
      <c r="A139" s="422"/>
      <c r="C139" s="434"/>
      <c r="L139" s="971"/>
      <c r="M139" s="971"/>
      <c r="N139" s="971"/>
      <c r="O139" s="971"/>
      <c r="P139" s="971"/>
    </row>
    <row r="140" spans="1:17">
      <c r="A140" s="422"/>
      <c r="C140" s="434"/>
      <c r="L140" s="971"/>
      <c r="M140" s="971"/>
      <c r="N140" s="971"/>
      <c r="O140" s="971"/>
      <c r="P140" s="971"/>
    </row>
    <row r="141" spans="1:17">
      <c r="A141" s="422"/>
      <c r="C141" s="434"/>
      <c r="L141" s="971"/>
      <c r="M141" s="971"/>
      <c r="N141" s="971"/>
      <c r="O141" s="971"/>
      <c r="P141" s="971"/>
    </row>
    <row r="142" spans="1:17">
      <c r="A142" s="422"/>
      <c r="C142" s="434"/>
      <c r="L142" s="971"/>
      <c r="M142" s="971"/>
      <c r="N142" s="971"/>
      <c r="O142" s="971"/>
      <c r="P142" s="971"/>
    </row>
    <row r="143" spans="1:17">
      <c r="A143" s="422"/>
      <c r="C143" s="434"/>
    </row>
    <row r="144" spans="1:17">
      <c r="A144" s="422"/>
      <c r="C144" s="434"/>
    </row>
    <row r="145" spans="1:3">
      <c r="A145" s="422"/>
      <c r="C145" s="434"/>
    </row>
    <row r="146" spans="1:3">
      <c r="A146" s="422"/>
      <c r="C146" s="434"/>
    </row>
    <row r="147" spans="1:3">
      <c r="A147" s="422"/>
      <c r="C147" s="434"/>
    </row>
    <row r="148" spans="1:3">
      <c r="A148" s="422"/>
      <c r="C148" s="434"/>
    </row>
    <row r="149" spans="1:3">
      <c r="A149" s="422"/>
      <c r="C149" s="434"/>
    </row>
    <row r="150" spans="1:3">
      <c r="A150" s="422"/>
      <c r="C150" s="434"/>
    </row>
    <row r="151" spans="1:3">
      <c r="A151" s="422"/>
      <c r="C151" s="434"/>
    </row>
    <row r="152" spans="1:3">
      <c r="A152" s="422"/>
      <c r="C152" s="434"/>
    </row>
    <row r="153" spans="1:3">
      <c r="A153" s="422"/>
      <c r="C153" s="434"/>
    </row>
    <row r="154" spans="1:3">
      <c r="A154" s="422"/>
      <c r="C154" s="434"/>
    </row>
    <row r="155" spans="1:3">
      <c r="A155" s="422"/>
      <c r="C155" s="434"/>
    </row>
  </sheetData>
  <mergeCells count="20">
    <mergeCell ref="A120:E123"/>
    <mergeCell ref="A126:E130"/>
    <mergeCell ref="A132:E135"/>
    <mergeCell ref="G114:L118"/>
    <mergeCell ref="G120:L124"/>
    <mergeCell ref="L126:P129"/>
    <mergeCell ref="L131:P142"/>
    <mergeCell ref="AJ64:AT76"/>
    <mergeCell ref="D51:L54"/>
    <mergeCell ref="D55:L57"/>
    <mergeCell ref="A114:E118"/>
    <mergeCell ref="M26:M28"/>
    <mergeCell ref="AC33:AP49"/>
    <mergeCell ref="M41:M42"/>
    <mergeCell ref="R78:S78"/>
    <mergeCell ref="T78:U78"/>
    <mergeCell ref="A44:N44"/>
    <mergeCell ref="A45:N45"/>
    <mergeCell ref="A46:N46"/>
    <mergeCell ref="AC51:AP56"/>
  </mergeCells>
  <conditionalFormatting sqref="Q27:Q28">
    <cfRule type="cellIs" dxfId="2426" priority="3" operator="equal">
      <formula>0</formula>
    </cfRule>
  </conditionalFormatting>
  <conditionalFormatting sqref="A9">
    <cfRule type="cellIs" dxfId="2425" priority="2" operator="equal">
      <formula>0</formula>
    </cfRule>
  </conditionalFormatting>
  <pageMargins left="0.7" right="0.7" top="0.75" bottom="0.75" header="0.3" footer="0.3"/>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509953" r:id="rId4" name="Drop Down 1">
              <controlPr defaultSize="0" autoLine="0" autoPict="0">
                <anchor moveWithCells="1">
                  <from>
                    <xdr:col>0</xdr:col>
                    <xdr:colOff>561975</xdr:colOff>
                    <xdr:row>28</xdr:row>
                    <xdr:rowOff>142875</xdr:rowOff>
                  </from>
                  <to>
                    <xdr:col>0</xdr:col>
                    <xdr:colOff>1362075</xdr:colOff>
                    <xdr:row>29</xdr:row>
                    <xdr:rowOff>152400</xdr:rowOff>
                  </to>
                </anchor>
              </controlPr>
            </control>
          </mc:Choice>
        </mc:AlternateContent>
        <mc:AlternateContent xmlns:mc="http://schemas.openxmlformats.org/markup-compatibility/2006">
          <mc:Choice Requires="x14">
            <control shapeId="509954" r:id="rId5" name="Drop Down 2">
              <controlPr defaultSize="0" autoLine="0" autoPict="0">
                <anchor moveWithCells="1">
                  <from>
                    <xdr:col>15</xdr:col>
                    <xdr:colOff>609600</xdr:colOff>
                    <xdr:row>28</xdr:row>
                    <xdr:rowOff>95250</xdr:rowOff>
                  </from>
                  <to>
                    <xdr:col>17</xdr:col>
                    <xdr:colOff>133350</xdr:colOff>
                    <xdr:row>29</xdr:row>
                    <xdr:rowOff>104775</xdr:rowOff>
                  </to>
                </anchor>
              </controlPr>
            </control>
          </mc:Choice>
        </mc:AlternateContent>
        <mc:AlternateContent xmlns:mc="http://schemas.openxmlformats.org/markup-compatibility/2006">
          <mc:Choice Requires="x14">
            <control shapeId="509955" r:id="rId6" name="Drop Down 3">
              <controlPr defaultSize="0" autoLine="0" autoPict="0">
                <anchor moveWithCells="1">
                  <from>
                    <xdr:col>0</xdr:col>
                    <xdr:colOff>542925</xdr:colOff>
                    <xdr:row>68</xdr:row>
                    <xdr:rowOff>28575</xdr:rowOff>
                  </from>
                  <to>
                    <xdr:col>0</xdr:col>
                    <xdr:colOff>1352550</xdr:colOff>
                    <xdr:row>69</xdr:row>
                    <xdr:rowOff>28575</xdr:rowOff>
                  </to>
                </anchor>
              </controlPr>
            </control>
          </mc:Choice>
        </mc:AlternateContent>
        <mc:AlternateContent xmlns:mc="http://schemas.openxmlformats.org/markup-compatibility/2006">
          <mc:Choice Requires="x14">
            <control shapeId="509956" r:id="rId7" name="Drop Down 4">
              <controlPr defaultSize="0" autoLine="0" autoPict="0">
                <anchor moveWithCells="1">
                  <from>
                    <xdr:col>8</xdr:col>
                    <xdr:colOff>180975</xdr:colOff>
                    <xdr:row>91</xdr:row>
                    <xdr:rowOff>66675</xdr:rowOff>
                  </from>
                  <to>
                    <xdr:col>9</xdr:col>
                    <xdr:colOff>352425</xdr:colOff>
                    <xdr:row>92</xdr:row>
                    <xdr:rowOff>76200</xdr:rowOff>
                  </to>
                </anchor>
              </controlPr>
            </control>
          </mc:Choice>
        </mc:AlternateContent>
        <mc:AlternateContent xmlns:mc="http://schemas.openxmlformats.org/markup-compatibility/2006">
          <mc:Choice Requires="x14">
            <control shapeId="509957" r:id="rId8" name="Drop Down 5">
              <controlPr defaultSize="0" autoLine="0" autoPict="0">
                <anchor moveWithCells="1">
                  <from>
                    <xdr:col>6</xdr:col>
                    <xdr:colOff>581025</xdr:colOff>
                    <xdr:row>109</xdr:row>
                    <xdr:rowOff>123825</xdr:rowOff>
                  </from>
                  <to>
                    <xdr:col>8</xdr:col>
                    <xdr:colOff>85725</xdr:colOff>
                    <xdr:row>110</xdr:row>
                    <xdr:rowOff>133350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31">
    <tabColor indexed="24"/>
    <pageSetUpPr fitToPage="1"/>
  </sheetPr>
  <dimension ref="A1:U51"/>
  <sheetViews>
    <sheetView showGridLines="0" zoomScaleNormal="100" workbookViewId="0">
      <selection activeCell="Y70" sqref="Y70"/>
    </sheetView>
  </sheetViews>
  <sheetFormatPr defaultColWidth="9.140625" defaultRowHeight="11.25"/>
  <cols>
    <col min="1" max="1" width="2" style="115" customWidth="1"/>
    <col min="2" max="2" width="28.5703125" style="115" customWidth="1"/>
    <col min="3" max="13" width="6.7109375" style="115" customWidth="1"/>
    <col min="14" max="15" width="6.7109375" style="2" customWidth="1"/>
    <col min="16" max="16384" width="9.140625" style="115"/>
  </cols>
  <sheetData>
    <row r="1" spans="1:21" s="126" customFormat="1" ht="28.5" customHeight="1">
      <c r="A1" s="978" t="s">
        <v>777</v>
      </c>
      <c r="B1" s="978"/>
      <c r="C1" s="978"/>
      <c r="D1" s="978"/>
      <c r="E1" s="978"/>
      <c r="F1" s="978"/>
      <c r="G1" s="978"/>
      <c r="H1" s="978"/>
      <c r="I1" s="978"/>
      <c r="J1" s="978"/>
      <c r="K1" s="978"/>
      <c r="L1" s="978"/>
      <c r="M1" s="978"/>
      <c r="N1" s="636"/>
      <c r="O1" s="636"/>
    </row>
    <row r="2" spans="1:21" ht="15.75" customHeight="1">
      <c r="A2" s="3"/>
      <c r="B2" s="3"/>
      <c r="C2" s="140"/>
      <c r="D2" s="140"/>
      <c r="E2" s="140"/>
      <c r="F2" s="140"/>
      <c r="G2" s="140"/>
      <c r="H2" s="140"/>
      <c r="I2" s="140"/>
      <c r="J2" s="140"/>
      <c r="K2" s="140"/>
      <c r="L2" s="140"/>
      <c r="M2" s="140"/>
      <c r="N2" s="140"/>
      <c r="O2" s="140"/>
    </row>
    <row r="3" spans="1:21" ht="15" customHeight="1">
      <c r="A3" s="28" t="s">
        <v>41</v>
      </c>
      <c r="B3" s="19"/>
      <c r="C3" s="140"/>
      <c r="D3" s="140"/>
      <c r="E3" s="140"/>
      <c r="F3" s="140"/>
      <c r="G3" s="140"/>
      <c r="H3" s="140"/>
      <c r="I3" s="140"/>
      <c r="J3" s="140"/>
      <c r="K3" s="140"/>
      <c r="L3" s="140"/>
      <c r="M3" s="140"/>
      <c r="N3" s="140"/>
      <c r="O3" s="140"/>
    </row>
    <row r="4" spans="1:21" ht="28.5" customHeight="1" thickBot="1">
      <c r="A4" s="104" t="s">
        <v>1</v>
      </c>
      <c r="B4" s="30"/>
      <c r="C4" s="4">
        <v>2014</v>
      </c>
      <c r="D4" s="168">
        <v>2015</v>
      </c>
      <c r="E4" s="4">
        <v>2016</v>
      </c>
      <c r="F4" s="168">
        <v>2017</v>
      </c>
      <c r="G4" s="4">
        <v>2018</v>
      </c>
      <c r="H4" s="168">
        <v>2019</v>
      </c>
      <c r="I4" s="4">
        <v>2020</v>
      </c>
      <c r="J4" s="168">
        <v>2021</v>
      </c>
      <c r="K4" s="4">
        <v>2022</v>
      </c>
      <c r="L4" s="168">
        <v>2023</v>
      </c>
      <c r="M4" s="4">
        <v>2024</v>
      </c>
      <c r="N4" s="637">
        <f>+C4</f>
        <v>2014</v>
      </c>
      <c r="O4" s="638">
        <f>+M4</f>
        <v>2024</v>
      </c>
      <c r="Q4" s="395">
        <f>+N4</f>
        <v>2014</v>
      </c>
      <c r="R4" s="395">
        <f>+O4</f>
        <v>2024</v>
      </c>
      <c r="T4" s="395" t="str">
        <f>+M4&amp;" - "&amp;L4</f>
        <v>2024 - 2023</v>
      </c>
      <c r="U4" s="668" t="s">
        <v>285</v>
      </c>
    </row>
    <row r="5" spans="1:21" s="127" customFormat="1" ht="16.5" customHeight="1" thickTop="1">
      <c r="A5" s="32" t="s">
        <v>42</v>
      </c>
      <c r="B5" s="201"/>
      <c r="C5" s="321">
        <v>270181</v>
      </c>
      <c r="D5" s="321">
        <v>273060</v>
      </c>
      <c r="E5" s="321">
        <v>276332</v>
      </c>
      <c r="F5" s="321">
        <v>279191</v>
      </c>
      <c r="G5" s="321">
        <v>282236</v>
      </c>
      <c r="H5" s="321">
        <v>275751</v>
      </c>
      <c r="I5" s="321">
        <v>277641</v>
      </c>
      <c r="J5" s="321">
        <v>271806</v>
      </c>
      <c r="K5" s="321">
        <v>284860</v>
      </c>
      <c r="L5" s="321">
        <v>291252</v>
      </c>
      <c r="M5" s="321">
        <v>288763</v>
      </c>
      <c r="N5" s="639">
        <f>+C5*100/C$5</f>
        <v>100</v>
      </c>
      <c r="O5" s="639">
        <f>+M5*100/M$5</f>
        <v>100</v>
      </c>
      <c r="T5" s="667">
        <f>+M5-L5</f>
        <v>-2489</v>
      </c>
      <c r="U5" s="669">
        <f>+T5/M5</f>
        <v>-8.6195253547026451E-3</v>
      </c>
    </row>
    <row r="6" spans="1:21" s="127" customFormat="1" ht="16.5" customHeight="1">
      <c r="A6" s="201" t="s">
        <v>72</v>
      </c>
      <c r="B6" s="307" t="s">
        <v>169</v>
      </c>
      <c r="C6" s="322">
        <v>13063</v>
      </c>
      <c r="D6" s="322">
        <v>13445</v>
      </c>
      <c r="E6" s="322">
        <v>13755</v>
      </c>
      <c r="F6" s="322">
        <v>13847</v>
      </c>
      <c r="G6" s="322">
        <v>13971</v>
      </c>
      <c r="H6" s="322">
        <v>13547</v>
      </c>
      <c r="I6" s="322">
        <v>13691</v>
      </c>
      <c r="J6" s="322">
        <v>13199</v>
      </c>
      <c r="K6" s="322">
        <v>13618</v>
      </c>
      <c r="L6" s="322">
        <v>13805</v>
      </c>
      <c r="M6" s="322">
        <v>13716</v>
      </c>
      <c r="N6" s="639">
        <f t="shared" ref="N6:N49" si="0">+C6*100/C$5</f>
        <v>4.8349069697721161</v>
      </c>
      <c r="O6" s="639">
        <f t="shared" ref="O6:O50" si="1">+M6*100/M$5</f>
        <v>4.7499160210968858</v>
      </c>
      <c r="Q6" s="127">
        <f>+RANK(N6,$N$6:$N$49,0)</f>
        <v>8</v>
      </c>
      <c r="R6" s="127">
        <f>+RANK(O6,$O$6:$O$49,0)</f>
        <v>7</v>
      </c>
    </row>
    <row r="7" spans="1:21" s="127" customFormat="1" ht="12.75" customHeight="1">
      <c r="A7" s="201" t="s">
        <v>73</v>
      </c>
      <c r="B7" s="307" t="s">
        <v>101</v>
      </c>
      <c r="C7" s="322">
        <v>564</v>
      </c>
      <c r="D7" s="322">
        <v>558</v>
      </c>
      <c r="E7" s="322">
        <v>536</v>
      </c>
      <c r="F7" s="322">
        <v>542</v>
      </c>
      <c r="G7" s="322">
        <v>526</v>
      </c>
      <c r="H7" s="322">
        <v>510</v>
      </c>
      <c r="I7" s="322">
        <v>504</v>
      </c>
      <c r="J7" s="322">
        <v>486</v>
      </c>
      <c r="K7" s="322">
        <v>494</v>
      </c>
      <c r="L7" s="322">
        <v>499</v>
      </c>
      <c r="M7" s="322">
        <v>467</v>
      </c>
      <c r="N7" s="639">
        <f t="shared" si="0"/>
        <v>0.2087489497781117</v>
      </c>
      <c r="O7" s="639">
        <f t="shared" si="1"/>
        <v>0.16172432063664666</v>
      </c>
      <c r="Q7" s="127">
        <f t="shared" ref="Q7:Q49" si="2">+RANK(N7,$N$6:$N$49,0)</f>
        <v>32</v>
      </c>
      <c r="R7" s="127">
        <f t="shared" ref="R7:R49" si="3">+RANK(O7,$O$6:$O$49,0)</f>
        <v>33</v>
      </c>
    </row>
    <row r="8" spans="1:21" s="127" customFormat="1" ht="12.75" customHeight="1">
      <c r="A8" s="201" t="s">
        <v>74</v>
      </c>
      <c r="B8" s="307" t="s">
        <v>100</v>
      </c>
      <c r="C8" s="322">
        <v>32895</v>
      </c>
      <c r="D8" s="322">
        <v>32998</v>
      </c>
      <c r="E8" s="322">
        <v>33278</v>
      </c>
      <c r="F8" s="322">
        <v>33315</v>
      </c>
      <c r="G8" s="322">
        <v>33177</v>
      </c>
      <c r="H8" s="322">
        <v>31905</v>
      </c>
      <c r="I8" s="322">
        <v>31715</v>
      </c>
      <c r="J8" s="322">
        <v>30818</v>
      </c>
      <c r="K8" s="322">
        <v>31733</v>
      </c>
      <c r="L8" s="322">
        <v>31551</v>
      </c>
      <c r="M8" s="322">
        <v>30548</v>
      </c>
      <c r="N8" s="640">
        <f t="shared" si="0"/>
        <v>12.175171459132951</v>
      </c>
      <c r="O8" s="643">
        <f t="shared" si="1"/>
        <v>10.578917659118378</v>
      </c>
      <c r="Q8" s="127">
        <f t="shared" si="2"/>
        <v>2</v>
      </c>
      <c r="R8" s="127">
        <f t="shared" si="3"/>
        <v>4</v>
      </c>
    </row>
    <row r="9" spans="1:21" s="127" customFormat="1" ht="12.75" customHeight="1">
      <c r="A9" s="103"/>
      <c r="B9" s="102" t="s">
        <v>87</v>
      </c>
      <c r="C9" s="323">
        <v>5204</v>
      </c>
      <c r="D9" s="323">
        <v>5167</v>
      </c>
      <c r="E9" s="323">
        <v>5144</v>
      </c>
      <c r="F9" s="323">
        <v>5090</v>
      </c>
      <c r="G9" s="323">
        <v>4956</v>
      </c>
      <c r="H9" s="323">
        <v>4813</v>
      </c>
      <c r="I9" s="323">
        <v>4694</v>
      </c>
      <c r="J9" s="323">
        <v>4496</v>
      </c>
      <c r="K9" s="323">
        <v>4541</v>
      </c>
      <c r="L9" s="323">
        <v>4474</v>
      </c>
      <c r="M9" s="323">
        <v>4276</v>
      </c>
      <c r="N9" s="639">
        <f t="shared" si="0"/>
        <v>1.9261161961795981</v>
      </c>
      <c r="O9" s="639">
        <f t="shared" si="1"/>
        <v>1.4807991328528931</v>
      </c>
      <c r="Q9" s="127">
        <f t="shared" si="2"/>
        <v>13</v>
      </c>
      <c r="R9" s="127">
        <f t="shared" si="3"/>
        <v>15</v>
      </c>
    </row>
    <row r="10" spans="1:21" s="127" customFormat="1" ht="12.75" customHeight="1">
      <c r="A10" s="103"/>
      <c r="B10" s="102" t="s">
        <v>88</v>
      </c>
      <c r="C10" s="323">
        <v>575</v>
      </c>
      <c r="D10" s="323">
        <v>590</v>
      </c>
      <c r="E10" s="323">
        <v>617</v>
      </c>
      <c r="F10" s="323">
        <v>628</v>
      </c>
      <c r="G10" s="323">
        <v>644</v>
      </c>
      <c r="H10" s="323">
        <v>659</v>
      </c>
      <c r="I10" s="323">
        <v>663</v>
      </c>
      <c r="J10" s="323">
        <v>651</v>
      </c>
      <c r="K10" s="323">
        <v>684</v>
      </c>
      <c r="L10" s="323">
        <v>701</v>
      </c>
      <c r="M10" s="323">
        <v>709</v>
      </c>
      <c r="N10" s="639">
        <f t="shared" si="0"/>
        <v>0.21282029454328766</v>
      </c>
      <c r="O10" s="639">
        <f t="shared" si="1"/>
        <v>0.24553007137341004</v>
      </c>
      <c r="Q10" s="127">
        <f t="shared" si="2"/>
        <v>31</v>
      </c>
      <c r="R10" s="127">
        <f t="shared" si="3"/>
        <v>29</v>
      </c>
    </row>
    <row r="11" spans="1:21" s="127" customFormat="1" ht="12.75" customHeight="1">
      <c r="A11" s="103"/>
      <c r="B11" s="102" t="s">
        <v>89</v>
      </c>
      <c r="C11" s="323">
        <v>1</v>
      </c>
      <c r="D11" s="323">
        <v>1</v>
      </c>
      <c r="E11" s="323">
        <v>1</v>
      </c>
      <c r="F11" s="323">
        <v>1</v>
      </c>
      <c r="G11" s="323">
        <v>1</v>
      </c>
      <c r="H11" s="323">
        <v>1</v>
      </c>
      <c r="I11" s="323">
        <v>1</v>
      </c>
      <c r="J11" s="323">
        <v>1</v>
      </c>
      <c r="K11" s="323">
        <v>1</v>
      </c>
      <c r="L11" s="323">
        <v>1</v>
      </c>
      <c r="M11" s="323">
        <v>1</v>
      </c>
      <c r="N11" s="639">
        <f t="shared" si="0"/>
        <v>3.7012225137963067E-4</v>
      </c>
      <c r="O11" s="639">
        <f t="shared" si="1"/>
        <v>3.463047551105924E-4</v>
      </c>
      <c r="Q11" s="127">
        <f t="shared" si="2"/>
        <v>44</v>
      </c>
      <c r="R11" s="127">
        <f t="shared" si="3"/>
        <v>44</v>
      </c>
    </row>
    <row r="12" spans="1:21" s="127" customFormat="1" ht="12.75" customHeight="1">
      <c r="A12" s="103"/>
      <c r="B12" s="102" t="s">
        <v>0</v>
      </c>
      <c r="C12" s="323">
        <v>1591</v>
      </c>
      <c r="D12" s="323">
        <v>1628</v>
      </c>
      <c r="E12" s="323">
        <v>1636</v>
      </c>
      <c r="F12" s="323">
        <v>1616</v>
      </c>
      <c r="G12" s="323">
        <v>1615</v>
      </c>
      <c r="H12" s="323">
        <v>1537</v>
      </c>
      <c r="I12" s="323">
        <v>1503</v>
      </c>
      <c r="J12" s="323">
        <v>1481</v>
      </c>
      <c r="K12" s="323">
        <v>1525</v>
      </c>
      <c r="L12" s="323">
        <v>1505</v>
      </c>
      <c r="M12" s="323">
        <v>1449</v>
      </c>
      <c r="N12" s="639">
        <f t="shared" si="0"/>
        <v>0.5888645019449924</v>
      </c>
      <c r="O12" s="639">
        <f t="shared" si="1"/>
        <v>0.50179559015524844</v>
      </c>
      <c r="Q12" s="127">
        <f t="shared" si="2"/>
        <v>23</v>
      </c>
      <c r="R12" s="127">
        <f t="shared" si="3"/>
        <v>23</v>
      </c>
    </row>
    <row r="13" spans="1:21" s="127" customFormat="1" ht="12.75" customHeight="1">
      <c r="A13" s="103"/>
      <c r="B13" s="102" t="s">
        <v>90</v>
      </c>
      <c r="C13" s="323">
        <v>3881</v>
      </c>
      <c r="D13" s="323">
        <v>3923</v>
      </c>
      <c r="E13" s="323">
        <v>4005</v>
      </c>
      <c r="F13" s="323">
        <v>3968</v>
      </c>
      <c r="G13" s="323">
        <v>3830</v>
      </c>
      <c r="H13" s="323">
        <v>3482</v>
      </c>
      <c r="I13" s="323">
        <v>3384</v>
      </c>
      <c r="J13" s="323">
        <v>3263</v>
      </c>
      <c r="K13" s="323">
        <v>3333</v>
      </c>
      <c r="L13" s="323">
        <v>3166</v>
      </c>
      <c r="M13" s="323">
        <v>2932</v>
      </c>
      <c r="N13" s="639">
        <f t="shared" si="0"/>
        <v>1.4364444576043467</v>
      </c>
      <c r="O13" s="639">
        <f t="shared" si="1"/>
        <v>1.0153655419842569</v>
      </c>
      <c r="Q13" s="127">
        <f t="shared" si="2"/>
        <v>15</v>
      </c>
      <c r="R13" s="127">
        <f t="shared" si="3"/>
        <v>18</v>
      </c>
    </row>
    <row r="14" spans="1:21" s="127" customFormat="1" ht="12.75" customHeight="1">
      <c r="A14" s="103"/>
      <c r="B14" s="102" t="s">
        <v>143</v>
      </c>
      <c r="C14" s="323">
        <v>1902</v>
      </c>
      <c r="D14" s="323">
        <v>1952</v>
      </c>
      <c r="E14" s="323">
        <v>1976</v>
      </c>
      <c r="F14" s="323">
        <v>1941</v>
      </c>
      <c r="G14" s="323">
        <v>1894</v>
      </c>
      <c r="H14" s="323">
        <v>1709</v>
      </c>
      <c r="I14" s="323">
        <v>1644</v>
      </c>
      <c r="J14" s="323">
        <v>1573</v>
      </c>
      <c r="K14" s="323">
        <v>1632</v>
      </c>
      <c r="L14" s="323">
        <v>1506</v>
      </c>
      <c r="M14" s="323">
        <v>1359</v>
      </c>
      <c r="N14" s="639">
        <f t="shared" si="0"/>
        <v>0.70397252212405759</v>
      </c>
      <c r="O14" s="639">
        <f t="shared" si="1"/>
        <v>0.47062816219529513</v>
      </c>
      <c r="Q14" s="127">
        <f t="shared" si="2"/>
        <v>22</v>
      </c>
      <c r="R14" s="127">
        <f t="shared" si="3"/>
        <v>24</v>
      </c>
    </row>
    <row r="15" spans="1:21" s="127" customFormat="1" ht="12.75" customHeight="1">
      <c r="A15" s="103"/>
      <c r="B15" s="102" t="s">
        <v>144</v>
      </c>
      <c r="C15" s="323">
        <v>2197</v>
      </c>
      <c r="D15" s="323">
        <v>2163</v>
      </c>
      <c r="E15" s="323">
        <v>2161</v>
      </c>
      <c r="F15" s="323">
        <v>2133</v>
      </c>
      <c r="G15" s="323">
        <v>2134</v>
      </c>
      <c r="H15" s="323">
        <v>2075</v>
      </c>
      <c r="I15" s="323">
        <v>2054</v>
      </c>
      <c r="J15" s="323">
        <v>1990</v>
      </c>
      <c r="K15" s="323">
        <v>2050</v>
      </c>
      <c r="L15" s="323">
        <v>2045</v>
      </c>
      <c r="M15" s="323">
        <v>1948</v>
      </c>
      <c r="N15" s="639">
        <f t="shared" si="0"/>
        <v>0.81315858628104865</v>
      </c>
      <c r="O15" s="639">
        <f t="shared" si="1"/>
        <v>0.674601662955434</v>
      </c>
      <c r="Q15" s="127">
        <f t="shared" si="2"/>
        <v>20</v>
      </c>
      <c r="R15" s="127">
        <f t="shared" si="3"/>
        <v>20</v>
      </c>
    </row>
    <row r="16" spans="1:21" s="127" customFormat="1" ht="12.75" customHeight="1">
      <c r="A16" s="103"/>
      <c r="B16" s="102" t="s">
        <v>145</v>
      </c>
      <c r="C16" s="323">
        <v>314</v>
      </c>
      <c r="D16" s="323">
        <v>318</v>
      </c>
      <c r="E16" s="323">
        <v>321</v>
      </c>
      <c r="F16" s="323">
        <v>309</v>
      </c>
      <c r="G16" s="323">
        <v>320</v>
      </c>
      <c r="H16" s="323">
        <v>322</v>
      </c>
      <c r="I16" s="323">
        <v>324</v>
      </c>
      <c r="J16" s="323">
        <v>321</v>
      </c>
      <c r="K16" s="323">
        <v>322</v>
      </c>
      <c r="L16" s="323">
        <v>324</v>
      </c>
      <c r="M16" s="323">
        <v>323</v>
      </c>
      <c r="N16" s="639">
        <f t="shared" si="0"/>
        <v>0.11621838693320403</v>
      </c>
      <c r="O16" s="639">
        <f t="shared" si="1"/>
        <v>0.11185643590072135</v>
      </c>
      <c r="Q16" s="127">
        <f t="shared" si="2"/>
        <v>36</v>
      </c>
      <c r="R16" s="127">
        <f t="shared" si="3"/>
        <v>35</v>
      </c>
    </row>
    <row r="17" spans="1:18" s="127" customFormat="1" ht="12.75" customHeight="1">
      <c r="A17" s="103"/>
      <c r="B17" s="102" t="s">
        <v>146</v>
      </c>
      <c r="C17" s="323">
        <v>1309</v>
      </c>
      <c r="D17" s="323">
        <v>1275</v>
      </c>
      <c r="E17" s="323">
        <v>1242</v>
      </c>
      <c r="F17" s="323">
        <v>1232</v>
      </c>
      <c r="G17" s="323">
        <v>1199</v>
      </c>
      <c r="H17" s="323">
        <v>1134</v>
      </c>
      <c r="I17" s="323">
        <v>1112</v>
      </c>
      <c r="J17" s="323">
        <v>1053</v>
      </c>
      <c r="K17" s="323">
        <v>1079</v>
      </c>
      <c r="L17" s="323">
        <v>1054</v>
      </c>
      <c r="M17" s="323">
        <v>1029</v>
      </c>
      <c r="N17" s="639">
        <f t="shared" si="0"/>
        <v>0.48449002705593658</v>
      </c>
      <c r="O17" s="639">
        <f t="shared" si="1"/>
        <v>0.35634759300879959</v>
      </c>
      <c r="Q17" s="127">
        <f t="shared" si="2"/>
        <v>24</v>
      </c>
      <c r="R17" s="127">
        <f t="shared" si="3"/>
        <v>26</v>
      </c>
    </row>
    <row r="18" spans="1:18" s="127" customFormat="1" ht="12.75" customHeight="1">
      <c r="A18" s="103"/>
      <c r="B18" s="102" t="s">
        <v>147</v>
      </c>
      <c r="C18" s="323">
        <v>8</v>
      </c>
      <c r="D18" s="323">
        <v>6</v>
      </c>
      <c r="E18" s="323">
        <v>9</v>
      </c>
      <c r="F18" s="323">
        <v>10</v>
      </c>
      <c r="G18" s="323">
        <v>11</v>
      </c>
      <c r="H18" s="323">
        <v>11</v>
      </c>
      <c r="I18" s="323">
        <v>10</v>
      </c>
      <c r="J18" s="323">
        <v>11</v>
      </c>
      <c r="K18" s="323">
        <v>11</v>
      </c>
      <c r="L18" s="323">
        <v>11</v>
      </c>
      <c r="M18" s="323">
        <v>11</v>
      </c>
      <c r="N18" s="639">
        <f t="shared" si="0"/>
        <v>2.9609780110370454E-3</v>
      </c>
      <c r="O18" s="639">
        <f t="shared" si="1"/>
        <v>3.8093523062165168E-3</v>
      </c>
      <c r="Q18" s="127">
        <f t="shared" si="2"/>
        <v>43</v>
      </c>
      <c r="R18" s="127">
        <f t="shared" si="3"/>
        <v>43</v>
      </c>
    </row>
    <row r="19" spans="1:18" s="127" customFormat="1" ht="12.75" customHeight="1">
      <c r="A19" s="103"/>
      <c r="B19" s="102" t="s">
        <v>148</v>
      </c>
      <c r="C19" s="323">
        <v>500</v>
      </c>
      <c r="D19" s="323">
        <v>481</v>
      </c>
      <c r="E19" s="323">
        <v>481</v>
      </c>
      <c r="F19" s="323">
        <v>477</v>
      </c>
      <c r="G19" s="323">
        <v>477</v>
      </c>
      <c r="H19" s="323">
        <v>455</v>
      </c>
      <c r="I19" s="323">
        <v>450</v>
      </c>
      <c r="J19" s="323">
        <v>463</v>
      </c>
      <c r="K19" s="323">
        <v>470</v>
      </c>
      <c r="L19" s="323">
        <v>484</v>
      </c>
      <c r="M19" s="323">
        <v>475</v>
      </c>
      <c r="N19" s="639">
        <f t="shared" si="0"/>
        <v>0.18506112568981534</v>
      </c>
      <c r="O19" s="639">
        <f t="shared" si="1"/>
        <v>0.16449475867753141</v>
      </c>
      <c r="Q19" s="127">
        <f t="shared" si="2"/>
        <v>33</v>
      </c>
      <c r="R19" s="127">
        <f t="shared" si="3"/>
        <v>32</v>
      </c>
    </row>
    <row r="20" spans="1:18" s="127" customFormat="1" ht="12.75" customHeight="1">
      <c r="A20" s="103"/>
      <c r="B20" s="102" t="s">
        <v>157</v>
      </c>
      <c r="C20" s="323">
        <v>97</v>
      </c>
      <c r="D20" s="323">
        <v>93</v>
      </c>
      <c r="E20" s="323">
        <v>94</v>
      </c>
      <c r="F20" s="323">
        <v>98</v>
      </c>
      <c r="G20" s="323">
        <v>92</v>
      </c>
      <c r="H20" s="323">
        <v>97</v>
      </c>
      <c r="I20" s="323">
        <v>98</v>
      </c>
      <c r="J20" s="323">
        <v>108</v>
      </c>
      <c r="K20" s="323">
        <v>113</v>
      </c>
      <c r="L20" s="323">
        <v>105</v>
      </c>
      <c r="M20" s="323">
        <v>104</v>
      </c>
      <c r="N20" s="639">
        <f t="shared" si="0"/>
        <v>3.5901858383824176E-2</v>
      </c>
      <c r="O20" s="639">
        <f t="shared" si="1"/>
        <v>3.6015694531501614E-2</v>
      </c>
      <c r="Q20" s="127">
        <f t="shared" si="2"/>
        <v>41</v>
      </c>
      <c r="R20" s="127">
        <f t="shared" si="3"/>
        <v>41</v>
      </c>
    </row>
    <row r="21" spans="1:18" s="127" customFormat="1" ht="12.75" customHeight="1">
      <c r="A21" s="103"/>
      <c r="B21" s="102" t="s">
        <v>149</v>
      </c>
      <c r="C21" s="323">
        <v>717</v>
      </c>
      <c r="D21" s="323">
        <v>726</v>
      </c>
      <c r="E21" s="323">
        <v>740</v>
      </c>
      <c r="F21" s="323">
        <v>746</v>
      </c>
      <c r="G21" s="323">
        <v>738</v>
      </c>
      <c r="H21" s="323">
        <v>741</v>
      </c>
      <c r="I21" s="323">
        <v>749</v>
      </c>
      <c r="J21" s="323">
        <v>730</v>
      </c>
      <c r="K21" s="323">
        <v>741</v>
      </c>
      <c r="L21" s="323">
        <v>732</v>
      </c>
      <c r="M21" s="323">
        <v>712</v>
      </c>
      <c r="N21" s="639">
        <f t="shared" si="0"/>
        <v>0.26537765423919518</v>
      </c>
      <c r="O21" s="639">
        <f t="shared" si="1"/>
        <v>0.2465689856387418</v>
      </c>
      <c r="Q21" s="127">
        <f t="shared" si="2"/>
        <v>28</v>
      </c>
      <c r="R21" s="127">
        <f t="shared" si="3"/>
        <v>28</v>
      </c>
    </row>
    <row r="22" spans="1:18" s="127" customFormat="1" ht="12.75" customHeight="1">
      <c r="A22" s="103"/>
      <c r="B22" s="102" t="s">
        <v>156</v>
      </c>
      <c r="C22" s="323">
        <v>2033</v>
      </c>
      <c r="D22" s="323">
        <v>1991</v>
      </c>
      <c r="E22" s="323">
        <v>1989</v>
      </c>
      <c r="F22" s="323">
        <v>1999</v>
      </c>
      <c r="G22" s="323">
        <v>1960</v>
      </c>
      <c r="H22" s="323">
        <v>1878</v>
      </c>
      <c r="I22" s="323">
        <v>1879</v>
      </c>
      <c r="J22" s="323">
        <v>1854</v>
      </c>
      <c r="K22" s="323">
        <v>1898</v>
      </c>
      <c r="L22" s="323">
        <v>1907</v>
      </c>
      <c r="M22" s="323">
        <v>1866</v>
      </c>
      <c r="N22" s="639">
        <f t="shared" si="0"/>
        <v>0.75245853705478916</v>
      </c>
      <c r="O22" s="639">
        <f t="shared" si="1"/>
        <v>0.64620467303636542</v>
      </c>
      <c r="Q22" s="127">
        <f t="shared" si="2"/>
        <v>21</v>
      </c>
      <c r="R22" s="127">
        <f t="shared" si="3"/>
        <v>21</v>
      </c>
    </row>
    <row r="23" spans="1:18" s="127" customFormat="1" ht="12.75" customHeight="1">
      <c r="A23" s="103"/>
      <c r="B23" s="102" t="s">
        <v>91</v>
      </c>
      <c r="C23" s="323">
        <v>222</v>
      </c>
      <c r="D23" s="323">
        <v>215</v>
      </c>
      <c r="E23" s="323">
        <v>210</v>
      </c>
      <c r="F23" s="323">
        <v>210</v>
      </c>
      <c r="G23" s="323">
        <v>207</v>
      </c>
      <c r="H23" s="323">
        <v>208</v>
      </c>
      <c r="I23" s="323">
        <v>200</v>
      </c>
      <c r="J23" s="323">
        <v>204</v>
      </c>
      <c r="K23" s="323">
        <v>205</v>
      </c>
      <c r="L23" s="323">
        <v>213</v>
      </c>
      <c r="M23" s="323">
        <v>203</v>
      </c>
      <c r="N23" s="639">
        <f t="shared" si="0"/>
        <v>8.2167139806278017E-2</v>
      </c>
      <c r="O23" s="639">
        <f t="shared" si="1"/>
        <v>7.0299865287450261E-2</v>
      </c>
      <c r="Q23" s="127">
        <f t="shared" si="2"/>
        <v>37</v>
      </c>
      <c r="R23" s="127">
        <f t="shared" si="3"/>
        <v>38</v>
      </c>
    </row>
    <row r="24" spans="1:18" s="127" customFormat="1" ht="12.75" customHeight="1">
      <c r="A24" s="103"/>
      <c r="B24" s="102" t="s">
        <v>154</v>
      </c>
      <c r="C24" s="323">
        <v>5697</v>
      </c>
      <c r="D24" s="323">
        <v>5719</v>
      </c>
      <c r="E24" s="323">
        <v>5845</v>
      </c>
      <c r="F24" s="323">
        <v>5905</v>
      </c>
      <c r="G24" s="323">
        <v>6040</v>
      </c>
      <c r="H24" s="323">
        <v>5945</v>
      </c>
      <c r="I24" s="323">
        <v>6032</v>
      </c>
      <c r="J24" s="323">
        <v>5883</v>
      </c>
      <c r="K24" s="323">
        <v>6140</v>
      </c>
      <c r="L24" s="323">
        <v>6174</v>
      </c>
      <c r="M24" s="323">
        <v>6111</v>
      </c>
      <c r="N24" s="639">
        <f t="shared" si="0"/>
        <v>2.108586466109756</v>
      </c>
      <c r="O24" s="639">
        <f t="shared" si="1"/>
        <v>2.1162683584808302</v>
      </c>
      <c r="Q24" s="127">
        <f t="shared" si="2"/>
        <v>12</v>
      </c>
      <c r="R24" s="127">
        <f t="shared" si="3"/>
        <v>13</v>
      </c>
    </row>
    <row r="25" spans="1:18" s="127" customFormat="1" ht="12.75" customHeight="1">
      <c r="A25" s="103"/>
      <c r="B25" s="102" t="s">
        <v>155</v>
      </c>
      <c r="C25" s="323">
        <v>166</v>
      </c>
      <c r="D25" s="323">
        <v>158</v>
      </c>
      <c r="E25" s="323">
        <v>157</v>
      </c>
      <c r="F25" s="323">
        <v>166</v>
      </c>
      <c r="G25" s="323">
        <v>175</v>
      </c>
      <c r="H25" s="323">
        <v>170</v>
      </c>
      <c r="I25" s="323">
        <v>164</v>
      </c>
      <c r="J25" s="323">
        <v>161</v>
      </c>
      <c r="K25" s="323">
        <v>168</v>
      </c>
      <c r="L25" s="323">
        <v>164</v>
      </c>
      <c r="M25" s="323">
        <v>173</v>
      </c>
      <c r="N25" s="639">
        <f t="shared" si="0"/>
        <v>6.1440293729018693E-2</v>
      </c>
      <c r="O25" s="639">
        <f t="shared" si="1"/>
        <v>5.9910722634132489E-2</v>
      </c>
      <c r="Q25" s="127">
        <f t="shared" si="2"/>
        <v>39</v>
      </c>
      <c r="R25" s="127">
        <f t="shared" si="3"/>
        <v>39</v>
      </c>
    </row>
    <row r="26" spans="1:18" s="127" customFormat="1" ht="12.75" customHeight="1">
      <c r="A26" s="103"/>
      <c r="B26" s="102" t="s">
        <v>150</v>
      </c>
      <c r="C26" s="323">
        <v>371</v>
      </c>
      <c r="D26" s="323">
        <v>352</v>
      </c>
      <c r="E26" s="323">
        <v>348</v>
      </c>
      <c r="F26" s="323">
        <v>350</v>
      </c>
      <c r="G26" s="323">
        <v>353</v>
      </c>
      <c r="H26" s="323">
        <v>330</v>
      </c>
      <c r="I26" s="323">
        <v>330</v>
      </c>
      <c r="J26" s="323">
        <v>313</v>
      </c>
      <c r="K26" s="323">
        <v>331</v>
      </c>
      <c r="L26" s="323">
        <v>334</v>
      </c>
      <c r="M26" s="323">
        <v>314</v>
      </c>
      <c r="N26" s="639">
        <f t="shared" si="0"/>
        <v>0.13731535526184299</v>
      </c>
      <c r="O26" s="639">
        <f t="shared" si="1"/>
        <v>0.10873969310472602</v>
      </c>
      <c r="Q26" s="127">
        <f t="shared" si="2"/>
        <v>34</v>
      </c>
      <c r="R26" s="127">
        <f t="shared" si="3"/>
        <v>36</v>
      </c>
    </row>
    <row r="27" spans="1:18" s="127" customFormat="1" ht="12.75" customHeight="1">
      <c r="A27" s="103"/>
      <c r="B27" s="102" t="s">
        <v>158</v>
      </c>
      <c r="C27" s="323">
        <v>958</v>
      </c>
      <c r="D27" s="323">
        <v>984</v>
      </c>
      <c r="E27" s="323">
        <v>997</v>
      </c>
      <c r="F27" s="323">
        <v>989</v>
      </c>
      <c r="G27" s="323">
        <v>988</v>
      </c>
      <c r="H27" s="323">
        <v>962</v>
      </c>
      <c r="I27" s="323">
        <v>971</v>
      </c>
      <c r="J27" s="323">
        <v>933</v>
      </c>
      <c r="K27" s="323">
        <v>952</v>
      </c>
      <c r="L27" s="323">
        <v>957</v>
      </c>
      <c r="M27" s="323">
        <v>912</v>
      </c>
      <c r="N27" s="639">
        <f t="shared" si="0"/>
        <v>0.35457711682168619</v>
      </c>
      <c r="O27" s="639">
        <f t="shared" si="1"/>
        <v>0.31582993666086029</v>
      </c>
      <c r="Q27" s="127">
        <f t="shared" si="2"/>
        <v>27</v>
      </c>
      <c r="R27" s="127">
        <f t="shared" si="3"/>
        <v>27</v>
      </c>
    </row>
    <row r="28" spans="1:18" s="127" customFormat="1" ht="12.75" customHeight="1">
      <c r="A28" s="103"/>
      <c r="B28" s="102" t="s">
        <v>151</v>
      </c>
      <c r="C28" s="323">
        <v>339</v>
      </c>
      <c r="D28" s="323">
        <v>346</v>
      </c>
      <c r="E28" s="323">
        <v>355</v>
      </c>
      <c r="F28" s="323">
        <v>359</v>
      </c>
      <c r="G28" s="323">
        <v>372</v>
      </c>
      <c r="H28" s="323">
        <v>344</v>
      </c>
      <c r="I28" s="323">
        <v>346</v>
      </c>
      <c r="J28" s="323">
        <v>343</v>
      </c>
      <c r="K28" s="323">
        <v>351</v>
      </c>
      <c r="L28" s="323">
        <v>364</v>
      </c>
      <c r="M28" s="323">
        <v>345</v>
      </c>
      <c r="N28" s="639">
        <f t="shared" si="0"/>
        <v>0.12547144321769479</v>
      </c>
      <c r="O28" s="639">
        <f t="shared" si="1"/>
        <v>0.11947514051315439</v>
      </c>
      <c r="Q28" s="127">
        <f t="shared" si="2"/>
        <v>35</v>
      </c>
      <c r="R28" s="127">
        <f t="shared" si="3"/>
        <v>34</v>
      </c>
    </row>
    <row r="29" spans="1:18" s="127" customFormat="1" ht="12.75" customHeight="1">
      <c r="A29" s="103"/>
      <c r="B29" s="102" t="s">
        <v>159</v>
      </c>
      <c r="C29" s="323">
        <v>119</v>
      </c>
      <c r="D29" s="323">
        <v>123</v>
      </c>
      <c r="E29" s="323">
        <v>133</v>
      </c>
      <c r="F29" s="323">
        <v>142</v>
      </c>
      <c r="G29" s="323">
        <v>134</v>
      </c>
      <c r="H29" s="323">
        <v>138</v>
      </c>
      <c r="I29" s="323">
        <v>141</v>
      </c>
      <c r="J29" s="323">
        <v>146</v>
      </c>
      <c r="K29" s="323">
        <v>156</v>
      </c>
      <c r="L29" s="323">
        <v>160</v>
      </c>
      <c r="M29" s="323">
        <v>160</v>
      </c>
      <c r="N29" s="639">
        <f t="shared" si="0"/>
        <v>4.4044547914176051E-2</v>
      </c>
      <c r="O29" s="639">
        <f t="shared" si="1"/>
        <v>5.5408760817694788E-2</v>
      </c>
      <c r="Q29" s="127">
        <f t="shared" si="2"/>
        <v>40</v>
      </c>
      <c r="R29" s="127">
        <f t="shared" si="3"/>
        <v>40</v>
      </c>
    </row>
    <row r="30" spans="1:18" s="127" customFormat="1" ht="12.75" customHeight="1">
      <c r="A30" s="103"/>
      <c r="B30" s="102" t="s">
        <v>152</v>
      </c>
      <c r="C30" s="323">
        <v>2323</v>
      </c>
      <c r="D30" s="323">
        <v>2329</v>
      </c>
      <c r="E30" s="323">
        <v>2337</v>
      </c>
      <c r="F30" s="323">
        <v>2393</v>
      </c>
      <c r="G30" s="323">
        <v>2412</v>
      </c>
      <c r="H30" s="323">
        <v>2338</v>
      </c>
      <c r="I30" s="323">
        <v>2356</v>
      </c>
      <c r="J30" s="323">
        <v>2277</v>
      </c>
      <c r="K30" s="323">
        <v>2361</v>
      </c>
      <c r="L30" s="323">
        <v>2421</v>
      </c>
      <c r="M30" s="323">
        <v>2362</v>
      </c>
      <c r="N30" s="639">
        <f t="shared" si="0"/>
        <v>0.8597939899548821</v>
      </c>
      <c r="O30" s="639">
        <f t="shared" si="1"/>
        <v>0.81797183157121933</v>
      </c>
      <c r="Q30" s="127">
        <f t="shared" si="2"/>
        <v>19</v>
      </c>
      <c r="R30" s="127">
        <f t="shared" si="3"/>
        <v>19</v>
      </c>
    </row>
    <row r="31" spans="1:18" s="127" customFormat="1" ht="12.75" customHeight="1">
      <c r="A31" s="103"/>
      <c r="B31" s="102" t="s">
        <v>153</v>
      </c>
      <c r="C31" s="323">
        <v>1062</v>
      </c>
      <c r="D31" s="323">
        <v>1072</v>
      </c>
      <c r="E31" s="323">
        <v>1068</v>
      </c>
      <c r="F31" s="323">
        <v>1085</v>
      </c>
      <c r="G31" s="323">
        <v>1084</v>
      </c>
      <c r="H31" s="323">
        <v>1039</v>
      </c>
      <c r="I31" s="323">
        <v>1057</v>
      </c>
      <c r="J31" s="323">
        <v>997</v>
      </c>
      <c r="K31" s="323">
        <v>1049</v>
      </c>
      <c r="L31" s="323">
        <v>1048</v>
      </c>
      <c r="M31" s="323">
        <v>1044</v>
      </c>
      <c r="N31" s="639">
        <f t="shared" si="0"/>
        <v>0.39306983096516779</v>
      </c>
      <c r="O31" s="639">
        <f t="shared" si="1"/>
        <v>0.36154216433545849</v>
      </c>
      <c r="Q31" s="127">
        <f t="shared" si="2"/>
        <v>26</v>
      </c>
      <c r="R31" s="127">
        <f t="shared" si="3"/>
        <v>25</v>
      </c>
    </row>
    <row r="32" spans="1:18" s="127" customFormat="1" ht="12.75" customHeight="1">
      <c r="A32" s="103"/>
      <c r="B32" s="102" t="s">
        <v>160</v>
      </c>
      <c r="C32" s="323">
        <v>1309</v>
      </c>
      <c r="D32" s="323">
        <v>1386</v>
      </c>
      <c r="E32" s="323">
        <v>1412</v>
      </c>
      <c r="F32" s="323">
        <v>1468</v>
      </c>
      <c r="G32" s="323">
        <v>1541</v>
      </c>
      <c r="H32" s="323">
        <v>1517</v>
      </c>
      <c r="I32" s="323">
        <v>1553</v>
      </c>
      <c r="J32" s="323">
        <v>1566</v>
      </c>
      <c r="K32" s="323">
        <v>1620</v>
      </c>
      <c r="L32" s="323">
        <v>1701</v>
      </c>
      <c r="M32" s="323">
        <v>1730</v>
      </c>
      <c r="N32" s="639">
        <f t="shared" si="0"/>
        <v>0.48449002705593658</v>
      </c>
      <c r="O32" s="639">
        <f t="shared" si="1"/>
        <v>0.59910722634132485</v>
      </c>
      <c r="Q32" s="127">
        <f t="shared" si="2"/>
        <v>24</v>
      </c>
      <c r="R32" s="127">
        <f t="shared" si="3"/>
        <v>22</v>
      </c>
    </row>
    <row r="33" spans="1:18" s="127" customFormat="1" ht="16.5" customHeight="1">
      <c r="A33" s="201" t="s">
        <v>75</v>
      </c>
      <c r="B33" s="307" t="s">
        <v>161</v>
      </c>
      <c r="C33" s="322">
        <v>193</v>
      </c>
      <c r="D33" s="322">
        <v>211</v>
      </c>
      <c r="E33" s="322">
        <v>204</v>
      </c>
      <c r="F33" s="322">
        <v>194</v>
      </c>
      <c r="G33" s="322">
        <v>183</v>
      </c>
      <c r="H33" s="322">
        <v>185</v>
      </c>
      <c r="I33" s="322">
        <v>198</v>
      </c>
      <c r="J33" s="322">
        <v>192</v>
      </c>
      <c r="K33" s="322">
        <v>209</v>
      </c>
      <c r="L33" s="322">
        <v>236</v>
      </c>
      <c r="M33" s="322">
        <v>244</v>
      </c>
      <c r="N33" s="639">
        <f t="shared" si="0"/>
        <v>7.1433594516268725E-2</v>
      </c>
      <c r="O33" s="639">
        <f t="shared" si="1"/>
        <v>8.4498360246984552E-2</v>
      </c>
      <c r="Q33" s="127">
        <f t="shared" si="2"/>
        <v>38</v>
      </c>
      <c r="R33" s="127">
        <f t="shared" si="3"/>
        <v>37</v>
      </c>
    </row>
    <row r="34" spans="1:18" s="127" customFormat="1" ht="12.75" customHeight="1">
      <c r="A34" s="201" t="s">
        <v>76</v>
      </c>
      <c r="B34" s="307" t="s">
        <v>170</v>
      </c>
      <c r="C34" s="322">
        <v>637</v>
      </c>
      <c r="D34" s="322">
        <v>623</v>
      </c>
      <c r="E34" s="322">
        <v>605</v>
      </c>
      <c r="F34" s="322">
        <v>607</v>
      </c>
      <c r="G34" s="322">
        <v>602</v>
      </c>
      <c r="H34" s="322">
        <v>617</v>
      </c>
      <c r="I34" s="322">
        <v>625</v>
      </c>
      <c r="J34" s="322">
        <v>620</v>
      </c>
      <c r="K34" s="322">
        <v>636</v>
      </c>
      <c r="L34" s="322">
        <v>648</v>
      </c>
      <c r="M34" s="322">
        <v>630</v>
      </c>
      <c r="N34" s="639">
        <f t="shared" si="0"/>
        <v>0.23576787412882474</v>
      </c>
      <c r="O34" s="639">
        <f t="shared" si="1"/>
        <v>0.21817199571967322</v>
      </c>
      <c r="Q34" s="127">
        <f t="shared" si="2"/>
        <v>29</v>
      </c>
      <c r="R34" s="127">
        <f t="shared" si="3"/>
        <v>30</v>
      </c>
    </row>
    <row r="35" spans="1:18" s="127" customFormat="1" ht="12.75" customHeight="1">
      <c r="A35" s="201" t="s">
        <v>77</v>
      </c>
      <c r="B35" s="307" t="s">
        <v>78</v>
      </c>
      <c r="C35" s="322">
        <v>27621</v>
      </c>
      <c r="D35" s="322">
        <v>27400</v>
      </c>
      <c r="E35" s="322">
        <v>27945</v>
      </c>
      <c r="F35" s="322">
        <v>28669</v>
      </c>
      <c r="G35" s="322">
        <v>29662</v>
      </c>
      <c r="H35" s="322">
        <v>30134</v>
      </c>
      <c r="I35" s="322">
        <v>31394</v>
      </c>
      <c r="J35" s="322">
        <v>31375</v>
      </c>
      <c r="K35" s="322">
        <v>33643</v>
      </c>
      <c r="L35" s="322">
        <v>35137</v>
      </c>
      <c r="M35" s="322">
        <v>35614</v>
      </c>
      <c r="N35" s="643">
        <f t="shared" si="0"/>
        <v>10.223146705356779</v>
      </c>
      <c r="O35" s="641">
        <f t="shared" si="1"/>
        <v>12.333297548508639</v>
      </c>
      <c r="Q35" s="127">
        <f t="shared" si="2"/>
        <v>4</v>
      </c>
      <c r="R35" s="127">
        <f t="shared" si="3"/>
        <v>2</v>
      </c>
    </row>
    <row r="36" spans="1:18" s="127" customFormat="1" ht="12.75" customHeight="1">
      <c r="A36" s="201" t="s">
        <v>79</v>
      </c>
      <c r="B36" s="307" t="s">
        <v>171</v>
      </c>
      <c r="C36" s="322">
        <v>74208</v>
      </c>
      <c r="D36" s="322">
        <v>74441</v>
      </c>
      <c r="E36" s="322">
        <v>74332</v>
      </c>
      <c r="F36" s="322">
        <v>73637</v>
      </c>
      <c r="G36" s="322">
        <v>73191</v>
      </c>
      <c r="H36" s="322">
        <v>69985</v>
      </c>
      <c r="I36" s="322">
        <v>69568</v>
      </c>
      <c r="J36" s="322">
        <v>67802</v>
      </c>
      <c r="K36" s="322">
        <v>69554</v>
      </c>
      <c r="L36" s="322">
        <v>69619</v>
      </c>
      <c r="M36" s="322">
        <v>67579</v>
      </c>
      <c r="N36" s="640">
        <f t="shared" si="0"/>
        <v>27.466032030379633</v>
      </c>
      <c r="O36" s="641">
        <f t="shared" si="1"/>
        <v>23.402929045618727</v>
      </c>
      <c r="Q36" s="127">
        <f t="shared" si="2"/>
        <v>1</v>
      </c>
      <c r="R36" s="127">
        <f t="shared" si="3"/>
        <v>1</v>
      </c>
    </row>
    <row r="37" spans="1:18" s="127" customFormat="1" ht="12.75" customHeight="1">
      <c r="A37" s="201" t="s">
        <v>52</v>
      </c>
      <c r="B37" s="307" t="s">
        <v>92</v>
      </c>
      <c r="C37" s="322">
        <v>10632</v>
      </c>
      <c r="D37" s="322">
        <v>10537</v>
      </c>
      <c r="E37" s="322">
        <v>10462</v>
      </c>
      <c r="F37" s="322">
        <v>10490</v>
      </c>
      <c r="G37" s="322">
        <v>10497</v>
      </c>
      <c r="H37" s="322">
        <v>10339</v>
      </c>
      <c r="I37" s="322">
        <v>10288</v>
      </c>
      <c r="J37" s="322">
        <v>9821</v>
      </c>
      <c r="K37" s="322">
        <v>10445</v>
      </c>
      <c r="L37" s="322">
        <v>11013</v>
      </c>
      <c r="M37" s="322">
        <v>10965</v>
      </c>
      <c r="N37" s="639">
        <f t="shared" si="0"/>
        <v>3.9351397766682337</v>
      </c>
      <c r="O37" s="639">
        <f t="shared" si="1"/>
        <v>3.797231639787646</v>
      </c>
      <c r="Q37" s="127">
        <f t="shared" si="2"/>
        <v>9</v>
      </c>
      <c r="R37" s="127">
        <f t="shared" si="3"/>
        <v>10</v>
      </c>
    </row>
    <row r="38" spans="1:18" s="127" customFormat="1" ht="12.75" customHeight="1">
      <c r="A38" s="201" t="s">
        <v>10</v>
      </c>
      <c r="B38" s="307" t="s">
        <v>162</v>
      </c>
      <c r="C38" s="322">
        <v>31162</v>
      </c>
      <c r="D38" s="322">
        <v>32218</v>
      </c>
      <c r="E38" s="322">
        <v>33270</v>
      </c>
      <c r="F38" s="322">
        <v>34159</v>
      </c>
      <c r="G38" s="322">
        <v>34949</v>
      </c>
      <c r="H38" s="322">
        <v>33798</v>
      </c>
      <c r="I38" s="322">
        <v>33300</v>
      </c>
      <c r="J38" s="322">
        <v>32645</v>
      </c>
      <c r="K38" s="322">
        <v>34416</v>
      </c>
      <c r="L38" s="322">
        <v>35628</v>
      </c>
      <c r="M38" s="322">
        <v>35543</v>
      </c>
      <c r="N38" s="640">
        <f t="shared" si="0"/>
        <v>11.533749597492051</v>
      </c>
      <c r="O38" s="641">
        <f t="shared" si="1"/>
        <v>12.308709910895786</v>
      </c>
      <c r="Q38" s="127">
        <f t="shared" si="2"/>
        <v>3</v>
      </c>
      <c r="R38" s="127">
        <f t="shared" si="3"/>
        <v>3</v>
      </c>
    </row>
    <row r="39" spans="1:18" s="127" customFormat="1" ht="12.75" customHeight="1">
      <c r="A39" s="201" t="s">
        <v>80</v>
      </c>
      <c r="B39" s="307" t="s">
        <v>168</v>
      </c>
      <c r="C39" s="322">
        <v>4637</v>
      </c>
      <c r="D39" s="322">
        <v>4749</v>
      </c>
      <c r="E39" s="322">
        <v>4883</v>
      </c>
      <c r="F39" s="322">
        <v>5130</v>
      </c>
      <c r="G39" s="322">
        <v>5304</v>
      </c>
      <c r="H39" s="322">
        <v>5356</v>
      </c>
      <c r="I39" s="322">
        <v>5633</v>
      </c>
      <c r="J39" s="322">
        <v>5723</v>
      </c>
      <c r="K39" s="322">
        <v>6314</v>
      </c>
      <c r="L39" s="322">
        <v>6698</v>
      </c>
      <c r="M39" s="322">
        <v>6857</v>
      </c>
      <c r="N39" s="639">
        <f t="shared" si="0"/>
        <v>1.7162568796473474</v>
      </c>
      <c r="O39" s="639">
        <f t="shared" si="1"/>
        <v>2.374611705793332</v>
      </c>
      <c r="Q39" s="127">
        <f t="shared" si="2"/>
        <v>14</v>
      </c>
      <c r="R39" s="127">
        <f t="shared" si="3"/>
        <v>12</v>
      </c>
    </row>
    <row r="40" spans="1:18" s="127" customFormat="1" ht="12.75" customHeight="1">
      <c r="A40" s="201" t="s">
        <v>81</v>
      </c>
      <c r="B40" s="307" t="s">
        <v>163</v>
      </c>
      <c r="C40" s="322">
        <v>3675</v>
      </c>
      <c r="D40" s="322">
        <v>3674</v>
      </c>
      <c r="E40" s="322">
        <v>3659</v>
      </c>
      <c r="F40" s="322">
        <v>3692</v>
      </c>
      <c r="G40" s="322">
        <v>3685</v>
      </c>
      <c r="H40" s="322">
        <v>3647</v>
      </c>
      <c r="I40" s="322">
        <v>3710</v>
      </c>
      <c r="J40" s="322">
        <v>3599</v>
      </c>
      <c r="K40" s="322">
        <v>3755</v>
      </c>
      <c r="L40" s="322">
        <v>3781</v>
      </c>
      <c r="M40" s="322">
        <v>3799</v>
      </c>
      <c r="N40" s="639">
        <f t="shared" si="0"/>
        <v>1.3601992738201427</v>
      </c>
      <c r="O40" s="639">
        <f t="shared" si="1"/>
        <v>1.3156117646651406</v>
      </c>
      <c r="Q40" s="127">
        <f t="shared" si="2"/>
        <v>17</v>
      </c>
      <c r="R40" s="127">
        <f t="shared" si="3"/>
        <v>17</v>
      </c>
    </row>
    <row r="41" spans="1:18" s="127" customFormat="1" ht="12.75" customHeight="1">
      <c r="A41" s="201" t="s">
        <v>82</v>
      </c>
      <c r="B41" s="307" t="s">
        <v>102</v>
      </c>
      <c r="C41" s="322">
        <v>6325</v>
      </c>
      <c r="D41" s="322">
        <v>6641</v>
      </c>
      <c r="E41" s="322">
        <v>7069</v>
      </c>
      <c r="F41" s="322">
        <v>7649</v>
      </c>
      <c r="G41" s="322">
        <v>8416</v>
      </c>
      <c r="H41" s="322">
        <v>8804</v>
      </c>
      <c r="I41" s="322">
        <v>9411</v>
      </c>
      <c r="J41" s="322">
        <v>9635</v>
      </c>
      <c r="K41" s="322">
        <v>10313</v>
      </c>
      <c r="L41" s="322">
        <v>11022</v>
      </c>
      <c r="M41" s="322">
        <v>11090</v>
      </c>
      <c r="N41" s="639">
        <f t="shared" si="0"/>
        <v>2.3410232399761641</v>
      </c>
      <c r="O41" s="639">
        <f t="shared" si="1"/>
        <v>3.8405197341764699</v>
      </c>
      <c r="Q41" s="127">
        <f t="shared" si="2"/>
        <v>11</v>
      </c>
      <c r="R41" s="127">
        <f t="shared" si="3"/>
        <v>9</v>
      </c>
    </row>
    <row r="42" spans="1:18" s="127" customFormat="1" ht="12.75" customHeight="1">
      <c r="A42" s="201" t="s">
        <v>53</v>
      </c>
      <c r="B42" s="307" t="s">
        <v>172</v>
      </c>
      <c r="C42" s="322">
        <v>21426</v>
      </c>
      <c r="D42" s="322">
        <v>21717</v>
      </c>
      <c r="E42" s="322">
        <v>22039</v>
      </c>
      <c r="F42" s="322">
        <v>22524</v>
      </c>
      <c r="G42" s="322">
        <v>23187</v>
      </c>
      <c r="H42" s="322">
        <v>22977</v>
      </c>
      <c r="I42" s="322">
        <v>23504</v>
      </c>
      <c r="J42" s="322">
        <v>23335</v>
      </c>
      <c r="K42" s="322">
        <v>24442</v>
      </c>
      <c r="L42" s="322">
        <v>25202</v>
      </c>
      <c r="M42" s="322">
        <v>25302</v>
      </c>
      <c r="N42" s="639">
        <f t="shared" si="0"/>
        <v>7.9302393580599668</v>
      </c>
      <c r="O42" s="639">
        <f t="shared" si="1"/>
        <v>8.7622029138082098</v>
      </c>
      <c r="Q42" s="127">
        <f t="shared" si="2"/>
        <v>5</v>
      </c>
      <c r="R42" s="127">
        <f t="shared" si="3"/>
        <v>5</v>
      </c>
    </row>
    <row r="43" spans="1:18" s="127" customFormat="1" ht="12.75" customHeight="1">
      <c r="A43" s="201" t="s">
        <v>84</v>
      </c>
      <c r="B43" s="307" t="s">
        <v>166</v>
      </c>
      <c r="C43" s="322">
        <v>7438</v>
      </c>
      <c r="D43" s="322">
        <v>7568</v>
      </c>
      <c r="E43" s="322">
        <v>7855</v>
      </c>
      <c r="F43" s="322">
        <v>7959</v>
      </c>
      <c r="G43" s="322">
        <v>7811</v>
      </c>
      <c r="H43" s="322">
        <v>7970</v>
      </c>
      <c r="I43" s="322">
        <v>8005</v>
      </c>
      <c r="J43" s="322">
        <v>7640</v>
      </c>
      <c r="K43" s="322">
        <v>8560</v>
      </c>
      <c r="L43" s="322">
        <v>8903</v>
      </c>
      <c r="M43" s="322">
        <v>9033</v>
      </c>
      <c r="N43" s="639">
        <f t="shared" si="0"/>
        <v>2.7529693057616931</v>
      </c>
      <c r="O43" s="639">
        <f t="shared" si="1"/>
        <v>3.1281708529139816</v>
      </c>
      <c r="Q43" s="127">
        <f t="shared" si="2"/>
        <v>10</v>
      </c>
      <c r="R43" s="127">
        <f t="shared" si="3"/>
        <v>11</v>
      </c>
    </row>
    <row r="44" spans="1:18" s="127" customFormat="1" ht="12.75" customHeight="1">
      <c r="A44" s="201" t="s">
        <v>85</v>
      </c>
      <c r="B44" s="307" t="s">
        <v>167</v>
      </c>
      <c r="C44" s="322">
        <v>599</v>
      </c>
      <c r="D44" s="322">
        <v>596</v>
      </c>
      <c r="E44" s="322">
        <v>560</v>
      </c>
      <c r="F44" s="322">
        <v>559</v>
      </c>
      <c r="G44" s="322">
        <v>564</v>
      </c>
      <c r="H44" s="322">
        <v>546</v>
      </c>
      <c r="I44" s="322">
        <v>558</v>
      </c>
      <c r="J44" s="322">
        <v>517</v>
      </c>
      <c r="K44" s="322">
        <v>520</v>
      </c>
      <c r="L44" s="322">
        <v>534</v>
      </c>
      <c r="M44" s="322">
        <v>553</v>
      </c>
      <c r="N44" s="639">
        <f t="shared" si="0"/>
        <v>0.22170322857639879</v>
      </c>
      <c r="O44" s="639">
        <f t="shared" si="1"/>
        <v>0.1915065295761576</v>
      </c>
      <c r="Q44" s="127">
        <f t="shared" si="2"/>
        <v>30</v>
      </c>
      <c r="R44" s="127">
        <f t="shared" si="3"/>
        <v>31</v>
      </c>
    </row>
    <row r="45" spans="1:18" s="127" customFormat="1" ht="12.75" customHeight="1">
      <c r="A45" s="201" t="s">
        <v>93</v>
      </c>
      <c r="B45" s="307" t="s">
        <v>83</v>
      </c>
      <c r="C45" s="322">
        <v>3802</v>
      </c>
      <c r="D45" s="322">
        <v>3857</v>
      </c>
      <c r="E45" s="322">
        <v>3829</v>
      </c>
      <c r="F45" s="322">
        <v>3817</v>
      </c>
      <c r="G45" s="322">
        <v>3764</v>
      </c>
      <c r="H45" s="322">
        <v>3671</v>
      </c>
      <c r="I45" s="322">
        <v>3680</v>
      </c>
      <c r="J45" s="322">
        <v>3577</v>
      </c>
      <c r="K45" s="322">
        <v>3747</v>
      </c>
      <c r="L45" s="322">
        <v>3850</v>
      </c>
      <c r="M45" s="322">
        <v>3912</v>
      </c>
      <c r="N45" s="639">
        <f t="shared" si="0"/>
        <v>1.4072047997453558</v>
      </c>
      <c r="O45" s="639">
        <f t="shared" si="1"/>
        <v>1.3547442019926375</v>
      </c>
      <c r="Q45" s="127">
        <f t="shared" si="2"/>
        <v>16</v>
      </c>
      <c r="R45" s="127">
        <f t="shared" si="3"/>
        <v>16</v>
      </c>
    </row>
    <row r="46" spans="1:18" s="127" customFormat="1" ht="12.75" customHeight="1">
      <c r="A46" s="201" t="s">
        <v>86</v>
      </c>
      <c r="B46" s="307" t="s">
        <v>138</v>
      </c>
      <c r="C46" s="322">
        <v>14787</v>
      </c>
      <c r="D46" s="322">
        <v>15110</v>
      </c>
      <c r="E46" s="322">
        <v>15253</v>
      </c>
      <c r="F46" s="322">
        <v>15453</v>
      </c>
      <c r="G46" s="322">
        <v>15499</v>
      </c>
      <c r="H46" s="322">
        <v>15300</v>
      </c>
      <c r="I46" s="322">
        <v>15658</v>
      </c>
      <c r="J46" s="322">
        <v>15268</v>
      </c>
      <c r="K46" s="322">
        <v>16093</v>
      </c>
      <c r="L46" s="322">
        <v>16702</v>
      </c>
      <c r="M46" s="322">
        <v>16778</v>
      </c>
      <c r="N46" s="639">
        <f t="shared" si="0"/>
        <v>5.4729977311505991</v>
      </c>
      <c r="O46" s="639">
        <f t="shared" si="1"/>
        <v>5.8103011812455199</v>
      </c>
      <c r="Q46" s="127">
        <f t="shared" si="2"/>
        <v>6</v>
      </c>
      <c r="R46" s="127">
        <f t="shared" si="3"/>
        <v>6</v>
      </c>
    </row>
    <row r="47" spans="1:18" s="127" customFormat="1" ht="12.75" customHeight="1">
      <c r="A47" s="201" t="s">
        <v>94</v>
      </c>
      <c r="B47" s="307" t="s">
        <v>164</v>
      </c>
      <c r="C47" s="322">
        <v>3087</v>
      </c>
      <c r="D47" s="322">
        <v>3213</v>
      </c>
      <c r="E47" s="322">
        <v>3351</v>
      </c>
      <c r="F47" s="322">
        <v>3605</v>
      </c>
      <c r="G47" s="322">
        <v>3886</v>
      </c>
      <c r="H47" s="322">
        <v>3917</v>
      </c>
      <c r="I47" s="322">
        <v>3922</v>
      </c>
      <c r="J47" s="322">
        <v>3932</v>
      </c>
      <c r="K47" s="322">
        <v>4293</v>
      </c>
      <c r="L47" s="322">
        <v>4544</v>
      </c>
      <c r="M47" s="322">
        <v>4657</v>
      </c>
      <c r="N47" s="639">
        <f t="shared" si="0"/>
        <v>1.1425673900089199</v>
      </c>
      <c r="O47" s="639">
        <f t="shared" si="1"/>
        <v>1.6127412445500289</v>
      </c>
      <c r="Q47" s="127">
        <f t="shared" si="2"/>
        <v>18</v>
      </c>
      <c r="R47" s="127">
        <f t="shared" si="3"/>
        <v>14</v>
      </c>
    </row>
    <row r="48" spans="1:18" ht="12.75" customHeight="1">
      <c r="A48" s="201" t="s">
        <v>95</v>
      </c>
      <c r="B48" s="307" t="s">
        <v>103</v>
      </c>
      <c r="C48" s="322">
        <v>13415</v>
      </c>
      <c r="D48" s="322">
        <v>13491</v>
      </c>
      <c r="E48" s="322">
        <v>13431</v>
      </c>
      <c r="F48" s="322">
        <v>13330</v>
      </c>
      <c r="G48" s="322">
        <v>13348</v>
      </c>
      <c r="H48" s="322">
        <v>12528</v>
      </c>
      <c r="I48" s="322">
        <v>12260</v>
      </c>
      <c r="J48" s="322">
        <v>11606</v>
      </c>
      <c r="K48" s="322">
        <v>12060</v>
      </c>
      <c r="L48" s="322">
        <v>11864</v>
      </c>
      <c r="M48" s="322">
        <v>11458</v>
      </c>
      <c r="N48" s="639">
        <f t="shared" si="0"/>
        <v>4.9651900022577458</v>
      </c>
      <c r="O48" s="639">
        <f t="shared" si="1"/>
        <v>3.9679598840571679</v>
      </c>
      <c r="Q48" s="127">
        <f t="shared" si="2"/>
        <v>7</v>
      </c>
      <c r="R48" s="127">
        <f t="shared" si="3"/>
        <v>8</v>
      </c>
    </row>
    <row r="49" spans="1:18" ht="12.75" customHeight="1">
      <c r="A49" s="34" t="s">
        <v>96</v>
      </c>
      <c r="B49" s="35" t="s">
        <v>165</v>
      </c>
      <c r="C49" s="324">
        <v>15</v>
      </c>
      <c r="D49" s="324">
        <v>13</v>
      </c>
      <c r="E49" s="324">
        <v>16</v>
      </c>
      <c r="F49" s="324">
        <v>13</v>
      </c>
      <c r="G49" s="324">
        <v>14</v>
      </c>
      <c r="H49" s="324">
        <v>15</v>
      </c>
      <c r="I49" s="324">
        <v>17</v>
      </c>
      <c r="J49" s="324">
        <v>16</v>
      </c>
      <c r="K49" s="324">
        <v>15</v>
      </c>
      <c r="L49" s="324">
        <v>16</v>
      </c>
      <c r="M49" s="324">
        <v>18</v>
      </c>
      <c r="N49" s="639">
        <f t="shared" si="0"/>
        <v>5.5518337706944604E-3</v>
      </c>
      <c r="O49" s="639">
        <f t="shared" si="1"/>
        <v>6.2334855919906635E-3</v>
      </c>
      <c r="Q49" s="127">
        <f t="shared" si="2"/>
        <v>42</v>
      </c>
      <c r="R49" s="127">
        <f t="shared" si="3"/>
        <v>42</v>
      </c>
    </row>
    <row r="50" spans="1:18" ht="15" customHeight="1">
      <c r="A50" s="19" t="s">
        <v>767</v>
      </c>
      <c r="B50" s="8"/>
      <c r="E50" s="196"/>
      <c r="F50" s="196"/>
      <c r="G50" s="196"/>
      <c r="H50" s="196"/>
      <c r="I50" s="196"/>
      <c r="J50" s="196"/>
      <c r="K50" s="196"/>
      <c r="L50" s="196"/>
      <c r="M50" s="196"/>
      <c r="N50" s="642"/>
      <c r="O50" s="639">
        <f t="shared" si="1"/>
        <v>0</v>
      </c>
    </row>
    <row r="51" spans="1:18" ht="19.5" customHeight="1">
      <c r="B51" s="202"/>
    </row>
  </sheetData>
  <mergeCells count="1">
    <mergeCell ref="A1:M1"/>
  </mergeCells>
  <phoneticPr fontId="24" type="noConversion"/>
  <conditionalFormatting sqref="G2:G3 G51:G1048576 C2:D4 C50:D1048576 C5:J49 E4:M4">
    <cfRule type="cellIs" dxfId="2424" priority="50" operator="equal">
      <formula>0</formula>
    </cfRule>
  </conditionalFormatting>
  <conditionalFormatting sqref="E2:F3 E51:F1048576">
    <cfRule type="cellIs" dxfId="2423" priority="49" operator="equal">
      <formula>0</formula>
    </cfRule>
  </conditionalFormatting>
  <conditionalFormatting sqref="J2:J3 J51:J1048576">
    <cfRule type="cellIs" dxfId="2422" priority="33" operator="equal">
      <formula>0</formula>
    </cfRule>
  </conditionalFormatting>
  <conditionalFormatting sqref="H2:H3 H51:H1048576">
    <cfRule type="cellIs" dxfId="2421" priority="31" operator="equal">
      <formula>0</formula>
    </cfRule>
  </conditionalFormatting>
  <conditionalFormatting sqref="I2:I3 I51:I1048576">
    <cfRule type="cellIs" dxfId="2420" priority="28" operator="equal">
      <formula>0</formula>
    </cfRule>
  </conditionalFormatting>
  <conditionalFormatting sqref="K5:K49">
    <cfRule type="cellIs" dxfId="2419" priority="26" operator="equal">
      <formula>0</formula>
    </cfRule>
  </conditionalFormatting>
  <conditionalFormatting sqref="K2:K3 K51:K1048576">
    <cfRule type="cellIs" dxfId="2418" priority="25" operator="equal">
      <formula>0</formula>
    </cfRule>
  </conditionalFormatting>
  <conditionalFormatting sqref="L5:L49">
    <cfRule type="cellIs" dxfId="2417" priority="23" operator="equal">
      <formula>0</formula>
    </cfRule>
  </conditionalFormatting>
  <conditionalFormatting sqref="L2:L3 L51:L1048576">
    <cfRule type="cellIs" dxfId="2416" priority="22" operator="equal">
      <formula>0</formula>
    </cfRule>
  </conditionalFormatting>
  <conditionalFormatting sqref="M5:M49">
    <cfRule type="cellIs" dxfId="2415" priority="14" operator="equal">
      <formula>0</formula>
    </cfRule>
  </conditionalFormatting>
  <conditionalFormatting sqref="M2:M3 M51:M1048576">
    <cfRule type="cellIs" dxfId="2414" priority="13" operator="equal">
      <formula>0</formula>
    </cfRule>
  </conditionalFormatting>
  <conditionalFormatting sqref="N5:O50">
    <cfRule type="cellIs" dxfId="2413" priority="2" operator="equal">
      <formula>0</formula>
    </cfRule>
  </conditionalFormatting>
  <conditionalFormatting sqref="Q6:R49">
    <cfRule type="cellIs" dxfId="2412" priority="1" operator="between">
      <formula>1</formula>
      <formula>3</formula>
    </cfRule>
  </conditionalFormatting>
  <printOptions horizontalCentered="1"/>
  <pageMargins left="0.27559055118110237" right="0.27559055118110237" top="1.7716535433070868" bottom="0.47244094488188981" header="0.19685039370078741" footer="0.19685039370078741"/>
  <pageSetup paperSize="9" scale="96" orientation="portrait" r:id="rId1"/>
  <headerFooter>
    <oddHeader>&amp;C&amp;G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41">
    <tabColor indexed="24"/>
    <pageSetUpPr fitToPage="1"/>
  </sheetPr>
  <dimension ref="A1:S29"/>
  <sheetViews>
    <sheetView showGridLines="0" workbookViewId="0">
      <selection activeCell="Y70" sqref="Y70"/>
    </sheetView>
  </sheetViews>
  <sheetFormatPr defaultColWidth="9.140625" defaultRowHeight="11.25"/>
  <cols>
    <col min="1" max="1" width="17.140625" style="6" customWidth="1"/>
    <col min="2" max="2" width="7.5703125" style="6" customWidth="1"/>
    <col min="3" max="12" width="7.5703125" style="27" customWidth="1"/>
    <col min="13" max="13" width="5.85546875" style="6" bestFit="1" customWidth="1"/>
    <col min="14" max="14" width="8" style="6" bestFit="1" customWidth="1"/>
    <col min="15" max="16384" width="9.140625" style="6"/>
  </cols>
  <sheetData>
    <row r="1" spans="1:19" s="21" customFormat="1" ht="28.5" customHeight="1">
      <c r="A1" s="979" t="s">
        <v>189</v>
      </c>
      <c r="B1" s="979"/>
      <c r="C1" s="979"/>
      <c r="D1" s="979"/>
      <c r="E1" s="979"/>
      <c r="F1" s="979"/>
      <c r="G1" s="979"/>
      <c r="H1" s="979"/>
      <c r="I1" s="979"/>
      <c r="J1" s="979"/>
      <c r="K1" s="979"/>
      <c r="L1" s="979"/>
    </row>
    <row r="2" spans="1:19" ht="15" customHeight="1">
      <c r="A2" s="153"/>
      <c r="B2" s="153"/>
      <c r="C2" s="153"/>
      <c r="D2" s="153"/>
      <c r="E2" s="153"/>
      <c r="F2" s="153"/>
      <c r="G2" s="153"/>
      <c r="H2" s="153"/>
      <c r="I2" s="153"/>
      <c r="J2" s="153"/>
      <c r="K2" s="153"/>
      <c r="L2" s="153"/>
    </row>
    <row r="3" spans="1:19" ht="15" customHeight="1">
      <c r="A3" s="207" t="s">
        <v>13</v>
      </c>
      <c r="B3" s="153"/>
      <c r="C3" s="153"/>
      <c r="D3" s="153"/>
      <c r="E3" s="153"/>
      <c r="F3" s="153"/>
      <c r="G3" s="153"/>
      <c r="H3" s="153"/>
      <c r="I3" s="153"/>
      <c r="J3" s="153"/>
      <c r="K3" s="153"/>
      <c r="L3" s="153"/>
    </row>
    <row r="4" spans="1:19" ht="28.5" customHeight="1" thickBot="1">
      <c r="A4" s="169"/>
      <c r="B4" s="169">
        <v>2014</v>
      </c>
      <c r="C4" s="169">
        <v>2015</v>
      </c>
      <c r="D4" s="169">
        <v>2016</v>
      </c>
      <c r="E4" s="169">
        <v>2017</v>
      </c>
      <c r="F4" s="169">
        <v>2018</v>
      </c>
      <c r="G4" s="169">
        <v>2019</v>
      </c>
      <c r="H4" s="169">
        <v>2020</v>
      </c>
      <c r="I4" s="169">
        <v>2021</v>
      </c>
      <c r="J4" s="169">
        <v>2022</v>
      </c>
      <c r="K4" s="169">
        <v>2023</v>
      </c>
      <c r="L4" s="169">
        <v>2024</v>
      </c>
    </row>
    <row r="5" spans="1:19" ht="20.25" customHeight="1" thickTop="1">
      <c r="A5" s="213" t="s">
        <v>11</v>
      </c>
      <c r="B5" s="325">
        <v>270181</v>
      </c>
      <c r="C5" s="325">
        <v>273060</v>
      </c>
      <c r="D5" s="325">
        <v>276332</v>
      </c>
      <c r="E5" s="325">
        <v>279191</v>
      </c>
      <c r="F5" s="325">
        <v>282236</v>
      </c>
      <c r="G5" s="325">
        <v>275751</v>
      </c>
      <c r="H5" s="325">
        <v>277641</v>
      </c>
      <c r="I5" s="325">
        <v>271806</v>
      </c>
      <c r="J5" s="325">
        <v>284860</v>
      </c>
      <c r="K5" s="325">
        <v>291252</v>
      </c>
      <c r="L5" s="325">
        <v>288763</v>
      </c>
      <c r="P5" s="645">
        <f>+B4</f>
        <v>2014</v>
      </c>
      <c r="Q5" s="645">
        <f>+L4</f>
        <v>2024</v>
      </c>
      <c r="R5" s="645">
        <f>+P5</f>
        <v>2014</v>
      </c>
      <c r="S5" s="645">
        <f>+Q5</f>
        <v>2024</v>
      </c>
    </row>
    <row r="6" spans="1:19" ht="20.25" customHeight="1">
      <c r="A6" s="167" t="s">
        <v>31</v>
      </c>
      <c r="B6" s="326">
        <v>183322</v>
      </c>
      <c r="C6" s="326">
        <v>183676</v>
      </c>
      <c r="D6" s="326">
        <v>184323</v>
      </c>
      <c r="E6" s="326">
        <v>183810</v>
      </c>
      <c r="F6" s="326">
        <v>183942</v>
      </c>
      <c r="G6" s="326">
        <v>176799</v>
      </c>
      <c r="H6" s="326">
        <v>179247</v>
      </c>
      <c r="I6" s="326">
        <v>173933</v>
      </c>
      <c r="J6" s="326">
        <v>180778</v>
      </c>
      <c r="K6" s="326">
        <v>183130</v>
      </c>
      <c r="L6" s="326">
        <v>180348</v>
      </c>
      <c r="N6" s="6" t="s">
        <v>11</v>
      </c>
      <c r="P6" s="644">
        <f>+B5</f>
        <v>270181</v>
      </c>
      <c r="Q6" s="644">
        <f>+L5</f>
        <v>288763</v>
      </c>
      <c r="R6" s="557">
        <f>+P6*100/P$6</f>
        <v>100</v>
      </c>
      <c r="S6" s="557">
        <f>+Q6*100/Q$6</f>
        <v>100</v>
      </c>
    </row>
    <row r="7" spans="1:19" ht="15" customHeight="1">
      <c r="A7" s="167" t="s">
        <v>32</v>
      </c>
      <c r="B7" s="326">
        <v>46458</v>
      </c>
      <c r="C7" s="326">
        <v>47537</v>
      </c>
      <c r="D7" s="326">
        <v>48841</v>
      </c>
      <c r="E7" s="326">
        <v>50093</v>
      </c>
      <c r="F7" s="326">
        <v>51130</v>
      </c>
      <c r="G7" s="326">
        <v>51062</v>
      </c>
      <c r="H7" s="326">
        <v>50987</v>
      </c>
      <c r="I7" s="326">
        <v>50356</v>
      </c>
      <c r="J7" s="326">
        <v>53010</v>
      </c>
      <c r="K7" s="326">
        <v>54578</v>
      </c>
      <c r="L7" s="326">
        <v>54270</v>
      </c>
      <c r="N7" s="6" t="s">
        <v>429</v>
      </c>
      <c r="O7" s="207" t="s">
        <v>753</v>
      </c>
      <c r="P7" s="198">
        <f>+SUM(B6:B7)</f>
        <v>229780</v>
      </c>
      <c r="Q7" s="198">
        <f>+SUM(L6:L7)</f>
        <v>234618</v>
      </c>
      <c r="R7" s="557">
        <f t="shared" ref="R7:S10" si="0">+P7*100/P$6</f>
        <v>85.046690922011535</v>
      </c>
      <c r="S7" s="557">
        <f t="shared" si="0"/>
        <v>81.24932903453697</v>
      </c>
    </row>
    <row r="8" spans="1:19" ht="15" customHeight="1">
      <c r="A8" s="167" t="s">
        <v>33</v>
      </c>
      <c r="B8" s="326">
        <v>21365</v>
      </c>
      <c r="C8" s="326">
        <v>22229</v>
      </c>
      <c r="D8" s="326">
        <v>22691</v>
      </c>
      <c r="E8" s="326">
        <v>23845</v>
      </c>
      <c r="F8" s="326">
        <v>24854</v>
      </c>
      <c r="G8" s="326">
        <v>25228</v>
      </c>
      <c r="H8" s="326">
        <v>24918</v>
      </c>
      <c r="I8" s="326">
        <v>24760</v>
      </c>
      <c r="J8" s="326">
        <v>26412</v>
      </c>
      <c r="K8" s="326">
        <v>27572</v>
      </c>
      <c r="L8" s="326">
        <v>27854</v>
      </c>
      <c r="N8" s="6" t="s">
        <v>754</v>
      </c>
      <c r="O8" s="207" t="s">
        <v>755</v>
      </c>
      <c r="P8" s="198">
        <f>+SUM(B8:B9)</f>
        <v>33792</v>
      </c>
      <c r="Q8" s="198">
        <f>+SUM(L8:L9)</f>
        <v>44619</v>
      </c>
      <c r="R8" s="557">
        <f t="shared" si="0"/>
        <v>12.50717111862048</v>
      </c>
      <c r="S8" s="557">
        <f t="shared" si="0"/>
        <v>15.451771868279524</v>
      </c>
    </row>
    <row r="9" spans="1:19" ht="15" customHeight="1">
      <c r="A9" s="167" t="s">
        <v>34</v>
      </c>
      <c r="B9" s="326">
        <v>12427</v>
      </c>
      <c r="C9" s="326">
        <v>12757</v>
      </c>
      <c r="D9" s="326">
        <v>13304</v>
      </c>
      <c r="E9" s="326">
        <v>13912</v>
      </c>
      <c r="F9" s="326">
        <v>14431</v>
      </c>
      <c r="G9" s="326">
        <v>14586</v>
      </c>
      <c r="H9" s="326">
        <v>14518</v>
      </c>
      <c r="I9" s="326">
        <v>14643</v>
      </c>
      <c r="J9" s="326">
        <v>15784</v>
      </c>
      <c r="K9" s="326">
        <v>16607</v>
      </c>
      <c r="L9" s="326">
        <v>16765</v>
      </c>
      <c r="N9" s="6" t="s">
        <v>242</v>
      </c>
      <c r="O9" s="207" t="s">
        <v>756</v>
      </c>
      <c r="P9" s="198">
        <f>+SUM(B10:B13)</f>
        <v>5763</v>
      </c>
      <c r="Q9" s="198">
        <f>+SUM(L10:L13)</f>
        <v>8207</v>
      </c>
      <c r="R9" s="557">
        <f t="shared" si="0"/>
        <v>2.1330145347008118</v>
      </c>
      <c r="S9" s="557">
        <f t="shared" si="0"/>
        <v>2.8421231251926322</v>
      </c>
    </row>
    <row r="10" spans="1:19" ht="15" customHeight="1">
      <c r="A10" s="167" t="s">
        <v>35</v>
      </c>
      <c r="B10" s="326">
        <v>3741</v>
      </c>
      <c r="C10" s="326">
        <v>3905</v>
      </c>
      <c r="D10" s="326">
        <v>4079</v>
      </c>
      <c r="E10" s="326">
        <v>4250</v>
      </c>
      <c r="F10" s="326">
        <v>4429</v>
      </c>
      <c r="G10" s="326">
        <v>4536</v>
      </c>
      <c r="H10" s="326">
        <v>4520</v>
      </c>
      <c r="I10" s="326">
        <v>4542</v>
      </c>
      <c r="J10" s="326">
        <v>5012</v>
      </c>
      <c r="K10" s="326">
        <v>5272</v>
      </c>
      <c r="L10" s="326">
        <v>5324</v>
      </c>
      <c r="O10" s="207" t="s">
        <v>757</v>
      </c>
      <c r="P10" s="198">
        <f>+SUM(B14:B16)</f>
        <v>846</v>
      </c>
      <c r="Q10" s="198">
        <f>+SUM(L14:L16)</f>
        <v>1319</v>
      </c>
      <c r="R10" s="557">
        <f t="shared" si="0"/>
        <v>0.31312342466716758</v>
      </c>
      <c r="S10" s="557">
        <f t="shared" si="0"/>
        <v>0.45677597199087139</v>
      </c>
    </row>
    <row r="11" spans="1:19" ht="15" customHeight="1">
      <c r="A11" s="167" t="s">
        <v>36</v>
      </c>
      <c r="B11" s="326">
        <v>1165</v>
      </c>
      <c r="C11" s="326">
        <v>1207</v>
      </c>
      <c r="D11" s="326">
        <v>1254</v>
      </c>
      <c r="E11" s="326">
        <v>1338</v>
      </c>
      <c r="F11" s="326">
        <v>1377</v>
      </c>
      <c r="G11" s="326">
        <v>1405</v>
      </c>
      <c r="H11" s="326">
        <v>1359</v>
      </c>
      <c r="I11" s="326">
        <v>1460</v>
      </c>
      <c r="J11" s="326">
        <v>1538</v>
      </c>
      <c r="K11" s="326">
        <v>1621</v>
      </c>
      <c r="L11" s="326">
        <v>1664</v>
      </c>
      <c r="N11" s="6" t="s">
        <v>226</v>
      </c>
      <c r="P11" s="198">
        <f>+P7+P8</f>
        <v>263572</v>
      </c>
      <c r="Q11" s="198">
        <f t="shared" ref="Q11:S11" si="1">+Q7+Q8</f>
        <v>279237</v>
      </c>
      <c r="R11" s="590">
        <f t="shared" si="1"/>
        <v>97.553862040632012</v>
      </c>
      <c r="S11" s="590">
        <f t="shared" si="1"/>
        <v>96.701100902816492</v>
      </c>
    </row>
    <row r="12" spans="1:19" ht="15" customHeight="1">
      <c r="A12" s="167" t="s">
        <v>37</v>
      </c>
      <c r="B12" s="326">
        <v>549</v>
      </c>
      <c r="C12" s="326">
        <v>533</v>
      </c>
      <c r="D12" s="326">
        <v>567</v>
      </c>
      <c r="E12" s="326">
        <v>600</v>
      </c>
      <c r="F12" s="326">
        <v>641</v>
      </c>
      <c r="G12" s="326">
        <v>648</v>
      </c>
      <c r="H12" s="326">
        <v>658</v>
      </c>
      <c r="I12" s="326">
        <v>637</v>
      </c>
      <c r="J12" s="326">
        <v>706</v>
      </c>
      <c r="K12" s="326">
        <v>747</v>
      </c>
      <c r="L12" s="326">
        <v>763</v>
      </c>
    </row>
    <row r="13" spans="1:19" ht="15" customHeight="1">
      <c r="A13" s="167" t="s">
        <v>38</v>
      </c>
      <c r="B13" s="326">
        <v>308</v>
      </c>
      <c r="C13" s="326">
        <v>331</v>
      </c>
      <c r="D13" s="326">
        <v>331</v>
      </c>
      <c r="E13" s="326">
        <v>345</v>
      </c>
      <c r="F13" s="326">
        <v>377</v>
      </c>
      <c r="G13" s="326">
        <v>389</v>
      </c>
      <c r="H13" s="326">
        <v>361</v>
      </c>
      <c r="I13" s="326">
        <v>395</v>
      </c>
      <c r="J13" s="326">
        <v>435</v>
      </c>
      <c r="K13" s="326">
        <v>449</v>
      </c>
      <c r="L13" s="326">
        <v>456</v>
      </c>
    </row>
    <row r="14" spans="1:19" ht="15" customHeight="1">
      <c r="A14" s="167" t="s">
        <v>39</v>
      </c>
      <c r="B14" s="326">
        <v>483</v>
      </c>
      <c r="C14" s="326">
        <v>508</v>
      </c>
      <c r="D14" s="326">
        <v>541</v>
      </c>
      <c r="E14" s="326">
        <v>581</v>
      </c>
      <c r="F14" s="326">
        <v>611</v>
      </c>
      <c r="G14" s="326">
        <v>620</v>
      </c>
      <c r="H14" s="326">
        <v>600</v>
      </c>
      <c r="I14" s="326">
        <v>604</v>
      </c>
      <c r="J14" s="326">
        <v>653</v>
      </c>
      <c r="K14" s="326">
        <v>729</v>
      </c>
      <c r="L14" s="326">
        <v>764</v>
      </c>
    </row>
    <row r="15" spans="1:19" ht="15" customHeight="1">
      <c r="A15" s="167" t="s">
        <v>40</v>
      </c>
      <c r="B15" s="326">
        <v>196</v>
      </c>
      <c r="C15" s="326">
        <v>213</v>
      </c>
      <c r="D15" s="326">
        <v>223</v>
      </c>
      <c r="E15" s="326">
        <v>229</v>
      </c>
      <c r="F15" s="326">
        <v>247</v>
      </c>
      <c r="G15" s="326">
        <v>273</v>
      </c>
      <c r="H15" s="326">
        <v>265</v>
      </c>
      <c r="I15" s="326">
        <v>258</v>
      </c>
      <c r="J15" s="326">
        <v>305</v>
      </c>
      <c r="K15" s="326">
        <v>305</v>
      </c>
      <c r="L15" s="326">
        <v>314</v>
      </c>
    </row>
    <row r="16" spans="1:19" ht="15" customHeight="1">
      <c r="A16" s="208" t="s">
        <v>139</v>
      </c>
      <c r="B16" s="327">
        <v>167</v>
      </c>
      <c r="C16" s="327">
        <v>164</v>
      </c>
      <c r="D16" s="327">
        <v>178</v>
      </c>
      <c r="E16" s="327">
        <v>188</v>
      </c>
      <c r="F16" s="327">
        <v>197</v>
      </c>
      <c r="G16" s="327">
        <v>205</v>
      </c>
      <c r="H16" s="327">
        <v>208</v>
      </c>
      <c r="I16" s="327">
        <v>218</v>
      </c>
      <c r="J16" s="327">
        <v>227</v>
      </c>
      <c r="K16" s="327">
        <v>242</v>
      </c>
      <c r="L16" s="327">
        <v>241</v>
      </c>
    </row>
    <row r="17" spans="1:12" ht="24.95" customHeight="1">
      <c r="A17" s="980" t="s">
        <v>768</v>
      </c>
      <c r="B17" s="980"/>
      <c r="C17" s="980"/>
      <c r="D17" s="980"/>
      <c r="E17" s="980"/>
      <c r="F17" s="980"/>
      <c r="G17" s="980"/>
      <c r="H17" s="980"/>
      <c r="I17" s="980"/>
      <c r="J17" s="980"/>
      <c r="K17" s="980"/>
      <c r="L17" s="980"/>
    </row>
    <row r="18" spans="1:12" s="2" customFormat="1" ht="13.5" customHeight="1">
      <c r="A18" s="210" t="s">
        <v>769</v>
      </c>
      <c r="B18" s="170"/>
      <c r="C18" s="170"/>
      <c r="D18" s="170"/>
      <c r="E18" s="170"/>
      <c r="F18" s="170"/>
      <c r="G18" s="170"/>
      <c r="H18" s="170"/>
      <c r="I18" s="170"/>
      <c r="J18" s="170"/>
      <c r="K18" s="170"/>
      <c r="L18" s="170"/>
    </row>
    <row r="21" spans="1:12">
      <c r="B21" s="556">
        <f>SUM(B6:B9)</f>
        <v>263572</v>
      </c>
      <c r="C21" s="556">
        <f t="shared" ref="C21:L21" si="2">SUM(C6:C9)</f>
        <v>266199</v>
      </c>
      <c r="D21" s="556">
        <f t="shared" si="2"/>
        <v>269159</v>
      </c>
      <c r="E21" s="556">
        <f t="shared" si="2"/>
        <v>271660</v>
      </c>
      <c r="F21" s="556">
        <f t="shared" si="2"/>
        <v>274357</v>
      </c>
      <c r="G21" s="556">
        <f t="shared" si="2"/>
        <v>267675</v>
      </c>
      <c r="H21" s="556">
        <f t="shared" si="2"/>
        <v>269670</v>
      </c>
      <c r="I21" s="556">
        <f t="shared" si="2"/>
        <v>263692</v>
      </c>
      <c r="J21" s="556">
        <f t="shared" si="2"/>
        <v>275984</v>
      </c>
      <c r="K21" s="556">
        <f t="shared" si="2"/>
        <v>281887</v>
      </c>
      <c r="L21" s="556">
        <f t="shared" si="2"/>
        <v>279237</v>
      </c>
    </row>
    <row r="22" spans="1:12">
      <c r="B22" s="557">
        <f>+B21/B5*100</f>
        <v>97.553862040632026</v>
      </c>
      <c r="C22" s="557">
        <f t="shared" ref="C22:L22" si="3">+C21/C5*100</f>
        <v>97.487365414194684</v>
      </c>
      <c r="D22" s="557">
        <f t="shared" si="3"/>
        <v>97.404209429237298</v>
      </c>
      <c r="E22" s="557">
        <f t="shared" si="3"/>
        <v>97.30256347804908</v>
      </c>
      <c r="F22" s="557">
        <f t="shared" si="3"/>
        <v>97.208364631018014</v>
      </c>
      <c r="G22" s="557">
        <f t="shared" si="3"/>
        <v>97.071270820414071</v>
      </c>
      <c r="H22" s="557">
        <f t="shared" si="3"/>
        <v>97.129026332566156</v>
      </c>
      <c r="I22" s="557">
        <f t="shared" si="3"/>
        <v>97.014782602297217</v>
      </c>
      <c r="J22" s="557">
        <f t="shared" si="3"/>
        <v>96.88408340939408</v>
      </c>
      <c r="K22" s="557">
        <f t="shared" si="3"/>
        <v>96.784571436419327</v>
      </c>
      <c r="L22" s="557">
        <f t="shared" si="3"/>
        <v>96.701100902816492</v>
      </c>
    </row>
    <row r="23" spans="1:12">
      <c r="C23" s="6"/>
      <c r="D23" s="6"/>
      <c r="E23" s="6"/>
      <c r="F23" s="6"/>
      <c r="G23" s="6"/>
      <c r="H23" s="6"/>
      <c r="I23" s="6"/>
      <c r="J23" s="6"/>
      <c r="K23" s="6"/>
      <c r="L23" s="6"/>
    </row>
    <row r="24" spans="1:12">
      <c r="B24" s="556">
        <f>+B6+B7</f>
        <v>229780</v>
      </c>
      <c r="C24" s="556">
        <f t="shared" ref="C24:L24" si="4">+C6+C7</f>
        <v>231213</v>
      </c>
      <c r="D24" s="556">
        <f t="shared" si="4"/>
        <v>233164</v>
      </c>
      <c r="E24" s="556">
        <f t="shared" si="4"/>
        <v>233903</v>
      </c>
      <c r="F24" s="556">
        <f t="shared" si="4"/>
        <v>235072</v>
      </c>
      <c r="G24" s="556">
        <f t="shared" si="4"/>
        <v>227861</v>
      </c>
      <c r="H24" s="556">
        <f t="shared" si="4"/>
        <v>230234</v>
      </c>
      <c r="I24" s="556">
        <f t="shared" si="4"/>
        <v>224289</v>
      </c>
      <c r="J24" s="556">
        <f t="shared" si="4"/>
        <v>233788</v>
      </c>
      <c r="K24" s="556">
        <f t="shared" si="4"/>
        <v>237708</v>
      </c>
      <c r="L24" s="556">
        <f t="shared" si="4"/>
        <v>234618</v>
      </c>
    </row>
    <row r="25" spans="1:12">
      <c r="B25" s="557">
        <f>+B24/B5*100</f>
        <v>85.046690922011535</v>
      </c>
      <c r="C25" s="557">
        <f t="shared" ref="C25:L25" si="5">+C24/C5*100</f>
        <v>84.674796747967491</v>
      </c>
      <c r="D25" s="557">
        <f t="shared" si="5"/>
        <v>84.378211716341212</v>
      </c>
      <c r="E25" s="557">
        <f t="shared" si="5"/>
        <v>83.778846739328998</v>
      </c>
      <c r="F25" s="557">
        <f t="shared" si="5"/>
        <v>83.289162261369924</v>
      </c>
      <c r="G25" s="557">
        <f t="shared" si="5"/>
        <v>82.632882564342466</v>
      </c>
      <c r="H25" s="557">
        <f t="shared" si="5"/>
        <v>82.92507230560328</v>
      </c>
      <c r="I25" s="557">
        <f t="shared" si="5"/>
        <v>82.518045959250358</v>
      </c>
      <c r="J25" s="557">
        <f t="shared" si="5"/>
        <v>82.071192866671353</v>
      </c>
      <c r="K25" s="557">
        <f t="shared" si="5"/>
        <v>81.615920234024145</v>
      </c>
      <c r="L25" s="557">
        <f t="shared" si="5"/>
        <v>81.24932903453697</v>
      </c>
    </row>
    <row r="28" spans="1:12">
      <c r="B28" s="556">
        <f>+B8+B9</f>
        <v>33792</v>
      </c>
      <c r="C28" s="556">
        <f t="shared" ref="C28:L28" si="6">+C8+C9</f>
        <v>34986</v>
      </c>
      <c r="D28" s="556">
        <f t="shared" si="6"/>
        <v>35995</v>
      </c>
      <c r="E28" s="556">
        <f t="shared" si="6"/>
        <v>37757</v>
      </c>
      <c r="F28" s="556">
        <f t="shared" si="6"/>
        <v>39285</v>
      </c>
      <c r="G28" s="556">
        <f t="shared" si="6"/>
        <v>39814</v>
      </c>
      <c r="H28" s="556">
        <f t="shared" si="6"/>
        <v>39436</v>
      </c>
      <c r="I28" s="556">
        <f t="shared" si="6"/>
        <v>39403</v>
      </c>
      <c r="J28" s="556">
        <f t="shared" si="6"/>
        <v>42196</v>
      </c>
      <c r="K28" s="556">
        <f t="shared" si="6"/>
        <v>44179</v>
      </c>
      <c r="L28" s="556">
        <f t="shared" si="6"/>
        <v>44619</v>
      </c>
    </row>
    <row r="29" spans="1:12">
      <c r="B29" s="557">
        <f>+B28/B5*100</f>
        <v>12.50717111862048</v>
      </c>
      <c r="C29" s="557">
        <f t="shared" ref="C29:L29" si="7">+C28/C5*100</f>
        <v>12.812568666227204</v>
      </c>
      <c r="D29" s="557">
        <f t="shared" si="7"/>
        <v>13.025997712896082</v>
      </c>
      <c r="E29" s="557">
        <f t="shared" si="7"/>
        <v>13.523716738720088</v>
      </c>
      <c r="F29" s="557">
        <f t="shared" si="7"/>
        <v>13.919202369648096</v>
      </c>
      <c r="G29" s="557">
        <f t="shared" si="7"/>
        <v>14.438388256071603</v>
      </c>
      <c r="H29" s="557">
        <f t="shared" si="7"/>
        <v>14.203954026962876</v>
      </c>
      <c r="I29" s="557">
        <f t="shared" si="7"/>
        <v>14.496736643046878</v>
      </c>
      <c r="J29" s="557">
        <f t="shared" si="7"/>
        <v>14.812890542722739</v>
      </c>
      <c r="K29" s="557">
        <f t="shared" si="7"/>
        <v>15.168651202395179</v>
      </c>
      <c r="L29" s="557">
        <f t="shared" si="7"/>
        <v>15.451771868279524</v>
      </c>
    </row>
  </sheetData>
  <mergeCells count="2">
    <mergeCell ref="A1:L1"/>
    <mergeCell ref="A17:L17"/>
  </mergeCells>
  <phoneticPr fontId="24" type="noConversion"/>
  <conditionalFormatting sqref="B5:I16">
    <cfRule type="cellIs" dxfId="2411" priority="36" operator="equal">
      <formula>0</formula>
    </cfRule>
  </conditionalFormatting>
  <conditionalFormatting sqref="J16">
    <cfRule type="cellIs" dxfId="2410" priority="18" operator="equal">
      <formula>0</formula>
    </cfRule>
  </conditionalFormatting>
  <conditionalFormatting sqref="J5:J15">
    <cfRule type="cellIs" dxfId="2409" priority="17" operator="equal">
      <formula>0</formula>
    </cfRule>
  </conditionalFormatting>
  <conditionalFormatting sqref="E18">
    <cfRule type="cellIs" dxfId="2408" priority="7" operator="equal">
      <formula>0</formula>
    </cfRule>
  </conditionalFormatting>
  <conditionalFormatting sqref="K16">
    <cfRule type="cellIs" dxfId="2407" priority="15" operator="equal">
      <formula>0</formula>
    </cfRule>
  </conditionalFormatting>
  <conditionalFormatting sqref="K5:K15">
    <cfRule type="cellIs" dxfId="2406" priority="14" operator="equal">
      <formula>0</formula>
    </cfRule>
  </conditionalFormatting>
  <conditionalFormatting sqref="I18">
    <cfRule type="cellIs" dxfId="2405" priority="4" operator="equal">
      <formula>0</formula>
    </cfRule>
  </conditionalFormatting>
  <conditionalFormatting sqref="L16">
    <cfRule type="cellIs" dxfId="2404" priority="12" operator="equal">
      <formula>0</formula>
    </cfRule>
  </conditionalFormatting>
  <conditionalFormatting sqref="L5:L15">
    <cfRule type="cellIs" dxfId="2403" priority="11" operator="equal">
      <formula>0</formula>
    </cfRule>
  </conditionalFormatting>
  <conditionalFormatting sqref="F18 B18:C18">
    <cfRule type="cellIs" dxfId="2402" priority="9" operator="equal">
      <formula>0</formula>
    </cfRule>
  </conditionalFormatting>
  <conditionalFormatting sqref="D18">
    <cfRule type="cellIs" dxfId="2401" priority="8" operator="equal">
      <formula>0</formula>
    </cfRule>
  </conditionalFormatting>
  <conditionalFormatting sqref="G18">
    <cfRule type="cellIs" dxfId="2400" priority="6" operator="equal">
      <formula>0</formula>
    </cfRule>
  </conditionalFormatting>
  <conditionalFormatting sqref="H18">
    <cfRule type="cellIs" dxfId="2399" priority="5" operator="equal">
      <formula>0</formula>
    </cfRule>
  </conditionalFormatting>
  <conditionalFormatting sqref="J18">
    <cfRule type="cellIs" dxfId="2398" priority="3" operator="equal">
      <formula>0</formula>
    </cfRule>
  </conditionalFormatting>
  <conditionalFormatting sqref="K18">
    <cfRule type="cellIs" dxfId="2397" priority="2" operator="equal">
      <formula>0</formula>
    </cfRule>
  </conditionalFormatting>
  <conditionalFormatting sqref="L18">
    <cfRule type="cellIs" dxfId="2396"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51">
    <tabColor indexed="24"/>
    <pageSetUpPr fitToPage="1"/>
  </sheetPr>
  <dimension ref="A1:AK25"/>
  <sheetViews>
    <sheetView showGridLines="0" workbookViewId="0">
      <selection activeCell="Y70" sqref="Y70"/>
    </sheetView>
  </sheetViews>
  <sheetFormatPr defaultColWidth="9.140625" defaultRowHeight="11.25"/>
  <cols>
    <col min="1" max="1" width="17.140625" style="2" customWidth="1"/>
    <col min="2" max="2" width="7.5703125" style="20" customWidth="1"/>
    <col min="3" max="12" width="7.5703125" style="2" customWidth="1"/>
    <col min="13" max="14" width="5.85546875" style="2" bestFit="1" customWidth="1"/>
    <col min="15" max="16384" width="9.140625" style="2"/>
  </cols>
  <sheetData>
    <row r="1" spans="1:37" s="1" customFormat="1" ht="29.25" customHeight="1">
      <c r="A1" s="981" t="s">
        <v>190</v>
      </c>
      <c r="B1" s="981"/>
      <c r="C1" s="981"/>
      <c r="D1" s="981"/>
      <c r="E1" s="981"/>
      <c r="F1" s="981"/>
      <c r="G1" s="981"/>
      <c r="H1" s="981"/>
      <c r="I1" s="981"/>
      <c r="J1" s="981"/>
      <c r="K1" s="981"/>
      <c r="L1" s="981"/>
    </row>
    <row r="2" spans="1:37" ht="15" customHeight="1">
      <c r="A2" s="9"/>
      <c r="B2" s="10"/>
      <c r="C2" s="172"/>
      <c r="D2" s="172"/>
      <c r="E2" s="172"/>
      <c r="F2" s="172"/>
      <c r="G2" s="172"/>
      <c r="H2" s="172"/>
      <c r="I2" s="172"/>
      <c r="J2" s="172"/>
      <c r="K2" s="172"/>
      <c r="L2" s="172"/>
    </row>
    <row r="3" spans="1:37" ht="15" customHeight="1">
      <c r="A3" s="11" t="s">
        <v>41</v>
      </c>
      <c r="B3" s="12"/>
      <c r="C3" s="172"/>
      <c r="D3" s="172"/>
      <c r="E3" s="172"/>
      <c r="F3" s="172"/>
      <c r="G3" s="172"/>
      <c r="H3" s="172"/>
      <c r="I3" s="172"/>
      <c r="J3" s="172"/>
      <c r="K3" s="172"/>
      <c r="L3" s="172"/>
    </row>
    <row r="4" spans="1:37" ht="28.5" customHeight="1" thickBot="1">
      <c r="A4" s="13"/>
      <c r="B4" s="14">
        <v>2014</v>
      </c>
      <c r="C4" s="14">
        <v>2015</v>
      </c>
      <c r="D4" s="14">
        <v>2016</v>
      </c>
      <c r="E4" s="14">
        <v>2017</v>
      </c>
      <c r="F4" s="14">
        <v>2018</v>
      </c>
      <c r="G4" s="14">
        <v>2019</v>
      </c>
      <c r="H4" s="14">
        <v>2020</v>
      </c>
      <c r="I4" s="14">
        <v>2021</v>
      </c>
      <c r="J4" s="14">
        <v>2022</v>
      </c>
      <c r="K4" s="14">
        <v>2023</v>
      </c>
      <c r="L4" s="14">
        <v>2024</v>
      </c>
      <c r="O4" s="378"/>
      <c r="P4" s="560">
        <f>+B4</f>
        <v>2014</v>
      </c>
      <c r="Q4" s="560">
        <f t="shared" ref="Q4:W4" si="0">+C4</f>
        <v>2015</v>
      </c>
      <c r="R4" s="560">
        <f t="shared" si="0"/>
        <v>2016</v>
      </c>
      <c r="S4" s="560">
        <f t="shared" si="0"/>
        <v>2017</v>
      </c>
      <c r="T4" s="560">
        <f t="shared" si="0"/>
        <v>2018</v>
      </c>
      <c r="U4" s="560">
        <f t="shared" si="0"/>
        <v>2019</v>
      </c>
      <c r="V4" s="560">
        <f t="shared" si="0"/>
        <v>2020</v>
      </c>
      <c r="W4" s="560">
        <f t="shared" si="0"/>
        <v>2021</v>
      </c>
      <c r="X4" s="560">
        <f>+J4</f>
        <v>2022</v>
      </c>
      <c r="Y4" s="560">
        <f t="shared" ref="Y4" si="1">+K4</f>
        <v>2023</v>
      </c>
      <c r="Z4" s="560">
        <f t="shared" ref="Z4" si="2">+L4</f>
        <v>2024</v>
      </c>
      <c r="AA4" s="560">
        <f>+B4</f>
        <v>2014</v>
      </c>
      <c r="AB4" s="560">
        <f t="shared" ref="AB4:AJ4" si="3">+C4</f>
        <v>2015</v>
      </c>
      <c r="AC4" s="560">
        <f t="shared" si="3"/>
        <v>2016</v>
      </c>
      <c r="AD4" s="560">
        <f t="shared" si="3"/>
        <v>2017</v>
      </c>
      <c r="AE4" s="560">
        <f t="shared" si="3"/>
        <v>2018</v>
      </c>
      <c r="AF4" s="560">
        <f t="shared" si="3"/>
        <v>2019</v>
      </c>
      <c r="AG4" s="560">
        <f t="shared" si="3"/>
        <v>2020</v>
      </c>
      <c r="AH4" s="560">
        <f t="shared" si="3"/>
        <v>2021</v>
      </c>
      <c r="AI4" s="560">
        <f t="shared" si="3"/>
        <v>2022</v>
      </c>
      <c r="AJ4" s="560">
        <f t="shared" si="3"/>
        <v>2023</v>
      </c>
      <c r="AK4" s="560">
        <f>+L4</f>
        <v>2024</v>
      </c>
    </row>
    <row r="5" spans="1:37" ht="20.25" customHeight="1" thickTop="1">
      <c r="A5" s="113" t="s">
        <v>11</v>
      </c>
      <c r="B5" s="328">
        <v>270181</v>
      </c>
      <c r="C5" s="328">
        <v>273060</v>
      </c>
      <c r="D5" s="328">
        <v>276332</v>
      </c>
      <c r="E5" s="328">
        <v>279191</v>
      </c>
      <c r="F5" s="328">
        <v>282236</v>
      </c>
      <c r="G5" s="328">
        <v>275751</v>
      </c>
      <c r="H5" s="328">
        <v>277641</v>
      </c>
      <c r="I5" s="328">
        <v>271806</v>
      </c>
      <c r="J5" s="328">
        <v>284860</v>
      </c>
      <c r="K5" s="328">
        <v>291252</v>
      </c>
      <c r="L5" s="328">
        <v>288763</v>
      </c>
    </row>
    <row r="6" spans="1:37" ht="20.25" customHeight="1">
      <c r="A6" s="15" t="s">
        <v>14</v>
      </c>
      <c r="B6" s="329">
        <v>19346</v>
      </c>
      <c r="C6" s="329">
        <v>19511</v>
      </c>
      <c r="D6" s="329">
        <v>19753</v>
      </c>
      <c r="E6" s="329">
        <v>19926</v>
      </c>
      <c r="F6" s="329">
        <v>20182</v>
      </c>
      <c r="G6" s="329">
        <v>19828</v>
      </c>
      <c r="H6" s="329">
        <v>19735</v>
      </c>
      <c r="I6" s="329">
        <v>19227</v>
      </c>
      <c r="J6" s="329">
        <v>19850</v>
      </c>
      <c r="K6" s="329">
        <v>19949</v>
      </c>
      <c r="L6" s="329">
        <v>19732</v>
      </c>
      <c r="N6" s="559">
        <f>+(L6/B6-1)*100</f>
        <v>1.9952444949860482</v>
      </c>
      <c r="O6" s="419">
        <f t="shared" ref="O6:O10" si="4">+L6-B6</f>
        <v>386</v>
      </c>
      <c r="P6" s="559">
        <f>B6*100/B$5</f>
        <v>7.1603850751903355</v>
      </c>
      <c r="Q6" s="559">
        <f t="shared" ref="Q6:Z6" si="5">C6*100/C$5</f>
        <v>7.1453160477550721</v>
      </c>
      <c r="R6" s="559">
        <f t="shared" si="5"/>
        <v>7.1482853958282062</v>
      </c>
      <c r="S6" s="559">
        <f t="shared" si="5"/>
        <v>7.1370495467260762</v>
      </c>
      <c r="T6" s="559">
        <f t="shared" si="5"/>
        <v>7.1507532703127881</v>
      </c>
      <c r="U6" s="559">
        <f t="shared" si="5"/>
        <v>7.1905450932181569</v>
      </c>
      <c r="V6" s="559">
        <f t="shared" si="5"/>
        <v>7.108100028454011</v>
      </c>
      <c r="W6" s="559">
        <f t="shared" si="5"/>
        <v>7.0737952804573849</v>
      </c>
      <c r="X6" s="559">
        <f t="shared" si="5"/>
        <v>6.9683353226146174</v>
      </c>
      <c r="Y6" s="559">
        <f t="shared" si="5"/>
        <v>6.8493950256135578</v>
      </c>
      <c r="Z6" s="559">
        <f t="shared" si="5"/>
        <v>6.8332854278422097</v>
      </c>
      <c r="AA6" s="2">
        <f>+RANK(B6,B$6:B$23,0)</f>
        <v>4</v>
      </c>
      <c r="AB6" s="2">
        <f t="shared" ref="AB6:AK21" si="6">+RANK(C6,C$6:C$23,0)</f>
        <v>4</v>
      </c>
      <c r="AC6" s="2">
        <f t="shared" si="6"/>
        <v>4</v>
      </c>
      <c r="AD6" s="2">
        <f t="shared" si="6"/>
        <v>4</v>
      </c>
      <c r="AE6" s="2">
        <f t="shared" si="6"/>
        <v>4</v>
      </c>
      <c r="AF6" s="2">
        <f t="shared" si="6"/>
        <v>4</v>
      </c>
      <c r="AG6" s="2">
        <f t="shared" si="6"/>
        <v>4</v>
      </c>
      <c r="AH6" s="2">
        <f t="shared" si="6"/>
        <v>4</v>
      </c>
      <c r="AI6" s="2">
        <f t="shared" si="6"/>
        <v>4</v>
      </c>
      <c r="AJ6" s="2">
        <f t="shared" si="6"/>
        <v>4</v>
      </c>
      <c r="AK6" s="2">
        <f>+RANK(L6,L$6:L$23,0)</f>
        <v>4</v>
      </c>
    </row>
    <row r="7" spans="1:37" ht="15" customHeight="1">
      <c r="A7" s="15" t="s">
        <v>15</v>
      </c>
      <c r="B7" s="329">
        <v>4126</v>
      </c>
      <c r="C7" s="329">
        <v>4182</v>
      </c>
      <c r="D7" s="329">
        <v>4271</v>
      </c>
      <c r="E7" s="329">
        <v>4352</v>
      </c>
      <c r="F7" s="329">
        <v>4398</v>
      </c>
      <c r="G7" s="329">
        <v>4357</v>
      </c>
      <c r="H7" s="329">
        <v>4387</v>
      </c>
      <c r="I7" s="329">
        <v>4403</v>
      </c>
      <c r="J7" s="329">
        <v>4593</v>
      </c>
      <c r="K7" s="329">
        <v>4837</v>
      </c>
      <c r="L7" s="329">
        <v>4889</v>
      </c>
      <c r="N7" s="559">
        <f t="shared" ref="N7:N23" si="7">+(L7/B7-1)*100</f>
        <v>18.492486669898199</v>
      </c>
      <c r="O7" s="419">
        <f t="shared" si="4"/>
        <v>763</v>
      </c>
      <c r="P7" s="559">
        <f t="shared" ref="P7:P23" si="8">B7*100/B$5</f>
        <v>1.5271244091923561</v>
      </c>
      <c r="Q7" s="559">
        <f t="shared" ref="Q7:Q23" si="9">C7*100/C$5</f>
        <v>1.5315315315315314</v>
      </c>
      <c r="R7" s="559">
        <f t="shared" ref="R7:R23" si="10">D7*100/D$5</f>
        <v>1.5456045626275638</v>
      </c>
      <c r="S7" s="559">
        <f t="shared" ref="S7:S23" si="11">E7*100/E$5</f>
        <v>1.5587895025269438</v>
      </c>
      <c r="T7" s="559">
        <f t="shared" ref="T7:T23" si="12">F7*100/F$5</f>
        <v>1.558270383650562</v>
      </c>
      <c r="U7" s="559">
        <f t="shared" ref="U7:U23" si="13">G7*100/G$5</f>
        <v>1.580048667094589</v>
      </c>
      <c r="V7" s="559">
        <f t="shared" ref="V7:V23" si="14">H7*100/H$5</f>
        <v>1.5800980402750315</v>
      </c>
      <c r="W7" s="559">
        <f t="shared" ref="W7:W23" si="15">I7*100/I$5</f>
        <v>1.6199053736856435</v>
      </c>
      <c r="X7" s="559">
        <f t="shared" ref="X7:X23" si="16">J7*100/J$5</f>
        <v>1.612370989257881</v>
      </c>
      <c r="Y7" s="559">
        <f t="shared" ref="Y7:Y23" si="17">K7*100/K$5</f>
        <v>1.6607611278205814</v>
      </c>
      <c r="Z7" s="559">
        <f t="shared" ref="Z7:Z23" si="18">L7*100/L$5</f>
        <v>1.6930839477356863</v>
      </c>
      <c r="AA7" s="2">
        <f t="shared" ref="AA7:AA23" si="19">+RANK(B7,B$6:B$23,0)</f>
        <v>16</v>
      </c>
      <c r="AB7" s="2">
        <f t="shared" si="6"/>
        <v>16</v>
      </c>
      <c r="AC7" s="2">
        <f t="shared" si="6"/>
        <v>16</v>
      </c>
      <c r="AD7" s="2">
        <f t="shared" si="6"/>
        <v>16</v>
      </c>
      <c r="AE7" s="2">
        <f t="shared" si="6"/>
        <v>15</v>
      </c>
      <c r="AF7" s="2">
        <f t="shared" si="6"/>
        <v>15</v>
      </c>
      <c r="AG7" s="2">
        <f t="shared" si="6"/>
        <v>15</v>
      </c>
      <c r="AH7" s="2">
        <f t="shared" si="6"/>
        <v>15</v>
      </c>
      <c r="AI7" s="2">
        <f t="shared" si="6"/>
        <v>15</v>
      </c>
      <c r="AJ7" s="2">
        <f t="shared" si="6"/>
        <v>14</v>
      </c>
      <c r="AK7" s="2">
        <f t="shared" si="6"/>
        <v>14</v>
      </c>
    </row>
    <row r="8" spans="1:37" ht="15" customHeight="1">
      <c r="A8" s="15" t="s">
        <v>65</v>
      </c>
      <c r="B8" s="329">
        <v>26240</v>
      </c>
      <c r="C8" s="329">
        <v>26600</v>
      </c>
      <c r="D8" s="329">
        <v>27141</v>
      </c>
      <c r="E8" s="329">
        <v>27607</v>
      </c>
      <c r="F8" s="329">
        <v>27722</v>
      </c>
      <c r="G8" s="329">
        <v>26943</v>
      </c>
      <c r="H8" s="329">
        <v>27215</v>
      </c>
      <c r="I8" s="329">
        <v>26761</v>
      </c>
      <c r="J8" s="329">
        <v>28579</v>
      </c>
      <c r="K8" s="329">
        <v>29169</v>
      </c>
      <c r="L8" s="329">
        <v>29000</v>
      </c>
      <c r="N8" s="559">
        <f t="shared" si="7"/>
        <v>10.518292682926834</v>
      </c>
      <c r="O8" s="419">
        <f t="shared" si="4"/>
        <v>2760</v>
      </c>
      <c r="P8" s="559">
        <f t="shared" si="8"/>
        <v>9.7120078762015094</v>
      </c>
      <c r="Q8" s="559">
        <f t="shared" si="9"/>
        <v>9.7414487658390101</v>
      </c>
      <c r="R8" s="559">
        <f t="shared" si="10"/>
        <v>9.8218809258428266</v>
      </c>
      <c r="S8" s="559">
        <f t="shared" si="11"/>
        <v>9.8882127289203456</v>
      </c>
      <c r="T8" s="559">
        <f t="shared" si="12"/>
        <v>9.8222763928060211</v>
      </c>
      <c r="U8" s="559">
        <f t="shared" si="13"/>
        <v>9.7707714568578172</v>
      </c>
      <c r="V8" s="559">
        <f t="shared" si="14"/>
        <v>9.8022266163859086</v>
      </c>
      <c r="W8" s="559">
        <f t="shared" si="15"/>
        <v>9.8456251885536012</v>
      </c>
      <c r="X8" s="559">
        <f t="shared" si="16"/>
        <v>10.032647616372955</v>
      </c>
      <c r="Y8" s="559">
        <f t="shared" si="17"/>
        <v>10.015038523340612</v>
      </c>
      <c r="Z8" s="559">
        <f t="shared" si="18"/>
        <v>10.04283789820718</v>
      </c>
      <c r="AA8" s="2">
        <f t="shared" si="19"/>
        <v>3</v>
      </c>
      <c r="AB8" s="2">
        <f t="shared" si="6"/>
        <v>3</v>
      </c>
      <c r="AC8" s="2">
        <f t="shared" si="6"/>
        <v>3</v>
      </c>
      <c r="AD8" s="2">
        <f t="shared" si="6"/>
        <v>3</v>
      </c>
      <c r="AE8" s="2">
        <f t="shared" si="6"/>
        <v>3</v>
      </c>
      <c r="AF8" s="2">
        <f t="shared" si="6"/>
        <v>3</v>
      </c>
      <c r="AG8" s="2">
        <f t="shared" si="6"/>
        <v>3</v>
      </c>
      <c r="AH8" s="2">
        <f t="shared" si="6"/>
        <v>3</v>
      </c>
      <c r="AI8" s="2">
        <f t="shared" si="6"/>
        <v>3</v>
      </c>
      <c r="AJ8" s="2">
        <f t="shared" si="6"/>
        <v>3</v>
      </c>
      <c r="AK8" s="2">
        <f t="shared" si="6"/>
        <v>3</v>
      </c>
    </row>
    <row r="9" spans="1:37" ht="15" customHeight="1">
      <c r="A9" s="15" t="s">
        <v>16</v>
      </c>
      <c r="B9" s="329">
        <v>3603</v>
      </c>
      <c r="C9" s="329">
        <v>3624</v>
      </c>
      <c r="D9" s="329">
        <v>3653</v>
      </c>
      <c r="E9" s="329">
        <v>3691</v>
      </c>
      <c r="F9" s="329">
        <v>3714</v>
      </c>
      <c r="G9" s="329">
        <v>3441</v>
      </c>
      <c r="H9" s="329">
        <v>3474</v>
      </c>
      <c r="I9" s="329">
        <v>3568</v>
      </c>
      <c r="J9" s="329">
        <v>3640</v>
      </c>
      <c r="K9" s="329">
        <v>3729</v>
      </c>
      <c r="L9" s="329">
        <v>3589</v>
      </c>
      <c r="N9" s="559">
        <f t="shared" si="7"/>
        <v>-0.38856508465168194</v>
      </c>
      <c r="O9" s="419">
        <f t="shared" si="4"/>
        <v>-14</v>
      </c>
      <c r="P9" s="559">
        <f t="shared" si="8"/>
        <v>1.3335504717208093</v>
      </c>
      <c r="Q9" s="559">
        <f t="shared" si="9"/>
        <v>1.3271808393759614</v>
      </c>
      <c r="R9" s="559">
        <f t="shared" si="10"/>
        <v>1.3219605402197356</v>
      </c>
      <c r="S9" s="559">
        <f t="shared" si="11"/>
        <v>1.3220340197212661</v>
      </c>
      <c r="T9" s="559">
        <f t="shared" si="12"/>
        <v>1.3159200102042263</v>
      </c>
      <c r="U9" s="559">
        <f t="shared" si="13"/>
        <v>1.2478649216140649</v>
      </c>
      <c r="V9" s="559">
        <f t="shared" si="14"/>
        <v>1.2512561185127558</v>
      </c>
      <c r="W9" s="559">
        <f t="shared" si="15"/>
        <v>1.3127009705451682</v>
      </c>
      <c r="X9" s="559">
        <f t="shared" si="16"/>
        <v>1.2778206838446957</v>
      </c>
      <c r="Y9" s="559">
        <f t="shared" si="17"/>
        <v>1.2803345556425363</v>
      </c>
      <c r="Z9" s="559">
        <f t="shared" si="18"/>
        <v>1.2428877660919162</v>
      </c>
      <c r="AA9" s="2">
        <f t="shared" si="19"/>
        <v>17</v>
      </c>
      <c r="AB9" s="2">
        <f t="shared" si="6"/>
        <v>17</v>
      </c>
      <c r="AC9" s="2">
        <f t="shared" si="6"/>
        <v>17</v>
      </c>
      <c r="AD9" s="2">
        <f t="shared" si="6"/>
        <v>17</v>
      </c>
      <c r="AE9" s="2">
        <f t="shared" si="6"/>
        <v>17</v>
      </c>
      <c r="AF9" s="2">
        <f t="shared" si="6"/>
        <v>17</v>
      </c>
      <c r="AG9" s="2">
        <f t="shared" si="6"/>
        <v>17</v>
      </c>
      <c r="AH9" s="2">
        <f t="shared" si="6"/>
        <v>17</v>
      </c>
      <c r="AI9" s="2">
        <f t="shared" si="6"/>
        <v>17</v>
      </c>
      <c r="AJ9" s="2">
        <f t="shared" si="6"/>
        <v>17</v>
      </c>
      <c r="AK9" s="2">
        <f t="shared" si="6"/>
        <v>17</v>
      </c>
    </row>
    <row r="10" spans="1:37" ht="15" customHeight="1">
      <c r="A10" s="15" t="s">
        <v>17</v>
      </c>
      <c r="B10" s="329">
        <v>4726</v>
      </c>
      <c r="C10" s="329">
        <v>4738</v>
      </c>
      <c r="D10" s="329">
        <v>4744</v>
      </c>
      <c r="E10" s="329">
        <v>4692</v>
      </c>
      <c r="F10" s="329">
        <v>4696</v>
      </c>
      <c r="G10" s="329">
        <v>4527</v>
      </c>
      <c r="H10" s="329">
        <v>4500</v>
      </c>
      <c r="I10" s="329">
        <v>4479</v>
      </c>
      <c r="J10" s="329">
        <v>4718</v>
      </c>
      <c r="K10" s="329">
        <v>4717</v>
      </c>
      <c r="L10" s="329">
        <v>4621</v>
      </c>
      <c r="N10" s="559">
        <f t="shared" si="7"/>
        <v>-2.2217520101565857</v>
      </c>
      <c r="O10" s="419">
        <f t="shared" si="4"/>
        <v>-105</v>
      </c>
      <c r="P10" s="559">
        <f t="shared" si="8"/>
        <v>1.7491977600201347</v>
      </c>
      <c r="Q10" s="559">
        <f t="shared" si="9"/>
        <v>1.7351497839302716</v>
      </c>
      <c r="R10" s="559">
        <f t="shared" si="10"/>
        <v>1.7167754729817755</v>
      </c>
      <c r="S10" s="559">
        <f t="shared" si="11"/>
        <v>1.6805699324118615</v>
      </c>
      <c r="T10" s="559">
        <f t="shared" si="12"/>
        <v>1.6638557802689948</v>
      </c>
      <c r="U10" s="559">
        <f t="shared" si="13"/>
        <v>1.6416984888540749</v>
      </c>
      <c r="V10" s="559">
        <f t="shared" si="14"/>
        <v>1.6207980809750722</v>
      </c>
      <c r="W10" s="559">
        <f t="shared" si="15"/>
        <v>1.6478664930133993</v>
      </c>
      <c r="X10" s="559">
        <f t="shared" si="16"/>
        <v>1.6562521940602402</v>
      </c>
      <c r="Y10" s="559">
        <f t="shared" si="17"/>
        <v>1.6195596940106849</v>
      </c>
      <c r="Z10" s="559">
        <f t="shared" si="18"/>
        <v>1.6002742733660476</v>
      </c>
      <c r="AA10" s="2">
        <f t="shared" si="19"/>
        <v>14</v>
      </c>
      <c r="AB10" s="2">
        <f t="shared" si="6"/>
        <v>14</v>
      </c>
      <c r="AC10" s="2">
        <f t="shared" si="6"/>
        <v>14</v>
      </c>
      <c r="AD10" s="2">
        <f t="shared" si="6"/>
        <v>14</v>
      </c>
      <c r="AE10" s="2">
        <f t="shared" si="6"/>
        <v>14</v>
      </c>
      <c r="AF10" s="2">
        <f t="shared" si="6"/>
        <v>14</v>
      </c>
      <c r="AG10" s="2">
        <f t="shared" si="6"/>
        <v>14</v>
      </c>
      <c r="AH10" s="2">
        <f t="shared" si="6"/>
        <v>14</v>
      </c>
      <c r="AI10" s="2">
        <f t="shared" si="6"/>
        <v>14</v>
      </c>
      <c r="AJ10" s="2">
        <f t="shared" si="6"/>
        <v>15</v>
      </c>
      <c r="AK10" s="2">
        <f t="shared" si="6"/>
        <v>15</v>
      </c>
    </row>
    <row r="11" spans="1:37" ht="15" customHeight="1">
      <c r="A11" s="15" t="s">
        <v>18</v>
      </c>
      <c r="B11" s="329">
        <v>10077</v>
      </c>
      <c r="C11" s="329">
        <v>10100</v>
      </c>
      <c r="D11" s="329">
        <v>10154</v>
      </c>
      <c r="E11" s="329">
        <v>10202</v>
      </c>
      <c r="F11" s="329">
        <v>10207</v>
      </c>
      <c r="G11" s="329">
        <v>9886</v>
      </c>
      <c r="H11" s="329">
        <v>9993</v>
      </c>
      <c r="I11" s="329">
        <v>9818</v>
      </c>
      <c r="J11" s="329">
        <v>10273</v>
      </c>
      <c r="K11" s="329">
        <v>10326</v>
      </c>
      <c r="L11" s="329">
        <v>10168</v>
      </c>
      <c r="N11" s="559">
        <f t="shared" si="7"/>
        <v>0.90304654162944864</v>
      </c>
      <c r="O11" s="419">
        <f t="shared" ref="O11:O23" si="20">+L11-B11</f>
        <v>91</v>
      </c>
      <c r="P11" s="559">
        <f t="shared" si="8"/>
        <v>3.7297219271525384</v>
      </c>
      <c r="Q11" s="559">
        <f t="shared" si="9"/>
        <v>3.6988207719915036</v>
      </c>
      <c r="R11" s="559">
        <f t="shared" si="10"/>
        <v>3.6745653778787837</v>
      </c>
      <c r="S11" s="559">
        <f t="shared" si="11"/>
        <v>3.654129252017436</v>
      </c>
      <c r="T11" s="559">
        <f t="shared" si="12"/>
        <v>3.6164769908870591</v>
      </c>
      <c r="U11" s="559">
        <f t="shared" si="13"/>
        <v>3.5851184583192808</v>
      </c>
      <c r="V11" s="559">
        <f t="shared" si="14"/>
        <v>3.5992522718186435</v>
      </c>
      <c r="W11" s="559">
        <f t="shared" si="15"/>
        <v>3.6121351257882459</v>
      </c>
      <c r="X11" s="559">
        <f t="shared" si="16"/>
        <v>3.6063329354770763</v>
      </c>
      <c r="Y11" s="559">
        <f t="shared" si="17"/>
        <v>3.545383379341601</v>
      </c>
      <c r="Z11" s="559">
        <f t="shared" si="18"/>
        <v>3.5212267499645038</v>
      </c>
      <c r="AA11" s="2">
        <f t="shared" si="19"/>
        <v>9</v>
      </c>
      <c r="AB11" s="2">
        <f t="shared" si="6"/>
        <v>9</v>
      </c>
      <c r="AC11" s="2">
        <f t="shared" si="6"/>
        <v>9</v>
      </c>
      <c r="AD11" s="2">
        <f t="shared" si="6"/>
        <v>9</v>
      </c>
      <c r="AE11" s="2">
        <f t="shared" si="6"/>
        <v>9</v>
      </c>
      <c r="AF11" s="2">
        <f t="shared" si="6"/>
        <v>9</v>
      </c>
      <c r="AG11" s="2">
        <f t="shared" si="6"/>
        <v>9</v>
      </c>
      <c r="AH11" s="2">
        <f t="shared" si="6"/>
        <v>9</v>
      </c>
      <c r="AI11" s="2">
        <f t="shared" si="6"/>
        <v>9</v>
      </c>
      <c r="AJ11" s="2">
        <f t="shared" si="6"/>
        <v>9</v>
      </c>
      <c r="AK11" s="2">
        <f t="shared" si="6"/>
        <v>10</v>
      </c>
    </row>
    <row r="12" spans="1:37" ht="15" customHeight="1">
      <c r="A12" s="15" t="s">
        <v>19</v>
      </c>
      <c r="B12" s="329">
        <v>5026</v>
      </c>
      <c r="C12" s="329">
        <v>5065</v>
      </c>
      <c r="D12" s="329">
        <v>5038</v>
      </c>
      <c r="E12" s="329">
        <v>5034</v>
      </c>
      <c r="F12" s="329">
        <v>4966</v>
      </c>
      <c r="G12" s="329">
        <v>4869</v>
      </c>
      <c r="H12" s="329">
        <v>4904</v>
      </c>
      <c r="I12" s="329">
        <v>4640</v>
      </c>
      <c r="J12" s="329">
        <v>5048</v>
      </c>
      <c r="K12" s="329">
        <v>5107</v>
      </c>
      <c r="L12" s="329">
        <v>5030</v>
      </c>
      <c r="N12" s="559">
        <f t="shared" si="7"/>
        <v>7.9586152009558653E-2</v>
      </c>
      <c r="O12" s="419">
        <f t="shared" si="20"/>
        <v>4</v>
      </c>
      <c r="P12" s="559">
        <f t="shared" si="8"/>
        <v>1.8602344354340239</v>
      </c>
      <c r="Q12" s="559">
        <f t="shared" si="9"/>
        <v>1.8549036841719768</v>
      </c>
      <c r="R12" s="559">
        <f t="shared" si="10"/>
        <v>1.8231692312146259</v>
      </c>
      <c r="S12" s="559">
        <f t="shared" si="11"/>
        <v>1.8030667177666901</v>
      </c>
      <c r="T12" s="559">
        <f t="shared" si="12"/>
        <v>1.7595204013662324</v>
      </c>
      <c r="U12" s="559">
        <f t="shared" si="13"/>
        <v>1.7657234243937465</v>
      </c>
      <c r="V12" s="559">
        <f t="shared" si="14"/>
        <v>1.7663097309115008</v>
      </c>
      <c r="W12" s="559">
        <f t="shared" si="15"/>
        <v>1.707099916852461</v>
      </c>
      <c r="X12" s="559">
        <f t="shared" si="16"/>
        <v>1.7720985747384681</v>
      </c>
      <c r="Y12" s="559">
        <f t="shared" si="17"/>
        <v>1.7534643538928487</v>
      </c>
      <c r="Z12" s="559">
        <f t="shared" si="18"/>
        <v>1.7419129182062798</v>
      </c>
      <c r="AA12" s="2">
        <f t="shared" si="19"/>
        <v>12</v>
      </c>
      <c r="AB12" s="2">
        <f t="shared" si="6"/>
        <v>12</v>
      </c>
      <c r="AC12" s="2">
        <f t="shared" si="6"/>
        <v>12</v>
      </c>
      <c r="AD12" s="2">
        <f t="shared" si="6"/>
        <v>13</v>
      </c>
      <c r="AE12" s="2">
        <f t="shared" si="6"/>
        <v>13</v>
      </c>
      <c r="AF12" s="2">
        <f t="shared" si="6"/>
        <v>13</v>
      </c>
      <c r="AG12" s="2">
        <f t="shared" si="6"/>
        <v>13</v>
      </c>
      <c r="AH12" s="2">
        <f t="shared" si="6"/>
        <v>13</v>
      </c>
      <c r="AI12" s="2">
        <f t="shared" si="6"/>
        <v>13</v>
      </c>
      <c r="AJ12" s="2">
        <f t="shared" si="6"/>
        <v>13</v>
      </c>
      <c r="AK12" s="2">
        <f t="shared" si="6"/>
        <v>13</v>
      </c>
    </row>
    <row r="13" spans="1:37" ht="15" customHeight="1">
      <c r="A13" s="15" t="s">
        <v>20</v>
      </c>
      <c r="B13" s="329">
        <v>15485</v>
      </c>
      <c r="C13" s="329">
        <v>15831</v>
      </c>
      <c r="D13" s="329">
        <v>16300</v>
      </c>
      <c r="E13" s="329">
        <v>16481</v>
      </c>
      <c r="F13" s="329">
        <v>17081</v>
      </c>
      <c r="G13" s="329">
        <v>17191</v>
      </c>
      <c r="H13" s="329">
        <v>16775</v>
      </c>
      <c r="I13" s="329">
        <v>16329</v>
      </c>
      <c r="J13" s="329">
        <v>17066</v>
      </c>
      <c r="K13" s="329">
        <v>18237</v>
      </c>
      <c r="L13" s="329">
        <v>18174</v>
      </c>
      <c r="N13" s="559">
        <f t="shared" si="7"/>
        <v>17.365192121407812</v>
      </c>
      <c r="O13" s="419">
        <f t="shared" si="20"/>
        <v>2689</v>
      </c>
      <c r="P13" s="559">
        <f t="shared" si="8"/>
        <v>5.7313430626135808</v>
      </c>
      <c r="Q13" s="559">
        <f t="shared" si="9"/>
        <v>5.7976268951878707</v>
      </c>
      <c r="R13" s="559">
        <f t="shared" si="10"/>
        <v>5.8987015618893217</v>
      </c>
      <c r="S13" s="559">
        <f t="shared" si="11"/>
        <v>5.903127249803898</v>
      </c>
      <c r="T13" s="559">
        <f t="shared" si="12"/>
        <v>6.0520273813404382</v>
      </c>
      <c r="U13" s="559">
        <f t="shared" si="13"/>
        <v>6.2342475639254253</v>
      </c>
      <c r="V13" s="559">
        <f t="shared" si="14"/>
        <v>6.0419750685237412</v>
      </c>
      <c r="W13" s="559">
        <f t="shared" si="15"/>
        <v>6.0075936513542745</v>
      </c>
      <c r="X13" s="559">
        <f t="shared" si="16"/>
        <v>5.9910131292564772</v>
      </c>
      <c r="Y13" s="559">
        <f t="shared" si="17"/>
        <v>6.2615879032590334</v>
      </c>
      <c r="Z13" s="559">
        <f t="shared" si="18"/>
        <v>6.2937426193799064</v>
      </c>
      <c r="AA13" s="2">
        <f t="shared" si="19"/>
        <v>6</v>
      </c>
      <c r="AB13" s="2">
        <f t="shared" si="6"/>
        <v>5</v>
      </c>
      <c r="AC13" s="2">
        <f t="shared" si="6"/>
        <v>5</v>
      </c>
      <c r="AD13" s="2">
        <f t="shared" si="6"/>
        <v>5</v>
      </c>
      <c r="AE13" s="2">
        <f t="shared" si="6"/>
        <v>5</v>
      </c>
      <c r="AF13" s="2">
        <f t="shared" si="6"/>
        <v>5</v>
      </c>
      <c r="AG13" s="2">
        <f t="shared" si="6"/>
        <v>5</v>
      </c>
      <c r="AH13" s="2">
        <f t="shared" si="6"/>
        <v>5</v>
      </c>
      <c r="AI13" s="2">
        <f t="shared" si="6"/>
        <v>5</v>
      </c>
      <c r="AJ13" s="2">
        <f t="shared" si="6"/>
        <v>5</v>
      </c>
      <c r="AK13" s="2">
        <f t="shared" si="6"/>
        <v>5</v>
      </c>
    </row>
    <row r="14" spans="1:37" ht="15" customHeight="1">
      <c r="A14" s="15" t="s">
        <v>21</v>
      </c>
      <c r="B14" s="329">
        <v>4352</v>
      </c>
      <c r="C14" s="329">
        <v>4323</v>
      </c>
      <c r="D14" s="329">
        <v>4348</v>
      </c>
      <c r="E14" s="329">
        <v>4380</v>
      </c>
      <c r="F14" s="329">
        <v>4347</v>
      </c>
      <c r="G14" s="329">
        <v>4183</v>
      </c>
      <c r="H14" s="329">
        <v>4178</v>
      </c>
      <c r="I14" s="329">
        <v>4076</v>
      </c>
      <c r="J14" s="329">
        <v>4127</v>
      </c>
      <c r="K14" s="329">
        <v>4169</v>
      </c>
      <c r="L14" s="329">
        <v>4165</v>
      </c>
      <c r="N14" s="559">
        <f t="shared" si="7"/>
        <v>-4.296875</v>
      </c>
      <c r="O14" s="419">
        <f t="shared" si="20"/>
        <v>-187</v>
      </c>
      <c r="P14" s="559">
        <f t="shared" si="8"/>
        <v>1.6107720380041528</v>
      </c>
      <c r="Q14" s="559">
        <f t="shared" si="9"/>
        <v>1.5831685343880466</v>
      </c>
      <c r="R14" s="559">
        <f t="shared" si="10"/>
        <v>1.5734695945456914</v>
      </c>
      <c r="S14" s="559">
        <f t="shared" si="11"/>
        <v>1.5688184791057018</v>
      </c>
      <c r="T14" s="559">
        <f t="shared" si="12"/>
        <v>1.5402003996655282</v>
      </c>
      <c r="U14" s="559">
        <f t="shared" si="13"/>
        <v>1.5169482612937033</v>
      </c>
      <c r="V14" s="559">
        <f t="shared" si="14"/>
        <v>1.5048209738475224</v>
      </c>
      <c r="W14" s="559">
        <f t="shared" si="15"/>
        <v>1.4995989786833257</v>
      </c>
      <c r="X14" s="559">
        <f t="shared" si="16"/>
        <v>1.4487818577546865</v>
      </c>
      <c r="Y14" s="559">
        <f t="shared" si="17"/>
        <v>1.4314064796121573</v>
      </c>
      <c r="Z14" s="559">
        <f t="shared" si="18"/>
        <v>1.4423593050356174</v>
      </c>
      <c r="AA14" s="2">
        <f t="shared" si="19"/>
        <v>15</v>
      </c>
      <c r="AB14" s="2">
        <f t="shared" si="6"/>
        <v>15</v>
      </c>
      <c r="AC14" s="2">
        <f t="shared" si="6"/>
        <v>15</v>
      </c>
      <c r="AD14" s="2">
        <f t="shared" si="6"/>
        <v>15</v>
      </c>
      <c r="AE14" s="2">
        <f t="shared" si="6"/>
        <v>16</v>
      </c>
      <c r="AF14" s="2">
        <f t="shared" si="6"/>
        <v>16</v>
      </c>
      <c r="AG14" s="2">
        <f t="shared" si="6"/>
        <v>16</v>
      </c>
      <c r="AH14" s="2">
        <f t="shared" si="6"/>
        <v>16</v>
      </c>
      <c r="AI14" s="2">
        <f t="shared" si="6"/>
        <v>16</v>
      </c>
      <c r="AJ14" s="2">
        <f t="shared" si="6"/>
        <v>16</v>
      </c>
      <c r="AK14" s="2">
        <f t="shared" si="6"/>
        <v>16</v>
      </c>
    </row>
    <row r="15" spans="1:37" ht="15" customHeight="1">
      <c r="A15" s="15" t="s">
        <v>22</v>
      </c>
      <c r="B15" s="329">
        <v>15521</v>
      </c>
      <c r="C15" s="329">
        <v>15665</v>
      </c>
      <c r="D15" s="329">
        <v>15801</v>
      </c>
      <c r="E15" s="329">
        <v>15981</v>
      </c>
      <c r="F15" s="329">
        <v>15931</v>
      </c>
      <c r="G15" s="329">
        <v>15567</v>
      </c>
      <c r="H15" s="329">
        <v>15528</v>
      </c>
      <c r="I15" s="329">
        <v>15232</v>
      </c>
      <c r="J15" s="329">
        <v>15824</v>
      </c>
      <c r="K15" s="329">
        <v>16175</v>
      </c>
      <c r="L15" s="329">
        <v>16047</v>
      </c>
      <c r="N15" s="559">
        <f t="shared" si="7"/>
        <v>3.3889568971071427</v>
      </c>
      <c r="O15" s="419">
        <f t="shared" si="20"/>
        <v>526</v>
      </c>
      <c r="P15" s="559">
        <f t="shared" si="8"/>
        <v>5.744667463663248</v>
      </c>
      <c r="Q15" s="559">
        <f t="shared" si="9"/>
        <v>5.7368343953709804</v>
      </c>
      <c r="R15" s="559">
        <f t="shared" si="10"/>
        <v>5.7181216797185996</v>
      </c>
      <c r="S15" s="559">
        <f t="shared" si="11"/>
        <v>5.7240383823260776</v>
      </c>
      <c r="T15" s="559">
        <f t="shared" si="12"/>
        <v>5.6445669581484994</v>
      </c>
      <c r="U15" s="559">
        <f t="shared" si="13"/>
        <v>5.6453104431171601</v>
      </c>
      <c r="V15" s="559">
        <f t="shared" si="14"/>
        <v>5.5928339114179826</v>
      </c>
      <c r="W15" s="559">
        <f t="shared" si="15"/>
        <v>5.60399696842601</v>
      </c>
      <c r="X15" s="559">
        <f t="shared" si="16"/>
        <v>5.5550094783402377</v>
      </c>
      <c r="Y15" s="559">
        <f t="shared" si="17"/>
        <v>5.5536099322923107</v>
      </c>
      <c r="Z15" s="559">
        <f t="shared" si="18"/>
        <v>5.5571524052596768</v>
      </c>
      <c r="AA15" s="2">
        <f t="shared" si="19"/>
        <v>5</v>
      </c>
      <c r="AB15" s="2">
        <f t="shared" si="6"/>
        <v>6</v>
      </c>
      <c r="AC15" s="2">
        <f t="shared" si="6"/>
        <v>6</v>
      </c>
      <c r="AD15" s="2">
        <f t="shared" si="6"/>
        <v>6</v>
      </c>
      <c r="AE15" s="2">
        <f t="shared" si="6"/>
        <v>6</v>
      </c>
      <c r="AF15" s="2">
        <f t="shared" si="6"/>
        <v>6</v>
      </c>
      <c r="AG15" s="2">
        <f t="shared" si="6"/>
        <v>7</v>
      </c>
      <c r="AH15" s="2">
        <f t="shared" si="6"/>
        <v>7</v>
      </c>
      <c r="AI15" s="2">
        <f t="shared" si="6"/>
        <v>7</v>
      </c>
      <c r="AJ15" s="2">
        <f t="shared" si="6"/>
        <v>7</v>
      </c>
      <c r="AK15" s="2">
        <f t="shared" si="6"/>
        <v>7</v>
      </c>
    </row>
    <row r="16" spans="1:37" ht="15" customHeight="1">
      <c r="A16" s="15" t="s">
        <v>23</v>
      </c>
      <c r="B16" s="329">
        <v>59911</v>
      </c>
      <c r="C16" s="329">
        <v>60537</v>
      </c>
      <c r="D16" s="329">
        <v>60939</v>
      </c>
      <c r="E16" s="329">
        <v>61816</v>
      </c>
      <c r="F16" s="329">
        <v>62991</v>
      </c>
      <c r="G16" s="329">
        <v>61257</v>
      </c>
      <c r="H16" s="329">
        <v>62466</v>
      </c>
      <c r="I16" s="329">
        <v>60609</v>
      </c>
      <c r="J16" s="329">
        <v>63924</v>
      </c>
      <c r="K16" s="329">
        <v>65753</v>
      </c>
      <c r="L16" s="329">
        <v>65461</v>
      </c>
      <c r="N16" s="559">
        <f t="shared" si="7"/>
        <v>9.2637412161372659</v>
      </c>
      <c r="O16" s="419">
        <f t="shared" si="20"/>
        <v>5550</v>
      </c>
      <c r="P16" s="559">
        <f t="shared" si="8"/>
        <v>22.174394202405054</v>
      </c>
      <c r="Q16" s="559">
        <f t="shared" si="9"/>
        <v>22.169852779608878</v>
      </c>
      <c r="R16" s="559">
        <f t="shared" si="10"/>
        <v>22.052820520243763</v>
      </c>
      <c r="S16" s="559">
        <f t="shared" si="11"/>
        <v>22.141114864017823</v>
      </c>
      <c r="T16" s="559">
        <f t="shared" si="12"/>
        <v>22.318556101985571</v>
      </c>
      <c r="U16" s="559">
        <f t="shared" si="13"/>
        <v>22.214606656004875</v>
      </c>
      <c r="V16" s="559">
        <f t="shared" si="14"/>
        <v>22.498838428041967</v>
      </c>
      <c r="W16" s="559">
        <f t="shared" si="15"/>
        <v>22.298624754420434</v>
      </c>
      <c r="X16" s="559">
        <f t="shared" si="16"/>
        <v>22.440497086288001</v>
      </c>
      <c r="Y16" s="559">
        <f t="shared" si="17"/>
        <v>22.575982310851085</v>
      </c>
      <c r="Z16" s="559">
        <f t="shared" si="18"/>
        <v>22.669455574294492</v>
      </c>
      <c r="AA16" s="2">
        <f t="shared" si="19"/>
        <v>1</v>
      </c>
      <c r="AB16" s="2">
        <f t="shared" si="6"/>
        <v>1</v>
      </c>
      <c r="AC16" s="2">
        <f t="shared" si="6"/>
        <v>1</v>
      </c>
      <c r="AD16" s="2">
        <f t="shared" si="6"/>
        <v>1</v>
      </c>
      <c r="AE16" s="2">
        <f t="shared" si="6"/>
        <v>1</v>
      </c>
      <c r="AF16" s="2">
        <f t="shared" si="6"/>
        <v>1</v>
      </c>
      <c r="AG16" s="2">
        <f t="shared" si="6"/>
        <v>1</v>
      </c>
      <c r="AH16" s="2">
        <f t="shared" si="6"/>
        <v>1</v>
      </c>
      <c r="AI16" s="2">
        <f t="shared" si="6"/>
        <v>1</v>
      </c>
      <c r="AJ16" s="2">
        <f t="shared" si="6"/>
        <v>1</v>
      </c>
      <c r="AK16" s="2">
        <f t="shared" si="6"/>
        <v>1</v>
      </c>
    </row>
    <row r="17" spans="1:37" ht="15" customHeight="1">
      <c r="A17" s="15" t="s">
        <v>24</v>
      </c>
      <c r="B17" s="329">
        <v>2917</v>
      </c>
      <c r="C17" s="329">
        <v>2906</v>
      </c>
      <c r="D17" s="329">
        <v>2929</v>
      </c>
      <c r="E17" s="329">
        <v>2901</v>
      </c>
      <c r="F17" s="329">
        <v>2878</v>
      </c>
      <c r="G17" s="329">
        <v>2783</v>
      </c>
      <c r="H17" s="329">
        <v>2770</v>
      </c>
      <c r="I17" s="329">
        <v>2634</v>
      </c>
      <c r="J17" s="329">
        <v>2877</v>
      </c>
      <c r="K17" s="329">
        <v>2865</v>
      </c>
      <c r="L17" s="329">
        <v>2787</v>
      </c>
      <c r="N17" s="559">
        <f t="shared" si="7"/>
        <v>-4.4566335275968427</v>
      </c>
      <c r="O17" s="419">
        <f t="shared" si="20"/>
        <v>-130</v>
      </c>
      <c r="P17" s="559">
        <f t="shared" si="8"/>
        <v>1.0796466072743827</v>
      </c>
      <c r="Q17" s="559">
        <f t="shared" si="9"/>
        <v>1.064234966673991</v>
      </c>
      <c r="R17" s="559">
        <f t="shared" si="10"/>
        <v>1.0599568634830565</v>
      </c>
      <c r="S17" s="559">
        <f t="shared" si="11"/>
        <v>1.0390736091063106</v>
      </c>
      <c r="T17" s="559">
        <f t="shared" si="12"/>
        <v>1.0197139982142605</v>
      </c>
      <c r="U17" s="559">
        <f t="shared" si="13"/>
        <v>1.0092438468038194</v>
      </c>
      <c r="V17" s="559">
        <f t="shared" si="14"/>
        <v>0.99769126317798884</v>
      </c>
      <c r="W17" s="559">
        <f t="shared" si="15"/>
        <v>0.9690735303856427</v>
      </c>
      <c r="X17" s="559">
        <f t="shared" si="16"/>
        <v>1.0099698097310961</v>
      </c>
      <c r="Y17" s="559">
        <f t="shared" si="17"/>
        <v>0.98368423221128098</v>
      </c>
      <c r="Z17" s="559">
        <f t="shared" si="18"/>
        <v>0.96515135249322104</v>
      </c>
      <c r="AA17" s="2">
        <f t="shared" si="19"/>
        <v>18</v>
      </c>
      <c r="AB17" s="2">
        <f t="shared" si="6"/>
        <v>18</v>
      </c>
      <c r="AC17" s="2">
        <f t="shared" si="6"/>
        <v>18</v>
      </c>
      <c r="AD17" s="2">
        <f t="shared" si="6"/>
        <v>18</v>
      </c>
      <c r="AE17" s="2">
        <f t="shared" si="6"/>
        <v>18</v>
      </c>
      <c r="AF17" s="2">
        <f t="shared" si="6"/>
        <v>18</v>
      </c>
      <c r="AG17" s="2">
        <f t="shared" si="6"/>
        <v>18</v>
      </c>
      <c r="AH17" s="2">
        <f t="shared" si="6"/>
        <v>18</v>
      </c>
      <c r="AI17" s="2">
        <f t="shared" si="6"/>
        <v>18</v>
      </c>
      <c r="AJ17" s="2">
        <f t="shared" si="6"/>
        <v>18</v>
      </c>
      <c r="AK17" s="2">
        <f t="shared" si="6"/>
        <v>18</v>
      </c>
    </row>
    <row r="18" spans="1:37" ht="15" customHeight="1">
      <c r="A18" s="15" t="s">
        <v>25</v>
      </c>
      <c r="B18" s="329">
        <v>50528</v>
      </c>
      <c r="C18" s="329">
        <v>51144</v>
      </c>
      <c r="D18" s="329">
        <v>51885</v>
      </c>
      <c r="E18" s="329">
        <v>52500</v>
      </c>
      <c r="F18" s="329">
        <v>53324</v>
      </c>
      <c r="G18" s="329">
        <v>52245</v>
      </c>
      <c r="H18" s="329">
        <v>52499</v>
      </c>
      <c r="I18" s="329">
        <v>51434</v>
      </c>
      <c r="J18" s="329">
        <v>53630</v>
      </c>
      <c r="K18" s="329">
        <v>54733</v>
      </c>
      <c r="L18" s="329">
        <v>53824</v>
      </c>
      <c r="N18" s="559">
        <f t="shared" si="7"/>
        <v>6.5231158961367885</v>
      </c>
      <c r="O18" s="419">
        <f t="shared" si="20"/>
        <v>3296</v>
      </c>
      <c r="P18" s="559">
        <f t="shared" si="8"/>
        <v>18.701537117709979</v>
      </c>
      <c r="Q18" s="559">
        <f t="shared" si="9"/>
        <v>18.72994946165678</v>
      </c>
      <c r="R18" s="559">
        <f t="shared" si="10"/>
        <v>18.776327026909659</v>
      </c>
      <c r="S18" s="559">
        <f t="shared" si="11"/>
        <v>18.804331085171082</v>
      </c>
      <c r="T18" s="559">
        <f t="shared" si="12"/>
        <v>18.89340835329299</v>
      </c>
      <c r="U18" s="559">
        <f t="shared" si="13"/>
        <v>18.946440810731421</v>
      </c>
      <c r="V18" s="559">
        <f t="shared" si="14"/>
        <v>18.908950767357847</v>
      </c>
      <c r="W18" s="559">
        <f t="shared" si="15"/>
        <v>18.923055414523596</v>
      </c>
      <c r="X18" s="559">
        <f t="shared" si="16"/>
        <v>18.826792108404128</v>
      </c>
      <c r="Y18" s="559">
        <f t="shared" si="17"/>
        <v>18.79231730597558</v>
      </c>
      <c r="Z18" s="559">
        <f t="shared" si="18"/>
        <v>18.639507139072528</v>
      </c>
      <c r="AA18" s="2">
        <f t="shared" si="19"/>
        <v>2</v>
      </c>
      <c r="AB18" s="2">
        <f t="shared" si="6"/>
        <v>2</v>
      </c>
      <c r="AC18" s="2">
        <f t="shared" si="6"/>
        <v>2</v>
      </c>
      <c r="AD18" s="2">
        <f t="shared" si="6"/>
        <v>2</v>
      </c>
      <c r="AE18" s="2">
        <f t="shared" si="6"/>
        <v>2</v>
      </c>
      <c r="AF18" s="2">
        <f t="shared" si="6"/>
        <v>2</v>
      </c>
      <c r="AG18" s="2">
        <f t="shared" si="6"/>
        <v>2</v>
      </c>
      <c r="AH18" s="2">
        <f t="shared" si="6"/>
        <v>2</v>
      </c>
      <c r="AI18" s="2">
        <f t="shared" si="6"/>
        <v>2</v>
      </c>
      <c r="AJ18" s="2">
        <f t="shared" si="6"/>
        <v>2</v>
      </c>
      <c r="AK18" s="2">
        <f t="shared" si="6"/>
        <v>2</v>
      </c>
    </row>
    <row r="19" spans="1:37" ht="15" customHeight="1">
      <c r="A19" s="15" t="s">
        <v>26</v>
      </c>
      <c r="B19" s="329">
        <v>11954</v>
      </c>
      <c r="C19" s="329">
        <v>12046</v>
      </c>
      <c r="D19" s="329">
        <v>12047</v>
      </c>
      <c r="E19" s="329">
        <v>12029</v>
      </c>
      <c r="F19" s="329">
        <v>11936</v>
      </c>
      <c r="G19" s="329">
        <v>11616</v>
      </c>
      <c r="H19" s="329">
        <v>11534</v>
      </c>
      <c r="I19" s="329">
        <v>11335</v>
      </c>
      <c r="J19" s="329">
        <v>11687</v>
      </c>
      <c r="K19" s="329">
        <v>11869</v>
      </c>
      <c r="L19" s="329">
        <v>11741</v>
      </c>
      <c r="N19" s="559">
        <f t="shared" si="7"/>
        <v>-1.781830349673752</v>
      </c>
      <c r="O19" s="419">
        <f t="shared" si="20"/>
        <v>-213</v>
      </c>
      <c r="P19" s="559">
        <f t="shared" si="8"/>
        <v>4.4244413929921054</v>
      </c>
      <c r="Q19" s="559">
        <f t="shared" si="9"/>
        <v>4.4114846553870946</v>
      </c>
      <c r="R19" s="559">
        <f t="shared" si="10"/>
        <v>4.3596109028270345</v>
      </c>
      <c r="S19" s="559">
        <f t="shared" si="11"/>
        <v>4.3085199737813902</v>
      </c>
      <c r="T19" s="559">
        <f t="shared" si="12"/>
        <v>4.229084879320852</v>
      </c>
      <c r="U19" s="559">
        <f t="shared" si="13"/>
        <v>4.2124960562246372</v>
      </c>
      <c r="V19" s="559">
        <f t="shared" si="14"/>
        <v>4.1542855702147738</v>
      </c>
      <c r="W19" s="559">
        <f t="shared" si="15"/>
        <v>4.170253783948846</v>
      </c>
      <c r="X19" s="559">
        <f t="shared" si="16"/>
        <v>4.1027171242013623</v>
      </c>
      <c r="Y19" s="559">
        <f t="shared" si="17"/>
        <v>4.0751651490805214</v>
      </c>
      <c r="Z19" s="559">
        <f t="shared" si="18"/>
        <v>4.0659641297534659</v>
      </c>
      <c r="AA19" s="2">
        <f t="shared" si="19"/>
        <v>8</v>
      </c>
      <c r="AB19" s="2">
        <f t="shared" si="6"/>
        <v>8</v>
      </c>
      <c r="AC19" s="2">
        <f t="shared" si="6"/>
        <v>8</v>
      </c>
      <c r="AD19" s="2">
        <f t="shared" si="6"/>
        <v>8</v>
      </c>
      <c r="AE19" s="2">
        <f t="shared" si="6"/>
        <v>8</v>
      </c>
      <c r="AF19" s="2">
        <f t="shared" si="6"/>
        <v>8</v>
      </c>
      <c r="AG19" s="2">
        <f t="shared" si="6"/>
        <v>8</v>
      </c>
      <c r="AH19" s="2">
        <f t="shared" si="6"/>
        <v>8</v>
      </c>
      <c r="AI19" s="2">
        <f t="shared" si="6"/>
        <v>8</v>
      </c>
      <c r="AJ19" s="2">
        <f t="shared" si="6"/>
        <v>8</v>
      </c>
      <c r="AK19" s="2">
        <f t="shared" si="6"/>
        <v>8</v>
      </c>
    </row>
    <row r="20" spans="1:37" ht="15" customHeight="1">
      <c r="A20" s="15" t="s">
        <v>27</v>
      </c>
      <c r="B20" s="329">
        <v>14912</v>
      </c>
      <c r="C20" s="329">
        <v>15034</v>
      </c>
      <c r="D20" s="329">
        <v>15272</v>
      </c>
      <c r="E20" s="329">
        <v>15474</v>
      </c>
      <c r="F20" s="329">
        <v>15628</v>
      </c>
      <c r="G20" s="329">
        <v>15397</v>
      </c>
      <c r="H20" s="329">
        <v>15843</v>
      </c>
      <c r="I20" s="329">
        <v>15594</v>
      </c>
      <c r="J20" s="329">
        <v>16564</v>
      </c>
      <c r="K20" s="329">
        <v>16783</v>
      </c>
      <c r="L20" s="329">
        <v>16745</v>
      </c>
      <c r="N20" s="559">
        <f t="shared" si="7"/>
        <v>12.292113733905573</v>
      </c>
      <c r="O20" s="419">
        <f t="shared" si="20"/>
        <v>1833</v>
      </c>
      <c r="P20" s="559">
        <f t="shared" si="8"/>
        <v>5.5192630125730533</v>
      </c>
      <c r="Q20" s="559">
        <f t="shared" si="9"/>
        <v>5.5057496520911151</v>
      </c>
      <c r="R20" s="559">
        <f t="shared" si="10"/>
        <v>5.5266852916057498</v>
      </c>
      <c r="S20" s="559">
        <f t="shared" si="11"/>
        <v>5.5424422707035683</v>
      </c>
      <c r="T20" s="559">
        <f t="shared" si="12"/>
        <v>5.5372099944727111</v>
      </c>
      <c r="U20" s="559">
        <f t="shared" si="13"/>
        <v>5.5836606213576738</v>
      </c>
      <c r="V20" s="559">
        <f t="shared" si="14"/>
        <v>5.7062897770862371</v>
      </c>
      <c r="W20" s="559">
        <f t="shared" si="15"/>
        <v>5.7371801946976886</v>
      </c>
      <c r="X20" s="559">
        <f t="shared" si="16"/>
        <v>5.8147862107702029</v>
      </c>
      <c r="Y20" s="559">
        <f t="shared" si="17"/>
        <v>5.7623638635957866</v>
      </c>
      <c r="Z20" s="559">
        <f t="shared" si="18"/>
        <v>5.7988731243268701</v>
      </c>
      <c r="AA20" s="2">
        <f t="shared" si="19"/>
        <v>7</v>
      </c>
      <c r="AB20" s="2">
        <f t="shared" si="6"/>
        <v>7</v>
      </c>
      <c r="AC20" s="2">
        <f t="shared" si="6"/>
        <v>7</v>
      </c>
      <c r="AD20" s="2">
        <f t="shared" si="6"/>
        <v>7</v>
      </c>
      <c r="AE20" s="2">
        <f t="shared" si="6"/>
        <v>7</v>
      </c>
      <c r="AF20" s="2">
        <f t="shared" si="6"/>
        <v>7</v>
      </c>
      <c r="AG20" s="2">
        <f t="shared" si="6"/>
        <v>6</v>
      </c>
      <c r="AH20" s="2">
        <f t="shared" si="6"/>
        <v>6</v>
      </c>
      <c r="AI20" s="2">
        <f t="shared" si="6"/>
        <v>6</v>
      </c>
      <c r="AJ20" s="2">
        <f t="shared" si="6"/>
        <v>6</v>
      </c>
      <c r="AK20" s="2">
        <f t="shared" si="6"/>
        <v>6</v>
      </c>
    </row>
    <row r="21" spans="1:37" ht="15" customHeight="1">
      <c r="A21" s="15" t="s">
        <v>28</v>
      </c>
      <c r="B21" s="329">
        <v>7129</v>
      </c>
      <c r="C21" s="329">
        <v>7173</v>
      </c>
      <c r="D21" s="329">
        <v>7291</v>
      </c>
      <c r="E21" s="329">
        <v>7270</v>
      </c>
      <c r="F21" s="329">
        <v>7341</v>
      </c>
      <c r="G21" s="329">
        <v>7045</v>
      </c>
      <c r="H21" s="329">
        <v>7037</v>
      </c>
      <c r="I21" s="329">
        <v>6974</v>
      </c>
      <c r="J21" s="329">
        <v>7227</v>
      </c>
      <c r="K21" s="329">
        <v>7381</v>
      </c>
      <c r="L21" s="329">
        <v>7328</v>
      </c>
      <c r="N21" s="559">
        <f t="shared" si="7"/>
        <v>2.7914153457707869</v>
      </c>
      <c r="O21" s="419">
        <f t="shared" si="20"/>
        <v>199</v>
      </c>
      <c r="P21" s="559">
        <f t="shared" si="8"/>
        <v>2.6386015300853871</v>
      </c>
      <c r="Q21" s="559">
        <f t="shared" si="9"/>
        <v>2.6268951878707978</v>
      </c>
      <c r="R21" s="559">
        <f t="shared" si="10"/>
        <v>2.6384928274684074</v>
      </c>
      <c r="S21" s="559">
        <f t="shared" si="11"/>
        <v>2.6039521331275006</v>
      </c>
      <c r="T21" s="559">
        <f t="shared" si="12"/>
        <v>2.6010147536104538</v>
      </c>
      <c r="U21" s="559">
        <f t="shared" si="13"/>
        <v>2.5548411429151661</v>
      </c>
      <c r="V21" s="559">
        <f t="shared" si="14"/>
        <v>2.5345680212936852</v>
      </c>
      <c r="W21" s="559">
        <f t="shared" si="15"/>
        <v>2.5658006077864357</v>
      </c>
      <c r="X21" s="559">
        <f t="shared" si="16"/>
        <v>2.5370357368531908</v>
      </c>
      <c r="Y21" s="559">
        <f t="shared" si="17"/>
        <v>2.534231524590389</v>
      </c>
      <c r="Z21" s="559">
        <f t="shared" si="18"/>
        <v>2.5377212454504212</v>
      </c>
      <c r="AA21" s="2">
        <f t="shared" si="19"/>
        <v>11</v>
      </c>
      <c r="AB21" s="2">
        <f t="shared" si="6"/>
        <v>11</v>
      </c>
      <c r="AC21" s="2">
        <f t="shared" si="6"/>
        <v>11</v>
      </c>
      <c r="AD21" s="2">
        <f t="shared" si="6"/>
        <v>11</v>
      </c>
      <c r="AE21" s="2">
        <f t="shared" si="6"/>
        <v>11</v>
      </c>
      <c r="AF21" s="2">
        <f t="shared" si="6"/>
        <v>11</v>
      </c>
      <c r="AG21" s="2">
        <f t="shared" si="6"/>
        <v>11</v>
      </c>
      <c r="AH21" s="2">
        <f t="shared" si="6"/>
        <v>11</v>
      </c>
      <c r="AI21" s="2">
        <f t="shared" si="6"/>
        <v>11</v>
      </c>
      <c r="AJ21" s="2">
        <f t="shared" si="6"/>
        <v>11</v>
      </c>
      <c r="AK21" s="2">
        <f t="shared" si="6"/>
        <v>11</v>
      </c>
    </row>
    <row r="22" spans="1:37" ht="15" customHeight="1">
      <c r="A22" s="15" t="s">
        <v>29</v>
      </c>
      <c r="B22" s="329">
        <v>4930</v>
      </c>
      <c r="C22" s="329">
        <v>4976</v>
      </c>
      <c r="D22" s="329">
        <v>5034</v>
      </c>
      <c r="E22" s="329">
        <v>5076</v>
      </c>
      <c r="F22" s="329">
        <v>5093</v>
      </c>
      <c r="G22" s="329">
        <v>5005</v>
      </c>
      <c r="H22" s="329">
        <v>5085</v>
      </c>
      <c r="I22" s="329">
        <v>5019</v>
      </c>
      <c r="J22" s="329">
        <v>5152</v>
      </c>
      <c r="K22" s="329">
        <v>5186</v>
      </c>
      <c r="L22" s="329">
        <v>5212</v>
      </c>
      <c r="N22" s="559">
        <f t="shared" si="7"/>
        <v>5.7200811359026327</v>
      </c>
      <c r="O22" s="419">
        <f t="shared" si="20"/>
        <v>282</v>
      </c>
      <c r="P22" s="559">
        <f t="shared" si="8"/>
        <v>1.8247026993015794</v>
      </c>
      <c r="Q22" s="559">
        <f t="shared" si="9"/>
        <v>1.8223101149930419</v>
      </c>
      <c r="R22" s="559">
        <f t="shared" si="10"/>
        <v>1.8217216970890089</v>
      </c>
      <c r="S22" s="559">
        <f t="shared" si="11"/>
        <v>1.8181101826348272</v>
      </c>
      <c r="T22" s="559">
        <f t="shared" si="12"/>
        <v>1.8045182046230814</v>
      </c>
      <c r="U22" s="559">
        <f t="shared" si="13"/>
        <v>1.8150432818013353</v>
      </c>
      <c r="V22" s="559">
        <f t="shared" si="14"/>
        <v>1.8315018315018314</v>
      </c>
      <c r="W22" s="559">
        <f t="shared" si="15"/>
        <v>1.8465376040264012</v>
      </c>
      <c r="X22" s="559">
        <f t="shared" si="16"/>
        <v>1.8086077371340308</v>
      </c>
      <c r="Y22" s="559">
        <f t="shared" si="17"/>
        <v>1.7805886311510308</v>
      </c>
      <c r="Z22" s="559">
        <f t="shared" si="18"/>
        <v>1.8049403836364077</v>
      </c>
      <c r="AA22" s="2">
        <f t="shared" si="19"/>
        <v>13</v>
      </c>
      <c r="AB22" s="2">
        <f t="shared" ref="AB22:AB23" si="21">+RANK(C22,C$6:C$23,0)</f>
        <v>13</v>
      </c>
      <c r="AC22" s="2">
        <f t="shared" ref="AC22:AC23" si="22">+RANK(D22,D$6:D$23,0)</f>
        <v>13</v>
      </c>
      <c r="AD22" s="2">
        <f t="shared" ref="AD22:AD23" si="23">+RANK(E22,E$6:E$23,0)</f>
        <v>12</v>
      </c>
      <c r="AE22" s="2">
        <f t="shared" ref="AE22:AE23" si="24">+RANK(F22,F$6:F$23,0)</f>
        <v>12</v>
      </c>
      <c r="AF22" s="2">
        <f t="shared" ref="AF22:AF23" si="25">+RANK(G22,G$6:G$23,0)</f>
        <v>12</v>
      </c>
      <c r="AG22" s="2">
        <f t="shared" ref="AG22:AG23" si="26">+RANK(H22,H$6:H$23,0)</f>
        <v>12</v>
      </c>
      <c r="AH22" s="2">
        <f t="shared" ref="AH22:AH23" si="27">+RANK(I22,I$6:I$23,0)</f>
        <v>12</v>
      </c>
      <c r="AI22" s="2">
        <f t="shared" ref="AI22:AI23" si="28">+RANK(J22,J$6:J$23,0)</f>
        <v>12</v>
      </c>
      <c r="AJ22" s="2">
        <f t="shared" ref="AJ22:AK23" si="29">+RANK(K22,K$6:K$23,0)</f>
        <v>12</v>
      </c>
      <c r="AK22" s="2">
        <f t="shared" si="29"/>
        <v>12</v>
      </c>
    </row>
    <row r="23" spans="1:37" s="18" customFormat="1" ht="15" customHeight="1">
      <c r="A23" s="17" t="s">
        <v>30</v>
      </c>
      <c r="B23" s="330">
        <v>9398</v>
      </c>
      <c r="C23" s="330">
        <v>9605</v>
      </c>
      <c r="D23" s="330">
        <v>9732</v>
      </c>
      <c r="E23" s="330">
        <v>9779</v>
      </c>
      <c r="F23" s="330">
        <v>9801</v>
      </c>
      <c r="G23" s="330">
        <v>9611</v>
      </c>
      <c r="H23" s="330">
        <v>9718</v>
      </c>
      <c r="I23" s="330">
        <v>9674</v>
      </c>
      <c r="J23" s="330">
        <v>10081</v>
      </c>
      <c r="K23" s="330">
        <v>10267</v>
      </c>
      <c r="L23" s="330">
        <v>10250</v>
      </c>
      <c r="N23" s="559">
        <f t="shared" si="7"/>
        <v>9.0657586720578784</v>
      </c>
      <c r="O23" s="419">
        <f t="shared" si="20"/>
        <v>852</v>
      </c>
      <c r="P23" s="559">
        <f t="shared" si="8"/>
        <v>3.4784089184657692</v>
      </c>
      <c r="Q23" s="559">
        <f t="shared" si="9"/>
        <v>3.5175419321760786</v>
      </c>
      <c r="R23" s="559">
        <f t="shared" si="10"/>
        <v>3.5218505276261887</v>
      </c>
      <c r="S23" s="559">
        <f t="shared" si="11"/>
        <v>3.5026200701312007</v>
      </c>
      <c r="T23" s="559">
        <f t="shared" si="12"/>
        <v>3.4726257458297312</v>
      </c>
      <c r="U23" s="559">
        <f t="shared" si="13"/>
        <v>3.4853908054730538</v>
      </c>
      <c r="V23" s="559">
        <f t="shared" si="14"/>
        <v>3.5002035002035004</v>
      </c>
      <c r="W23" s="559">
        <f t="shared" si="15"/>
        <v>3.5591561628514454</v>
      </c>
      <c r="X23" s="559">
        <f t="shared" si="16"/>
        <v>3.5389314049006528</v>
      </c>
      <c r="Y23" s="559">
        <f t="shared" si="17"/>
        <v>3.5251260077184021</v>
      </c>
      <c r="Z23" s="559">
        <f t="shared" si="18"/>
        <v>3.5496237398835722</v>
      </c>
      <c r="AA23" s="2">
        <f t="shared" si="19"/>
        <v>10</v>
      </c>
      <c r="AB23" s="2">
        <f t="shared" si="21"/>
        <v>10</v>
      </c>
      <c r="AC23" s="2">
        <f t="shared" si="22"/>
        <v>10</v>
      </c>
      <c r="AD23" s="2">
        <f t="shared" si="23"/>
        <v>10</v>
      </c>
      <c r="AE23" s="2">
        <f t="shared" si="24"/>
        <v>10</v>
      </c>
      <c r="AF23" s="2">
        <f t="shared" si="25"/>
        <v>10</v>
      </c>
      <c r="AG23" s="2">
        <f t="shared" si="26"/>
        <v>10</v>
      </c>
      <c r="AH23" s="2">
        <f t="shared" si="27"/>
        <v>10</v>
      </c>
      <c r="AI23" s="2">
        <f t="shared" si="28"/>
        <v>10</v>
      </c>
      <c r="AJ23" s="2">
        <f t="shared" si="29"/>
        <v>10</v>
      </c>
      <c r="AK23" s="2">
        <f t="shared" si="29"/>
        <v>9</v>
      </c>
    </row>
    <row r="24" spans="1:37" ht="15" customHeight="1">
      <c r="A24" s="19" t="s">
        <v>769</v>
      </c>
      <c r="B24" s="105"/>
      <c r="D24" s="16"/>
      <c r="E24" s="16"/>
      <c r="F24" s="16"/>
      <c r="G24" s="16"/>
      <c r="H24" s="16"/>
      <c r="I24" s="16"/>
      <c r="J24" s="16"/>
      <c r="K24" s="16"/>
      <c r="L24" s="16"/>
    </row>
    <row r="25" spans="1:37">
      <c r="B25" s="106"/>
    </row>
  </sheetData>
  <mergeCells count="1">
    <mergeCell ref="A1:L1"/>
  </mergeCells>
  <phoneticPr fontId="24" type="noConversion"/>
  <conditionalFormatting sqref="D24:E24 B5:I23">
    <cfRule type="cellIs" dxfId="2395" priority="22" operator="equal">
      <formula>0</formula>
    </cfRule>
  </conditionalFormatting>
  <conditionalFormatting sqref="F24">
    <cfRule type="cellIs" dxfId="2394" priority="16" operator="equal">
      <formula>0</formula>
    </cfRule>
  </conditionalFormatting>
  <conditionalFormatting sqref="I24">
    <cfRule type="cellIs" dxfId="2393" priority="12" operator="equal">
      <formula>0</formula>
    </cfRule>
  </conditionalFormatting>
  <conditionalFormatting sqref="G24">
    <cfRule type="cellIs" dxfId="2392" priority="10" operator="equal">
      <formula>0</formula>
    </cfRule>
  </conditionalFormatting>
  <conditionalFormatting sqref="H24">
    <cfRule type="cellIs" dxfId="2391" priority="7" operator="equal">
      <formula>0</formula>
    </cfRule>
  </conditionalFormatting>
  <conditionalFormatting sqref="J5:J23">
    <cfRule type="cellIs" dxfId="2390" priority="6" operator="equal">
      <formula>0</formula>
    </cfRule>
  </conditionalFormatting>
  <conditionalFormatting sqref="J24">
    <cfRule type="cellIs" dxfId="2389" priority="5" operator="equal">
      <formula>0</formula>
    </cfRule>
  </conditionalFormatting>
  <conditionalFormatting sqref="K5:K23">
    <cfRule type="cellIs" dxfId="2388" priority="4" operator="equal">
      <formula>0</formula>
    </cfRule>
  </conditionalFormatting>
  <conditionalFormatting sqref="K24">
    <cfRule type="cellIs" dxfId="2387" priority="3" operator="equal">
      <formula>0</formula>
    </cfRule>
  </conditionalFormatting>
  <conditionalFormatting sqref="L5:L23">
    <cfRule type="cellIs" dxfId="2386" priority="2" operator="equal">
      <formula>0</formula>
    </cfRule>
  </conditionalFormatting>
  <conditionalFormatting sqref="L24">
    <cfRule type="cellIs" dxfId="2385"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4BF3E-1E46-43DB-BA5F-790DBE5B1B4C}">
  <sheetPr>
    <tabColor indexed="24"/>
    <pageSetUpPr fitToPage="1"/>
  </sheetPr>
  <dimension ref="A1:AK52"/>
  <sheetViews>
    <sheetView showGridLines="0" workbookViewId="0">
      <selection activeCell="Y70" sqref="Y70"/>
    </sheetView>
  </sheetViews>
  <sheetFormatPr defaultColWidth="9.140625" defaultRowHeight="11.25"/>
  <cols>
    <col min="1" max="1" width="24.140625" style="2" customWidth="1"/>
    <col min="2" max="12" width="7.5703125" style="2" customWidth="1"/>
    <col min="13" max="14" width="5.85546875" style="2" bestFit="1" customWidth="1"/>
    <col min="15" max="16384" width="9.140625" style="2"/>
  </cols>
  <sheetData>
    <row r="1" spans="1:37" s="1" customFormat="1" ht="29.25" customHeight="1">
      <c r="A1" s="982" t="s">
        <v>564</v>
      </c>
      <c r="B1" s="982"/>
      <c r="C1" s="982"/>
      <c r="D1" s="982"/>
      <c r="E1" s="982"/>
      <c r="F1" s="982"/>
      <c r="G1" s="982"/>
      <c r="H1" s="982"/>
      <c r="I1" s="982"/>
      <c r="J1" s="982"/>
      <c r="K1" s="982"/>
      <c r="L1" s="982"/>
    </row>
    <row r="2" spans="1:37" ht="15" customHeight="1">
      <c r="A2" s="9"/>
      <c r="B2" s="172"/>
      <c r="C2" s="172"/>
      <c r="D2" s="172"/>
      <c r="E2" s="172"/>
      <c r="F2" s="172"/>
      <c r="G2" s="172"/>
      <c r="H2" s="172"/>
      <c r="I2" s="172"/>
      <c r="J2" s="172"/>
      <c r="K2" s="172"/>
      <c r="L2" s="172"/>
    </row>
    <row r="3" spans="1:37" ht="15" customHeight="1">
      <c r="A3" s="11" t="s">
        <v>41</v>
      </c>
      <c r="B3" s="172"/>
      <c r="C3" s="172"/>
      <c r="D3" s="172"/>
      <c r="E3" s="172"/>
      <c r="F3" s="172"/>
      <c r="G3" s="172"/>
      <c r="H3" s="172"/>
      <c r="I3" s="172"/>
      <c r="J3" s="172"/>
      <c r="K3" s="172"/>
      <c r="L3" s="172"/>
    </row>
    <row r="4" spans="1:37" ht="28.5" customHeight="1" thickBot="1">
      <c r="A4" s="13"/>
      <c r="B4" s="14">
        <v>2014</v>
      </c>
      <c r="C4" s="14">
        <v>2015</v>
      </c>
      <c r="D4" s="14">
        <v>2016</v>
      </c>
      <c r="E4" s="14">
        <v>2017</v>
      </c>
      <c r="F4" s="14">
        <v>2018</v>
      </c>
      <c r="G4" s="14">
        <v>2019</v>
      </c>
      <c r="H4" s="14">
        <v>2020</v>
      </c>
      <c r="I4" s="14">
        <v>2021</v>
      </c>
      <c r="J4" s="14">
        <v>2022</v>
      </c>
      <c r="K4" s="14">
        <v>2023</v>
      </c>
      <c r="L4" s="14">
        <v>2024</v>
      </c>
      <c r="O4" s="649"/>
      <c r="P4" s="560">
        <f>+B4</f>
        <v>2014</v>
      </c>
      <c r="Q4" s="560">
        <f t="shared" ref="Q4:W4" si="0">+C4</f>
        <v>2015</v>
      </c>
      <c r="R4" s="560">
        <f t="shared" si="0"/>
        <v>2016</v>
      </c>
      <c r="S4" s="560">
        <f t="shared" si="0"/>
        <v>2017</v>
      </c>
      <c r="T4" s="560">
        <f t="shared" si="0"/>
        <v>2018</v>
      </c>
      <c r="U4" s="560">
        <f t="shared" si="0"/>
        <v>2019</v>
      </c>
      <c r="V4" s="560">
        <f t="shared" si="0"/>
        <v>2020</v>
      </c>
      <c r="W4" s="560">
        <f t="shared" si="0"/>
        <v>2021</v>
      </c>
      <c r="X4" s="560">
        <f>+J4</f>
        <v>2022</v>
      </c>
      <c r="Y4" s="560">
        <f t="shared" ref="Y4:Z4" si="1">+K4</f>
        <v>2023</v>
      </c>
      <c r="Z4" s="560">
        <f t="shared" si="1"/>
        <v>2024</v>
      </c>
      <c r="AA4" s="560">
        <f>+B4</f>
        <v>2014</v>
      </c>
      <c r="AB4" s="560">
        <f t="shared" ref="AB4:AJ4" si="2">+C4</f>
        <v>2015</v>
      </c>
      <c r="AC4" s="560">
        <f t="shared" si="2"/>
        <v>2016</v>
      </c>
      <c r="AD4" s="560">
        <f t="shared" si="2"/>
        <v>2017</v>
      </c>
      <c r="AE4" s="560">
        <f t="shared" si="2"/>
        <v>2018</v>
      </c>
      <c r="AF4" s="560">
        <f t="shared" si="2"/>
        <v>2019</v>
      </c>
      <c r="AG4" s="560">
        <f t="shared" si="2"/>
        <v>2020</v>
      </c>
      <c r="AH4" s="560">
        <f t="shared" si="2"/>
        <v>2021</v>
      </c>
      <c r="AI4" s="560">
        <f t="shared" si="2"/>
        <v>2022</v>
      </c>
      <c r="AJ4" s="560">
        <f t="shared" si="2"/>
        <v>2023</v>
      </c>
      <c r="AK4" s="560">
        <f>+L4</f>
        <v>2024</v>
      </c>
    </row>
    <row r="5" spans="1:37" ht="20.25" customHeight="1" thickTop="1">
      <c r="A5" s="113" t="s">
        <v>11</v>
      </c>
      <c r="B5" s="328">
        <v>270181</v>
      </c>
      <c r="C5" s="328">
        <v>273060</v>
      </c>
      <c r="D5" s="328">
        <v>276332</v>
      </c>
      <c r="E5" s="328">
        <v>279191</v>
      </c>
      <c r="F5" s="328">
        <v>282236</v>
      </c>
      <c r="G5" s="328">
        <v>275751</v>
      </c>
      <c r="H5" s="328">
        <v>277641</v>
      </c>
      <c r="I5" s="328">
        <v>271806</v>
      </c>
      <c r="J5" s="328">
        <v>284860</v>
      </c>
      <c r="K5" s="328">
        <v>291252.00000000017</v>
      </c>
      <c r="L5" s="328">
        <v>288762.99999999994</v>
      </c>
    </row>
    <row r="6" spans="1:37" ht="20.25" customHeight="1">
      <c r="A6" s="15" t="s">
        <v>496</v>
      </c>
      <c r="B6" s="328">
        <v>104739</v>
      </c>
      <c r="C6" s="328">
        <v>105959</v>
      </c>
      <c r="D6" s="328">
        <v>107496</v>
      </c>
      <c r="E6" s="328">
        <v>108796</v>
      </c>
      <c r="F6" s="328">
        <v>109936</v>
      </c>
      <c r="G6" s="328">
        <v>107137</v>
      </c>
      <c r="H6" s="328">
        <v>107805</v>
      </c>
      <c r="I6" s="328">
        <v>106036</v>
      </c>
      <c r="J6" s="328">
        <v>110941</v>
      </c>
      <c r="K6" s="328">
        <v>112985.99999999999</v>
      </c>
      <c r="L6" s="328">
        <v>111564.99999999994</v>
      </c>
      <c r="N6" s="559">
        <f>+(L6/B6-1)*100</f>
        <v>6.5171521591765647</v>
      </c>
      <c r="O6" s="419">
        <f t="shared" ref="O6:O33" si="3">+L6-B6</f>
        <v>6825.9999999999418</v>
      </c>
      <c r="P6" s="559">
        <f>B6*100/B$5</f>
        <v>38.76623448725114</v>
      </c>
      <c r="Q6" s="559">
        <f t="shared" ref="Q6:Z21" si="4">C6*100/C$5</f>
        <v>38.804292096975026</v>
      </c>
      <c r="R6" s="559">
        <f t="shared" si="4"/>
        <v>38.901032091831567</v>
      </c>
      <c r="S6" s="559">
        <f t="shared" si="4"/>
        <v>38.968304852233778</v>
      </c>
      <c r="T6" s="559">
        <f t="shared" si="4"/>
        <v>38.951799203503448</v>
      </c>
      <c r="U6" s="559">
        <f t="shared" si="4"/>
        <v>38.852805610859072</v>
      </c>
      <c r="V6" s="559">
        <f t="shared" si="4"/>
        <v>38.828919359892808</v>
      </c>
      <c r="W6" s="559">
        <f t="shared" si="4"/>
        <v>39.011648013656796</v>
      </c>
      <c r="X6" s="559">
        <f t="shared" si="4"/>
        <v>38.945797935828125</v>
      </c>
      <c r="Y6" s="559">
        <f t="shared" si="4"/>
        <v>38.793210003708097</v>
      </c>
      <c r="Z6" s="559">
        <f t="shared" si="4"/>
        <v>38.635490003913233</v>
      </c>
      <c r="AA6" s="2">
        <f>+IFERROR(RANK(B6,(B$6,B$15,B$22,B$26,B$27,B$28,B$33),0),"")</f>
        <v>1</v>
      </c>
      <c r="AB6" s="2">
        <f>+IFERROR(RANK(C6,(C$6,C$15,C$22,C$26,C$27,C$28,C$33),0),"")</f>
        <v>1</v>
      </c>
      <c r="AC6" s="2">
        <f>+IFERROR(RANK(D6,(D$6,D$15,D$22,D$26,D$27,D$28,D$33),0),"")</f>
        <v>1</v>
      </c>
      <c r="AD6" s="2">
        <f>+IFERROR(RANK(E6,(E$6,E$15,E$22,E$26,E$27,E$28,E$33),0),"")</f>
        <v>1</v>
      </c>
      <c r="AE6" s="2">
        <f>+IFERROR(RANK(F6,(F$6,F$15,F$22,F$26,F$27,F$28,F$33),0),"")</f>
        <v>1</v>
      </c>
      <c r="AF6" s="2">
        <f>+IFERROR(RANK(G6,(G$6,G$15,G$22,G$26,G$27,G$28,G$33),0),"")</f>
        <v>1</v>
      </c>
      <c r="AG6" s="2">
        <f>+IFERROR(RANK(H6,(H$6,H$15,H$22,H$26,H$27,H$28,H$33),0),"")</f>
        <v>1</v>
      </c>
      <c r="AH6" s="2">
        <f>+IFERROR(RANK(I6,(I$6,I$15,I$22,I$26,I$27,I$28,I$33),0),"")</f>
        <v>1</v>
      </c>
      <c r="AI6" s="2">
        <f>+IFERROR(RANK(J6,(J$6,J$15,J$22,J$26,J$27,J$28,J$33),0),"")</f>
        <v>1</v>
      </c>
      <c r="AJ6" s="2">
        <f>+IFERROR(RANK(K6,(K$6,K$15,K$22,K$26,K$27,K$28,K$33),0),"")</f>
        <v>1</v>
      </c>
      <c r="AK6" s="2">
        <f>+IFERROR(RANK(L6,(L$6,L$15,L$22,L$26,L$27,L$28,L$33),0),"")</f>
        <v>1</v>
      </c>
    </row>
    <row r="7" spans="1:37" ht="20.25" customHeight="1">
      <c r="A7" s="572" t="s">
        <v>497</v>
      </c>
      <c r="B7" s="646">
        <v>7129</v>
      </c>
      <c r="C7" s="646">
        <v>7173</v>
      </c>
      <c r="D7" s="646">
        <v>7291</v>
      </c>
      <c r="E7" s="646">
        <v>7270</v>
      </c>
      <c r="F7" s="646">
        <v>7341</v>
      </c>
      <c r="G7" s="646">
        <v>7045</v>
      </c>
      <c r="H7" s="646">
        <v>7037</v>
      </c>
      <c r="I7" s="646">
        <v>6974</v>
      </c>
      <c r="J7" s="646">
        <v>7227</v>
      </c>
      <c r="K7" s="646">
        <v>7381</v>
      </c>
      <c r="L7" s="646">
        <v>7328</v>
      </c>
      <c r="N7" s="559">
        <f t="shared" ref="N7:N33" si="5">+(L7/B7-1)*100</f>
        <v>2.7914153457707869</v>
      </c>
      <c r="O7" s="419">
        <f t="shared" si="3"/>
        <v>199</v>
      </c>
      <c r="P7" s="559">
        <f t="shared" ref="P7:Z23" si="6">B7*100/B$5</f>
        <v>2.6386015300853871</v>
      </c>
      <c r="Q7" s="559">
        <f t="shared" si="4"/>
        <v>2.6268951878707978</v>
      </c>
      <c r="R7" s="559">
        <f t="shared" si="4"/>
        <v>2.6384928274684074</v>
      </c>
      <c r="S7" s="559">
        <f t="shared" si="4"/>
        <v>2.6039521331275006</v>
      </c>
      <c r="T7" s="559">
        <f t="shared" si="4"/>
        <v>2.6010147536104538</v>
      </c>
      <c r="U7" s="559">
        <f t="shared" si="4"/>
        <v>2.5548411429151661</v>
      </c>
      <c r="V7" s="559">
        <f t="shared" si="4"/>
        <v>2.5345680212936852</v>
      </c>
      <c r="W7" s="559">
        <f t="shared" si="4"/>
        <v>2.5658006077864357</v>
      </c>
      <c r="X7" s="559">
        <f t="shared" si="4"/>
        <v>2.5370357368531908</v>
      </c>
      <c r="Y7" s="559">
        <f t="shared" si="4"/>
        <v>2.5342315245903877</v>
      </c>
      <c r="Z7" s="559">
        <f t="shared" si="4"/>
        <v>2.5377212454504217</v>
      </c>
      <c r="AA7" s="2" t="str">
        <f>+IFERROR(RANK(B7,(B$6,B$15,B$22,B$26,B$27,B$28,B$33),0),"")</f>
        <v/>
      </c>
      <c r="AB7" s="2" t="str">
        <f>+IFERROR(RANK(C7,(C$6,C$15,C$22,C$26,C$27,C$28,C$33),0),"")</f>
        <v/>
      </c>
      <c r="AC7" s="2" t="str">
        <f>+IFERROR(RANK(D7,(D$6,D$15,D$22,D$26,D$27,D$28,D$33),0),"")</f>
        <v/>
      </c>
      <c r="AD7" s="2" t="str">
        <f>+IFERROR(RANK(E7,(E$6,E$15,E$22,E$26,E$27,E$28,E$33),0),"")</f>
        <v/>
      </c>
      <c r="AE7" s="2" t="str">
        <f>+IFERROR(RANK(F7,(F$6,F$15,F$22,F$26,F$27,F$28,F$33),0),"")</f>
        <v/>
      </c>
      <c r="AF7" s="2" t="str">
        <f>+IFERROR(RANK(G7,(G$6,G$15,G$22,G$26,G$27,G$28,G$33),0),"")</f>
        <v/>
      </c>
      <c r="AG7" s="2" t="str">
        <f>+IFERROR(RANK(H7,(H$6,H$15,H$22,H$26,H$27,H$28,H$33),0),"")</f>
        <v/>
      </c>
      <c r="AH7" s="2" t="str">
        <f>+IFERROR(RANK(I7,(I$6,I$15,I$22,I$26,I$27,I$28,I$33),0),"")</f>
        <v/>
      </c>
      <c r="AI7" s="2" t="str">
        <f>+IFERROR(RANK(J7,(J$6,J$15,J$22,J$26,J$27,J$28,J$33),0),"")</f>
        <v/>
      </c>
      <c r="AJ7" s="2" t="str">
        <f>+IFERROR(RANK(K7,(K$6,K$15,K$22,K$26,K$27,K$28,K$33),0),"")</f>
        <v/>
      </c>
      <c r="AK7" s="2" t="str">
        <f>+IFERROR(RANK(L7,(L$6,L$15,L$22,L$26,L$27,L$28,L$33),0),"")</f>
        <v/>
      </c>
    </row>
    <row r="8" spans="1:37" ht="15" customHeight="1">
      <c r="A8" s="572" t="s">
        <v>498</v>
      </c>
      <c r="B8" s="646">
        <v>13169</v>
      </c>
      <c r="C8" s="646">
        <v>13373</v>
      </c>
      <c r="D8" s="646">
        <v>13613</v>
      </c>
      <c r="E8" s="646">
        <v>13840</v>
      </c>
      <c r="F8" s="646">
        <v>13932</v>
      </c>
      <c r="G8" s="646">
        <v>13662</v>
      </c>
      <c r="H8" s="646">
        <v>13781</v>
      </c>
      <c r="I8" s="646">
        <v>13588</v>
      </c>
      <c r="J8" s="646">
        <v>14557</v>
      </c>
      <c r="K8" s="646">
        <v>15022.000000000002</v>
      </c>
      <c r="L8" s="646">
        <v>15022</v>
      </c>
      <c r="N8" s="559">
        <f t="shared" si="5"/>
        <v>14.07092414002582</v>
      </c>
      <c r="O8" s="419">
        <f t="shared" si="3"/>
        <v>1853</v>
      </c>
      <c r="P8" s="559">
        <f t="shared" si="6"/>
        <v>4.8741399284183569</v>
      </c>
      <c r="Q8" s="559">
        <f t="shared" si="4"/>
        <v>4.8974584340438003</v>
      </c>
      <c r="R8" s="559">
        <f t="shared" si="4"/>
        <v>4.9263205130060941</v>
      </c>
      <c r="S8" s="559">
        <f t="shared" si="4"/>
        <v>4.9571798517860532</v>
      </c>
      <c r="T8" s="559">
        <f t="shared" si="4"/>
        <v>4.9362944486174687</v>
      </c>
      <c r="U8" s="559">
        <f t="shared" si="4"/>
        <v>4.9544697934005679</v>
      </c>
      <c r="V8" s="559">
        <f t="shared" si="4"/>
        <v>4.9636040786483262</v>
      </c>
      <c r="W8" s="559">
        <f t="shared" si="4"/>
        <v>4.9991538082308704</v>
      </c>
      <c r="X8" s="559">
        <f t="shared" si="4"/>
        <v>5.1102295864635261</v>
      </c>
      <c r="Y8" s="559">
        <f t="shared" si="4"/>
        <v>5.1577328224355519</v>
      </c>
      <c r="Z8" s="559">
        <f t="shared" si="4"/>
        <v>5.2021900312713205</v>
      </c>
      <c r="AA8" s="2" t="str">
        <f>+IFERROR(RANK(B8,(B$6,B$15,B$22,B$26,B$27,B$28,B$33),0),"")</f>
        <v/>
      </c>
      <c r="AB8" s="2" t="str">
        <f>+IFERROR(RANK(C8,(C$6,C$15,C$22,C$26,C$27,C$28,C$33),0),"")</f>
        <v/>
      </c>
      <c r="AC8" s="2" t="str">
        <f>+IFERROR(RANK(D8,(D$6,D$15,D$22,D$26,D$27,D$28,D$33),0),"")</f>
        <v/>
      </c>
      <c r="AD8" s="2" t="str">
        <f>+IFERROR(RANK(E8,(E$6,E$15,E$22,E$26,E$27,E$28,E$33),0),"")</f>
        <v/>
      </c>
      <c r="AE8" s="2" t="str">
        <f>+IFERROR(RANK(F8,(F$6,F$15,F$22,F$26,F$27,F$28,F$33),0),"")</f>
        <v/>
      </c>
      <c r="AF8" s="2" t="str">
        <f>+IFERROR(RANK(G8,(G$6,G$15,G$22,G$26,G$27,G$28,G$33),0),"")</f>
        <v/>
      </c>
      <c r="AG8" s="2" t="str">
        <f>+IFERROR(RANK(H8,(H$6,H$15,H$22,H$26,H$27,H$28,H$33),0),"")</f>
        <v/>
      </c>
      <c r="AH8" s="2" t="str">
        <f>+IFERROR(RANK(I8,(I$6,I$15,I$22,I$26,I$27,I$28,I$33),0),"")</f>
        <v/>
      </c>
      <c r="AI8" s="2" t="str">
        <f>+IFERROR(RANK(J8,(J$6,J$15,J$22,J$26,J$27,J$28,J$33),0),"")</f>
        <v/>
      </c>
      <c r="AJ8" s="2" t="str">
        <f>+IFERROR(RANK(K8,(K$6,K$15,K$22,K$26,K$27,K$28,K$33),0),"")</f>
        <v/>
      </c>
      <c r="AK8" s="2" t="str">
        <f>+IFERROR(RANK(L8,(L$6,L$15,L$22,L$26,L$27,L$28,L$33),0),"")</f>
        <v/>
      </c>
    </row>
    <row r="9" spans="1:37" ht="15" customHeight="1">
      <c r="A9" s="572" t="s">
        <v>499</v>
      </c>
      <c r="B9" s="646">
        <v>12761</v>
      </c>
      <c r="C9" s="646">
        <v>12914</v>
      </c>
      <c r="D9" s="646">
        <v>13247</v>
      </c>
      <c r="E9" s="646">
        <v>13507</v>
      </c>
      <c r="F9" s="646">
        <v>13505</v>
      </c>
      <c r="G9" s="646">
        <v>13001</v>
      </c>
      <c r="H9" s="646">
        <v>13164</v>
      </c>
      <c r="I9" s="646">
        <v>12897</v>
      </c>
      <c r="J9" s="646">
        <v>13716</v>
      </c>
      <c r="K9" s="646">
        <v>13849.999999999998</v>
      </c>
      <c r="L9" s="646">
        <v>13685</v>
      </c>
      <c r="N9" s="559">
        <f t="shared" si="5"/>
        <v>7.2408118486012141</v>
      </c>
      <c r="O9" s="419">
        <f t="shared" si="3"/>
        <v>924</v>
      </c>
      <c r="P9" s="559">
        <f t="shared" si="6"/>
        <v>4.7231300498554676</v>
      </c>
      <c r="Q9" s="559">
        <f t="shared" si="4"/>
        <v>4.7293635098513152</v>
      </c>
      <c r="R9" s="559">
        <f t="shared" si="4"/>
        <v>4.7938711405121373</v>
      </c>
      <c r="S9" s="559">
        <f t="shared" si="4"/>
        <v>4.837906666045825</v>
      </c>
      <c r="T9" s="559">
        <f t="shared" si="4"/>
        <v>4.7850026219192445</v>
      </c>
      <c r="U9" s="559">
        <f t="shared" si="4"/>
        <v>4.7147607805592724</v>
      </c>
      <c r="V9" s="559">
        <f t="shared" si="4"/>
        <v>4.7413746528790774</v>
      </c>
      <c r="W9" s="559">
        <f t="shared" si="4"/>
        <v>4.7449283680271961</v>
      </c>
      <c r="X9" s="559">
        <f t="shared" si="4"/>
        <v>4.8149968405532544</v>
      </c>
      <c r="Y9" s="559">
        <f t="shared" si="4"/>
        <v>4.7553321522255603</v>
      </c>
      <c r="Z9" s="559">
        <f t="shared" si="4"/>
        <v>4.7391805736884587</v>
      </c>
      <c r="AA9" s="2" t="str">
        <f>+IFERROR(RANK(B9,(B$6,B$15,B$22,B$26,B$27,B$28,B$33),0),"")</f>
        <v/>
      </c>
      <c r="AB9" s="2" t="str">
        <f>+IFERROR(RANK(C9,(C$6,C$15,C$22,C$26,C$27,C$28,C$33),0),"")</f>
        <v/>
      </c>
      <c r="AC9" s="2" t="str">
        <f>+IFERROR(RANK(D9,(D$6,D$15,D$22,D$26,D$27,D$28,D$33),0),"")</f>
        <v/>
      </c>
      <c r="AD9" s="2" t="str">
        <f>+IFERROR(RANK(E9,(E$6,E$15,E$22,E$26,E$27,E$28,E$33),0),"")</f>
        <v/>
      </c>
      <c r="AE9" s="2" t="str">
        <f>+IFERROR(RANK(F9,(F$6,F$15,F$22,F$26,F$27,F$28,F$33),0),"")</f>
        <v/>
      </c>
      <c r="AF9" s="2" t="str">
        <f>+IFERROR(RANK(G9,(G$6,G$15,G$22,G$26,G$27,G$28,G$33),0),"")</f>
        <v/>
      </c>
      <c r="AG9" s="2" t="str">
        <f>+IFERROR(RANK(H9,(H$6,H$15,H$22,H$26,H$27,H$28,H$33),0),"")</f>
        <v/>
      </c>
      <c r="AH9" s="2" t="str">
        <f>+IFERROR(RANK(I9,(I$6,I$15,I$22,I$26,I$27,I$28,I$33),0),"")</f>
        <v/>
      </c>
      <c r="AI9" s="2" t="str">
        <f>+IFERROR(RANK(J9,(J$6,J$15,J$22,J$26,J$27,J$28,J$33),0),"")</f>
        <v/>
      </c>
      <c r="AJ9" s="2" t="str">
        <f>+IFERROR(RANK(K9,(K$6,K$15,K$22,K$26,K$27,K$28,K$33),0),"")</f>
        <v/>
      </c>
      <c r="AK9" s="2" t="str">
        <f>+IFERROR(RANK(L9,(L$6,L$15,L$22,L$26,L$27,L$28,L$33),0),"")</f>
        <v/>
      </c>
    </row>
    <row r="10" spans="1:37" ht="15" customHeight="1">
      <c r="A10" s="572" t="s">
        <v>500</v>
      </c>
      <c r="B10" s="646">
        <v>49118</v>
      </c>
      <c r="C10" s="646">
        <v>49590</v>
      </c>
      <c r="D10" s="646">
        <v>50179</v>
      </c>
      <c r="E10" s="646">
        <v>50743</v>
      </c>
      <c r="F10" s="646">
        <v>51437</v>
      </c>
      <c r="G10" s="646">
        <v>50377</v>
      </c>
      <c r="H10" s="646">
        <v>50550</v>
      </c>
      <c r="I10" s="646">
        <v>49104</v>
      </c>
      <c r="J10" s="646">
        <v>51243</v>
      </c>
      <c r="K10" s="646">
        <v>52107</v>
      </c>
      <c r="L10" s="646">
        <v>51191</v>
      </c>
      <c r="N10" s="559">
        <f t="shared" si="5"/>
        <v>4.2204487153385761</v>
      </c>
      <c r="O10" s="419">
        <f t="shared" si="3"/>
        <v>2073</v>
      </c>
      <c r="P10" s="559">
        <f t="shared" si="6"/>
        <v>18.179664743264702</v>
      </c>
      <c r="Q10" s="559">
        <f t="shared" si="4"/>
        <v>18.160843770599868</v>
      </c>
      <c r="R10" s="559">
        <f t="shared" si="4"/>
        <v>18.158953722334005</v>
      </c>
      <c r="S10" s="559">
        <f t="shared" si="4"/>
        <v>18.175012804854024</v>
      </c>
      <c r="T10" s="559">
        <f t="shared" si="4"/>
        <v>18.224818945846739</v>
      </c>
      <c r="U10" s="559">
        <f t="shared" si="4"/>
        <v>18.269018063397777</v>
      </c>
      <c r="V10" s="559">
        <f t="shared" si="4"/>
        <v>18.206965109619976</v>
      </c>
      <c r="W10" s="559">
        <f t="shared" si="4"/>
        <v>18.065826361448973</v>
      </c>
      <c r="X10" s="559">
        <f t="shared" si="4"/>
        <v>17.98883662149828</v>
      </c>
      <c r="Y10" s="559">
        <f t="shared" si="4"/>
        <v>17.890692596102333</v>
      </c>
      <c r="Z10" s="559">
        <f t="shared" si="4"/>
        <v>17.727686718866341</v>
      </c>
      <c r="AA10" s="2" t="str">
        <f>+IFERROR(RANK(B10,(B$6,B$15,B$22,B$26,B$27,B$28,B$33),0),"")</f>
        <v/>
      </c>
      <c r="AB10" s="2" t="str">
        <f>+IFERROR(RANK(C10,(C$6,C$15,C$22,C$26,C$27,C$28,C$33),0),"")</f>
        <v/>
      </c>
      <c r="AC10" s="2" t="str">
        <f>+IFERROR(RANK(D10,(D$6,D$15,D$22,D$26,D$27,D$28,D$33),0),"")</f>
        <v/>
      </c>
      <c r="AD10" s="2" t="str">
        <f>+IFERROR(RANK(E10,(E$6,E$15,E$22,E$26,E$27,E$28,E$33),0),"")</f>
        <v/>
      </c>
      <c r="AE10" s="2" t="str">
        <f>+IFERROR(RANK(F10,(F$6,F$15,F$22,F$26,F$27,F$28,F$33),0),"")</f>
        <v/>
      </c>
      <c r="AF10" s="2" t="str">
        <f>+IFERROR(RANK(G10,(G$6,G$15,G$22,G$26,G$27,G$28,G$33),0),"")</f>
        <v/>
      </c>
      <c r="AG10" s="2" t="str">
        <f>+IFERROR(RANK(H10,(H$6,H$15,H$22,H$26,H$27,H$28,H$33),0),"")</f>
        <v/>
      </c>
      <c r="AH10" s="2" t="str">
        <f>+IFERROR(RANK(I10,(I$6,I$15,I$22,I$26,I$27,I$28,I$33),0),"")</f>
        <v/>
      </c>
      <c r="AI10" s="2" t="str">
        <f>+IFERROR(RANK(J10,(J$6,J$15,J$22,J$26,J$27,J$28,J$33),0),"")</f>
        <v/>
      </c>
      <c r="AJ10" s="2" t="str">
        <f>+IFERROR(RANK(K10,(K$6,K$15,K$22,K$26,K$27,K$28,K$33),0),"")</f>
        <v/>
      </c>
      <c r="AK10" s="2" t="str">
        <f>+IFERROR(RANK(L10,(L$6,L$15,L$22,L$26,L$27,L$28,L$33),0),"")</f>
        <v/>
      </c>
    </row>
    <row r="11" spans="1:37" ht="15" customHeight="1">
      <c r="A11" s="572" t="s">
        <v>501</v>
      </c>
      <c r="B11" s="646">
        <v>2147</v>
      </c>
      <c r="C11" s="646">
        <v>2205</v>
      </c>
      <c r="D11" s="646">
        <v>2256</v>
      </c>
      <c r="E11" s="646">
        <v>2272</v>
      </c>
      <c r="F11" s="646">
        <v>2316</v>
      </c>
      <c r="G11" s="646">
        <v>2252</v>
      </c>
      <c r="H11" s="646">
        <v>2299</v>
      </c>
      <c r="I11" s="646">
        <v>2298</v>
      </c>
      <c r="J11" s="646">
        <v>2409</v>
      </c>
      <c r="K11" s="646">
        <v>2397</v>
      </c>
      <c r="L11" s="646">
        <v>2432</v>
      </c>
      <c r="N11" s="559">
        <f t="shared" si="5"/>
        <v>13.274336283185839</v>
      </c>
      <c r="O11" s="419">
        <f t="shared" si="3"/>
        <v>285</v>
      </c>
      <c r="P11" s="559">
        <f t="shared" si="6"/>
        <v>0.79465247371206704</v>
      </c>
      <c r="Q11" s="559">
        <f t="shared" si="4"/>
        <v>0.80751483190507578</v>
      </c>
      <c r="R11" s="559">
        <f t="shared" si="4"/>
        <v>0.81640924684799443</v>
      </c>
      <c r="S11" s="559">
        <f t="shared" si="4"/>
        <v>0.81377981381921338</v>
      </c>
      <c r="T11" s="559">
        <f t="shared" si="4"/>
        <v>0.82058986096741737</v>
      </c>
      <c r="U11" s="559">
        <f t="shared" si="4"/>
        <v>0.81667881530801334</v>
      </c>
      <c r="V11" s="559">
        <f t="shared" si="4"/>
        <v>0.82804773070259796</v>
      </c>
      <c r="W11" s="559">
        <f t="shared" si="4"/>
        <v>0.84545595019977482</v>
      </c>
      <c r="X11" s="559">
        <f t="shared" si="4"/>
        <v>0.84567857895106369</v>
      </c>
      <c r="Y11" s="559">
        <f t="shared" si="4"/>
        <v>0.82299864035268377</v>
      </c>
      <c r="Z11" s="559">
        <f t="shared" si="4"/>
        <v>0.84221316442896099</v>
      </c>
      <c r="AA11" s="2" t="str">
        <f>+IFERROR(RANK(B11,(B$6,B$15,B$22,B$26,B$27,B$28,B$33),0),"")</f>
        <v/>
      </c>
      <c r="AB11" s="2" t="str">
        <f>+IFERROR(RANK(C11,(C$6,C$15,C$22,C$26,C$27,C$28,C$33),0),"")</f>
        <v/>
      </c>
      <c r="AC11" s="2" t="str">
        <f>+IFERROR(RANK(D11,(D$6,D$15,D$22,D$26,D$27,D$28,D$33),0),"")</f>
        <v/>
      </c>
      <c r="AD11" s="2" t="str">
        <f>+IFERROR(RANK(E11,(E$6,E$15,E$22,E$26,E$27,E$28,E$33),0),"")</f>
        <v/>
      </c>
      <c r="AE11" s="2" t="str">
        <f>+IFERROR(RANK(F11,(F$6,F$15,F$22,F$26,F$27,F$28,F$33),0),"")</f>
        <v/>
      </c>
      <c r="AF11" s="2" t="str">
        <f>+IFERROR(RANK(G11,(G$6,G$15,G$22,G$26,G$27,G$28,G$33),0),"")</f>
        <v/>
      </c>
      <c r="AG11" s="2" t="str">
        <f>+IFERROR(RANK(H11,(H$6,H$15,H$22,H$26,H$27,H$28,H$33),0),"")</f>
        <v/>
      </c>
      <c r="AH11" s="2" t="str">
        <f>+IFERROR(RANK(I11,(I$6,I$15,I$22,I$26,I$27,I$28,I$33),0),"")</f>
        <v/>
      </c>
      <c r="AI11" s="2" t="str">
        <f>+IFERROR(RANK(J11,(J$6,J$15,J$22,J$26,J$27,J$28,J$33),0),"")</f>
        <v/>
      </c>
      <c r="AJ11" s="2" t="str">
        <f>+IFERROR(RANK(K11,(K$6,K$15,K$22,K$26,K$27,K$28,K$33),0),"")</f>
        <v/>
      </c>
      <c r="AK11" s="2" t="str">
        <f>+IFERROR(RANK(L11,(L$6,L$15,L$22,L$26,L$27,L$28,L$33),0),"")</f>
        <v/>
      </c>
    </row>
    <row r="12" spans="1:37" ht="15" customHeight="1">
      <c r="A12" s="572" t="s">
        <v>502</v>
      </c>
      <c r="B12" s="646">
        <v>12069</v>
      </c>
      <c r="C12" s="646">
        <v>12343</v>
      </c>
      <c r="D12" s="646">
        <v>12490</v>
      </c>
      <c r="E12" s="646">
        <v>12646</v>
      </c>
      <c r="F12" s="646">
        <v>12900</v>
      </c>
      <c r="G12" s="646">
        <v>12658</v>
      </c>
      <c r="H12" s="646">
        <v>12707</v>
      </c>
      <c r="I12" s="646">
        <v>12875</v>
      </c>
      <c r="J12" s="646">
        <v>13294</v>
      </c>
      <c r="K12" s="646">
        <v>13558</v>
      </c>
      <c r="L12" s="646">
        <v>13342</v>
      </c>
      <c r="N12" s="559">
        <f t="shared" si="5"/>
        <v>10.547684149473868</v>
      </c>
      <c r="O12" s="419">
        <f t="shared" si="3"/>
        <v>1273</v>
      </c>
      <c r="P12" s="559">
        <f t="shared" si="6"/>
        <v>4.4670054519007625</v>
      </c>
      <c r="Q12" s="559">
        <f t="shared" si="4"/>
        <v>4.5202519592763499</v>
      </c>
      <c r="R12" s="559">
        <f t="shared" si="4"/>
        <v>4.5199253072391183</v>
      </c>
      <c r="S12" s="559">
        <f t="shared" si="4"/>
        <v>4.5295156362490196</v>
      </c>
      <c r="T12" s="559">
        <f t="shared" si="4"/>
        <v>4.5706430079791378</v>
      </c>
      <c r="U12" s="559">
        <f t="shared" si="4"/>
        <v>4.5903731990092513</v>
      </c>
      <c r="V12" s="559">
        <f t="shared" si="4"/>
        <v>4.5767736033222759</v>
      </c>
      <c r="W12" s="559">
        <f t="shared" si="4"/>
        <v>4.7368343598007403</v>
      </c>
      <c r="X12" s="559">
        <f t="shared" si="4"/>
        <v>4.6668538931404902</v>
      </c>
      <c r="Y12" s="559">
        <f t="shared" si="4"/>
        <v>4.6550753299548129</v>
      </c>
      <c r="Z12" s="559">
        <f t="shared" si="4"/>
        <v>4.6203980426855251</v>
      </c>
      <c r="AA12" s="2" t="str">
        <f>+IFERROR(RANK(B12,(B$6,B$15,B$22,B$26,B$27,B$28,B$33),0),"")</f>
        <v/>
      </c>
      <c r="AB12" s="2" t="str">
        <f>+IFERROR(RANK(C12,(C$6,C$15,C$22,C$26,C$27,C$28,C$33),0),"")</f>
        <v/>
      </c>
      <c r="AC12" s="2" t="str">
        <f>+IFERROR(RANK(D12,(D$6,D$15,D$22,D$26,D$27,D$28,D$33),0),"")</f>
        <v/>
      </c>
      <c r="AD12" s="2" t="str">
        <f>+IFERROR(RANK(E12,(E$6,E$15,E$22,E$26,E$27,E$28,E$33),0),"")</f>
        <v/>
      </c>
      <c r="AE12" s="2" t="str">
        <f>+IFERROR(RANK(F12,(F$6,F$15,F$22,F$26,F$27,F$28,F$33),0),"")</f>
        <v/>
      </c>
      <c r="AF12" s="2" t="str">
        <f>+IFERROR(RANK(G12,(G$6,G$15,G$22,G$26,G$27,G$28,G$33),0),"")</f>
        <v/>
      </c>
      <c r="AG12" s="2" t="str">
        <f>+IFERROR(RANK(H12,(H$6,H$15,H$22,H$26,H$27,H$28,H$33),0),"")</f>
        <v/>
      </c>
      <c r="AH12" s="2" t="str">
        <f>+IFERROR(RANK(I12,(I$6,I$15,I$22,I$26,I$27,I$28,I$33),0),"")</f>
        <v/>
      </c>
      <c r="AI12" s="2" t="str">
        <f>+IFERROR(RANK(J12,(J$6,J$15,J$22,J$26,J$27,J$28,J$33),0),"")</f>
        <v/>
      </c>
      <c r="AJ12" s="2" t="str">
        <f>+IFERROR(RANK(K12,(K$6,K$15,K$22,K$26,K$27,K$28,K$33),0),"")</f>
        <v/>
      </c>
      <c r="AK12" s="2" t="str">
        <f>+IFERROR(RANK(L12,(L$6,L$15,L$22,L$26,L$27,L$28,L$33),0),"")</f>
        <v/>
      </c>
    </row>
    <row r="13" spans="1:37" ht="15" customHeight="1">
      <c r="A13" s="572" t="s">
        <v>503</v>
      </c>
      <c r="B13" s="646">
        <v>5153</v>
      </c>
      <c r="C13" s="646">
        <v>5162</v>
      </c>
      <c r="D13" s="646">
        <v>5182</v>
      </c>
      <c r="E13" s="646">
        <v>5243</v>
      </c>
      <c r="F13" s="646">
        <v>5223</v>
      </c>
      <c r="G13" s="646">
        <v>5096</v>
      </c>
      <c r="H13" s="646">
        <v>5195</v>
      </c>
      <c r="I13" s="646">
        <v>5144</v>
      </c>
      <c r="J13" s="646">
        <v>5301</v>
      </c>
      <c r="K13" s="646">
        <v>5412.9999999999991</v>
      </c>
      <c r="L13" s="646">
        <v>5377</v>
      </c>
      <c r="N13" s="559">
        <f t="shared" si="5"/>
        <v>4.3469823403842422</v>
      </c>
      <c r="O13" s="419">
        <f t="shared" si="3"/>
        <v>224</v>
      </c>
      <c r="P13" s="559">
        <f t="shared" si="6"/>
        <v>1.907239961359237</v>
      </c>
      <c r="Q13" s="559">
        <f t="shared" si="4"/>
        <v>1.8904270123782319</v>
      </c>
      <c r="R13" s="559">
        <f t="shared" si="4"/>
        <v>1.8752804597368382</v>
      </c>
      <c r="S13" s="559">
        <f t="shared" si="4"/>
        <v>1.8779258643724188</v>
      </c>
      <c r="T13" s="559">
        <f t="shared" si="4"/>
        <v>1.850578948114344</v>
      </c>
      <c r="U13" s="559">
        <f t="shared" si="4"/>
        <v>1.8480440687431776</v>
      </c>
      <c r="V13" s="559">
        <f t="shared" si="4"/>
        <v>1.8711213401478888</v>
      </c>
      <c r="W13" s="559">
        <f t="shared" si="4"/>
        <v>1.8925262871312627</v>
      </c>
      <c r="X13" s="559">
        <f t="shared" si="4"/>
        <v>1.8609141332584427</v>
      </c>
      <c r="Y13" s="559">
        <f t="shared" si="4"/>
        <v>1.8585280101080837</v>
      </c>
      <c r="Z13" s="559">
        <f t="shared" si="4"/>
        <v>1.8620806682296558</v>
      </c>
      <c r="AA13" s="2" t="str">
        <f>+IFERROR(RANK(B13,(B$6,B$15,B$22,B$26,B$27,B$28,B$33),0),"")</f>
        <v/>
      </c>
      <c r="AB13" s="2" t="str">
        <f>+IFERROR(RANK(C13,(C$6,C$15,C$22,C$26,C$27,C$28,C$33),0),"")</f>
        <v/>
      </c>
      <c r="AC13" s="2" t="str">
        <f>+IFERROR(RANK(D13,(D$6,D$15,D$22,D$26,D$27,D$28,D$33),0),"")</f>
        <v/>
      </c>
      <c r="AD13" s="2" t="str">
        <f>+IFERROR(RANK(E13,(E$6,E$15,E$22,E$26,E$27,E$28,E$33),0),"")</f>
        <v/>
      </c>
      <c r="AE13" s="2" t="str">
        <f>+IFERROR(RANK(F13,(F$6,F$15,F$22,F$26,F$27,F$28,F$33),0),"")</f>
        <v/>
      </c>
      <c r="AF13" s="2" t="str">
        <f>+IFERROR(RANK(G13,(G$6,G$15,G$22,G$26,G$27,G$28,G$33),0),"")</f>
        <v/>
      </c>
      <c r="AG13" s="2" t="str">
        <f>+IFERROR(RANK(H13,(H$6,H$15,H$22,H$26,H$27,H$28,H$33),0),"")</f>
        <v/>
      </c>
      <c r="AH13" s="2" t="str">
        <f>+IFERROR(RANK(I13,(I$6,I$15,I$22,I$26,I$27,I$28,I$33),0),"")</f>
        <v/>
      </c>
      <c r="AI13" s="2" t="str">
        <f>+IFERROR(RANK(J13,(J$6,J$15,J$22,J$26,J$27,J$28,J$33),0),"")</f>
        <v/>
      </c>
      <c r="AJ13" s="2" t="str">
        <f>+IFERROR(RANK(K13,(K$6,K$15,K$22,K$26,K$27,K$28,K$33),0),"")</f>
        <v/>
      </c>
      <c r="AK13" s="2" t="str">
        <f>+IFERROR(RANK(L13,(L$6,L$15,L$22,L$26,L$27,L$28,L$33),0),"")</f>
        <v/>
      </c>
    </row>
    <row r="14" spans="1:37" ht="15" customHeight="1">
      <c r="A14" s="572" t="s">
        <v>504</v>
      </c>
      <c r="B14" s="646">
        <v>3193</v>
      </c>
      <c r="C14" s="646">
        <v>3199</v>
      </c>
      <c r="D14" s="646">
        <v>3238</v>
      </c>
      <c r="E14" s="646">
        <v>3275</v>
      </c>
      <c r="F14" s="646">
        <v>3282</v>
      </c>
      <c r="G14" s="646">
        <v>3046</v>
      </c>
      <c r="H14" s="646">
        <v>3072</v>
      </c>
      <c r="I14" s="646">
        <v>3156</v>
      </c>
      <c r="J14" s="646">
        <v>3194</v>
      </c>
      <c r="K14" s="646">
        <v>3258</v>
      </c>
      <c r="L14" s="646">
        <v>3188</v>
      </c>
      <c r="N14" s="559">
        <f t="shared" si="5"/>
        <v>-0.15659254619480034</v>
      </c>
      <c r="O14" s="419">
        <f t="shared" si="3"/>
        <v>-5</v>
      </c>
      <c r="P14" s="559">
        <f t="shared" si="6"/>
        <v>1.1818003486551607</v>
      </c>
      <c r="Q14" s="559">
        <f t="shared" si="4"/>
        <v>1.1715373910495861</v>
      </c>
      <c r="R14" s="559">
        <f t="shared" si="4"/>
        <v>1.1717788746869708</v>
      </c>
      <c r="S14" s="559">
        <f t="shared" si="4"/>
        <v>1.17303208197972</v>
      </c>
      <c r="T14" s="559">
        <f t="shared" si="4"/>
        <v>1.1628566164486458</v>
      </c>
      <c r="U14" s="559">
        <f t="shared" si="4"/>
        <v>1.1046197475258477</v>
      </c>
      <c r="V14" s="559">
        <f t="shared" si="4"/>
        <v>1.1064648232789827</v>
      </c>
      <c r="W14" s="559">
        <f t="shared" si="4"/>
        <v>1.1611222710315445</v>
      </c>
      <c r="X14" s="559">
        <f t="shared" si="4"/>
        <v>1.1212525451098785</v>
      </c>
      <c r="Y14" s="559">
        <f t="shared" si="4"/>
        <v>1.1186189279386916</v>
      </c>
      <c r="Z14" s="559">
        <f t="shared" si="4"/>
        <v>1.1040195592925688</v>
      </c>
      <c r="AA14" s="2" t="str">
        <f>+IFERROR(RANK(B14,(B$6,B$15,B$22,B$26,B$27,B$28,B$33),0),"")</f>
        <v/>
      </c>
      <c r="AB14" s="2" t="str">
        <f>+IFERROR(RANK(C14,(C$6,C$15,C$22,C$26,C$27,C$28,C$33),0),"")</f>
        <v/>
      </c>
      <c r="AC14" s="2" t="str">
        <f>+IFERROR(RANK(D14,(D$6,D$15,D$22,D$26,D$27,D$28,D$33),0),"")</f>
        <v/>
      </c>
      <c r="AD14" s="2" t="str">
        <f>+IFERROR(RANK(E14,(E$6,E$15,E$22,E$26,E$27,E$28,E$33),0),"")</f>
        <v/>
      </c>
      <c r="AE14" s="2" t="str">
        <f>+IFERROR(RANK(F14,(F$6,F$15,F$22,F$26,F$27,F$28,F$33),0),"")</f>
        <v/>
      </c>
      <c r="AF14" s="2" t="str">
        <f>+IFERROR(RANK(G14,(G$6,G$15,G$22,G$26,G$27,G$28,G$33),0),"")</f>
        <v/>
      </c>
      <c r="AG14" s="2" t="str">
        <f>+IFERROR(RANK(H14,(H$6,H$15,H$22,H$26,H$27,H$28,H$33),0),"")</f>
        <v/>
      </c>
      <c r="AH14" s="2" t="str">
        <f>+IFERROR(RANK(I14,(I$6,I$15,I$22,I$26,I$27,I$28,I$33),0),"")</f>
        <v/>
      </c>
      <c r="AI14" s="2" t="str">
        <f>+IFERROR(RANK(J14,(J$6,J$15,J$22,J$26,J$27,J$28,J$33),0),"")</f>
        <v/>
      </c>
      <c r="AJ14" s="2" t="str">
        <f>+IFERROR(RANK(K14,(K$6,K$15,K$22,K$26,K$27,K$28,K$33),0),"")</f>
        <v/>
      </c>
      <c r="AK14" s="2" t="str">
        <f>+IFERROR(RANK(L14,(L$6,L$15,L$22,L$26,L$27,L$28,L$33),0),"")</f>
        <v/>
      </c>
    </row>
    <row r="15" spans="1:37" ht="15" customHeight="1">
      <c r="A15" s="15" t="s">
        <v>505</v>
      </c>
      <c r="B15" s="647">
        <v>45766</v>
      </c>
      <c r="C15" s="647">
        <v>46049</v>
      </c>
      <c r="D15" s="647">
        <v>46552</v>
      </c>
      <c r="E15" s="647">
        <v>46657</v>
      </c>
      <c r="F15" s="647">
        <v>46766</v>
      </c>
      <c r="G15" s="647">
        <v>45574</v>
      </c>
      <c r="H15" s="647">
        <v>45616</v>
      </c>
      <c r="I15" s="647">
        <v>44838</v>
      </c>
      <c r="J15" s="647">
        <v>46520</v>
      </c>
      <c r="K15" s="647">
        <v>47066.000000000007</v>
      </c>
      <c r="L15" s="647">
        <v>46606.999999999985</v>
      </c>
      <c r="N15" s="559">
        <f t="shared" si="5"/>
        <v>1.8376087051522605</v>
      </c>
      <c r="O15" s="419">
        <f t="shared" si="3"/>
        <v>840.99999999998545</v>
      </c>
      <c r="P15" s="559">
        <f t="shared" si="6"/>
        <v>16.939014956640179</v>
      </c>
      <c r="Q15" s="559">
        <f t="shared" si="4"/>
        <v>16.864059181132351</v>
      </c>
      <c r="R15" s="559">
        <f t="shared" si="4"/>
        <v>16.846402153930779</v>
      </c>
      <c r="S15" s="559">
        <f t="shared" si="4"/>
        <v>16.711498579825282</v>
      </c>
      <c r="T15" s="559">
        <f t="shared" si="4"/>
        <v>16.569821000864525</v>
      </c>
      <c r="U15" s="559">
        <f t="shared" si="4"/>
        <v>16.527229275687123</v>
      </c>
      <c r="V15" s="559">
        <f t="shared" si="4"/>
        <v>16.429850058168643</v>
      </c>
      <c r="W15" s="559">
        <f t="shared" si="4"/>
        <v>16.49632458444626</v>
      </c>
      <c r="X15" s="559">
        <f t="shared" si="4"/>
        <v>16.330829179245946</v>
      </c>
      <c r="Y15" s="559">
        <f t="shared" si="4"/>
        <v>16.159889030804933</v>
      </c>
      <c r="Z15" s="559">
        <f t="shared" si="4"/>
        <v>16.140225721439379</v>
      </c>
      <c r="AA15" s="2">
        <f>+IFERROR(RANK(B15,(B$6,B$15,B$22,B$26,B$27,B$28,B$33),0),"")</f>
        <v>3</v>
      </c>
      <c r="AB15" s="2">
        <f>+IFERROR(RANK(C15,(C$6,C$15,C$22,C$26,C$27,C$28,C$33),0),"")</f>
        <v>3</v>
      </c>
      <c r="AC15" s="2">
        <f>+IFERROR(RANK(D15,(D$6,D$15,D$22,D$26,D$27,D$28,D$33),0),"")</f>
        <v>3</v>
      </c>
      <c r="AD15" s="2">
        <f>+IFERROR(RANK(E15,(E$6,E$15,E$22,E$26,E$27,E$28,E$33),0),"")</f>
        <v>3</v>
      </c>
      <c r="AE15" s="2">
        <f>+IFERROR(RANK(F15,(F$6,F$15,F$22,F$26,F$27,F$28,F$33),0),"")</f>
        <v>3</v>
      </c>
      <c r="AF15" s="2">
        <f>+IFERROR(RANK(G15,(G$6,G$15,G$22,G$26,G$27,G$28,G$33),0),"")</f>
        <v>3</v>
      </c>
      <c r="AG15" s="2">
        <f>+IFERROR(RANK(H15,(H$6,H$15,H$22,H$26,H$27,H$28,H$33),0),"")</f>
        <v>3</v>
      </c>
      <c r="AH15" s="2">
        <f>+IFERROR(RANK(I15,(I$6,I$15,I$22,I$26,I$27,I$28,I$33),0),"")</f>
        <v>3</v>
      </c>
      <c r="AI15" s="2">
        <f>+IFERROR(RANK(J15,(J$6,J$15,J$22,J$26,J$27,J$28,J$33),0),"")</f>
        <v>3</v>
      </c>
      <c r="AJ15" s="2">
        <f>+IFERROR(RANK(K15,(K$6,K$15,K$22,K$26,K$27,K$28,K$33),0),"")</f>
        <v>3</v>
      </c>
      <c r="AK15" s="2">
        <f>+IFERROR(RANK(L15,(L$6,L$15,L$22,L$26,L$27,L$28,L$33),0),"")</f>
        <v>3</v>
      </c>
    </row>
    <row r="16" spans="1:37" ht="15" customHeight="1">
      <c r="A16" s="572" t="s">
        <v>506</v>
      </c>
      <c r="B16" s="646">
        <v>9205</v>
      </c>
      <c r="C16" s="646">
        <v>9320</v>
      </c>
      <c r="D16" s="646">
        <v>9561</v>
      </c>
      <c r="E16" s="646">
        <v>9662</v>
      </c>
      <c r="F16" s="646">
        <v>9814</v>
      </c>
      <c r="G16" s="646">
        <v>9682</v>
      </c>
      <c r="H16" s="646">
        <v>9658</v>
      </c>
      <c r="I16" s="646">
        <v>9380</v>
      </c>
      <c r="J16" s="646">
        <v>9676</v>
      </c>
      <c r="K16" s="646">
        <v>9766</v>
      </c>
      <c r="L16" s="646">
        <v>9773</v>
      </c>
      <c r="N16" s="559">
        <f t="shared" si="5"/>
        <v>6.1705594785442797</v>
      </c>
      <c r="O16" s="419">
        <f t="shared" si="3"/>
        <v>568</v>
      </c>
      <c r="P16" s="559">
        <f t="shared" si="6"/>
        <v>3.4069753239495006</v>
      </c>
      <c r="Q16" s="559">
        <f t="shared" si="4"/>
        <v>3.4131692668278033</v>
      </c>
      <c r="R16" s="559">
        <f t="shared" si="4"/>
        <v>3.4599684437560616</v>
      </c>
      <c r="S16" s="559">
        <f t="shared" si="4"/>
        <v>3.4607132751413907</v>
      </c>
      <c r="T16" s="559">
        <f t="shared" si="4"/>
        <v>3.4772318201788575</v>
      </c>
      <c r="U16" s="559">
        <f t="shared" si="4"/>
        <v>3.5111386722078977</v>
      </c>
      <c r="V16" s="559">
        <f t="shared" si="4"/>
        <v>3.4785928591238324</v>
      </c>
      <c r="W16" s="559">
        <f t="shared" si="4"/>
        <v>3.4509907801888113</v>
      </c>
      <c r="X16" s="559">
        <f t="shared" si="4"/>
        <v>3.3967563013410098</v>
      </c>
      <c r="Y16" s="559">
        <f t="shared" si="4"/>
        <v>3.3531100215620815</v>
      </c>
      <c r="Z16" s="559">
        <f t="shared" si="4"/>
        <v>3.3844363716958203</v>
      </c>
      <c r="AA16" s="2" t="str">
        <f>+IFERROR(RANK(B16,(B$6,B$15,B$22,B$26,B$27,B$28,B$33),0),"")</f>
        <v/>
      </c>
      <c r="AB16" s="2" t="str">
        <f>+IFERROR(RANK(C16,(C$6,C$15,C$22,C$26,C$27,C$28,C$33),0),"")</f>
        <v/>
      </c>
      <c r="AC16" s="2" t="str">
        <f>+IFERROR(RANK(D16,(D$6,D$15,D$22,D$26,D$27,D$28,D$33),0),"")</f>
        <v/>
      </c>
      <c r="AD16" s="2" t="str">
        <f>+IFERROR(RANK(E16,(E$6,E$15,E$22,E$26,E$27,E$28,E$33),0),"")</f>
        <v/>
      </c>
      <c r="AE16" s="2" t="str">
        <f>+IFERROR(RANK(F16,(F$6,F$15,F$22,F$26,F$27,F$28,F$33),0),"")</f>
        <v/>
      </c>
      <c r="AF16" s="2" t="str">
        <f>+IFERROR(RANK(G16,(G$6,G$15,G$22,G$26,G$27,G$28,G$33),0),"")</f>
        <v/>
      </c>
      <c r="AG16" s="2" t="str">
        <f>+IFERROR(RANK(H16,(H$6,H$15,H$22,H$26,H$27,H$28,H$33),0),"")</f>
        <v/>
      </c>
      <c r="AH16" s="2" t="str">
        <f>+IFERROR(RANK(I16,(I$6,I$15,I$22,I$26,I$27,I$28,I$33),0),"")</f>
        <v/>
      </c>
      <c r="AI16" s="2" t="str">
        <f>+IFERROR(RANK(J16,(J$6,J$15,J$22,J$26,J$27,J$28,J$33),0),"")</f>
        <v/>
      </c>
      <c r="AJ16" s="2" t="str">
        <f>+IFERROR(RANK(K16,(K$6,K$15,K$22,K$26,K$27,K$28,K$33),0),"")</f>
        <v/>
      </c>
      <c r="AK16" s="2" t="str">
        <f>+IFERROR(RANK(L16,(L$6,L$15,L$22,L$26,L$27,L$28,L$33),0),"")</f>
        <v/>
      </c>
    </row>
    <row r="17" spans="1:37" ht="15" customHeight="1">
      <c r="A17" s="572" t="s">
        <v>507</v>
      </c>
      <c r="B17" s="646">
        <v>10830</v>
      </c>
      <c r="C17" s="646">
        <v>10841</v>
      </c>
      <c r="D17" s="646">
        <v>10913</v>
      </c>
      <c r="E17" s="646">
        <v>10920</v>
      </c>
      <c r="F17" s="646">
        <v>10935</v>
      </c>
      <c r="G17" s="646">
        <v>10620</v>
      </c>
      <c r="H17" s="646">
        <v>10718</v>
      </c>
      <c r="I17" s="646">
        <v>10509</v>
      </c>
      <c r="J17" s="646">
        <v>11014</v>
      </c>
      <c r="K17" s="646">
        <v>11047.999999999998</v>
      </c>
      <c r="L17" s="646">
        <v>10899</v>
      </c>
      <c r="N17" s="559">
        <f t="shared" si="5"/>
        <v>0.63711911357340334</v>
      </c>
      <c r="O17" s="419">
        <f t="shared" si="3"/>
        <v>69</v>
      </c>
      <c r="P17" s="559">
        <f t="shared" si="6"/>
        <v>4.0084239824414007</v>
      </c>
      <c r="Q17" s="559">
        <f t="shared" si="4"/>
        <v>3.9701897018970191</v>
      </c>
      <c r="R17" s="559">
        <f t="shared" si="4"/>
        <v>3.9492349782146112</v>
      </c>
      <c r="S17" s="559">
        <f t="shared" si="4"/>
        <v>3.9113008657155852</v>
      </c>
      <c r="T17" s="559">
        <f t="shared" si="4"/>
        <v>3.8744171544381296</v>
      </c>
      <c r="U17" s="559">
        <f t="shared" si="4"/>
        <v>3.8513006299161199</v>
      </c>
      <c r="V17" s="559">
        <f t="shared" si="4"/>
        <v>3.8603808515312941</v>
      </c>
      <c r="W17" s="559">
        <f t="shared" si="4"/>
        <v>3.8663605659919207</v>
      </c>
      <c r="X17" s="559">
        <f t="shared" si="4"/>
        <v>3.8664607175454608</v>
      </c>
      <c r="Y17" s="559">
        <f t="shared" si="4"/>
        <v>3.7932786727644756</v>
      </c>
      <c r="Z17" s="559">
        <f t="shared" si="4"/>
        <v>3.7743755259503478</v>
      </c>
      <c r="AA17" s="2" t="str">
        <f>+IFERROR(RANK(B17,(B$6,B$15,B$22,B$26,B$27,B$28,B$33),0),"")</f>
        <v/>
      </c>
      <c r="AB17" s="2" t="str">
        <f>+IFERROR(RANK(C17,(C$6,C$15,C$22,C$26,C$27,C$28,C$33),0),"")</f>
        <v/>
      </c>
      <c r="AC17" s="2" t="str">
        <f>+IFERROR(RANK(D17,(D$6,D$15,D$22,D$26,D$27,D$28,D$33),0),"")</f>
        <v/>
      </c>
      <c r="AD17" s="2" t="str">
        <f>+IFERROR(RANK(E17,(E$6,E$15,E$22,E$26,E$27,E$28,E$33),0),"")</f>
        <v/>
      </c>
      <c r="AE17" s="2" t="str">
        <f>+IFERROR(RANK(F17,(F$6,F$15,F$22,F$26,F$27,F$28,F$33),0),"")</f>
        <v/>
      </c>
      <c r="AF17" s="2" t="str">
        <f>+IFERROR(RANK(G17,(G$6,G$15,G$22,G$26,G$27,G$28,G$33),0),"")</f>
        <v/>
      </c>
      <c r="AG17" s="2" t="str">
        <f>+IFERROR(RANK(H17,(H$6,H$15,H$22,H$26,H$27,H$28,H$33),0),"")</f>
        <v/>
      </c>
      <c r="AH17" s="2" t="str">
        <f>+IFERROR(RANK(I17,(I$6,I$15,I$22,I$26,I$27,I$28,I$33),0),"")</f>
        <v/>
      </c>
      <c r="AI17" s="2" t="str">
        <f>+IFERROR(RANK(J17,(J$6,J$15,J$22,J$26,J$27,J$28,J$33),0),"")</f>
        <v/>
      </c>
      <c r="AJ17" s="2" t="str">
        <f>+IFERROR(RANK(K17,(K$6,K$15,K$22,K$26,K$27,K$28,K$33),0),"")</f>
        <v/>
      </c>
      <c r="AK17" s="2" t="str">
        <f>+IFERROR(RANK(L17,(L$6,L$15,L$22,L$26,L$27,L$28,L$33),0),"")</f>
        <v/>
      </c>
    </row>
    <row r="18" spans="1:37" ht="15" customHeight="1">
      <c r="A18" s="572" t="s">
        <v>508</v>
      </c>
      <c r="B18" s="646">
        <v>10176</v>
      </c>
      <c r="C18" s="646">
        <v>10214</v>
      </c>
      <c r="D18" s="646">
        <v>10313</v>
      </c>
      <c r="E18" s="646">
        <v>10330</v>
      </c>
      <c r="F18" s="646">
        <v>10275</v>
      </c>
      <c r="G18" s="646">
        <v>9997</v>
      </c>
      <c r="H18" s="646">
        <v>9987</v>
      </c>
      <c r="I18" s="646">
        <v>9844</v>
      </c>
      <c r="J18" s="646">
        <v>10184</v>
      </c>
      <c r="K18" s="646">
        <v>10426</v>
      </c>
      <c r="L18" s="646">
        <v>10282.999999999996</v>
      </c>
      <c r="N18" s="559">
        <f t="shared" si="5"/>
        <v>1.0514937106917976</v>
      </c>
      <c r="O18" s="419">
        <f t="shared" si="3"/>
        <v>106.99999999999636</v>
      </c>
      <c r="P18" s="559">
        <f t="shared" si="6"/>
        <v>3.7663640300391221</v>
      </c>
      <c r="Q18" s="559">
        <f t="shared" si="4"/>
        <v>3.7405698381308139</v>
      </c>
      <c r="R18" s="559">
        <f t="shared" si="4"/>
        <v>3.7321048593720598</v>
      </c>
      <c r="S18" s="559">
        <f t="shared" si="4"/>
        <v>3.6999760020917578</v>
      </c>
      <c r="T18" s="559">
        <f t="shared" si="4"/>
        <v>3.6405703028671041</v>
      </c>
      <c r="U18" s="559">
        <f t="shared" si="4"/>
        <v>3.6253721654681215</v>
      </c>
      <c r="V18" s="559">
        <f t="shared" si="4"/>
        <v>3.5970912077106769</v>
      </c>
      <c r="W18" s="559">
        <f t="shared" si="4"/>
        <v>3.6217007718740573</v>
      </c>
      <c r="X18" s="559">
        <f t="shared" si="4"/>
        <v>3.5750895176577968</v>
      </c>
      <c r="Y18" s="559">
        <f t="shared" si="4"/>
        <v>3.5797179075165126</v>
      </c>
      <c r="Z18" s="559">
        <f t="shared" si="4"/>
        <v>3.5610517968022215</v>
      </c>
      <c r="AA18" s="2" t="str">
        <f>+IFERROR(RANK(B18,(B$6,B$15,B$22,B$26,B$27,B$28,B$33),0),"")</f>
        <v/>
      </c>
      <c r="AB18" s="2" t="str">
        <f>+IFERROR(RANK(C18,(C$6,C$15,C$22,C$26,C$27,C$28,C$33),0),"")</f>
        <v/>
      </c>
      <c r="AC18" s="2" t="str">
        <f>+IFERROR(RANK(D18,(D$6,D$15,D$22,D$26,D$27,D$28,D$33),0),"")</f>
        <v/>
      </c>
      <c r="AD18" s="2" t="str">
        <f>+IFERROR(RANK(E18,(E$6,E$15,E$22,E$26,E$27,E$28,E$33),0),"")</f>
        <v/>
      </c>
      <c r="AE18" s="2" t="str">
        <f>+IFERROR(RANK(F18,(F$6,F$15,F$22,F$26,F$27,F$28,F$33),0),"")</f>
        <v/>
      </c>
      <c r="AF18" s="2" t="str">
        <f>+IFERROR(RANK(G18,(G$6,G$15,G$22,G$26,G$27,G$28,G$33),0),"")</f>
        <v/>
      </c>
      <c r="AG18" s="2" t="str">
        <f>+IFERROR(RANK(H18,(H$6,H$15,H$22,H$26,H$27,H$28,H$33),0),"")</f>
        <v/>
      </c>
      <c r="AH18" s="2" t="str">
        <f>+IFERROR(RANK(I18,(I$6,I$15,I$22,I$26,I$27,I$28,I$33),0),"")</f>
        <v/>
      </c>
      <c r="AI18" s="2" t="str">
        <f>+IFERROR(RANK(J18,(J$6,J$15,J$22,J$26,J$27,J$28,J$33),0),"")</f>
        <v/>
      </c>
      <c r="AJ18" s="2" t="str">
        <f>+IFERROR(RANK(K18,(K$6,K$15,K$22,K$26,K$27,K$28,K$33),0),"")</f>
        <v/>
      </c>
      <c r="AK18" s="2" t="str">
        <f>+IFERROR(RANK(L18,(L$6,L$15,L$22,L$26,L$27,L$28,L$33),0),"")</f>
        <v/>
      </c>
    </row>
    <row r="19" spans="1:37" ht="15" customHeight="1">
      <c r="A19" s="572" t="s">
        <v>509</v>
      </c>
      <c r="B19" s="646">
        <v>6859</v>
      </c>
      <c r="C19" s="646">
        <v>6980</v>
      </c>
      <c r="D19" s="646">
        <v>7045</v>
      </c>
      <c r="E19" s="646">
        <v>7065</v>
      </c>
      <c r="F19" s="646">
        <v>7093</v>
      </c>
      <c r="G19" s="646">
        <v>6962</v>
      </c>
      <c r="H19" s="646">
        <v>6975</v>
      </c>
      <c r="I19" s="646">
        <v>6950</v>
      </c>
      <c r="J19" s="646">
        <v>7226</v>
      </c>
      <c r="K19" s="646">
        <v>7366</v>
      </c>
      <c r="L19" s="646">
        <v>7294</v>
      </c>
      <c r="N19" s="559">
        <f t="shared" si="5"/>
        <v>6.3420323662341405</v>
      </c>
      <c r="O19" s="419">
        <f t="shared" si="3"/>
        <v>435</v>
      </c>
      <c r="P19" s="559">
        <f t="shared" si="6"/>
        <v>2.5386685222128871</v>
      </c>
      <c r="Q19" s="559">
        <f t="shared" si="4"/>
        <v>2.5562147513367024</v>
      </c>
      <c r="R19" s="559">
        <f t="shared" si="4"/>
        <v>2.5494694787429615</v>
      </c>
      <c r="S19" s="559">
        <f t="shared" si="4"/>
        <v>2.5305256974615946</v>
      </c>
      <c r="T19" s="559">
        <f t="shared" si="4"/>
        <v>2.5131450275655833</v>
      </c>
      <c r="U19" s="559">
        <f t="shared" si="4"/>
        <v>2.5247415240561231</v>
      </c>
      <c r="V19" s="559">
        <f t="shared" si="4"/>
        <v>2.5122370255113617</v>
      </c>
      <c r="W19" s="559">
        <f t="shared" si="4"/>
        <v>2.5569707806303024</v>
      </c>
      <c r="X19" s="559">
        <f t="shared" si="4"/>
        <v>2.5366846872147724</v>
      </c>
      <c r="Y19" s="559">
        <f t="shared" si="4"/>
        <v>2.5290813453641503</v>
      </c>
      <c r="Z19" s="559">
        <f t="shared" si="4"/>
        <v>2.5259468837766614</v>
      </c>
      <c r="AA19" s="2" t="str">
        <f>+IFERROR(RANK(B19,(B$6,B$15,B$22,B$26,B$27,B$28,B$33),0),"")</f>
        <v/>
      </c>
      <c r="AB19" s="2" t="str">
        <f>+IFERROR(RANK(C19,(C$6,C$15,C$22,C$26,C$27,C$28,C$33),0),"")</f>
        <v/>
      </c>
      <c r="AC19" s="2" t="str">
        <f>+IFERROR(RANK(D19,(D$6,D$15,D$22,D$26,D$27,D$28,D$33),0),"")</f>
        <v/>
      </c>
      <c r="AD19" s="2" t="str">
        <f>+IFERROR(RANK(E19,(E$6,E$15,E$22,E$26,E$27,E$28,E$33),0),"")</f>
        <v/>
      </c>
      <c r="AE19" s="2" t="str">
        <f>+IFERROR(RANK(F19,(F$6,F$15,F$22,F$26,F$27,F$28,F$33),0),"")</f>
        <v/>
      </c>
      <c r="AF19" s="2" t="str">
        <f>+IFERROR(RANK(G19,(G$6,G$15,G$22,G$26,G$27,G$28,G$33),0),"")</f>
        <v/>
      </c>
      <c r="AG19" s="2" t="str">
        <f>+IFERROR(RANK(H19,(H$6,H$15,H$22,H$26,H$27,H$28,H$33),0),"")</f>
        <v/>
      </c>
      <c r="AH19" s="2" t="str">
        <f>+IFERROR(RANK(I19,(I$6,I$15,I$22,I$26,I$27,I$28,I$33),0),"")</f>
        <v/>
      </c>
      <c r="AI19" s="2" t="str">
        <f>+IFERROR(RANK(J19,(J$6,J$15,J$22,J$26,J$27,J$28,J$33),0),"")</f>
        <v/>
      </c>
      <c r="AJ19" s="2" t="str">
        <f>+IFERROR(RANK(K19,(K$6,K$15,K$22,K$26,K$27,K$28,K$33),0),"")</f>
        <v/>
      </c>
      <c r="AK19" s="2" t="str">
        <f>+IFERROR(RANK(L19,(L$6,L$15,L$22,L$26,L$27,L$28,L$33),0),"")</f>
        <v/>
      </c>
    </row>
    <row r="20" spans="1:37" ht="15" customHeight="1">
      <c r="A20" s="572" t="s">
        <v>510</v>
      </c>
      <c r="B20" s="646">
        <v>2688</v>
      </c>
      <c r="C20" s="646">
        <v>2715</v>
      </c>
      <c r="D20" s="646">
        <v>2717</v>
      </c>
      <c r="E20" s="646">
        <v>2654</v>
      </c>
      <c r="F20" s="646">
        <v>2682</v>
      </c>
      <c r="G20" s="646">
        <v>2637</v>
      </c>
      <c r="H20" s="646">
        <v>2619</v>
      </c>
      <c r="I20" s="646">
        <v>2630</v>
      </c>
      <c r="J20" s="646">
        <v>2733</v>
      </c>
      <c r="K20" s="646">
        <v>2743</v>
      </c>
      <c r="L20" s="646">
        <v>2681.9999999999995</v>
      </c>
      <c r="N20" s="559">
        <f t="shared" si="5"/>
        <v>-0.22321428571430157</v>
      </c>
      <c r="O20" s="419">
        <f t="shared" si="3"/>
        <v>-6.0000000000004547</v>
      </c>
      <c r="P20" s="559">
        <f t="shared" si="6"/>
        <v>0.99488861170844733</v>
      </c>
      <c r="Q20" s="559">
        <f t="shared" si="4"/>
        <v>0.99428696989672605</v>
      </c>
      <c r="R20" s="559">
        <f t="shared" si="4"/>
        <v>0.98323755482535502</v>
      </c>
      <c r="S20" s="559">
        <f t="shared" si="4"/>
        <v>0.95060370857226772</v>
      </c>
      <c r="T20" s="559">
        <f t="shared" si="4"/>
        <v>0.95026856956589523</v>
      </c>
      <c r="U20" s="559">
        <f t="shared" si="4"/>
        <v>0.95629752929273149</v>
      </c>
      <c r="V20" s="559">
        <f t="shared" si="4"/>
        <v>0.94330448312749193</v>
      </c>
      <c r="W20" s="559">
        <f t="shared" si="4"/>
        <v>0.96760189252628714</v>
      </c>
      <c r="X20" s="559">
        <f t="shared" si="4"/>
        <v>0.95941866179877833</v>
      </c>
      <c r="Y20" s="559">
        <f t="shared" si="4"/>
        <v>0.94179610783788548</v>
      </c>
      <c r="Z20" s="559">
        <f t="shared" si="4"/>
        <v>0.92878935320660883</v>
      </c>
      <c r="AA20" s="2" t="str">
        <f>+IFERROR(RANK(B20,(B$6,B$15,B$22,B$26,B$27,B$28,B$33),0),"")</f>
        <v/>
      </c>
      <c r="AB20" s="2" t="str">
        <f>+IFERROR(RANK(C20,(C$6,C$15,C$22,C$26,C$27,C$28,C$33),0),"")</f>
        <v/>
      </c>
      <c r="AC20" s="2" t="str">
        <f>+IFERROR(RANK(D20,(D$6,D$15,D$22,D$26,D$27,D$28,D$33),0),"")</f>
        <v/>
      </c>
      <c r="AD20" s="2" t="str">
        <f>+IFERROR(RANK(E20,(E$6,E$15,E$22,E$26,E$27,E$28,E$33),0),"")</f>
        <v/>
      </c>
      <c r="AE20" s="2" t="str">
        <f>+IFERROR(RANK(F20,(F$6,F$15,F$22,F$26,F$27,F$28,F$33),0),"")</f>
        <v/>
      </c>
      <c r="AF20" s="2" t="str">
        <f>+IFERROR(RANK(G20,(G$6,G$15,G$22,G$26,G$27,G$28,G$33),0),"")</f>
        <v/>
      </c>
      <c r="AG20" s="2" t="str">
        <f>+IFERROR(RANK(H20,(H$6,H$15,H$22,H$26,H$27,H$28,H$33),0),"")</f>
        <v/>
      </c>
      <c r="AH20" s="2" t="str">
        <f>+IFERROR(RANK(I20,(I$6,I$15,I$22,I$26,I$27,I$28,I$33),0),"")</f>
        <v/>
      </c>
      <c r="AI20" s="2" t="str">
        <f>+IFERROR(RANK(J20,(J$6,J$15,J$22,J$26,J$27,J$28,J$33),0),"")</f>
        <v/>
      </c>
      <c r="AJ20" s="2" t="str">
        <f>+IFERROR(RANK(K20,(K$6,K$15,K$22,K$26,K$27,K$28,K$33),0),"")</f>
        <v/>
      </c>
      <c r="AK20" s="2" t="str">
        <f>+IFERROR(RANK(L20,(L$6,L$15,L$22,L$26,L$27,L$28,L$33),0),"")</f>
        <v/>
      </c>
    </row>
    <row r="21" spans="1:37" ht="15" customHeight="1">
      <c r="A21" s="572" t="s">
        <v>511</v>
      </c>
      <c r="B21" s="646">
        <v>6008</v>
      </c>
      <c r="C21" s="646">
        <v>5979</v>
      </c>
      <c r="D21" s="646">
        <v>6003</v>
      </c>
      <c r="E21" s="646">
        <v>6026</v>
      </c>
      <c r="F21" s="646">
        <v>5967</v>
      </c>
      <c r="G21" s="646">
        <v>5676</v>
      </c>
      <c r="H21" s="646">
        <v>5659</v>
      </c>
      <c r="I21" s="646">
        <v>5525</v>
      </c>
      <c r="J21" s="646">
        <v>5687</v>
      </c>
      <c r="K21" s="646">
        <v>5716.9999999999991</v>
      </c>
      <c r="L21" s="646">
        <v>5676</v>
      </c>
      <c r="N21" s="559">
        <f t="shared" si="5"/>
        <v>-5.5259653794940133</v>
      </c>
      <c r="O21" s="419">
        <f t="shared" si="3"/>
        <v>-332</v>
      </c>
      <c r="P21" s="559">
        <f t="shared" si="6"/>
        <v>2.2236944862888213</v>
      </c>
      <c r="Q21" s="559">
        <f t="shared" si="4"/>
        <v>2.1896286530432874</v>
      </c>
      <c r="R21" s="559">
        <f t="shared" si="4"/>
        <v>2.1723868390197301</v>
      </c>
      <c r="S21" s="559">
        <f t="shared" si="4"/>
        <v>2.1583790308426849</v>
      </c>
      <c r="T21" s="559">
        <f t="shared" si="4"/>
        <v>2.1141881262489548</v>
      </c>
      <c r="U21" s="559">
        <f t="shared" si="4"/>
        <v>2.0583787547461299</v>
      </c>
      <c r="V21" s="559">
        <f t="shared" si="4"/>
        <v>2.0382436311639851</v>
      </c>
      <c r="W21" s="559">
        <f t="shared" si="4"/>
        <v>2.0326997932348809</v>
      </c>
      <c r="X21" s="559">
        <f t="shared" si="4"/>
        <v>1.9964192936881275</v>
      </c>
      <c r="Y21" s="559">
        <f t="shared" si="4"/>
        <v>1.9629049757598216</v>
      </c>
      <c r="Z21" s="559">
        <f t="shared" si="4"/>
        <v>1.965625790007723</v>
      </c>
      <c r="AA21" s="2" t="str">
        <f>+IFERROR(RANK(B21,(B$6,B$15,B$22,B$26,B$27,B$28,B$33),0),"")</f>
        <v/>
      </c>
      <c r="AB21" s="2" t="str">
        <f>+IFERROR(RANK(C21,(C$6,C$15,C$22,C$26,C$27,C$28,C$33),0),"")</f>
        <v/>
      </c>
      <c r="AC21" s="2" t="str">
        <f>+IFERROR(RANK(D21,(D$6,D$15,D$22,D$26,D$27,D$28,D$33),0),"")</f>
        <v/>
      </c>
      <c r="AD21" s="2" t="str">
        <f>+IFERROR(RANK(E21,(E$6,E$15,E$22,E$26,E$27,E$28,E$33),0),"")</f>
        <v/>
      </c>
      <c r="AE21" s="2" t="str">
        <f>+IFERROR(RANK(F21,(F$6,F$15,F$22,F$26,F$27,F$28,F$33),0),"")</f>
        <v/>
      </c>
      <c r="AF21" s="2" t="str">
        <f>+IFERROR(RANK(G21,(G$6,G$15,G$22,G$26,G$27,G$28,G$33),0),"")</f>
        <v/>
      </c>
      <c r="AG21" s="2" t="str">
        <f>+IFERROR(RANK(H21,(H$6,H$15,H$22,H$26,H$27,H$28,H$33),0),"")</f>
        <v/>
      </c>
      <c r="AH21" s="2" t="str">
        <f>+IFERROR(RANK(I21,(I$6,I$15,I$22,I$26,I$27,I$28,I$33),0),"")</f>
        <v/>
      </c>
      <c r="AI21" s="2" t="str">
        <f>+IFERROR(RANK(J21,(J$6,J$15,J$22,J$26,J$27,J$28,J$33),0),"")</f>
        <v/>
      </c>
      <c r="AJ21" s="2" t="str">
        <f>+IFERROR(RANK(K21,(K$6,K$15,K$22,K$26,K$27,K$28,K$33),0),"")</f>
        <v/>
      </c>
      <c r="AK21" s="2" t="str">
        <f>+IFERROR(RANK(L21,(L$6,L$15,L$22,L$26,L$27,L$28,L$33),0),"")</f>
        <v/>
      </c>
    </row>
    <row r="22" spans="1:37" ht="15" customHeight="1">
      <c r="A22" s="15" t="s">
        <v>512</v>
      </c>
      <c r="B22" s="647">
        <v>22795</v>
      </c>
      <c r="C22" s="647">
        <v>23005</v>
      </c>
      <c r="D22" s="647">
        <v>23120</v>
      </c>
      <c r="E22" s="647">
        <v>23388</v>
      </c>
      <c r="F22" s="647">
        <v>23374</v>
      </c>
      <c r="G22" s="647">
        <v>22884</v>
      </c>
      <c r="H22" s="647">
        <v>22898</v>
      </c>
      <c r="I22" s="647">
        <v>22539</v>
      </c>
      <c r="J22" s="647">
        <v>23397</v>
      </c>
      <c r="K22" s="647">
        <v>23798</v>
      </c>
      <c r="L22" s="647">
        <v>23734</v>
      </c>
      <c r="N22" s="559">
        <f t="shared" si="5"/>
        <v>4.1193244132485152</v>
      </c>
      <c r="O22" s="419">
        <f t="shared" si="3"/>
        <v>939</v>
      </c>
      <c r="P22" s="559">
        <f t="shared" si="6"/>
        <v>8.4369367201986822</v>
      </c>
      <c r="Q22" s="559">
        <f t="shared" si="6"/>
        <v>8.4248883029370827</v>
      </c>
      <c r="R22" s="559">
        <f t="shared" si="6"/>
        <v>8.3667472460663266</v>
      </c>
      <c r="S22" s="559">
        <f t="shared" si="6"/>
        <v>8.3770608651425018</v>
      </c>
      <c r="T22" s="559">
        <f t="shared" si="6"/>
        <v>8.2817216797290207</v>
      </c>
      <c r="U22" s="559">
        <f t="shared" si="6"/>
        <v>8.2987913008475029</v>
      </c>
      <c r="V22" s="559">
        <f t="shared" si="6"/>
        <v>8.2473409907038224</v>
      </c>
      <c r="W22" s="559">
        <f t="shared" si="6"/>
        <v>8.2923114280037975</v>
      </c>
      <c r="X22" s="559">
        <f t="shared" si="6"/>
        <v>8.2135083900863588</v>
      </c>
      <c r="Y22" s="559">
        <f t="shared" si="6"/>
        <v>8.1709310150659853</v>
      </c>
      <c r="Z22" s="559">
        <f t="shared" si="6"/>
        <v>8.219197057794803</v>
      </c>
      <c r="AA22" s="2">
        <f>+IFERROR(RANK(B22,(B$6,B$15,B$22,B$26,B$27,B$28,B$33),0),"")</f>
        <v>4</v>
      </c>
      <c r="AB22" s="2">
        <f>+IFERROR(RANK(C22,(C$6,C$15,C$22,C$26,C$27,C$28,C$33),0),"")</f>
        <v>4</v>
      </c>
      <c r="AC22" s="2">
        <f>+IFERROR(RANK(D22,(D$6,D$15,D$22,D$26,D$27,D$28,D$33),0),"")</f>
        <v>4</v>
      </c>
      <c r="AD22" s="2">
        <f>+IFERROR(RANK(E22,(E$6,E$15,E$22,E$26,E$27,E$28,E$33),0),"")</f>
        <v>4</v>
      </c>
      <c r="AE22" s="2">
        <f>+IFERROR(RANK(F22,(F$6,F$15,F$22,F$26,F$27,F$28,F$33),0),"")</f>
        <v>4</v>
      </c>
      <c r="AF22" s="2">
        <f>+IFERROR(RANK(G22,(G$6,G$15,G$22,G$26,G$27,G$28,G$33),0),"")</f>
        <v>4</v>
      </c>
      <c r="AG22" s="2">
        <f>+IFERROR(RANK(H22,(H$6,H$15,H$22,H$26,H$27,H$28,H$33),0),"")</f>
        <v>4</v>
      </c>
      <c r="AH22" s="2">
        <f>+IFERROR(RANK(I22,(I$6,I$15,I$22,I$26,I$27,I$28,I$33),0),"")</f>
        <v>4</v>
      </c>
      <c r="AI22" s="2">
        <f>+IFERROR(RANK(J22,(J$6,J$15,J$22,J$26,J$27,J$28,J$33),0),"")</f>
        <v>4</v>
      </c>
      <c r="AJ22" s="2">
        <f>+IFERROR(RANK(K22,(K$6,K$15,K$22,K$26,K$27,K$28,K$33),0),"")</f>
        <v>4</v>
      </c>
      <c r="AK22" s="2">
        <f>+IFERROR(RANK(L22,(L$6,L$15,L$22,L$26,L$27,L$28,L$33),0),"")</f>
        <v>4</v>
      </c>
    </row>
    <row r="23" spans="1:37" ht="15" customHeight="1">
      <c r="A23" s="572" t="s">
        <v>513</v>
      </c>
      <c r="B23" s="646">
        <v>10433</v>
      </c>
      <c r="C23" s="646">
        <v>10563</v>
      </c>
      <c r="D23" s="646">
        <v>10676</v>
      </c>
      <c r="E23" s="646">
        <v>10940</v>
      </c>
      <c r="F23" s="646">
        <v>11025</v>
      </c>
      <c r="G23" s="646">
        <v>10864</v>
      </c>
      <c r="H23" s="646">
        <v>10952</v>
      </c>
      <c r="I23" s="646">
        <v>10812</v>
      </c>
      <c r="J23" s="646">
        <v>11295</v>
      </c>
      <c r="K23" s="646">
        <v>11504</v>
      </c>
      <c r="L23" s="646">
        <v>11570</v>
      </c>
      <c r="N23" s="559">
        <f t="shared" si="5"/>
        <v>10.898111760759122</v>
      </c>
      <c r="O23" s="419">
        <f t="shared" si="3"/>
        <v>1137</v>
      </c>
      <c r="P23" s="559">
        <f t="shared" si="6"/>
        <v>3.8614854486436871</v>
      </c>
      <c r="Q23" s="559">
        <f t="shared" si="6"/>
        <v>3.8683805756976488</v>
      </c>
      <c r="R23" s="559">
        <f t="shared" si="6"/>
        <v>3.8634685812718037</v>
      </c>
      <c r="S23" s="559">
        <f t="shared" si="6"/>
        <v>3.9184644204146983</v>
      </c>
      <c r="T23" s="559">
        <f t="shared" si="6"/>
        <v>3.9063053614705425</v>
      </c>
      <c r="U23" s="559">
        <f t="shared" si="6"/>
        <v>3.9397862564414998</v>
      </c>
      <c r="V23" s="559">
        <f t="shared" si="6"/>
        <v>3.9446623517419979</v>
      </c>
      <c r="W23" s="559">
        <f t="shared" si="6"/>
        <v>3.9778371338381051</v>
      </c>
      <c r="X23" s="559">
        <f t="shared" si="6"/>
        <v>3.9651056659411639</v>
      </c>
      <c r="Y23" s="559">
        <f t="shared" si="6"/>
        <v>3.9498441212420836</v>
      </c>
      <c r="Z23" s="559">
        <f t="shared" si="6"/>
        <v>4.0067460166295552</v>
      </c>
      <c r="AA23" s="2" t="str">
        <f>+IFERROR(RANK(B23,(B$6,B$15,B$22,B$26,B$27,B$28,B$33),0),"")</f>
        <v/>
      </c>
      <c r="AB23" s="2" t="str">
        <f>+IFERROR(RANK(C23,(C$6,C$15,C$22,C$26,C$27,C$28,C$33),0),"")</f>
        <v/>
      </c>
      <c r="AC23" s="2" t="str">
        <f>+IFERROR(RANK(D23,(D$6,D$15,D$22,D$26,D$27,D$28,D$33),0),"")</f>
        <v/>
      </c>
      <c r="AD23" s="2" t="str">
        <f>+IFERROR(RANK(E23,(E$6,E$15,E$22,E$26,E$27,E$28,E$33),0),"")</f>
        <v/>
      </c>
      <c r="AE23" s="2" t="str">
        <f>+IFERROR(RANK(F23,(F$6,F$15,F$22,F$26,F$27,F$28,F$33),0),"")</f>
        <v/>
      </c>
      <c r="AF23" s="2" t="str">
        <f>+IFERROR(RANK(G23,(G$6,G$15,G$22,G$26,G$27,G$28,G$33),0),"")</f>
        <v/>
      </c>
      <c r="AG23" s="2" t="str">
        <f>+IFERROR(RANK(H23,(H$6,H$15,H$22,H$26,H$27,H$28,H$33),0),"")</f>
        <v/>
      </c>
      <c r="AH23" s="2" t="str">
        <f>+IFERROR(RANK(I23,(I$6,I$15,I$22,I$26,I$27,I$28,I$33),0),"")</f>
        <v/>
      </c>
      <c r="AI23" s="2" t="str">
        <f>+IFERROR(RANK(J23,(J$6,J$15,J$22,J$26,J$27,J$28,J$33),0),"")</f>
        <v/>
      </c>
      <c r="AJ23" s="2" t="str">
        <f>+IFERROR(RANK(K23,(K$6,K$15,K$22,K$26,K$27,K$28,K$33),0),"")</f>
        <v/>
      </c>
      <c r="AK23" s="2" t="str">
        <f>+IFERROR(RANK(L23,(L$6,L$15,L$22,L$26,L$27,L$28,L$33),0),"")</f>
        <v/>
      </c>
    </row>
    <row r="24" spans="1:37" ht="15" customHeight="1">
      <c r="A24" s="572" t="s">
        <v>514</v>
      </c>
      <c r="B24" s="646">
        <v>6017</v>
      </c>
      <c r="C24" s="646">
        <v>6079</v>
      </c>
      <c r="D24" s="646">
        <v>6040</v>
      </c>
      <c r="E24" s="646">
        <v>6030</v>
      </c>
      <c r="F24" s="646">
        <v>5964</v>
      </c>
      <c r="G24" s="646">
        <v>5812</v>
      </c>
      <c r="H24" s="646">
        <v>5778</v>
      </c>
      <c r="I24" s="646">
        <v>5770</v>
      </c>
      <c r="J24" s="646">
        <v>5900</v>
      </c>
      <c r="K24" s="646">
        <v>6010</v>
      </c>
      <c r="L24" s="646">
        <v>5983</v>
      </c>
      <c r="N24" s="559">
        <f t="shared" si="5"/>
        <v>-0.56506564733256326</v>
      </c>
      <c r="O24" s="419">
        <f t="shared" si="3"/>
        <v>-34</v>
      </c>
      <c r="P24" s="559">
        <f t="shared" ref="P24:Z33" si="7">B24*100/B$5</f>
        <v>2.2270255865512381</v>
      </c>
      <c r="Q24" s="559">
        <f t="shared" si="7"/>
        <v>2.2262506408847873</v>
      </c>
      <c r="R24" s="559">
        <f t="shared" si="7"/>
        <v>2.1857765296816871</v>
      </c>
      <c r="S24" s="559">
        <f t="shared" si="7"/>
        <v>2.1598117417825073</v>
      </c>
      <c r="T24" s="559">
        <f t="shared" si="7"/>
        <v>2.1131251860145408</v>
      </c>
      <c r="U24" s="559">
        <f t="shared" si="7"/>
        <v>2.1076986121537185</v>
      </c>
      <c r="V24" s="559">
        <f t="shared" si="7"/>
        <v>2.0811047359719925</v>
      </c>
      <c r="W24" s="559">
        <f t="shared" si="7"/>
        <v>2.1228376121204096</v>
      </c>
      <c r="X24" s="559">
        <f t="shared" si="7"/>
        <v>2.0711928666713475</v>
      </c>
      <c r="Y24" s="559">
        <f t="shared" si="7"/>
        <v>2.0635051433123195</v>
      </c>
      <c r="Z24" s="559">
        <f t="shared" si="7"/>
        <v>2.071941349826675</v>
      </c>
      <c r="AA24" s="2" t="str">
        <f>+IFERROR(RANK(B24,(B$6,B$15,B$22,B$26,B$27,B$28,B$33),0),"")</f>
        <v/>
      </c>
      <c r="AB24" s="2" t="str">
        <f>+IFERROR(RANK(C24,(C$6,C$15,C$22,C$26,C$27,C$28,C$33),0),"")</f>
        <v/>
      </c>
      <c r="AC24" s="2" t="str">
        <f>+IFERROR(RANK(D24,(D$6,D$15,D$22,D$26,D$27,D$28,D$33),0),"")</f>
        <v/>
      </c>
      <c r="AD24" s="2" t="str">
        <f>+IFERROR(RANK(E24,(E$6,E$15,E$22,E$26,E$27,E$28,E$33),0),"")</f>
        <v/>
      </c>
      <c r="AE24" s="2" t="str">
        <f>+IFERROR(RANK(F24,(F$6,F$15,F$22,F$26,F$27,F$28,F$33),0),"")</f>
        <v/>
      </c>
      <c r="AF24" s="2" t="str">
        <f>+IFERROR(RANK(G24,(G$6,G$15,G$22,G$26,G$27,G$28,G$33),0),"")</f>
        <v/>
      </c>
      <c r="AG24" s="2" t="str">
        <f>+IFERROR(RANK(H24,(H$6,H$15,H$22,H$26,H$27,H$28,H$33),0),"")</f>
        <v/>
      </c>
      <c r="AH24" s="2" t="str">
        <f>+IFERROR(RANK(I24,(I$6,I$15,I$22,I$26,I$27,I$28,I$33),0),"")</f>
        <v/>
      </c>
      <c r="AI24" s="2" t="str">
        <f>+IFERROR(RANK(J24,(J$6,J$15,J$22,J$26,J$27,J$28,J$33),0),"")</f>
        <v/>
      </c>
      <c r="AJ24" s="2" t="str">
        <f>+IFERROR(RANK(K24,(K$6,K$15,K$22,K$26,K$27,K$28,K$33),0),"")</f>
        <v/>
      </c>
      <c r="AK24" s="2" t="str">
        <f>+IFERROR(RANK(L24,(L$6,L$15,L$22,L$26,L$27,L$28,L$33),0),"")</f>
        <v/>
      </c>
    </row>
    <row r="25" spans="1:37" ht="15" customHeight="1">
      <c r="A25" s="572" t="s">
        <v>515</v>
      </c>
      <c r="B25" s="646">
        <v>6345</v>
      </c>
      <c r="C25" s="646">
        <v>6363</v>
      </c>
      <c r="D25" s="646">
        <v>6404</v>
      </c>
      <c r="E25" s="646">
        <v>6418</v>
      </c>
      <c r="F25" s="646">
        <v>6385</v>
      </c>
      <c r="G25" s="646">
        <v>6208</v>
      </c>
      <c r="H25" s="646">
        <v>6168</v>
      </c>
      <c r="I25" s="646">
        <v>5957</v>
      </c>
      <c r="J25" s="646">
        <v>6202</v>
      </c>
      <c r="K25" s="646">
        <v>6284</v>
      </c>
      <c r="L25" s="646">
        <v>6181</v>
      </c>
      <c r="N25" s="559">
        <f t="shared" si="5"/>
        <v>-2.5847123719464182</v>
      </c>
      <c r="O25" s="419">
        <f t="shared" si="3"/>
        <v>-164</v>
      </c>
      <c r="P25" s="559">
        <f t="shared" si="7"/>
        <v>2.3484256850037566</v>
      </c>
      <c r="Q25" s="559">
        <f t="shared" si="7"/>
        <v>2.3302570863546475</v>
      </c>
      <c r="R25" s="559">
        <f t="shared" si="7"/>
        <v>2.3175021351128353</v>
      </c>
      <c r="S25" s="559">
        <f t="shared" si="7"/>
        <v>2.2987847029452957</v>
      </c>
      <c r="T25" s="559">
        <f t="shared" si="7"/>
        <v>2.2622911322439379</v>
      </c>
      <c r="U25" s="559">
        <f t="shared" si="7"/>
        <v>2.2513064322522855</v>
      </c>
      <c r="V25" s="559">
        <f t="shared" si="7"/>
        <v>2.221573902989832</v>
      </c>
      <c r="W25" s="559">
        <f t="shared" si="7"/>
        <v>2.1916366820452824</v>
      </c>
      <c r="X25" s="559">
        <f t="shared" si="7"/>
        <v>2.177209857473847</v>
      </c>
      <c r="Y25" s="559">
        <f t="shared" si="7"/>
        <v>2.1575817505115831</v>
      </c>
      <c r="Z25" s="559">
        <f t="shared" si="7"/>
        <v>2.1405096913385724</v>
      </c>
      <c r="AA25" s="2" t="str">
        <f>+IFERROR(RANK(B25,(B$6,B$15,B$22,B$26,B$27,B$28,B$33),0),"")</f>
        <v/>
      </c>
      <c r="AB25" s="2" t="str">
        <f>+IFERROR(RANK(C25,(C$6,C$15,C$22,C$26,C$27,C$28,C$33),0),"")</f>
        <v/>
      </c>
      <c r="AC25" s="2" t="str">
        <f>+IFERROR(RANK(D25,(D$6,D$15,D$22,D$26,D$27,D$28,D$33),0),"")</f>
        <v/>
      </c>
      <c r="AD25" s="2" t="str">
        <f>+IFERROR(RANK(E25,(E$6,E$15,E$22,E$26,E$27,E$28,E$33),0),"")</f>
        <v/>
      </c>
      <c r="AE25" s="2" t="str">
        <f>+IFERROR(RANK(F25,(F$6,F$15,F$22,F$26,F$27,F$28,F$33),0),"")</f>
        <v/>
      </c>
      <c r="AF25" s="2" t="str">
        <f>+IFERROR(RANK(G25,(G$6,G$15,G$22,G$26,G$27,G$28,G$33),0),"")</f>
        <v/>
      </c>
      <c r="AG25" s="2" t="str">
        <f>+IFERROR(RANK(H25,(H$6,H$15,H$22,H$26,H$27,H$28,H$33),0),"")</f>
        <v/>
      </c>
      <c r="AH25" s="2" t="str">
        <f>+IFERROR(RANK(I25,(I$6,I$15,I$22,I$26,I$27,I$28,I$33),0),"")</f>
        <v/>
      </c>
      <c r="AI25" s="2" t="str">
        <f>+IFERROR(RANK(J25,(J$6,J$15,J$22,J$26,J$27,J$28,J$33),0),"")</f>
        <v/>
      </c>
      <c r="AJ25" s="2" t="str">
        <f>+IFERROR(RANK(K25,(K$6,K$15,K$22,K$26,K$27,K$28,K$33),0),"")</f>
        <v/>
      </c>
      <c r="AK25" s="2" t="str">
        <f>+IFERROR(RANK(L25,(L$6,L$15,L$22,L$26,L$27,L$28,L$33),0),"")</f>
        <v/>
      </c>
    </row>
    <row r="26" spans="1:37" ht="15" customHeight="1">
      <c r="A26" s="15" t="s">
        <v>516</v>
      </c>
      <c r="B26" s="647">
        <v>54415</v>
      </c>
      <c r="C26" s="647">
        <v>55029</v>
      </c>
      <c r="D26" s="647">
        <v>55354</v>
      </c>
      <c r="E26" s="647">
        <v>56108</v>
      </c>
      <c r="F26" s="647">
        <v>57209</v>
      </c>
      <c r="G26" s="647">
        <v>55559</v>
      </c>
      <c r="H26" s="647">
        <v>56643</v>
      </c>
      <c r="I26" s="647">
        <v>54793</v>
      </c>
      <c r="J26" s="647">
        <v>57854</v>
      </c>
      <c r="K26" s="647">
        <v>59573</v>
      </c>
      <c r="L26" s="647">
        <v>59232</v>
      </c>
      <c r="N26" s="559">
        <f t="shared" si="5"/>
        <v>8.8523385096021414</v>
      </c>
      <c r="O26" s="419">
        <f t="shared" si="3"/>
        <v>4817</v>
      </c>
      <c r="P26" s="559">
        <f t="shared" si="7"/>
        <v>20.140202308822605</v>
      </c>
      <c r="Q26" s="559">
        <f t="shared" si="7"/>
        <v>20.152713689299055</v>
      </c>
      <c r="R26" s="559">
        <f t="shared" si="7"/>
        <v>20.031700997351013</v>
      </c>
      <c r="S26" s="559">
        <f t="shared" si="7"/>
        <v>20.096636352891032</v>
      </c>
      <c r="T26" s="559">
        <f t="shared" si="7"/>
        <v>20.269915956858799</v>
      </c>
      <c r="U26" s="559">
        <f t="shared" si="7"/>
        <v>20.148249689031047</v>
      </c>
      <c r="V26" s="559">
        <f t="shared" si="7"/>
        <v>20.401525711260224</v>
      </c>
      <c r="W26" s="559">
        <f t="shared" si="7"/>
        <v>20.158863306917432</v>
      </c>
      <c r="X26" s="559">
        <f t="shared" si="7"/>
        <v>20.309625781085444</v>
      </c>
      <c r="Y26" s="559">
        <f t="shared" si="7"/>
        <v>20.454108469641398</v>
      </c>
      <c r="Z26" s="559">
        <f t="shared" si="7"/>
        <v>20.512323254710616</v>
      </c>
      <c r="AA26" s="2">
        <f>+IFERROR(RANK(B26,(B$6,B$15,B$22,B$26,B$27,B$28,B$33),0),"")</f>
        <v>2</v>
      </c>
      <c r="AB26" s="2">
        <f>+IFERROR(RANK(C26,(C$6,C$15,C$22,C$26,C$27,C$28,C$33),0),"")</f>
        <v>2</v>
      </c>
      <c r="AC26" s="2">
        <f>+IFERROR(RANK(D26,(D$6,D$15,D$22,D$26,D$27,D$28,D$33),0),"")</f>
        <v>2</v>
      </c>
      <c r="AD26" s="2">
        <f>+IFERROR(RANK(E26,(E$6,E$15,E$22,E$26,E$27,E$28,E$33),0),"")</f>
        <v>2</v>
      </c>
      <c r="AE26" s="2">
        <f>+IFERROR(RANK(F26,(F$6,F$15,F$22,F$26,F$27,F$28,F$33),0),"")</f>
        <v>2</v>
      </c>
      <c r="AF26" s="2">
        <f>+IFERROR(RANK(G26,(G$6,G$15,G$22,G$26,G$27,G$28,G$33),0),"")</f>
        <v>2</v>
      </c>
      <c r="AG26" s="2">
        <f>+IFERROR(RANK(H26,(H$6,H$15,H$22,H$26,H$27,H$28,H$33),0),"")</f>
        <v>2</v>
      </c>
      <c r="AH26" s="2">
        <f>+IFERROR(RANK(I26,(I$6,I$15,I$22,I$26,I$27,I$28,I$33),0),"")</f>
        <v>2</v>
      </c>
      <c r="AI26" s="2">
        <f>+IFERROR(RANK(J26,(J$6,J$15,J$22,J$26,J$27,J$28,J$33),0),"")</f>
        <v>2</v>
      </c>
      <c r="AJ26" s="2">
        <f>+IFERROR(RANK(K26,(K$6,K$15,K$22,K$26,K$27,K$28,K$33),0),"")</f>
        <v>2</v>
      </c>
      <c r="AK26" s="2">
        <f>+IFERROR(RANK(L26,(L$6,L$15,L$22,L$26,L$27,L$28,L$33),0),"")</f>
        <v>2</v>
      </c>
    </row>
    <row r="27" spans="1:37" ht="15" customHeight="1">
      <c r="A27" s="15" t="s">
        <v>517</v>
      </c>
      <c r="B27" s="647">
        <v>13124</v>
      </c>
      <c r="C27" s="647">
        <v>13250</v>
      </c>
      <c r="D27" s="647">
        <v>13484</v>
      </c>
      <c r="E27" s="647">
        <v>13666</v>
      </c>
      <c r="F27" s="647">
        <v>13850</v>
      </c>
      <c r="G27" s="647">
        <v>13653</v>
      </c>
      <c r="H27" s="647">
        <v>14047</v>
      </c>
      <c r="I27" s="647">
        <v>13853</v>
      </c>
      <c r="J27" s="647">
        <v>14699</v>
      </c>
      <c r="K27" s="647">
        <v>14910</v>
      </c>
      <c r="L27" s="647">
        <v>14916</v>
      </c>
      <c r="N27" s="559">
        <f t="shared" si="5"/>
        <v>13.654373666565078</v>
      </c>
      <c r="O27" s="419">
        <f t="shared" si="3"/>
        <v>1792</v>
      </c>
      <c r="P27" s="559">
        <f t="shared" si="7"/>
        <v>4.8574844271062734</v>
      </c>
      <c r="Q27" s="559">
        <f t="shared" si="7"/>
        <v>4.8524133889987553</v>
      </c>
      <c r="R27" s="559">
        <f t="shared" si="7"/>
        <v>4.8796375374549452</v>
      </c>
      <c r="S27" s="559">
        <f t="shared" si="7"/>
        <v>4.8948569259037722</v>
      </c>
      <c r="T27" s="559">
        <f t="shared" si="7"/>
        <v>4.9072407488768262</v>
      </c>
      <c r="U27" s="559">
        <f t="shared" si="7"/>
        <v>4.951205979307419</v>
      </c>
      <c r="V27" s="559">
        <f t="shared" si="7"/>
        <v>5.0594112541015193</v>
      </c>
      <c r="W27" s="559">
        <f t="shared" si="7"/>
        <v>5.0966498164131773</v>
      </c>
      <c r="X27" s="559">
        <f t="shared" si="7"/>
        <v>5.1600786351190058</v>
      </c>
      <c r="Y27" s="559">
        <f t="shared" si="7"/>
        <v>5.1192781508796479</v>
      </c>
      <c r="Z27" s="559">
        <f t="shared" si="7"/>
        <v>5.1654817272295972</v>
      </c>
      <c r="AA27" s="2">
        <f>+IFERROR(RANK(B27,(B$6,B$15,B$22,B$26,B$27,B$28,B$33),0),"")</f>
        <v>7</v>
      </c>
      <c r="AB27" s="2">
        <f>+IFERROR(RANK(C27,(C$6,C$15,C$22,C$26,C$27,C$28,C$33),0),"")</f>
        <v>7</v>
      </c>
      <c r="AC27" s="2">
        <f>+IFERROR(RANK(D27,(D$6,D$15,D$22,D$26,D$27,D$28,D$33),0),"")</f>
        <v>7</v>
      </c>
      <c r="AD27" s="2">
        <f>+IFERROR(RANK(E27,(E$6,E$15,E$22,E$26,E$27,E$28,E$33),0),"")</f>
        <v>7</v>
      </c>
      <c r="AE27" s="2">
        <f>+IFERROR(RANK(F27,(F$6,F$15,F$22,F$26,F$27,F$28,F$33),0),"")</f>
        <v>7</v>
      </c>
      <c r="AF27" s="2">
        <f>+IFERROR(RANK(G27,(G$6,G$15,G$22,G$26,G$27,G$28,G$33),0),"")</f>
        <v>7</v>
      </c>
      <c r="AG27" s="2">
        <f>+IFERROR(RANK(H27,(H$6,H$15,H$22,H$26,H$27,H$28,H$33),0),"")</f>
        <v>6</v>
      </c>
      <c r="AH27" s="2">
        <f>+IFERROR(RANK(I27,(I$6,I$15,I$22,I$26,I$27,I$28,I$33),0),"")</f>
        <v>6</v>
      </c>
      <c r="AI27" s="2">
        <f>+IFERROR(RANK(J27,(J$6,J$15,J$22,J$26,J$27,J$28,J$33),0),"")</f>
        <v>6</v>
      </c>
      <c r="AJ27" s="2">
        <f>+IFERROR(RANK(K27,(K$6,K$15,K$22,K$26,K$27,K$28,K$33),0),"")</f>
        <v>6</v>
      </c>
      <c r="AK27" s="2">
        <f>+IFERROR(RANK(L27,(L$6,L$15,L$22,L$26,L$27,L$28,L$33),0),"")</f>
        <v>6</v>
      </c>
    </row>
    <row r="28" spans="1:37" ht="15" customHeight="1">
      <c r="A28" s="15" t="s">
        <v>518</v>
      </c>
      <c r="B28" s="647">
        <v>13857</v>
      </c>
      <c r="C28" s="647">
        <v>13937</v>
      </c>
      <c r="D28" s="647">
        <v>14026</v>
      </c>
      <c r="E28" s="647">
        <v>14095</v>
      </c>
      <c r="F28" s="647">
        <v>14020</v>
      </c>
      <c r="G28" s="647">
        <v>13753</v>
      </c>
      <c r="H28" s="647">
        <v>13857</v>
      </c>
      <c r="I28" s="647">
        <v>13418</v>
      </c>
      <c r="J28" s="647">
        <v>14383</v>
      </c>
      <c r="K28" s="647">
        <v>14681.999999999998</v>
      </c>
      <c r="L28" s="647">
        <v>14534.999999999996</v>
      </c>
      <c r="N28" s="559">
        <f t="shared" si="5"/>
        <v>4.8928339467416926</v>
      </c>
      <c r="O28" s="419">
        <f t="shared" si="3"/>
        <v>677.99999999999636</v>
      </c>
      <c r="P28" s="559">
        <f t="shared" si="7"/>
        <v>5.1287840373675424</v>
      </c>
      <c r="Q28" s="559">
        <f t="shared" si="7"/>
        <v>5.1040064454698602</v>
      </c>
      <c r="R28" s="559">
        <f t="shared" si="7"/>
        <v>5.0757784114760502</v>
      </c>
      <c r="S28" s="559">
        <f t="shared" si="7"/>
        <v>5.0485151741997418</v>
      </c>
      <c r="T28" s="559">
        <f t="shared" si="7"/>
        <v>4.9674740288269392</v>
      </c>
      <c r="U28" s="559">
        <f t="shared" si="7"/>
        <v>4.9874705803424106</v>
      </c>
      <c r="V28" s="559">
        <f t="shared" si="7"/>
        <v>4.9909775573492388</v>
      </c>
      <c r="W28" s="559">
        <f t="shared" si="7"/>
        <v>4.9366091992082586</v>
      </c>
      <c r="X28" s="559">
        <f t="shared" si="7"/>
        <v>5.0491469493786418</v>
      </c>
      <c r="Y28" s="559">
        <f t="shared" si="7"/>
        <v>5.0409954266408432</v>
      </c>
      <c r="Z28" s="559">
        <f t="shared" si="7"/>
        <v>5.0335396155324599</v>
      </c>
      <c r="AA28" s="2">
        <f>+IFERROR(RANK(B28,(B$6,B$15,B$22,B$26,B$27,B$28,B$33),0),"")</f>
        <v>6</v>
      </c>
      <c r="AB28" s="2">
        <f>+IFERROR(RANK(C28,(C$6,C$15,C$22,C$26,C$27,C$28,C$33),0),"")</f>
        <v>6</v>
      </c>
      <c r="AC28" s="2">
        <f>+IFERROR(RANK(D28,(D$6,D$15,D$22,D$26,D$27,D$28,D$33),0),"")</f>
        <v>6</v>
      </c>
      <c r="AD28" s="2">
        <f>+IFERROR(RANK(E28,(E$6,E$15,E$22,E$26,E$27,E$28,E$33),0),"")</f>
        <v>6</v>
      </c>
      <c r="AE28" s="2">
        <f>+IFERROR(RANK(F28,(F$6,F$15,F$22,F$26,F$27,F$28,F$33),0),"")</f>
        <v>6</v>
      </c>
      <c r="AF28" s="2">
        <f>+IFERROR(RANK(G28,(G$6,G$15,G$22,G$26,G$27,G$28,G$33),0),"")</f>
        <v>6</v>
      </c>
      <c r="AG28" s="2">
        <f>+IFERROR(RANK(H28,(H$6,H$15,H$22,H$26,H$27,H$28,H$33),0),"")</f>
        <v>7</v>
      </c>
      <c r="AH28" s="2">
        <f>+IFERROR(RANK(I28,(I$6,I$15,I$22,I$26,I$27,I$28,I$33),0),"")</f>
        <v>7</v>
      </c>
      <c r="AI28" s="2">
        <f>+IFERROR(RANK(J28,(J$6,J$15,J$22,J$26,J$27,J$28,J$33),0),"")</f>
        <v>7</v>
      </c>
      <c r="AJ28" s="2">
        <f>+IFERROR(RANK(K28,(K$6,K$15,K$22,K$26,K$27,K$28,K$33),0),"")</f>
        <v>7</v>
      </c>
      <c r="AK28" s="2">
        <f>+IFERROR(RANK(L28,(L$6,L$15,L$22,L$26,L$27,L$28,L$33),0),"")</f>
        <v>7</v>
      </c>
    </row>
    <row r="29" spans="1:37" ht="15" customHeight="1">
      <c r="A29" s="572" t="s">
        <v>519</v>
      </c>
      <c r="B29" s="646">
        <v>2495</v>
      </c>
      <c r="C29" s="646">
        <v>2491</v>
      </c>
      <c r="D29" s="646">
        <v>2550</v>
      </c>
      <c r="E29" s="646">
        <v>2586</v>
      </c>
      <c r="F29" s="646">
        <v>2592</v>
      </c>
      <c r="G29" s="646">
        <v>2596</v>
      </c>
      <c r="H29" s="646">
        <v>2681</v>
      </c>
      <c r="I29" s="646">
        <v>2645</v>
      </c>
      <c r="J29" s="646">
        <v>2804</v>
      </c>
      <c r="K29" s="646">
        <v>2854</v>
      </c>
      <c r="L29" s="646">
        <v>2837</v>
      </c>
      <c r="N29" s="559">
        <f t="shared" si="5"/>
        <v>13.707414829659314</v>
      </c>
      <c r="O29" s="419">
        <f t="shared" si="3"/>
        <v>342</v>
      </c>
      <c r="P29" s="559">
        <f t="shared" si="7"/>
        <v>0.9234550171921786</v>
      </c>
      <c r="Q29" s="559">
        <f t="shared" si="7"/>
        <v>0.91225371713176595</v>
      </c>
      <c r="R29" s="559">
        <f t="shared" si="7"/>
        <v>0.92280300508084478</v>
      </c>
      <c r="S29" s="559">
        <f t="shared" si="7"/>
        <v>0.92624762259528426</v>
      </c>
      <c r="T29" s="559">
        <f t="shared" si="7"/>
        <v>0.91838036253348265</v>
      </c>
      <c r="U29" s="559">
        <f t="shared" si="7"/>
        <v>0.94142904286838491</v>
      </c>
      <c r="V29" s="559">
        <f t="shared" si="7"/>
        <v>0.96563547890981516</v>
      </c>
      <c r="W29" s="559">
        <f t="shared" si="7"/>
        <v>0.97312053449887048</v>
      </c>
      <c r="X29" s="559">
        <f t="shared" si="7"/>
        <v>0.98434318612651828</v>
      </c>
      <c r="Y29" s="559">
        <f t="shared" si="7"/>
        <v>0.97990743411203984</v>
      </c>
      <c r="Z29" s="559">
        <f t="shared" si="7"/>
        <v>0.98246659024875094</v>
      </c>
      <c r="AA29" s="2" t="str">
        <f>+IFERROR(RANK(B29,(B$6,B$15,B$22,B$26,B$27,B$28,B$33),0),"")</f>
        <v/>
      </c>
      <c r="AB29" s="2" t="str">
        <f>+IFERROR(RANK(C29,(C$6,C$15,C$22,C$26,C$27,C$28,C$33),0),"")</f>
        <v/>
      </c>
      <c r="AC29" s="2" t="str">
        <f>+IFERROR(RANK(D29,(D$6,D$15,D$22,D$26,D$27,D$28,D$33),0),"")</f>
        <v/>
      </c>
      <c r="AD29" s="2" t="str">
        <f>+IFERROR(RANK(E29,(E$6,E$15,E$22,E$26,E$27,E$28,E$33),0),"")</f>
        <v/>
      </c>
      <c r="AE29" s="2" t="str">
        <f>+IFERROR(RANK(F29,(F$6,F$15,F$22,F$26,F$27,F$28,F$33),0),"")</f>
        <v/>
      </c>
      <c r="AF29" s="2" t="str">
        <f>+IFERROR(RANK(G29,(G$6,G$15,G$22,G$26,G$27,G$28,G$33),0),"")</f>
        <v/>
      </c>
      <c r="AG29" s="2" t="str">
        <f>+IFERROR(RANK(H29,(H$6,H$15,H$22,H$26,H$27,H$28,H$33),0),"")</f>
        <v/>
      </c>
      <c r="AH29" s="2" t="str">
        <f>+IFERROR(RANK(I29,(I$6,I$15,I$22,I$26,I$27,I$28,I$33),0),"")</f>
        <v/>
      </c>
      <c r="AI29" s="2" t="str">
        <f>+IFERROR(RANK(J29,(J$6,J$15,J$22,J$26,J$27,J$28,J$33),0),"")</f>
        <v/>
      </c>
      <c r="AJ29" s="2" t="str">
        <f>+IFERROR(RANK(K29,(K$6,K$15,K$22,K$26,K$27,K$28,K$33),0),"")</f>
        <v/>
      </c>
      <c r="AK29" s="2" t="str">
        <f>+IFERROR(RANK(L29,(L$6,L$15,L$22,L$26,L$27,L$28,L$33),0),"")</f>
        <v/>
      </c>
    </row>
    <row r="30" spans="1:37" ht="15" customHeight="1">
      <c r="A30" s="572" t="s">
        <v>520</v>
      </c>
      <c r="B30" s="646">
        <v>3419</v>
      </c>
      <c r="C30" s="646">
        <v>3475</v>
      </c>
      <c r="D30" s="646">
        <v>3509</v>
      </c>
      <c r="E30" s="646">
        <v>3574</v>
      </c>
      <c r="F30" s="646">
        <v>3584</v>
      </c>
      <c r="G30" s="646">
        <v>3505</v>
      </c>
      <c r="H30" s="646">
        <v>3502</v>
      </c>
      <c r="I30" s="646">
        <v>3499</v>
      </c>
      <c r="J30" s="646">
        <v>3654</v>
      </c>
      <c r="K30" s="646">
        <v>3855.9999999999995</v>
      </c>
      <c r="L30" s="646">
        <v>3881</v>
      </c>
      <c r="N30" s="559">
        <f t="shared" si="5"/>
        <v>13.512723018426431</v>
      </c>
      <c r="O30" s="419">
        <f t="shared" si="3"/>
        <v>462</v>
      </c>
      <c r="P30" s="559">
        <f t="shared" si="7"/>
        <v>1.2654479774669574</v>
      </c>
      <c r="Q30" s="559">
        <f t="shared" si="7"/>
        <v>1.2726140774921262</v>
      </c>
      <c r="R30" s="559">
        <f t="shared" si="7"/>
        <v>1.2698493116975234</v>
      </c>
      <c r="S30" s="559">
        <f t="shared" si="7"/>
        <v>1.2801272247314563</v>
      </c>
      <c r="T30" s="559">
        <f t="shared" si="7"/>
        <v>1.2698592667129636</v>
      </c>
      <c r="U30" s="559">
        <f t="shared" si="7"/>
        <v>1.2710742662764596</v>
      </c>
      <c r="V30" s="559">
        <f t="shared" si="7"/>
        <v>1.261341084349934</v>
      </c>
      <c r="W30" s="559">
        <f t="shared" si="7"/>
        <v>1.2873152174712847</v>
      </c>
      <c r="X30" s="559">
        <f t="shared" si="7"/>
        <v>1.2827353787825599</v>
      </c>
      <c r="Y30" s="559">
        <f t="shared" si="7"/>
        <v>1.3239394064246759</v>
      </c>
      <c r="Z30" s="559">
        <f t="shared" si="7"/>
        <v>1.3440087545842094</v>
      </c>
      <c r="AA30" s="2" t="str">
        <f>+IFERROR(RANK(B30,(B$6,B$15,B$22,B$26,B$27,B$28,B$33),0),"")</f>
        <v/>
      </c>
      <c r="AB30" s="2" t="str">
        <f>+IFERROR(RANK(C30,(C$6,C$15,C$22,C$26,C$27,C$28,C$33),0),"")</f>
        <v/>
      </c>
      <c r="AC30" s="2" t="str">
        <f>+IFERROR(RANK(D30,(D$6,D$15,D$22,D$26,D$27,D$28,D$33),0),"")</f>
        <v/>
      </c>
      <c r="AD30" s="2" t="str">
        <f>+IFERROR(RANK(E30,(E$6,E$15,E$22,E$26,E$27,E$28,E$33),0),"")</f>
        <v/>
      </c>
      <c r="AE30" s="2" t="str">
        <f>+IFERROR(RANK(F30,(F$6,F$15,F$22,F$26,F$27,F$28,F$33),0),"")</f>
        <v/>
      </c>
      <c r="AF30" s="2" t="str">
        <f>+IFERROR(RANK(G30,(G$6,G$15,G$22,G$26,G$27,G$28,G$33),0),"")</f>
        <v/>
      </c>
      <c r="AG30" s="2" t="str">
        <f>+IFERROR(RANK(H30,(H$6,H$15,H$22,H$26,H$27,H$28,H$33),0),"")</f>
        <v/>
      </c>
      <c r="AH30" s="2" t="str">
        <f>+IFERROR(RANK(I30,(I$6,I$15,I$22,I$26,I$27,I$28,I$33),0),"")</f>
        <v/>
      </c>
      <c r="AI30" s="2" t="str">
        <f>+IFERROR(RANK(J30,(J$6,J$15,J$22,J$26,J$27,J$28,J$33),0),"")</f>
        <v/>
      </c>
      <c r="AJ30" s="2" t="str">
        <f>+IFERROR(RANK(K30,(K$6,K$15,K$22,K$26,K$27,K$28,K$33),0),"")</f>
        <v/>
      </c>
      <c r="AK30" s="2" t="str">
        <f>+IFERROR(RANK(L30,(L$6,L$15,L$22,L$26,L$27,L$28,L$33),0),"")</f>
        <v/>
      </c>
    </row>
    <row r="31" spans="1:37" ht="15" customHeight="1">
      <c r="A31" s="572" t="s">
        <v>521</v>
      </c>
      <c r="B31" s="646">
        <v>2917</v>
      </c>
      <c r="C31" s="646">
        <v>2906</v>
      </c>
      <c r="D31" s="646">
        <v>2929</v>
      </c>
      <c r="E31" s="646">
        <v>2901</v>
      </c>
      <c r="F31" s="646">
        <v>2878</v>
      </c>
      <c r="G31" s="646">
        <v>2783</v>
      </c>
      <c r="H31" s="646">
        <v>2770</v>
      </c>
      <c r="I31" s="646">
        <v>2634</v>
      </c>
      <c r="J31" s="646">
        <v>2877</v>
      </c>
      <c r="K31" s="646">
        <v>2865</v>
      </c>
      <c r="L31" s="646">
        <v>2787</v>
      </c>
      <c r="N31" s="559">
        <f t="shared" si="5"/>
        <v>-4.4566335275968427</v>
      </c>
      <c r="O31" s="419">
        <f t="shared" si="3"/>
        <v>-130</v>
      </c>
      <c r="P31" s="559">
        <f t="shared" si="7"/>
        <v>1.0796466072743827</v>
      </c>
      <c r="Q31" s="559">
        <f t="shared" si="7"/>
        <v>1.064234966673991</v>
      </c>
      <c r="R31" s="559">
        <f t="shared" si="7"/>
        <v>1.0599568634830565</v>
      </c>
      <c r="S31" s="559">
        <f t="shared" si="7"/>
        <v>1.0390736091063106</v>
      </c>
      <c r="T31" s="559">
        <f t="shared" si="7"/>
        <v>1.0197139982142605</v>
      </c>
      <c r="U31" s="559">
        <f t="shared" si="7"/>
        <v>1.0092438468038194</v>
      </c>
      <c r="V31" s="559">
        <f t="shared" si="7"/>
        <v>0.99769126317798884</v>
      </c>
      <c r="W31" s="559">
        <f t="shared" si="7"/>
        <v>0.9690735303856427</v>
      </c>
      <c r="X31" s="559">
        <f t="shared" si="7"/>
        <v>1.0099698097310961</v>
      </c>
      <c r="Y31" s="559">
        <f t="shared" si="7"/>
        <v>0.98368423221128032</v>
      </c>
      <c r="Z31" s="559">
        <f t="shared" si="7"/>
        <v>0.96515135249322126</v>
      </c>
      <c r="AA31" s="2" t="str">
        <f>+IFERROR(RANK(B31,(B$6,B$15,B$22,B$26,B$27,B$28,B$33),0),"")</f>
        <v/>
      </c>
      <c r="AB31" s="2" t="str">
        <f>+IFERROR(RANK(C31,(C$6,C$15,C$22,C$26,C$27,C$28,C$33),0),"")</f>
        <v/>
      </c>
      <c r="AC31" s="2" t="str">
        <f>+IFERROR(RANK(D31,(D$6,D$15,D$22,D$26,D$27,D$28,D$33),0),"")</f>
        <v/>
      </c>
      <c r="AD31" s="2" t="str">
        <f>+IFERROR(RANK(E31,(E$6,E$15,E$22,E$26,E$27,E$28,E$33),0),"")</f>
        <v/>
      </c>
      <c r="AE31" s="2" t="str">
        <f>+IFERROR(RANK(F31,(F$6,F$15,F$22,F$26,F$27,F$28,F$33),0),"")</f>
        <v/>
      </c>
      <c r="AF31" s="2" t="str">
        <f>+IFERROR(RANK(G31,(G$6,G$15,G$22,G$26,G$27,G$28,G$33),0),"")</f>
        <v/>
      </c>
      <c r="AG31" s="2" t="str">
        <f>+IFERROR(RANK(H31,(H$6,H$15,H$22,H$26,H$27,H$28,H$33),0),"")</f>
        <v/>
      </c>
      <c r="AH31" s="2" t="str">
        <f>+IFERROR(RANK(I31,(I$6,I$15,I$22,I$26,I$27,I$28,I$33),0),"")</f>
        <v/>
      </c>
      <c r="AI31" s="2" t="str">
        <f>+IFERROR(RANK(J31,(J$6,J$15,J$22,J$26,J$27,J$28,J$33),0),"")</f>
        <v/>
      </c>
      <c r="AJ31" s="2" t="str">
        <f>+IFERROR(RANK(K31,(K$6,K$15,K$22,K$26,K$27,K$28,K$33),0),"")</f>
        <v/>
      </c>
      <c r="AK31" s="2" t="str">
        <f>+IFERROR(RANK(L31,(L$6,L$15,L$22,L$26,L$27,L$28,L$33),0),"")</f>
        <v/>
      </c>
    </row>
    <row r="32" spans="1:37" ht="15" customHeight="1">
      <c r="A32" s="572" t="s">
        <v>522</v>
      </c>
      <c r="B32" s="646">
        <v>5026</v>
      </c>
      <c r="C32" s="646">
        <v>5065</v>
      </c>
      <c r="D32" s="646">
        <v>5038</v>
      </c>
      <c r="E32" s="646">
        <v>5034</v>
      </c>
      <c r="F32" s="646">
        <v>4966</v>
      </c>
      <c r="G32" s="646">
        <v>4869</v>
      </c>
      <c r="H32" s="646">
        <v>4904</v>
      </c>
      <c r="I32" s="646">
        <v>4640</v>
      </c>
      <c r="J32" s="646">
        <v>5048</v>
      </c>
      <c r="K32" s="646">
        <v>5107.0000000000009</v>
      </c>
      <c r="L32" s="646">
        <v>5030</v>
      </c>
      <c r="N32" s="559">
        <f t="shared" si="5"/>
        <v>7.9586152009558653E-2</v>
      </c>
      <c r="O32" s="419">
        <f t="shared" si="3"/>
        <v>4</v>
      </c>
      <c r="P32" s="559">
        <f t="shared" si="7"/>
        <v>1.8602344354340239</v>
      </c>
      <c r="Q32" s="559">
        <f t="shared" si="7"/>
        <v>1.8549036841719768</v>
      </c>
      <c r="R32" s="559">
        <f t="shared" si="7"/>
        <v>1.8231692312146259</v>
      </c>
      <c r="S32" s="559">
        <f t="shared" si="7"/>
        <v>1.8030667177666901</v>
      </c>
      <c r="T32" s="559">
        <f t="shared" si="7"/>
        <v>1.7595204013662324</v>
      </c>
      <c r="U32" s="559">
        <f t="shared" si="7"/>
        <v>1.7657234243937465</v>
      </c>
      <c r="V32" s="559">
        <f t="shared" si="7"/>
        <v>1.7663097309115008</v>
      </c>
      <c r="W32" s="559">
        <f t="shared" si="7"/>
        <v>1.707099916852461</v>
      </c>
      <c r="X32" s="559">
        <f t="shared" si="7"/>
        <v>1.7720985747384681</v>
      </c>
      <c r="Y32" s="559">
        <f t="shared" si="7"/>
        <v>1.753464353892848</v>
      </c>
      <c r="Z32" s="559">
        <f t="shared" si="7"/>
        <v>1.7419129182062802</v>
      </c>
      <c r="AA32" s="2" t="str">
        <f>+IFERROR(RANK(B32,(B$6,B$15,B$22,B$26,B$27,B$28,B$33),0),"")</f>
        <v/>
      </c>
      <c r="AB32" s="2" t="str">
        <f>+IFERROR(RANK(C32,(C$6,C$15,C$22,C$26,C$27,C$28,C$33),0),"")</f>
        <v/>
      </c>
      <c r="AC32" s="2" t="str">
        <f>+IFERROR(RANK(D32,(D$6,D$15,D$22,D$26,D$27,D$28,D$33),0),"")</f>
        <v/>
      </c>
      <c r="AD32" s="2" t="str">
        <f>+IFERROR(RANK(E32,(E$6,E$15,E$22,E$26,E$27,E$28,E$33),0),"")</f>
        <v/>
      </c>
      <c r="AE32" s="2" t="str">
        <f>+IFERROR(RANK(F32,(F$6,F$15,F$22,F$26,F$27,F$28,F$33),0),"")</f>
        <v/>
      </c>
      <c r="AF32" s="2" t="str">
        <f>+IFERROR(RANK(G32,(G$6,G$15,G$22,G$26,G$27,G$28,G$33),0),"")</f>
        <v/>
      </c>
      <c r="AG32" s="2" t="str">
        <f>+IFERROR(RANK(H32,(H$6,H$15,H$22,H$26,H$27,H$28,H$33),0),"")</f>
        <v/>
      </c>
      <c r="AH32" s="2" t="str">
        <f>+IFERROR(RANK(I32,(I$6,I$15,I$22,I$26,I$27,I$28,I$33),0),"")</f>
        <v/>
      </c>
      <c r="AI32" s="2" t="str">
        <f>+IFERROR(RANK(J32,(J$6,J$15,J$22,J$26,J$27,J$28,J$33),0),"")</f>
        <v/>
      </c>
      <c r="AJ32" s="2" t="str">
        <f>+IFERROR(RANK(K32,(K$6,K$15,K$22,K$26,K$27,K$28,K$33),0),"")</f>
        <v/>
      </c>
      <c r="AK32" s="2" t="str">
        <f>+IFERROR(RANK(L32,(L$6,L$15,L$22,L$26,L$27,L$28,L$33),0),"")</f>
        <v/>
      </c>
    </row>
    <row r="33" spans="1:37" s="18" customFormat="1" ht="15" customHeight="1">
      <c r="A33" s="17" t="s">
        <v>523</v>
      </c>
      <c r="B33" s="648">
        <v>15485</v>
      </c>
      <c r="C33" s="648">
        <v>15831</v>
      </c>
      <c r="D33" s="648">
        <v>16300</v>
      </c>
      <c r="E33" s="648">
        <v>16481</v>
      </c>
      <c r="F33" s="648">
        <v>17081</v>
      </c>
      <c r="G33" s="648">
        <v>17191</v>
      </c>
      <c r="H33" s="648">
        <v>16775</v>
      </c>
      <c r="I33" s="648">
        <v>16329</v>
      </c>
      <c r="J33" s="648">
        <v>17066</v>
      </c>
      <c r="K33" s="648">
        <v>18237.000000000004</v>
      </c>
      <c r="L33" s="648">
        <v>18173.999999999996</v>
      </c>
      <c r="N33" s="559">
        <f t="shared" si="5"/>
        <v>17.365192121407791</v>
      </c>
      <c r="O33" s="419">
        <f t="shared" si="3"/>
        <v>2688.9999999999964</v>
      </c>
      <c r="P33" s="559">
        <f t="shared" si="7"/>
        <v>5.7313430626135808</v>
      </c>
      <c r="Q33" s="559">
        <f t="shared" si="7"/>
        <v>5.7976268951878707</v>
      </c>
      <c r="R33" s="559">
        <f t="shared" si="7"/>
        <v>5.8987015618893217</v>
      </c>
      <c r="S33" s="559">
        <f t="shared" si="7"/>
        <v>5.903127249803898</v>
      </c>
      <c r="T33" s="559">
        <f t="shared" si="7"/>
        <v>6.0520273813404382</v>
      </c>
      <c r="U33" s="559">
        <f t="shared" si="7"/>
        <v>6.2342475639254253</v>
      </c>
      <c r="V33" s="559">
        <f t="shared" si="7"/>
        <v>6.0419750685237412</v>
      </c>
      <c r="W33" s="559">
        <f t="shared" si="7"/>
        <v>6.0075936513542745</v>
      </c>
      <c r="X33" s="559">
        <f t="shared" si="7"/>
        <v>5.9910131292564772</v>
      </c>
      <c r="Y33" s="559">
        <f t="shared" si="7"/>
        <v>6.2615879032590316</v>
      </c>
      <c r="Z33" s="559">
        <f t="shared" si="7"/>
        <v>6.2937426193799064</v>
      </c>
      <c r="AA33" s="2">
        <f>+IFERROR(RANK(B33,(B$6,B$15,B$22,B$26,B$27,B$28,B$33),0),"")</f>
        <v>5</v>
      </c>
      <c r="AB33" s="2">
        <f>+IFERROR(RANK(C33,(C$6,C$15,C$22,C$26,C$27,C$28,C$33),0),"")</f>
        <v>5</v>
      </c>
      <c r="AC33" s="2">
        <f>+IFERROR(RANK(D33,(D$6,D$15,D$22,D$26,D$27,D$28,D$33),0),"")</f>
        <v>5</v>
      </c>
      <c r="AD33" s="2">
        <f>+IFERROR(RANK(E33,(E$6,E$15,E$22,E$26,E$27,E$28,E$33),0),"")</f>
        <v>5</v>
      </c>
      <c r="AE33" s="2">
        <f>+IFERROR(RANK(F33,(F$6,F$15,F$22,F$26,F$27,F$28,F$33),0),"")</f>
        <v>5</v>
      </c>
      <c r="AF33" s="2">
        <f>+IFERROR(RANK(G33,(G$6,G$15,G$22,G$26,G$27,G$28,G$33),0),"")</f>
        <v>5</v>
      </c>
      <c r="AG33" s="2">
        <f>+IFERROR(RANK(H33,(H$6,H$15,H$22,H$26,H$27,H$28,H$33),0),"")</f>
        <v>5</v>
      </c>
      <c r="AH33" s="2">
        <f>+IFERROR(RANK(I33,(I$6,I$15,I$22,I$26,I$27,I$28,I$33),0),"")</f>
        <v>5</v>
      </c>
      <c r="AI33" s="2">
        <f>+IFERROR(RANK(J33,(J$6,J$15,J$22,J$26,J$27,J$28,J$33),0),"")</f>
        <v>5</v>
      </c>
      <c r="AJ33" s="2">
        <f>+IFERROR(RANK(K33,(K$6,K$15,K$22,K$26,K$27,K$28,K$33),0),"")</f>
        <v>5</v>
      </c>
      <c r="AK33" s="2">
        <f>+IFERROR(RANK(L33,(L$6,L$15,L$22,L$26,L$27,L$28,L$33),0),"")</f>
        <v>5</v>
      </c>
    </row>
    <row r="34" spans="1:37" ht="15" customHeight="1">
      <c r="A34" s="19" t="s">
        <v>769</v>
      </c>
      <c r="C34" s="16"/>
      <c r="D34" s="16"/>
      <c r="E34" s="16"/>
      <c r="F34" s="16"/>
      <c r="G34" s="16"/>
      <c r="H34" s="16"/>
      <c r="I34" s="16"/>
      <c r="J34" s="16"/>
      <c r="K34" s="16"/>
      <c r="L34" s="16"/>
    </row>
    <row r="52" spans="9:10">
      <c r="I52" s="419"/>
      <c r="J52" s="419"/>
    </row>
  </sheetData>
  <mergeCells count="1">
    <mergeCell ref="A1:L1"/>
  </mergeCells>
  <conditionalFormatting sqref="C34:D34 B5:L6">
    <cfRule type="cellIs" dxfId="2384" priority="17" operator="equal">
      <formula>0</formula>
    </cfRule>
  </conditionalFormatting>
  <conditionalFormatting sqref="E34">
    <cfRule type="cellIs" dxfId="2383" priority="16" operator="equal">
      <formula>0</formula>
    </cfRule>
  </conditionalFormatting>
  <conditionalFormatting sqref="H34">
    <cfRule type="cellIs" dxfId="2382" priority="15" operator="equal">
      <formula>0</formula>
    </cfRule>
  </conditionalFormatting>
  <conditionalFormatting sqref="F34">
    <cfRule type="cellIs" dxfId="2381" priority="14" operator="equal">
      <formula>0</formula>
    </cfRule>
  </conditionalFormatting>
  <conditionalFormatting sqref="G34">
    <cfRule type="cellIs" dxfId="2380" priority="13" operator="equal">
      <formula>0</formula>
    </cfRule>
  </conditionalFormatting>
  <conditionalFormatting sqref="I34">
    <cfRule type="cellIs" dxfId="2379" priority="12" operator="equal">
      <formula>0</formula>
    </cfRule>
  </conditionalFormatting>
  <conditionalFormatting sqref="J34">
    <cfRule type="cellIs" dxfId="2378" priority="11" operator="equal">
      <formula>0</formula>
    </cfRule>
  </conditionalFormatting>
  <conditionalFormatting sqref="K34">
    <cfRule type="cellIs" dxfId="2377" priority="10" operator="equal">
      <formula>0</formula>
    </cfRule>
  </conditionalFormatting>
  <conditionalFormatting sqref="L34">
    <cfRule type="cellIs" dxfId="2376" priority="9" operator="equal">
      <formula>0</formula>
    </cfRule>
  </conditionalFormatting>
  <conditionalFormatting sqref="B7:L14">
    <cfRule type="expression" dxfId="2375" priority="7">
      <formula>B7=MAX(B$7:B$14)</formula>
    </cfRule>
    <cfRule type="expression" dxfId="2374" priority="8">
      <formula>B7=MIN(B$7:B$14)</formula>
    </cfRule>
  </conditionalFormatting>
  <conditionalFormatting sqref="B16:L21">
    <cfRule type="expression" dxfId="2373" priority="5">
      <formula>B16=MAX(B$16:B$21)</formula>
    </cfRule>
    <cfRule type="expression" dxfId="2372" priority="6">
      <formula>B16=MIN(B$16:B$21)</formula>
    </cfRule>
  </conditionalFormatting>
  <conditionalFormatting sqref="B23:L25">
    <cfRule type="expression" dxfId="2371" priority="3">
      <formula>B23=MAX(B$23:B$25)</formula>
    </cfRule>
    <cfRule type="expression" dxfId="2370" priority="4">
      <formula>B23=MIN(B$23:B$25)</formula>
    </cfRule>
  </conditionalFormatting>
  <conditionalFormatting sqref="B29:L32">
    <cfRule type="expression" dxfId="2369" priority="1">
      <formula>B29=MAX(B$29:B$32)</formula>
    </cfRule>
    <cfRule type="expression" dxfId="2368" priority="2">
      <formula>B29=MIN(B$29:B$32)</formula>
    </cfRule>
  </conditionalFormatting>
  <printOptions horizontalCentered="1"/>
  <pageMargins left="0.27559055118110237" right="0.27559055118110237" top="1.7716535433070868" bottom="0.47244094488188981" header="0.19685039370078741" footer="0.19685039370078741"/>
  <pageSetup paperSize="9" scale="93" orientation="portrait" r:id="rId1"/>
  <headerFooter>
    <oddHeader xml:space="preserve">&amp;C&amp;G
</oddHead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11D52-CE7D-461F-AFF7-520A8F10021B}">
  <sheetPr>
    <tabColor indexed="24"/>
  </sheetPr>
  <dimension ref="A1:AQ56"/>
  <sheetViews>
    <sheetView showGridLines="0" workbookViewId="0">
      <selection activeCell="Y70" sqref="Y70"/>
    </sheetView>
  </sheetViews>
  <sheetFormatPr defaultColWidth="9.140625" defaultRowHeight="11.25"/>
  <cols>
    <col min="1" max="1" width="24.140625" style="2" customWidth="1"/>
    <col min="2" max="12" width="7.28515625" style="2" customWidth="1"/>
    <col min="13" max="13" width="5.85546875" style="2" bestFit="1" customWidth="1"/>
    <col min="14" max="15" width="5.85546875" style="677" bestFit="1" customWidth="1"/>
    <col min="16" max="16" width="13" style="677" customWidth="1"/>
    <col min="17" max="17" width="6.7109375" style="677" bestFit="1" customWidth="1"/>
    <col min="18" max="18" width="5.85546875" style="677" bestFit="1" customWidth="1"/>
    <col min="19" max="19" width="6.7109375" style="677" bestFit="1" customWidth="1"/>
    <col min="20" max="20" width="5.85546875" style="677" bestFit="1" customWidth="1"/>
    <col min="21" max="21" width="11.5703125" style="677" customWidth="1"/>
    <col min="22" max="23" width="5.85546875" style="677" bestFit="1" customWidth="1"/>
    <col min="24" max="43" width="9.140625" style="677"/>
    <col min="44" max="16384" width="9.140625" style="2"/>
  </cols>
  <sheetData>
    <row r="1" spans="1:43" s="1" customFormat="1" ht="29.25" customHeight="1">
      <c r="A1" s="982" t="s">
        <v>770</v>
      </c>
      <c r="B1" s="982"/>
      <c r="C1" s="982"/>
      <c r="D1" s="982"/>
      <c r="E1" s="982"/>
      <c r="F1" s="982"/>
      <c r="G1" s="982"/>
      <c r="H1" s="982"/>
      <c r="I1" s="982"/>
      <c r="J1" s="982"/>
      <c r="K1" s="982"/>
      <c r="L1" s="982"/>
      <c r="N1" s="673"/>
      <c r="O1" s="674"/>
      <c r="P1" s="675"/>
      <c r="Q1" s="673"/>
      <c r="R1" s="673"/>
      <c r="S1" s="673"/>
      <c r="T1" s="673"/>
      <c r="U1" s="676"/>
      <c r="V1" s="673"/>
      <c r="W1" s="673"/>
      <c r="X1" s="673"/>
      <c r="Y1" s="673"/>
      <c r="Z1" s="673"/>
      <c r="AA1" s="673"/>
      <c r="AB1" s="673"/>
      <c r="AC1" s="673"/>
      <c r="AD1" s="673"/>
      <c r="AE1" s="673"/>
      <c r="AF1" s="673"/>
      <c r="AG1" s="673"/>
      <c r="AH1" s="673"/>
      <c r="AI1" s="673"/>
      <c r="AJ1" s="673"/>
      <c r="AK1" s="673"/>
      <c r="AL1" s="673"/>
      <c r="AM1" s="673"/>
      <c r="AN1" s="673"/>
      <c r="AO1" s="673"/>
      <c r="AP1" s="673"/>
      <c r="AQ1" s="673"/>
    </row>
    <row r="2" spans="1:43" ht="15" customHeight="1">
      <c r="A2" s="9"/>
      <c r="B2" s="172"/>
      <c r="C2" s="172"/>
      <c r="D2" s="172"/>
      <c r="E2" s="172"/>
      <c r="F2" s="172"/>
      <c r="G2" s="172"/>
      <c r="H2" s="172"/>
      <c r="I2" s="172"/>
      <c r="J2" s="172"/>
      <c r="K2" s="172"/>
      <c r="L2" s="172"/>
      <c r="O2" s="302"/>
    </row>
    <row r="3" spans="1:43" ht="15" customHeight="1">
      <c r="A3" s="11" t="s">
        <v>41</v>
      </c>
      <c r="B3" s="172"/>
      <c r="C3" s="172"/>
      <c r="D3" s="172"/>
      <c r="E3" s="172"/>
      <c r="F3" s="172"/>
      <c r="G3" s="172"/>
      <c r="H3" s="172"/>
      <c r="I3" s="172"/>
      <c r="J3" s="172"/>
      <c r="K3" s="172"/>
      <c r="L3" s="172"/>
      <c r="O3" s="302"/>
      <c r="Q3" s="678"/>
      <c r="R3" s="678"/>
      <c r="S3" s="678"/>
      <c r="T3" s="678"/>
      <c r="U3" s="678"/>
      <c r="V3" s="678"/>
      <c r="W3" s="678"/>
      <c r="X3" s="678"/>
      <c r="Y3" s="678"/>
      <c r="Z3" s="678"/>
      <c r="AA3" s="678"/>
    </row>
    <row r="4" spans="1:43" ht="28.5" customHeight="1" thickBot="1">
      <c r="A4" s="13"/>
      <c r="B4" s="14">
        <v>2014</v>
      </c>
      <c r="C4" s="14">
        <v>2015</v>
      </c>
      <c r="D4" s="14">
        <v>2016</v>
      </c>
      <c r="E4" s="14">
        <v>2017</v>
      </c>
      <c r="F4" s="14">
        <v>2018</v>
      </c>
      <c r="G4" s="14">
        <v>2019</v>
      </c>
      <c r="H4" s="14">
        <v>2020</v>
      </c>
      <c r="I4" s="14">
        <v>2021</v>
      </c>
      <c r="J4" s="14">
        <v>2022</v>
      </c>
      <c r="K4" s="14">
        <v>2023</v>
      </c>
      <c r="L4" s="14">
        <v>2024</v>
      </c>
      <c r="P4" s="560">
        <f>+B4</f>
        <v>2014</v>
      </c>
      <c r="Q4" s="560">
        <f t="shared" ref="Q4:X4" si="0">+C4</f>
        <v>2015</v>
      </c>
      <c r="R4" s="560">
        <f t="shared" si="0"/>
        <v>2016</v>
      </c>
      <c r="S4" s="560">
        <f t="shared" si="0"/>
        <v>2017</v>
      </c>
      <c r="T4" s="560">
        <f t="shared" si="0"/>
        <v>2018</v>
      </c>
      <c r="U4" s="560">
        <f t="shared" si="0"/>
        <v>2019</v>
      </c>
      <c r="V4" s="560">
        <f t="shared" si="0"/>
        <v>2020</v>
      </c>
      <c r="W4" s="560">
        <f t="shared" si="0"/>
        <v>2021</v>
      </c>
      <c r="X4" s="560">
        <f t="shared" si="0"/>
        <v>2022</v>
      </c>
      <c r="Y4" s="560">
        <f>+K4</f>
        <v>2023</v>
      </c>
      <c r="Z4" s="560">
        <f t="shared" ref="Z4" si="1">+L4</f>
        <v>2024</v>
      </c>
      <c r="AA4" s="560">
        <f>+B4</f>
        <v>2014</v>
      </c>
      <c r="AB4" s="560">
        <f t="shared" ref="AB4:AJ4" si="2">+C4</f>
        <v>2015</v>
      </c>
      <c r="AC4" s="560">
        <f t="shared" si="2"/>
        <v>2016</v>
      </c>
      <c r="AD4" s="560">
        <f t="shared" si="2"/>
        <v>2017</v>
      </c>
      <c r="AE4" s="560">
        <f t="shared" si="2"/>
        <v>2018</v>
      </c>
      <c r="AF4" s="560">
        <f t="shared" si="2"/>
        <v>2019</v>
      </c>
      <c r="AG4" s="560">
        <f t="shared" si="2"/>
        <v>2020</v>
      </c>
      <c r="AH4" s="560">
        <f t="shared" si="2"/>
        <v>2021</v>
      </c>
      <c r="AI4" s="560">
        <f t="shared" si="2"/>
        <v>2022</v>
      </c>
      <c r="AJ4" s="560">
        <f t="shared" si="2"/>
        <v>2023</v>
      </c>
      <c r="AK4" s="560">
        <f>+L4</f>
        <v>2024</v>
      </c>
    </row>
    <row r="5" spans="1:43" ht="20.25" customHeight="1" thickTop="1">
      <c r="A5" s="113" t="s">
        <v>11</v>
      </c>
      <c r="B5" s="328">
        <v>270181.00000000006</v>
      </c>
      <c r="C5" s="328">
        <v>273059.99999999988</v>
      </c>
      <c r="D5" s="328">
        <v>276331.99999999983</v>
      </c>
      <c r="E5" s="328">
        <v>279191.00000000023</v>
      </c>
      <c r="F5" s="328">
        <v>282236</v>
      </c>
      <c r="G5" s="328">
        <v>275750.99999999977</v>
      </c>
      <c r="H5" s="328">
        <v>277641.00000000023</v>
      </c>
      <c r="I5" s="328">
        <v>271806.00000000017</v>
      </c>
      <c r="J5" s="328">
        <v>284860</v>
      </c>
      <c r="K5" s="328">
        <v>291252.00000000017</v>
      </c>
      <c r="L5" s="328">
        <v>288762.99999999994</v>
      </c>
      <c r="P5" s="679"/>
      <c r="Q5" s="678"/>
      <c r="R5" s="678"/>
      <c r="S5" s="678"/>
      <c r="T5" s="678"/>
      <c r="U5" s="678"/>
      <c r="V5" s="678"/>
      <c r="W5" s="678"/>
      <c r="X5" s="678"/>
      <c r="Y5" s="678"/>
      <c r="Z5" s="678"/>
      <c r="AA5" s="2"/>
      <c r="AB5" s="2"/>
      <c r="AC5" s="2"/>
      <c r="AD5" s="2"/>
      <c r="AE5" s="2"/>
      <c r="AF5" s="2"/>
      <c r="AG5" s="2"/>
      <c r="AH5" s="2"/>
      <c r="AI5" s="2"/>
      <c r="AJ5" s="2"/>
      <c r="AK5" s="2"/>
    </row>
    <row r="6" spans="1:43" ht="20.100000000000001" customHeight="1">
      <c r="A6" s="15" t="s">
        <v>496</v>
      </c>
      <c r="B6" s="328">
        <v>104739</v>
      </c>
      <c r="C6" s="328">
        <v>105959</v>
      </c>
      <c r="D6" s="328">
        <v>107496</v>
      </c>
      <c r="E6" s="328">
        <v>108796</v>
      </c>
      <c r="F6" s="328">
        <v>109936</v>
      </c>
      <c r="G6" s="328">
        <v>107137</v>
      </c>
      <c r="H6" s="328">
        <v>107805</v>
      </c>
      <c r="I6" s="328">
        <v>106036</v>
      </c>
      <c r="J6" s="328">
        <v>110941</v>
      </c>
      <c r="K6" s="328">
        <v>112985.99999999999</v>
      </c>
      <c r="L6" s="328">
        <v>111564.99999999994</v>
      </c>
      <c r="N6" s="559">
        <f>+(L6/B6-1)*100</f>
        <v>6.5171521591765647</v>
      </c>
      <c r="O6" s="419">
        <f t="shared" ref="O6" si="3">+L6-B6</f>
        <v>6825.9999999999418</v>
      </c>
      <c r="P6" s="559">
        <f>B6*100/B$5</f>
        <v>38.766234487251133</v>
      </c>
      <c r="Q6" s="559">
        <f t="shared" ref="Q6:Z6" si="4">C6*100/C$5</f>
        <v>38.80429209697504</v>
      </c>
      <c r="R6" s="559">
        <f t="shared" si="4"/>
        <v>38.901032091831588</v>
      </c>
      <c r="S6" s="559">
        <f t="shared" si="4"/>
        <v>38.968304852233743</v>
      </c>
      <c r="T6" s="559">
        <f t="shared" si="4"/>
        <v>38.951799203503448</v>
      </c>
      <c r="U6" s="559">
        <f t="shared" si="4"/>
        <v>38.852805610859107</v>
      </c>
      <c r="V6" s="559">
        <f t="shared" si="4"/>
        <v>38.82891935989278</v>
      </c>
      <c r="W6" s="559">
        <f t="shared" si="4"/>
        <v>39.011648013656774</v>
      </c>
      <c r="X6" s="559">
        <f t="shared" si="4"/>
        <v>38.945797935828125</v>
      </c>
      <c r="Y6" s="559">
        <f t="shared" si="4"/>
        <v>38.793210003708097</v>
      </c>
      <c r="Z6" s="559">
        <f t="shared" si="4"/>
        <v>38.635490003913233</v>
      </c>
      <c r="AA6" s="2">
        <f>+IFERROR(RANK(B6,(B$6,B$15,B$22,B$26,B$27,B$28,B$33),0),"")</f>
        <v>1</v>
      </c>
      <c r="AB6" s="2">
        <f>+IFERROR(RANK(C6,(C$6,C$15,C$22,C$26,C$27,C$28,C$33),0),"")</f>
        <v>1</v>
      </c>
      <c r="AC6" s="2">
        <f>+IFERROR(RANK(D6,(D$6,D$15,D$22,D$26,D$27,D$28,D$33),0),"")</f>
        <v>1</v>
      </c>
      <c r="AD6" s="2">
        <f>+IFERROR(RANK(E6,(E$6,E$15,E$22,E$26,E$27,E$28,E$33),0),"")</f>
        <v>1</v>
      </c>
      <c r="AE6" s="2">
        <f>+IFERROR(RANK(F6,(F$6,F$15,F$22,F$26,F$27,F$28,F$33),0),"")</f>
        <v>1</v>
      </c>
      <c r="AF6" s="2">
        <f>+IFERROR(RANK(G6,(G$6,G$15,G$22,G$26,G$27,G$28,G$33),0),"")</f>
        <v>1</v>
      </c>
      <c r="AG6" s="2">
        <f>+IFERROR(RANK(H6,(H$6,H$15,H$22,H$26,H$27,H$28,H$33),0),"")</f>
        <v>1</v>
      </c>
      <c r="AH6" s="2">
        <f>+IFERROR(RANK(I6,(I$6,I$15,I$22,I$26,I$27,I$28,I$33),0),"")</f>
        <v>1</v>
      </c>
      <c r="AI6" s="2">
        <f>+IFERROR(RANK(J6,(J$6,J$15,J$22,J$26,J$27,J$28,J$33),0),"")</f>
        <v>1</v>
      </c>
      <c r="AJ6" s="2">
        <f>+IFERROR(RANK(K6,(K$6,K$15,K$22,K$26,K$27,K$28,K$33),0),"")</f>
        <v>1</v>
      </c>
      <c r="AK6" s="2">
        <f>+IFERROR(RANK(L6,(L$6,L$15,L$22,L$26,L$27,L$28,L$33),0),"")</f>
        <v>1</v>
      </c>
    </row>
    <row r="7" spans="1:43" ht="18" customHeight="1">
      <c r="A7" s="572" t="s">
        <v>497</v>
      </c>
      <c r="B7" s="646">
        <v>7129</v>
      </c>
      <c r="C7" s="646">
        <v>7173</v>
      </c>
      <c r="D7" s="646">
        <v>7291</v>
      </c>
      <c r="E7" s="646">
        <v>7270</v>
      </c>
      <c r="F7" s="646">
        <v>7341</v>
      </c>
      <c r="G7" s="646">
        <v>7045</v>
      </c>
      <c r="H7" s="646">
        <v>7037</v>
      </c>
      <c r="I7" s="646">
        <v>6974</v>
      </c>
      <c r="J7" s="646">
        <v>7227</v>
      </c>
      <c r="K7" s="646">
        <v>7381</v>
      </c>
      <c r="L7" s="646">
        <v>7328</v>
      </c>
      <c r="N7" s="559">
        <f t="shared" ref="N7:N31" si="5">+(L7/B7-1)*100</f>
        <v>2.7914153457707869</v>
      </c>
      <c r="O7" s="419">
        <f t="shared" ref="O7:O31" si="6">+L7-B7</f>
        <v>199</v>
      </c>
      <c r="P7" s="559">
        <f t="shared" ref="P7:P31" si="7">B7*100/B$5</f>
        <v>2.6386015300853867</v>
      </c>
      <c r="Q7" s="559">
        <f t="shared" ref="Q7:Q31" si="8">C7*100/C$5</f>
        <v>2.6268951878707987</v>
      </c>
      <c r="R7" s="559">
        <f t="shared" ref="R7:R31" si="9">D7*100/D$5</f>
        <v>2.6384928274684092</v>
      </c>
      <c r="S7" s="559">
        <f t="shared" ref="S7:S31" si="10">E7*100/E$5</f>
        <v>2.6039521331274984</v>
      </c>
      <c r="T7" s="559">
        <f t="shared" ref="T7:T31" si="11">F7*100/F$5</f>
        <v>2.6010147536104538</v>
      </c>
      <c r="U7" s="559">
        <f t="shared" ref="U7:U31" si="12">G7*100/G$5</f>
        <v>2.5548411429151683</v>
      </c>
      <c r="V7" s="559">
        <f t="shared" ref="V7:V31" si="13">H7*100/H$5</f>
        <v>2.534568021293683</v>
      </c>
      <c r="W7" s="559">
        <f t="shared" ref="W7:W31" si="14">I7*100/I$5</f>
        <v>2.5658006077864344</v>
      </c>
      <c r="X7" s="559">
        <f t="shared" ref="X7:X31" si="15">J7*100/J$5</f>
        <v>2.5370357368531908</v>
      </c>
      <c r="Y7" s="559">
        <f t="shared" ref="Y7:Y31" si="16">K7*100/K$5</f>
        <v>2.5342315245903877</v>
      </c>
      <c r="Z7" s="559">
        <f t="shared" ref="Z7:Z31" si="17">L7*100/L$5</f>
        <v>2.5377212454504217</v>
      </c>
      <c r="AA7" s="2" t="str">
        <f>+IFERROR(RANK(B7,(B$6,B$15,B$22,B$26,B$27,B$28,B$33),0),"")</f>
        <v/>
      </c>
      <c r="AB7" s="2" t="str">
        <f>+IFERROR(RANK(C7,(C$6,C$15,C$22,C$26,C$27,C$28,C$33),0),"")</f>
        <v/>
      </c>
      <c r="AC7" s="2" t="str">
        <f>+IFERROR(RANK(D7,(D$6,D$15,D$22,D$26,D$27,D$28,D$33),0),"")</f>
        <v/>
      </c>
      <c r="AD7" s="2" t="str">
        <f>+IFERROR(RANK(E7,(E$6,E$15,E$22,E$26,E$27,E$28,E$33),0),"")</f>
        <v/>
      </c>
      <c r="AE7" s="2" t="str">
        <f>+IFERROR(RANK(F7,(F$6,F$15,F$22,F$26,F$27,F$28,F$33),0),"")</f>
        <v/>
      </c>
      <c r="AF7" s="2" t="str">
        <f>+IFERROR(RANK(G7,(G$6,G$15,G$22,G$26,G$27,G$28,G$33),0),"")</f>
        <v/>
      </c>
      <c r="AG7" s="2" t="str">
        <f>+IFERROR(RANK(H7,(H$6,H$15,H$22,H$26,H$27,H$28,H$33),0),"")</f>
        <v/>
      </c>
      <c r="AH7" s="2" t="str">
        <f>+IFERROR(RANK(I7,(I$6,I$15,I$22,I$26,I$27,I$28,I$33),0),"")</f>
        <v/>
      </c>
      <c r="AI7" s="2" t="str">
        <f>+IFERROR(RANK(J7,(J$6,J$15,J$22,J$26,J$27,J$28,J$33),0),"")</f>
        <v/>
      </c>
      <c r="AJ7" s="2" t="str">
        <f>+IFERROR(RANK(K7,(K$6,K$15,K$22,K$26,K$27,K$28,K$33),0),"")</f>
        <v/>
      </c>
      <c r="AK7" s="2" t="str">
        <f>+IFERROR(RANK(L7,(L$6,L$15,L$22,L$26,L$27,L$28,L$33),0),"")</f>
        <v/>
      </c>
    </row>
    <row r="8" spans="1:43" ht="18" customHeight="1">
      <c r="A8" s="572" t="s">
        <v>498</v>
      </c>
      <c r="B8" s="646">
        <v>13169</v>
      </c>
      <c r="C8" s="646">
        <v>13373</v>
      </c>
      <c r="D8" s="646">
        <v>13613</v>
      </c>
      <c r="E8" s="646">
        <v>13840</v>
      </c>
      <c r="F8" s="646">
        <v>13932</v>
      </c>
      <c r="G8" s="646">
        <v>13662</v>
      </c>
      <c r="H8" s="646">
        <v>13781</v>
      </c>
      <c r="I8" s="646">
        <v>13588</v>
      </c>
      <c r="J8" s="646">
        <v>14557</v>
      </c>
      <c r="K8" s="646">
        <v>15022.000000000002</v>
      </c>
      <c r="L8" s="646">
        <v>15022</v>
      </c>
      <c r="N8" s="559">
        <f t="shared" si="5"/>
        <v>14.07092414002582</v>
      </c>
      <c r="O8" s="419">
        <f t="shared" si="6"/>
        <v>1853</v>
      </c>
      <c r="P8" s="559">
        <f t="shared" si="7"/>
        <v>4.874139928418356</v>
      </c>
      <c r="Q8" s="559">
        <f t="shared" si="8"/>
        <v>4.8974584340438021</v>
      </c>
      <c r="R8" s="559">
        <f t="shared" si="9"/>
        <v>4.9263205130060976</v>
      </c>
      <c r="S8" s="559">
        <f t="shared" si="10"/>
        <v>4.9571798517860488</v>
      </c>
      <c r="T8" s="559">
        <f t="shared" si="11"/>
        <v>4.9362944486174687</v>
      </c>
      <c r="U8" s="559">
        <f t="shared" si="12"/>
        <v>4.9544697934005724</v>
      </c>
      <c r="V8" s="559">
        <f t="shared" si="13"/>
        <v>4.9636040786483226</v>
      </c>
      <c r="W8" s="559">
        <f t="shared" si="14"/>
        <v>4.9991538082308677</v>
      </c>
      <c r="X8" s="559">
        <f t="shared" si="15"/>
        <v>5.1102295864635261</v>
      </c>
      <c r="Y8" s="559">
        <f t="shared" si="16"/>
        <v>5.1577328224355519</v>
      </c>
      <c r="Z8" s="559">
        <f t="shared" si="17"/>
        <v>5.2021900312713205</v>
      </c>
      <c r="AA8" s="2" t="str">
        <f>+IFERROR(RANK(B8,(B$6,B$15,B$22,B$26,B$27,B$28,B$33),0),"")</f>
        <v/>
      </c>
      <c r="AB8" s="2" t="str">
        <f>+IFERROR(RANK(C8,(C$6,C$15,C$22,C$26,C$27,C$28,C$33),0),"")</f>
        <v/>
      </c>
      <c r="AC8" s="2" t="str">
        <f>+IFERROR(RANK(D8,(D$6,D$15,D$22,D$26,D$27,D$28,D$33),0),"")</f>
        <v/>
      </c>
      <c r="AD8" s="2" t="str">
        <f>+IFERROR(RANK(E8,(E$6,E$15,E$22,E$26,E$27,E$28,E$33),0),"")</f>
        <v/>
      </c>
      <c r="AE8" s="2" t="str">
        <f>+IFERROR(RANK(F8,(F$6,F$15,F$22,F$26,F$27,F$28,F$33),0),"")</f>
        <v/>
      </c>
      <c r="AF8" s="2" t="str">
        <f>+IFERROR(RANK(G8,(G$6,G$15,G$22,G$26,G$27,G$28,G$33),0),"")</f>
        <v/>
      </c>
      <c r="AG8" s="2" t="str">
        <f>+IFERROR(RANK(H8,(H$6,H$15,H$22,H$26,H$27,H$28,H$33),0),"")</f>
        <v/>
      </c>
      <c r="AH8" s="2" t="str">
        <f>+IFERROR(RANK(I8,(I$6,I$15,I$22,I$26,I$27,I$28,I$33),0),"")</f>
        <v/>
      </c>
      <c r="AI8" s="2" t="str">
        <f>+IFERROR(RANK(J8,(J$6,J$15,J$22,J$26,J$27,J$28,J$33),0),"")</f>
        <v/>
      </c>
      <c r="AJ8" s="2" t="str">
        <f>+IFERROR(RANK(K8,(K$6,K$15,K$22,K$26,K$27,K$28,K$33),0),"")</f>
        <v/>
      </c>
      <c r="AK8" s="2" t="str">
        <f>+IFERROR(RANK(L8,(L$6,L$15,L$22,L$26,L$27,L$28,L$33),0),"")</f>
        <v/>
      </c>
    </row>
    <row r="9" spans="1:43" ht="18" customHeight="1">
      <c r="A9" s="572" t="s">
        <v>499</v>
      </c>
      <c r="B9" s="646">
        <v>12761</v>
      </c>
      <c r="C9" s="646">
        <v>12914</v>
      </c>
      <c r="D9" s="646">
        <v>13247</v>
      </c>
      <c r="E9" s="646">
        <v>13507</v>
      </c>
      <c r="F9" s="646">
        <v>13505</v>
      </c>
      <c r="G9" s="646">
        <v>13001</v>
      </c>
      <c r="H9" s="646">
        <v>13164</v>
      </c>
      <c r="I9" s="646">
        <v>12897</v>
      </c>
      <c r="J9" s="646">
        <v>13716</v>
      </c>
      <c r="K9" s="646">
        <v>13849.999999999998</v>
      </c>
      <c r="L9" s="646">
        <v>13685</v>
      </c>
      <c r="N9" s="559">
        <f t="shared" si="5"/>
        <v>7.2408118486012141</v>
      </c>
      <c r="O9" s="419">
        <f t="shared" si="6"/>
        <v>924</v>
      </c>
      <c r="P9" s="559">
        <f t="shared" si="7"/>
        <v>4.7231300498554658</v>
      </c>
      <c r="Q9" s="559">
        <f t="shared" si="8"/>
        <v>4.7293635098513169</v>
      </c>
      <c r="R9" s="559">
        <f t="shared" si="9"/>
        <v>4.7938711405121408</v>
      </c>
      <c r="S9" s="559">
        <f t="shared" si="10"/>
        <v>4.8379066660458214</v>
      </c>
      <c r="T9" s="559">
        <f t="shared" si="11"/>
        <v>4.7850026219192445</v>
      </c>
      <c r="U9" s="559">
        <f t="shared" si="12"/>
        <v>4.7147607805592768</v>
      </c>
      <c r="V9" s="559">
        <f t="shared" si="13"/>
        <v>4.7413746528790739</v>
      </c>
      <c r="W9" s="559">
        <f t="shared" si="14"/>
        <v>4.7449283680271925</v>
      </c>
      <c r="X9" s="559">
        <f t="shared" si="15"/>
        <v>4.8149968405532544</v>
      </c>
      <c r="Y9" s="559">
        <f t="shared" si="16"/>
        <v>4.7553321522255603</v>
      </c>
      <c r="Z9" s="559">
        <f t="shared" si="17"/>
        <v>4.7391805736884587</v>
      </c>
      <c r="AA9" s="2" t="str">
        <f>+IFERROR(RANK(B9,(B$6,B$15,B$22,B$26,B$27,B$28,B$33),0),"")</f>
        <v/>
      </c>
      <c r="AB9" s="2" t="str">
        <f>+IFERROR(RANK(C9,(C$6,C$15,C$22,C$26,C$27,C$28,C$33),0),"")</f>
        <v/>
      </c>
      <c r="AC9" s="2" t="str">
        <f>+IFERROR(RANK(D9,(D$6,D$15,D$22,D$26,D$27,D$28,D$33),0),"")</f>
        <v/>
      </c>
      <c r="AD9" s="2" t="str">
        <f>+IFERROR(RANK(E9,(E$6,E$15,E$22,E$26,E$27,E$28,E$33),0),"")</f>
        <v/>
      </c>
      <c r="AE9" s="2" t="str">
        <f>+IFERROR(RANK(F9,(F$6,F$15,F$22,F$26,F$27,F$28,F$33),0),"")</f>
        <v/>
      </c>
      <c r="AF9" s="2" t="str">
        <f>+IFERROR(RANK(G9,(G$6,G$15,G$22,G$26,G$27,G$28,G$33),0),"")</f>
        <v/>
      </c>
      <c r="AG9" s="2" t="str">
        <f>+IFERROR(RANK(H9,(H$6,H$15,H$22,H$26,H$27,H$28,H$33),0),"")</f>
        <v/>
      </c>
      <c r="AH9" s="2" t="str">
        <f>+IFERROR(RANK(I9,(I$6,I$15,I$22,I$26,I$27,I$28,I$33),0),"")</f>
        <v/>
      </c>
      <c r="AI9" s="2" t="str">
        <f>+IFERROR(RANK(J9,(J$6,J$15,J$22,J$26,J$27,J$28,J$33),0),"")</f>
        <v/>
      </c>
      <c r="AJ9" s="2" t="str">
        <f>+IFERROR(RANK(K9,(K$6,K$15,K$22,K$26,K$27,K$28,K$33),0),"")</f>
        <v/>
      </c>
      <c r="AK9" s="2" t="str">
        <f>+IFERROR(RANK(L9,(L$6,L$15,L$22,L$26,L$27,L$28,L$33),0),"")</f>
        <v/>
      </c>
    </row>
    <row r="10" spans="1:43" ht="18" customHeight="1">
      <c r="A10" s="572" t="s">
        <v>500</v>
      </c>
      <c r="B10" s="646">
        <v>49118</v>
      </c>
      <c r="C10" s="646">
        <v>49590</v>
      </c>
      <c r="D10" s="646">
        <v>50179</v>
      </c>
      <c r="E10" s="646">
        <v>50743</v>
      </c>
      <c r="F10" s="646">
        <v>51437</v>
      </c>
      <c r="G10" s="646">
        <v>50377</v>
      </c>
      <c r="H10" s="646">
        <v>50550</v>
      </c>
      <c r="I10" s="646">
        <v>49104</v>
      </c>
      <c r="J10" s="646">
        <v>51243</v>
      </c>
      <c r="K10" s="646">
        <v>52107</v>
      </c>
      <c r="L10" s="646">
        <v>51191</v>
      </c>
      <c r="N10" s="559">
        <f t="shared" si="5"/>
        <v>4.2204487153385761</v>
      </c>
      <c r="O10" s="419">
        <f t="shared" si="6"/>
        <v>2073</v>
      </c>
      <c r="P10" s="559">
        <f t="shared" si="7"/>
        <v>18.179664743264695</v>
      </c>
      <c r="Q10" s="559">
        <f t="shared" si="8"/>
        <v>18.160843770599875</v>
      </c>
      <c r="R10" s="559">
        <f t="shared" si="9"/>
        <v>18.158953722334015</v>
      </c>
      <c r="S10" s="559">
        <f t="shared" si="10"/>
        <v>18.17501280485401</v>
      </c>
      <c r="T10" s="559">
        <f t="shared" si="11"/>
        <v>18.224818945846739</v>
      </c>
      <c r="U10" s="559">
        <f t="shared" si="12"/>
        <v>18.269018063397791</v>
      </c>
      <c r="V10" s="559">
        <f t="shared" si="13"/>
        <v>18.206965109619961</v>
      </c>
      <c r="W10" s="559">
        <f t="shared" si="14"/>
        <v>18.065826361448963</v>
      </c>
      <c r="X10" s="559">
        <f t="shared" si="15"/>
        <v>17.98883662149828</v>
      </c>
      <c r="Y10" s="559">
        <f t="shared" si="16"/>
        <v>17.890692596102333</v>
      </c>
      <c r="Z10" s="559">
        <f t="shared" si="17"/>
        <v>17.727686718866341</v>
      </c>
      <c r="AA10" s="2" t="str">
        <f>+IFERROR(RANK(B10,(B$6,B$15,B$22,B$26,B$27,B$28,B$33),0),"")</f>
        <v/>
      </c>
      <c r="AB10" s="2" t="str">
        <f>+IFERROR(RANK(C10,(C$6,C$15,C$22,C$26,C$27,C$28,C$33),0),"")</f>
        <v/>
      </c>
      <c r="AC10" s="2" t="str">
        <f>+IFERROR(RANK(D10,(D$6,D$15,D$22,D$26,D$27,D$28,D$33),0),"")</f>
        <v/>
      </c>
      <c r="AD10" s="2" t="str">
        <f>+IFERROR(RANK(E10,(E$6,E$15,E$22,E$26,E$27,E$28,E$33),0),"")</f>
        <v/>
      </c>
      <c r="AE10" s="2" t="str">
        <f>+IFERROR(RANK(F10,(F$6,F$15,F$22,F$26,F$27,F$28,F$33),0),"")</f>
        <v/>
      </c>
      <c r="AF10" s="2" t="str">
        <f>+IFERROR(RANK(G10,(G$6,G$15,G$22,G$26,G$27,G$28,G$33),0),"")</f>
        <v/>
      </c>
      <c r="AG10" s="2" t="str">
        <f>+IFERROR(RANK(H10,(H$6,H$15,H$22,H$26,H$27,H$28,H$33),0),"")</f>
        <v/>
      </c>
      <c r="AH10" s="2" t="str">
        <f>+IFERROR(RANK(I10,(I$6,I$15,I$22,I$26,I$27,I$28,I$33),0),"")</f>
        <v/>
      </c>
      <c r="AI10" s="2" t="str">
        <f>+IFERROR(RANK(J10,(J$6,J$15,J$22,J$26,J$27,J$28,J$33),0),"")</f>
        <v/>
      </c>
      <c r="AJ10" s="2" t="str">
        <f>+IFERROR(RANK(K10,(K$6,K$15,K$22,K$26,K$27,K$28,K$33),0),"")</f>
        <v/>
      </c>
      <c r="AK10" s="2" t="str">
        <f>+IFERROR(RANK(L10,(L$6,L$15,L$22,L$26,L$27,L$28,L$33),0),"")</f>
        <v/>
      </c>
    </row>
    <row r="11" spans="1:43" ht="18" customHeight="1">
      <c r="A11" s="572" t="s">
        <v>771</v>
      </c>
      <c r="B11" s="646">
        <v>2147</v>
      </c>
      <c r="C11" s="646">
        <v>2205</v>
      </c>
      <c r="D11" s="646">
        <v>2256</v>
      </c>
      <c r="E11" s="646">
        <v>2272</v>
      </c>
      <c r="F11" s="646">
        <v>2316</v>
      </c>
      <c r="G11" s="646">
        <v>2252</v>
      </c>
      <c r="H11" s="646">
        <v>2299</v>
      </c>
      <c r="I11" s="646">
        <v>2298</v>
      </c>
      <c r="J11" s="646">
        <v>2409</v>
      </c>
      <c r="K11" s="646">
        <v>2397</v>
      </c>
      <c r="L11" s="646">
        <v>2432</v>
      </c>
      <c r="N11" s="559">
        <f t="shared" si="5"/>
        <v>13.274336283185839</v>
      </c>
      <c r="O11" s="419">
        <f t="shared" si="6"/>
        <v>285</v>
      </c>
      <c r="P11" s="559">
        <f t="shared" si="7"/>
        <v>0.79465247371206693</v>
      </c>
      <c r="Q11" s="559">
        <f t="shared" si="8"/>
        <v>0.80751483190507611</v>
      </c>
      <c r="R11" s="559">
        <f t="shared" si="9"/>
        <v>0.81640924684799498</v>
      </c>
      <c r="S11" s="559">
        <f t="shared" si="10"/>
        <v>0.81377981381921272</v>
      </c>
      <c r="T11" s="559">
        <f t="shared" si="11"/>
        <v>0.82058986096741737</v>
      </c>
      <c r="U11" s="559">
        <f t="shared" si="12"/>
        <v>0.81667881530801412</v>
      </c>
      <c r="V11" s="559">
        <f t="shared" si="13"/>
        <v>0.8280477307025973</v>
      </c>
      <c r="W11" s="559">
        <f t="shared" si="14"/>
        <v>0.84545595019977426</v>
      </c>
      <c r="X11" s="559">
        <f t="shared" si="15"/>
        <v>0.84567857895106369</v>
      </c>
      <c r="Y11" s="559">
        <f t="shared" si="16"/>
        <v>0.82299864035268377</v>
      </c>
      <c r="Z11" s="559">
        <f t="shared" si="17"/>
        <v>0.84221316442896099</v>
      </c>
      <c r="AA11" s="2" t="str">
        <f>+IFERROR(RANK(B11,(B$6,B$15,B$22,B$26,B$27,B$28,B$33),0),"")</f>
        <v/>
      </c>
      <c r="AB11" s="2" t="str">
        <f>+IFERROR(RANK(C11,(C$6,C$15,C$22,C$26,C$27,C$28,C$33),0),"")</f>
        <v/>
      </c>
      <c r="AC11" s="2" t="str">
        <f>+IFERROR(RANK(D11,(D$6,D$15,D$22,D$26,D$27,D$28,D$33),0),"")</f>
        <v/>
      </c>
      <c r="AD11" s="2" t="str">
        <f>+IFERROR(RANK(E11,(E$6,E$15,E$22,E$26,E$27,E$28,E$33),0),"")</f>
        <v/>
      </c>
      <c r="AE11" s="2" t="str">
        <f>+IFERROR(RANK(F11,(F$6,F$15,F$22,F$26,F$27,F$28,F$33),0),"")</f>
        <v/>
      </c>
      <c r="AF11" s="2" t="str">
        <f>+IFERROR(RANK(G11,(G$6,G$15,G$22,G$26,G$27,G$28,G$33),0),"")</f>
        <v/>
      </c>
      <c r="AG11" s="2" t="str">
        <f>+IFERROR(RANK(H11,(H$6,H$15,H$22,H$26,H$27,H$28,H$33),0),"")</f>
        <v/>
      </c>
      <c r="AH11" s="2" t="str">
        <f>+IFERROR(RANK(I11,(I$6,I$15,I$22,I$26,I$27,I$28,I$33),0),"")</f>
        <v/>
      </c>
      <c r="AI11" s="2" t="str">
        <f>+IFERROR(RANK(J11,(J$6,J$15,J$22,J$26,J$27,J$28,J$33),0),"")</f>
        <v/>
      </c>
      <c r="AJ11" s="2" t="str">
        <f>+IFERROR(RANK(K11,(K$6,K$15,K$22,K$26,K$27,K$28,K$33),0),"")</f>
        <v/>
      </c>
      <c r="AK11" s="2" t="str">
        <f>+IFERROR(RANK(L11,(L$6,L$15,L$22,L$26,L$27,L$28,L$33),0),"")</f>
        <v/>
      </c>
    </row>
    <row r="12" spans="1:43" ht="18" customHeight="1">
      <c r="A12" s="572" t="s">
        <v>502</v>
      </c>
      <c r="B12" s="646">
        <v>12069</v>
      </c>
      <c r="C12" s="646">
        <v>12343</v>
      </c>
      <c r="D12" s="646">
        <v>12490</v>
      </c>
      <c r="E12" s="646">
        <v>12646</v>
      </c>
      <c r="F12" s="646">
        <v>12900</v>
      </c>
      <c r="G12" s="646">
        <v>12658</v>
      </c>
      <c r="H12" s="646">
        <v>12707</v>
      </c>
      <c r="I12" s="646">
        <v>12875</v>
      </c>
      <c r="J12" s="646">
        <v>13294</v>
      </c>
      <c r="K12" s="646">
        <v>13558</v>
      </c>
      <c r="L12" s="646">
        <v>13342</v>
      </c>
      <c r="N12" s="559">
        <f t="shared" si="5"/>
        <v>10.547684149473868</v>
      </c>
      <c r="O12" s="419">
        <f t="shared" si="6"/>
        <v>1273</v>
      </c>
      <c r="P12" s="559">
        <f t="shared" si="7"/>
        <v>4.4670054519007616</v>
      </c>
      <c r="Q12" s="559">
        <f t="shared" si="8"/>
        <v>4.5202519592763517</v>
      </c>
      <c r="R12" s="559">
        <f t="shared" si="9"/>
        <v>4.519925307239121</v>
      </c>
      <c r="S12" s="559">
        <f t="shared" si="10"/>
        <v>4.5295156362490161</v>
      </c>
      <c r="T12" s="559">
        <f t="shared" si="11"/>
        <v>4.5706430079791378</v>
      </c>
      <c r="U12" s="559">
        <f t="shared" si="12"/>
        <v>4.5903731990092549</v>
      </c>
      <c r="V12" s="559">
        <f t="shared" si="13"/>
        <v>4.5767736033222723</v>
      </c>
      <c r="W12" s="559">
        <f t="shared" si="14"/>
        <v>4.7368343598007367</v>
      </c>
      <c r="X12" s="559">
        <f t="shared" si="15"/>
        <v>4.6668538931404902</v>
      </c>
      <c r="Y12" s="559">
        <f t="shared" si="16"/>
        <v>4.6550753299548129</v>
      </c>
      <c r="Z12" s="559">
        <f t="shared" si="17"/>
        <v>4.6203980426855251</v>
      </c>
      <c r="AA12" s="2" t="str">
        <f>+IFERROR(RANK(B12,(B$6,B$15,B$22,B$26,B$27,B$28,B$33),0),"")</f>
        <v/>
      </c>
      <c r="AB12" s="2" t="str">
        <f>+IFERROR(RANK(C12,(C$6,C$15,C$22,C$26,C$27,C$28,C$33),0),"")</f>
        <v/>
      </c>
      <c r="AC12" s="2" t="str">
        <f>+IFERROR(RANK(D12,(D$6,D$15,D$22,D$26,D$27,D$28,D$33),0),"")</f>
        <v/>
      </c>
      <c r="AD12" s="2" t="str">
        <f>+IFERROR(RANK(E12,(E$6,E$15,E$22,E$26,E$27,E$28,E$33),0),"")</f>
        <v/>
      </c>
      <c r="AE12" s="2" t="str">
        <f>+IFERROR(RANK(F12,(F$6,F$15,F$22,F$26,F$27,F$28,F$33),0),"")</f>
        <v/>
      </c>
      <c r="AF12" s="2" t="str">
        <f>+IFERROR(RANK(G12,(G$6,G$15,G$22,G$26,G$27,G$28,G$33),0),"")</f>
        <v/>
      </c>
      <c r="AG12" s="2" t="str">
        <f>+IFERROR(RANK(H12,(H$6,H$15,H$22,H$26,H$27,H$28,H$33),0),"")</f>
        <v/>
      </c>
      <c r="AH12" s="2" t="str">
        <f>+IFERROR(RANK(I12,(I$6,I$15,I$22,I$26,I$27,I$28,I$33),0),"")</f>
        <v/>
      </c>
      <c r="AI12" s="2" t="str">
        <f>+IFERROR(RANK(J12,(J$6,J$15,J$22,J$26,J$27,J$28,J$33),0),"")</f>
        <v/>
      </c>
      <c r="AJ12" s="2" t="str">
        <f>+IFERROR(RANK(K12,(K$6,K$15,K$22,K$26,K$27,K$28,K$33),0),"")</f>
        <v/>
      </c>
      <c r="AK12" s="2" t="str">
        <f>+IFERROR(RANK(L12,(L$6,L$15,L$22,L$26,L$27,L$28,L$33),0),"")</f>
        <v/>
      </c>
    </row>
    <row r="13" spans="1:43" ht="18" customHeight="1">
      <c r="A13" s="572" t="s">
        <v>503</v>
      </c>
      <c r="B13" s="646">
        <v>5153</v>
      </c>
      <c r="C13" s="646">
        <v>5162</v>
      </c>
      <c r="D13" s="646">
        <v>5182</v>
      </c>
      <c r="E13" s="646">
        <v>5243</v>
      </c>
      <c r="F13" s="646">
        <v>5223</v>
      </c>
      <c r="G13" s="646">
        <v>5096</v>
      </c>
      <c r="H13" s="646">
        <v>5195</v>
      </c>
      <c r="I13" s="646">
        <v>5144</v>
      </c>
      <c r="J13" s="646">
        <v>5301</v>
      </c>
      <c r="K13" s="646">
        <v>5412.9999999999991</v>
      </c>
      <c r="L13" s="646">
        <v>5377</v>
      </c>
      <c r="N13" s="559">
        <f t="shared" si="5"/>
        <v>4.3469823403842422</v>
      </c>
      <c r="O13" s="419">
        <f t="shared" si="6"/>
        <v>224</v>
      </c>
      <c r="P13" s="559">
        <f t="shared" si="7"/>
        <v>1.9072399613592366</v>
      </c>
      <c r="Q13" s="559">
        <f t="shared" si="8"/>
        <v>1.8904270123782327</v>
      </c>
      <c r="R13" s="559">
        <f t="shared" si="9"/>
        <v>1.8752804597368395</v>
      </c>
      <c r="S13" s="559">
        <f t="shared" si="10"/>
        <v>1.8779258643724173</v>
      </c>
      <c r="T13" s="559">
        <f t="shared" si="11"/>
        <v>1.850578948114344</v>
      </c>
      <c r="U13" s="559">
        <f t="shared" si="12"/>
        <v>1.8480440687431794</v>
      </c>
      <c r="V13" s="559">
        <f t="shared" si="13"/>
        <v>1.8711213401478872</v>
      </c>
      <c r="W13" s="559">
        <f t="shared" si="14"/>
        <v>1.8925262871312616</v>
      </c>
      <c r="X13" s="559">
        <f t="shared" si="15"/>
        <v>1.8609141332584427</v>
      </c>
      <c r="Y13" s="559">
        <f t="shared" si="16"/>
        <v>1.8585280101080837</v>
      </c>
      <c r="Z13" s="559">
        <f t="shared" si="17"/>
        <v>1.8620806682296558</v>
      </c>
      <c r="AA13" s="2" t="str">
        <f>+IFERROR(RANK(B13,(B$6,B$15,B$22,B$26,B$27,B$28,B$33),0),"")</f>
        <v/>
      </c>
      <c r="AB13" s="2" t="str">
        <f>+IFERROR(RANK(C13,(C$6,C$15,C$22,C$26,C$27,C$28,C$33),0),"")</f>
        <v/>
      </c>
      <c r="AC13" s="2" t="str">
        <f>+IFERROR(RANK(D13,(D$6,D$15,D$22,D$26,D$27,D$28,D$33),0),"")</f>
        <v/>
      </c>
      <c r="AD13" s="2" t="str">
        <f>+IFERROR(RANK(E13,(E$6,E$15,E$22,E$26,E$27,E$28,E$33),0),"")</f>
        <v/>
      </c>
      <c r="AE13" s="2" t="str">
        <f>+IFERROR(RANK(F13,(F$6,F$15,F$22,F$26,F$27,F$28,F$33),0),"")</f>
        <v/>
      </c>
      <c r="AF13" s="2" t="str">
        <f>+IFERROR(RANK(G13,(G$6,G$15,G$22,G$26,G$27,G$28,G$33),0),"")</f>
        <v/>
      </c>
      <c r="AG13" s="2" t="str">
        <f>+IFERROR(RANK(H13,(H$6,H$15,H$22,H$26,H$27,H$28,H$33),0),"")</f>
        <v/>
      </c>
      <c r="AH13" s="2" t="str">
        <f>+IFERROR(RANK(I13,(I$6,I$15,I$22,I$26,I$27,I$28,I$33),0),"")</f>
        <v/>
      </c>
      <c r="AI13" s="2" t="str">
        <f>+IFERROR(RANK(J13,(J$6,J$15,J$22,J$26,J$27,J$28,J$33),0),"")</f>
        <v/>
      </c>
      <c r="AJ13" s="2" t="str">
        <f>+IFERROR(RANK(K13,(K$6,K$15,K$22,K$26,K$27,K$28,K$33),0),"")</f>
        <v/>
      </c>
      <c r="AK13" s="2" t="str">
        <f>+IFERROR(RANK(L13,(L$6,L$15,L$22,L$26,L$27,L$28,L$33),0),"")</f>
        <v/>
      </c>
    </row>
    <row r="14" spans="1:43" ht="18" customHeight="1">
      <c r="A14" s="572" t="s">
        <v>504</v>
      </c>
      <c r="B14" s="646">
        <v>3193</v>
      </c>
      <c r="C14" s="646">
        <v>3199</v>
      </c>
      <c r="D14" s="646">
        <v>3238</v>
      </c>
      <c r="E14" s="646">
        <v>3275</v>
      </c>
      <c r="F14" s="646">
        <v>3282</v>
      </c>
      <c r="G14" s="646">
        <v>3046</v>
      </c>
      <c r="H14" s="646">
        <v>3072</v>
      </c>
      <c r="I14" s="646">
        <v>3156</v>
      </c>
      <c r="J14" s="646">
        <v>3194</v>
      </c>
      <c r="K14" s="646">
        <v>3258</v>
      </c>
      <c r="L14" s="646">
        <v>3188</v>
      </c>
      <c r="N14" s="559">
        <f t="shared" si="5"/>
        <v>-0.15659254619480034</v>
      </c>
      <c r="O14" s="419">
        <f t="shared" si="6"/>
        <v>-5</v>
      </c>
      <c r="P14" s="559">
        <f t="shared" si="7"/>
        <v>1.1818003486551605</v>
      </c>
      <c r="Q14" s="559">
        <f t="shared" si="8"/>
        <v>1.1715373910495868</v>
      </c>
      <c r="R14" s="559">
        <f t="shared" si="9"/>
        <v>1.1717788746869715</v>
      </c>
      <c r="S14" s="559">
        <f t="shared" si="10"/>
        <v>1.1730320819797191</v>
      </c>
      <c r="T14" s="559">
        <f t="shared" si="11"/>
        <v>1.1628566164486458</v>
      </c>
      <c r="U14" s="559">
        <f t="shared" si="12"/>
        <v>1.1046197475258486</v>
      </c>
      <c r="V14" s="559">
        <f t="shared" si="13"/>
        <v>1.1064648232789815</v>
      </c>
      <c r="W14" s="559">
        <f t="shared" si="14"/>
        <v>1.1611222710315439</v>
      </c>
      <c r="X14" s="559">
        <f t="shared" si="15"/>
        <v>1.1212525451098785</v>
      </c>
      <c r="Y14" s="559">
        <f t="shared" si="16"/>
        <v>1.1186189279386916</v>
      </c>
      <c r="Z14" s="559">
        <f t="shared" si="17"/>
        <v>1.1040195592925688</v>
      </c>
      <c r="AA14" s="2" t="str">
        <f>+IFERROR(RANK(B14,(B$6,B$15,B$22,B$26,B$27,B$28,B$33),0),"")</f>
        <v/>
      </c>
      <c r="AB14" s="2" t="str">
        <f>+IFERROR(RANK(C14,(C$6,C$15,C$22,C$26,C$27,C$28,C$33),0),"")</f>
        <v/>
      </c>
      <c r="AC14" s="2" t="str">
        <f>+IFERROR(RANK(D14,(D$6,D$15,D$22,D$26,D$27,D$28,D$33),0),"")</f>
        <v/>
      </c>
      <c r="AD14" s="2" t="str">
        <f>+IFERROR(RANK(E14,(E$6,E$15,E$22,E$26,E$27,E$28,E$33),0),"")</f>
        <v/>
      </c>
      <c r="AE14" s="2" t="str">
        <f>+IFERROR(RANK(F14,(F$6,F$15,F$22,F$26,F$27,F$28,F$33),0),"")</f>
        <v/>
      </c>
      <c r="AF14" s="2" t="str">
        <f>+IFERROR(RANK(G14,(G$6,G$15,G$22,G$26,G$27,G$28,G$33),0),"")</f>
        <v/>
      </c>
      <c r="AG14" s="2" t="str">
        <f>+IFERROR(RANK(H14,(H$6,H$15,H$22,H$26,H$27,H$28,H$33),0),"")</f>
        <v/>
      </c>
      <c r="AH14" s="2" t="str">
        <f>+IFERROR(RANK(I14,(I$6,I$15,I$22,I$26,I$27,I$28,I$33),0),"")</f>
        <v/>
      </c>
      <c r="AI14" s="2" t="str">
        <f>+IFERROR(RANK(J14,(J$6,J$15,J$22,J$26,J$27,J$28,J$33),0),"")</f>
        <v/>
      </c>
      <c r="AJ14" s="2" t="str">
        <f>+IFERROR(RANK(K14,(K$6,K$15,K$22,K$26,K$27,K$28,K$33),0),"")</f>
        <v/>
      </c>
      <c r="AK14" s="2" t="str">
        <f>+IFERROR(RANK(L14,(L$6,L$15,L$22,L$26,L$27,L$28,L$33),0),"")</f>
        <v/>
      </c>
    </row>
    <row r="15" spans="1:43" ht="20.100000000000001" customHeight="1">
      <c r="A15" s="15" t="s">
        <v>505</v>
      </c>
      <c r="B15" s="328">
        <v>62216</v>
      </c>
      <c r="C15" s="328">
        <v>62691</v>
      </c>
      <c r="D15" s="328">
        <v>63268</v>
      </c>
      <c r="E15" s="328">
        <v>63627</v>
      </c>
      <c r="F15" s="328">
        <v>63755</v>
      </c>
      <c r="G15" s="328">
        <v>62250</v>
      </c>
      <c r="H15" s="328">
        <v>62346</v>
      </c>
      <c r="I15" s="328">
        <v>61420</v>
      </c>
      <c r="J15" s="328">
        <v>63715</v>
      </c>
      <c r="K15" s="328">
        <v>64580.000000000007</v>
      </c>
      <c r="L15" s="328">
        <v>64160.000000000015</v>
      </c>
      <c r="N15" s="559">
        <f t="shared" si="5"/>
        <v>3.1245981741031548</v>
      </c>
      <c r="O15" s="419">
        <f t="shared" si="6"/>
        <v>1944.0000000000146</v>
      </c>
      <c r="P15" s="559">
        <f t="shared" si="7"/>
        <v>23.027525991835098</v>
      </c>
      <c r="Q15" s="559">
        <f t="shared" si="8"/>
        <v>22.958690397714797</v>
      </c>
      <c r="R15" s="559">
        <f t="shared" si="9"/>
        <v>22.895647264884285</v>
      </c>
      <c r="S15" s="559">
        <f t="shared" si="10"/>
        <v>22.789774742022466</v>
      </c>
      <c r="T15" s="559">
        <f t="shared" si="11"/>
        <v>22.589251548349608</v>
      </c>
      <c r="U15" s="559">
        <f t="shared" si="12"/>
        <v>22.57471414428236</v>
      </c>
      <c r="V15" s="559">
        <f t="shared" si="13"/>
        <v>22.455617145882613</v>
      </c>
      <c r="W15" s="559">
        <f t="shared" si="14"/>
        <v>22.59699933040476</v>
      </c>
      <c r="X15" s="559">
        <f t="shared" si="15"/>
        <v>22.367127711858458</v>
      </c>
      <c r="Y15" s="559">
        <f t="shared" si="16"/>
        <v>22.173238295359337</v>
      </c>
      <c r="Z15" s="559">
        <f t="shared" si="17"/>
        <v>22.218913087895622</v>
      </c>
      <c r="AA15" s="2">
        <f>+IFERROR(RANK(B15,(B$6,B$15,B$22,B$26,B$27,B$28,B$33),0),"")</f>
        <v>2</v>
      </c>
      <c r="AB15" s="2">
        <f>+IFERROR(RANK(C15,(C$6,C$15,C$22,C$26,C$27,C$28,C$33),0),"")</f>
        <v>2</v>
      </c>
      <c r="AC15" s="2">
        <f>+IFERROR(RANK(D15,(D$6,D$15,D$22,D$26,D$27,D$28,D$33),0),"")</f>
        <v>2</v>
      </c>
      <c r="AD15" s="2">
        <f>+IFERROR(RANK(E15,(E$6,E$15,E$22,E$26,E$27,E$28,E$33),0),"")</f>
        <v>2</v>
      </c>
      <c r="AE15" s="2">
        <f>+IFERROR(RANK(F15,(F$6,F$15,F$22,F$26,F$27,F$28,F$33),0),"")</f>
        <v>2</v>
      </c>
      <c r="AF15" s="2">
        <f>+IFERROR(RANK(G15,(G$6,G$15,G$22,G$26,G$27,G$28,G$33),0),"")</f>
        <v>2</v>
      </c>
      <c r="AG15" s="2">
        <f>+IFERROR(RANK(H15,(H$6,H$15,H$22,H$26,H$27,H$28,H$33),0),"")</f>
        <v>2</v>
      </c>
      <c r="AH15" s="2">
        <f>+IFERROR(RANK(I15,(I$6,I$15,I$22,I$26,I$27,I$28,I$33),0),"")</f>
        <v>2</v>
      </c>
      <c r="AI15" s="2">
        <f>+IFERROR(RANK(J15,(J$6,J$15,J$22,J$26,J$27,J$28,J$33),0),"")</f>
        <v>2</v>
      </c>
      <c r="AJ15" s="2">
        <f>+IFERROR(RANK(K15,(K$6,K$15,K$22,K$26,K$27,K$28,K$33),0),"")</f>
        <v>2</v>
      </c>
      <c r="AK15" s="2">
        <f>+IFERROR(RANK(L15,(L$6,L$15,L$22,L$26,L$27,L$28,L$33),0),"")</f>
        <v>2</v>
      </c>
    </row>
    <row r="16" spans="1:43" ht="18" customHeight="1">
      <c r="A16" s="572" t="s">
        <v>513</v>
      </c>
      <c r="B16" s="646">
        <v>10433</v>
      </c>
      <c r="C16" s="646">
        <v>10563</v>
      </c>
      <c r="D16" s="646">
        <v>10676</v>
      </c>
      <c r="E16" s="646">
        <v>10940</v>
      </c>
      <c r="F16" s="646">
        <v>11025</v>
      </c>
      <c r="G16" s="646">
        <v>10864</v>
      </c>
      <c r="H16" s="646">
        <v>10952</v>
      </c>
      <c r="I16" s="646">
        <v>10812</v>
      </c>
      <c r="J16" s="646">
        <v>11295</v>
      </c>
      <c r="K16" s="646">
        <v>11504</v>
      </c>
      <c r="L16" s="646">
        <v>11570</v>
      </c>
      <c r="N16" s="559">
        <f t="shared" si="5"/>
        <v>10.898111760759122</v>
      </c>
      <c r="O16" s="419">
        <f t="shared" si="6"/>
        <v>1137</v>
      </c>
      <c r="P16" s="559">
        <f t="shared" si="7"/>
        <v>3.8614854486436863</v>
      </c>
      <c r="Q16" s="559">
        <f t="shared" si="8"/>
        <v>3.8683805756976506</v>
      </c>
      <c r="R16" s="559">
        <f t="shared" si="9"/>
        <v>3.8634685812718059</v>
      </c>
      <c r="S16" s="559">
        <f t="shared" si="10"/>
        <v>3.9184644204146948</v>
      </c>
      <c r="T16" s="559">
        <f t="shared" si="11"/>
        <v>3.9063053614705425</v>
      </c>
      <c r="U16" s="559">
        <f t="shared" si="12"/>
        <v>3.9397862564415029</v>
      </c>
      <c r="V16" s="559">
        <f t="shared" si="13"/>
        <v>3.9446623517419943</v>
      </c>
      <c r="W16" s="559">
        <f t="shared" si="14"/>
        <v>3.9778371338381024</v>
      </c>
      <c r="X16" s="559">
        <f t="shared" si="15"/>
        <v>3.9651056659411639</v>
      </c>
      <c r="Y16" s="559">
        <f t="shared" si="16"/>
        <v>3.9498441212420836</v>
      </c>
      <c r="Z16" s="559">
        <f t="shared" si="17"/>
        <v>4.0067460166295552</v>
      </c>
      <c r="AA16" s="2" t="str">
        <f>+IFERROR(RANK(B16,(B$6,B$15,B$22,B$26,B$27,B$28,B$33),0),"")</f>
        <v/>
      </c>
      <c r="AB16" s="2" t="str">
        <f>+IFERROR(RANK(C16,(C$6,C$15,C$22,C$26,C$27,C$28,C$33),0),"")</f>
        <v/>
      </c>
      <c r="AC16" s="2" t="str">
        <f>+IFERROR(RANK(D16,(D$6,D$15,D$22,D$26,D$27,D$28,D$33),0),"")</f>
        <v/>
      </c>
      <c r="AD16" s="2" t="str">
        <f>+IFERROR(RANK(E16,(E$6,E$15,E$22,E$26,E$27,E$28,E$33),0),"")</f>
        <v/>
      </c>
      <c r="AE16" s="2" t="str">
        <f>+IFERROR(RANK(F16,(F$6,F$15,F$22,F$26,F$27,F$28,F$33),0),"")</f>
        <v/>
      </c>
      <c r="AF16" s="2" t="str">
        <f>+IFERROR(RANK(G16,(G$6,G$15,G$22,G$26,G$27,G$28,G$33),0),"")</f>
        <v/>
      </c>
      <c r="AG16" s="2" t="str">
        <f>+IFERROR(RANK(H16,(H$6,H$15,H$22,H$26,H$27,H$28,H$33),0),"")</f>
        <v/>
      </c>
      <c r="AH16" s="2" t="str">
        <f>+IFERROR(RANK(I16,(I$6,I$15,I$22,I$26,I$27,I$28,I$33),0),"")</f>
        <v/>
      </c>
      <c r="AI16" s="2" t="str">
        <f>+IFERROR(RANK(J16,(J$6,J$15,J$22,J$26,J$27,J$28,J$33),0),"")</f>
        <v/>
      </c>
      <c r="AJ16" s="2" t="str">
        <f>+IFERROR(RANK(K16,(K$6,K$15,K$22,K$26,K$27,K$28,K$33),0),"")</f>
        <v/>
      </c>
      <c r="AK16" s="2" t="str">
        <f>+IFERROR(RANK(L16,(L$6,L$15,L$22,L$26,L$27,L$28,L$33),0),"")</f>
        <v/>
      </c>
    </row>
    <row r="17" spans="1:43" ht="18" customHeight="1">
      <c r="A17" s="572" t="s">
        <v>506</v>
      </c>
      <c r="B17" s="646">
        <v>9205</v>
      </c>
      <c r="C17" s="646">
        <v>9320</v>
      </c>
      <c r="D17" s="646">
        <v>9561</v>
      </c>
      <c r="E17" s="646">
        <v>9662</v>
      </c>
      <c r="F17" s="646">
        <v>9814</v>
      </c>
      <c r="G17" s="646">
        <v>9682</v>
      </c>
      <c r="H17" s="646">
        <v>9658</v>
      </c>
      <c r="I17" s="646">
        <v>9380</v>
      </c>
      <c r="J17" s="646">
        <v>9676</v>
      </c>
      <c r="K17" s="646">
        <v>9766</v>
      </c>
      <c r="L17" s="646">
        <v>9773</v>
      </c>
      <c r="N17" s="559">
        <f t="shared" si="5"/>
        <v>6.1705594785442797</v>
      </c>
      <c r="O17" s="419">
        <f t="shared" si="6"/>
        <v>568</v>
      </c>
      <c r="P17" s="559">
        <f t="shared" si="7"/>
        <v>3.4069753239494998</v>
      </c>
      <c r="Q17" s="559">
        <f t="shared" si="8"/>
        <v>3.4131692668278051</v>
      </c>
      <c r="R17" s="559">
        <f t="shared" si="9"/>
        <v>3.4599684437560638</v>
      </c>
      <c r="S17" s="559">
        <f t="shared" si="10"/>
        <v>3.4607132751413876</v>
      </c>
      <c r="T17" s="559">
        <f t="shared" si="11"/>
        <v>3.4772318201788575</v>
      </c>
      <c r="U17" s="559">
        <f t="shared" si="12"/>
        <v>3.5111386722079008</v>
      </c>
      <c r="V17" s="559">
        <f t="shared" si="13"/>
        <v>3.4785928591238298</v>
      </c>
      <c r="W17" s="559">
        <f t="shared" si="14"/>
        <v>3.4509907801888091</v>
      </c>
      <c r="X17" s="559">
        <f t="shared" si="15"/>
        <v>3.3967563013410098</v>
      </c>
      <c r="Y17" s="559">
        <f t="shared" si="16"/>
        <v>3.3531100215620815</v>
      </c>
      <c r="Z17" s="559">
        <f t="shared" si="17"/>
        <v>3.3844363716958203</v>
      </c>
      <c r="AA17" s="2" t="str">
        <f>+IFERROR(RANK(B17,(B$6,B$15,B$22,B$26,B$27,B$28,B$33),0),"")</f>
        <v/>
      </c>
      <c r="AB17" s="2" t="str">
        <f>+IFERROR(RANK(C17,(C$6,C$15,C$22,C$26,C$27,C$28,C$33),0),"")</f>
        <v/>
      </c>
      <c r="AC17" s="2" t="str">
        <f>+IFERROR(RANK(D17,(D$6,D$15,D$22,D$26,D$27,D$28,D$33),0),"")</f>
        <v/>
      </c>
      <c r="AD17" s="2" t="str">
        <f>+IFERROR(RANK(E17,(E$6,E$15,E$22,E$26,E$27,E$28,E$33),0),"")</f>
        <v/>
      </c>
      <c r="AE17" s="2" t="str">
        <f>+IFERROR(RANK(F17,(F$6,F$15,F$22,F$26,F$27,F$28,F$33),0),"")</f>
        <v/>
      </c>
      <c r="AF17" s="2" t="str">
        <f>+IFERROR(RANK(G17,(G$6,G$15,G$22,G$26,G$27,G$28,G$33),0),"")</f>
        <v/>
      </c>
      <c r="AG17" s="2" t="str">
        <f>+IFERROR(RANK(H17,(H$6,H$15,H$22,H$26,H$27,H$28,H$33),0),"")</f>
        <v/>
      </c>
      <c r="AH17" s="2" t="str">
        <f>+IFERROR(RANK(I17,(I$6,I$15,I$22,I$26,I$27,I$28,I$33),0),"")</f>
        <v/>
      </c>
      <c r="AI17" s="2" t="str">
        <f>+IFERROR(RANK(J17,(J$6,J$15,J$22,J$26,J$27,J$28,J$33),0),"")</f>
        <v/>
      </c>
      <c r="AJ17" s="2" t="str">
        <f>+IFERROR(RANK(K17,(K$6,K$15,K$22,K$26,K$27,K$28,K$33),0),"")</f>
        <v/>
      </c>
      <c r="AK17" s="2" t="str">
        <f>+IFERROR(RANK(L17,(L$6,L$15,L$22,L$26,L$27,L$28,L$33),0),"")</f>
        <v/>
      </c>
    </row>
    <row r="18" spans="1:43" ht="18" customHeight="1">
      <c r="A18" s="572" t="s">
        <v>507</v>
      </c>
      <c r="B18" s="646">
        <v>10830</v>
      </c>
      <c r="C18" s="646">
        <v>10841</v>
      </c>
      <c r="D18" s="646">
        <v>10913</v>
      </c>
      <c r="E18" s="646">
        <v>10920</v>
      </c>
      <c r="F18" s="646">
        <v>10935</v>
      </c>
      <c r="G18" s="646">
        <v>10620</v>
      </c>
      <c r="H18" s="646">
        <v>10718</v>
      </c>
      <c r="I18" s="646">
        <v>10509</v>
      </c>
      <c r="J18" s="646">
        <v>11014</v>
      </c>
      <c r="K18" s="646">
        <v>11047.999999999998</v>
      </c>
      <c r="L18" s="646">
        <v>10899</v>
      </c>
      <c r="N18" s="559">
        <f t="shared" si="5"/>
        <v>0.63711911357340334</v>
      </c>
      <c r="O18" s="419">
        <f t="shared" si="6"/>
        <v>69</v>
      </c>
      <c r="P18" s="559">
        <f t="shared" si="7"/>
        <v>4.0084239824413999</v>
      </c>
      <c r="Q18" s="559">
        <f t="shared" si="8"/>
        <v>3.9701897018970205</v>
      </c>
      <c r="R18" s="559">
        <f t="shared" si="9"/>
        <v>3.9492349782146139</v>
      </c>
      <c r="S18" s="559">
        <f t="shared" si="10"/>
        <v>3.9113008657155821</v>
      </c>
      <c r="T18" s="559">
        <f t="shared" si="11"/>
        <v>3.8744171544381296</v>
      </c>
      <c r="U18" s="559">
        <f t="shared" si="12"/>
        <v>3.8513006299161234</v>
      </c>
      <c r="V18" s="559">
        <f t="shared" si="13"/>
        <v>3.860380851531291</v>
      </c>
      <c r="W18" s="559">
        <f t="shared" si="14"/>
        <v>3.866360565991918</v>
      </c>
      <c r="X18" s="559">
        <f t="shared" si="15"/>
        <v>3.8664607175454608</v>
      </c>
      <c r="Y18" s="559">
        <f t="shared" si="16"/>
        <v>3.7932786727644756</v>
      </c>
      <c r="Z18" s="559">
        <f t="shared" si="17"/>
        <v>3.7743755259503478</v>
      </c>
      <c r="AA18" s="2" t="str">
        <f>+IFERROR(RANK(B18,(B$6,B$15,B$22,B$26,B$27,B$28,B$33),0),"")</f>
        <v/>
      </c>
      <c r="AB18" s="2" t="str">
        <f>+IFERROR(RANK(C18,(C$6,C$15,C$22,C$26,C$27,C$28,C$33),0),"")</f>
        <v/>
      </c>
      <c r="AC18" s="2" t="str">
        <f>+IFERROR(RANK(D18,(D$6,D$15,D$22,D$26,D$27,D$28,D$33),0),"")</f>
        <v/>
      </c>
      <c r="AD18" s="2" t="str">
        <f>+IFERROR(RANK(E18,(E$6,E$15,E$22,E$26,E$27,E$28,E$33),0),"")</f>
        <v/>
      </c>
      <c r="AE18" s="2" t="str">
        <f>+IFERROR(RANK(F18,(F$6,F$15,F$22,F$26,F$27,F$28,F$33),0),"")</f>
        <v/>
      </c>
      <c r="AF18" s="2" t="str">
        <f>+IFERROR(RANK(G18,(G$6,G$15,G$22,G$26,G$27,G$28,G$33),0),"")</f>
        <v/>
      </c>
      <c r="AG18" s="2" t="str">
        <f>+IFERROR(RANK(H18,(H$6,H$15,H$22,H$26,H$27,H$28,H$33),0),"")</f>
        <v/>
      </c>
      <c r="AH18" s="2" t="str">
        <f>+IFERROR(RANK(I18,(I$6,I$15,I$22,I$26,I$27,I$28,I$33),0),"")</f>
        <v/>
      </c>
      <c r="AI18" s="2" t="str">
        <f>+IFERROR(RANK(J18,(J$6,J$15,J$22,J$26,J$27,J$28,J$33),0),"")</f>
        <v/>
      </c>
      <c r="AJ18" s="2" t="str">
        <f>+IFERROR(RANK(K18,(K$6,K$15,K$22,K$26,K$27,K$28,K$33),0),"")</f>
        <v/>
      </c>
      <c r="AK18" s="2" t="str">
        <f>+IFERROR(RANK(L18,(L$6,L$15,L$22,L$26,L$27,L$28,L$33),0),"")</f>
        <v/>
      </c>
    </row>
    <row r="19" spans="1:43" ht="18" customHeight="1">
      <c r="A19" s="572" t="s">
        <v>508</v>
      </c>
      <c r="B19" s="646">
        <v>10176</v>
      </c>
      <c r="C19" s="646">
        <v>10214</v>
      </c>
      <c r="D19" s="646">
        <v>10313</v>
      </c>
      <c r="E19" s="646">
        <v>10330</v>
      </c>
      <c r="F19" s="646">
        <v>10275</v>
      </c>
      <c r="G19" s="646">
        <v>9997</v>
      </c>
      <c r="H19" s="646">
        <v>9987</v>
      </c>
      <c r="I19" s="646">
        <v>9844</v>
      </c>
      <c r="J19" s="646">
        <v>10184</v>
      </c>
      <c r="K19" s="646">
        <v>10426</v>
      </c>
      <c r="L19" s="646">
        <v>10282.999999999996</v>
      </c>
      <c r="N19" s="559">
        <f t="shared" si="5"/>
        <v>1.0514937106917976</v>
      </c>
      <c r="O19" s="419">
        <f t="shared" si="6"/>
        <v>106.99999999999636</v>
      </c>
      <c r="P19" s="559">
        <f t="shared" si="7"/>
        <v>3.7663640300391212</v>
      </c>
      <c r="Q19" s="559">
        <f t="shared" si="8"/>
        <v>3.7405698381308152</v>
      </c>
      <c r="R19" s="559">
        <f t="shared" si="9"/>
        <v>3.732104859372062</v>
      </c>
      <c r="S19" s="559">
        <f t="shared" si="10"/>
        <v>3.6999760020917547</v>
      </c>
      <c r="T19" s="559">
        <f t="shared" si="11"/>
        <v>3.6405703028671041</v>
      </c>
      <c r="U19" s="559">
        <f t="shared" si="12"/>
        <v>3.6253721654681246</v>
      </c>
      <c r="V19" s="559">
        <f t="shared" si="13"/>
        <v>3.5970912077106738</v>
      </c>
      <c r="W19" s="559">
        <f t="shared" si="14"/>
        <v>3.621700771874055</v>
      </c>
      <c r="X19" s="559">
        <f t="shared" si="15"/>
        <v>3.5750895176577968</v>
      </c>
      <c r="Y19" s="559">
        <f t="shared" si="16"/>
        <v>3.5797179075165126</v>
      </c>
      <c r="Z19" s="559">
        <f t="shared" si="17"/>
        <v>3.5610517968022215</v>
      </c>
      <c r="AA19" s="2" t="str">
        <f>+IFERROR(RANK(B19,(B$6,B$15,B$22,B$26,B$27,B$28,B$33),0),"")</f>
        <v/>
      </c>
      <c r="AB19" s="2" t="str">
        <f>+IFERROR(RANK(C19,(C$6,C$15,C$22,C$26,C$27,C$28,C$33),0),"")</f>
        <v/>
      </c>
      <c r="AC19" s="2" t="str">
        <f>+IFERROR(RANK(D19,(D$6,D$15,D$22,D$26,D$27,D$28,D$33),0),"")</f>
        <v/>
      </c>
      <c r="AD19" s="2" t="str">
        <f>+IFERROR(RANK(E19,(E$6,E$15,E$22,E$26,E$27,E$28,E$33),0),"")</f>
        <v/>
      </c>
      <c r="AE19" s="2" t="str">
        <f>+IFERROR(RANK(F19,(F$6,F$15,F$22,F$26,F$27,F$28,F$33),0),"")</f>
        <v/>
      </c>
      <c r="AF19" s="2" t="str">
        <f>+IFERROR(RANK(G19,(G$6,G$15,G$22,G$26,G$27,G$28,G$33),0),"")</f>
        <v/>
      </c>
      <c r="AG19" s="2" t="str">
        <f>+IFERROR(RANK(H19,(H$6,H$15,H$22,H$26,H$27,H$28,H$33),0),"")</f>
        <v/>
      </c>
      <c r="AH19" s="2" t="str">
        <f>+IFERROR(RANK(I19,(I$6,I$15,I$22,I$26,I$27,I$28,I$33),0),"")</f>
        <v/>
      </c>
      <c r="AI19" s="2" t="str">
        <f>+IFERROR(RANK(J19,(J$6,J$15,J$22,J$26,J$27,J$28,J$33),0),"")</f>
        <v/>
      </c>
      <c r="AJ19" s="2" t="str">
        <f>+IFERROR(RANK(K19,(K$6,K$15,K$22,K$26,K$27,K$28,K$33),0),"")</f>
        <v/>
      </c>
      <c r="AK19" s="2" t="str">
        <f>+IFERROR(RANK(L19,(L$6,L$15,L$22,L$26,L$27,L$28,L$33),0),"")</f>
        <v/>
      </c>
    </row>
    <row r="20" spans="1:43" ht="18" customHeight="1">
      <c r="A20" s="572" t="s">
        <v>509</v>
      </c>
      <c r="B20" s="646">
        <v>6859</v>
      </c>
      <c r="C20" s="646">
        <v>6980</v>
      </c>
      <c r="D20" s="646">
        <v>7045</v>
      </c>
      <c r="E20" s="646">
        <v>7065</v>
      </c>
      <c r="F20" s="646">
        <v>7093</v>
      </c>
      <c r="G20" s="646">
        <v>6962</v>
      </c>
      <c r="H20" s="646">
        <v>6975</v>
      </c>
      <c r="I20" s="646">
        <v>6950</v>
      </c>
      <c r="J20" s="646">
        <v>7226</v>
      </c>
      <c r="K20" s="646">
        <v>7366</v>
      </c>
      <c r="L20" s="646">
        <v>7294</v>
      </c>
      <c r="N20" s="559">
        <f t="shared" si="5"/>
        <v>6.3420323662341405</v>
      </c>
      <c r="O20" s="419">
        <f t="shared" si="6"/>
        <v>435</v>
      </c>
      <c r="P20" s="559">
        <f t="shared" si="7"/>
        <v>2.5386685222128862</v>
      </c>
      <c r="Q20" s="559">
        <f t="shared" si="8"/>
        <v>2.5562147513367037</v>
      </c>
      <c r="R20" s="559">
        <f t="shared" si="9"/>
        <v>2.5494694787429628</v>
      </c>
      <c r="S20" s="559">
        <f t="shared" si="10"/>
        <v>2.5305256974615924</v>
      </c>
      <c r="T20" s="559">
        <f t="shared" si="11"/>
        <v>2.5131450275655833</v>
      </c>
      <c r="U20" s="559">
        <f t="shared" si="12"/>
        <v>2.5247415240561253</v>
      </c>
      <c r="V20" s="559">
        <f t="shared" si="13"/>
        <v>2.5122370255113595</v>
      </c>
      <c r="W20" s="559">
        <f t="shared" si="14"/>
        <v>2.556970780630301</v>
      </c>
      <c r="X20" s="559">
        <f t="shared" si="15"/>
        <v>2.5366846872147724</v>
      </c>
      <c r="Y20" s="559">
        <f t="shared" si="16"/>
        <v>2.5290813453641503</v>
      </c>
      <c r="Z20" s="559">
        <f t="shared" si="17"/>
        <v>2.5259468837766614</v>
      </c>
      <c r="AA20" s="2" t="str">
        <f>+IFERROR(RANK(B20,(B$6,B$15,B$22,B$26,B$27,B$28,B$33),0),"")</f>
        <v/>
      </c>
      <c r="AB20" s="2" t="str">
        <f>+IFERROR(RANK(C20,(C$6,C$15,C$22,C$26,C$27,C$28,C$33),0),"")</f>
        <v/>
      </c>
      <c r="AC20" s="2" t="str">
        <f>+IFERROR(RANK(D20,(D$6,D$15,D$22,D$26,D$27,D$28,D$33),0),"")</f>
        <v/>
      </c>
      <c r="AD20" s="2" t="str">
        <f>+IFERROR(RANK(E20,(E$6,E$15,E$22,E$26,E$27,E$28,E$33),0),"")</f>
        <v/>
      </c>
      <c r="AE20" s="2" t="str">
        <f>+IFERROR(RANK(F20,(F$6,F$15,F$22,F$26,F$27,F$28,F$33),0),"")</f>
        <v/>
      </c>
      <c r="AF20" s="2" t="str">
        <f>+IFERROR(RANK(G20,(G$6,G$15,G$22,G$26,G$27,G$28,G$33),0),"")</f>
        <v/>
      </c>
      <c r="AG20" s="2" t="str">
        <f>+IFERROR(RANK(H20,(H$6,H$15,H$22,H$26,H$27,H$28,H$33),0),"")</f>
        <v/>
      </c>
      <c r="AH20" s="2" t="str">
        <f>+IFERROR(RANK(I20,(I$6,I$15,I$22,I$26,I$27,I$28,I$33),0),"")</f>
        <v/>
      </c>
      <c r="AI20" s="2" t="str">
        <f>+IFERROR(RANK(J20,(J$6,J$15,J$22,J$26,J$27,J$28,J$33),0),"")</f>
        <v/>
      </c>
      <c r="AJ20" s="2" t="str">
        <f>+IFERROR(RANK(K20,(K$6,K$15,K$22,K$26,K$27,K$28,K$33),0),"")</f>
        <v/>
      </c>
      <c r="AK20" s="2" t="str">
        <f>+IFERROR(RANK(L20,(L$6,L$15,L$22,L$26,L$27,L$28,L$33),0),"")</f>
        <v/>
      </c>
    </row>
    <row r="21" spans="1:43" ht="18" customHeight="1">
      <c r="A21" s="572" t="s">
        <v>510</v>
      </c>
      <c r="B21" s="646">
        <v>2153</v>
      </c>
      <c r="C21" s="646">
        <v>2207</v>
      </c>
      <c r="D21" s="646">
        <v>2180</v>
      </c>
      <c r="E21" s="646">
        <v>2162</v>
      </c>
      <c r="F21" s="646">
        <v>2136</v>
      </c>
      <c r="G21" s="646">
        <v>2097</v>
      </c>
      <c r="H21" s="646">
        <v>2064</v>
      </c>
      <c r="I21" s="646">
        <v>2103</v>
      </c>
      <c r="J21" s="646">
        <v>2185</v>
      </c>
      <c r="K21" s="646">
        <v>2187</v>
      </c>
      <c r="L21" s="646">
        <v>2138</v>
      </c>
      <c r="N21" s="559">
        <f t="shared" si="5"/>
        <v>-0.69670227589410105</v>
      </c>
      <c r="O21" s="419">
        <f t="shared" si="6"/>
        <v>-15</v>
      </c>
      <c r="P21" s="559">
        <f t="shared" si="7"/>
        <v>0.79687320722034471</v>
      </c>
      <c r="Q21" s="559">
        <f t="shared" si="8"/>
        <v>0.80824727166190613</v>
      </c>
      <c r="R21" s="559">
        <f t="shared" si="9"/>
        <v>0.78890609846127169</v>
      </c>
      <c r="S21" s="559">
        <f t="shared" si="10"/>
        <v>0.77438026297409235</v>
      </c>
      <c r="T21" s="559">
        <f t="shared" si="11"/>
        <v>0.75681344690259211</v>
      </c>
      <c r="U21" s="559">
        <f t="shared" si="12"/>
        <v>0.76046868370377685</v>
      </c>
      <c r="V21" s="559">
        <f t="shared" si="13"/>
        <v>0.74340605314056574</v>
      </c>
      <c r="W21" s="559">
        <f t="shared" si="14"/>
        <v>0.77371360455619032</v>
      </c>
      <c r="X21" s="559">
        <f t="shared" si="15"/>
        <v>0.76704345994523626</v>
      </c>
      <c r="Y21" s="559">
        <f t="shared" si="16"/>
        <v>0.7508961311853648</v>
      </c>
      <c r="Z21" s="559">
        <f t="shared" si="17"/>
        <v>0.74039956642644678</v>
      </c>
      <c r="AA21" s="2" t="str">
        <f>+IFERROR(RANK(B21,(B$6,B$15,B$22,B$26,B$27,B$28,B$33),0),"")</f>
        <v/>
      </c>
      <c r="AB21" s="2" t="str">
        <f>+IFERROR(RANK(C21,(C$6,C$15,C$22,C$26,C$27,C$28,C$33),0),"")</f>
        <v/>
      </c>
      <c r="AC21" s="2" t="str">
        <f>+IFERROR(RANK(D21,(D$6,D$15,D$22,D$26,D$27,D$28,D$33),0),"")</f>
        <v/>
      </c>
      <c r="AD21" s="2" t="str">
        <f>+IFERROR(RANK(E21,(E$6,E$15,E$22,E$26,E$27,E$28,E$33),0),"")</f>
        <v/>
      </c>
      <c r="AE21" s="2" t="str">
        <f>+IFERROR(RANK(F21,(F$6,F$15,F$22,F$26,F$27,F$28,F$33),0),"")</f>
        <v/>
      </c>
      <c r="AF21" s="2" t="str">
        <f>+IFERROR(RANK(G21,(G$6,G$15,G$22,G$26,G$27,G$28,G$33),0),"")</f>
        <v/>
      </c>
      <c r="AG21" s="2" t="str">
        <f>+IFERROR(RANK(H21,(H$6,H$15,H$22,H$26,H$27,H$28,H$33),0),"")</f>
        <v/>
      </c>
      <c r="AH21" s="2" t="str">
        <f>+IFERROR(RANK(I21,(I$6,I$15,I$22,I$26,I$27,I$28,I$33),0),"")</f>
        <v/>
      </c>
      <c r="AI21" s="2" t="str">
        <f>+IFERROR(RANK(J21,(J$6,J$15,J$22,J$26,J$27,J$28,J$33),0),"")</f>
        <v/>
      </c>
      <c r="AJ21" s="2" t="str">
        <f>+IFERROR(RANK(K21,(K$6,K$15,K$22,K$26,K$27,K$28,K$33),0),"")</f>
        <v/>
      </c>
      <c r="AK21" s="2" t="str">
        <f>+IFERROR(RANK(L21,(L$6,L$15,L$22,L$26,L$27,L$28,L$33),0),"")</f>
        <v/>
      </c>
    </row>
    <row r="22" spans="1:43" ht="18" customHeight="1">
      <c r="A22" s="572" t="s">
        <v>514</v>
      </c>
      <c r="B22" s="646">
        <v>6552</v>
      </c>
      <c r="C22" s="646">
        <v>6587</v>
      </c>
      <c r="D22" s="646">
        <v>6577</v>
      </c>
      <c r="E22" s="646">
        <v>6522</v>
      </c>
      <c r="F22" s="646">
        <v>6510</v>
      </c>
      <c r="G22" s="646">
        <v>6352</v>
      </c>
      <c r="H22" s="646">
        <v>6333</v>
      </c>
      <c r="I22" s="646">
        <v>6297</v>
      </c>
      <c r="J22" s="646">
        <v>6448</v>
      </c>
      <c r="K22" s="646">
        <v>6565.9999999999991</v>
      </c>
      <c r="L22" s="646">
        <v>6526.9999999999991</v>
      </c>
      <c r="N22" s="559">
        <f t="shared" si="5"/>
        <v>-0.38156288156289131</v>
      </c>
      <c r="O22" s="419">
        <f t="shared" si="6"/>
        <v>-25.000000000000909</v>
      </c>
      <c r="P22" s="559">
        <f t="shared" si="7"/>
        <v>2.4250409910393396</v>
      </c>
      <c r="Q22" s="559">
        <f t="shared" si="8"/>
        <v>2.4122903391196084</v>
      </c>
      <c r="R22" s="559">
        <f t="shared" si="9"/>
        <v>2.3801079860457723</v>
      </c>
      <c r="S22" s="559">
        <f t="shared" si="10"/>
        <v>2.3360351873806802</v>
      </c>
      <c r="T22" s="559">
        <f t="shared" si="11"/>
        <v>2.306580308677844</v>
      </c>
      <c r="U22" s="559">
        <f t="shared" si="12"/>
        <v>2.3035274577426756</v>
      </c>
      <c r="V22" s="559">
        <f t="shared" si="13"/>
        <v>2.2810031659589161</v>
      </c>
      <c r="W22" s="559">
        <f t="shared" si="14"/>
        <v>2.3167259000905043</v>
      </c>
      <c r="X22" s="559">
        <f t="shared" si="15"/>
        <v>2.2635680685248896</v>
      </c>
      <c r="Y22" s="559">
        <f t="shared" si="16"/>
        <v>2.2544051199648396</v>
      </c>
      <c r="Z22" s="559">
        <f t="shared" si="17"/>
        <v>2.2603311366068368</v>
      </c>
      <c r="AA22" s="2">
        <f>+IFERROR(RANK(B22,(B$6,B$15,B$22,B$26,B$27,B$28,B$33),0),"")</f>
        <v>3</v>
      </c>
      <c r="AB22" s="2">
        <f>+IFERROR(RANK(C22,(C$6,C$15,C$22,C$26,C$27,C$28,C$33),0),"")</f>
        <v>3</v>
      </c>
      <c r="AC22" s="2">
        <f>+IFERROR(RANK(D22,(D$6,D$15,D$22,D$26,D$27,D$28,D$33),0),"")</f>
        <v>3</v>
      </c>
      <c r="AD22" s="2">
        <f>+IFERROR(RANK(E22,(E$6,E$15,E$22,E$26,E$27,E$28,E$33),0),"")</f>
        <v>3</v>
      </c>
      <c r="AE22" s="2">
        <f>+IFERROR(RANK(F22,(F$6,F$15,F$22,F$26,F$27,F$28,F$33),0),"")</f>
        <v>3</v>
      </c>
      <c r="AF22" s="2">
        <f>+IFERROR(RANK(G22,(G$6,G$15,G$22,G$26,G$27,G$28,G$33),0),"")</f>
        <v>3</v>
      </c>
      <c r="AG22" s="2">
        <f>+IFERROR(RANK(H22,(H$6,H$15,H$22,H$26,H$27,H$28,H$33),0),"")</f>
        <v>3</v>
      </c>
      <c r="AH22" s="2">
        <f>+IFERROR(RANK(I22,(I$6,I$15,I$22,I$26,I$27,I$28,I$33),0),"")</f>
        <v>3</v>
      </c>
      <c r="AI22" s="2">
        <f>+IFERROR(RANK(J22,(J$6,J$15,J$22,J$26,J$27,J$28,J$33),0),"")</f>
        <v>3</v>
      </c>
      <c r="AJ22" s="2">
        <f>+IFERROR(RANK(K22,(K$6,K$15,K$22,K$26,K$27,K$28,K$33),0),"")</f>
        <v>3</v>
      </c>
      <c r="AK22" s="2">
        <f>+IFERROR(RANK(L22,(L$6,L$15,L$22,L$26,L$27,L$28,L$33),0),"")</f>
        <v>3</v>
      </c>
    </row>
    <row r="23" spans="1:43" ht="18" customHeight="1">
      <c r="A23" s="572" t="s">
        <v>511</v>
      </c>
      <c r="B23" s="646">
        <v>6008</v>
      </c>
      <c r="C23" s="646">
        <v>5979</v>
      </c>
      <c r="D23" s="646">
        <v>6003</v>
      </c>
      <c r="E23" s="646">
        <v>6026</v>
      </c>
      <c r="F23" s="646">
        <v>5967</v>
      </c>
      <c r="G23" s="646">
        <v>5676</v>
      </c>
      <c r="H23" s="646">
        <v>5659</v>
      </c>
      <c r="I23" s="646">
        <v>5525</v>
      </c>
      <c r="J23" s="646">
        <v>5687</v>
      </c>
      <c r="K23" s="646">
        <v>5716.9999999999991</v>
      </c>
      <c r="L23" s="646">
        <v>5676</v>
      </c>
      <c r="N23" s="559">
        <f t="shared" si="5"/>
        <v>-5.5259653794940133</v>
      </c>
      <c r="O23" s="419">
        <f t="shared" si="6"/>
        <v>-332</v>
      </c>
      <c r="P23" s="559">
        <f t="shared" si="7"/>
        <v>2.2236944862888208</v>
      </c>
      <c r="Q23" s="559">
        <f t="shared" si="8"/>
        <v>2.1896286530432882</v>
      </c>
      <c r="R23" s="559">
        <f t="shared" si="9"/>
        <v>2.1723868390197314</v>
      </c>
      <c r="S23" s="559">
        <f t="shared" si="10"/>
        <v>2.1583790308426831</v>
      </c>
      <c r="T23" s="559">
        <f t="shared" si="11"/>
        <v>2.1141881262489548</v>
      </c>
      <c r="U23" s="559">
        <f t="shared" si="12"/>
        <v>2.0583787547461312</v>
      </c>
      <c r="V23" s="559">
        <f t="shared" si="13"/>
        <v>2.0382436311639833</v>
      </c>
      <c r="W23" s="559">
        <f t="shared" si="14"/>
        <v>2.0326997932348796</v>
      </c>
      <c r="X23" s="559">
        <f t="shared" si="15"/>
        <v>1.9964192936881275</v>
      </c>
      <c r="Y23" s="559">
        <f t="shared" si="16"/>
        <v>1.9629049757598216</v>
      </c>
      <c r="Z23" s="559">
        <f t="shared" si="17"/>
        <v>1.965625790007723</v>
      </c>
      <c r="AA23" s="2" t="str">
        <f>+IFERROR(RANK(B23,(B$6,B$15,B$22,B$26,B$27,B$28,B$33),0),"")</f>
        <v/>
      </c>
      <c r="AB23" s="2" t="str">
        <f>+IFERROR(RANK(C23,(C$6,C$15,C$22,C$26,C$27,C$28,C$33),0),"")</f>
        <v/>
      </c>
      <c r="AC23" s="2" t="str">
        <f>+IFERROR(RANK(D23,(D$6,D$15,D$22,D$26,D$27,D$28,D$33),0),"")</f>
        <v/>
      </c>
      <c r="AD23" s="2" t="str">
        <f>+IFERROR(RANK(E23,(E$6,E$15,E$22,E$26,E$27,E$28,E$33),0),"")</f>
        <v/>
      </c>
      <c r="AE23" s="2" t="str">
        <f>+IFERROR(RANK(F23,(F$6,F$15,F$22,F$26,F$27,F$28,F$33),0),"")</f>
        <v/>
      </c>
      <c r="AF23" s="2" t="str">
        <f>+IFERROR(RANK(G23,(G$6,G$15,G$22,G$26,G$27,G$28,G$33),0),"")</f>
        <v/>
      </c>
      <c r="AG23" s="2" t="str">
        <f>+IFERROR(RANK(H23,(H$6,H$15,H$22,H$26,H$27,H$28,H$33),0),"")</f>
        <v/>
      </c>
      <c r="AH23" s="2" t="str">
        <f>+IFERROR(RANK(I23,(I$6,I$15,I$22,I$26,I$27,I$28,I$33),0),"")</f>
        <v/>
      </c>
      <c r="AI23" s="2" t="str">
        <f>+IFERROR(RANK(J23,(J$6,J$15,J$22,J$26,J$27,J$28,J$33),0),"")</f>
        <v/>
      </c>
      <c r="AJ23" s="2" t="str">
        <f>+IFERROR(RANK(K23,(K$6,K$15,K$22,K$26,K$27,K$28,K$33),0),"")</f>
        <v/>
      </c>
      <c r="AK23" s="2" t="str">
        <f>+IFERROR(RANK(L23,(L$6,L$15,L$22,L$26,L$27,L$28,L$33),0),"")</f>
        <v/>
      </c>
    </row>
    <row r="24" spans="1:43" ht="20.100000000000001" customHeight="1">
      <c r="A24" s="15" t="s">
        <v>772</v>
      </c>
      <c r="B24" s="328">
        <v>67539</v>
      </c>
      <c r="C24" s="328">
        <v>68279</v>
      </c>
      <c r="D24" s="328">
        <v>68838</v>
      </c>
      <c r="E24" s="328">
        <v>69774</v>
      </c>
      <c r="F24" s="328">
        <v>71059</v>
      </c>
      <c r="G24" s="328">
        <v>69212</v>
      </c>
      <c r="H24" s="328">
        <v>70690</v>
      </c>
      <c r="I24" s="328">
        <v>68646</v>
      </c>
      <c r="J24" s="328">
        <v>72553</v>
      </c>
      <c r="K24" s="328">
        <v>74483.000000000029</v>
      </c>
      <c r="L24" s="328">
        <v>74147.999999999971</v>
      </c>
      <c r="N24" s="559">
        <f t="shared" si="5"/>
        <v>9.7854572913427482</v>
      </c>
      <c r="O24" s="419">
        <f t="shared" si="6"/>
        <v>6608.9999999999709</v>
      </c>
      <c r="P24" s="559">
        <f t="shared" si="7"/>
        <v>24.997686735928873</v>
      </c>
      <c r="Q24" s="559">
        <f t="shared" si="8"/>
        <v>25.005127078297821</v>
      </c>
      <c r="R24" s="559">
        <f t="shared" si="9"/>
        <v>24.911338534805974</v>
      </c>
      <c r="S24" s="559">
        <f t="shared" si="10"/>
        <v>24.991493278794781</v>
      </c>
      <c r="T24" s="559">
        <f t="shared" si="11"/>
        <v>25.177156705735626</v>
      </c>
      <c r="U24" s="559">
        <f t="shared" si="12"/>
        <v>25.099455668338486</v>
      </c>
      <c r="V24" s="559">
        <f t="shared" si="13"/>
        <v>25.460936965361721</v>
      </c>
      <c r="W24" s="559">
        <f t="shared" si="14"/>
        <v>25.255513123330594</v>
      </c>
      <c r="X24" s="559">
        <f t="shared" si="15"/>
        <v>25.469704416204451</v>
      </c>
      <c r="Y24" s="559">
        <f t="shared" si="16"/>
        <v>25.573386620521056</v>
      </c>
      <c r="Z24" s="559">
        <f t="shared" si="17"/>
        <v>25.677804981940202</v>
      </c>
      <c r="AA24" s="2" t="str">
        <f>+IFERROR(RANK(B24,(B$6,B$15,B$22,B$26,B$27,B$28,B$33),0),"")</f>
        <v/>
      </c>
      <c r="AB24" s="2" t="str">
        <f>+IFERROR(RANK(C24,(C$6,C$15,C$22,C$26,C$27,C$28,C$33),0),"")</f>
        <v/>
      </c>
      <c r="AC24" s="2" t="str">
        <f>+IFERROR(RANK(D24,(D$6,D$15,D$22,D$26,D$27,D$28,D$33),0),"")</f>
        <v/>
      </c>
      <c r="AD24" s="2" t="str">
        <f>+IFERROR(RANK(E24,(E$6,E$15,E$22,E$26,E$27,E$28,E$33),0),"")</f>
        <v/>
      </c>
      <c r="AE24" s="2" t="str">
        <f>+IFERROR(RANK(F24,(F$6,F$15,F$22,F$26,F$27,F$28,F$33),0),"")</f>
        <v/>
      </c>
      <c r="AF24" s="2" t="str">
        <f>+IFERROR(RANK(G24,(G$6,G$15,G$22,G$26,G$27,G$28,G$33),0),"")</f>
        <v/>
      </c>
      <c r="AG24" s="2" t="str">
        <f>+IFERROR(RANK(H24,(H$6,H$15,H$22,H$26,H$27,H$28,H$33),0),"")</f>
        <v/>
      </c>
      <c r="AH24" s="2" t="str">
        <f>+IFERROR(RANK(I24,(I$6,I$15,I$22,I$26,I$27,I$28,I$33),0),"")</f>
        <v/>
      </c>
      <c r="AI24" s="2" t="str">
        <f>+IFERROR(RANK(J24,(J$6,J$15,J$22,J$26,J$27,J$28,J$33),0),"")</f>
        <v/>
      </c>
      <c r="AJ24" s="2" t="str">
        <f>+IFERROR(RANK(K24,(K$6,K$15,K$22,K$26,K$27,K$28,K$33),0),"")</f>
        <v/>
      </c>
      <c r="AK24" s="2" t="str">
        <f>+IFERROR(RANK(L24,(L$6,L$15,L$22,L$26,L$27,L$28,L$33),0),"")</f>
        <v/>
      </c>
    </row>
    <row r="25" spans="1:43" ht="20.100000000000001" customHeight="1">
      <c r="A25" s="15" t="s">
        <v>518</v>
      </c>
      <c r="B25" s="328">
        <v>20202</v>
      </c>
      <c r="C25" s="328">
        <v>20300</v>
      </c>
      <c r="D25" s="328">
        <v>20430</v>
      </c>
      <c r="E25" s="328">
        <v>20513</v>
      </c>
      <c r="F25" s="328">
        <v>20405</v>
      </c>
      <c r="G25" s="328">
        <v>19961</v>
      </c>
      <c r="H25" s="328">
        <v>20025</v>
      </c>
      <c r="I25" s="328">
        <v>19375</v>
      </c>
      <c r="J25" s="328">
        <v>20585</v>
      </c>
      <c r="K25" s="328">
        <v>20966</v>
      </c>
      <c r="L25" s="328">
        <v>20715.999999999993</v>
      </c>
      <c r="N25" s="559">
        <f t="shared" si="5"/>
        <v>2.5443025443025125</v>
      </c>
      <c r="O25" s="419">
        <f t="shared" si="6"/>
        <v>513.99999999999272</v>
      </c>
      <c r="P25" s="559">
        <f t="shared" si="7"/>
        <v>7.4772097223712972</v>
      </c>
      <c r="Q25" s="559">
        <f t="shared" si="8"/>
        <v>7.4342635318245103</v>
      </c>
      <c r="R25" s="559">
        <f t="shared" si="9"/>
        <v>7.3932805465888904</v>
      </c>
      <c r="S25" s="559">
        <f t="shared" si="10"/>
        <v>7.3472998771450309</v>
      </c>
      <c r="T25" s="559">
        <f t="shared" si="11"/>
        <v>7.2297651610708771</v>
      </c>
      <c r="U25" s="559">
        <f t="shared" si="12"/>
        <v>7.238777012594702</v>
      </c>
      <c r="V25" s="559">
        <f t="shared" si="13"/>
        <v>7.212551460339065</v>
      </c>
      <c r="W25" s="559">
        <f t="shared" si="14"/>
        <v>7.1282458812535365</v>
      </c>
      <c r="X25" s="559">
        <f t="shared" si="15"/>
        <v>7.2263568068524888</v>
      </c>
      <c r="Y25" s="559">
        <f t="shared" si="16"/>
        <v>7.1985771771524272</v>
      </c>
      <c r="Z25" s="559">
        <f t="shared" si="17"/>
        <v>7.1740493068710318</v>
      </c>
      <c r="AA25" s="2" t="str">
        <f>+IFERROR(RANK(B25,(B$6,B$15,B$22,B$26,B$27,B$28,B$33),0),"")</f>
        <v/>
      </c>
      <c r="AB25" s="2" t="str">
        <f>+IFERROR(RANK(C25,(C$6,C$15,C$22,C$26,C$27,C$28,C$33),0),"")</f>
        <v/>
      </c>
      <c r="AC25" s="2" t="str">
        <f>+IFERROR(RANK(D25,(D$6,D$15,D$22,D$26,D$27,D$28,D$33),0),"")</f>
        <v/>
      </c>
      <c r="AD25" s="2" t="str">
        <f>+IFERROR(RANK(E25,(E$6,E$15,E$22,E$26,E$27,E$28,E$33),0),"")</f>
        <v/>
      </c>
      <c r="AE25" s="2" t="str">
        <f>+IFERROR(RANK(F25,(F$6,F$15,F$22,F$26,F$27,F$28,F$33),0),"")</f>
        <v/>
      </c>
      <c r="AF25" s="2" t="str">
        <f>+IFERROR(RANK(G25,(G$6,G$15,G$22,G$26,G$27,G$28,G$33),0),"")</f>
        <v/>
      </c>
      <c r="AG25" s="2" t="str">
        <f>+IFERROR(RANK(H25,(H$6,H$15,H$22,H$26,H$27,H$28,H$33),0),"")</f>
        <v/>
      </c>
      <c r="AH25" s="2" t="str">
        <f>+IFERROR(RANK(I25,(I$6,I$15,I$22,I$26,I$27,I$28,I$33),0),"")</f>
        <v/>
      </c>
      <c r="AI25" s="2" t="str">
        <f>+IFERROR(RANK(J25,(J$6,J$15,J$22,J$26,J$27,J$28,J$33),0),"")</f>
        <v/>
      </c>
      <c r="AJ25" s="2" t="str">
        <f>+IFERROR(RANK(K25,(K$6,K$15,K$22,K$26,K$27,K$28,K$33),0),"")</f>
        <v/>
      </c>
      <c r="AK25" s="2" t="str">
        <f>+IFERROR(RANK(L25,(L$6,L$15,L$22,L$26,L$27,L$28,L$33),0),"")</f>
        <v/>
      </c>
    </row>
    <row r="26" spans="1:43" ht="18" customHeight="1">
      <c r="A26" s="572" t="s">
        <v>519</v>
      </c>
      <c r="B26" s="646">
        <v>2495</v>
      </c>
      <c r="C26" s="646">
        <v>2491</v>
      </c>
      <c r="D26" s="646">
        <v>2550</v>
      </c>
      <c r="E26" s="646">
        <v>2586</v>
      </c>
      <c r="F26" s="646">
        <v>2592</v>
      </c>
      <c r="G26" s="646">
        <v>2596</v>
      </c>
      <c r="H26" s="646">
        <v>2681</v>
      </c>
      <c r="I26" s="646">
        <v>2645</v>
      </c>
      <c r="J26" s="646">
        <v>2804</v>
      </c>
      <c r="K26" s="646">
        <v>2854</v>
      </c>
      <c r="L26" s="646">
        <v>2837</v>
      </c>
      <c r="N26" s="559">
        <f t="shared" si="5"/>
        <v>13.707414829659314</v>
      </c>
      <c r="O26" s="419">
        <f t="shared" si="6"/>
        <v>342</v>
      </c>
      <c r="P26" s="559">
        <f t="shared" si="7"/>
        <v>0.92345501719217837</v>
      </c>
      <c r="Q26" s="559">
        <f t="shared" si="8"/>
        <v>0.91225371713176628</v>
      </c>
      <c r="R26" s="559">
        <f t="shared" si="9"/>
        <v>0.92280300508084534</v>
      </c>
      <c r="S26" s="559">
        <f t="shared" si="10"/>
        <v>0.92624762259528348</v>
      </c>
      <c r="T26" s="559">
        <f t="shared" si="11"/>
        <v>0.91838036253348265</v>
      </c>
      <c r="U26" s="559">
        <f t="shared" si="12"/>
        <v>0.94142904286838569</v>
      </c>
      <c r="V26" s="559">
        <f t="shared" si="13"/>
        <v>0.96563547890981438</v>
      </c>
      <c r="W26" s="559">
        <f t="shared" si="14"/>
        <v>0.97312053449886993</v>
      </c>
      <c r="X26" s="559">
        <f t="shared" si="15"/>
        <v>0.98434318612651828</v>
      </c>
      <c r="Y26" s="559">
        <f t="shared" si="16"/>
        <v>0.97990743411203984</v>
      </c>
      <c r="Z26" s="559">
        <f t="shared" si="17"/>
        <v>0.98246659024875094</v>
      </c>
      <c r="AA26" s="2">
        <f>+IFERROR(RANK(B26,(B$6,B$15,B$22,B$26,B$27,B$28,B$33),0),"")</f>
        <v>6</v>
      </c>
      <c r="AB26" s="2">
        <f>+IFERROR(RANK(C26,(C$6,C$15,C$22,C$26,C$27,C$28,C$33),0),"")</f>
        <v>6</v>
      </c>
      <c r="AC26" s="2">
        <f>+IFERROR(RANK(D26,(D$6,D$15,D$22,D$26,D$27,D$28,D$33),0),"")</f>
        <v>6</v>
      </c>
      <c r="AD26" s="2">
        <f>+IFERROR(RANK(E26,(E$6,E$15,E$22,E$26,E$27,E$28,E$33),0),"")</f>
        <v>6</v>
      </c>
      <c r="AE26" s="2">
        <f>+IFERROR(RANK(F26,(F$6,F$15,F$22,F$26,F$27,F$28,F$33),0),"")</f>
        <v>6</v>
      </c>
      <c r="AF26" s="2">
        <f>+IFERROR(RANK(G26,(G$6,G$15,G$22,G$26,G$27,G$28,G$33),0),"")</f>
        <v>6</v>
      </c>
      <c r="AG26" s="2">
        <f>+IFERROR(RANK(H26,(H$6,H$15,H$22,H$26,H$27,H$28,H$33),0),"")</f>
        <v>6</v>
      </c>
      <c r="AH26" s="2">
        <f>+IFERROR(RANK(I26,(I$6,I$15,I$22,I$26,I$27,I$28,I$33),0),"")</f>
        <v>6</v>
      </c>
      <c r="AI26" s="2">
        <f>+IFERROR(RANK(J26,(J$6,J$15,J$22,J$26,J$27,J$28,J$33),0),"")</f>
        <v>6</v>
      </c>
      <c r="AJ26" s="2">
        <f>+IFERROR(RANK(K26,(K$6,K$15,K$22,K$26,K$27,K$28,K$33),0),"")</f>
        <v>6</v>
      </c>
      <c r="AK26" s="2">
        <f>+IFERROR(RANK(L26,(L$6,L$15,L$22,L$26,L$27,L$28,L$33),0),"")</f>
        <v>6</v>
      </c>
    </row>
    <row r="27" spans="1:43" ht="18" customHeight="1">
      <c r="A27" s="572" t="s">
        <v>520</v>
      </c>
      <c r="B27" s="646">
        <v>3419</v>
      </c>
      <c r="C27" s="646">
        <v>3475</v>
      </c>
      <c r="D27" s="646">
        <v>3509</v>
      </c>
      <c r="E27" s="646">
        <v>3574</v>
      </c>
      <c r="F27" s="646">
        <v>3584</v>
      </c>
      <c r="G27" s="646">
        <v>3505</v>
      </c>
      <c r="H27" s="646">
        <v>3502</v>
      </c>
      <c r="I27" s="646">
        <v>3499</v>
      </c>
      <c r="J27" s="646">
        <v>3654</v>
      </c>
      <c r="K27" s="646">
        <v>3855.9999999999995</v>
      </c>
      <c r="L27" s="646">
        <v>3881</v>
      </c>
      <c r="N27" s="559">
        <f t="shared" si="5"/>
        <v>13.512723018426431</v>
      </c>
      <c r="O27" s="419">
        <f t="shared" si="6"/>
        <v>462</v>
      </c>
      <c r="P27" s="559">
        <f t="shared" si="7"/>
        <v>1.2654479774669571</v>
      </c>
      <c r="Q27" s="559">
        <f t="shared" si="8"/>
        <v>1.2726140774921268</v>
      </c>
      <c r="R27" s="559">
        <f t="shared" si="9"/>
        <v>1.269849311697524</v>
      </c>
      <c r="S27" s="559">
        <f t="shared" si="10"/>
        <v>1.2801272247314552</v>
      </c>
      <c r="T27" s="559">
        <f t="shared" si="11"/>
        <v>1.2698592667129636</v>
      </c>
      <c r="U27" s="559">
        <f t="shared" si="12"/>
        <v>1.2710742662764607</v>
      </c>
      <c r="V27" s="559">
        <f t="shared" si="13"/>
        <v>1.2613410843499329</v>
      </c>
      <c r="W27" s="559">
        <f t="shared" si="14"/>
        <v>1.2873152174712839</v>
      </c>
      <c r="X27" s="559">
        <f t="shared" si="15"/>
        <v>1.2827353787825599</v>
      </c>
      <c r="Y27" s="559">
        <f t="shared" si="16"/>
        <v>1.3239394064246759</v>
      </c>
      <c r="Z27" s="559">
        <f t="shared" si="17"/>
        <v>1.3440087545842094</v>
      </c>
      <c r="AA27" s="2">
        <f>+IFERROR(RANK(B27,(B$6,B$15,B$22,B$26,B$27,B$28,B$33),0),"")</f>
        <v>5</v>
      </c>
      <c r="AB27" s="2">
        <f>+IFERROR(RANK(C27,(C$6,C$15,C$22,C$26,C$27,C$28,C$33),0),"")</f>
        <v>5</v>
      </c>
      <c r="AC27" s="2">
        <f>+IFERROR(RANK(D27,(D$6,D$15,D$22,D$26,D$27,D$28,D$33),0),"")</f>
        <v>5</v>
      </c>
      <c r="AD27" s="2">
        <f>+IFERROR(RANK(E27,(E$6,E$15,E$22,E$26,E$27,E$28,E$33),0),"")</f>
        <v>5</v>
      </c>
      <c r="AE27" s="2">
        <f>+IFERROR(RANK(F27,(F$6,F$15,F$22,F$26,F$27,F$28,F$33),0),"")</f>
        <v>5</v>
      </c>
      <c r="AF27" s="2">
        <f>+IFERROR(RANK(G27,(G$6,G$15,G$22,G$26,G$27,G$28,G$33),0),"")</f>
        <v>5</v>
      </c>
      <c r="AG27" s="2">
        <f>+IFERROR(RANK(H27,(H$6,H$15,H$22,H$26,H$27,H$28,H$33),0),"")</f>
        <v>5</v>
      </c>
      <c r="AH27" s="2">
        <f>+IFERROR(RANK(I27,(I$6,I$15,I$22,I$26,I$27,I$28,I$33),0),"")</f>
        <v>5</v>
      </c>
      <c r="AI27" s="2">
        <f>+IFERROR(RANK(J27,(J$6,J$15,J$22,J$26,J$27,J$28,J$33),0),"")</f>
        <v>5</v>
      </c>
      <c r="AJ27" s="2">
        <f>+IFERROR(RANK(K27,(K$6,K$15,K$22,K$26,K$27,K$28,K$33),0),"")</f>
        <v>5</v>
      </c>
      <c r="AK27" s="2">
        <f>+IFERROR(RANK(L27,(L$6,L$15,L$22,L$26,L$27,L$28,L$33),0),"")</f>
        <v>5</v>
      </c>
    </row>
    <row r="28" spans="1:43" ht="18" customHeight="1">
      <c r="A28" s="572" t="s">
        <v>515</v>
      </c>
      <c r="B28" s="646">
        <v>6345</v>
      </c>
      <c r="C28" s="646">
        <v>6363</v>
      </c>
      <c r="D28" s="646">
        <v>6404</v>
      </c>
      <c r="E28" s="646">
        <v>6418</v>
      </c>
      <c r="F28" s="646">
        <v>6385</v>
      </c>
      <c r="G28" s="646">
        <v>6208</v>
      </c>
      <c r="H28" s="646">
        <v>6168</v>
      </c>
      <c r="I28" s="646">
        <v>5957</v>
      </c>
      <c r="J28" s="646">
        <v>6202</v>
      </c>
      <c r="K28" s="646">
        <v>6284</v>
      </c>
      <c r="L28" s="646">
        <v>6181</v>
      </c>
      <c r="N28" s="559">
        <f t="shared" si="5"/>
        <v>-2.5847123719464182</v>
      </c>
      <c r="O28" s="419">
        <f t="shared" si="6"/>
        <v>-164</v>
      </c>
      <c r="P28" s="559">
        <f t="shared" si="7"/>
        <v>2.3484256850037561</v>
      </c>
      <c r="Q28" s="559">
        <f t="shared" si="8"/>
        <v>2.3302570863546483</v>
      </c>
      <c r="R28" s="559">
        <f t="shared" si="9"/>
        <v>2.3175021351128366</v>
      </c>
      <c r="S28" s="559">
        <f t="shared" si="10"/>
        <v>2.2987847029452935</v>
      </c>
      <c r="T28" s="559">
        <f t="shared" si="11"/>
        <v>2.2622911322439379</v>
      </c>
      <c r="U28" s="559">
        <f t="shared" si="12"/>
        <v>2.2513064322522873</v>
      </c>
      <c r="V28" s="559">
        <f t="shared" si="13"/>
        <v>2.2215739029898303</v>
      </c>
      <c r="W28" s="559">
        <f t="shared" si="14"/>
        <v>2.1916366820452811</v>
      </c>
      <c r="X28" s="559">
        <f t="shared" si="15"/>
        <v>2.177209857473847</v>
      </c>
      <c r="Y28" s="559">
        <f t="shared" si="16"/>
        <v>2.1575817505115831</v>
      </c>
      <c r="Z28" s="559">
        <f t="shared" si="17"/>
        <v>2.1405096913385724</v>
      </c>
      <c r="AA28" s="2">
        <f>+IFERROR(RANK(B28,(B$6,B$15,B$22,B$26,B$27,B$28,B$33),0),"")</f>
        <v>4</v>
      </c>
      <c r="AB28" s="2">
        <f>+IFERROR(RANK(C28,(C$6,C$15,C$22,C$26,C$27,C$28,C$33),0),"")</f>
        <v>4</v>
      </c>
      <c r="AC28" s="2">
        <f>+IFERROR(RANK(D28,(D$6,D$15,D$22,D$26,D$27,D$28,D$33),0),"")</f>
        <v>4</v>
      </c>
      <c r="AD28" s="2">
        <f>+IFERROR(RANK(E28,(E$6,E$15,E$22,E$26,E$27,E$28,E$33),0),"")</f>
        <v>4</v>
      </c>
      <c r="AE28" s="2">
        <f>+IFERROR(RANK(F28,(F$6,F$15,F$22,F$26,F$27,F$28,F$33),0),"")</f>
        <v>4</v>
      </c>
      <c r="AF28" s="2">
        <f>+IFERROR(RANK(G28,(G$6,G$15,G$22,G$26,G$27,G$28,G$33),0),"")</f>
        <v>4</v>
      </c>
      <c r="AG28" s="2">
        <f>+IFERROR(RANK(H28,(H$6,H$15,H$22,H$26,H$27,H$28,H$33),0),"")</f>
        <v>4</v>
      </c>
      <c r="AH28" s="2">
        <f>+IFERROR(RANK(I28,(I$6,I$15,I$22,I$26,I$27,I$28,I$33),0),"")</f>
        <v>4</v>
      </c>
      <c r="AI28" s="2">
        <f>+IFERROR(RANK(J28,(J$6,J$15,J$22,J$26,J$27,J$28,J$33),0),"")</f>
        <v>4</v>
      </c>
      <c r="AJ28" s="2">
        <f>+IFERROR(RANK(K28,(K$6,K$15,K$22,K$26,K$27,K$28,K$33),0),"")</f>
        <v>4</v>
      </c>
      <c r="AK28" s="2">
        <f>+IFERROR(RANK(L28,(L$6,L$15,L$22,L$26,L$27,L$28,L$33),0),"")</f>
        <v>4</v>
      </c>
    </row>
    <row r="29" spans="1:43" ht="18" customHeight="1">
      <c r="A29" s="572" t="s">
        <v>521</v>
      </c>
      <c r="B29" s="646">
        <v>2917</v>
      </c>
      <c r="C29" s="646">
        <v>2906</v>
      </c>
      <c r="D29" s="646">
        <v>2929</v>
      </c>
      <c r="E29" s="646">
        <v>2901</v>
      </c>
      <c r="F29" s="646">
        <v>2878</v>
      </c>
      <c r="G29" s="646">
        <v>2783</v>
      </c>
      <c r="H29" s="646">
        <v>2770</v>
      </c>
      <c r="I29" s="646">
        <v>2634</v>
      </c>
      <c r="J29" s="646">
        <v>2877</v>
      </c>
      <c r="K29" s="646">
        <v>2865</v>
      </c>
      <c r="L29" s="646">
        <v>2787</v>
      </c>
      <c r="N29" s="559">
        <f t="shared" si="5"/>
        <v>-4.4566335275968427</v>
      </c>
      <c r="O29" s="419">
        <f t="shared" si="6"/>
        <v>-130</v>
      </c>
      <c r="P29" s="559">
        <f t="shared" si="7"/>
        <v>1.0796466072743824</v>
      </c>
      <c r="Q29" s="559">
        <f t="shared" si="8"/>
        <v>1.0642349666739914</v>
      </c>
      <c r="R29" s="559">
        <f t="shared" si="9"/>
        <v>1.0599568634830572</v>
      </c>
      <c r="S29" s="559">
        <f t="shared" si="10"/>
        <v>1.03907360910631</v>
      </c>
      <c r="T29" s="559">
        <f t="shared" si="11"/>
        <v>1.0197139982142605</v>
      </c>
      <c r="U29" s="559">
        <f t="shared" si="12"/>
        <v>1.0092438468038203</v>
      </c>
      <c r="V29" s="559">
        <f t="shared" si="13"/>
        <v>0.99769126317798795</v>
      </c>
      <c r="W29" s="559">
        <f t="shared" si="14"/>
        <v>0.96907353038564203</v>
      </c>
      <c r="X29" s="559">
        <f t="shared" si="15"/>
        <v>1.0099698097310961</v>
      </c>
      <c r="Y29" s="559">
        <f t="shared" si="16"/>
        <v>0.98368423221128032</v>
      </c>
      <c r="Z29" s="559">
        <f t="shared" si="17"/>
        <v>0.96515135249322126</v>
      </c>
      <c r="AA29" s="2" t="str">
        <f>+IFERROR(RANK(B29,(B$6,B$15,B$22,B$26,B$27,B$28,B$33),0),"")</f>
        <v/>
      </c>
      <c r="AB29" s="2" t="str">
        <f>+IFERROR(RANK(C29,(C$6,C$15,C$22,C$26,C$27,C$28,C$33),0),"")</f>
        <v/>
      </c>
      <c r="AC29" s="2" t="str">
        <f>+IFERROR(RANK(D29,(D$6,D$15,D$22,D$26,D$27,D$28,D$33),0),"")</f>
        <v/>
      </c>
      <c r="AD29" s="2" t="str">
        <f>+IFERROR(RANK(E29,(E$6,E$15,E$22,E$26,E$27,E$28,E$33),0),"")</f>
        <v/>
      </c>
      <c r="AE29" s="2" t="str">
        <f>+IFERROR(RANK(F29,(F$6,F$15,F$22,F$26,F$27,F$28,F$33),0),"")</f>
        <v/>
      </c>
      <c r="AF29" s="2" t="str">
        <f>+IFERROR(RANK(G29,(G$6,G$15,G$22,G$26,G$27,G$28,G$33),0),"")</f>
        <v/>
      </c>
      <c r="AG29" s="2" t="str">
        <f>+IFERROR(RANK(H29,(H$6,H$15,H$22,H$26,H$27,H$28,H$33),0),"")</f>
        <v/>
      </c>
      <c r="AH29" s="2" t="str">
        <f>+IFERROR(RANK(I29,(I$6,I$15,I$22,I$26,I$27,I$28,I$33),0),"")</f>
        <v/>
      </c>
      <c r="AI29" s="2" t="str">
        <f>+IFERROR(RANK(J29,(J$6,J$15,J$22,J$26,J$27,J$28,J$33),0),"")</f>
        <v/>
      </c>
      <c r="AJ29" s="2" t="str">
        <f>+IFERROR(RANK(K29,(K$6,K$15,K$22,K$26,K$27,K$28,K$33),0),"")</f>
        <v/>
      </c>
      <c r="AK29" s="2" t="str">
        <f>+IFERROR(RANK(L29,(L$6,L$15,L$22,L$26,L$27,L$28,L$33),0),"")</f>
        <v/>
      </c>
    </row>
    <row r="30" spans="1:43" ht="18" customHeight="1">
      <c r="A30" s="572" t="s">
        <v>522</v>
      </c>
      <c r="B30" s="646">
        <v>5026</v>
      </c>
      <c r="C30" s="646">
        <v>5065</v>
      </c>
      <c r="D30" s="646">
        <v>5038</v>
      </c>
      <c r="E30" s="646">
        <v>5034</v>
      </c>
      <c r="F30" s="646">
        <v>4966</v>
      </c>
      <c r="G30" s="646">
        <v>4869</v>
      </c>
      <c r="H30" s="646">
        <v>4904</v>
      </c>
      <c r="I30" s="646">
        <v>4640</v>
      </c>
      <c r="J30" s="646">
        <v>5048</v>
      </c>
      <c r="K30" s="646">
        <v>5107.0000000000009</v>
      </c>
      <c r="L30" s="646">
        <v>5030</v>
      </c>
      <c r="N30" s="559">
        <f t="shared" si="5"/>
        <v>7.9586152009558653E-2</v>
      </c>
      <c r="O30" s="419">
        <f t="shared" si="6"/>
        <v>4</v>
      </c>
      <c r="P30" s="559">
        <f t="shared" si="7"/>
        <v>1.8602344354340234</v>
      </c>
      <c r="Q30" s="559">
        <f t="shared" si="8"/>
        <v>1.8549036841719777</v>
      </c>
      <c r="R30" s="559">
        <f t="shared" si="9"/>
        <v>1.823169231214627</v>
      </c>
      <c r="S30" s="559">
        <f t="shared" si="10"/>
        <v>1.8030667177666886</v>
      </c>
      <c r="T30" s="559">
        <f t="shared" si="11"/>
        <v>1.7595204013662324</v>
      </c>
      <c r="U30" s="559">
        <f t="shared" si="12"/>
        <v>1.7657234243937481</v>
      </c>
      <c r="V30" s="559">
        <f t="shared" si="13"/>
        <v>1.7663097309114992</v>
      </c>
      <c r="W30" s="559">
        <f t="shared" si="14"/>
        <v>1.7070999168524599</v>
      </c>
      <c r="X30" s="559">
        <f t="shared" si="15"/>
        <v>1.7720985747384681</v>
      </c>
      <c r="Y30" s="559">
        <f t="shared" si="16"/>
        <v>1.753464353892848</v>
      </c>
      <c r="Z30" s="559">
        <f t="shared" si="17"/>
        <v>1.7419129182062802</v>
      </c>
      <c r="AA30" s="2" t="str">
        <f>+IFERROR(RANK(B30,(B$6,B$15,B$22,B$26,B$27,B$28,B$33),0),"")</f>
        <v/>
      </c>
      <c r="AB30" s="2" t="str">
        <f>+IFERROR(RANK(C30,(C$6,C$15,C$22,C$26,C$27,C$28,C$33),0),"")</f>
        <v/>
      </c>
      <c r="AC30" s="2" t="str">
        <f>+IFERROR(RANK(D30,(D$6,D$15,D$22,D$26,D$27,D$28,D$33),0),"")</f>
        <v/>
      </c>
      <c r="AD30" s="2" t="str">
        <f>+IFERROR(RANK(E30,(E$6,E$15,E$22,E$26,E$27,E$28,E$33),0),"")</f>
        <v/>
      </c>
      <c r="AE30" s="2" t="str">
        <f>+IFERROR(RANK(F30,(F$6,F$15,F$22,F$26,F$27,F$28,F$33),0),"")</f>
        <v/>
      </c>
      <c r="AF30" s="2" t="str">
        <f>+IFERROR(RANK(G30,(G$6,G$15,G$22,G$26,G$27,G$28,G$33),0),"")</f>
        <v/>
      </c>
      <c r="AG30" s="2" t="str">
        <f>+IFERROR(RANK(H30,(H$6,H$15,H$22,H$26,H$27,H$28,H$33),0),"")</f>
        <v/>
      </c>
      <c r="AH30" s="2" t="str">
        <f>+IFERROR(RANK(I30,(I$6,I$15,I$22,I$26,I$27,I$28,I$33),0),"")</f>
        <v/>
      </c>
      <c r="AI30" s="2" t="str">
        <f>+IFERROR(RANK(J30,(J$6,J$15,J$22,J$26,J$27,J$28,J$33),0),"")</f>
        <v/>
      </c>
      <c r="AJ30" s="2" t="str">
        <f>+IFERROR(RANK(K30,(K$6,K$15,K$22,K$26,K$27,K$28,K$33),0),"")</f>
        <v/>
      </c>
      <c r="AK30" s="2" t="str">
        <f>+IFERROR(RANK(L30,(L$6,L$15,L$22,L$26,L$27,L$28,L$33),0),"")</f>
        <v/>
      </c>
    </row>
    <row r="31" spans="1:43" s="18" customFormat="1" ht="20.100000000000001" customHeight="1">
      <c r="A31" s="17" t="s">
        <v>523</v>
      </c>
      <c r="B31" s="689">
        <v>15485</v>
      </c>
      <c r="C31" s="689">
        <v>15831</v>
      </c>
      <c r="D31" s="689">
        <v>16300</v>
      </c>
      <c r="E31" s="689">
        <v>16481</v>
      </c>
      <c r="F31" s="689">
        <v>17081</v>
      </c>
      <c r="G31" s="689">
        <v>17191</v>
      </c>
      <c r="H31" s="689">
        <v>16775</v>
      </c>
      <c r="I31" s="689">
        <v>16329</v>
      </c>
      <c r="J31" s="689">
        <v>17066</v>
      </c>
      <c r="K31" s="689">
        <v>18237.000000000004</v>
      </c>
      <c r="L31" s="689">
        <v>18173.999999999996</v>
      </c>
      <c r="N31" s="559">
        <f t="shared" si="5"/>
        <v>17.365192121407791</v>
      </c>
      <c r="O31" s="419">
        <f t="shared" si="6"/>
        <v>2688.9999999999964</v>
      </c>
      <c r="P31" s="559">
        <f t="shared" si="7"/>
        <v>5.73134306261358</v>
      </c>
      <c r="Q31" s="559">
        <f t="shared" si="8"/>
        <v>5.7976268951878733</v>
      </c>
      <c r="R31" s="559">
        <f t="shared" si="9"/>
        <v>5.8987015618893253</v>
      </c>
      <c r="S31" s="559">
        <f t="shared" si="10"/>
        <v>5.9031272498038927</v>
      </c>
      <c r="T31" s="559">
        <f t="shared" si="11"/>
        <v>6.0520273813404382</v>
      </c>
      <c r="U31" s="559">
        <f t="shared" si="12"/>
        <v>6.2342475639254307</v>
      </c>
      <c r="V31" s="559">
        <f t="shared" si="13"/>
        <v>6.0419750685237359</v>
      </c>
      <c r="W31" s="559">
        <f t="shared" si="14"/>
        <v>6.0075936513542709</v>
      </c>
      <c r="X31" s="559">
        <f t="shared" si="15"/>
        <v>5.9910131292564772</v>
      </c>
      <c r="Y31" s="559">
        <f t="shared" si="16"/>
        <v>6.2615879032590316</v>
      </c>
      <c r="Z31" s="559">
        <f t="shared" si="17"/>
        <v>6.2937426193799064</v>
      </c>
      <c r="AA31" s="2" t="str">
        <f>+IFERROR(RANK(B31,(B$6,B$15,B$22,B$26,B$27,B$28,B$33),0),"")</f>
        <v/>
      </c>
      <c r="AB31" s="2" t="str">
        <f>+IFERROR(RANK(C31,(C$6,C$15,C$22,C$26,C$27,C$28,C$33),0),"")</f>
        <v/>
      </c>
      <c r="AC31" s="2" t="str">
        <f>+IFERROR(RANK(D31,(D$6,D$15,D$22,D$26,D$27,D$28,D$33),0),"")</f>
        <v/>
      </c>
      <c r="AD31" s="2" t="str">
        <f>+IFERROR(RANK(E31,(E$6,E$15,E$22,E$26,E$27,E$28,E$33),0),"")</f>
        <v/>
      </c>
      <c r="AE31" s="2" t="str">
        <f>+IFERROR(RANK(F31,(F$6,F$15,F$22,F$26,F$27,F$28,F$33),0),"")</f>
        <v/>
      </c>
      <c r="AF31" s="2" t="str">
        <f>+IFERROR(RANK(G31,(G$6,G$15,G$22,G$26,G$27,G$28,G$33),0),"")</f>
        <v/>
      </c>
      <c r="AG31" s="2" t="str">
        <f>+IFERROR(RANK(H31,(H$6,H$15,H$22,H$26,H$27,H$28,H$33),0),"")</f>
        <v/>
      </c>
      <c r="AH31" s="2" t="str">
        <f>+IFERROR(RANK(I31,(I$6,I$15,I$22,I$26,I$27,I$28,I$33),0),"")</f>
        <v/>
      </c>
      <c r="AI31" s="2" t="str">
        <f>+IFERROR(RANK(J31,(J$6,J$15,J$22,J$26,J$27,J$28,J$33),0),"")</f>
        <v/>
      </c>
      <c r="AJ31" s="2" t="str">
        <f>+IFERROR(RANK(K31,(K$6,K$15,K$22,K$26,K$27,K$28,K$33),0),"")</f>
        <v/>
      </c>
      <c r="AK31" s="2" t="str">
        <f>+IFERROR(RANK(L31,(L$6,L$15,L$22,L$26,L$27,L$28,L$33),0),"")</f>
        <v/>
      </c>
      <c r="AL31" s="686"/>
      <c r="AM31" s="686"/>
      <c r="AN31" s="686"/>
      <c r="AO31" s="686"/>
      <c r="AP31" s="686"/>
      <c r="AQ31" s="686"/>
    </row>
    <row r="32" spans="1:43" ht="15" customHeight="1">
      <c r="A32" s="19" t="s">
        <v>769</v>
      </c>
      <c r="B32" s="16"/>
      <c r="C32" s="16"/>
      <c r="D32" s="16"/>
      <c r="E32" s="16"/>
      <c r="F32" s="16"/>
      <c r="G32" s="16"/>
      <c r="H32" s="16"/>
      <c r="I32" s="16"/>
      <c r="J32" s="16"/>
      <c r="K32" s="16"/>
      <c r="L32" s="16"/>
      <c r="P32" s="682"/>
      <c r="Q32" s="681"/>
      <c r="U32" s="682"/>
      <c r="V32" s="678"/>
      <c r="W32" s="678"/>
      <c r="X32" s="678"/>
      <c r="Y32" s="678"/>
      <c r="Z32" s="678"/>
      <c r="AA32" s="678"/>
      <c r="AB32" s="678"/>
      <c r="AC32" s="678"/>
      <c r="AD32" s="678"/>
      <c r="AE32" s="678"/>
    </row>
    <row r="33" spans="16:31">
      <c r="P33" s="682"/>
      <c r="Q33" s="681"/>
      <c r="U33" s="682"/>
      <c r="V33" s="678"/>
      <c r="W33" s="678"/>
      <c r="X33" s="678"/>
      <c r="Y33" s="678"/>
      <c r="Z33" s="678"/>
      <c r="AA33" s="678"/>
      <c r="AB33" s="678"/>
      <c r="AC33" s="678"/>
      <c r="AD33" s="678"/>
      <c r="AE33" s="678"/>
    </row>
    <row r="34" spans="16:31">
      <c r="P34" s="682"/>
      <c r="Q34" s="681"/>
      <c r="U34" s="682"/>
      <c r="V34" s="678"/>
      <c r="W34" s="678"/>
      <c r="X34" s="678"/>
      <c r="Y34" s="678"/>
      <c r="Z34" s="678"/>
      <c r="AA34" s="678"/>
      <c r="AB34" s="678"/>
      <c r="AC34" s="678"/>
      <c r="AD34" s="678"/>
      <c r="AE34" s="678"/>
    </row>
    <row r="35" spans="16:31">
      <c r="P35" s="682"/>
      <c r="Q35" s="681"/>
      <c r="U35" s="682"/>
      <c r="V35" s="678"/>
      <c r="W35" s="678"/>
      <c r="X35" s="678"/>
      <c r="Y35" s="678"/>
      <c r="Z35" s="678"/>
      <c r="AA35" s="678"/>
      <c r="AB35" s="678"/>
      <c r="AC35" s="678"/>
      <c r="AD35" s="678"/>
      <c r="AE35" s="678"/>
    </row>
    <row r="36" spans="16:31">
      <c r="P36" s="682"/>
      <c r="Q36" s="681"/>
      <c r="U36" s="682"/>
      <c r="V36" s="678"/>
      <c r="W36" s="678"/>
      <c r="X36" s="678"/>
      <c r="Y36" s="678"/>
      <c r="Z36" s="678"/>
      <c r="AA36" s="678"/>
      <c r="AB36" s="678"/>
      <c r="AC36" s="678"/>
      <c r="AD36" s="678"/>
      <c r="AE36" s="678"/>
    </row>
    <row r="37" spans="16:31">
      <c r="P37" s="682"/>
      <c r="Q37" s="681"/>
      <c r="U37" s="682"/>
      <c r="V37" s="678"/>
      <c r="W37" s="678"/>
      <c r="X37" s="678"/>
      <c r="Y37" s="678"/>
      <c r="Z37" s="678"/>
      <c r="AA37" s="678"/>
      <c r="AB37" s="678"/>
      <c r="AC37" s="678"/>
      <c r="AD37" s="678"/>
      <c r="AE37" s="678"/>
    </row>
    <row r="38" spans="16:31">
      <c r="P38" s="682"/>
      <c r="Q38" s="681"/>
      <c r="U38" s="682"/>
      <c r="V38" s="678"/>
      <c r="W38" s="678"/>
      <c r="X38" s="678"/>
      <c r="Y38" s="678"/>
      <c r="Z38" s="678"/>
      <c r="AA38" s="678"/>
      <c r="AB38" s="678"/>
      <c r="AC38" s="678"/>
      <c r="AD38" s="678"/>
      <c r="AE38" s="678"/>
    </row>
    <row r="39" spans="16:31">
      <c r="P39" s="685"/>
      <c r="Q39" s="681"/>
      <c r="U39" s="685"/>
      <c r="V39" s="678"/>
      <c r="W39" s="678"/>
      <c r="X39" s="678"/>
      <c r="Y39" s="678"/>
      <c r="Z39" s="678"/>
      <c r="AA39" s="678"/>
      <c r="AB39" s="678"/>
      <c r="AC39" s="678"/>
      <c r="AD39" s="678"/>
      <c r="AE39" s="678"/>
    </row>
    <row r="40" spans="16:31">
      <c r="P40" s="685"/>
      <c r="Q40" s="681"/>
      <c r="U40" s="685"/>
      <c r="V40" s="678"/>
      <c r="W40" s="678"/>
      <c r="X40" s="678"/>
      <c r="Y40" s="678"/>
      <c r="Z40" s="678"/>
      <c r="AA40" s="678"/>
      <c r="AB40" s="678"/>
      <c r="AC40" s="678"/>
      <c r="AD40" s="678"/>
      <c r="AE40" s="678"/>
    </row>
    <row r="41" spans="16:31">
      <c r="P41" s="682"/>
      <c r="Q41" s="681"/>
      <c r="U41" s="682"/>
      <c r="V41" s="678"/>
      <c r="W41" s="678"/>
      <c r="X41" s="678"/>
      <c r="Y41" s="678"/>
      <c r="Z41" s="678"/>
      <c r="AA41" s="678"/>
      <c r="AB41" s="678"/>
      <c r="AC41" s="678"/>
      <c r="AD41" s="678"/>
      <c r="AE41" s="678"/>
    </row>
    <row r="42" spans="16:31">
      <c r="P42" s="682"/>
      <c r="Q42" s="681"/>
      <c r="U42" s="682"/>
      <c r="V42" s="678"/>
      <c r="W42" s="678"/>
      <c r="X42" s="678"/>
      <c r="Y42" s="678"/>
      <c r="Z42" s="678"/>
      <c r="AA42" s="678"/>
      <c r="AB42" s="678"/>
      <c r="AC42" s="678"/>
      <c r="AD42" s="678"/>
      <c r="AE42" s="678"/>
    </row>
    <row r="43" spans="16:31">
      <c r="P43" s="682"/>
      <c r="Q43" s="681"/>
      <c r="U43" s="682"/>
      <c r="V43" s="678"/>
      <c r="W43" s="678"/>
      <c r="X43" s="678"/>
      <c r="Y43" s="678"/>
      <c r="Z43" s="678"/>
      <c r="AA43" s="678"/>
      <c r="AB43" s="678"/>
      <c r="AC43" s="678"/>
      <c r="AD43" s="678"/>
      <c r="AE43" s="678"/>
    </row>
    <row r="44" spans="16:31">
      <c r="P44" s="682"/>
      <c r="Q44" s="681"/>
      <c r="U44" s="682"/>
      <c r="V44" s="678"/>
      <c r="W44" s="678"/>
      <c r="X44" s="678"/>
      <c r="Y44" s="678"/>
      <c r="Z44" s="678"/>
      <c r="AA44" s="678"/>
      <c r="AB44" s="678"/>
      <c r="AC44" s="678"/>
      <c r="AD44" s="678"/>
      <c r="AE44" s="678"/>
    </row>
    <row r="45" spans="16:31">
      <c r="P45" s="682"/>
      <c r="Q45" s="681"/>
      <c r="U45" s="682"/>
      <c r="V45" s="678"/>
      <c r="W45" s="678"/>
      <c r="X45" s="678"/>
      <c r="Y45" s="678"/>
      <c r="Z45" s="678"/>
      <c r="AA45" s="678"/>
      <c r="AB45" s="678"/>
      <c r="AC45" s="678"/>
      <c r="AD45" s="678"/>
      <c r="AE45" s="678"/>
    </row>
    <row r="46" spans="16:31">
      <c r="P46" s="685"/>
      <c r="Q46" s="687"/>
      <c r="U46" s="685"/>
    </row>
    <row r="47" spans="16:31">
      <c r="P47" s="679"/>
      <c r="Q47" s="687"/>
    </row>
    <row r="48" spans="16:31" ht="12.75">
      <c r="Q48" s="688"/>
      <c r="R48" s="688"/>
      <c r="S48" s="688"/>
      <c r="T48" s="675"/>
      <c r="U48" s="675"/>
      <c r="V48" s="675"/>
      <c r="W48" s="675"/>
      <c r="X48" s="675"/>
      <c r="Y48" s="675"/>
      <c r="Z48" s="675"/>
      <c r="AA48" s="675"/>
    </row>
    <row r="49" spans="7:31">
      <c r="P49" s="685"/>
      <c r="Q49" s="678"/>
      <c r="R49" s="678"/>
      <c r="S49" s="678"/>
      <c r="T49" s="678"/>
      <c r="U49" s="678"/>
      <c r="V49" s="678"/>
      <c r="W49" s="687"/>
      <c r="X49" s="687"/>
      <c r="Y49" s="687"/>
      <c r="Z49" s="687"/>
      <c r="AA49" s="687"/>
    </row>
    <row r="50" spans="7:31" ht="12.75">
      <c r="G50" s="419"/>
      <c r="H50" s="419"/>
      <c r="P50" s="685"/>
      <c r="Q50" s="678"/>
      <c r="V50" s="688"/>
      <c r="W50" s="688"/>
      <c r="X50" s="688"/>
      <c r="Y50" s="688"/>
      <c r="Z50" s="688"/>
      <c r="AA50" s="688"/>
      <c r="AB50" s="688"/>
      <c r="AC50" s="688"/>
      <c r="AD50" s="688"/>
      <c r="AE50" s="688"/>
    </row>
    <row r="51" spans="7:31">
      <c r="P51" s="685"/>
      <c r="U51" s="685"/>
      <c r="V51" s="681"/>
      <c r="W51" s="681"/>
      <c r="X51" s="681"/>
      <c r="Y51" s="681"/>
      <c r="Z51" s="681"/>
      <c r="AA51" s="681"/>
      <c r="AB51" s="681"/>
      <c r="AC51" s="681"/>
      <c r="AD51" s="681"/>
      <c r="AE51" s="681"/>
    </row>
    <row r="52" spans="7:31">
      <c r="P52" s="685"/>
      <c r="U52" s="685"/>
      <c r="V52" s="681"/>
      <c r="W52" s="681"/>
      <c r="X52" s="681"/>
      <c r="Y52" s="681"/>
      <c r="Z52" s="681"/>
      <c r="AA52" s="681"/>
      <c r="AB52" s="681"/>
      <c r="AC52" s="681"/>
      <c r="AD52" s="681"/>
      <c r="AE52" s="681"/>
    </row>
    <row r="53" spans="7:31">
      <c r="P53" s="685"/>
      <c r="U53" s="685"/>
      <c r="V53" s="681"/>
      <c r="W53" s="681"/>
      <c r="X53" s="681"/>
      <c r="Y53" s="681"/>
      <c r="Z53" s="681"/>
      <c r="AA53" s="681"/>
      <c r="AB53" s="681"/>
      <c r="AC53" s="681"/>
      <c r="AD53" s="681"/>
      <c r="AE53" s="681"/>
    </row>
    <row r="54" spans="7:31">
      <c r="P54" s="685"/>
      <c r="U54" s="685"/>
      <c r="V54" s="681"/>
      <c r="W54" s="681"/>
      <c r="X54" s="681"/>
      <c r="Y54" s="681"/>
      <c r="Z54" s="681"/>
      <c r="AA54" s="681"/>
      <c r="AB54" s="681"/>
      <c r="AC54" s="681"/>
      <c r="AD54" s="681"/>
      <c r="AE54" s="681"/>
    </row>
    <row r="55" spans="7:31">
      <c r="P55" s="685"/>
      <c r="Q55" s="678"/>
      <c r="R55" s="678"/>
      <c r="S55" s="678"/>
      <c r="T55" s="678"/>
      <c r="U55" s="685"/>
      <c r="V55" s="681"/>
      <c r="W55" s="681"/>
      <c r="X55" s="681"/>
      <c r="Y55" s="681"/>
      <c r="Z55" s="681"/>
      <c r="AA55" s="681"/>
      <c r="AB55" s="681"/>
      <c r="AC55" s="681"/>
      <c r="AD55" s="681"/>
      <c r="AE55" s="681"/>
    </row>
    <row r="56" spans="7:31">
      <c r="U56" s="679"/>
      <c r="V56" s="681"/>
      <c r="W56" s="681"/>
      <c r="X56" s="681"/>
      <c r="Y56" s="681"/>
      <c r="Z56" s="681"/>
      <c r="AA56" s="681"/>
      <c r="AB56" s="681"/>
      <c r="AC56" s="681"/>
      <c r="AD56" s="681"/>
      <c r="AE56" s="681"/>
    </row>
  </sheetData>
  <mergeCells count="1">
    <mergeCell ref="A1:L1"/>
  </mergeCells>
  <conditionalFormatting sqref="B32">
    <cfRule type="cellIs" dxfId="2367" priority="133" operator="equal">
      <formula>0</formula>
    </cfRule>
  </conditionalFormatting>
  <conditionalFormatting sqref="C32">
    <cfRule type="cellIs" dxfId="2366" priority="132" operator="equal">
      <formula>0</formula>
    </cfRule>
  </conditionalFormatting>
  <conditionalFormatting sqref="F32">
    <cfRule type="cellIs" dxfId="2365" priority="131" operator="equal">
      <formula>0</formula>
    </cfRule>
  </conditionalFormatting>
  <conditionalFormatting sqref="D32">
    <cfRule type="cellIs" dxfId="2364" priority="130" operator="equal">
      <formula>0</formula>
    </cfRule>
  </conditionalFormatting>
  <conditionalFormatting sqref="E32">
    <cfRule type="cellIs" dxfId="2363" priority="129" operator="equal">
      <formula>0</formula>
    </cfRule>
  </conditionalFormatting>
  <conditionalFormatting sqref="G32">
    <cfRule type="cellIs" dxfId="2362" priority="128" operator="equal">
      <formula>0</formula>
    </cfRule>
  </conditionalFormatting>
  <conditionalFormatting sqref="H32">
    <cfRule type="cellIs" dxfId="2361" priority="127" operator="equal">
      <formula>0</formula>
    </cfRule>
  </conditionalFormatting>
  <conditionalFormatting sqref="I32">
    <cfRule type="cellIs" dxfId="2360" priority="126" operator="equal">
      <formula>0</formula>
    </cfRule>
  </conditionalFormatting>
  <conditionalFormatting sqref="J32">
    <cfRule type="cellIs" dxfId="2359" priority="125" operator="equal">
      <formula>0</formula>
    </cfRule>
  </conditionalFormatting>
  <conditionalFormatting sqref="K32">
    <cfRule type="cellIs" dxfId="2358" priority="124" operator="equal">
      <formula>0</formula>
    </cfRule>
  </conditionalFormatting>
  <conditionalFormatting sqref="L32">
    <cfRule type="cellIs" dxfId="2357" priority="123" operator="equal">
      <formula>0</formula>
    </cfRule>
  </conditionalFormatting>
  <conditionalFormatting sqref="B5:B6">
    <cfRule type="cellIs" dxfId="2356" priority="122" operator="equal">
      <formula>0</formula>
    </cfRule>
  </conditionalFormatting>
  <conditionalFormatting sqref="B7:B14">
    <cfRule type="expression" dxfId="2355" priority="120">
      <formula>B7=MAX(B$7:B$14)</formula>
    </cfRule>
    <cfRule type="expression" dxfId="2354" priority="121">
      <formula>B7=MIN(B$7:B$14)</formula>
    </cfRule>
  </conditionalFormatting>
  <conditionalFormatting sqref="B16:B23">
    <cfRule type="expression" dxfId="2353" priority="117">
      <formula>B16=MAX(B$16:B$23)</formula>
    </cfRule>
    <cfRule type="expression" dxfId="2352" priority="118">
      <formula>B16=MIN(B$16:B$23)</formula>
    </cfRule>
  </conditionalFormatting>
  <conditionalFormatting sqref="B26:B30">
    <cfRule type="expression" dxfId="2351" priority="115">
      <formula>B26=MAX(B$26:B$30)</formula>
    </cfRule>
    <cfRule type="expression" dxfId="2350" priority="116">
      <formula>B26=MIN(B$26:B$30)</formula>
    </cfRule>
  </conditionalFormatting>
  <conditionalFormatting sqref="B15">
    <cfRule type="cellIs" dxfId="2349" priority="114" operator="equal">
      <formula>0</formula>
    </cfRule>
  </conditionalFormatting>
  <conditionalFormatting sqref="B24">
    <cfRule type="cellIs" dxfId="2348" priority="113" operator="equal">
      <formula>0</formula>
    </cfRule>
  </conditionalFormatting>
  <conditionalFormatting sqref="B25">
    <cfRule type="cellIs" dxfId="2347" priority="112" operator="equal">
      <formula>0</formula>
    </cfRule>
  </conditionalFormatting>
  <conditionalFormatting sqref="B31">
    <cfRule type="cellIs" dxfId="2346" priority="111" operator="equal">
      <formula>0</formula>
    </cfRule>
  </conditionalFormatting>
  <conditionalFormatting sqref="C5:C6">
    <cfRule type="cellIs" dxfId="2345" priority="110" operator="equal">
      <formula>0</formula>
    </cfRule>
  </conditionalFormatting>
  <conditionalFormatting sqref="C7:C14">
    <cfRule type="expression" dxfId="2344" priority="108">
      <formula>C7=MAX(C$7:C$14)</formula>
    </cfRule>
    <cfRule type="expression" dxfId="2343" priority="109">
      <formula>C7=MIN(C$7:C$14)</formula>
    </cfRule>
  </conditionalFormatting>
  <conditionalFormatting sqref="C16:C23">
    <cfRule type="expression" dxfId="2342" priority="106">
      <formula>C16=MAX(C$16:C$23)</formula>
    </cfRule>
    <cfRule type="expression" dxfId="2341" priority="107">
      <formula>C16=MIN(C$16:C$23)</formula>
    </cfRule>
  </conditionalFormatting>
  <conditionalFormatting sqref="C26:C30">
    <cfRule type="expression" dxfId="2340" priority="104">
      <formula>C26=MAX(C$26:C$30)</formula>
    </cfRule>
    <cfRule type="expression" dxfId="2339" priority="105">
      <formula>C26=MIN(C$26:C$30)</formula>
    </cfRule>
  </conditionalFormatting>
  <conditionalFormatting sqref="C15">
    <cfRule type="cellIs" dxfId="2338" priority="103" operator="equal">
      <formula>0</formula>
    </cfRule>
  </conditionalFormatting>
  <conditionalFormatting sqref="C24">
    <cfRule type="cellIs" dxfId="2337" priority="102" operator="equal">
      <formula>0</formula>
    </cfRule>
  </conditionalFormatting>
  <conditionalFormatting sqref="C25">
    <cfRule type="cellIs" dxfId="2336" priority="101" operator="equal">
      <formula>0</formula>
    </cfRule>
  </conditionalFormatting>
  <conditionalFormatting sqref="C31">
    <cfRule type="cellIs" dxfId="2335" priority="100" operator="equal">
      <formula>0</formula>
    </cfRule>
  </conditionalFormatting>
  <conditionalFormatting sqref="D5:D6">
    <cfRule type="cellIs" dxfId="2334" priority="99" operator="equal">
      <formula>0</formula>
    </cfRule>
  </conditionalFormatting>
  <conditionalFormatting sqref="D7:D14">
    <cfRule type="expression" dxfId="2333" priority="97">
      <formula>D7=MAX(D$7:D$14)</formula>
    </cfRule>
    <cfRule type="expression" dxfId="2332" priority="98">
      <formula>D7=MIN(D$7:D$14)</formula>
    </cfRule>
  </conditionalFormatting>
  <conditionalFormatting sqref="D16:D23">
    <cfRule type="expression" dxfId="2331" priority="95">
      <formula>D16=MAX(D$16:D$23)</formula>
    </cfRule>
    <cfRule type="expression" dxfId="2330" priority="96">
      <formula>D16=MIN(D$16:D$23)</formula>
    </cfRule>
  </conditionalFormatting>
  <conditionalFormatting sqref="D26:D30">
    <cfRule type="expression" dxfId="2329" priority="93">
      <formula>D26=MAX(D$26:D$30)</formula>
    </cfRule>
    <cfRule type="expression" dxfId="2328" priority="94">
      <formula>D26=MIN(D$26:D$30)</formula>
    </cfRule>
  </conditionalFormatting>
  <conditionalFormatting sqref="D15">
    <cfRule type="cellIs" dxfId="2327" priority="92" operator="equal">
      <formula>0</formula>
    </cfRule>
  </conditionalFormatting>
  <conditionalFormatting sqref="D24">
    <cfRule type="cellIs" dxfId="2326" priority="91" operator="equal">
      <formula>0</formula>
    </cfRule>
  </conditionalFormatting>
  <conditionalFormatting sqref="D25">
    <cfRule type="cellIs" dxfId="2325" priority="90" operator="equal">
      <formula>0</formula>
    </cfRule>
  </conditionalFormatting>
  <conditionalFormatting sqref="D31">
    <cfRule type="cellIs" dxfId="2324" priority="89" operator="equal">
      <formula>0</formula>
    </cfRule>
  </conditionalFormatting>
  <conditionalFormatting sqref="E5:E6">
    <cfRule type="cellIs" dxfId="2323" priority="88" operator="equal">
      <formula>0</formula>
    </cfRule>
  </conditionalFormatting>
  <conditionalFormatting sqref="E7:E14">
    <cfRule type="expression" dxfId="2322" priority="86">
      <formula>E7=MAX(E$7:E$14)</formula>
    </cfRule>
    <cfRule type="expression" dxfId="2321" priority="87">
      <formula>E7=MIN(E$7:E$14)</formula>
    </cfRule>
  </conditionalFormatting>
  <conditionalFormatting sqref="E16:E23">
    <cfRule type="expression" dxfId="2320" priority="84">
      <formula>E16=MAX(E$16:E$23)</formula>
    </cfRule>
    <cfRule type="expression" dxfId="2319" priority="85">
      <formula>E16=MIN(E$16:E$23)</formula>
    </cfRule>
  </conditionalFormatting>
  <conditionalFormatting sqref="E26:E30">
    <cfRule type="expression" dxfId="2318" priority="82">
      <formula>E26=MAX(E$26:E$30)</formula>
    </cfRule>
    <cfRule type="expression" dxfId="2317" priority="83">
      <formula>E26=MIN(E$26:E$30)</formula>
    </cfRule>
  </conditionalFormatting>
  <conditionalFormatting sqref="E15">
    <cfRule type="cellIs" dxfId="2316" priority="81" operator="equal">
      <formula>0</formula>
    </cfRule>
  </conditionalFormatting>
  <conditionalFormatting sqref="E24">
    <cfRule type="cellIs" dxfId="2315" priority="80" operator="equal">
      <formula>0</formula>
    </cfRule>
  </conditionalFormatting>
  <conditionalFormatting sqref="E25">
    <cfRule type="cellIs" dxfId="2314" priority="79" operator="equal">
      <formula>0</formula>
    </cfRule>
  </conditionalFormatting>
  <conditionalFormatting sqref="E31">
    <cfRule type="cellIs" dxfId="2313" priority="78" operator="equal">
      <formula>0</formula>
    </cfRule>
  </conditionalFormatting>
  <conditionalFormatting sqref="F5:F6">
    <cfRule type="cellIs" dxfId="2312" priority="77" operator="equal">
      <formula>0</formula>
    </cfRule>
  </conditionalFormatting>
  <conditionalFormatting sqref="F7:F14">
    <cfRule type="expression" dxfId="2311" priority="75">
      <formula>F7=MAX(F$7:F$14)</formula>
    </cfRule>
    <cfRule type="expression" dxfId="2310" priority="76">
      <formula>F7=MIN(F$7:F$14)</formula>
    </cfRule>
  </conditionalFormatting>
  <conditionalFormatting sqref="F16:F23">
    <cfRule type="expression" dxfId="2309" priority="73">
      <formula>F16=MAX(F$16:F$23)</formula>
    </cfRule>
    <cfRule type="expression" dxfId="2308" priority="74">
      <formula>F16=MIN(F$16:F$23)</formula>
    </cfRule>
  </conditionalFormatting>
  <conditionalFormatting sqref="F26:F30">
    <cfRule type="expression" dxfId="2307" priority="71">
      <formula>F26=MAX(F$26:F$30)</formula>
    </cfRule>
    <cfRule type="expression" dxfId="2306" priority="72">
      <formula>F26=MIN(F$26:F$30)</formula>
    </cfRule>
  </conditionalFormatting>
  <conditionalFormatting sqref="F15">
    <cfRule type="cellIs" dxfId="2305" priority="70" operator="equal">
      <formula>0</formula>
    </cfRule>
  </conditionalFormatting>
  <conditionalFormatting sqref="F24">
    <cfRule type="cellIs" dxfId="2304" priority="69" operator="equal">
      <formula>0</formula>
    </cfRule>
  </conditionalFormatting>
  <conditionalFormatting sqref="F25">
    <cfRule type="cellIs" dxfId="2303" priority="68" operator="equal">
      <formula>0</formula>
    </cfRule>
  </conditionalFormatting>
  <conditionalFormatting sqref="F31">
    <cfRule type="cellIs" dxfId="2302" priority="67" operator="equal">
      <formula>0</formula>
    </cfRule>
  </conditionalFormatting>
  <conditionalFormatting sqref="G5:G6">
    <cfRule type="cellIs" dxfId="2301" priority="66" operator="equal">
      <formula>0</formula>
    </cfRule>
  </conditionalFormatting>
  <conditionalFormatting sqref="G7:G14">
    <cfRule type="expression" dxfId="2300" priority="64">
      <formula>G7=MAX(G$7:G$14)</formula>
    </cfRule>
    <cfRule type="expression" dxfId="2299" priority="65">
      <formula>G7=MIN(G$7:G$14)</formula>
    </cfRule>
  </conditionalFormatting>
  <conditionalFormatting sqref="G16:G23">
    <cfRule type="expression" dxfId="2298" priority="62">
      <formula>G16=MAX(G$16:G$23)</formula>
    </cfRule>
    <cfRule type="expression" dxfId="2297" priority="63">
      <formula>G16=MIN(G$16:G$23)</formula>
    </cfRule>
  </conditionalFormatting>
  <conditionalFormatting sqref="G26:G30">
    <cfRule type="expression" dxfId="2296" priority="60">
      <formula>G26=MAX(G$26:G$30)</formula>
    </cfRule>
    <cfRule type="expression" dxfId="2295" priority="61">
      <formula>G26=MIN(G$26:G$30)</formula>
    </cfRule>
  </conditionalFormatting>
  <conditionalFormatting sqref="G15">
    <cfRule type="cellIs" dxfId="2294" priority="59" operator="equal">
      <formula>0</formula>
    </cfRule>
  </conditionalFormatting>
  <conditionalFormatting sqref="G24">
    <cfRule type="cellIs" dxfId="2293" priority="58" operator="equal">
      <formula>0</formula>
    </cfRule>
  </conditionalFormatting>
  <conditionalFormatting sqref="G25">
    <cfRule type="cellIs" dxfId="2292" priority="57" operator="equal">
      <formula>0</formula>
    </cfRule>
  </conditionalFormatting>
  <conditionalFormatting sqref="G31">
    <cfRule type="cellIs" dxfId="2291" priority="56" operator="equal">
      <formula>0</formula>
    </cfRule>
  </conditionalFormatting>
  <conditionalFormatting sqref="H5:H6">
    <cfRule type="cellIs" dxfId="2290" priority="55" operator="equal">
      <formula>0</formula>
    </cfRule>
  </conditionalFormatting>
  <conditionalFormatting sqref="H7:H14">
    <cfRule type="expression" dxfId="2289" priority="53">
      <formula>H7=MAX(H$7:H$14)</formula>
    </cfRule>
    <cfRule type="expression" dxfId="2288" priority="54">
      <formula>H7=MIN(H$7:H$14)</formula>
    </cfRule>
  </conditionalFormatting>
  <conditionalFormatting sqref="H16:H23">
    <cfRule type="expression" dxfId="2287" priority="51">
      <formula>H16=MAX(H$16:H$23)</formula>
    </cfRule>
    <cfRule type="expression" dxfId="2286" priority="52">
      <formula>H16=MIN(H$16:H$23)</formula>
    </cfRule>
  </conditionalFormatting>
  <conditionalFormatting sqref="H26:H30">
    <cfRule type="expression" dxfId="2285" priority="49">
      <formula>H26=MAX(H$26:H$30)</formula>
    </cfRule>
    <cfRule type="expression" dxfId="2284" priority="50">
      <formula>H26=MIN(H$26:H$30)</formula>
    </cfRule>
  </conditionalFormatting>
  <conditionalFormatting sqref="H15">
    <cfRule type="cellIs" dxfId="2283" priority="48" operator="equal">
      <formula>0</formula>
    </cfRule>
  </conditionalFormatting>
  <conditionalFormatting sqref="H24">
    <cfRule type="cellIs" dxfId="2282" priority="47" operator="equal">
      <formula>0</formula>
    </cfRule>
  </conditionalFormatting>
  <conditionalFormatting sqref="H25">
    <cfRule type="cellIs" dxfId="2281" priority="46" operator="equal">
      <formula>0</formula>
    </cfRule>
  </conditionalFormatting>
  <conditionalFormatting sqref="H31">
    <cfRule type="cellIs" dxfId="2280" priority="45" operator="equal">
      <formula>0</formula>
    </cfRule>
  </conditionalFormatting>
  <conditionalFormatting sqref="I5:I6">
    <cfRule type="cellIs" dxfId="2279" priority="44" operator="equal">
      <formula>0</formula>
    </cfRule>
  </conditionalFormatting>
  <conditionalFormatting sqref="I7:I14">
    <cfRule type="expression" dxfId="2278" priority="42">
      <formula>I7=MAX(I$7:I$14)</formula>
    </cfRule>
    <cfRule type="expression" dxfId="2277" priority="43">
      <formula>I7=MIN(I$7:I$14)</formula>
    </cfRule>
  </conditionalFormatting>
  <conditionalFormatting sqref="I16:I23">
    <cfRule type="expression" dxfId="2276" priority="40">
      <formula>I16=MAX(I$16:I$23)</formula>
    </cfRule>
    <cfRule type="expression" dxfId="2275" priority="41">
      <formula>I16=MIN(I$16:I$23)</formula>
    </cfRule>
  </conditionalFormatting>
  <conditionalFormatting sqref="I26:I30">
    <cfRule type="expression" dxfId="2274" priority="38">
      <formula>I26=MAX(I$26:I$30)</formula>
    </cfRule>
    <cfRule type="expression" dxfId="2273" priority="39">
      <formula>I26=MIN(I$26:I$30)</formula>
    </cfRule>
  </conditionalFormatting>
  <conditionalFormatting sqref="I15">
    <cfRule type="cellIs" dxfId="2272" priority="37" operator="equal">
      <formula>0</formula>
    </cfRule>
  </conditionalFormatting>
  <conditionalFormatting sqref="I24">
    <cfRule type="cellIs" dxfId="2271" priority="36" operator="equal">
      <formula>0</formula>
    </cfRule>
  </conditionalFormatting>
  <conditionalFormatting sqref="I25">
    <cfRule type="cellIs" dxfId="2270" priority="35" operator="equal">
      <formula>0</formula>
    </cfRule>
  </conditionalFormatting>
  <conditionalFormatting sqref="I31">
    <cfRule type="cellIs" dxfId="2269" priority="34" operator="equal">
      <formula>0</formula>
    </cfRule>
  </conditionalFormatting>
  <conditionalFormatting sqref="J5:J6">
    <cfRule type="cellIs" dxfId="2268" priority="33" operator="equal">
      <formula>0</formula>
    </cfRule>
  </conditionalFormatting>
  <conditionalFormatting sqref="J7:J14">
    <cfRule type="expression" dxfId="2267" priority="31">
      <formula>J7=MAX(J$7:J$14)</formula>
    </cfRule>
    <cfRule type="expression" dxfId="2266" priority="32">
      <formula>J7=MIN(J$7:J$14)</formula>
    </cfRule>
  </conditionalFormatting>
  <conditionalFormatting sqref="J16:J23">
    <cfRule type="expression" dxfId="2265" priority="29">
      <formula>J16=MAX(J$16:J$23)</formula>
    </cfRule>
    <cfRule type="expression" dxfId="2264" priority="30">
      <formula>J16=MIN(J$16:J$23)</formula>
    </cfRule>
  </conditionalFormatting>
  <conditionalFormatting sqref="J26:J30">
    <cfRule type="expression" dxfId="2263" priority="27">
      <formula>J26=MAX(J$26:J$30)</formula>
    </cfRule>
    <cfRule type="expression" dxfId="2262" priority="28">
      <formula>J26=MIN(J$26:J$30)</formula>
    </cfRule>
  </conditionalFormatting>
  <conditionalFormatting sqref="J15">
    <cfRule type="cellIs" dxfId="2261" priority="26" operator="equal">
      <formula>0</formula>
    </cfRule>
  </conditionalFormatting>
  <conditionalFormatting sqref="J24">
    <cfRule type="cellIs" dxfId="2260" priority="25" operator="equal">
      <formula>0</formula>
    </cfRule>
  </conditionalFormatting>
  <conditionalFormatting sqref="J25">
    <cfRule type="cellIs" dxfId="2259" priority="24" operator="equal">
      <formula>0</formula>
    </cfRule>
  </conditionalFormatting>
  <conditionalFormatting sqref="J31">
    <cfRule type="cellIs" dxfId="2258" priority="23" operator="equal">
      <formula>0</formula>
    </cfRule>
  </conditionalFormatting>
  <conditionalFormatting sqref="K5:K6">
    <cfRule type="cellIs" dxfId="2257" priority="22" operator="equal">
      <formula>0</formula>
    </cfRule>
  </conditionalFormatting>
  <conditionalFormatting sqref="K7:K14">
    <cfRule type="expression" dxfId="2256" priority="20">
      <formula>K7=MAX(K$7:K$14)</formula>
    </cfRule>
    <cfRule type="expression" dxfId="2255" priority="21">
      <formula>K7=MIN(K$7:K$14)</formula>
    </cfRule>
  </conditionalFormatting>
  <conditionalFormatting sqref="K16:K23">
    <cfRule type="expression" dxfId="2254" priority="18">
      <formula>K16=MAX(K$16:K$23)</formula>
    </cfRule>
    <cfRule type="expression" dxfId="2253" priority="19">
      <formula>K16=MIN(K$16:K$23)</formula>
    </cfRule>
  </conditionalFormatting>
  <conditionalFormatting sqref="K26:K30">
    <cfRule type="expression" dxfId="2252" priority="16">
      <formula>K26=MAX(K$26:K$30)</formula>
    </cfRule>
    <cfRule type="expression" dxfId="2251" priority="17">
      <formula>K26=MIN(K$26:K$30)</formula>
    </cfRule>
  </conditionalFormatting>
  <conditionalFormatting sqref="K15">
    <cfRule type="cellIs" dxfId="2250" priority="15" operator="equal">
      <formula>0</formula>
    </cfRule>
  </conditionalFormatting>
  <conditionalFormatting sqref="K24">
    <cfRule type="cellIs" dxfId="2249" priority="14" operator="equal">
      <formula>0</formula>
    </cfRule>
  </conditionalFormatting>
  <conditionalFormatting sqref="K25">
    <cfRule type="cellIs" dxfId="2248" priority="13" operator="equal">
      <formula>0</formula>
    </cfRule>
  </conditionalFormatting>
  <conditionalFormatting sqref="K31">
    <cfRule type="cellIs" dxfId="2247" priority="12" operator="equal">
      <formula>0</formula>
    </cfRule>
  </conditionalFormatting>
  <conditionalFormatting sqref="L5:L6">
    <cfRule type="cellIs" dxfId="2246" priority="11" operator="equal">
      <formula>0</formula>
    </cfRule>
  </conditionalFormatting>
  <conditionalFormatting sqref="L7:L14">
    <cfRule type="expression" dxfId="2245" priority="9">
      <formula>L7=MAX(L$7:L$14)</formula>
    </cfRule>
    <cfRule type="expression" dxfId="2244" priority="10">
      <formula>L7=MIN(L$7:L$14)</formula>
    </cfRule>
  </conditionalFormatting>
  <conditionalFormatting sqref="L16:L23">
    <cfRule type="expression" dxfId="2243" priority="7">
      <formula>L16=MAX(L$16:L$23)</formula>
    </cfRule>
    <cfRule type="expression" dxfId="2242" priority="8">
      <formula>L16=MIN(L$16:L$23)</formula>
    </cfRule>
  </conditionalFormatting>
  <conditionalFormatting sqref="L26:L30">
    <cfRule type="expression" dxfId="2241" priority="5">
      <formula>L26=MAX(L$26:L$30)</formula>
    </cfRule>
    <cfRule type="expression" dxfId="2240" priority="6">
      <formula>L26=MIN(L$26:L$30)</formula>
    </cfRule>
  </conditionalFormatting>
  <conditionalFormatting sqref="L15">
    <cfRule type="cellIs" dxfId="2239" priority="4" operator="equal">
      <formula>0</formula>
    </cfRule>
  </conditionalFormatting>
  <conditionalFormatting sqref="L24">
    <cfRule type="cellIs" dxfId="2238" priority="3" operator="equal">
      <formula>0</formula>
    </cfRule>
  </conditionalFormatting>
  <conditionalFormatting sqref="L25">
    <cfRule type="cellIs" dxfId="2237" priority="2" operator="equal">
      <formula>0</formula>
    </cfRule>
  </conditionalFormatting>
  <conditionalFormatting sqref="L31">
    <cfRule type="cellIs" dxfId="2236" priority="1" operator="equal">
      <formula>0</formula>
    </cfRule>
  </conditionalFormatting>
  <printOptions horizontalCentered="1"/>
  <pageMargins left="0.19685039370078741" right="0.19685039370078741" top="1.5748031496062993" bottom="0.39370078740157483" header="0.31496062992125984" footer="0"/>
  <pageSetup paperSize="9" scale="85" fitToWidth="0" fitToHeight="0" orientation="portrait" r:id="rId1"/>
  <headerFooter>
    <oddHeader>&amp;C&amp;G</oddHead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71">
    <tabColor indexed="24"/>
    <pageSetUpPr fitToPage="1"/>
  </sheetPr>
  <dimension ref="A1:U51"/>
  <sheetViews>
    <sheetView showGridLines="0" zoomScaleNormal="100" workbookViewId="0">
      <selection activeCell="Y70" sqref="Y70"/>
    </sheetView>
  </sheetViews>
  <sheetFormatPr defaultColWidth="9.140625" defaultRowHeight="11.25"/>
  <cols>
    <col min="1" max="1" width="2" style="115" customWidth="1"/>
    <col min="2" max="2" width="28.28515625" style="115" customWidth="1"/>
    <col min="3" max="3" width="6.7109375" style="20" customWidth="1"/>
    <col min="4" max="5" width="6.7109375" style="131" customWidth="1"/>
    <col min="6" max="13" width="6.7109375" style="115" customWidth="1"/>
    <col min="14" max="15" width="6.7109375" style="2" customWidth="1"/>
    <col min="16" max="16384" width="9.140625" style="115"/>
  </cols>
  <sheetData>
    <row r="1" spans="1:21" s="126" customFormat="1" ht="28.5" customHeight="1">
      <c r="A1" s="983" t="s">
        <v>776</v>
      </c>
      <c r="B1" s="983"/>
      <c r="C1" s="983"/>
      <c r="D1" s="983"/>
      <c r="E1" s="983"/>
      <c r="F1" s="983"/>
      <c r="G1" s="983"/>
      <c r="H1" s="983"/>
      <c r="I1" s="983"/>
      <c r="J1" s="983"/>
      <c r="K1" s="983"/>
      <c r="L1" s="983"/>
      <c r="M1" s="983"/>
      <c r="N1" s="636"/>
      <c r="O1" s="636"/>
    </row>
    <row r="2" spans="1:21" ht="15.75" customHeight="1">
      <c r="A2" s="284"/>
      <c r="B2" s="284"/>
      <c r="C2" s="180"/>
      <c r="D2" s="172"/>
      <c r="E2" s="172"/>
      <c r="F2" s="140"/>
      <c r="G2" s="140"/>
      <c r="H2" s="140"/>
      <c r="I2" s="140"/>
      <c r="J2" s="140"/>
      <c r="K2" s="140"/>
      <c r="L2" s="140"/>
      <c r="M2" s="140"/>
      <c r="N2" s="140"/>
      <c r="O2" s="140"/>
    </row>
    <row r="3" spans="1:21" ht="15" customHeight="1">
      <c r="A3" s="173" t="s">
        <v>41</v>
      </c>
      <c r="B3" s="210"/>
      <c r="C3" s="182"/>
      <c r="D3" s="172"/>
      <c r="E3" s="172"/>
      <c r="F3" s="140"/>
      <c r="G3" s="140"/>
      <c r="H3" s="140"/>
      <c r="I3" s="140"/>
      <c r="J3" s="140"/>
      <c r="K3" s="140"/>
      <c r="L3" s="140"/>
      <c r="M3" s="140"/>
      <c r="N3" s="140"/>
      <c r="O3" s="140"/>
    </row>
    <row r="4" spans="1:21" ht="28.5" customHeight="1" thickBot="1">
      <c r="A4" s="104" t="s">
        <v>1</v>
      </c>
      <c r="B4" s="30"/>
      <c r="C4" s="14">
        <v>2014</v>
      </c>
      <c r="D4" s="14">
        <v>2015</v>
      </c>
      <c r="E4" s="14">
        <v>2016</v>
      </c>
      <c r="F4" s="14">
        <v>2017</v>
      </c>
      <c r="G4" s="14">
        <v>2018</v>
      </c>
      <c r="H4" s="14">
        <v>2019</v>
      </c>
      <c r="I4" s="14">
        <v>2020</v>
      </c>
      <c r="J4" s="14">
        <v>2021</v>
      </c>
      <c r="K4" s="14">
        <v>2022</v>
      </c>
      <c r="L4" s="14">
        <v>2023</v>
      </c>
      <c r="M4" s="14">
        <v>2024</v>
      </c>
      <c r="N4" s="637">
        <v>2013</v>
      </c>
      <c r="O4" s="638">
        <v>2023</v>
      </c>
      <c r="Q4" s="395">
        <f>+N4</f>
        <v>2013</v>
      </c>
      <c r="R4" s="395">
        <f>+O4</f>
        <v>2023</v>
      </c>
      <c r="T4" s="395" t="str">
        <f>+M4&amp;" - "&amp;L4</f>
        <v>2024 - 2023</v>
      </c>
      <c r="U4" s="668" t="s">
        <v>285</v>
      </c>
    </row>
    <row r="5" spans="1:21" s="127" customFormat="1" ht="16.5" customHeight="1" thickTop="1">
      <c r="A5" s="32" t="s">
        <v>42</v>
      </c>
      <c r="B5" s="201"/>
      <c r="C5" s="321">
        <v>318886</v>
      </c>
      <c r="D5" s="321">
        <v>321500</v>
      </c>
      <c r="E5" s="321">
        <v>324933</v>
      </c>
      <c r="F5" s="321">
        <v>327295</v>
      </c>
      <c r="G5" s="321">
        <v>330668</v>
      </c>
      <c r="H5" s="321">
        <v>322978</v>
      </c>
      <c r="I5" s="321">
        <v>324959</v>
      </c>
      <c r="J5" s="321">
        <v>318254</v>
      </c>
      <c r="K5" s="321">
        <v>332683</v>
      </c>
      <c r="L5" s="321">
        <v>340364</v>
      </c>
      <c r="M5" s="321">
        <v>338026</v>
      </c>
      <c r="N5" s="639">
        <f>+C5*100/C$5</f>
        <v>100</v>
      </c>
      <c r="O5" s="639">
        <f>+M5*100/M$5</f>
        <v>100</v>
      </c>
      <c r="T5" s="667">
        <f>+M5-L5</f>
        <v>-2338</v>
      </c>
      <c r="U5" s="669">
        <f>+T5/M5</f>
        <v>-6.916627715027838E-3</v>
      </c>
    </row>
    <row r="6" spans="1:21" s="127" customFormat="1" ht="16.5" customHeight="1">
      <c r="A6" s="201" t="s">
        <v>72</v>
      </c>
      <c r="B6" s="307" t="s">
        <v>169</v>
      </c>
      <c r="C6" s="322">
        <v>13885</v>
      </c>
      <c r="D6" s="322">
        <v>14286</v>
      </c>
      <c r="E6" s="322">
        <v>14632</v>
      </c>
      <c r="F6" s="322">
        <v>14726</v>
      </c>
      <c r="G6" s="322">
        <v>14824</v>
      </c>
      <c r="H6" s="322">
        <v>14355</v>
      </c>
      <c r="I6" s="322">
        <v>14520</v>
      </c>
      <c r="J6" s="322">
        <v>14031</v>
      </c>
      <c r="K6" s="322">
        <v>14449</v>
      </c>
      <c r="L6" s="322">
        <v>14667</v>
      </c>
      <c r="M6" s="322">
        <v>14544</v>
      </c>
      <c r="N6" s="639">
        <f t="shared" ref="N6:N49" si="0">+C6*100/C$5</f>
        <v>4.3542206305701727</v>
      </c>
      <c r="O6" s="639">
        <f t="shared" ref="O6:O50" si="1">+M6*100/M$5</f>
        <v>4.3026276085271551</v>
      </c>
      <c r="Q6" s="127">
        <f>+RANK(N6,$N$6:$N$49,0)</f>
        <v>8</v>
      </c>
      <c r="R6" s="127">
        <f>+RANK(O6,$O$6:$O$49,0)</f>
        <v>7</v>
      </c>
    </row>
    <row r="7" spans="1:21" s="127" customFormat="1" ht="12.75" customHeight="1">
      <c r="A7" s="201" t="s">
        <v>73</v>
      </c>
      <c r="B7" s="307" t="s">
        <v>101</v>
      </c>
      <c r="C7" s="322">
        <v>765</v>
      </c>
      <c r="D7" s="322">
        <v>762</v>
      </c>
      <c r="E7" s="322">
        <v>737</v>
      </c>
      <c r="F7" s="322">
        <v>744</v>
      </c>
      <c r="G7" s="322">
        <v>728</v>
      </c>
      <c r="H7" s="322">
        <v>697</v>
      </c>
      <c r="I7" s="322">
        <v>684</v>
      </c>
      <c r="J7" s="322">
        <v>657</v>
      </c>
      <c r="K7" s="322">
        <v>665</v>
      </c>
      <c r="L7" s="322">
        <v>680</v>
      </c>
      <c r="M7" s="322">
        <v>647</v>
      </c>
      <c r="N7" s="639">
        <f t="shared" si="0"/>
        <v>0.23989764367203326</v>
      </c>
      <c r="O7" s="639">
        <f t="shared" si="1"/>
        <v>0.19140539485128363</v>
      </c>
      <c r="Q7" s="127">
        <f t="shared" ref="Q7:Q49" si="2">+RANK(N7,$N$6:$N$49,0)</f>
        <v>30</v>
      </c>
      <c r="R7" s="127">
        <f t="shared" ref="R7:R49" si="3">+RANK(O7,$O$6:$O$49,0)</f>
        <v>32</v>
      </c>
    </row>
    <row r="8" spans="1:21" s="127" customFormat="1" ht="12.75" customHeight="1">
      <c r="A8" s="201" t="s">
        <v>74</v>
      </c>
      <c r="B8" s="307" t="s">
        <v>100</v>
      </c>
      <c r="C8" s="322">
        <v>36167</v>
      </c>
      <c r="D8" s="322">
        <v>36172</v>
      </c>
      <c r="E8" s="322">
        <v>36485</v>
      </c>
      <c r="F8" s="322">
        <v>36402</v>
      </c>
      <c r="G8" s="322">
        <v>36243</v>
      </c>
      <c r="H8" s="322">
        <v>34835</v>
      </c>
      <c r="I8" s="322">
        <v>34676</v>
      </c>
      <c r="J8" s="322">
        <v>33711</v>
      </c>
      <c r="K8" s="322">
        <v>34690</v>
      </c>
      <c r="L8" s="322">
        <v>34549</v>
      </c>
      <c r="M8" s="322">
        <v>33564</v>
      </c>
      <c r="N8" s="640">
        <f t="shared" si="0"/>
        <v>11.341670691093368</v>
      </c>
      <c r="O8" s="641">
        <f t="shared" si="1"/>
        <v>9.929413713737997</v>
      </c>
      <c r="Q8" s="127">
        <f t="shared" si="2"/>
        <v>2</v>
      </c>
      <c r="R8" s="127">
        <f t="shared" si="3"/>
        <v>4</v>
      </c>
    </row>
    <row r="9" spans="1:21" s="127" customFormat="1" ht="12.75" customHeight="1">
      <c r="A9" s="103"/>
      <c r="B9" s="102" t="s">
        <v>87</v>
      </c>
      <c r="C9" s="323">
        <v>6521</v>
      </c>
      <c r="D9" s="323">
        <v>6422</v>
      </c>
      <c r="E9" s="323">
        <v>6402</v>
      </c>
      <c r="F9" s="323">
        <v>6272</v>
      </c>
      <c r="G9" s="323">
        <v>6097</v>
      </c>
      <c r="H9" s="323">
        <v>5825</v>
      </c>
      <c r="I9" s="323">
        <v>5700</v>
      </c>
      <c r="J9" s="323">
        <v>5473</v>
      </c>
      <c r="K9" s="323">
        <v>5531</v>
      </c>
      <c r="L9" s="323">
        <v>5413</v>
      </c>
      <c r="M9" s="323">
        <v>5229</v>
      </c>
      <c r="N9" s="639">
        <f t="shared" si="0"/>
        <v>2.0449314174971618</v>
      </c>
      <c r="O9" s="639">
        <f t="shared" si="1"/>
        <v>1.5469224260855674</v>
      </c>
      <c r="Q9" s="127">
        <f t="shared" si="2"/>
        <v>13</v>
      </c>
      <c r="R9" s="127">
        <f t="shared" si="3"/>
        <v>16</v>
      </c>
    </row>
    <row r="10" spans="1:21" s="127" customFormat="1" ht="12.75" customHeight="1">
      <c r="A10" s="103"/>
      <c r="B10" s="102" t="s">
        <v>88</v>
      </c>
      <c r="C10" s="323">
        <v>751</v>
      </c>
      <c r="D10" s="323">
        <v>754</v>
      </c>
      <c r="E10" s="323">
        <v>787</v>
      </c>
      <c r="F10" s="323">
        <v>786</v>
      </c>
      <c r="G10" s="323">
        <v>808</v>
      </c>
      <c r="H10" s="323">
        <v>814</v>
      </c>
      <c r="I10" s="323">
        <v>816</v>
      </c>
      <c r="J10" s="323">
        <v>807</v>
      </c>
      <c r="K10" s="323">
        <v>845</v>
      </c>
      <c r="L10" s="323">
        <v>871</v>
      </c>
      <c r="M10" s="323">
        <v>881</v>
      </c>
      <c r="N10" s="639">
        <f t="shared" si="0"/>
        <v>0.23550735999698952</v>
      </c>
      <c r="O10" s="639">
        <f t="shared" si="1"/>
        <v>0.26063083904788387</v>
      </c>
      <c r="Q10" s="127">
        <f t="shared" si="2"/>
        <v>31</v>
      </c>
      <c r="R10" s="127">
        <f t="shared" si="3"/>
        <v>29</v>
      </c>
    </row>
    <row r="11" spans="1:21" s="127" customFormat="1" ht="12.75" customHeight="1">
      <c r="A11" s="103"/>
      <c r="B11" s="102" t="s">
        <v>89</v>
      </c>
      <c r="C11" s="323">
        <v>1</v>
      </c>
      <c r="D11" s="323">
        <v>1</v>
      </c>
      <c r="E11" s="323">
        <v>1</v>
      </c>
      <c r="F11" s="323">
        <v>1</v>
      </c>
      <c r="G11" s="323">
        <v>1</v>
      </c>
      <c r="H11" s="323">
        <v>1</v>
      </c>
      <c r="I11" s="323">
        <v>1</v>
      </c>
      <c r="J11" s="323">
        <v>1</v>
      </c>
      <c r="K11" s="323">
        <v>1</v>
      </c>
      <c r="L11" s="323">
        <v>1</v>
      </c>
      <c r="M11" s="323">
        <v>1</v>
      </c>
      <c r="N11" s="639">
        <f t="shared" si="0"/>
        <v>3.1359169107455327E-4</v>
      </c>
      <c r="O11" s="639">
        <f t="shared" si="1"/>
        <v>2.9583523160940282E-4</v>
      </c>
      <c r="Q11" s="127">
        <f t="shared" si="2"/>
        <v>44</v>
      </c>
      <c r="R11" s="127">
        <f t="shared" si="3"/>
        <v>44</v>
      </c>
    </row>
    <row r="12" spans="1:21" s="127" customFormat="1" ht="12.75" customHeight="1">
      <c r="A12" s="103"/>
      <c r="B12" s="102" t="s">
        <v>0</v>
      </c>
      <c r="C12" s="323">
        <v>1685</v>
      </c>
      <c r="D12" s="323">
        <v>1709</v>
      </c>
      <c r="E12" s="323">
        <v>1718</v>
      </c>
      <c r="F12" s="323">
        <v>1708</v>
      </c>
      <c r="G12" s="323">
        <v>1697</v>
      </c>
      <c r="H12" s="323">
        <v>1612</v>
      </c>
      <c r="I12" s="323">
        <v>1584</v>
      </c>
      <c r="J12" s="323">
        <v>1562</v>
      </c>
      <c r="K12" s="323">
        <v>1614</v>
      </c>
      <c r="L12" s="323">
        <v>1582</v>
      </c>
      <c r="M12" s="323">
        <v>1533</v>
      </c>
      <c r="N12" s="639">
        <f t="shared" si="0"/>
        <v>0.52840199946062227</v>
      </c>
      <c r="O12" s="639">
        <f t="shared" si="1"/>
        <v>0.45351541005721452</v>
      </c>
      <c r="Q12" s="127">
        <f t="shared" si="2"/>
        <v>23</v>
      </c>
      <c r="R12" s="127">
        <f t="shared" si="3"/>
        <v>23</v>
      </c>
    </row>
    <row r="13" spans="1:21" s="127" customFormat="1" ht="12.75" customHeight="1">
      <c r="A13" s="103"/>
      <c r="B13" s="102" t="s">
        <v>90</v>
      </c>
      <c r="C13" s="323">
        <v>4042</v>
      </c>
      <c r="D13" s="323">
        <v>4081</v>
      </c>
      <c r="E13" s="323">
        <v>4156</v>
      </c>
      <c r="F13" s="323">
        <v>4122</v>
      </c>
      <c r="G13" s="323">
        <v>3991</v>
      </c>
      <c r="H13" s="323">
        <v>3625</v>
      </c>
      <c r="I13" s="323">
        <v>3528</v>
      </c>
      <c r="J13" s="323">
        <v>3412</v>
      </c>
      <c r="K13" s="323">
        <v>3478</v>
      </c>
      <c r="L13" s="323">
        <v>3319</v>
      </c>
      <c r="M13" s="323">
        <v>3082</v>
      </c>
      <c r="N13" s="639">
        <f t="shared" si="0"/>
        <v>1.2675376153233444</v>
      </c>
      <c r="O13" s="639">
        <f t="shared" si="1"/>
        <v>0.91176418382017954</v>
      </c>
      <c r="Q13" s="127">
        <f t="shared" si="2"/>
        <v>17</v>
      </c>
      <c r="R13" s="127">
        <f t="shared" si="3"/>
        <v>18</v>
      </c>
    </row>
    <row r="14" spans="1:21" s="127" customFormat="1" ht="12.75" customHeight="1">
      <c r="A14" s="103"/>
      <c r="B14" s="102" t="s">
        <v>143</v>
      </c>
      <c r="C14" s="323">
        <v>1942</v>
      </c>
      <c r="D14" s="323">
        <v>1994</v>
      </c>
      <c r="E14" s="323">
        <v>2022</v>
      </c>
      <c r="F14" s="323">
        <v>1987</v>
      </c>
      <c r="G14" s="323">
        <v>1938</v>
      </c>
      <c r="H14" s="323">
        <v>1745</v>
      </c>
      <c r="I14" s="323">
        <v>1691</v>
      </c>
      <c r="J14" s="323">
        <v>1606</v>
      </c>
      <c r="K14" s="323">
        <v>1675</v>
      </c>
      <c r="L14" s="323">
        <v>1545</v>
      </c>
      <c r="M14" s="323">
        <v>1397</v>
      </c>
      <c r="N14" s="639">
        <f t="shared" si="0"/>
        <v>0.6089950640667825</v>
      </c>
      <c r="O14" s="639">
        <f t="shared" si="1"/>
        <v>0.41328181855833573</v>
      </c>
      <c r="Q14" s="127">
        <f t="shared" si="2"/>
        <v>22</v>
      </c>
      <c r="R14" s="127">
        <f t="shared" si="3"/>
        <v>24</v>
      </c>
    </row>
    <row r="15" spans="1:21" s="127" customFormat="1" ht="12.75" customHeight="1">
      <c r="A15" s="103"/>
      <c r="B15" s="102" t="s">
        <v>144</v>
      </c>
      <c r="C15" s="323">
        <v>2285</v>
      </c>
      <c r="D15" s="323">
        <v>2267</v>
      </c>
      <c r="E15" s="323">
        <v>2256</v>
      </c>
      <c r="F15" s="323">
        <v>2214</v>
      </c>
      <c r="G15" s="323">
        <v>2223</v>
      </c>
      <c r="H15" s="323">
        <v>2164</v>
      </c>
      <c r="I15" s="323">
        <v>2140</v>
      </c>
      <c r="J15" s="323">
        <v>2069</v>
      </c>
      <c r="K15" s="323">
        <v>2125</v>
      </c>
      <c r="L15" s="323">
        <v>2125</v>
      </c>
      <c r="M15" s="323">
        <v>2037</v>
      </c>
      <c r="N15" s="639">
        <f t="shared" si="0"/>
        <v>0.71655701410535422</v>
      </c>
      <c r="O15" s="639">
        <f t="shared" si="1"/>
        <v>0.60261636678835351</v>
      </c>
      <c r="Q15" s="127">
        <f t="shared" si="2"/>
        <v>21</v>
      </c>
      <c r="R15" s="127">
        <f t="shared" si="3"/>
        <v>21</v>
      </c>
    </row>
    <row r="16" spans="1:21" s="127" customFormat="1" ht="12.75" customHeight="1">
      <c r="A16" s="103"/>
      <c r="B16" s="102" t="s">
        <v>145</v>
      </c>
      <c r="C16" s="323">
        <v>339</v>
      </c>
      <c r="D16" s="323">
        <v>344</v>
      </c>
      <c r="E16" s="323">
        <v>347</v>
      </c>
      <c r="F16" s="323">
        <v>337</v>
      </c>
      <c r="G16" s="323">
        <v>353</v>
      </c>
      <c r="H16" s="323">
        <v>365</v>
      </c>
      <c r="I16" s="323">
        <v>371</v>
      </c>
      <c r="J16" s="323">
        <v>365</v>
      </c>
      <c r="K16" s="323">
        <v>366</v>
      </c>
      <c r="L16" s="323">
        <v>369</v>
      </c>
      <c r="M16" s="323">
        <v>372</v>
      </c>
      <c r="N16" s="639">
        <f t="shared" si="0"/>
        <v>0.10630758327427356</v>
      </c>
      <c r="O16" s="639">
        <f t="shared" si="1"/>
        <v>0.11005070615869786</v>
      </c>
      <c r="Q16" s="127">
        <f t="shared" si="2"/>
        <v>37</v>
      </c>
      <c r="R16" s="127">
        <f t="shared" si="3"/>
        <v>36</v>
      </c>
    </row>
    <row r="17" spans="1:18" s="127" customFormat="1" ht="12.75" customHeight="1">
      <c r="A17" s="103"/>
      <c r="B17" s="102" t="s">
        <v>146</v>
      </c>
      <c r="C17" s="323">
        <v>1375</v>
      </c>
      <c r="D17" s="323">
        <v>1337</v>
      </c>
      <c r="E17" s="323">
        <v>1309</v>
      </c>
      <c r="F17" s="323">
        <v>1301</v>
      </c>
      <c r="G17" s="323">
        <v>1270</v>
      </c>
      <c r="H17" s="323">
        <v>1195</v>
      </c>
      <c r="I17" s="323">
        <v>1168</v>
      </c>
      <c r="J17" s="323">
        <v>1106</v>
      </c>
      <c r="K17" s="323">
        <v>1134</v>
      </c>
      <c r="L17" s="323">
        <v>1108</v>
      </c>
      <c r="M17" s="323">
        <v>1083</v>
      </c>
      <c r="N17" s="639">
        <f t="shared" si="0"/>
        <v>0.43118857522751075</v>
      </c>
      <c r="O17" s="639">
        <f t="shared" si="1"/>
        <v>0.32038955583298329</v>
      </c>
      <c r="Q17" s="127">
        <f t="shared" si="2"/>
        <v>25</v>
      </c>
      <c r="R17" s="127">
        <f t="shared" si="3"/>
        <v>27</v>
      </c>
    </row>
    <row r="18" spans="1:18" s="127" customFormat="1" ht="12.75" customHeight="1">
      <c r="A18" s="103"/>
      <c r="B18" s="102" t="s">
        <v>147</v>
      </c>
      <c r="C18" s="323">
        <v>17</v>
      </c>
      <c r="D18" s="323">
        <v>15</v>
      </c>
      <c r="E18" s="323">
        <v>20</v>
      </c>
      <c r="F18" s="323">
        <v>19</v>
      </c>
      <c r="G18" s="323">
        <v>20</v>
      </c>
      <c r="H18" s="323">
        <v>22</v>
      </c>
      <c r="I18" s="323">
        <v>19</v>
      </c>
      <c r="J18" s="323">
        <v>18</v>
      </c>
      <c r="K18" s="323">
        <v>21</v>
      </c>
      <c r="L18" s="323">
        <v>22</v>
      </c>
      <c r="M18" s="323">
        <v>18</v>
      </c>
      <c r="N18" s="639">
        <f t="shared" si="0"/>
        <v>5.331058748267406E-3</v>
      </c>
      <c r="O18" s="639">
        <f t="shared" si="1"/>
        <v>5.3250341689692511E-3</v>
      </c>
      <c r="Q18" s="127">
        <f t="shared" si="2"/>
        <v>42</v>
      </c>
      <c r="R18" s="127">
        <f t="shared" si="3"/>
        <v>43</v>
      </c>
    </row>
    <row r="19" spans="1:18" s="127" customFormat="1" ht="12.75" customHeight="1">
      <c r="A19" s="103"/>
      <c r="B19" s="102" t="s">
        <v>148</v>
      </c>
      <c r="C19" s="323">
        <v>704</v>
      </c>
      <c r="D19" s="323">
        <v>684</v>
      </c>
      <c r="E19" s="323">
        <v>687</v>
      </c>
      <c r="F19" s="323">
        <v>677</v>
      </c>
      <c r="G19" s="323">
        <v>684</v>
      </c>
      <c r="H19" s="323">
        <v>649</v>
      </c>
      <c r="I19" s="323">
        <v>650</v>
      </c>
      <c r="J19" s="323">
        <v>662</v>
      </c>
      <c r="K19" s="323">
        <v>661</v>
      </c>
      <c r="L19" s="323">
        <v>685</v>
      </c>
      <c r="M19" s="323">
        <v>668</v>
      </c>
      <c r="N19" s="639">
        <f t="shared" si="0"/>
        <v>0.22076855051648553</v>
      </c>
      <c r="O19" s="639">
        <f t="shared" si="1"/>
        <v>0.1976179347150811</v>
      </c>
      <c r="Q19" s="127">
        <f t="shared" si="2"/>
        <v>32</v>
      </c>
      <c r="R19" s="127">
        <f t="shared" si="3"/>
        <v>31</v>
      </c>
    </row>
    <row r="20" spans="1:18" s="127" customFormat="1" ht="12.75" customHeight="1">
      <c r="A20" s="103"/>
      <c r="B20" s="102" t="s">
        <v>157</v>
      </c>
      <c r="C20" s="323">
        <v>116</v>
      </c>
      <c r="D20" s="323">
        <v>110</v>
      </c>
      <c r="E20" s="323">
        <v>109</v>
      </c>
      <c r="F20" s="323">
        <v>114</v>
      </c>
      <c r="G20" s="323">
        <v>108</v>
      </c>
      <c r="H20" s="323">
        <v>114</v>
      </c>
      <c r="I20" s="323">
        <v>115</v>
      </c>
      <c r="J20" s="323">
        <v>126</v>
      </c>
      <c r="K20" s="323">
        <v>138</v>
      </c>
      <c r="L20" s="323">
        <v>126</v>
      </c>
      <c r="M20" s="323">
        <v>126</v>
      </c>
      <c r="N20" s="639">
        <f t="shared" si="0"/>
        <v>3.6376636164648181E-2</v>
      </c>
      <c r="O20" s="639">
        <f t="shared" si="1"/>
        <v>3.7275239182784754E-2</v>
      </c>
      <c r="Q20" s="127">
        <f t="shared" si="2"/>
        <v>41</v>
      </c>
      <c r="R20" s="127">
        <f t="shared" si="3"/>
        <v>41</v>
      </c>
    </row>
    <row r="21" spans="1:18" s="127" customFormat="1" ht="12.75" customHeight="1">
      <c r="A21" s="103"/>
      <c r="B21" s="102" t="s">
        <v>149</v>
      </c>
      <c r="C21" s="323">
        <v>790</v>
      </c>
      <c r="D21" s="323">
        <v>807</v>
      </c>
      <c r="E21" s="323">
        <v>827</v>
      </c>
      <c r="F21" s="323">
        <v>826</v>
      </c>
      <c r="G21" s="323">
        <v>820</v>
      </c>
      <c r="H21" s="323">
        <v>830</v>
      </c>
      <c r="I21" s="323">
        <v>840</v>
      </c>
      <c r="J21" s="323">
        <v>815</v>
      </c>
      <c r="K21" s="323">
        <v>813</v>
      </c>
      <c r="L21" s="323">
        <v>815</v>
      </c>
      <c r="M21" s="323">
        <v>795</v>
      </c>
      <c r="N21" s="639">
        <f t="shared" si="0"/>
        <v>0.24773743594889711</v>
      </c>
      <c r="O21" s="639">
        <f t="shared" si="1"/>
        <v>0.23518900912947524</v>
      </c>
      <c r="Q21" s="127">
        <f t="shared" si="2"/>
        <v>29</v>
      </c>
      <c r="R21" s="127">
        <f t="shared" si="3"/>
        <v>30</v>
      </c>
    </row>
    <row r="22" spans="1:18" s="127" customFormat="1" ht="12.75" customHeight="1">
      <c r="A22" s="103"/>
      <c r="B22" s="102" t="s">
        <v>156</v>
      </c>
      <c r="C22" s="323">
        <v>2344</v>
      </c>
      <c r="D22" s="323">
        <v>2293</v>
      </c>
      <c r="E22" s="323">
        <v>2288</v>
      </c>
      <c r="F22" s="323">
        <v>2298</v>
      </c>
      <c r="G22" s="323">
        <v>2261</v>
      </c>
      <c r="H22" s="323">
        <v>2169</v>
      </c>
      <c r="I22" s="323">
        <v>2185</v>
      </c>
      <c r="J22" s="323">
        <v>2158</v>
      </c>
      <c r="K22" s="323">
        <v>2197</v>
      </c>
      <c r="L22" s="323">
        <v>2220</v>
      </c>
      <c r="M22" s="323">
        <v>2186</v>
      </c>
      <c r="N22" s="639">
        <f t="shared" si="0"/>
        <v>0.73505892387875293</v>
      </c>
      <c r="O22" s="639">
        <f t="shared" si="1"/>
        <v>0.64669581629815454</v>
      </c>
      <c r="Q22" s="127">
        <f t="shared" si="2"/>
        <v>20</v>
      </c>
      <c r="R22" s="127">
        <f t="shared" si="3"/>
        <v>20</v>
      </c>
    </row>
    <row r="23" spans="1:18" s="127" customFormat="1" ht="12.75" customHeight="1">
      <c r="A23" s="103"/>
      <c r="B23" s="102" t="s">
        <v>91</v>
      </c>
      <c r="C23" s="323">
        <v>247</v>
      </c>
      <c r="D23" s="323">
        <v>240</v>
      </c>
      <c r="E23" s="323">
        <v>230</v>
      </c>
      <c r="F23" s="323">
        <v>231</v>
      </c>
      <c r="G23" s="323">
        <v>227</v>
      </c>
      <c r="H23" s="323">
        <v>259</v>
      </c>
      <c r="I23" s="323">
        <v>257</v>
      </c>
      <c r="J23" s="323">
        <v>260</v>
      </c>
      <c r="K23" s="323">
        <v>256</v>
      </c>
      <c r="L23" s="323">
        <v>265</v>
      </c>
      <c r="M23" s="323">
        <v>256</v>
      </c>
      <c r="N23" s="639">
        <f t="shared" si="0"/>
        <v>7.745714769541466E-2</v>
      </c>
      <c r="O23" s="639">
        <f t="shared" si="1"/>
        <v>7.5733819292007121E-2</v>
      </c>
      <c r="Q23" s="127">
        <f t="shared" si="2"/>
        <v>38</v>
      </c>
      <c r="R23" s="127">
        <f t="shared" si="3"/>
        <v>38</v>
      </c>
    </row>
    <row r="24" spans="1:18" s="127" customFormat="1" ht="12.75" customHeight="1">
      <c r="A24" s="103"/>
      <c r="B24" s="102" t="s">
        <v>154</v>
      </c>
      <c r="C24" s="323">
        <v>5848</v>
      </c>
      <c r="D24" s="323">
        <v>5854</v>
      </c>
      <c r="E24" s="323">
        <v>5995</v>
      </c>
      <c r="F24" s="323">
        <v>6066</v>
      </c>
      <c r="G24" s="323">
        <v>6195</v>
      </c>
      <c r="H24" s="323">
        <v>6111</v>
      </c>
      <c r="I24" s="323">
        <v>6199</v>
      </c>
      <c r="J24" s="323">
        <v>6051</v>
      </c>
      <c r="K24" s="323">
        <v>6325</v>
      </c>
      <c r="L24" s="323">
        <v>6376</v>
      </c>
      <c r="M24" s="323">
        <v>6289</v>
      </c>
      <c r="N24" s="639">
        <f t="shared" si="0"/>
        <v>1.8338842094039876</v>
      </c>
      <c r="O24" s="639">
        <f t="shared" si="1"/>
        <v>1.8605077715915344</v>
      </c>
      <c r="Q24" s="127">
        <f t="shared" si="2"/>
        <v>14</v>
      </c>
      <c r="R24" s="127">
        <f t="shared" si="3"/>
        <v>14</v>
      </c>
    </row>
    <row r="25" spans="1:18" s="127" customFormat="1" ht="12.75" customHeight="1">
      <c r="A25" s="103"/>
      <c r="B25" s="102" t="s">
        <v>155</v>
      </c>
      <c r="C25" s="323">
        <v>187</v>
      </c>
      <c r="D25" s="323">
        <v>174</v>
      </c>
      <c r="E25" s="323">
        <v>176</v>
      </c>
      <c r="F25" s="323">
        <v>184</v>
      </c>
      <c r="G25" s="323">
        <v>190</v>
      </c>
      <c r="H25" s="323">
        <v>188</v>
      </c>
      <c r="I25" s="323">
        <v>190</v>
      </c>
      <c r="J25" s="323">
        <v>190</v>
      </c>
      <c r="K25" s="323">
        <v>203</v>
      </c>
      <c r="L25" s="323">
        <v>204</v>
      </c>
      <c r="M25" s="323">
        <v>216</v>
      </c>
      <c r="N25" s="639">
        <f t="shared" si="0"/>
        <v>5.8641646230941466E-2</v>
      </c>
      <c r="O25" s="639">
        <f t="shared" si="1"/>
        <v>6.3900410027631013E-2</v>
      </c>
      <c r="Q25" s="127">
        <f t="shared" si="2"/>
        <v>39</v>
      </c>
      <c r="R25" s="127">
        <f t="shared" si="3"/>
        <v>39</v>
      </c>
    </row>
    <row r="26" spans="1:18" s="127" customFormat="1" ht="12.75" customHeight="1">
      <c r="A26" s="103"/>
      <c r="B26" s="102" t="s">
        <v>150</v>
      </c>
      <c r="C26" s="323">
        <v>408</v>
      </c>
      <c r="D26" s="323">
        <v>393</v>
      </c>
      <c r="E26" s="323">
        <v>383</v>
      </c>
      <c r="F26" s="323">
        <v>383</v>
      </c>
      <c r="G26" s="323">
        <v>389</v>
      </c>
      <c r="H26" s="323">
        <v>364</v>
      </c>
      <c r="I26" s="323">
        <v>369</v>
      </c>
      <c r="J26" s="323">
        <v>353</v>
      </c>
      <c r="K26" s="323">
        <v>368</v>
      </c>
      <c r="L26" s="323">
        <v>376</v>
      </c>
      <c r="M26" s="323">
        <v>356</v>
      </c>
      <c r="N26" s="639">
        <f t="shared" si="0"/>
        <v>0.12794540995841774</v>
      </c>
      <c r="O26" s="639">
        <f t="shared" si="1"/>
        <v>0.10531734245294741</v>
      </c>
      <c r="Q26" s="127">
        <f t="shared" si="2"/>
        <v>35</v>
      </c>
      <c r="R26" s="127">
        <f t="shared" si="3"/>
        <v>37</v>
      </c>
    </row>
    <row r="27" spans="1:18" s="127" customFormat="1" ht="12.75" customHeight="1">
      <c r="A27" s="103"/>
      <c r="B27" s="102" t="s">
        <v>158</v>
      </c>
      <c r="C27" s="323">
        <v>1028</v>
      </c>
      <c r="D27" s="323">
        <v>1052</v>
      </c>
      <c r="E27" s="323">
        <v>1071</v>
      </c>
      <c r="F27" s="323">
        <v>1058</v>
      </c>
      <c r="G27" s="323">
        <v>1052</v>
      </c>
      <c r="H27" s="323">
        <v>1025</v>
      </c>
      <c r="I27" s="323">
        <v>1033</v>
      </c>
      <c r="J27" s="323">
        <v>993</v>
      </c>
      <c r="K27" s="323">
        <v>1010</v>
      </c>
      <c r="L27" s="323">
        <v>1017</v>
      </c>
      <c r="M27" s="323">
        <v>978</v>
      </c>
      <c r="N27" s="639">
        <f t="shared" si="0"/>
        <v>0.32237225842464079</v>
      </c>
      <c r="O27" s="639">
        <f t="shared" si="1"/>
        <v>0.28932685651399598</v>
      </c>
      <c r="Q27" s="127">
        <f t="shared" si="2"/>
        <v>28</v>
      </c>
      <c r="R27" s="127">
        <f t="shared" si="3"/>
        <v>28</v>
      </c>
    </row>
    <row r="28" spans="1:18" s="127" customFormat="1" ht="12.75" customHeight="1">
      <c r="A28" s="103"/>
      <c r="B28" s="102" t="s">
        <v>151</v>
      </c>
      <c r="C28" s="323">
        <v>367</v>
      </c>
      <c r="D28" s="323">
        <v>379</v>
      </c>
      <c r="E28" s="323">
        <v>388</v>
      </c>
      <c r="F28" s="323">
        <v>392</v>
      </c>
      <c r="G28" s="323">
        <v>408</v>
      </c>
      <c r="H28" s="323">
        <v>378</v>
      </c>
      <c r="I28" s="323">
        <v>380</v>
      </c>
      <c r="J28" s="323">
        <v>371</v>
      </c>
      <c r="K28" s="323">
        <v>382</v>
      </c>
      <c r="L28" s="323">
        <v>401</v>
      </c>
      <c r="M28" s="323">
        <v>381</v>
      </c>
      <c r="N28" s="639">
        <f t="shared" si="0"/>
        <v>0.11508815062436106</v>
      </c>
      <c r="O28" s="639">
        <f t="shared" si="1"/>
        <v>0.11271322324318248</v>
      </c>
      <c r="Q28" s="127">
        <f t="shared" si="2"/>
        <v>36</v>
      </c>
      <c r="R28" s="127">
        <f t="shared" si="3"/>
        <v>35</v>
      </c>
    </row>
    <row r="29" spans="1:18" s="127" customFormat="1" ht="12.75" customHeight="1">
      <c r="A29" s="103"/>
      <c r="B29" s="102" t="s">
        <v>159</v>
      </c>
      <c r="C29" s="323">
        <v>125</v>
      </c>
      <c r="D29" s="323">
        <v>127</v>
      </c>
      <c r="E29" s="323">
        <v>137</v>
      </c>
      <c r="F29" s="323">
        <v>148</v>
      </c>
      <c r="G29" s="323">
        <v>139</v>
      </c>
      <c r="H29" s="323">
        <v>141</v>
      </c>
      <c r="I29" s="323">
        <v>145</v>
      </c>
      <c r="J29" s="323">
        <v>151</v>
      </c>
      <c r="K29" s="323">
        <v>162</v>
      </c>
      <c r="L29" s="323">
        <v>165</v>
      </c>
      <c r="M29" s="323">
        <v>171</v>
      </c>
      <c r="N29" s="639">
        <f t="shared" si="0"/>
        <v>3.9198961384319164E-2</v>
      </c>
      <c r="O29" s="639">
        <f t="shared" si="1"/>
        <v>5.058782460520788E-2</v>
      </c>
      <c r="Q29" s="127">
        <f t="shared" si="2"/>
        <v>40</v>
      </c>
      <c r="R29" s="127">
        <f t="shared" si="3"/>
        <v>40</v>
      </c>
    </row>
    <row r="30" spans="1:18" s="127" customFormat="1" ht="12.75" customHeight="1">
      <c r="A30" s="103"/>
      <c r="B30" s="102" t="s">
        <v>152</v>
      </c>
      <c r="C30" s="323">
        <v>2433</v>
      </c>
      <c r="D30" s="323">
        <v>2442</v>
      </c>
      <c r="E30" s="323">
        <v>2444</v>
      </c>
      <c r="F30" s="323">
        <v>2501</v>
      </c>
      <c r="G30" s="323">
        <v>2512</v>
      </c>
      <c r="H30" s="323">
        <v>2452</v>
      </c>
      <c r="I30" s="323">
        <v>2459</v>
      </c>
      <c r="J30" s="323">
        <v>2386</v>
      </c>
      <c r="K30" s="323">
        <v>2469</v>
      </c>
      <c r="L30" s="323">
        <v>2528</v>
      </c>
      <c r="M30" s="323">
        <v>2471</v>
      </c>
      <c r="N30" s="639">
        <f t="shared" si="0"/>
        <v>0.76296858438438819</v>
      </c>
      <c r="O30" s="639">
        <f t="shared" si="1"/>
        <v>0.7310088573068344</v>
      </c>
      <c r="Q30" s="127">
        <f t="shared" si="2"/>
        <v>19</v>
      </c>
      <c r="R30" s="127">
        <f t="shared" si="3"/>
        <v>19</v>
      </c>
    </row>
    <row r="31" spans="1:18" s="127" customFormat="1" ht="12.75" customHeight="1">
      <c r="A31" s="103"/>
      <c r="B31" s="102" t="s">
        <v>153</v>
      </c>
      <c r="C31" s="323">
        <v>1099</v>
      </c>
      <c r="D31" s="323">
        <v>1115</v>
      </c>
      <c r="E31" s="323">
        <v>1112</v>
      </c>
      <c r="F31" s="323">
        <v>1122</v>
      </c>
      <c r="G31" s="323">
        <v>1123</v>
      </c>
      <c r="H31" s="323">
        <v>1077</v>
      </c>
      <c r="I31" s="323">
        <v>1092</v>
      </c>
      <c r="J31" s="323">
        <v>1030</v>
      </c>
      <c r="K31" s="323">
        <v>1090</v>
      </c>
      <c r="L31" s="323">
        <v>1099</v>
      </c>
      <c r="M31" s="323">
        <v>1084</v>
      </c>
      <c r="N31" s="639">
        <f t="shared" si="0"/>
        <v>0.34463726849093407</v>
      </c>
      <c r="O31" s="639">
        <f t="shared" si="1"/>
        <v>0.32068539106459265</v>
      </c>
      <c r="Q31" s="127">
        <f t="shared" si="2"/>
        <v>27</v>
      </c>
      <c r="R31" s="127">
        <f t="shared" si="3"/>
        <v>26</v>
      </c>
    </row>
    <row r="32" spans="1:18" s="127" customFormat="1" ht="12.75" customHeight="1">
      <c r="A32" s="103"/>
      <c r="B32" s="102" t="s">
        <v>160</v>
      </c>
      <c r="C32" s="323">
        <v>1513</v>
      </c>
      <c r="D32" s="323">
        <v>1578</v>
      </c>
      <c r="E32" s="323">
        <v>1620</v>
      </c>
      <c r="F32" s="323">
        <v>1655</v>
      </c>
      <c r="G32" s="323">
        <v>1737</v>
      </c>
      <c r="H32" s="323">
        <v>1710</v>
      </c>
      <c r="I32" s="323">
        <v>1744</v>
      </c>
      <c r="J32" s="323">
        <v>1746</v>
      </c>
      <c r="K32" s="323">
        <v>1826</v>
      </c>
      <c r="L32" s="323">
        <v>1917</v>
      </c>
      <c r="M32" s="323">
        <v>1954</v>
      </c>
      <c r="N32" s="639">
        <f t="shared" si="0"/>
        <v>0.47446422859579912</v>
      </c>
      <c r="O32" s="639">
        <f t="shared" si="1"/>
        <v>0.57806204256477312</v>
      </c>
      <c r="Q32" s="127">
        <f t="shared" si="2"/>
        <v>24</v>
      </c>
      <c r="R32" s="127">
        <f t="shared" si="3"/>
        <v>22</v>
      </c>
    </row>
    <row r="33" spans="1:18" s="127" customFormat="1" ht="16.5" customHeight="1">
      <c r="A33" s="201" t="s">
        <v>75</v>
      </c>
      <c r="B33" s="307" t="s">
        <v>161</v>
      </c>
      <c r="C33" s="322">
        <v>409</v>
      </c>
      <c r="D33" s="322">
        <v>429</v>
      </c>
      <c r="E33" s="322">
        <v>412</v>
      </c>
      <c r="F33" s="322">
        <v>403</v>
      </c>
      <c r="G33" s="322">
        <v>388</v>
      </c>
      <c r="H33" s="322">
        <v>385</v>
      </c>
      <c r="I33" s="322">
        <v>391</v>
      </c>
      <c r="J33" s="322">
        <v>387</v>
      </c>
      <c r="K33" s="322">
        <v>394</v>
      </c>
      <c r="L33" s="322">
        <v>418</v>
      </c>
      <c r="M33" s="322">
        <v>435</v>
      </c>
      <c r="N33" s="639">
        <f t="shared" si="0"/>
        <v>0.1282590016494923</v>
      </c>
      <c r="O33" s="639">
        <f t="shared" si="1"/>
        <v>0.12868832575009023</v>
      </c>
      <c r="Q33" s="127">
        <f t="shared" si="2"/>
        <v>34</v>
      </c>
      <c r="R33" s="127">
        <f t="shared" si="3"/>
        <v>34</v>
      </c>
    </row>
    <row r="34" spans="1:18" s="127" customFormat="1" ht="12.75" customHeight="1">
      <c r="A34" s="201" t="s">
        <v>76</v>
      </c>
      <c r="B34" s="307" t="s">
        <v>170</v>
      </c>
      <c r="C34" s="322">
        <v>1146</v>
      </c>
      <c r="D34" s="322">
        <v>1088</v>
      </c>
      <c r="E34" s="322">
        <v>1094</v>
      </c>
      <c r="F34" s="322">
        <v>1101</v>
      </c>
      <c r="G34" s="322">
        <v>1095</v>
      </c>
      <c r="H34" s="322">
        <v>1141</v>
      </c>
      <c r="I34" s="322">
        <v>1231</v>
      </c>
      <c r="J34" s="322">
        <v>1253</v>
      </c>
      <c r="K34" s="322">
        <v>1259</v>
      </c>
      <c r="L34" s="322">
        <v>1262</v>
      </c>
      <c r="M34" s="322">
        <v>1250</v>
      </c>
      <c r="N34" s="639">
        <f t="shared" si="0"/>
        <v>0.35937607797143806</v>
      </c>
      <c r="O34" s="639">
        <f t="shared" si="1"/>
        <v>0.36979403951175355</v>
      </c>
      <c r="Q34" s="127">
        <f t="shared" si="2"/>
        <v>26</v>
      </c>
      <c r="R34" s="127">
        <f t="shared" si="3"/>
        <v>25</v>
      </c>
    </row>
    <row r="35" spans="1:18" s="127" customFormat="1" ht="12.75" customHeight="1">
      <c r="A35" s="201" t="s">
        <v>77</v>
      </c>
      <c r="B35" s="307" t="s">
        <v>78</v>
      </c>
      <c r="C35" s="322">
        <v>28421</v>
      </c>
      <c r="D35" s="322">
        <v>28140</v>
      </c>
      <c r="E35" s="322">
        <v>28678</v>
      </c>
      <c r="F35" s="322">
        <v>29363</v>
      </c>
      <c r="G35" s="322">
        <v>30329</v>
      </c>
      <c r="H35" s="322">
        <v>30816</v>
      </c>
      <c r="I35" s="322">
        <v>32069</v>
      </c>
      <c r="J35" s="322">
        <v>32036</v>
      </c>
      <c r="K35" s="322">
        <v>34322</v>
      </c>
      <c r="L35" s="322">
        <v>35793</v>
      </c>
      <c r="M35" s="322">
        <v>36253</v>
      </c>
      <c r="N35" s="643">
        <f t="shared" si="0"/>
        <v>8.912589452029879</v>
      </c>
      <c r="O35" s="643">
        <f t="shared" si="1"/>
        <v>10.724914651535681</v>
      </c>
      <c r="Q35" s="127">
        <f t="shared" si="2"/>
        <v>4</v>
      </c>
      <c r="R35" s="127">
        <f t="shared" si="3"/>
        <v>3</v>
      </c>
    </row>
    <row r="36" spans="1:18" s="127" customFormat="1" ht="12.75" customHeight="1">
      <c r="A36" s="201" t="s">
        <v>79</v>
      </c>
      <c r="B36" s="307" t="s">
        <v>171</v>
      </c>
      <c r="C36" s="322">
        <v>94440</v>
      </c>
      <c r="D36" s="322">
        <v>94937</v>
      </c>
      <c r="E36" s="322">
        <v>94933</v>
      </c>
      <c r="F36" s="322">
        <v>94292</v>
      </c>
      <c r="G36" s="322">
        <v>93805</v>
      </c>
      <c r="H36" s="322">
        <v>90517</v>
      </c>
      <c r="I36" s="322">
        <v>89750</v>
      </c>
      <c r="J36" s="322">
        <v>87838</v>
      </c>
      <c r="K36" s="322">
        <v>90136</v>
      </c>
      <c r="L36" s="322">
        <v>90639</v>
      </c>
      <c r="M36" s="322">
        <v>88516</v>
      </c>
      <c r="N36" s="640">
        <f t="shared" si="0"/>
        <v>29.615599305080814</v>
      </c>
      <c r="O36" s="641">
        <f t="shared" si="1"/>
        <v>26.186151361137899</v>
      </c>
      <c r="Q36" s="127">
        <f t="shared" si="2"/>
        <v>1</v>
      </c>
      <c r="R36" s="127">
        <f t="shared" si="3"/>
        <v>1</v>
      </c>
    </row>
    <row r="37" spans="1:18" s="127" customFormat="1" ht="12.75" customHeight="1">
      <c r="A37" s="201" t="s">
        <v>52</v>
      </c>
      <c r="B37" s="307" t="s">
        <v>92</v>
      </c>
      <c r="C37" s="322">
        <v>12572</v>
      </c>
      <c r="D37" s="322">
        <v>12496</v>
      </c>
      <c r="E37" s="322">
        <v>12468</v>
      </c>
      <c r="F37" s="322">
        <v>12539</v>
      </c>
      <c r="G37" s="322">
        <v>12486</v>
      </c>
      <c r="H37" s="322">
        <v>12253</v>
      </c>
      <c r="I37" s="322">
        <v>12258</v>
      </c>
      <c r="J37" s="322">
        <v>11760</v>
      </c>
      <c r="K37" s="322">
        <v>12360</v>
      </c>
      <c r="L37" s="322">
        <v>13020</v>
      </c>
      <c r="M37" s="322">
        <v>12933</v>
      </c>
      <c r="N37" s="639">
        <f t="shared" si="0"/>
        <v>3.9424747401892839</v>
      </c>
      <c r="O37" s="639">
        <f t="shared" si="1"/>
        <v>3.8260370504044068</v>
      </c>
      <c r="Q37" s="127">
        <f t="shared" si="2"/>
        <v>9</v>
      </c>
      <c r="R37" s="127">
        <f t="shared" si="3"/>
        <v>9</v>
      </c>
    </row>
    <row r="38" spans="1:18" s="127" customFormat="1" ht="12.75" customHeight="1">
      <c r="A38" s="201" t="s">
        <v>10</v>
      </c>
      <c r="B38" s="307" t="s">
        <v>162</v>
      </c>
      <c r="C38" s="322">
        <v>34983</v>
      </c>
      <c r="D38" s="322">
        <v>36106</v>
      </c>
      <c r="E38" s="322">
        <v>37220</v>
      </c>
      <c r="F38" s="322">
        <v>38276</v>
      </c>
      <c r="G38" s="322">
        <v>39308</v>
      </c>
      <c r="H38" s="322">
        <v>38184</v>
      </c>
      <c r="I38" s="322">
        <v>37633</v>
      </c>
      <c r="J38" s="322">
        <v>36899</v>
      </c>
      <c r="K38" s="322">
        <v>39006</v>
      </c>
      <c r="L38" s="322">
        <v>40412</v>
      </c>
      <c r="M38" s="322">
        <v>40387</v>
      </c>
      <c r="N38" s="640">
        <f t="shared" si="0"/>
        <v>10.970378128861098</v>
      </c>
      <c r="O38" s="641">
        <f t="shared" si="1"/>
        <v>11.947897499008953</v>
      </c>
      <c r="Q38" s="127">
        <f t="shared" si="2"/>
        <v>3</v>
      </c>
      <c r="R38" s="127">
        <f t="shared" si="3"/>
        <v>2</v>
      </c>
    </row>
    <row r="39" spans="1:18" s="127" customFormat="1" ht="12.75" customHeight="1">
      <c r="A39" s="201" t="s">
        <v>80</v>
      </c>
      <c r="B39" s="307" t="s">
        <v>168</v>
      </c>
      <c r="C39" s="322">
        <v>5434</v>
      </c>
      <c r="D39" s="322">
        <v>5478</v>
      </c>
      <c r="E39" s="322">
        <v>5601</v>
      </c>
      <c r="F39" s="322">
        <v>5842</v>
      </c>
      <c r="G39" s="322">
        <v>6025</v>
      </c>
      <c r="H39" s="322">
        <v>6100</v>
      </c>
      <c r="I39" s="322">
        <v>6379</v>
      </c>
      <c r="J39" s="322">
        <v>6485</v>
      </c>
      <c r="K39" s="322">
        <v>7163</v>
      </c>
      <c r="L39" s="322">
        <v>7620</v>
      </c>
      <c r="M39" s="322">
        <v>7794</v>
      </c>
      <c r="N39" s="639">
        <f t="shared" si="0"/>
        <v>1.7040572492991226</v>
      </c>
      <c r="O39" s="639">
        <f t="shared" si="1"/>
        <v>2.3057397951636855</v>
      </c>
      <c r="Q39" s="127">
        <f t="shared" si="2"/>
        <v>15</v>
      </c>
      <c r="R39" s="127">
        <f t="shared" si="3"/>
        <v>12</v>
      </c>
    </row>
    <row r="40" spans="1:18" s="127" customFormat="1" ht="12.75" customHeight="1">
      <c r="A40" s="201" t="s">
        <v>81</v>
      </c>
      <c r="B40" s="307" t="s">
        <v>163</v>
      </c>
      <c r="C40" s="322">
        <v>9931</v>
      </c>
      <c r="D40" s="322">
        <v>9555</v>
      </c>
      <c r="E40" s="322">
        <v>9207</v>
      </c>
      <c r="F40" s="322">
        <v>8732</v>
      </c>
      <c r="G40" s="322">
        <v>8475</v>
      </c>
      <c r="H40" s="322">
        <v>7752</v>
      </c>
      <c r="I40" s="322">
        <v>8108</v>
      </c>
      <c r="J40" s="322">
        <v>7672</v>
      </c>
      <c r="K40" s="322">
        <v>7674</v>
      </c>
      <c r="L40" s="322">
        <v>7715</v>
      </c>
      <c r="M40" s="322">
        <v>7712</v>
      </c>
      <c r="N40" s="639">
        <f t="shared" si="0"/>
        <v>3.1142790840613888</v>
      </c>
      <c r="O40" s="639">
        <f t="shared" si="1"/>
        <v>2.2814813061717145</v>
      </c>
      <c r="Q40" s="127">
        <f t="shared" si="2"/>
        <v>10</v>
      </c>
      <c r="R40" s="127">
        <f t="shared" si="3"/>
        <v>13</v>
      </c>
    </row>
    <row r="41" spans="1:18" s="127" customFormat="1" ht="12.75" customHeight="1">
      <c r="A41" s="201" t="s">
        <v>82</v>
      </c>
      <c r="B41" s="307" t="s">
        <v>102</v>
      </c>
      <c r="C41" s="322">
        <v>6647</v>
      </c>
      <c r="D41" s="322">
        <v>6971</v>
      </c>
      <c r="E41" s="322">
        <v>7401</v>
      </c>
      <c r="F41" s="322">
        <v>8035</v>
      </c>
      <c r="G41" s="322">
        <v>8846</v>
      </c>
      <c r="H41" s="322">
        <v>9215</v>
      </c>
      <c r="I41" s="322">
        <v>9861</v>
      </c>
      <c r="J41" s="322">
        <v>10096</v>
      </c>
      <c r="K41" s="322">
        <v>10812</v>
      </c>
      <c r="L41" s="322">
        <v>11567</v>
      </c>
      <c r="M41" s="322">
        <v>11663</v>
      </c>
      <c r="N41" s="639">
        <f t="shared" si="0"/>
        <v>2.0844439705725559</v>
      </c>
      <c r="O41" s="639">
        <f t="shared" si="1"/>
        <v>3.450326306260465</v>
      </c>
      <c r="Q41" s="127">
        <f t="shared" si="2"/>
        <v>12</v>
      </c>
      <c r="R41" s="127">
        <f t="shared" si="3"/>
        <v>10</v>
      </c>
    </row>
    <row r="42" spans="1:18" s="127" customFormat="1" ht="12.75" customHeight="1">
      <c r="A42" s="201" t="s">
        <v>53</v>
      </c>
      <c r="B42" s="307" t="s">
        <v>172</v>
      </c>
      <c r="C42" s="322">
        <v>22569</v>
      </c>
      <c r="D42" s="322">
        <v>22865</v>
      </c>
      <c r="E42" s="322">
        <v>23189</v>
      </c>
      <c r="F42" s="322">
        <v>23749</v>
      </c>
      <c r="G42" s="322">
        <v>24467</v>
      </c>
      <c r="H42" s="322">
        <v>24250</v>
      </c>
      <c r="I42" s="322">
        <v>24826</v>
      </c>
      <c r="J42" s="322">
        <v>24675</v>
      </c>
      <c r="K42" s="322">
        <v>25874</v>
      </c>
      <c r="L42" s="322">
        <v>26684</v>
      </c>
      <c r="M42" s="322">
        <v>26878</v>
      </c>
      <c r="N42" s="639">
        <f t="shared" si="0"/>
        <v>7.0774508758615928</v>
      </c>
      <c r="O42" s="639">
        <f t="shared" si="1"/>
        <v>7.951459355197529</v>
      </c>
      <c r="Q42" s="127">
        <f t="shared" si="2"/>
        <v>5</v>
      </c>
      <c r="R42" s="127">
        <f t="shared" si="3"/>
        <v>5</v>
      </c>
    </row>
    <row r="43" spans="1:18" s="127" customFormat="1" ht="12.75" customHeight="1">
      <c r="A43" s="201" t="s">
        <v>84</v>
      </c>
      <c r="B43" s="307" t="s">
        <v>166</v>
      </c>
      <c r="C43" s="322">
        <v>8861</v>
      </c>
      <c r="D43" s="322">
        <v>8995</v>
      </c>
      <c r="E43" s="322">
        <v>9301</v>
      </c>
      <c r="F43" s="322">
        <v>9347</v>
      </c>
      <c r="G43" s="322">
        <v>9298</v>
      </c>
      <c r="H43" s="322">
        <v>9391</v>
      </c>
      <c r="I43" s="322">
        <v>9385</v>
      </c>
      <c r="J43" s="322">
        <v>8843</v>
      </c>
      <c r="K43" s="322">
        <v>9894</v>
      </c>
      <c r="L43" s="322">
        <v>10333</v>
      </c>
      <c r="M43" s="322">
        <v>10637</v>
      </c>
      <c r="N43" s="639">
        <f t="shared" si="0"/>
        <v>2.7787359746116165</v>
      </c>
      <c r="O43" s="639">
        <f t="shared" si="1"/>
        <v>3.146799358629218</v>
      </c>
      <c r="Q43" s="127">
        <f t="shared" si="2"/>
        <v>11</v>
      </c>
      <c r="R43" s="127">
        <f t="shared" si="3"/>
        <v>11</v>
      </c>
    </row>
    <row r="44" spans="1:18" s="127" customFormat="1" ht="12.75" customHeight="1">
      <c r="A44" s="201" t="s">
        <v>85</v>
      </c>
      <c r="B44" s="307" t="s">
        <v>167</v>
      </c>
      <c r="C44" s="322">
        <v>686</v>
      </c>
      <c r="D44" s="322">
        <v>660</v>
      </c>
      <c r="E44" s="322">
        <v>627</v>
      </c>
      <c r="F44" s="322">
        <v>630</v>
      </c>
      <c r="G44" s="322">
        <v>601</v>
      </c>
      <c r="H44" s="322">
        <v>613</v>
      </c>
      <c r="I44" s="322">
        <v>624</v>
      </c>
      <c r="J44" s="322">
        <v>590</v>
      </c>
      <c r="K44" s="322">
        <v>574</v>
      </c>
      <c r="L44" s="322">
        <v>592</v>
      </c>
      <c r="M44" s="322">
        <v>626</v>
      </c>
      <c r="N44" s="639">
        <f t="shared" si="0"/>
        <v>0.21512390007714355</v>
      </c>
      <c r="O44" s="639">
        <f t="shared" si="1"/>
        <v>0.18519285498748617</v>
      </c>
      <c r="Q44" s="127">
        <f t="shared" si="2"/>
        <v>33</v>
      </c>
      <c r="R44" s="127">
        <f t="shared" si="3"/>
        <v>33</v>
      </c>
    </row>
    <row r="45" spans="1:18" s="127" customFormat="1" ht="12.75" customHeight="1">
      <c r="A45" s="201" t="s">
        <v>93</v>
      </c>
      <c r="B45" s="307" t="s">
        <v>83</v>
      </c>
      <c r="C45" s="322">
        <v>4573</v>
      </c>
      <c r="D45" s="322">
        <v>4701</v>
      </c>
      <c r="E45" s="322">
        <v>4675</v>
      </c>
      <c r="F45" s="322">
        <v>4647</v>
      </c>
      <c r="G45" s="322">
        <v>4681</v>
      </c>
      <c r="H45" s="322">
        <v>4531</v>
      </c>
      <c r="I45" s="322">
        <v>4576</v>
      </c>
      <c r="J45" s="322">
        <v>4414</v>
      </c>
      <c r="K45" s="322">
        <v>4635</v>
      </c>
      <c r="L45" s="322">
        <v>4808</v>
      </c>
      <c r="M45" s="322">
        <v>4851</v>
      </c>
      <c r="N45" s="639">
        <f t="shared" si="0"/>
        <v>1.4340548032839322</v>
      </c>
      <c r="O45" s="639">
        <f t="shared" si="1"/>
        <v>1.4350967085372131</v>
      </c>
      <c r="Q45" s="127">
        <f t="shared" si="2"/>
        <v>16</v>
      </c>
      <c r="R45" s="127">
        <f t="shared" si="3"/>
        <v>17</v>
      </c>
    </row>
    <row r="46" spans="1:18" s="127" customFormat="1" ht="12.75" customHeight="1">
      <c r="A46" s="201" t="s">
        <v>86</v>
      </c>
      <c r="B46" s="307" t="s">
        <v>138</v>
      </c>
      <c r="C46" s="322">
        <v>18418</v>
      </c>
      <c r="D46" s="322">
        <v>18727</v>
      </c>
      <c r="E46" s="322">
        <v>19044</v>
      </c>
      <c r="F46" s="322">
        <v>19162</v>
      </c>
      <c r="G46" s="322">
        <v>19323</v>
      </c>
      <c r="H46" s="322">
        <v>19089</v>
      </c>
      <c r="I46" s="322">
        <v>19487</v>
      </c>
      <c r="J46" s="322">
        <v>19087</v>
      </c>
      <c r="K46" s="322">
        <v>20082</v>
      </c>
      <c r="L46" s="322">
        <v>20724</v>
      </c>
      <c r="M46" s="322">
        <v>20752</v>
      </c>
      <c r="N46" s="639">
        <f t="shared" si="0"/>
        <v>5.7757317662111225</v>
      </c>
      <c r="O46" s="639">
        <f t="shared" si="1"/>
        <v>6.1391727263583276</v>
      </c>
      <c r="Q46" s="127">
        <f t="shared" si="2"/>
        <v>6</v>
      </c>
      <c r="R46" s="127">
        <f t="shared" si="3"/>
        <v>6</v>
      </c>
    </row>
    <row r="47" spans="1:18" s="127" customFormat="1" ht="12.75" customHeight="1">
      <c r="A47" s="201" t="s">
        <v>94</v>
      </c>
      <c r="B47" s="307" t="s">
        <v>164</v>
      </c>
      <c r="C47" s="322">
        <v>3448</v>
      </c>
      <c r="D47" s="322">
        <v>3581</v>
      </c>
      <c r="E47" s="322">
        <v>3745</v>
      </c>
      <c r="F47" s="322">
        <v>3985</v>
      </c>
      <c r="G47" s="322">
        <v>4371</v>
      </c>
      <c r="H47" s="322">
        <v>4404</v>
      </c>
      <c r="I47" s="322">
        <v>4397</v>
      </c>
      <c r="J47" s="322">
        <v>4424</v>
      </c>
      <c r="K47" s="322">
        <v>4761</v>
      </c>
      <c r="L47" s="322">
        <v>5060</v>
      </c>
      <c r="M47" s="322">
        <v>5243</v>
      </c>
      <c r="N47" s="639">
        <f t="shared" si="0"/>
        <v>1.0812641508250598</v>
      </c>
      <c r="O47" s="639">
        <f t="shared" si="1"/>
        <v>1.551064119328099</v>
      </c>
      <c r="Q47" s="127">
        <f t="shared" si="2"/>
        <v>18</v>
      </c>
      <c r="R47" s="127">
        <f t="shared" si="3"/>
        <v>15</v>
      </c>
    </row>
    <row r="48" spans="1:18" ht="12.75" customHeight="1">
      <c r="A48" s="201" t="s">
        <v>95</v>
      </c>
      <c r="B48" s="307" t="s">
        <v>103</v>
      </c>
      <c r="C48" s="322">
        <v>15515</v>
      </c>
      <c r="D48" s="322">
        <v>15537</v>
      </c>
      <c r="E48" s="322">
        <v>15467</v>
      </c>
      <c r="F48" s="322">
        <v>15306</v>
      </c>
      <c r="G48" s="322">
        <v>15360</v>
      </c>
      <c r="H48" s="322">
        <v>14434</v>
      </c>
      <c r="I48" s="322">
        <v>14086</v>
      </c>
      <c r="J48" s="322">
        <v>13379</v>
      </c>
      <c r="K48" s="322">
        <v>13917</v>
      </c>
      <c r="L48" s="322">
        <v>13804</v>
      </c>
      <c r="M48" s="322">
        <v>13322</v>
      </c>
      <c r="N48" s="639">
        <f t="shared" si="0"/>
        <v>4.8653750870216941</v>
      </c>
      <c r="O48" s="639">
        <f t="shared" si="1"/>
        <v>3.9411169555004646</v>
      </c>
      <c r="Q48" s="127">
        <f t="shared" si="2"/>
        <v>7</v>
      </c>
      <c r="R48" s="127">
        <f t="shared" si="3"/>
        <v>8</v>
      </c>
    </row>
    <row r="49" spans="1:18" ht="12.75" customHeight="1">
      <c r="A49" s="34" t="s">
        <v>96</v>
      </c>
      <c r="B49" s="35" t="s">
        <v>165</v>
      </c>
      <c r="C49" s="324">
        <v>16</v>
      </c>
      <c r="D49" s="324">
        <v>14</v>
      </c>
      <c r="E49" s="324">
        <v>17</v>
      </c>
      <c r="F49" s="324">
        <v>14</v>
      </c>
      <c r="G49" s="324">
        <v>15</v>
      </c>
      <c r="H49" s="324">
        <v>16</v>
      </c>
      <c r="I49" s="324">
        <v>18</v>
      </c>
      <c r="J49" s="324">
        <v>17</v>
      </c>
      <c r="K49" s="324">
        <v>16</v>
      </c>
      <c r="L49" s="324">
        <v>17</v>
      </c>
      <c r="M49" s="324">
        <v>19</v>
      </c>
      <c r="N49" s="639">
        <f t="shared" si="0"/>
        <v>5.0174670571928523E-3</v>
      </c>
      <c r="O49" s="639">
        <f t="shared" si="1"/>
        <v>5.6208694005786541E-3</v>
      </c>
      <c r="Q49" s="127">
        <f t="shared" si="2"/>
        <v>43</v>
      </c>
      <c r="R49" s="127">
        <f t="shared" si="3"/>
        <v>42</v>
      </c>
    </row>
    <row r="50" spans="1:18">
      <c r="A50" s="19" t="s">
        <v>767</v>
      </c>
      <c r="B50" s="8"/>
      <c r="D50" s="115"/>
      <c r="E50" s="115"/>
      <c r="F50" s="31"/>
      <c r="G50" s="31"/>
      <c r="H50" s="31"/>
      <c r="I50" s="31"/>
      <c r="J50" s="31"/>
      <c r="K50" s="31"/>
      <c r="L50" s="31"/>
      <c r="M50" s="31"/>
      <c r="N50" s="642"/>
      <c r="O50" s="639">
        <f t="shared" si="1"/>
        <v>0</v>
      </c>
    </row>
    <row r="51" spans="1:18" ht="20.25" customHeight="1">
      <c r="B51" s="202"/>
    </row>
  </sheetData>
  <mergeCells count="1">
    <mergeCell ref="A1:M1"/>
  </mergeCells>
  <phoneticPr fontId="24" type="noConversion"/>
  <conditionalFormatting sqref="F50 C5:J49">
    <cfRule type="cellIs" dxfId="2235" priority="19" operator="equal">
      <formula>0</formula>
    </cfRule>
  </conditionalFormatting>
  <conditionalFormatting sqref="G50">
    <cfRule type="cellIs" dxfId="2234" priority="16" operator="equal">
      <formula>0</formula>
    </cfRule>
  </conditionalFormatting>
  <conditionalFormatting sqref="J50">
    <cfRule type="cellIs" dxfId="2233" priority="14" operator="equal">
      <formula>0</formula>
    </cfRule>
  </conditionalFormatting>
  <conditionalFormatting sqref="H50">
    <cfRule type="cellIs" dxfId="2232" priority="12" operator="equal">
      <formula>0</formula>
    </cfRule>
  </conditionalFormatting>
  <conditionalFormatting sqref="I50">
    <cfRule type="cellIs" dxfId="2231" priority="9" operator="equal">
      <formula>0</formula>
    </cfRule>
  </conditionalFormatting>
  <conditionalFormatting sqref="K5:K49">
    <cfRule type="cellIs" dxfId="2230" priority="8" operator="equal">
      <formula>0</formula>
    </cfRule>
  </conditionalFormatting>
  <conditionalFormatting sqref="K50">
    <cfRule type="cellIs" dxfId="2229" priority="7" operator="equal">
      <formula>0</formula>
    </cfRule>
  </conditionalFormatting>
  <conditionalFormatting sqref="L5:L49">
    <cfRule type="cellIs" dxfId="2228" priority="6" operator="equal">
      <formula>0</formula>
    </cfRule>
  </conditionalFormatting>
  <conditionalFormatting sqref="L50">
    <cfRule type="cellIs" dxfId="2227" priority="5" operator="equal">
      <formula>0</formula>
    </cfRule>
  </conditionalFormatting>
  <conditionalFormatting sqref="M5:M49">
    <cfRule type="cellIs" dxfId="2226" priority="4" operator="equal">
      <formula>0</formula>
    </cfRule>
  </conditionalFormatting>
  <conditionalFormatting sqref="M50">
    <cfRule type="cellIs" dxfId="2225" priority="3" operator="equal">
      <formula>0</formula>
    </cfRule>
  </conditionalFormatting>
  <conditionalFormatting sqref="N5:O50">
    <cfRule type="cellIs" dxfId="2224" priority="2" operator="equal">
      <formula>0</formula>
    </cfRule>
  </conditionalFormatting>
  <conditionalFormatting sqref="Q6:R49">
    <cfRule type="cellIs" dxfId="2223" priority="1" operator="between">
      <formula>1</formula>
      <formula>3</formula>
    </cfRule>
  </conditionalFormatting>
  <printOptions horizontalCentered="1"/>
  <pageMargins left="0.27559055118110237" right="0.27559055118110237" top="1.7716535433070868" bottom="0.47244094488188981" header="0.19685039370078741" footer="0.19685039370078741"/>
  <pageSetup paperSize="9" scale="96" orientation="portrait" r:id="rId1"/>
  <headerFooter>
    <oddHeader xml:space="preserve">&amp;C&amp;G
</oddHead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811">
    <tabColor indexed="24"/>
    <pageSetUpPr fitToPage="1"/>
  </sheetPr>
  <dimension ref="A1:S29"/>
  <sheetViews>
    <sheetView showGridLines="0" workbookViewId="0">
      <selection activeCell="Y70" sqref="Y70"/>
    </sheetView>
  </sheetViews>
  <sheetFormatPr defaultColWidth="9.140625" defaultRowHeight="11.25"/>
  <cols>
    <col min="1" max="1" width="17.140625" style="27" customWidth="1"/>
    <col min="2" max="12" width="7.5703125" style="27" customWidth="1"/>
    <col min="13" max="16384" width="9.140625" style="27"/>
  </cols>
  <sheetData>
    <row r="1" spans="1:19" s="21" customFormat="1" ht="28.5" customHeight="1">
      <c r="A1" s="984" t="s">
        <v>566</v>
      </c>
      <c r="B1" s="984"/>
      <c r="C1" s="984"/>
      <c r="D1" s="984"/>
      <c r="E1" s="984"/>
      <c r="F1" s="984"/>
      <c r="G1" s="984"/>
      <c r="H1" s="984"/>
      <c r="I1" s="984"/>
      <c r="J1" s="984"/>
      <c r="K1" s="984"/>
      <c r="L1" s="984"/>
    </row>
    <row r="2" spans="1:19" s="6" customFormat="1" ht="15" customHeight="1">
      <c r="A2" s="22"/>
      <c r="B2" s="22"/>
      <c r="C2" s="153"/>
      <c r="D2" s="153"/>
      <c r="E2" s="153"/>
      <c r="F2" s="153"/>
      <c r="G2" s="153"/>
      <c r="H2" s="153"/>
      <c r="I2" s="153"/>
      <c r="J2" s="153"/>
      <c r="K2" s="153"/>
      <c r="L2" s="153"/>
    </row>
    <row r="3" spans="1:19" s="6" customFormat="1" ht="15" customHeight="1">
      <c r="A3" s="23" t="s">
        <v>13</v>
      </c>
      <c r="B3" s="22"/>
      <c r="C3" s="153"/>
      <c r="D3" s="153"/>
      <c r="E3" s="153"/>
      <c r="F3" s="153"/>
      <c r="G3" s="153"/>
      <c r="H3" s="153"/>
      <c r="I3" s="153"/>
      <c r="J3" s="153"/>
      <c r="K3" s="153"/>
      <c r="L3" s="153"/>
    </row>
    <row r="4" spans="1:19" s="6" customFormat="1" ht="28.5" customHeight="1" thickBot="1">
      <c r="A4" s="24"/>
      <c r="B4" s="24">
        <v>2014</v>
      </c>
      <c r="C4" s="24">
        <v>2015</v>
      </c>
      <c r="D4" s="24">
        <v>2016</v>
      </c>
      <c r="E4" s="24">
        <v>2017</v>
      </c>
      <c r="F4" s="24">
        <v>2018</v>
      </c>
      <c r="G4" s="24">
        <v>2019</v>
      </c>
      <c r="H4" s="24">
        <v>2020</v>
      </c>
      <c r="I4" s="24">
        <v>2021</v>
      </c>
      <c r="J4" s="24">
        <v>2022</v>
      </c>
      <c r="K4" s="24">
        <v>2023</v>
      </c>
      <c r="L4" s="24">
        <v>2024</v>
      </c>
    </row>
    <row r="5" spans="1:19" s="6" customFormat="1" ht="20.25" customHeight="1" thickTop="1">
      <c r="A5" s="52" t="s">
        <v>11</v>
      </c>
      <c r="B5" s="331">
        <v>318886</v>
      </c>
      <c r="C5" s="331">
        <v>321500</v>
      </c>
      <c r="D5" s="331">
        <v>324933</v>
      </c>
      <c r="E5" s="331">
        <v>327295</v>
      </c>
      <c r="F5" s="331">
        <v>330668</v>
      </c>
      <c r="G5" s="331">
        <v>322978</v>
      </c>
      <c r="H5" s="331">
        <v>324959</v>
      </c>
      <c r="I5" s="331">
        <v>318254</v>
      </c>
      <c r="J5" s="331">
        <v>332683</v>
      </c>
      <c r="K5" s="331">
        <v>340364</v>
      </c>
      <c r="L5" s="331">
        <v>338026</v>
      </c>
      <c r="P5" s="645">
        <f>+B4</f>
        <v>2014</v>
      </c>
      <c r="Q5" s="645">
        <f>+L4</f>
        <v>2024</v>
      </c>
      <c r="R5" s="645">
        <f>+P5</f>
        <v>2014</v>
      </c>
      <c r="S5" s="645">
        <f>+Q5</f>
        <v>2024</v>
      </c>
    </row>
    <row r="6" spans="1:19" s="6" customFormat="1" ht="20.25" customHeight="1">
      <c r="A6" s="367" t="s">
        <v>31</v>
      </c>
      <c r="B6" s="332">
        <v>214690</v>
      </c>
      <c r="C6" s="332">
        <v>214556</v>
      </c>
      <c r="D6" s="332">
        <v>214799</v>
      </c>
      <c r="E6" s="332">
        <v>213341</v>
      </c>
      <c r="F6" s="332">
        <v>213051</v>
      </c>
      <c r="G6" s="332">
        <v>204389</v>
      </c>
      <c r="H6" s="332">
        <v>207415</v>
      </c>
      <c r="I6" s="332">
        <v>201083</v>
      </c>
      <c r="J6" s="332">
        <v>207979</v>
      </c>
      <c r="K6" s="332">
        <v>210706</v>
      </c>
      <c r="L6" s="332">
        <v>207508</v>
      </c>
      <c r="N6" s="6" t="s">
        <v>11</v>
      </c>
      <c r="P6" s="644">
        <f>+B5</f>
        <v>318886</v>
      </c>
      <c r="Q6" s="644">
        <f>+L5</f>
        <v>338026</v>
      </c>
      <c r="R6" s="557">
        <f>+P6*100/P$6</f>
        <v>100</v>
      </c>
      <c r="S6" s="557">
        <f>+Q6*100/Q$6</f>
        <v>100</v>
      </c>
    </row>
    <row r="7" spans="1:19" s="6" customFormat="1" ht="15" customHeight="1">
      <c r="A7" s="367" t="s">
        <v>32</v>
      </c>
      <c r="B7" s="332">
        <v>56792</v>
      </c>
      <c r="C7" s="332">
        <v>57913</v>
      </c>
      <c r="D7" s="332">
        <v>59321</v>
      </c>
      <c r="E7" s="332">
        <v>60710</v>
      </c>
      <c r="F7" s="332">
        <v>62032</v>
      </c>
      <c r="G7" s="332">
        <v>61799</v>
      </c>
      <c r="H7" s="332">
        <v>61635</v>
      </c>
      <c r="I7" s="332">
        <v>60831</v>
      </c>
      <c r="J7" s="332">
        <v>63952</v>
      </c>
      <c r="K7" s="332">
        <v>65914</v>
      </c>
      <c r="L7" s="332">
        <v>65778</v>
      </c>
      <c r="N7" s="6" t="s">
        <v>429</v>
      </c>
      <c r="O7" s="207" t="s">
        <v>753</v>
      </c>
      <c r="P7" s="198">
        <f>+SUM(B6:B7)</f>
        <v>271482</v>
      </c>
      <c r="Q7" s="198">
        <f>+SUM(L6:L7)</f>
        <v>273286</v>
      </c>
      <c r="R7" s="557">
        <f t="shared" ref="R7:S10" si="0">+P7*100/P$6</f>
        <v>85.134499476301869</v>
      </c>
      <c r="S7" s="557">
        <f t="shared" si="0"/>
        <v>80.847627105607259</v>
      </c>
    </row>
    <row r="8" spans="1:19" s="6" customFormat="1" ht="15" customHeight="1">
      <c r="A8" s="367" t="s">
        <v>33</v>
      </c>
      <c r="B8" s="332">
        <v>25834</v>
      </c>
      <c r="C8" s="332">
        <v>26689</v>
      </c>
      <c r="D8" s="332">
        <v>27433</v>
      </c>
      <c r="E8" s="332">
        <v>28717</v>
      </c>
      <c r="F8" s="332">
        <v>30022</v>
      </c>
      <c r="G8" s="332">
        <v>30531</v>
      </c>
      <c r="H8" s="332">
        <v>29900</v>
      </c>
      <c r="I8" s="332">
        <v>29865</v>
      </c>
      <c r="J8" s="332">
        <v>32087</v>
      </c>
      <c r="K8" s="332">
        <v>33480</v>
      </c>
      <c r="L8" s="332">
        <v>34091</v>
      </c>
      <c r="M8" s="198"/>
      <c r="N8" s="6" t="s">
        <v>754</v>
      </c>
      <c r="O8" s="207" t="s">
        <v>755</v>
      </c>
      <c r="P8" s="198">
        <f>+SUM(B8:B9)</f>
        <v>40384</v>
      </c>
      <c r="Q8" s="198">
        <f>+SUM(L8:L9)</f>
        <v>54331</v>
      </c>
      <c r="R8" s="557">
        <f t="shared" si="0"/>
        <v>12.66408685235476</v>
      </c>
      <c r="S8" s="557">
        <f t="shared" si="0"/>
        <v>16.073023968570464</v>
      </c>
    </row>
    <row r="9" spans="1:19" s="6" customFormat="1" ht="15" customHeight="1">
      <c r="A9" s="367" t="s">
        <v>34</v>
      </c>
      <c r="B9" s="332">
        <v>14550</v>
      </c>
      <c r="C9" s="332">
        <v>15006</v>
      </c>
      <c r="D9" s="332">
        <v>15689</v>
      </c>
      <c r="E9" s="332">
        <v>16461</v>
      </c>
      <c r="F9" s="332">
        <v>17052</v>
      </c>
      <c r="G9" s="332">
        <v>17500</v>
      </c>
      <c r="H9" s="332">
        <v>17367</v>
      </c>
      <c r="I9" s="332">
        <v>17653</v>
      </c>
      <c r="J9" s="332">
        <v>19044</v>
      </c>
      <c r="K9" s="332">
        <v>20107</v>
      </c>
      <c r="L9" s="332">
        <v>20240</v>
      </c>
      <c r="M9" s="198"/>
      <c r="N9" s="6" t="s">
        <v>242</v>
      </c>
      <c r="O9" s="207" t="s">
        <v>756</v>
      </c>
      <c r="P9" s="198">
        <f>+SUM(B10:B13)</f>
        <v>6273</v>
      </c>
      <c r="Q9" s="198">
        <f>+SUM(L10:L13)</f>
        <v>9226</v>
      </c>
      <c r="R9" s="557">
        <f t="shared" si="0"/>
        <v>1.9671606781106727</v>
      </c>
      <c r="S9" s="557">
        <f t="shared" si="0"/>
        <v>2.7293758468283507</v>
      </c>
    </row>
    <row r="10" spans="1:19" s="6" customFormat="1" ht="15" customHeight="1">
      <c r="A10" s="367" t="s">
        <v>35</v>
      </c>
      <c r="B10" s="332">
        <v>4213</v>
      </c>
      <c r="C10" s="332">
        <v>4480</v>
      </c>
      <c r="D10" s="332">
        <v>4689</v>
      </c>
      <c r="E10" s="332">
        <v>4890</v>
      </c>
      <c r="F10" s="332">
        <v>5186</v>
      </c>
      <c r="G10" s="332">
        <v>5336</v>
      </c>
      <c r="H10" s="332">
        <v>5300</v>
      </c>
      <c r="I10" s="332">
        <v>5366</v>
      </c>
      <c r="J10" s="332">
        <v>5868</v>
      </c>
      <c r="K10" s="332">
        <v>6145</v>
      </c>
      <c r="L10" s="332">
        <v>6288</v>
      </c>
      <c r="M10" s="198"/>
      <c r="O10" s="207" t="s">
        <v>757</v>
      </c>
      <c r="P10" s="198">
        <f>+SUM(B14:B16)</f>
        <v>747</v>
      </c>
      <c r="Q10" s="198">
        <f>+SUM(L14:L16)</f>
        <v>1183</v>
      </c>
      <c r="R10" s="557">
        <f t="shared" si="0"/>
        <v>0.2342529932326913</v>
      </c>
      <c r="S10" s="557">
        <f t="shared" si="0"/>
        <v>0.34997307899392355</v>
      </c>
    </row>
    <row r="11" spans="1:19" s="6" customFormat="1" ht="15" customHeight="1">
      <c r="A11" s="367" t="s">
        <v>36</v>
      </c>
      <c r="B11" s="332">
        <v>1242</v>
      </c>
      <c r="C11" s="332">
        <v>1194</v>
      </c>
      <c r="D11" s="332">
        <v>1267</v>
      </c>
      <c r="E11" s="332">
        <v>1306</v>
      </c>
      <c r="F11" s="332">
        <v>1359</v>
      </c>
      <c r="G11" s="332">
        <v>1408</v>
      </c>
      <c r="H11" s="332">
        <v>1360</v>
      </c>
      <c r="I11" s="332">
        <v>1426</v>
      </c>
      <c r="J11" s="332">
        <v>1519</v>
      </c>
      <c r="K11" s="332">
        <v>1642</v>
      </c>
      <c r="L11" s="332">
        <v>1734</v>
      </c>
      <c r="M11" s="198"/>
      <c r="N11" s="6" t="s">
        <v>226</v>
      </c>
      <c r="P11" s="198">
        <f>+P7+P8</f>
        <v>311866</v>
      </c>
      <c r="Q11" s="198">
        <f t="shared" ref="Q11:S11" si="1">+Q7+Q8</f>
        <v>327617</v>
      </c>
      <c r="R11" s="590">
        <f>+R7+R8</f>
        <v>97.798586328656626</v>
      </c>
      <c r="S11" s="590">
        <f t="shared" si="1"/>
        <v>96.920651074177727</v>
      </c>
    </row>
    <row r="12" spans="1:19" s="6" customFormat="1" ht="15" customHeight="1">
      <c r="A12" s="367" t="s">
        <v>37</v>
      </c>
      <c r="B12" s="332">
        <v>522</v>
      </c>
      <c r="C12" s="332">
        <v>561</v>
      </c>
      <c r="D12" s="332">
        <v>571</v>
      </c>
      <c r="E12" s="332">
        <v>613</v>
      </c>
      <c r="F12" s="332">
        <v>646</v>
      </c>
      <c r="G12" s="332">
        <v>655</v>
      </c>
      <c r="H12" s="332">
        <v>639</v>
      </c>
      <c r="I12" s="332">
        <v>650</v>
      </c>
      <c r="J12" s="332">
        <v>727</v>
      </c>
      <c r="K12" s="332">
        <v>773</v>
      </c>
      <c r="L12" s="332">
        <v>765</v>
      </c>
      <c r="M12" s="198"/>
    </row>
    <row r="13" spans="1:19" s="6" customFormat="1" ht="15" customHeight="1">
      <c r="A13" s="367" t="s">
        <v>38</v>
      </c>
      <c r="B13" s="332">
        <v>296</v>
      </c>
      <c r="C13" s="332">
        <v>307</v>
      </c>
      <c r="D13" s="332">
        <v>329</v>
      </c>
      <c r="E13" s="332">
        <v>361</v>
      </c>
      <c r="F13" s="332">
        <v>379</v>
      </c>
      <c r="G13" s="332">
        <v>376</v>
      </c>
      <c r="H13" s="332">
        <v>375</v>
      </c>
      <c r="I13" s="332">
        <v>396</v>
      </c>
      <c r="J13" s="332">
        <v>442</v>
      </c>
      <c r="K13" s="332">
        <v>449</v>
      </c>
      <c r="L13" s="332">
        <v>439</v>
      </c>
      <c r="M13" s="198"/>
    </row>
    <row r="14" spans="1:19" s="6" customFormat="1" ht="15" customHeight="1">
      <c r="A14" s="367" t="s">
        <v>39</v>
      </c>
      <c r="B14" s="332">
        <v>466</v>
      </c>
      <c r="C14" s="332">
        <v>507</v>
      </c>
      <c r="D14" s="332">
        <v>547</v>
      </c>
      <c r="E14" s="332">
        <v>585</v>
      </c>
      <c r="F14" s="332">
        <v>612</v>
      </c>
      <c r="G14" s="332">
        <v>632</v>
      </c>
      <c r="H14" s="332">
        <v>603</v>
      </c>
      <c r="I14" s="332">
        <v>619</v>
      </c>
      <c r="J14" s="332">
        <v>660</v>
      </c>
      <c r="K14" s="332">
        <v>711</v>
      </c>
      <c r="L14" s="332">
        <v>746</v>
      </c>
      <c r="M14" s="198"/>
    </row>
    <row r="15" spans="1:19" s="6" customFormat="1" ht="15" customHeight="1">
      <c r="A15" s="367" t="s">
        <v>40</v>
      </c>
      <c r="B15" s="332">
        <v>185</v>
      </c>
      <c r="C15" s="332">
        <v>191</v>
      </c>
      <c r="D15" s="332">
        <v>180</v>
      </c>
      <c r="E15" s="332">
        <v>199</v>
      </c>
      <c r="F15" s="332">
        <v>209</v>
      </c>
      <c r="G15" s="332">
        <v>225</v>
      </c>
      <c r="H15" s="332">
        <v>240</v>
      </c>
      <c r="I15" s="332">
        <v>233</v>
      </c>
      <c r="J15" s="332">
        <v>268</v>
      </c>
      <c r="K15" s="332">
        <v>293</v>
      </c>
      <c r="L15" s="332">
        <v>283</v>
      </c>
      <c r="M15" s="198"/>
    </row>
    <row r="16" spans="1:19" s="6" customFormat="1" ht="15" customHeight="1">
      <c r="A16" s="26" t="s">
        <v>71</v>
      </c>
      <c r="B16" s="333">
        <v>96</v>
      </c>
      <c r="C16" s="333">
        <v>96</v>
      </c>
      <c r="D16" s="333">
        <v>108</v>
      </c>
      <c r="E16" s="333">
        <v>112</v>
      </c>
      <c r="F16" s="333">
        <v>120</v>
      </c>
      <c r="G16" s="333">
        <v>127</v>
      </c>
      <c r="H16" s="333">
        <v>125</v>
      </c>
      <c r="I16" s="333">
        <v>132</v>
      </c>
      <c r="J16" s="333">
        <v>137</v>
      </c>
      <c r="K16" s="333">
        <v>144</v>
      </c>
      <c r="L16" s="333">
        <v>154</v>
      </c>
      <c r="M16" s="198"/>
    </row>
    <row r="17" spans="1:12" s="6" customFormat="1" ht="15" customHeight="1">
      <c r="A17" s="167" t="s">
        <v>769</v>
      </c>
      <c r="B17" s="209"/>
      <c r="C17" s="153"/>
      <c r="D17" s="153"/>
      <c r="E17" s="153"/>
      <c r="F17" s="153"/>
      <c r="G17" s="153"/>
      <c r="H17" s="153"/>
      <c r="I17" s="153"/>
      <c r="J17" s="153"/>
      <c r="K17" s="153"/>
      <c r="L17" s="153"/>
    </row>
    <row r="18" spans="1:12" s="2" customFormat="1" ht="15" customHeight="1">
      <c r="A18" s="19"/>
      <c r="B18" s="140"/>
      <c r="C18" s="140"/>
      <c r="D18" s="140"/>
      <c r="E18" s="140"/>
      <c r="F18" s="140"/>
      <c r="G18" s="140"/>
      <c r="H18" s="140"/>
      <c r="I18" s="140"/>
      <c r="J18" s="140"/>
      <c r="K18" s="140"/>
      <c r="L18" s="140"/>
    </row>
    <row r="21" spans="1:12">
      <c r="B21" s="556">
        <f>SUM(B6:B9)</f>
        <v>311866</v>
      </c>
      <c r="C21" s="556">
        <f t="shared" ref="C21:L21" si="2">SUM(C6:C9)</f>
        <v>314164</v>
      </c>
      <c r="D21" s="556">
        <f t="shared" si="2"/>
        <v>317242</v>
      </c>
      <c r="E21" s="556">
        <f t="shared" si="2"/>
        <v>319229</v>
      </c>
      <c r="F21" s="556">
        <f t="shared" si="2"/>
        <v>322157</v>
      </c>
      <c r="G21" s="556">
        <f t="shared" si="2"/>
        <v>314219</v>
      </c>
      <c r="H21" s="556">
        <f t="shared" si="2"/>
        <v>316317</v>
      </c>
      <c r="I21" s="556">
        <f t="shared" si="2"/>
        <v>309432</v>
      </c>
      <c r="J21" s="556">
        <f t="shared" si="2"/>
        <v>323062</v>
      </c>
      <c r="K21" s="556">
        <f t="shared" si="2"/>
        <v>330207</v>
      </c>
      <c r="L21" s="556">
        <f t="shared" si="2"/>
        <v>327617</v>
      </c>
    </row>
    <row r="22" spans="1:12">
      <c r="B22" s="557">
        <f>+B21/B5*100</f>
        <v>97.79858632865664</v>
      </c>
      <c r="C22" s="557">
        <f t="shared" ref="C22:L22" si="3">+C21/C5*100</f>
        <v>97.718195956454124</v>
      </c>
      <c r="D22" s="557">
        <f t="shared" si="3"/>
        <v>97.633050505796575</v>
      </c>
      <c r="E22" s="557">
        <f t="shared" si="3"/>
        <v>97.535556607953069</v>
      </c>
      <c r="F22" s="557">
        <f t="shared" si="3"/>
        <v>97.426119249519147</v>
      </c>
      <c r="G22" s="557">
        <f t="shared" si="3"/>
        <v>97.288050579296424</v>
      </c>
      <c r="H22" s="557">
        <f t="shared" si="3"/>
        <v>97.340587581818014</v>
      </c>
      <c r="I22" s="557">
        <f t="shared" si="3"/>
        <v>97.228000276508695</v>
      </c>
      <c r="J22" s="557">
        <f t="shared" si="3"/>
        <v>97.108057820808398</v>
      </c>
      <c r="K22" s="557">
        <f t="shared" si="3"/>
        <v>97.01584186341681</v>
      </c>
      <c r="L22" s="557">
        <f t="shared" si="3"/>
        <v>96.920651074177727</v>
      </c>
    </row>
    <row r="23" spans="1:12">
      <c r="B23" s="6"/>
      <c r="C23" s="6"/>
      <c r="D23" s="6"/>
      <c r="E23" s="6"/>
      <c r="F23" s="6"/>
      <c r="G23" s="6"/>
      <c r="H23" s="6"/>
      <c r="I23" s="6"/>
      <c r="J23" s="6"/>
      <c r="K23" s="6"/>
      <c r="L23" s="6"/>
    </row>
    <row r="24" spans="1:12">
      <c r="B24" s="556">
        <f>+B6+B7</f>
        <v>271482</v>
      </c>
      <c r="C24" s="556">
        <f t="shared" ref="C24:L24" si="4">+C6+C7</f>
        <v>272469</v>
      </c>
      <c r="D24" s="556">
        <f t="shared" si="4"/>
        <v>274120</v>
      </c>
      <c r="E24" s="556">
        <f t="shared" si="4"/>
        <v>274051</v>
      </c>
      <c r="F24" s="556">
        <f t="shared" si="4"/>
        <v>275083</v>
      </c>
      <c r="G24" s="556">
        <f t="shared" si="4"/>
        <v>266188</v>
      </c>
      <c r="H24" s="556">
        <f t="shared" si="4"/>
        <v>269050</v>
      </c>
      <c r="I24" s="556">
        <f t="shared" si="4"/>
        <v>261914</v>
      </c>
      <c r="J24" s="556">
        <f t="shared" si="4"/>
        <v>271931</v>
      </c>
      <c r="K24" s="556">
        <f t="shared" si="4"/>
        <v>276620</v>
      </c>
      <c r="L24" s="556">
        <f t="shared" si="4"/>
        <v>273286</v>
      </c>
    </row>
    <row r="25" spans="1:12">
      <c r="B25" s="557">
        <f>+B24/B5*100</f>
        <v>85.134499476301869</v>
      </c>
      <c r="C25" s="557">
        <f t="shared" ref="C25:L25" si="5">+C24/C5*100</f>
        <v>84.749300155520984</v>
      </c>
      <c r="D25" s="557">
        <f t="shared" si="5"/>
        <v>84.362006936814666</v>
      </c>
      <c r="E25" s="557">
        <f t="shared" si="5"/>
        <v>83.732107120487626</v>
      </c>
      <c r="F25" s="557">
        <f t="shared" si="5"/>
        <v>83.190087943193774</v>
      </c>
      <c r="G25" s="557">
        <f t="shared" si="5"/>
        <v>82.41675903621919</v>
      </c>
      <c r="H25" s="557">
        <f t="shared" si="5"/>
        <v>82.795060299914752</v>
      </c>
      <c r="I25" s="557">
        <f t="shared" si="5"/>
        <v>82.297158873101367</v>
      </c>
      <c r="J25" s="557">
        <f t="shared" si="5"/>
        <v>81.73877234484479</v>
      </c>
      <c r="K25" s="557">
        <f t="shared" si="5"/>
        <v>81.271814880539665</v>
      </c>
      <c r="L25" s="557">
        <f t="shared" si="5"/>
        <v>80.847627105607259</v>
      </c>
    </row>
    <row r="26" spans="1:12">
      <c r="B26" s="6"/>
    </row>
    <row r="27" spans="1:12">
      <c r="B27" s="6"/>
    </row>
    <row r="28" spans="1:12">
      <c r="B28" s="556">
        <f>+B8+B9</f>
        <v>40384</v>
      </c>
      <c r="C28" s="556">
        <f t="shared" ref="C28:L28" si="6">+C8+C9</f>
        <v>41695</v>
      </c>
      <c r="D28" s="556">
        <f t="shared" si="6"/>
        <v>43122</v>
      </c>
      <c r="E28" s="556">
        <f t="shared" si="6"/>
        <v>45178</v>
      </c>
      <c r="F28" s="556">
        <f t="shared" si="6"/>
        <v>47074</v>
      </c>
      <c r="G28" s="556">
        <f t="shared" si="6"/>
        <v>48031</v>
      </c>
      <c r="H28" s="556">
        <f t="shared" si="6"/>
        <v>47267</v>
      </c>
      <c r="I28" s="556">
        <f t="shared" si="6"/>
        <v>47518</v>
      </c>
      <c r="J28" s="556">
        <f t="shared" si="6"/>
        <v>51131</v>
      </c>
      <c r="K28" s="556">
        <f t="shared" si="6"/>
        <v>53587</v>
      </c>
      <c r="L28" s="556">
        <f t="shared" si="6"/>
        <v>54331</v>
      </c>
    </row>
    <row r="29" spans="1:12">
      <c r="B29" s="557">
        <f>+B28/B5*100</f>
        <v>12.66408685235476</v>
      </c>
      <c r="C29" s="557">
        <f t="shared" ref="C29:L29" si="7">+C28/C5*100</f>
        <v>12.968895800933126</v>
      </c>
      <c r="D29" s="557">
        <f t="shared" si="7"/>
        <v>13.271043568981913</v>
      </c>
      <c r="E29" s="557">
        <f t="shared" si="7"/>
        <v>13.803449487465436</v>
      </c>
      <c r="F29" s="557">
        <f t="shared" si="7"/>
        <v>14.236031306325378</v>
      </c>
      <c r="G29" s="557">
        <f t="shared" si="7"/>
        <v>14.871291543077236</v>
      </c>
      <c r="H29" s="557">
        <f t="shared" si="7"/>
        <v>14.545527281903256</v>
      </c>
      <c r="I29" s="557">
        <f t="shared" si="7"/>
        <v>14.93084140340734</v>
      </c>
      <c r="J29" s="557">
        <f t="shared" si="7"/>
        <v>15.369285475963604</v>
      </c>
      <c r="K29" s="557">
        <f t="shared" si="7"/>
        <v>15.744026982877154</v>
      </c>
      <c r="L29" s="557">
        <f t="shared" si="7"/>
        <v>16.073023968570467</v>
      </c>
    </row>
  </sheetData>
  <mergeCells count="1">
    <mergeCell ref="A1:L1"/>
  </mergeCells>
  <phoneticPr fontId="24" type="noConversion"/>
  <conditionalFormatting sqref="A1 N12:N16 A18:E20 A5:I16 M17:N1048576 M1:XFD4 A30:E1048576 A21:A29 O12:XFD1048576 T5:XFD11 M5:M7 A2:E3 A4:L4 B17:E17">
    <cfRule type="cellIs" dxfId="2222" priority="23" operator="equal">
      <formula>0</formula>
    </cfRule>
  </conditionalFormatting>
  <conditionalFormatting sqref="F17:F20 F2:F3 F30:F1048576">
    <cfRule type="cellIs" dxfId="2221" priority="19" operator="equal">
      <formula>0</formula>
    </cfRule>
  </conditionalFormatting>
  <conditionalFormatting sqref="I17:I20 I2:I3 I30:I1048576">
    <cfRule type="cellIs" dxfId="2220" priority="17" operator="equal">
      <formula>0</formula>
    </cfRule>
  </conditionalFormatting>
  <conditionalFormatting sqref="G17:G20 G2:G3 G30:G1048576">
    <cfRule type="cellIs" dxfId="2219" priority="15" operator="equal">
      <formula>0</formula>
    </cfRule>
  </conditionalFormatting>
  <conditionalFormatting sqref="H17:H20 H2:H3 H30:H1048576">
    <cfRule type="cellIs" dxfId="2218" priority="11" operator="equal">
      <formula>0</formula>
    </cfRule>
  </conditionalFormatting>
  <conditionalFormatting sqref="J5:J16">
    <cfRule type="cellIs" dxfId="2217" priority="9" operator="equal">
      <formula>0</formula>
    </cfRule>
  </conditionalFormatting>
  <conditionalFormatting sqref="J17:J20 J2:J3 J30:J1048576">
    <cfRule type="cellIs" dxfId="2216" priority="8" operator="equal">
      <formula>0</formula>
    </cfRule>
  </conditionalFormatting>
  <conditionalFormatting sqref="K5:K16">
    <cfRule type="cellIs" dxfId="2215" priority="6" operator="equal">
      <formula>0</formula>
    </cfRule>
  </conditionalFormatting>
  <conditionalFormatting sqref="K17:K20 K2:K3 K30:K1048576">
    <cfRule type="cellIs" dxfId="2214" priority="5" operator="equal">
      <formula>0</formula>
    </cfRule>
  </conditionalFormatting>
  <conditionalFormatting sqref="L5:L16">
    <cfRule type="cellIs" dxfId="2213" priority="3" operator="equal">
      <formula>0</formula>
    </cfRule>
  </conditionalFormatting>
  <conditionalFormatting sqref="L17:L20 L2:L3 L30:L1048576">
    <cfRule type="cellIs" dxfId="2212" priority="2" operator="equal">
      <formula>0</formula>
    </cfRule>
  </conditionalFormatting>
  <conditionalFormatting sqref="A17">
    <cfRule type="cellIs" dxfId="2211"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7DCCC-5854-46D5-B2CF-34E810D37ADD}">
  <sheetPr>
    <tabColor rgb="FFFFFF00"/>
  </sheetPr>
  <dimension ref="A1:Y56"/>
  <sheetViews>
    <sheetView showGridLines="0" showRowColHeaders="0" zoomScaleNormal="100" zoomScaleSheetLayoutView="100" workbookViewId="0"/>
  </sheetViews>
  <sheetFormatPr defaultColWidth="0" defaultRowHeight="15" zeroHeight="1"/>
  <cols>
    <col min="1" max="11" width="8.42578125" style="894" customWidth="1"/>
    <col min="12" max="12" width="7" style="894" customWidth="1"/>
    <col min="13" max="23" width="8.7109375" style="894" customWidth="1"/>
    <col min="24" max="25" width="0" style="894" hidden="1" customWidth="1"/>
    <col min="26" max="16384" width="8.7109375" style="894" hidden="1"/>
  </cols>
  <sheetData>
    <row r="1" spans="1:23">
      <c r="A1" s="912"/>
      <c r="B1" s="912"/>
      <c r="C1" s="912"/>
      <c r="D1" s="912"/>
      <c r="E1" s="912"/>
      <c r="F1" s="912"/>
      <c r="G1" s="912"/>
      <c r="H1" s="912"/>
      <c r="I1" s="912"/>
      <c r="J1" s="912"/>
      <c r="K1" s="912"/>
      <c r="L1" s="912"/>
      <c r="M1" s="912"/>
      <c r="N1" s="912"/>
      <c r="O1" s="912"/>
      <c r="P1" s="912"/>
      <c r="Q1" s="912"/>
      <c r="R1" s="912"/>
      <c r="S1" s="912"/>
      <c r="T1" s="912"/>
      <c r="U1" s="912"/>
      <c r="V1" s="912"/>
      <c r="W1" s="912"/>
    </row>
    <row r="2" spans="1:23">
      <c r="A2" s="912"/>
      <c r="B2" s="912"/>
      <c r="C2" s="912"/>
      <c r="D2" s="912"/>
      <c r="E2" s="912"/>
      <c r="F2" s="912"/>
      <c r="G2" s="912"/>
      <c r="H2" s="912"/>
      <c r="I2" s="912"/>
      <c r="J2" s="912"/>
      <c r="K2" s="912"/>
      <c r="L2" s="912"/>
      <c r="M2" s="912"/>
      <c r="N2" s="912"/>
      <c r="O2" s="912"/>
      <c r="P2" s="912"/>
      <c r="Q2" s="912"/>
      <c r="R2" s="912"/>
      <c r="S2" s="912"/>
      <c r="T2" s="912"/>
      <c r="U2" s="912"/>
      <c r="V2" s="912"/>
      <c r="W2" s="912"/>
    </row>
    <row r="3" spans="1:23">
      <c r="A3" s="912"/>
      <c r="B3" s="912"/>
      <c r="C3" s="912"/>
      <c r="D3" s="912"/>
      <c r="E3" s="912"/>
      <c r="F3" s="912"/>
      <c r="G3" s="912"/>
      <c r="H3" s="912"/>
      <c r="I3" s="912"/>
      <c r="J3" s="912"/>
      <c r="K3" s="912"/>
      <c r="L3" s="912"/>
      <c r="M3" s="912"/>
      <c r="N3" s="912"/>
      <c r="O3" s="912"/>
      <c r="P3" s="912"/>
      <c r="Q3" s="912"/>
      <c r="R3" s="912"/>
      <c r="S3" s="912"/>
      <c r="T3" s="912"/>
      <c r="U3" s="912"/>
      <c r="V3" s="912"/>
      <c r="W3" s="912"/>
    </row>
    <row r="4" spans="1:23">
      <c r="A4" s="912"/>
      <c r="B4" s="912"/>
      <c r="C4" s="912"/>
      <c r="D4" s="912"/>
      <c r="E4" s="912"/>
      <c r="F4" s="912"/>
      <c r="G4" s="912"/>
      <c r="H4" s="912"/>
      <c r="I4" s="912"/>
      <c r="J4" s="912"/>
      <c r="K4" s="912"/>
      <c r="L4" s="912"/>
      <c r="M4" s="912"/>
      <c r="N4" s="912"/>
      <c r="O4" s="912"/>
      <c r="P4" s="912"/>
      <c r="Q4" s="912"/>
      <c r="R4" s="912"/>
      <c r="S4" s="912"/>
      <c r="T4" s="912"/>
      <c r="U4" s="912"/>
      <c r="V4" s="912"/>
      <c r="W4" s="912"/>
    </row>
    <row r="5" spans="1:23">
      <c r="A5" s="912"/>
      <c r="B5" s="912"/>
      <c r="C5" s="912"/>
      <c r="D5" s="912"/>
      <c r="E5" s="912"/>
      <c r="F5" s="912"/>
      <c r="G5" s="912"/>
      <c r="H5" s="912"/>
      <c r="I5" s="912"/>
      <c r="J5" s="912"/>
      <c r="K5" s="912"/>
      <c r="L5" s="912"/>
      <c r="M5" s="912"/>
      <c r="N5" s="912"/>
      <c r="O5" s="912"/>
      <c r="P5" s="912"/>
      <c r="Q5" s="912"/>
      <c r="R5" s="912"/>
      <c r="S5" s="912"/>
      <c r="T5" s="912"/>
      <c r="U5" s="912"/>
      <c r="V5" s="912"/>
      <c r="W5" s="912"/>
    </row>
    <row r="6" spans="1:23">
      <c r="A6" s="912"/>
      <c r="B6" s="912"/>
      <c r="C6" s="912"/>
      <c r="D6" s="912"/>
      <c r="E6" s="912"/>
      <c r="F6" s="912"/>
      <c r="G6" s="913"/>
      <c r="H6" s="912"/>
      <c r="I6" s="912"/>
      <c r="J6" s="912"/>
      <c r="K6" s="912"/>
      <c r="L6" s="914"/>
      <c r="M6" s="914"/>
      <c r="N6" s="914"/>
      <c r="O6" s="914"/>
      <c r="P6" s="914"/>
      <c r="Q6" s="914"/>
      <c r="R6" s="912"/>
      <c r="S6" s="912"/>
      <c r="T6" s="912"/>
      <c r="U6" s="912"/>
      <c r="V6" s="912"/>
      <c r="W6" s="912"/>
    </row>
    <row r="7" spans="1:23">
      <c r="A7" s="915"/>
      <c r="B7" s="915"/>
      <c r="C7" s="915"/>
      <c r="D7" s="915"/>
      <c r="E7" s="915"/>
      <c r="F7" s="915"/>
      <c r="G7" s="912"/>
      <c r="H7" s="912"/>
      <c r="I7" s="912"/>
      <c r="J7" s="912"/>
      <c r="K7" s="912"/>
      <c r="L7" s="912"/>
      <c r="M7" s="912"/>
      <c r="N7" s="912"/>
      <c r="O7" s="912"/>
      <c r="P7" s="912"/>
      <c r="Q7" s="912"/>
      <c r="R7" s="912"/>
      <c r="S7" s="912"/>
      <c r="T7" s="912"/>
      <c r="U7" s="912"/>
      <c r="V7" s="912"/>
      <c r="W7" s="912"/>
    </row>
    <row r="8" spans="1:23" ht="15" customHeight="1">
      <c r="A8" s="912"/>
      <c r="B8" s="912"/>
      <c r="C8" s="912"/>
      <c r="D8" s="912"/>
      <c r="E8" s="912"/>
      <c r="F8" s="916"/>
      <c r="G8" s="916"/>
      <c r="H8" s="912"/>
      <c r="I8" s="912"/>
      <c r="J8" s="912"/>
      <c r="K8" s="912"/>
      <c r="L8" s="912"/>
      <c r="M8" s="912"/>
      <c r="N8" s="912"/>
      <c r="O8" s="912"/>
      <c r="P8" s="912"/>
      <c r="Q8" s="912"/>
      <c r="R8" s="912"/>
      <c r="S8" s="912"/>
      <c r="T8" s="912"/>
      <c r="U8" s="912"/>
      <c r="V8" s="912"/>
      <c r="W8" s="912"/>
    </row>
    <row r="9" spans="1:23" ht="15" customHeight="1">
      <c r="A9" s="912"/>
      <c r="B9" s="912"/>
      <c r="C9" s="912"/>
      <c r="D9" s="912"/>
      <c r="E9" s="912"/>
      <c r="F9" s="916"/>
      <c r="G9" s="916"/>
      <c r="H9" s="912"/>
      <c r="I9" s="912"/>
      <c r="J9" s="912"/>
      <c r="K9" s="912"/>
      <c r="L9" s="912"/>
      <c r="M9" s="912"/>
      <c r="N9" s="912"/>
      <c r="O9" s="912"/>
      <c r="P9" s="912"/>
      <c r="Q9" s="912"/>
      <c r="R9" s="912"/>
      <c r="S9" s="912"/>
      <c r="T9" s="912"/>
      <c r="U9" s="912"/>
      <c r="V9" s="912"/>
      <c r="W9" s="912"/>
    </row>
    <row r="10" spans="1:23">
      <c r="A10" s="912"/>
      <c r="B10" s="912"/>
      <c r="C10" s="912"/>
      <c r="D10" s="912"/>
      <c r="E10" s="912"/>
      <c r="F10" s="916"/>
      <c r="G10" s="916"/>
      <c r="H10" s="912"/>
      <c r="I10" s="912"/>
      <c r="J10" s="912"/>
      <c r="K10" s="912"/>
      <c r="L10" s="912"/>
      <c r="M10" s="912"/>
      <c r="N10" s="912"/>
      <c r="O10" s="912"/>
      <c r="P10" s="912"/>
      <c r="Q10" s="912"/>
      <c r="R10" s="912"/>
      <c r="S10" s="912"/>
      <c r="T10" s="912"/>
      <c r="U10" s="912"/>
      <c r="V10" s="912"/>
      <c r="W10" s="912"/>
    </row>
    <row r="11" spans="1:23" ht="15" customHeight="1">
      <c r="A11" s="912"/>
      <c r="B11" s="912"/>
      <c r="C11" s="912"/>
      <c r="D11" s="912"/>
      <c r="E11" s="912"/>
      <c r="F11" s="916"/>
      <c r="G11" s="916"/>
      <c r="H11" s="912"/>
      <c r="I11" s="912"/>
      <c r="J11" s="912"/>
      <c r="K11" s="912"/>
      <c r="L11" s="912"/>
      <c r="M11" s="912"/>
      <c r="N11" s="912"/>
      <c r="O11" s="912"/>
      <c r="P11" s="912"/>
      <c r="Q11" s="912"/>
      <c r="R11" s="912"/>
      <c r="S11" s="912"/>
      <c r="T11" s="912"/>
      <c r="U11" s="912"/>
      <c r="V11" s="912"/>
      <c r="W11" s="912"/>
    </row>
    <row r="12" spans="1:23" ht="15" customHeight="1">
      <c r="A12" s="912"/>
      <c r="B12" s="912"/>
      <c r="C12" s="912"/>
      <c r="D12" s="912"/>
      <c r="E12" s="912"/>
      <c r="F12" s="916"/>
      <c r="G12" s="916"/>
      <c r="H12" s="912"/>
      <c r="I12" s="912"/>
      <c r="J12" s="912"/>
      <c r="K12" s="912"/>
      <c r="L12" s="912"/>
      <c r="M12" s="912"/>
      <c r="N12" s="912"/>
      <c r="O12" s="912"/>
      <c r="P12" s="912"/>
      <c r="Q12" s="912"/>
      <c r="R12" s="912"/>
      <c r="S12" s="912"/>
      <c r="T12" s="912"/>
      <c r="U12" s="912"/>
      <c r="V12" s="912"/>
      <c r="W12" s="912"/>
    </row>
    <row r="13" spans="1:23">
      <c r="A13" s="912"/>
      <c r="B13" s="912"/>
      <c r="C13" s="912"/>
      <c r="D13" s="912"/>
      <c r="E13" s="912"/>
      <c r="F13" s="916"/>
      <c r="G13" s="916"/>
      <c r="H13" s="912"/>
      <c r="I13" s="912"/>
      <c r="J13" s="912"/>
      <c r="K13" s="912"/>
      <c r="L13" s="912"/>
      <c r="M13" s="912"/>
      <c r="N13" s="912"/>
      <c r="O13" s="912"/>
      <c r="P13" s="912"/>
      <c r="Q13" s="912"/>
      <c r="R13" s="912"/>
      <c r="S13" s="912"/>
      <c r="T13" s="912"/>
      <c r="U13" s="912"/>
      <c r="V13" s="912"/>
      <c r="W13" s="912"/>
    </row>
    <row r="14" spans="1:23">
      <c r="A14" s="912"/>
      <c r="B14" s="912"/>
      <c r="C14" s="912"/>
      <c r="D14" s="912"/>
      <c r="E14" s="912"/>
      <c r="F14" s="912"/>
      <c r="G14" s="912"/>
      <c r="H14" s="912"/>
      <c r="I14" s="912"/>
      <c r="J14" s="912"/>
      <c r="K14" s="912"/>
      <c r="L14" s="912"/>
      <c r="M14" s="912"/>
      <c r="N14" s="912"/>
      <c r="O14" s="912"/>
      <c r="P14" s="912"/>
      <c r="Q14" s="912"/>
      <c r="R14" s="912"/>
      <c r="S14" s="912"/>
      <c r="T14" s="912"/>
      <c r="U14" s="912"/>
      <c r="V14" s="912"/>
      <c r="W14" s="912"/>
    </row>
    <row r="15" spans="1:23">
      <c r="A15" s="912"/>
      <c r="B15" s="912"/>
      <c r="C15" s="912"/>
      <c r="D15" s="912"/>
      <c r="E15" s="912"/>
      <c r="F15" s="912"/>
      <c r="G15" s="912"/>
      <c r="H15" s="912"/>
      <c r="I15" s="912"/>
      <c r="J15" s="912"/>
      <c r="K15" s="912"/>
      <c r="L15" s="912"/>
      <c r="M15" s="912"/>
      <c r="N15" s="912"/>
      <c r="O15" s="912"/>
      <c r="P15" s="912"/>
      <c r="Q15" s="912"/>
      <c r="R15" s="912"/>
      <c r="S15" s="912"/>
      <c r="T15" s="912"/>
      <c r="U15" s="912"/>
      <c r="V15" s="912"/>
      <c r="W15" s="912"/>
    </row>
    <row r="16" spans="1:23">
      <c r="A16" s="912"/>
      <c r="B16" s="912"/>
      <c r="C16" s="912"/>
      <c r="D16" s="912"/>
      <c r="E16" s="912"/>
      <c r="F16" s="912"/>
      <c r="G16" s="912"/>
      <c r="H16" s="912"/>
      <c r="I16" s="912"/>
      <c r="J16" s="912"/>
      <c r="K16" s="912"/>
      <c r="L16" s="912"/>
      <c r="M16" s="912"/>
      <c r="N16" s="912"/>
      <c r="O16" s="912"/>
      <c r="P16" s="912"/>
      <c r="Q16" s="912"/>
      <c r="R16" s="912"/>
      <c r="S16" s="912"/>
      <c r="T16" s="912"/>
      <c r="U16" s="912"/>
      <c r="V16" s="912"/>
      <c r="W16" s="912"/>
    </row>
    <row r="17" spans="1:25">
      <c r="A17" s="912"/>
      <c r="B17" s="912"/>
      <c r="C17" s="912"/>
      <c r="D17" s="912"/>
      <c r="E17" s="912"/>
      <c r="F17" s="912"/>
      <c r="G17" s="912"/>
      <c r="H17" s="912"/>
      <c r="I17" s="912"/>
      <c r="J17" s="912"/>
      <c r="K17" s="912"/>
      <c r="L17" s="912"/>
      <c r="M17" s="912"/>
      <c r="N17" s="912"/>
      <c r="O17" s="912"/>
      <c r="P17" s="912"/>
      <c r="Q17" s="912"/>
      <c r="R17" s="912"/>
      <c r="S17" s="912"/>
      <c r="T17" s="912"/>
      <c r="U17" s="912"/>
      <c r="V17" s="912"/>
      <c r="W17" s="912"/>
    </row>
    <row r="18" spans="1:25">
      <c r="A18" s="912"/>
      <c r="B18" s="912"/>
      <c r="C18" s="912"/>
      <c r="D18" s="912"/>
      <c r="E18" s="912"/>
      <c r="F18" s="912"/>
      <c r="G18" s="912"/>
      <c r="H18" s="912"/>
      <c r="I18" s="912"/>
      <c r="J18" s="912"/>
      <c r="K18" s="912"/>
      <c r="L18" s="912"/>
      <c r="M18" s="912"/>
      <c r="N18" s="912"/>
      <c r="O18" s="912"/>
      <c r="P18" s="912"/>
      <c r="Q18" s="912"/>
      <c r="R18" s="912"/>
      <c r="S18" s="912"/>
      <c r="T18" s="912"/>
      <c r="U18" s="912"/>
      <c r="V18" s="912"/>
      <c r="W18" s="912"/>
    </row>
    <row r="19" spans="1:25">
      <c r="A19" s="912"/>
      <c r="B19" s="912"/>
      <c r="C19" s="912"/>
      <c r="D19" s="912"/>
      <c r="E19" s="912"/>
      <c r="F19" s="912"/>
      <c r="G19" s="912"/>
      <c r="H19" s="912"/>
      <c r="I19" s="912"/>
      <c r="J19" s="912"/>
      <c r="K19" s="912"/>
      <c r="L19" s="912"/>
      <c r="M19" s="912"/>
      <c r="N19" s="912"/>
      <c r="O19" s="912"/>
      <c r="P19" s="912"/>
      <c r="Q19" s="912"/>
      <c r="R19" s="912"/>
      <c r="S19" s="912"/>
      <c r="T19" s="912"/>
      <c r="U19" s="912"/>
      <c r="V19" s="912"/>
      <c r="W19" s="912"/>
    </row>
    <row r="20" spans="1:25">
      <c r="A20" s="912"/>
      <c r="B20" s="912"/>
      <c r="C20" s="912"/>
      <c r="D20" s="912"/>
      <c r="E20" s="912"/>
      <c r="F20" s="912"/>
      <c r="G20" s="912"/>
      <c r="H20" s="912"/>
      <c r="I20" s="912"/>
      <c r="J20" s="912"/>
      <c r="K20" s="912"/>
      <c r="L20" s="912"/>
      <c r="M20" s="912"/>
      <c r="N20" s="912"/>
      <c r="O20" s="912"/>
      <c r="P20" s="912"/>
      <c r="Q20" s="912"/>
      <c r="R20" s="912"/>
      <c r="S20" s="912"/>
      <c r="T20" s="912"/>
      <c r="U20" s="912"/>
      <c r="V20" s="912"/>
      <c r="W20" s="912"/>
    </row>
    <row r="21" spans="1:25">
      <c r="A21" s="912"/>
      <c r="B21" s="912"/>
      <c r="C21" s="912"/>
      <c r="D21" s="912"/>
      <c r="E21" s="912"/>
      <c r="F21" s="912"/>
      <c r="G21" s="912"/>
      <c r="H21" s="912"/>
      <c r="I21" s="912"/>
      <c r="J21" s="912"/>
      <c r="K21" s="912"/>
      <c r="L21" s="912"/>
      <c r="M21" s="912"/>
      <c r="N21" s="912"/>
      <c r="O21" s="912"/>
      <c r="P21" s="912"/>
      <c r="Q21" s="912"/>
      <c r="R21" s="912"/>
      <c r="S21" s="912"/>
      <c r="T21" s="912"/>
      <c r="U21" s="912"/>
      <c r="V21" s="912"/>
      <c r="W21" s="912"/>
    </row>
    <row r="22" spans="1:25">
      <c r="A22" s="912"/>
      <c r="B22" s="912"/>
      <c r="C22" s="912"/>
      <c r="D22" s="912"/>
      <c r="E22" s="912"/>
      <c r="F22" s="912"/>
      <c r="G22" s="912"/>
      <c r="H22" s="912"/>
      <c r="I22" s="912"/>
      <c r="J22" s="912"/>
      <c r="K22" s="912"/>
      <c r="L22" s="912"/>
      <c r="M22" s="912"/>
      <c r="N22" s="912"/>
      <c r="O22" s="912"/>
      <c r="P22" s="912"/>
      <c r="Q22" s="912"/>
      <c r="R22" s="912"/>
      <c r="S22" s="912"/>
      <c r="T22" s="912"/>
      <c r="U22" s="912"/>
      <c r="V22" s="912"/>
      <c r="W22" s="912"/>
    </row>
    <row r="23" spans="1:25">
      <c r="A23" s="912"/>
      <c r="B23" s="912"/>
      <c r="C23" s="912"/>
      <c r="D23" s="912"/>
      <c r="E23" s="912"/>
      <c r="F23" s="912"/>
      <c r="G23" s="912"/>
      <c r="H23" s="912"/>
      <c r="I23" s="912"/>
      <c r="J23" s="912"/>
      <c r="K23" s="912"/>
      <c r="L23" s="912"/>
      <c r="M23" s="912"/>
      <c r="N23" s="912"/>
      <c r="O23" s="912"/>
      <c r="P23" s="912"/>
      <c r="Q23" s="912"/>
      <c r="R23" s="912"/>
      <c r="S23" s="912"/>
      <c r="T23" s="912"/>
      <c r="U23" s="912"/>
      <c r="V23" s="912"/>
      <c r="W23" s="912"/>
    </row>
    <row r="24" spans="1:25">
      <c r="A24" s="912"/>
      <c r="B24" s="912"/>
      <c r="C24" s="912"/>
      <c r="D24" s="912"/>
      <c r="E24" s="912"/>
      <c r="F24" s="912"/>
      <c r="G24" s="912"/>
      <c r="H24" s="912"/>
      <c r="I24" s="912"/>
      <c r="J24" s="912"/>
      <c r="K24" s="912"/>
      <c r="L24" s="912"/>
      <c r="M24" s="912"/>
      <c r="N24" s="912"/>
      <c r="O24" s="912"/>
      <c r="P24" s="912"/>
      <c r="Q24" s="912"/>
      <c r="R24" s="912"/>
      <c r="S24" s="912"/>
      <c r="T24" s="912"/>
      <c r="U24" s="912"/>
      <c r="V24" s="912"/>
      <c r="W24" s="912"/>
    </row>
    <row r="25" spans="1:25">
      <c r="A25" s="912"/>
      <c r="B25" s="912"/>
      <c r="C25" s="912"/>
      <c r="D25" s="912"/>
      <c r="E25" s="912"/>
      <c r="F25" s="912"/>
      <c r="G25" s="912"/>
      <c r="H25" s="912"/>
      <c r="I25" s="912"/>
      <c r="J25" s="912"/>
      <c r="K25" s="912"/>
      <c r="L25" s="912"/>
      <c r="M25" s="912"/>
      <c r="N25" s="912"/>
      <c r="O25" s="912"/>
      <c r="P25" s="912"/>
      <c r="Q25" s="912"/>
      <c r="R25" s="912"/>
      <c r="S25" s="912"/>
      <c r="T25" s="912"/>
      <c r="U25" s="912"/>
      <c r="V25" s="912"/>
      <c r="W25" s="912"/>
    </row>
    <row r="26" spans="1:25">
      <c r="A26" s="912"/>
      <c r="B26" s="912"/>
      <c r="C26" s="912"/>
      <c r="D26" s="912"/>
      <c r="E26" s="912"/>
      <c r="F26" s="912"/>
      <c r="G26" s="912"/>
      <c r="H26" s="912"/>
      <c r="I26" s="912"/>
      <c r="J26" s="912"/>
      <c r="K26" s="912"/>
      <c r="L26" s="912"/>
      <c r="M26" s="912"/>
      <c r="N26" s="912"/>
      <c r="O26" s="912"/>
      <c r="P26" s="912"/>
      <c r="Q26" s="912"/>
      <c r="R26" s="912"/>
      <c r="S26" s="912"/>
      <c r="T26" s="912"/>
      <c r="U26" s="912"/>
      <c r="V26" s="912"/>
      <c r="W26" s="912"/>
    </row>
    <row r="27" spans="1:25">
      <c r="A27" s="912"/>
      <c r="B27" s="912"/>
      <c r="C27" s="912"/>
      <c r="D27" s="912"/>
      <c r="E27" s="912"/>
      <c r="F27" s="912"/>
      <c r="G27" s="912"/>
      <c r="H27" s="912"/>
      <c r="I27" s="912"/>
      <c r="J27" s="912"/>
      <c r="K27" s="912"/>
      <c r="L27" s="912"/>
      <c r="M27" s="912"/>
      <c r="N27" s="912"/>
      <c r="O27" s="912"/>
      <c r="P27" s="912"/>
      <c r="Q27" s="912"/>
      <c r="R27" s="912"/>
      <c r="S27" s="912"/>
      <c r="T27" s="912"/>
      <c r="U27" s="912"/>
      <c r="V27" s="912"/>
      <c r="W27" s="912"/>
    </row>
    <row r="28" spans="1:25">
      <c r="A28" s="912"/>
      <c r="B28" s="912"/>
      <c r="C28" s="912"/>
      <c r="D28" s="912"/>
      <c r="E28" s="912"/>
      <c r="F28" s="912"/>
      <c r="G28" s="912"/>
      <c r="H28" s="912"/>
      <c r="I28" s="912"/>
      <c r="J28" s="912"/>
      <c r="K28" s="912"/>
      <c r="L28" s="912"/>
      <c r="M28" s="912"/>
      <c r="N28" s="912"/>
      <c r="O28" s="912"/>
      <c r="P28" s="917"/>
      <c r="Q28" s="917"/>
      <c r="R28" s="917"/>
      <c r="S28" s="917"/>
      <c r="T28" s="917"/>
      <c r="U28" s="917"/>
      <c r="V28" s="917"/>
      <c r="W28" s="917"/>
      <c r="X28" s="895"/>
      <c r="Y28" s="895"/>
    </row>
    <row r="29" spans="1:25">
      <c r="A29" s="912"/>
      <c r="B29" s="912"/>
      <c r="C29" s="912"/>
      <c r="D29" s="912"/>
      <c r="E29" s="912"/>
      <c r="F29" s="912"/>
      <c r="G29" s="912"/>
      <c r="H29" s="912"/>
      <c r="I29" s="912"/>
      <c r="J29" s="912"/>
      <c r="K29" s="912"/>
      <c r="L29" s="912"/>
      <c r="M29" s="912"/>
      <c r="N29" s="912"/>
      <c r="O29" s="912"/>
      <c r="P29" s="918"/>
      <c r="Q29" s="918"/>
      <c r="R29" s="918"/>
      <c r="S29" s="918"/>
      <c r="T29" s="918"/>
      <c r="U29" s="918"/>
      <c r="V29" s="912"/>
      <c r="W29" s="919"/>
      <c r="X29" s="896"/>
      <c r="Y29" s="896"/>
    </row>
    <row r="30" spans="1:25">
      <c r="A30" s="912"/>
      <c r="B30" s="912"/>
      <c r="C30" s="912"/>
      <c r="D30" s="912"/>
      <c r="E30" s="912"/>
      <c r="F30" s="912"/>
      <c r="G30" s="912"/>
      <c r="H30" s="912"/>
      <c r="I30" s="912"/>
      <c r="J30" s="912"/>
      <c r="K30" s="912"/>
      <c r="L30" s="912"/>
      <c r="M30" s="912"/>
      <c r="N30" s="912"/>
      <c r="O30" s="912"/>
      <c r="P30" s="912"/>
      <c r="Q30" s="912"/>
      <c r="R30" s="912"/>
      <c r="S30" s="912"/>
      <c r="T30" s="912"/>
      <c r="U30" s="912"/>
      <c r="V30" s="912"/>
      <c r="W30" s="912"/>
    </row>
    <row r="31" spans="1:25">
      <c r="A31" s="912"/>
      <c r="B31" s="912"/>
      <c r="C31" s="912"/>
      <c r="D31" s="912"/>
      <c r="E31" s="912"/>
      <c r="F31" s="912"/>
      <c r="G31" s="912"/>
      <c r="H31" s="912"/>
      <c r="I31" s="912"/>
      <c r="J31" s="912"/>
      <c r="K31" s="912"/>
      <c r="L31" s="912"/>
      <c r="M31" s="912"/>
      <c r="N31" s="912"/>
      <c r="O31" s="912"/>
      <c r="P31" s="920"/>
      <c r="Q31" s="912"/>
      <c r="R31" s="912"/>
      <c r="S31" s="912"/>
      <c r="T31" s="912"/>
      <c r="U31" s="912"/>
      <c r="V31" s="912"/>
      <c r="W31" s="912"/>
    </row>
    <row r="32" spans="1:25">
      <c r="A32" s="912"/>
      <c r="B32" s="912"/>
      <c r="C32" s="912"/>
      <c r="D32" s="912"/>
      <c r="E32" s="912"/>
      <c r="F32" s="912"/>
      <c r="G32" s="912"/>
      <c r="H32" s="912"/>
      <c r="I32" s="912"/>
      <c r="J32" s="912"/>
      <c r="K32" s="912"/>
      <c r="L32" s="912"/>
      <c r="M32" s="912"/>
      <c r="N32" s="912"/>
      <c r="O32" s="912"/>
      <c r="P32" s="919"/>
      <c r="Q32" s="912"/>
      <c r="R32" s="912"/>
      <c r="S32" s="912"/>
      <c r="T32" s="912"/>
      <c r="U32" s="912"/>
      <c r="V32" s="912"/>
      <c r="W32" s="912"/>
    </row>
    <row r="33" spans="1:23">
      <c r="A33" s="912"/>
      <c r="B33" s="912"/>
      <c r="C33" s="912"/>
      <c r="D33" s="912"/>
      <c r="E33" s="912"/>
      <c r="F33" s="912"/>
      <c r="G33" s="912"/>
      <c r="H33" s="912"/>
      <c r="I33" s="912"/>
      <c r="J33" s="912"/>
      <c r="K33" s="912"/>
      <c r="L33" s="912"/>
      <c r="M33" s="912"/>
      <c r="N33" s="912"/>
      <c r="O33" s="912"/>
      <c r="P33" s="919"/>
      <c r="Q33" s="912"/>
      <c r="R33" s="912"/>
      <c r="S33" s="912"/>
      <c r="T33" s="912"/>
      <c r="U33" s="912"/>
      <c r="V33" s="912"/>
      <c r="W33" s="912"/>
    </row>
    <row r="34" spans="1:23">
      <c r="A34" s="912"/>
      <c r="B34" s="912"/>
      <c r="C34" s="912"/>
      <c r="D34" s="912"/>
      <c r="E34" s="912"/>
      <c r="F34" s="912"/>
      <c r="G34" s="912"/>
      <c r="H34" s="912"/>
      <c r="I34" s="912"/>
      <c r="J34" s="912"/>
      <c r="K34" s="912"/>
      <c r="L34" s="912"/>
      <c r="M34" s="912"/>
      <c r="N34" s="912"/>
      <c r="O34" s="912"/>
      <c r="P34" s="919"/>
      <c r="Q34" s="912"/>
      <c r="R34" s="912"/>
      <c r="S34" s="912"/>
      <c r="T34" s="912"/>
      <c r="U34" s="912"/>
      <c r="V34" s="912"/>
      <c r="W34" s="912"/>
    </row>
    <row r="35" spans="1:23">
      <c r="A35" s="912"/>
      <c r="B35" s="912"/>
      <c r="C35" s="912"/>
      <c r="D35" s="912"/>
      <c r="E35" s="912"/>
      <c r="F35" s="912"/>
      <c r="G35" s="912"/>
      <c r="H35" s="921"/>
      <c r="I35" s="912"/>
      <c r="J35" s="920"/>
      <c r="K35" s="912"/>
      <c r="L35" s="912"/>
      <c r="M35" s="919"/>
      <c r="N35" s="919"/>
      <c r="O35" s="919"/>
      <c r="P35" s="919"/>
      <c r="Q35" s="912"/>
      <c r="R35" s="912"/>
      <c r="S35" s="912"/>
      <c r="T35" s="912"/>
      <c r="U35" s="912"/>
      <c r="V35" s="912"/>
      <c r="W35" s="912"/>
    </row>
    <row r="36" spans="1:23">
      <c r="A36" s="912"/>
      <c r="B36" s="912"/>
      <c r="C36" s="912"/>
      <c r="D36" s="912"/>
      <c r="E36" s="912"/>
      <c r="F36" s="912"/>
      <c r="G36" s="912"/>
      <c r="H36" s="921"/>
      <c r="I36" s="912"/>
      <c r="J36" s="920"/>
      <c r="K36" s="912"/>
      <c r="L36" s="912"/>
      <c r="M36" s="919"/>
      <c r="N36" s="919"/>
      <c r="O36" s="919"/>
      <c r="P36" s="919"/>
      <c r="Q36" s="912"/>
      <c r="R36" s="912"/>
      <c r="S36" s="912"/>
      <c r="T36" s="912"/>
      <c r="U36" s="912"/>
      <c r="V36" s="912"/>
      <c r="W36" s="912"/>
    </row>
    <row r="37" spans="1:23">
      <c r="A37" s="912"/>
      <c r="B37" s="912"/>
      <c r="C37" s="912"/>
      <c r="D37" s="912"/>
      <c r="E37" s="912"/>
      <c r="F37" s="912"/>
      <c r="G37" s="912"/>
      <c r="H37" s="912"/>
      <c r="I37" s="912"/>
      <c r="J37" s="920"/>
      <c r="K37" s="912"/>
      <c r="L37" s="912"/>
      <c r="M37" s="922"/>
      <c r="N37" s="921"/>
      <c r="O37" s="919"/>
      <c r="P37" s="919"/>
      <c r="Q37" s="912"/>
      <c r="R37" s="912"/>
      <c r="S37" s="912"/>
      <c r="T37" s="912"/>
      <c r="U37" s="912"/>
      <c r="V37" s="912"/>
      <c r="W37" s="912"/>
    </row>
    <row r="38" spans="1:23">
      <c r="A38" s="912"/>
      <c r="B38" s="912"/>
      <c r="C38" s="912"/>
      <c r="D38" s="912"/>
      <c r="E38" s="912"/>
      <c r="F38" s="912"/>
      <c r="G38" s="912"/>
      <c r="H38" s="921"/>
      <c r="I38" s="912"/>
      <c r="J38" s="920"/>
      <c r="K38" s="912"/>
      <c r="L38" s="912"/>
      <c r="M38" s="919"/>
      <c r="N38" s="919"/>
      <c r="O38" s="919"/>
      <c r="P38" s="919"/>
      <c r="Q38" s="912"/>
      <c r="R38" s="912"/>
      <c r="S38" s="912"/>
      <c r="T38" s="912"/>
      <c r="U38" s="912"/>
      <c r="V38" s="912"/>
      <c r="W38" s="912"/>
    </row>
    <row r="39" spans="1:23">
      <c r="A39" s="912"/>
      <c r="B39" s="912"/>
      <c r="C39" s="912"/>
      <c r="D39" s="912"/>
      <c r="E39" s="912"/>
      <c r="F39" s="912"/>
      <c r="G39" s="912"/>
      <c r="H39" s="920"/>
      <c r="I39" s="920"/>
      <c r="J39" s="920"/>
      <c r="K39" s="912"/>
      <c r="L39" s="919"/>
      <c r="M39" s="919"/>
      <c r="N39" s="919"/>
      <c r="O39" s="919"/>
      <c r="P39" s="919"/>
      <c r="Q39" s="912"/>
      <c r="R39" s="912"/>
      <c r="S39" s="912"/>
      <c r="T39" s="912"/>
      <c r="U39" s="912"/>
      <c r="V39" s="912"/>
      <c r="W39" s="912"/>
    </row>
    <row r="40" spans="1:23">
      <c r="A40" s="912"/>
      <c r="B40" s="912"/>
      <c r="C40" s="912"/>
      <c r="D40" s="912"/>
      <c r="E40" s="912"/>
      <c r="F40" s="912"/>
      <c r="G40" s="919"/>
      <c r="H40" s="919"/>
      <c r="I40" s="919"/>
      <c r="J40" s="919"/>
      <c r="K40" s="919"/>
      <c r="L40" s="919"/>
      <c r="M40" s="919"/>
      <c r="N40" s="919"/>
      <c r="O40" s="919"/>
      <c r="P40" s="919"/>
      <c r="Q40" s="912"/>
      <c r="R40" s="912"/>
      <c r="S40" s="912"/>
      <c r="T40" s="912"/>
      <c r="U40" s="912"/>
      <c r="V40" s="912"/>
      <c r="W40" s="912"/>
    </row>
    <row r="41" spans="1:23">
      <c r="A41" s="912"/>
      <c r="B41" s="912"/>
      <c r="C41" s="912"/>
      <c r="D41" s="912"/>
      <c r="E41" s="912"/>
      <c r="F41" s="912"/>
      <c r="G41" s="919"/>
      <c r="H41" s="919"/>
      <c r="I41" s="919"/>
      <c r="J41" s="919"/>
      <c r="K41" s="919"/>
      <c r="L41" s="919"/>
      <c r="M41" s="919"/>
      <c r="N41" s="919"/>
      <c r="O41" s="919"/>
      <c r="P41" s="919"/>
      <c r="Q41" s="912"/>
      <c r="R41" s="912"/>
      <c r="S41" s="912"/>
      <c r="T41" s="912"/>
      <c r="U41" s="912"/>
      <c r="V41" s="912"/>
      <c r="W41" s="912"/>
    </row>
    <row r="42" spans="1:23">
      <c r="A42" s="912"/>
      <c r="B42" s="912"/>
      <c r="C42" s="912"/>
      <c r="D42" s="912"/>
      <c r="E42" s="912"/>
      <c r="F42" s="912"/>
      <c r="G42" s="919"/>
      <c r="H42" s="919"/>
      <c r="I42" s="919"/>
      <c r="J42" s="919"/>
      <c r="K42" s="919"/>
      <c r="L42" s="919"/>
      <c r="M42" s="919"/>
      <c r="N42" s="919"/>
      <c r="O42" s="919"/>
      <c r="P42" s="919"/>
      <c r="Q42" s="912"/>
      <c r="R42" s="912"/>
      <c r="S42" s="912"/>
      <c r="T42" s="912"/>
      <c r="U42" s="912"/>
      <c r="V42" s="912"/>
      <c r="W42" s="912"/>
    </row>
    <row r="43" spans="1:23">
      <c r="A43" s="912"/>
      <c r="B43" s="912"/>
      <c r="C43" s="912"/>
      <c r="D43" s="912"/>
      <c r="E43" s="912"/>
      <c r="F43" s="912"/>
      <c r="G43" s="919"/>
      <c r="H43" s="919"/>
      <c r="I43" s="919"/>
      <c r="J43" s="919"/>
      <c r="K43" s="919"/>
      <c r="L43" s="919"/>
      <c r="M43" s="919"/>
      <c r="N43" s="919"/>
      <c r="O43" s="919"/>
      <c r="P43" s="919"/>
      <c r="Q43" s="912"/>
      <c r="R43" s="912"/>
      <c r="S43" s="912"/>
      <c r="T43" s="912"/>
      <c r="U43" s="912"/>
      <c r="V43" s="912"/>
      <c r="W43" s="912"/>
    </row>
    <row r="44" spans="1:23">
      <c r="A44" s="912"/>
      <c r="B44" s="912"/>
      <c r="C44" s="912"/>
      <c r="D44" s="912"/>
      <c r="E44" s="912"/>
      <c r="F44" s="912"/>
      <c r="G44" s="919"/>
      <c r="H44" s="919"/>
      <c r="I44" s="919"/>
      <c r="J44" s="919"/>
      <c r="K44" s="919"/>
      <c r="L44" s="919"/>
      <c r="M44" s="919"/>
      <c r="N44" s="919"/>
      <c r="O44" s="919"/>
      <c r="P44" s="919"/>
      <c r="Q44" s="912"/>
      <c r="R44" s="912"/>
      <c r="S44" s="912"/>
      <c r="T44" s="912"/>
      <c r="U44" s="912"/>
      <c r="V44" s="912"/>
      <c r="W44" s="912"/>
    </row>
    <row r="45" spans="1:23">
      <c r="A45" s="912"/>
      <c r="B45" s="912"/>
      <c r="C45" s="912"/>
      <c r="D45" s="912"/>
      <c r="E45" s="912"/>
      <c r="F45" s="912"/>
      <c r="G45" s="919"/>
      <c r="H45" s="919"/>
      <c r="I45" s="919"/>
      <c r="J45" s="919"/>
      <c r="K45" s="919"/>
      <c r="L45" s="919"/>
      <c r="M45" s="923"/>
      <c r="N45" s="919"/>
      <c r="O45" s="919"/>
      <c r="P45" s="924"/>
      <c r="Q45" s="924"/>
      <c r="R45" s="912"/>
      <c r="S45" s="912"/>
      <c r="T45" s="912"/>
      <c r="U45" s="912"/>
      <c r="V45" s="912"/>
      <c r="W45" s="912"/>
    </row>
    <row r="46" spans="1:23">
      <c r="A46" s="912"/>
      <c r="B46" s="912"/>
      <c r="C46" s="912"/>
      <c r="D46" s="912"/>
      <c r="E46" s="912"/>
      <c r="F46" s="912"/>
      <c r="G46" s="919"/>
      <c r="H46" s="919"/>
      <c r="I46" s="919"/>
      <c r="J46" s="919"/>
      <c r="K46" s="919"/>
      <c r="L46" s="919"/>
      <c r="M46" s="919"/>
      <c r="N46" s="919"/>
      <c r="O46" s="919"/>
      <c r="P46" s="919"/>
      <c r="Q46" s="912"/>
      <c r="R46" s="912"/>
      <c r="S46" s="912"/>
      <c r="T46" s="912"/>
      <c r="U46" s="912"/>
      <c r="V46" s="912"/>
      <c r="W46" s="912"/>
    </row>
    <row r="47" spans="1:23">
      <c r="A47" s="912"/>
      <c r="B47" s="912"/>
      <c r="C47" s="912"/>
      <c r="D47" s="912"/>
      <c r="E47" s="912"/>
      <c r="F47" s="912"/>
      <c r="G47" s="919"/>
      <c r="H47" s="919"/>
      <c r="I47" s="919"/>
      <c r="J47" s="919"/>
      <c r="K47" s="919"/>
      <c r="L47" s="919"/>
      <c r="M47" s="919"/>
      <c r="N47" s="919"/>
      <c r="O47" s="919"/>
      <c r="P47" s="919"/>
      <c r="Q47" s="912"/>
      <c r="R47" s="912"/>
      <c r="S47" s="912"/>
      <c r="T47" s="912"/>
      <c r="U47" s="912"/>
      <c r="V47" s="912"/>
      <c r="W47" s="912"/>
    </row>
    <row r="48" spans="1:23">
      <c r="A48" s="912"/>
      <c r="B48" s="912"/>
      <c r="C48" s="912"/>
      <c r="D48" s="912"/>
      <c r="E48" s="912"/>
      <c r="F48" s="912"/>
      <c r="G48" s="919"/>
      <c r="H48" s="919"/>
      <c r="I48" s="919"/>
      <c r="J48" s="919"/>
      <c r="K48" s="919"/>
      <c r="L48" s="919"/>
      <c r="M48" s="919"/>
      <c r="N48" s="919"/>
      <c r="O48" s="919"/>
      <c r="P48" s="919"/>
      <c r="Q48" s="912"/>
      <c r="R48" s="912"/>
      <c r="S48" s="912"/>
      <c r="T48" s="912"/>
      <c r="U48" s="912"/>
      <c r="V48" s="912"/>
      <c r="W48" s="912"/>
    </row>
    <row r="49" spans="1:25">
      <c r="A49" s="912"/>
      <c r="B49" s="912"/>
      <c r="C49" s="912"/>
      <c r="D49" s="912"/>
      <c r="E49" s="912"/>
      <c r="F49" s="912"/>
      <c r="G49" s="919"/>
      <c r="H49" s="919"/>
      <c r="I49" s="919"/>
      <c r="J49" s="919"/>
      <c r="K49" s="919"/>
      <c r="L49" s="925"/>
      <c r="M49" s="925"/>
      <c r="N49" s="925"/>
      <c r="O49" s="925"/>
      <c r="P49" s="919"/>
      <c r="Q49" s="919"/>
      <c r="R49" s="919"/>
      <c r="S49" s="919"/>
      <c r="T49" s="919"/>
      <c r="U49" s="919"/>
      <c r="V49" s="919"/>
      <c r="W49" s="919"/>
      <c r="X49" s="896"/>
      <c r="Y49" s="896"/>
    </row>
    <row r="50" spans="1:25">
      <c r="A50" s="912"/>
      <c r="B50" s="912"/>
      <c r="C50" s="912"/>
      <c r="D50" s="912"/>
      <c r="E50" s="912"/>
      <c r="F50" s="912"/>
      <c r="G50" s="919"/>
      <c r="H50" s="919"/>
      <c r="I50" s="919"/>
      <c r="J50" s="919"/>
      <c r="K50" s="919"/>
      <c r="L50" s="919"/>
      <c r="M50" s="919"/>
      <c r="N50" s="919"/>
      <c r="O50" s="919"/>
      <c r="P50" s="919"/>
      <c r="Q50" s="919"/>
      <c r="R50" s="919"/>
      <c r="S50" s="919"/>
      <c r="T50" s="919"/>
      <c r="U50" s="919"/>
      <c r="V50" s="919"/>
      <c r="W50" s="919"/>
      <c r="X50" s="896"/>
      <c r="Y50" s="896"/>
    </row>
    <row r="51" spans="1:25">
      <c r="A51" s="912"/>
      <c r="B51" s="912"/>
      <c r="C51" s="912"/>
      <c r="D51" s="912"/>
      <c r="E51" s="912"/>
      <c r="F51" s="912"/>
      <c r="G51" s="919"/>
      <c r="H51" s="919"/>
      <c r="I51" s="919"/>
      <c r="J51" s="919"/>
      <c r="K51" s="919"/>
      <c r="L51" s="919"/>
      <c r="M51" s="919"/>
      <c r="N51" s="919"/>
      <c r="O51" s="919"/>
      <c r="P51" s="912"/>
      <c r="Q51" s="912"/>
      <c r="R51" s="912"/>
      <c r="S51" s="912"/>
      <c r="T51" s="912"/>
      <c r="U51" s="912"/>
      <c r="V51" s="912"/>
      <c r="W51" s="912"/>
    </row>
    <row r="52" spans="1:25">
      <c r="A52" s="912"/>
      <c r="B52" s="912"/>
      <c r="C52" s="912"/>
      <c r="D52" s="912"/>
      <c r="E52" s="912"/>
      <c r="F52" s="912"/>
      <c r="G52" s="912"/>
      <c r="H52" s="912"/>
      <c r="I52" s="912"/>
      <c r="J52" s="912"/>
      <c r="K52" s="912"/>
      <c r="L52" s="912"/>
      <c r="M52" s="912"/>
      <c r="N52" s="912"/>
      <c r="O52" s="912"/>
      <c r="P52" s="912"/>
      <c r="Q52" s="912"/>
      <c r="R52" s="912"/>
      <c r="S52" s="912"/>
      <c r="T52" s="912"/>
      <c r="U52" s="912"/>
      <c r="V52" s="912"/>
      <c r="W52" s="912"/>
    </row>
    <row r="53" spans="1:25">
      <c r="A53" s="912"/>
      <c r="B53" s="912"/>
      <c r="C53" s="912"/>
      <c r="D53" s="912"/>
      <c r="E53" s="912"/>
      <c r="F53" s="912"/>
      <c r="G53" s="912"/>
      <c r="H53" s="912"/>
      <c r="I53" s="912"/>
      <c r="J53" s="912"/>
      <c r="K53" s="912"/>
      <c r="L53" s="912"/>
      <c r="M53" s="912"/>
      <c r="N53" s="912"/>
      <c r="O53" s="912"/>
      <c r="P53" s="912"/>
      <c r="Q53" s="912"/>
      <c r="R53" s="912"/>
      <c r="S53" s="912"/>
      <c r="T53" s="912"/>
      <c r="U53" s="912"/>
      <c r="V53" s="912"/>
      <c r="W53" s="912"/>
    </row>
    <row r="54" spans="1:25" hidden="1"/>
    <row r="55" spans="1:25" hidden="1">
      <c r="J55" s="899"/>
      <c r="R55" s="899"/>
    </row>
    <row r="56" spans="1:25" hidden="1">
      <c r="R56" s="899"/>
    </row>
  </sheetData>
  <sheetProtection algorithmName="SHA-512" hashValue="98GRRJqP9oU81mrB6lkWavgpSMyokbn06GyZUuWATPU3R4fCrZAO/qx9em/+25kxRIaFWuMI9MaynA5uGKmweQ==" saltValue="7t2X5Y4YJXFBmuCTi6RqpA==" spinCount="100000" sheet="1" objects="1" scenarios="1"/>
  <printOptions horizontalCentered="1" verticalCentered="1"/>
  <pageMargins left="0" right="0" top="0" bottom="0" header="0" footer="0"/>
  <pageSetup paperSize="9" scale="75" fitToWidth="0" fitToHeight="0"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8194" r:id="rId4" name="Drop Down 2">
              <controlPr defaultSize="0" autoLine="0" autoPict="0">
                <anchor moveWithCells="1">
                  <from>
                    <xdr:col>18</xdr:col>
                    <xdr:colOff>95250</xdr:colOff>
                    <xdr:row>35</xdr:row>
                    <xdr:rowOff>76200</xdr:rowOff>
                  </from>
                  <to>
                    <xdr:col>19</xdr:col>
                    <xdr:colOff>323850</xdr:colOff>
                    <xdr:row>36</xdr:row>
                    <xdr:rowOff>85725</xdr:rowOff>
                  </to>
                </anchor>
              </controlPr>
            </control>
          </mc:Choice>
        </mc:AlternateContent>
      </controls>
    </mc:Choice>
  </mc:AlternateContent>
  <extLst>
    <ext xmlns:x14="http://schemas.microsoft.com/office/spreadsheetml/2009/9/main" uri="{A8765BA9-456A-4dab-B4F3-ACF838C121DE}">
      <x14:slicerList>
        <x14:slicer r:id="rId5"/>
      </x14:slicerList>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91">
    <tabColor indexed="24"/>
    <pageSetUpPr fitToPage="1"/>
  </sheetPr>
  <dimension ref="A1:AK24"/>
  <sheetViews>
    <sheetView showGridLines="0" workbookViewId="0">
      <selection activeCell="Y70" sqref="Y70"/>
    </sheetView>
  </sheetViews>
  <sheetFormatPr defaultColWidth="9.140625" defaultRowHeight="11.25"/>
  <cols>
    <col min="1" max="1" width="17.140625" style="2" customWidth="1"/>
    <col min="2" max="12" width="7.5703125" style="20" customWidth="1"/>
    <col min="13" max="14" width="5.85546875" style="2" bestFit="1" customWidth="1"/>
    <col min="15" max="16384" width="9.140625" style="2"/>
  </cols>
  <sheetData>
    <row r="1" spans="1:37" s="1" customFormat="1" ht="28.5" customHeight="1">
      <c r="A1" s="981" t="s">
        <v>567</v>
      </c>
      <c r="B1" s="981"/>
      <c r="C1" s="981"/>
      <c r="D1" s="981"/>
      <c r="E1" s="981"/>
      <c r="F1" s="981"/>
      <c r="G1" s="981"/>
      <c r="H1" s="981"/>
      <c r="I1" s="981"/>
      <c r="J1" s="981"/>
      <c r="K1" s="981"/>
      <c r="L1" s="981"/>
    </row>
    <row r="2" spans="1:37" ht="15" customHeight="1">
      <c r="A2" s="9"/>
      <c r="B2" s="10"/>
      <c r="C2" s="10"/>
      <c r="D2" s="10"/>
      <c r="E2" s="10"/>
      <c r="F2" s="10"/>
      <c r="G2" s="10"/>
      <c r="H2" s="10"/>
      <c r="I2" s="10"/>
      <c r="J2" s="10"/>
      <c r="K2" s="10"/>
      <c r="L2" s="10"/>
    </row>
    <row r="3" spans="1:37" ht="15" customHeight="1">
      <c r="A3" s="11" t="s">
        <v>13</v>
      </c>
      <c r="B3" s="12"/>
      <c r="C3" s="12"/>
      <c r="D3" s="12"/>
      <c r="E3" s="12"/>
      <c r="F3" s="12"/>
      <c r="G3" s="12"/>
      <c r="H3" s="12"/>
      <c r="I3" s="12"/>
      <c r="J3" s="12"/>
      <c r="K3" s="12"/>
      <c r="L3" s="12"/>
    </row>
    <row r="4" spans="1:37" ht="29.25" customHeight="1" thickBot="1">
      <c r="A4" s="13"/>
      <c r="B4" s="24">
        <v>2014</v>
      </c>
      <c r="C4" s="24">
        <v>2015</v>
      </c>
      <c r="D4" s="24">
        <v>2016</v>
      </c>
      <c r="E4" s="24">
        <v>2017</v>
      </c>
      <c r="F4" s="24">
        <v>2018</v>
      </c>
      <c r="G4" s="24">
        <v>2019</v>
      </c>
      <c r="H4" s="24">
        <v>2020</v>
      </c>
      <c r="I4" s="24">
        <v>2021</v>
      </c>
      <c r="J4" s="24">
        <v>2022</v>
      </c>
      <c r="K4" s="24">
        <v>2023</v>
      </c>
      <c r="L4" s="24">
        <v>2024</v>
      </c>
      <c r="O4" s="378"/>
      <c r="P4" s="560">
        <f>+B4</f>
        <v>2014</v>
      </c>
      <c r="Q4" s="560">
        <f t="shared" ref="Q4:W4" si="0">+C4</f>
        <v>2015</v>
      </c>
      <c r="R4" s="560">
        <f t="shared" si="0"/>
        <v>2016</v>
      </c>
      <c r="S4" s="560">
        <f t="shared" si="0"/>
        <v>2017</v>
      </c>
      <c r="T4" s="560">
        <f t="shared" si="0"/>
        <v>2018</v>
      </c>
      <c r="U4" s="560">
        <f t="shared" si="0"/>
        <v>2019</v>
      </c>
      <c r="V4" s="560">
        <f t="shared" si="0"/>
        <v>2020</v>
      </c>
      <c r="W4" s="560">
        <f t="shared" si="0"/>
        <v>2021</v>
      </c>
      <c r="X4" s="560">
        <f>+J4</f>
        <v>2022</v>
      </c>
      <c r="Y4" s="560">
        <f t="shared" ref="Y4:Z4" si="1">+K4</f>
        <v>2023</v>
      </c>
      <c r="Z4" s="560">
        <f t="shared" si="1"/>
        <v>2024</v>
      </c>
      <c r="AA4" s="560">
        <f>+B4</f>
        <v>2014</v>
      </c>
      <c r="AB4" s="560">
        <f t="shared" ref="AB4:AJ4" si="2">+C4</f>
        <v>2015</v>
      </c>
      <c r="AC4" s="560">
        <f t="shared" si="2"/>
        <v>2016</v>
      </c>
      <c r="AD4" s="560">
        <f t="shared" si="2"/>
        <v>2017</v>
      </c>
      <c r="AE4" s="560">
        <f t="shared" si="2"/>
        <v>2018</v>
      </c>
      <c r="AF4" s="560">
        <f t="shared" si="2"/>
        <v>2019</v>
      </c>
      <c r="AG4" s="560">
        <f t="shared" si="2"/>
        <v>2020</v>
      </c>
      <c r="AH4" s="560">
        <f t="shared" si="2"/>
        <v>2021</v>
      </c>
      <c r="AI4" s="560">
        <f t="shared" si="2"/>
        <v>2022</v>
      </c>
      <c r="AJ4" s="560">
        <f t="shared" si="2"/>
        <v>2023</v>
      </c>
      <c r="AK4" s="560">
        <f>+L4</f>
        <v>2024</v>
      </c>
    </row>
    <row r="5" spans="1:37" ht="20.25" customHeight="1" thickTop="1">
      <c r="A5" s="15" t="s">
        <v>11</v>
      </c>
      <c r="B5" s="334">
        <v>318886</v>
      </c>
      <c r="C5" s="334">
        <v>321500</v>
      </c>
      <c r="D5" s="334">
        <v>324933</v>
      </c>
      <c r="E5" s="334">
        <v>327295</v>
      </c>
      <c r="F5" s="334">
        <v>330668</v>
      </c>
      <c r="G5" s="334">
        <v>322978</v>
      </c>
      <c r="H5" s="334">
        <v>324959</v>
      </c>
      <c r="I5" s="334">
        <v>318254</v>
      </c>
      <c r="J5" s="334">
        <v>332683</v>
      </c>
      <c r="K5" s="334">
        <v>340364</v>
      </c>
      <c r="L5" s="334">
        <v>338026</v>
      </c>
    </row>
    <row r="6" spans="1:37" ht="20.25" customHeight="1">
      <c r="A6" s="15" t="s">
        <v>14</v>
      </c>
      <c r="B6" s="329">
        <v>21970</v>
      </c>
      <c r="C6" s="329">
        <v>22127</v>
      </c>
      <c r="D6" s="329">
        <v>22400</v>
      </c>
      <c r="E6" s="329">
        <v>22594</v>
      </c>
      <c r="F6" s="329">
        <v>22863</v>
      </c>
      <c r="G6" s="329">
        <v>22490</v>
      </c>
      <c r="H6" s="329">
        <v>22462</v>
      </c>
      <c r="I6" s="329">
        <v>21931</v>
      </c>
      <c r="J6" s="329">
        <v>22628</v>
      </c>
      <c r="K6" s="329">
        <v>22840</v>
      </c>
      <c r="L6" s="329">
        <v>22673</v>
      </c>
      <c r="N6" s="559">
        <f>+(L6/B6-1)*100</f>
        <v>3.1998179335457344</v>
      </c>
      <c r="O6" s="419">
        <f t="shared" ref="O6:O10" si="3">+L6-B6</f>
        <v>703</v>
      </c>
      <c r="P6" s="559">
        <f>B6*100/B$5</f>
        <v>6.8896094529079361</v>
      </c>
      <c r="Q6" s="559">
        <f t="shared" ref="Q6:Z21" si="4">C6*100/C$5</f>
        <v>6.8824261275272161</v>
      </c>
      <c r="R6" s="559">
        <f t="shared" si="4"/>
        <v>6.8937288610267347</v>
      </c>
      <c r="S6" s="559">
        <f t="shared" si="4"/>
        <v>6.9032524175438059</v>
      </c>
      <c r="T6" s="559">
        <f t="shared" si="4"/>
        <v>6.914185829895847</v>
      </c>
      <c r="U6" s="559">
        <f t="shared" si="4"/>
        <v>6.963322579246884</v>
      </c>
      <c r="V6" s="559">
        <f t="shared" si="4"/>
        <v>6.912256623143227</v>
      </c>
      <c r="W6" s="559">
        <f t="shared" si="4"/>
        <v>6.8910367190985813</v>
      </c>
      <c r="X6" s="559">
        <f t="shared" si="4"/>
        <v>6.8016700582837117</v>
      </c>
      <c r="Y6" s="559">
        <f t="shared" si="4"/>
        <v>6.7104629161720979</v>
      </c>
      <c r="Z6" s="559">
        <f t="shared" si="4"/>
        <v>6.7074722062799905</v>
      </c>
      <c r="AA6" s="2">
        <f>+RANK(B6,B$6:B$23,0)</f>
        <v>4</v>
      </c>
      <c r="AB6" s="2">
        <f t="shared" ref="AB6:AK21" si="5">+RANK(C6,C$6:C$23,0)</f>
        <v>4</v>
      </c>
      <c r="AC6" s="2">
        <f t="shared" si="5"/>
        <v>4</v>
      </c>
      <c r="AD6" s="2">
        <f t="shared" si="5"/>
        <v>4</v>
      </c>
      <c r="AE6" s="2">
        <f t="shared" si="5"/>
        <v>4</v>
      </c>
      <c r="AF6" s="2">
        <f t="shared" si="5"/>
        <v>4</v>
      </c>
      <c r="AG6" s="2">
        <f t="shared" si="5"/>
        <v>4</v>
      </c>
      <c r="AH6" s="2">
        <f t="shared" si="5"/>
        <v>4</v>
      </c>
      <c r="AI6" s="2">
        <f t="shared" si="5"/>
        <v>4</v>
      </c>
      <c r="AJ6" s="2">
        <f t="shared" si="5"/>
        <v>4</v>
      </c>
      <c r="AK6" s="2">
        <f>+RANK(L6,L$6:L$23,0)</f>
        <v>4</v>
      </c>
    </row>
    <row r="7" spans="1:37" ht="15" customHeight="1">
      <c r="A7" s="15" t="s">
        <v>15</v>
      </c>
      <c r="B7" s="329">
        <v>4897</v>
      </c>
      <c r="C7" s="329">
        <v>4930</v>
      </c>
      <c r="D7" s="329">
        <v>5018</v>
      </c>
      <c r="E7" s="329">
        <v>5102</v>
      </c>
      <c r="F7" s="329">
        <v>5142</v>
      </c>
      <c r="G7" s="329">
        <v>5061</v>
      </c>
      <c r="H7" s="329">
        <v>5111</v>
      </c>
      <c r="I7" s="329">
        <v>5088</v>
      </c>
      <c r="J7" s="329">
        <v>5312</v>
      </c>
      <c r="K7" s="329">
        <v>5600</v>
      </c>
      <c r="L7" s="329">
        <v>5657</v>
      </c>
      <c r="N7" s="559">
        <f t="shared" ref="N7:N23" si="6">+(L7/B7-1)*100</f>
        <v>15.519705942413719</v>
      </c>
      <c r="O7" s="419">
        <f t="shared" si="3"/>
        <v>760</v>
      </c>
      <c r="P7" s="559">
        <f t="shared" ref="P7:Z23" si="7">B7*100/B$5</f>
        <v>1.5356585111920875</v>
      </c>
      <c r="Q7" s="559">
        <f t="shared" si="4"/>
        <v>1.5334370139968896</v>
      </c>
      <c r="R7" s="559">
        <f t="shared" si="4"/>
        <v>1.5443183671710783</v>
      </c>
      <c r="S7" s="559">
        <f t="shared" si="4"/>
        <v>1.5588383568340487</v>
      </c>
      <c r="T7" s="559">
        <f t="shared" si="4"/>
        <v>1.5550340522820472</v>
      </c>
      <c r="U7" s="559">
        <f t="shared" si="4"/>
        <v>1.5669797942893944</v>
      </c>
      <c r="V7" s="559">
        <f t="shared" si="4"/>
        <v>1.5728138011256805</v>
      </c>
      <c r="W7" s="559">
        <f t="shared" si="4"/>
        <v>1.5987230325463309</v>
      </c>
      <c r="X7" s="559">
        <f t="shared" si="4"/>
        <v>1.5967151913383011</v>
      </c>
      <c r="Y7" s="559">
        <f t="shared" si="4"/>
        <v>1.6452973875027912</v>
      </c>
      <c r="Z7" s="559">
        <f t="shared" si="4"/>
        <v>1.6735399052143918</v>
      </c>
      <c r="AA7" s="2">
        <f t="shared" ref="AA7:AK23" si="8">+RANK(B7,B$6:B$23,0)</f>
        <v>16</v>
      </c>
      <c r="AB7" s="2">
        <f t="shared" si="5"/>
        <v>16</v>
      </c>
      <c r="AC7" s="2">
        <f t="shared" si="5"/>
        <v>16</v>
      </c>
      <c r="AD7" s="2">
        <f t="shared" si="5"/>
        <v>15</v>
      </c>
      <c r="AE7" s="2">
        <f t="shared" si="5"/>
        <v>15</v>
      </c>
      <c r="AF7" s="2">
        <f t="shared" si="5"/>
        <v>15</v>
      </c>
      <c r="AG7" s="2">
        <f t="shared" si="5"/>
        <v>15</v>
      </c>
      <c r="AH7" s="2">
        <f t="shared" si="5"/>
        <v>15</v>
      </c>
      <c r="AI7" s="2">
        <f t="shared" si="5"/>
        <v>15</v>
      </c>
      <c r="AJ7" s="2">
        <f t="shared" si="5"/>
        <v>15</v>
      </c>
      <c r="AK7" s="2">
        <f t="shared" si="5"/>
        <v>14</v>
      </c>
    </row>
    <row r="8" spans="1:37" ht="15" customHeight="1">
      <c r="A8" s="15" t="s">
        <v>65</v>
      </c>
      <c r="B8" s="329">
        <v>29605</v>
      </c>
      <c r="C8" s="329">
        <v>29920</v>
      </c>
      <c r="D8" s="329">
        <v>30520</v>
      </c>
      <c r="E8" s="329">
        <v>30960</v>
      </c>
      <c r="F8" s="329">
        <v>31136</v>
      </c>
      <c r="G8" s="329">
        <v>30216</v>
      </c>
      <c r="H8" s="329">
        <v>30496</v>
      </c>
      <c r="I8" s="329">
        <v>29956</v>
      </c>
      <c r="J8" s="329">
        <v>31910</v>
      </c>
      <c r="K8" s="329">
        <v>32582</v>
      </c>
      <c r="L8" s="329">
        <v>32426</v>
      </c>
      <c r="N8" s="559">
        <f t="shared" si="6"/>
        <v>9.5287958115183322</v>
      </c>
      <c r="O8" s="419">
        <f t="shared" si="3"/>
        <v>2821</v>
      </c>
      <c r="P8" s="559">
        <f t="shared" si="7"/>
        <v>9.2838820142621508</v>
      </c>
      <c r="Q8" s="559">
        <f t="shared" si="4"/>
        <v>9.3063763608087093</v>
      </c>
      <c r="R8" s="559">
        <f t="shared" si="4"/>
        <v>9.3927055731489268</v>
      </c>
      <c r="S8" s="559">
        <f t="shared" si="4"/>
        <v>9.4593562382560084</v>
      </c>
      <c r="T8" s="559">
        <f t="shared" si="4"/>
        <v>9.4160910641489348</v>
      </c>
      <c r="U8" s="559">
        <f t="shared" si="4"/>
        <v>9.3554359739672677</v>
      </c>
      <c r="V8" s="559">
        <f t="shared" si="4"/>
        <v>9.3845685147972517</v>
      </c>
      <c r="W8" s="559">
        <f t="shared" si="4"/>
        <v>9.4126075398895228</v>
      </c>
      <c r="X8" s="559">
        <f t="shared" si="4"/>
        <v>9.5917134329076035</v>
      </c>
      <c r="Y8" s="559">
        <f t="shared" si="4"/>
        <v>9.5726927642171322</v>
      </c>
      <c r="Z8" s="559">
        <f t="shared" si="4"/>
        <v>9.5927532201664967</v>
      </c>
      <c r="AA8" s="2">
        <f t="shared" si="8"/>
        <v>3</v>
      </c>
      <c r="AB8" s="2">
        <f t="shared" si="5"/>
        <v>3</v>
      </c>
      <c r="AC8" s="2">
        <f t="shared" si="5"/>
        <v>3</v>
      </c>
      <c r="AD8" s="2">
        <f t="shared" si="5"/>
        <v>3</v>
      </c>
      <c r="AE8" s="2">
        <f t="shared" si="5"/>
        <v>3</v>
      </c>
      <c r="AF8" s="2">
        <f t="shared" si="5"/>
        <v>3</v>
      </c>
      <c r="AG8" s="2">
        <f t="shared" si="5"/>
        <v>3</v>
      </c>
      <c r="AH8" s="2">
        <f t="shared" si="5"/>
        <v>3</v>
      </c>
      <c r="AI8" s="2">
        <f t="shared" si="5"/>
        <v>3</v>
      </c>
      <c r="AJ8" s="2">
        <f t="shared" si="5"/>
        <v>3</v>
      </c>
      <c r="AK8" s="2">
        <f t="shared" si="5"/>
        <v>3</v>
      </c>
    </row>
    <row r="9" spans="1:37" ht="15" customHeight="1">
      <c r="A9" s="15" t="s">
        <v>16</v>
      </c>
      <c r="B9" s="329">
        <v>4203</v>
      </c>
      <c r="C9" s="329">
        <v>4211</v>
      </c>
      <c r="D9" s="329">
        <v>4240</v>
      </c>
      <c r="E9" s="329">
        <v>4267</v>
      </c>
      <c r="F9" s="329">
        <v>4280</v>
      </c>
      <c r="G9" s="329">
        <v>3997</v>
      </c>
      <c r="H9" s="329">
        <v>4025</v>
      </c>
      <c r="I9" s="329">
        <v>4148</v>
      </c>
      <c r="J9" s="329">
        <v>4210</v>
      </c>
      <c r="K9" s="329">
        <v>4314</v>
      </c>
      <c r="L9" s="329">
        <v>4180</v>
      </c>
      <c r="N9" s="559">
        <f t="shared" si="6"/>
        <v>-0.54722817035450788</v>
      </c>
      <c r="O9" s="419">
        <f t="shared" si="3"/>
        <v>-23</v>
      </c>
      <c r="P9" s="559">
        <f t="shared" si="7"/>
        <v>1.3180258775863474</v>
      </c>
      <c r="Q9" s="559">
        <f t="shared" si="4"/>
        <v>1.3097978227060654</v>
      </c>
      <c r="R9" s="559">
        <f t="shared" si="4"/>
        <v>1.3048843915514892</v>
      </c>
      <c r="S9" s="559">
        <f t="shared" si="4"/>
        <v>1.3037168303823767</v>
      </c>
      <c r="T9" s="559">
        <f t="shared" si="4"/>
        <v>1.2943496195579856</v>
      </c>
      <c r="U9" s="559">
        <f t="shared" si="4"/>
        <v>1.2375455913405866</v>
      </c>
      <c r="V9" s="559">
        <f t="shared" si="4"/>
        <v>1.2386177948602748</v>
      </c>
      <c r="W9" s="559">
        <f t="shared" si="4"/>
        <v>1.3033614659988562</v>
      </c>
      <c r="X9" s="559">
        <f t="shared" si="4"/>
        <v>1.2654689298822002</v>
      </c>
      <c r="Y9" s="559">
        <f t="shared" si="4"/>
        <v>1.2674665945869716</v>
      </c>
      <c r="Z9" s="559">
        <f t="shared" si="4"/>
        <v>1.2365912681273039</v>
      </c>
      <c r="AA9" s="2">
        <f t="shared" si="8"/>
        <v>17</v>
      </c>
      <c r="AB9" s="2">
        <f t="shared" si="5"/>
        <v>17</v>
      </c>
      <c r="AC9" s="2">
        <f t="shared" si="5"/>
        <v>17</v>
      </c>
      <c r="AD9" s="2">
        <f t="shared" si="5"/>
        <v>17</v>
      </c>
      <c r="AE9" s="2">
        <f t="shared" si="5"/>
        <v>17</v>
      </c>
      <c r="AF9" s="2">
        <f t="shared" si="5"/>
        <v>17</v>
      </c>
      <c r="AG9" s="2">
        <f t="shared" si="5"/>
        <v>17</v>
      </c>
      <c r="AH9" s="2">
        <f t="shared" si="5"/>
        <v>17</v>
      </c>
      <c r="AI9" s="2">
        <f t="shared" si="5"/>
        <v>17</v>
      </c>
      <c r="AJ9" s="2">
        <f t="shared" si="5"/>
        <v>17</v>
      </c>
      <c r="AK9" s="2">
        <f t="shared" si="5"/>
        <v>17</v>
      </c>
    </row>
    <row r="10" spans="1:37" ht="15" customHeight="1">
      <c r="A10" s="15" t="s">
        <v>17</v>
      </c>
      <c r="B10" s="329">
        <v>5698</v>
      </c>
      <c r="C10" s="329">
        <v>5686</v>
      </c>
      <c r="D10" s="329">
        <v>5691</v>
      </c>
      <c r="E10" s="329">
        <v>5612</v>
      </c>
      <c r="F10" s="329">
        <v>5626</v>
      </c>
      <c r="G10" s="329">
        <v>5451</v>
      </c>
      <c r="H10" s="329">
        <v>5400</v>
      </c>
      <c r="I10" s="329">
        <v>5369</v>
      </c>
      <c r="J10" s="329">
        <v>5592</v>
      </c>
      <c r="K10" s="329">
        <v>5606</v>
      </c>
      <c r="L10" s="329">
        <v>5527</v>
      </c>
      <c r="N10" s="559">
        <f t="shared" si="6"/>
        <v>-3.0010530010530001</v>
      </c>
      <c r="O10" s="419">
        <f t="shared" si="3"/>
        <v>-171</v>
      </c>
      <c r="P10" s="559">
        <f t="shared" si="7"/>
        <v>1.7868454557428046</v>
      </c>
      <c r="Q10" s="559">
        <f t="shared" si="4"/>
        <v>1.7685847589424573</v>
      </c>
      <c r="R10" s="559">
        <f t="shared" si="4"/>
        <v>1.7514379887546048</v>
      </c>
      <c r="S10" s="559">
        <f t="shared" si="4"/>
        <v>1.7146610855650102</v>
      </c>
      <c r="T10" s="559">
        <f t="shared" si="4"/>
        <v>1.7014044298208475</v>
      </c>
      <c r="U10" s="559">
        <f t="shared" si="4"/>
        <v>1.6877310528890512</v>
      </c>
      <c r="V10" s="559">
        <f t="shared" si="4"/>
        <v>1.661748097452294</v>
      </c>
      <c r="W10" s="559">
        <f t="shared" si="4"/>
        <v>1.687017288078076</v>
      </c>
      <c r="X10" s="559">
        <f t="shared" si="4"/>
        <v>1.6808793957010126</v>
      </c>
      <c r="Y10" s="559">
        <f t="shared" si="4"/>
        <v>1.6470602061322583</v>
      </c>
      <c r="Z10" s="559">
        <f t="shared" si="4"/>
        <v>1.6350813251051695</v>
      </c>
      <c r="AA10" s="2">
        <f t="shared" si="8"/>
        <v>14</v>
      </c>
      <c r="AB10" s="2">
        <f t="shared" si="5"/>
        <v>14</v>
      </c>
      <c r="AC10" s="2">
        <f t="shared" si="5"/>
        <v>14</v>
      </c>
      <c r="AD10" s="2">
        <f t="shared" si="5"/>
        <v>14</v>
      </c>
      <c r="AE10" s="2">
        <f t="shared" si="5"/>
        <v>14</v>
      </c>
      <c r="AF10" s="2">
        <f t="shared" si="5"/>
        <v>14</v>
      </c>
      <c r="AG10" s="2">
        <f t="shared" si="5"/>
        <v>14</v>
      </c>
      <c r="AH10" s="2">
        <f t="shared" si="5"/>
        <v>14</v>
      </c>
      <c r="AI10" s="2">
        <f t="shared" si="5"/>
        <v>14</v>
      </c>
      <c r="AJ10" s="2">
        <f t="shared" si="5"/>
        <v>14</v>
      </c>
      <c r="AK10" s="2">
        <f t="shared" si="5"/>
        <v>15</v>
      </c>
    </row>
    <row r="11" spans="1:37" ht="15" customHeight="1">
      <c r="A11" s="15" t="s">
        <v>18</v>
      </c>
      <c r="B11" s="329">
        <v>12323</v>
      </c>
      <c r="C11" s="329">
        <v>12342</v>
      </c>
      <c r="D11" s="329">
        <v>12392</v>
      </c>
      <c r="E11" s="329">
        <v>12407</v>
      </c>
      <c r="F11" s="329">
        <v>12372</v>
      </c>
      <c r="G11" s="329">
        <v>11967</v>
      </c>
      <c r="H11" s="329">
        <v>12128</v>
      </c>
      <c r="I11" s="329">
        <v>11961</v>
      </c>
      <c r="J11" s="329">
        <v>12457</v>
      </c>
      <c r="K11" s="329">
        <v>12571</v>
      </c>
      <c r="L11" s="329">
        <v>12400</v>
      </c>
      <c r="N11" s="559">
        <f t="shared" si="6"/>
        <v>0.62484784549217132</v>
      </c>
      <c r="O11" s="419">
        <f t="shared" ref="O11:O23" si="9">+L11-B11</f>
        <v>77</v>
      </c>
      <c r="P11" s="559">
        <f t="shared" si="7"/>
        <v>3.8643904091117203</v>
      </c>
      <c r="Q11" s="559">
        <f t="shared" si="4"/>
        <v>3.8388802488335925</v>
      </c>
      <c r="R11" s="559">
        <f t="shared" si="4"/>
        <v>3.8137092877608616</v>
      </c>
      <c r="S11" s="559">
        <f t="shared" si="4"/>
        <v>3.7907697948334071</v>
      </c>
      <c r="T11" s="559">
        <f t="shared" si="4"/>
        <v>3.7415171713017288</v>
      </c>
      <c r="U11" s="559">
        <f t="shared" si="4"/>
        <v>3.7052059273387044</v>
      </c>
      <c r="V11" s="559">
        <f t="shared" si="4"/>
        <v>3.7321631344261892</v>
      </c>
      <c r="W11" s="559">
        <f t="shared" si="4"/>
        <v>3.7583188271003665</v>
      </c>
      <c r="X11" s="559">
        <f t="shared" si="4"/>
        <v>3.7444053348082109</v>
      </c>
      <c r="Y11" s="559">
        <f t="shared" si="4"/>
        <v>3.6933988318388549</v>
      </c>
      <c r="Z11" s="559">
        <f t="shared" si="4"/>
        <v>3.6683568719565951</v>
      </c>
      <c r="AA11" s="2">
        <f t="shared" si="8"/>
        <v>9</v>
      </c>
      <c r="AB11" s="2">
        <f t="shared" si="5"/>
        <v>9</v>
      </c>
      <c r="AC11" s="2">
        <f t="shared" si="5"/>
        <v>9</v>
      </c>
      <c r="AD11" s="2">
        <f t="shared" si="5"/>
        <v>9</v>
      </c>
      <c r="AE11" s="2">
        <f t="shared" si="5"/>
        <v>9</v>
      </c>
      <c r="AF11" s="2">
        <f t="shared" si="5"/>
        <v>9</v>
      </c>
      <c r="AG11" s="2">
        <f t="shared" si="5"/>
        <v>9</v>
      </c>
      <c r="AH11" s="2">
        <f t="shared" si="5"/>
        <v>9</v>
      </c>
      <c r="AI11" s="2">
        <f t="shared" si="5"/>
        <v>9</v>
      </c>
      <c r="AJ11" s="2">
        <f t="shared" si="5"/>
        <v>9</v>
      </c>
      <c r="AK11" s="2">
        <f t="shared" si="5"/>
        <v>9</v>
      </c>
    </row>
    <row r="12" spans="1:37" ht="15" customHeight="1">
      <c r="A12" s="15" t="s">
        <v>19</v>
      </c>
      <c r="B12" s="329">
        <v>6131</v>
      </c>
      <c r="C12" s="329">
        <v>6132</v>
      </c>
      <c r="D12" s="329">
        <v>6087</v>
      </c>
      <c r="E12" s="329">
        <v>6073</v>
      </c>
      <c r="F12" s="329">
        <v>6029</v>
      </c>
      <c r="G12" s="329">
        <v>5879</v>
      </c>
      <c r="H12" s="329">
        <v>5902</v>
      </c>
      <c r="I12" s="329">
        <v>5608</v>
      </c>
      <c r="J12" s="329">
        <v>6051</v>
      </c>
      <c r="K12" s="329">
        <v>6137</v>
      </c>
      <c r="L12" s="329">
        <v>6058</v>
      </c>
      <c r="N12" s="559">
        <f t="shared" si="6"/>
        <v>-1.1906703637253324</v>
      </c>
      <c r="O12" s="419">
        <f t="shared" si="9"/>
        <v>-73</v>
      </c>
      <c r="P12" s="559">
        <f t="shared" si="7"/>
        <v>1.9226306579780863</v>
      </c>
      <c r="Q12" s="559">
        <f t="shared" si="4"/>
        <v>1.9073094867807154</v>
      </c>
      <c r="R12" s="559">
        <f t="shared" si="4"/>
        <v>1.8733092668334703</v>
      </c>
      <c r="S12" s="559">
        <f t="shared" si="4"/>
        <v>1.8555126109473106</v>
      </c>
      <c r="T12" s="559">
        <f t="shared" si="4"/>
        <v>1.8232789383913774</v>
      </c>
      <c r="U12" s="559">
        <f t="shared" si="4"/>
        <v>1.82024781873688</v>
      </c>
      <c r="V12" s="559">
        <f t="shared" si="4"/>
        <v>1.8162291242895257</v>
      </c>
      <c r="W12" s="559">
        <f t="shared" si="4"/>
        <v>1.7621145374449338</v>
      </c>
      <c r="X12" s="559">
        <f t="shared" si="4"/>
        <v>1.8188485735670292</v>
      </c>
      <c r="Y12" s="559">
        <f t="shared" si="4"/>
        <v>1.8030696548401124</v>
      </c>
      <c r="Z12" s="559">
        <f t="shared" si="4"/>
        <v>1.7921698330897624</v>
      </c>
      <c r="AA12" s="2">
        <f t="shared" si="8"/>
        <v>12</v>
      </c>
      <c r="AB12" s="2">
        <f t="shared" si="5"/>
        <v>12</v>
      </c>
      <c r="AC12" s="2">
        <f t="shared" si="5"/>
        <v>12</v>
      </c>
      <c r="AD12" s="2">
        <f t="shared" si="5"/>
        <v>12</v>
      </c>
      <c r="AE12" s="2">
        <f t="shared" si="5"/>
        <v>12</v>
      </c>
      <c r="AF12" s="2">
        <f t="shared" si="5"/>
        <v>13</v>
      </c>
      <c r="AG12" s="2">
        <f t="shared" si="5"/>
        <v>13</v>
      </c>
      <c r="AH12" s="2">
        <f t="shared" si="5"/>
        <v>13</v>
      </c>
      <c r="AI12" s="2">
        <f t="shared" si="5"/>
        <v>13</v>
      </c>
      <c r="AJ12" s="2">
        <f t="shared" si="5"/>
        <v>12</v>
      </c>
      <c r="AK12" s="2">
        <f t="shared" si="5"/>
        <v>13</v>
      </c>
    </row>
    <row r="13" spans="1:37" ht="15" customHeight="1">
      <c r="A13" s="15" t="s">
        <v>20</v>
      </c>
      <c r="B13" s="329">
        <v>19056</v>
      </c>
      <c r="C13" s="329">
        <v>19415</v>
      </c>
      <c r="D13" s="329">
        <v>19902</v>
      </c>
      <c r="E13" s="329">
        <v>20073</v>
      </c>
      <c r="F13" s="329">
        <v>20768</v>
      </c>
      <c r="G13" s="329">
        <v>20888</v>
      </c>
      <c r="H13" s="329">
        <v>20366</v>
      </c>
      <c r="I13" s="329">
        <v>19836</v>
      </c>
      <c r="J13" s="329">
        <v>20699</v>
      </c>
      <c r="K13" s="329">
        <v>22034</v>
      </c>
      <c r="L13" s="329">
        <v>21959</v>
      </c>
      <c r="N13" s="559">
        <f t="shared" si="6"/>
        <v>15.234047019311504</v>
      </c>
      <c r="O13" s="419">
        <f t="shared" si="9"/>
        <v>2903</v>
      </c>
      <c r="P13" s="559">
        <f t="shared" si="7"/>
        <v>5.9758032651166877</v>
      </c>
      <c r="Q13" s="559">
        <f t="shared" si="4"/>
        <v>6.0388802488335926</v>
      </c>
      <c r="R13" s="559">
        <f t="shared" si="4"/>
        <v>6.1249549907211644</v>
      </c>
      <c r="S13" s="559">
        <f t="shared" si="4"/>
        <v>6.1329992819933086</v>
      </c>
      <c r="T13" s="559">
        <f t="shared" si="4"/>
        <v>6.280619836210338</v>
      </c>
      <c r="U13" s="559">
        <f t="shared" si="4"/>
        <v>6.4673135631529082</v>
      </c>
      <c r="V13" s="559">
        <f t="shared" si="4"/>
        <v>6.2672521764284106</v>
      </c>
      <c r="W13" s="559">
        <f t="shared" si="4"/>
        <v>6.2327574830167096</v>
      </c>
      <c r="X13" s="559">
        <f t="shared" si="4"/>
        <v>6.2218388075134587</v>
      </c>
      <c r="Y13" s="559">
        <f t="shared" si="4"/>
        <v>6.4736576136136605</v>
      </c>
      <c r="Z13" s="559">
        <f t="shared" si="4"/>
        <v>6.4962458509108769</v>
      </c>
      <c r="AA13" s="2">
        <f t="shared" si="8"/>
        <v>5</v>
      </c>
      <c r="AB13" s="2">
        <f t="shared" si="5"/>
        <v>5</v>
      </c>
      <c r="AC13" s="2">
        <f t="shared" si="5"/>
        <v>5</v>
      </c>
      <c r="AD13" s="2">
        <f t="shared" si="5"/>
        <v>5</v>
      </c>
      <c r="AE13" s="2">
        <f t="shared" si="5"/>
        <v>5</v>
      </c>
      <c r="AF13" s="2">
        <f t="shared" si="5"/>
        <v>5</v>
      </c>
      <c r="AG13" s="2">
        <f t="shared" si="5"/>
        <v>5</v>
      </c>
      <c r="AH13" s="2">
        <f t="shared" si="5"/>
        <v>5</v>
      </c>
      <c r="AI13" s="2">
        <f t="shared" si="5"/>
        <v>5</v>
      </c>
      <c r="AJ13" s="2">
        <f t="shared" si="5"/>
        <v>5</v>
      </c>
      <c r="AK13" s="2">
        <f t="shared" si="5"/>
        <v>5</v>
      </c>
    </row>
    <row r="14" spans="1:37" ht="15" customHeight="1">
      <c r="A14" s="15" t="s">
        <v>21</v>
      </c>
      <c r="B14" s="329">
        <v>5076</v>
      </c>
      <c r="C14" s="329">
        <v>5042</v>
      </c>
      <c r="D14" s="329">
        <v>5051</v>
      </c>
      <c r="E14" s="329">
        <v>5078</v>
      </c>
      <c r="F14" s="329">
        <v>5030</v>
      </c>
      <c r="G14" s="329">
        <v>4836</v>
      </c>
      <c r="H14" s="329">
        <v>4831</v>
      </c>
      <c r="I14" s="329">
        <v>4694</v>
      </c>
      <c r="J14" s="329">
        <v>4760</v>
      </c>
      <c r="K14" s="329">
        <v>4814</v>
      </c>
      <c r="L14" s="329">
        <v>4818</v>
      </c>
      <c r="N14" s="559">
        <f t="shared" si="6"/>
        <v>-5.0827423167848718</v>
      </c>
      <c r="O14" s="419">
        <f t="shared" si="9"/>
        <v>-258</v>
      </c>
      <c r="P14" s="559">
        <f t="shared" si="7"/>
        <v>1.5917914238944324</v>
      </c>
      <c r="Q14" s="559">
        <f t="shared" si="4"/>
        <v>1.5682737169517884</v>
      </c>
      <c r="R14" s="559">
        <f t="shared" si="4"/>
        <v>1.5544743070109839</v>
      </c>
      <c r="S14" s="559">
        <f t="shared" si="4"/>
        <v>1.5515055225408272</v>
      </c>
      <c r="T14" s="559">
        <f t="shared" si="4"/>
        <v>1.521163221116044</v>
      </c>
      <c r="U14" s="559">
        <f t="shared" si="4"/>
        <v>1.497315606635746</v>
      </c>
      <c r="V14" s="559">
        <f t="shared" si="4"/>
        <v>1.4866490849614875</v>
      </c>
      <c r="W14" s="559">
        <f t="shared" si="4"/>
        <v>1.4749225461423894</v>
      </c>
      <c r="X14" s="559">
        <f t="shared" si="4"/>
        <v>1.4307914741660981</v>
      </c>
      <c r="Y14" s="559">
        <f t="shared" si="4"/>
        <v>1.414368147042578</v>
      </c>
      <c r="Z14" s="559">
        <f t="shared" si="4"/>
        <v>1.4253341458941029</v>
      </c>
      <c r="AA14" s="2">
        <f t="shared" si="8"/>
        <v>15</v>
      </c>
      <c r="AB14" s="2">
        <f t="shared" si="5"/>
        <v>15</v>
      </c>
      <c r="AC14" s="2">
        <f t="shared" si="5"/>
        <v>15</v>
      </c>
      <c r="AD14" s="2">
        <f t="shared" si="5"/>
        <v>16</v>
      </c>
      <c r="AE14" s="2">
        <f t="shared" si="5"/>
        <v>16</v>
      </c>
      <c r="AF14" s="2">
        <f t="shared" si="5"/>
        <v>16</v>
      </c>
      <c r="AG14" s="2">
        <f t="shared" si="5"/>
        <v>16</v>
      </c>
      <c r="AH14" s="2">
        <f t="shared" si="5"/>
        <v>16</v>
      </c>
      <c r="AI14" s="2">
        <f t="shared" si="5"/>
        <v>16</v>
      </c>
      <c r="AJ14" s="2">
        <f t="shared" si="5"/>
        <v>16</v>
      </c>
      <c r="AK14" s="2">
        <f t="shared" si="5"/>
        <v>16</v>
      </c>
    </row>
    <row r="15" spans="1:37" ht="15" customHeight="1">
      <c r="A15" s="15" t="s">
        <v>22</v>
      </c>
      <c r="B15" s="329">
        <v>17991</v>
      </c>
      <c r="C15" s="329">
        <v>18146</v>
      </c>
      <c r="D15" s="329">
        <v>18317</v>
      </c>
      <c r="E15" s="329">
        <v>18481</v>
      </c>
      <c r="F15" s="329">
        <v>18423</v>
      </c>
      <c r="G15" s="329">
        <v>18034</v>
      </c>
      <c r="H15" s="329">
        <v>18042</v>
      </c>
      <c r="I15" s="329">
        <v>17743</v>
      </c>
      <c r="J15" s="329">
        <v>18449</v>
      </c>
      <c r="K15" s="329">
        <v>18854</v>
      </c>
      <c r="L15" s="329">
        <v>18700</v>
      </c>
      <c r="N15" s="559">
        <f t="shared" si="6"/>
        <v>3.9408593185481733</v>
      </c>
      <c r="O15" s="419">
        <f t="shared" si="9"/>
        <v>709</v>
      </c>
      <c r="P15" s="559">
        <f t="shared" si="7"/>
        <v>5.6418281141222879</v>
      </c>
      <c r="Q15" s="559">
        <f t="shared" si="4"/>
        <v>5.6441679626749615</v>
      </c>
      <c r="R15" s="559">
        <f t="shared" si="4"/>
        <v>5.6371621226529776</v>
      </c>
      <c r="S15" s="559">
        <f t="shared" si="4"/>
        <v>5.6465879405429353</v>
      </c>
      <c r="T15" s="559">
        <f t="shared" si="4"/>
        <v>5.5714493086721424</v>
      </c>
      <c r="U15" s="559">
        <f t="shared" si="4"/>
        <v>5.5836620450928542</v>
      </c>
      <c r="V15" s="559">
        <f t="shared" si="4"/>
        <v>5.5520850322656088</v>
      </c>
      <c r="W15" s="559">
        <f t="shared" si="4"/>
        <v>5.5751066757998329</v>
      </c>
      <c r="X15" s="559">
        <f t="shared" si="4"/>
        <v>5.5455193081702401</v>
      </c>
      <c r="Y15" s="559">
        <f t="shared" si="4"/>
        <v>5.5393637399960038</v>
      </c>
      <c r="Z15" s="559">
        <f t="shared" si="4"/>
        <v>5.5321188310958327</v>
      </c>
      <c r="AA15" s="2">
        <f t="shared" si="8"/>
        <v>7</v>
      </c>
      <c r="AB15" s="2">
        <f t="shared" si="5"/>
        <v>7</v>
      </c>
      <c r="AC15" s="2">
        <f t="shared" si="5"/>
        <v>7</v>
      </c>
      <c r="AD15" s="2">
        <f t="shared" si="5"/>
        <v>7</v>
      </c>
      <c r="AE15" s="2">
        <f t="shared" si="5"/>
        <v>7</v>
      </c>
      <c r="AF15" s="2">
        <f t="shared" si="5"/>
        <v>7</v>
      </c>
      <c r="AG15" s="2">
        <f t="shared" si="5"/>
        <v>7</v>
      </c>
      <c r="AH15" s="2">
        <f t="shared" si="5"/>
        <v>7</v>
      </c>
      <c r="AI15" s="2">
        <f t="shared" si="5"/>
        <v>7</v>
      </c>
      <c r="AJ15" s="2">
        <f t="shared" si="5"/>
        <v>7</v>
      </c>
      <c r="AK15" s="2">
        <f t="shared" si="5"/>
        <v>7</v>
      </c>
    </row>
    <row r="16" spans="1:37" ht="15" customHeight="1">
      <c r="A16" s="15" t="s">
        <v>23</v>
      </c>
      <c r="B16" s="329">
        <v>71690</v>
      </c>
      <c r="C16" s="329">
        <v>72246</v>
      </c>
      <c r="D16" s="329">
        <v>72756</v>
      </c>
      <c r="E16" s="329">
        <v>73389</v>
      </c>
      <c r="F16" s="329">
        <v>74689</v>
      </c>
      <c r="G16" s="329">
        <v>72677</v>
      </c>
      <c r="H16" s="329">
        <v>73809</v>
      </c>
      <c r="I16" s="329">
        <v>71616</v>
      </c>
      <c r="J16" s="329">
        <v>75266</v>
      </c>
      <c r="K16" s="329">
        <v>77253</v>
      </c>
      <c r="L16" s="329">
        <v>77003</v>
      </c>
      <c r="N16" s="559">
        <f t="shared" si="6"/>
        <v>7.4110754638024856</v>
      </c>
      <c r="O16" s="419">
        <f t="shared" si="9"/>
        <v>5313</v>
      </c>
      <c r="P16" s="559">
        <f t="shared" si="7"/>
        <v>22.481388333134724</v>
      </c>
      <c r="Q16" s="559">
        <f t="shared" si="4"/>
        <v>22.47153965785381</v>
      </c>
      <c r="R16" s="559">
        <f t="shared" si="4"/>
        <v>22.391077545217016</v>
      </c>
      <c r="S16" s="559">
        <f t="shared" si="4"/>
        <v>22.422890664385342</v>
      </c>
      <c r="T16" s="559">
        <f t="shared" si="4"/>
        <v>22.58730811569308</v>
      </c>
      <c r="U16" s="559">
        <f t="shared" si="4"/>
        <v>22.502151849351968</v>
      </c>
      <c r="V16" s="559">
        <f t="shared" si="4"/>
        <v>22.713326912010437</v>
      </c>
      <c r="W16" s="559">
        <f t="shared" si="4"/>
        <v>22.502780797727603</v>
      </c>
      <c r="X16" s="559">
        <f t="shared" si="4"/>
        <v>22.623939305585196</v>
      </c>
      <c r="Y16" s="559">
        <f t="shared" si="4"/>
        <v>22.697171263705915</v>
      </c>
      <c r="Z16" s="559">
        <f t="shared" si="4"/>
        <v>22.780200339618847</v>
      </c>
      <c r="AA16" s="2">
        <f t="shared" si="8"/>
        <v>1</v>
      </c>
      <c r="AB16" s="2">
        <f t="shared" si="5"/>
        <v>1</v>
      </c>
      <c r="AC16" s="2">
        <f t="shared" si="5"/>
        <v>1</v>
      </c>
      <c r="AD16" s="2">
        <f t="shared" si="5"/>
        <v>1</v>
      </c>
      <c r="AE16" s="2">
        <f t="shared" si="5"/>
        <v>1</v>
      </c>
      <c r="AF16" s="2">
        <f t="shared" si="5"/>
        <v>1</v>
      </c>
      <c r="AG16" s="2">
        <f t="shared" si="5"/>
        <v>1</v>
      </c>
      <c r="AH16" s="2">
        <f t="shared" si="5"/>
        <v>1</v>
      </c>
      <c r="AI16" s="2">
        <f t="shared" si="5"/>
        <v>1</v>
      </c>
      <c r="AJ16" s="2">
        <f t="shared" si="5"/>
        <v>1</v>
      </c>
      <c r="AK16" s="2">
        <f t="shared" si="5"/>
        <v>1</v>
      </c>
    </row>
    <row r="17" spans="1:37" ht="15" customHeight="1">
      <c r="A17" s="15" t="s">
        <v>24</v>
      </c>
      <c r="B17" s="329">
        <v>3518</v>
      </c>
      <c r="C17" s="329">
        <v>3504</v>
      </c>
      <c r="D17" s="329">
        <v>3523</v>
      </c>
      <c r="E17" s="329">
        <v>3473</v>
      </c>
      <c r="F17" s="329">
        <v>3444</v>
      </c>
      <c r="G17" s="329">
        <v>3298</v>
      </c>
      <c r="H17" s="329">
        <v>3302</v>
      </c>
      <c r="I17" s="329">
        <v>3192</v>
      </c>
      <c r="J17" s="329">
        <v>3433</v>
      </c>
      <c r="K17" s="329">
        <v>3430</v>
      </c>
      <c r="L17" s="329">
        <v>3351</v>
      </c>
      <c r="N17" s="559">
        <f t="shared" si="6"/>
        <v>-4.7470153496304679</v>
      </c>
      <c r="O17" s="419">
        <f t="shared" si="9"/>
        <v>-167</v>
      </c>
      <c r="P17" s="559">
        <f t="shared" si="7"/>
        <v>1.1032155692002785</v>
      </c>
      <c r="Q17" s="559">
        <f t="shared" si="4"/>
        <v>1.0898911353032659</v>
      </c>
      <c r="R17" s="559">
        <f t="shared" si="4"/>
        <v>1.0842235168480887</v>
      </c>
      <c r="S17" s="559">
        <f t="shared" si="4"/>
        <v>1.0611222291816251</v>
      </c>
      <c r="T17" s="559">
        <f t="shared" si="4"/>
        <v>1.0415280583546034</v>
      </c>
      <c r="U17" s="559">
        <f t="shared" si="4"/>
        <v>1.0211221816965861</v>
      </c>
      <c r="V17" s="559">
        <f t="shared" si="4"/>
        <v>1.016128188479162</v>
      </c>
      <c r="W17" s="559">
        <f t="shared" si="4"/>
        <v>1.0029724685314245</v>
      </c>
      <c r="X17" s="559">
        <f t="shared" si="4"/>
        <v>1.0319132627756753</v>
      </c>
      <c r="Y17" s="559">
        <f t="shared" si="4"/>
        <v>1.0077446498454596</v>
      </c>
      <c r="Z17" s="559">
        <f t="shared" si="4"/>
        <v>0.9913438611231089</v>
      </c>
      <c r="AA17" s="2">
        <f t="shared" si="8"/>
        <v>18</v>
      </c>
      <c r="AB17" s="2">
        <f t="shared" si="5"/>
        <v>18</v>
      </c>
      <c r="AC17" s="2">
        <f t="shared" si="5"/>
        <v>18</v>
      </c>
      <c r="AD17" s="2">
        <f t="shared" si="5"/>
        <v>18</v>
      </c>
      <c r="AE17" s="2">
        <f t="shared" si="5"/>
        <v>18</v>
      </c>
      <c r="AF17" s="2">
        <f t="shared" si="5"/>
        <v>18</v>
      </c>
      <c r="AG17" s="2">
        <f t="shared" si="5"/>
        <v>18</v>
      </c>
      <c r="AH17" s="2">
        <f t="shared" si="5"/>
        <v>18</v>
      </c>
      <c r="AI17" s="2">
        <f t="shared" si="5"/>
        <v>18</v>
      </c>
      <c r="AJ17" s="2">
        <f t="shared" si="5"/>
        <v>18</v>
      </c>
      <c r="AK17" s="2">
        <f t="shared" si="5"/>
        <v>18</v>
      </c>
    </row>
    <row r="18" spans="1:37" ht="15" customHeight="1">
      <c r="A18" s="15" t="s">
        <v>25</v>
      </c>
      <c r="B18" s="329">
        <v>58698</v>
      </c>
      <c r="C18" s="329">
        <v>59308</v>
      </c>
      <c r="D18" s="329">
        <v>60064</v>
      </c>
      <c r="E18" s="329">
        <v>60629</v>
      </c>
      <c r="F18" s="329">
        <v>61580</v>
      </c>
      <c r="G18" s="329">
        <v>60330</v>
      </c>
      <c r="H18" s="329">
        <v>60643</v>
      </c>
      <c r="I18" s="329">
        <v>59433</v>
      </c>
      <c r="J18" s="329">
        <v>61907</v>
      </c>
      <c r="K18" s="329">
        <v>63252</v>
      </c>
      <c r="L18" s="329">
        <v>62369</v>
      </c>
      <c r="N18" s="559">
        <f t="shared" si="6"/>
        <v>6.254046134450908</v>
      </c>
      <c r="O18" s="419">
        <f t="shared" si="9"/>
        <v>3671</v>
      </c>
      <c r="P18" s="559">
        <f t="shared" si="7"/>
        <v>18.40720508269413</v>
      </c>
      <c r="Q18" s="559">
        <f t="shared" si="4"/>
        <v>18.447278382581647</v>
      </c>
      <c r="R18" s="559">
        <f t="shared" si="4"/>
        <v>18.485041531638831</v>
      </c>
      <c r="S18" s="559">
        <f t="shared" si="4"/>
        <v>18.52426709848913</v>
      </c>
      <c r="T18" s="559">
        <f t="shared" si="4"/>
        <v>18.622908778593636</v>
      </c>
      <c r="U18" s="559">
        <f t="shared" si="4"/>
        <v>18.679290849531547</v>
      </c>
      <c r="V18" s="559">
        <f t="shared" si="4"/>
        <v>18.661738865518419</v>
      </c>
      <c r="W18" s="559">
        <f t="shared" si="4"/>
        <v>18.674706366612831</v>
      </c>
      <c r="X18" s="559">
        <f t="shared" si="4"/>
        <v>18.608404998151393</v>
      </c>
      <c r="Y18" s="559">
        <f t="shared" si="4"/>
        <v>18.583633991844025</v>
      </c>
      <c r="Z18" s="559">
        <f t="shared" si="4"/>
        <v>18.450947560246846</v>
      </c>
      <c r="AA18" s="2">
        <f t="shared" si="8"/>
        <v>2</v>
      </c>
      <c r="AB18" s="2">
        <f t="shared" si="5"/>
        <v>2</v>
      </c>
      <c r="AC18" s="2">
        <f t="shared" si="5"/>
        <v>2</v>
      </c>
      <c r="AD18" s="2">
        <f t="shared" si="5"/>
        <v>2</v>
      </c>
      <c r="AE18" s="2">
        <f t="shared" si="5"/>
        <v>2</v>
      </c>
      <c r="AF18" s="2">
        <f t="shared" si="5"/>
        <v>2</v>
      </c>
      <c r="AG18" s="2">
        <f t="shared" si="5"/>
        <v>2</v>
      </c>
      <c r="AH18" s="2">
        <f t="shared" si="5"/>
        <v>2</v>
      </c>
      <c r="AI18" s="2">
        <f t="shared" si="5"/>
        <v>2</v>
      </c>
      <c r="AJ18" s="2">
        <f t="shared" si="5"/>
        <v>2</v>
      </c>
      <c r="AK18" s="2">
        <f t="shared" si="5"/>
        <v>2</v>
      </c>
    </row>
    <row r="19" spans="1:37" ht="15" customHeight="1">
      <c r="A19" s="15" t="s">
        <v>26</v>
      </c>
      <c r="B19" s="329">
        <v>14316</v>
      </c>
      <c r="C19" s="329">
        <v>14410</v>
      </c>
      <c r="D19" s="329">
        <v>14376</v>
      </c>
      <c r="E19" s="329">
        <v>14353</v>
      </c>
      <c r="F19" s="329">
        <v>14254</v>
      </c>
      <c r="G19" s="329">
        <v>13858</v>
      </c>
      <c r="H19" s="329">
        <v>13738</v>
      </c>
      <c r="I19" s="329">
        <v>13511</v>
      </c>
      <c r="J19" s="329">
        <v>13899</v>
      </c>
      <c r="K19" s="329">
        <v>14124</v>
      </c>
      <c r="L19" s="329">
        <v>13985</v>
      </c>
      <c r="N19" s="559">
        <f t="shared" si="6"/>
        <v>-2.312098351494829</v>
      </c>
      <c r="O19" s="419">
        <f t="shared" si="9"/>
        <v>-331</v>
      </c>
      <c r="P19" s="559">
        <f t="shared" si="7"/>
        <v>4.4893786494233048</v>
      </c>
      <c r="Q19" s="559">
        <f t="shared" si="4"/>
        <v>4.482115085536547</v>
      </c>
      <c r="R19" s="559">
        <f t="shared" si="4"/>
        <v>4.424296701166087</v>
      </c>
      <c r="S19" s="559">
        <f t="shared" si="4"/>
        <v>4.3853404421088014</v>
      </c>
      <c r="T19" s="559">
        <f t="shared" si="4"/>
        <v>4.3106681021447493</v>
      </c>
      <c r="U19" s="559">
        <f t="shared" si="4"/>
        <v>4.2906947222411436</v>
      </c>
      <c r="V19" s="559">
        <f t="shared" si="4"/>
        <v>4.2276102523702992</v>
      </c>
      <c r="W19" s="559">
        <f t="shared" si="4"/>
        <v>4.2453511974712024</v>
      </c>
      <c r="X19" s="559">
        <f t="shared" si="4"/>
        <v>4.1778509872761758</v>
      </c>
      <c r="Y19" s="559">
        <f t="shared" si="4"/>
        <v>4.1496750537659679</v>
      </c>
      <c r="Z19" s="559">
        <f t="shared" si="4"/>
        <v>4.1372557140574981</v>
      </c>
      <c r="AA19" s="2">
        <f t="shared" si="8"/>
        <v>8</v>
      </c>
      <c r="AB19" s="2">
        <f t="shared" si="5"/>
        <v>8</v>
      </c>
      <c r="AC19" s="2">
        <f t="shared" si="5"/>
        <v>8</v>
      </c>
      <c r="AD19" s="2">
        <f t="shared" si="5"/>
        <v>8</v>
      </c>
      <c r="AE19" s="2">
        <f t="shared" si="5"/>
        <v>8</v>
      </c>
      <c r="AF19" s="2">
        <f t="shared" si="5"/>
        <v>8</v>
      </c>
      <c r="AG19" s="2">
        <f t="shared" si="5"/>
        <v>8</v>
      </c>
      <c r="AH19" s="2">
        <f t="shared" si="5"/>
        <v>8</v>
      </c>
      <c r="AI19" s="2">
        <f t="shared" si="5"/>
        <v>8</v>
      </c>
      <c r="AJ19" s="2">
        <f t="shared" si="5"/>
        <v>8</v>
      </c>
      <c r="AK19" s="2">
        <f t="shared" si="5"/>
        <v>8</v>
      </c>
    </row>
    <row r="20" spans="1:37" ht="15" customHeight="1">
      <c r="A20" s="15" t="s">
        <v>27</v>
      </c>
      <c r="B20" s="329">
        <v>18689</v>
      </c>
      <c r="C20" s="329">
        <v>18787</v>
      </c>
      <c r="D20" s="329">
        <v>18918</v>
      </c>
      <c r="E20" s="329">
        <v>19094</v>
      </c>
      <c r="F20" s="329">
        <v>19213</v>
      </c>
      <c r="G20" s="329">
        <v>18872</v>
      </c>
      <c r="H20" s="329">
        <v>19347</v>
      </c>
      <c r="I20" s="329">
        <v>19056</v>
      </c>
      <c r="J20" s="329">
        <v>20105</v>
      </c>
      <c r="K20" s="329">
        <v>20429</v>
      </c>
      <c r="L20" s="329">
        <v>20414</v>
      </c>
      <c r="N20" s="559">
        <f t="shared" si="6"/>
        <v>9.2300283589277221</v>
      </c>
      <c r="O20" s="419">
        <f t="shared" si="9"/>
        <v>1725</v>
      </c>
      <c r="P20" s="559">
        <f t="shared" si="7"/>
        <v>5.8607151144923266</v>
      </c>
      <c r="Q20" s="559">
        <f t="shared" si="4"/>
        <v>5.8435458786936234</v>
      </c>
      <c r="R20" s="559">
        <f t="shared" si="4"/>
        <v>5.8221233300403465</v>
      </c>
      <c r="S20" s="559">
        <f t="shared" si="4"/>
        <v>5.8338807497823062</v>
      </c>
      <c r="T20" s="559">
        <f t="shared" si="4"/>
        <v>5.8103596356466305</v>
      </c>
      <c r="U20" s="559">
        <f t="shared" si="4"/>
        <v>5.8431224417762202</v>
      </c>
      <c r="V20" s="559">
        <f t="shared" si="4"/>
        <v>5.9536741558165795</v>
      </c>
      <c r="W20" s="559">
        <f t="shared" si="4"/>
        <v>5.987670225668805</v>
      </c>
      <c r="X20" s="559">
        <f t="shared" si="4"/>
        <v>6.0432904596868493</v>
      </c>
      <c r="Y20" s="559">
        <f t="shared" si="4"/>
        <v>6.0021036302311641</v>
      </c>
      <c r="Z20" s="559">
        <f t="shared" si="4"/>
        <v>6.0391804180743494</v>
      </c>
      <c r="AA20" s="2">
        <f t="shared" si="8"/>
        <v>6</v>
      </c>
      <c r="AB20" s="2">
        <f t="shared" si="5"/>
        <v>6</v>
      </c>
      <c r="AC20" s="2">
        <f t="shared" si="5"/>
        <v>6</v>
      </c>
      <c r="AD20" s="2">
        <f t="shared" si="5"/>
        <v>6</v>
      </c>
      <c r="AE20" s="2">
        <f t="shared" si="5"/>
        <v>6</v>
      </c>
      <c r="AF20" s="2">
        <f t="shared" si="5"/>
        <v>6</v>
      </c>
      <c r="AG20" s="2">
        <f t="shared" si="5"/>
        <v>6</v>
      </c>
      <c r="AH20" s="2">
        <f t="shared" si="5"/>
        <v>6</v>
      </c>
      <c r="AI20" s="2">
        <f t="shared" si="5"/>
        <v>6</v>
      </c>
      <c r="AJ20" s="2">
        <f t="shared" si="5"/>
        <v>6</v>
      </c>
      <c r="AK20" s="2">
        <f t="shared" si="5"/>
        <v>6</v>
      </c>
    </row>
    <row r="21" spans="1:37" ht="15" customHeight="1">
      <c r="A21" s="15" t="s">
        <v>28</v>
      </c>
      <c r="B21" s="329">
        <v>8188</v>
      </c>
      <c r="C21" s="329">
        <v>8233</v>
      </c>
      <c r="D21" s="329">
        <v>8364</v>
      </c>
      <c r="E21" s="329">
        <v>8315</v>
      </c>
      <c r="F21" s="329">
        <v>8400</v>
      </c>
      <c r="G21" s="329">
        <v>8045</v>
      </c>
      <c r="H21" s="329">
        <v>8065</v>
      </c>
      <c r="I21" s="329">
        <v>7974</v>
      </c>
      <c r="J21" s="329">
        <v>8261</v>
      </c>
      <c r="K21" s="329">
        <v>8480</v>
      </c>
      <c r="L21" s="329">
        <v>8424</v>
      </c>
      <c r="N21" s="559">
        <f t="shared" si="6"/>
        <v>2.8822667318026296</v>
      </c>
      <c r="O21" s="419">
        <f t="shared" si="9"/>
        <v>236</v>
      </c>
      <c r="P21" s="559">
        <f t="shared" si="7"/>
        <v>2.5676887665184425</v>
      </c>
      <c r="Q21" s="559">
        <f t="shared" si="4"/>
        <v>2.5608087091757388</v>
      </c>
      <c r="R21" s="559">
        <f t="shared" si="4"/>
        <v>2.5740691157869469</v>
      </c>
      <c r="S21" s="559">
        <f t="shared" si="4"/>
        <v>2.5405215478391052</v>
      </c>
      <c r="T21" s="559">
        <f t="shared" si="4"/>
        <v>2.5403123374502523</v>
      </c>
      <c r="U21" s="559">
        <f t="shared" si="4"/>
        <v>2.4908817318826668</v>
      </c>
      <c r="V21" s="559">
        <f t="shared" si="4"/>
        <v>2.4818515566579169</v>
      </c>
      <c r="W21" s="559">
        <f t="shared" si="4"/>
        <v>2.5055458847335776</v>
      </c>
      <c r="X21" s="559">
        <f t="shared" si="4"/>
        <v>2.4831446151441461</v>
      </c>
      <c r="Y21" s="559">
        <f t="shared" si="4"/>
        <v>2.4914503296470838</v>
      </c>
      <c r="Z21" s="559">
        <f t="shared" si="4"/>
        <v>2.4921159910776094</v>
      </c>
      <c r="AA21" s="2">
        <f t="shared" si="8"/>
        <v>11</v>
      </c>
      <c r="AB21" s="2">
        <f t="shared" si="5"/>
        <v>11</v>
      </c>
      <c r="AC21" s="2">
        <f t="shared" si="5"/>
        <v>11</v>
      </c>
      <c r="AD21" s="2">
        <f t="shared" si="5"/>
        <v>11</v>
      </c>
      <c r="AE21" s="2">
        <f t="shared" si="5"/>
        <v>11</v>
      </c>
      <c r="AF21" s="2">
        <f t="shared" si="5"/>
        <v>11</v>
      </c>
      <c r="AG21" s="2">
        <f t="shared" si="5"/>
        <v>11</v>
      </c>
      <c r="AH21" s="2">
        <f t="shared" si="5"/>
        <v>11</v>
      </c>
      <c r="AI21" s="2">
        <f t="shared" si="5"/>
        <v>11</v>
      </c>
      <c r="AJ21" s="2">
        <f t="shared" si="5"/>
        <v>11</v>
      </c>
      <c r="AK21" s="2">
        <f t="shared" si="5"/>
        <v>11</v>
      </c>
    </row>
    <row r="22" spans="1:37" ht="15" customHeight="1">
      <c r="A22" s="15" t="s">
        <v>29</v>
      </c>
      <c r="B22" s="329">
        <v>5912</v>
      </c>
      <c r="C22" s="329">
        <v>5937</v>
      </c>
      <c r="D22" s="329">
        <v>6002</v>
      </c>
      <c r="E22" s="329">
        <v>6020</v>
      </c>
      <c r="F22" s="329">
        <v>6022</v>
      </c>
      <c r="G22" s="329">
        <v>5921</v>
      </c>
      <c r="H22" s="329">
        <v>5994</v>
      </c>
      <c r="I22" s="329">
        <v>5922</v>
      </c>
      <c r="J22" s="329">
        <v>6063</v>
      </c>
      <c r="K22" s="329">
        <v>6133</v>
      </c>
      <c r="L22" s="329">
        <v>6174</v>
      </c>
      <c r="N22" s="559">
        <f t="shared" si="6"/>
        <v>4.4316644113667092</v>
      </c>
      <c r="O22" s="419">
        <f t="shared" si="9"/>
        <v>262</v>
      </c>
      <c r="P22" s="559">
        <f t="shared" si="7"/>
        <v>1.853954077632759</v>
      </c>
      <c r="Q22" s="559">
        <f t="shared" si="7"/>
        <v>1.846656298600311</v>
      </c>
      <c r="R22" s="559">
        <f t="shared" si="7"/>
        <v>1.8471500278518955</v>
      </c>
      <c r="S22" s="559">
        <f t="shared" si="7"/>
        <v>1.8393192685497792</v>
      </c>
      <c r="T22" s="559">
        <f t="shared" si="7"/>
        <v>1.8211620114435023</v>
      </c>
      <c r="U22" s="559">
        <f t="shared" si="7"/>
        <v>1.8332518004322276</v>
      </c>
      <c r="V22" s="559">
        <f t="shared" si="7"/>
        <v>1.8445403881720464</v>
      </c>
      <c r="W22" s="559">
        <f t="shared" si="7"/>
        <v>1.8607778692490904</v>
      </c>
      <c r="X22" s="559">
        <f t="shared" si="7"/>
        <v>1.8224556108968597</v>
      </c>
      <c r="Y22" s="559">
        <f t="shared" si="7"/>
        <v>1.8018944424204675</v>
      </c>
      <c r="Z22" s="559">
        <f t="shared" si="7"/>
        <v>1.826486719956453</v>
      </c>
      <c r="AA22" s="2">
        <f t="shared" si="8"/>
        <v>13</v>
      </c>
      <c r="AB22" s="2">
        <f t="shared" si="8"/>
        <v>13</v>
      </c>
      <c r="AC22" s="2">
        <f t="shared" si="8"/>
        <v>13</v>
      </c>
      <c r="AD22" s="2">
        <f t="shared" si="8"/>
        <v>13</v>
      </c>
      <c r="AE22" s="2">
        <f t="shared" si="8"/>
        <v>13</v>
      </c>
      <c r="AF22" s="2">
        <f t="shared" si="8"/>
        <v>12</v>
      </c>
      <c r="AG22" s="2">
        <f t="shared" si="8"/>
        <v>12</v>
      </c>
      <c r="AH22" s="2">
        <f t="shared" si="8"/>
        <v>12</v>
      </c>
      <c r="AI22" s="2">
        <f t="shared" si="8"/>
        <v>12</v>
      </c>
      <c r="AJ22" s="2">
        <f t="shared" si="8"/>
        <v>13</v>
      </c>
      <c r="AK22" s="2">
        <f t="shared" si="8"/>
        <v>12</v>
      </c>
    </row>
    <row r="23" spans="1:37" s="18" customFormat="1" ht="15" customHeight="1">
      <c r="A23" s="17" t="s">
        <v>30</v>
      </c>
      <c r="B23" s="330">
        <v>10925</v>
      </c>
      <c r="C23" s="330">
        <v>11124</v>
      </c>
      <c r="D23" s="330">
        <v>11312</v>
      </c>
      <c r="E23" s="330">
        <v>11375</v>
      </c>
      <c r="F23" s="330">
        <v>11397</v>
      </c>
      <c r="G23" s="330">
        <v>11158</v>
      </c>
      <c r="H23" s="330">
        <v>11298</v>
      </c>
      <c r="I23" s="330">
        <v>11216</v>
      </c>
      <c r="J23" s="330">
        <v>11681</v>
      </c>
      <c r="K23" s="330">
        <v>11911</v>
      </c>
      <c r="L23" s="330">
        <v>11908</v>
      </c>
      <c r="N23" s="559">
        <f t="shared" si="6"/>
        <v>8.9977116704805571</v>
      </c>
      <c r="O23" s="419">
        <f t="shared" si="9"/>
        <v>983</v>
      </c>
      <c r="P23" s="559">
        <f t="shared" si="7"/>
        <v>3.4259892249894945</v>
      </c>
      <c r="Q23" s="559">
        <f t="shared" si="7"/>
        <v>3.460031104199067</v>
      </c>
      <c r="R23" s="559">
        <f t="shared" si="7"/>
        <v>3.481333074818501</v>
      </c>
      <c r="S23" s="559">
        <f t="shared" si="7"/>
        <v>3.4754579202248737</v>
      </c>
      <c r="T23" s="559">
        <f t="shared" si="7"/>
        <v>3.4466594892762528</v>
      </c>
      <c r="U23" s="559">
        <f t="shared" si="7"/>
        <v>3.4547244703973647</v>
      </c>
      <c r="V23" s="559">
        <f t="shared" si="7"/>
        <v>3.4767462972251884</v>
      </c>
      <c r="W23" s="559">
        <f t="shared" si="7"/>
        <v>3.5242290748898677</v>
      </c>
      <c r="X23" s="559">
        <f t="shared" si="7"/>
        <v>3.5111502541458384</v>
      </c>
      <c r="Y23" s="559">
        <f t="shared" si="7"/>
        <v>3.4994887825974543</v>
      </c>
      <c r="Z23" s="559">
        <f t="shared" si="7"/>
        <v>3.5228059380047689</v>
      </c>
      <c r="AA23" s="2">
        <f t="shared" si="8"/>
        <v>10</v>
      </c>
      <c r="AB23" s="2">
        <f t="shared" si="8"/>
        <v>10</v>
      </c>
      <c r="AC23" s="2">
        <f t="shared" si="8"/>
        <v>10</v>
      </c>
      <c r="AD23" s="2">
        <f t="shared" si="8"/>
        <v>10</v>
      </c>
      <c r="AE23" s="2">
        <f t="shared" si="8"/>
        <v>10</v>
      </c>
      <c r="AF23" s="2">
        <f t="shared" si="8"/>
        <v>10</v>
      </c>
      <c r="AG23" s="2">
        <f t="shared" si="8"/>
        <v>10</v>
      </c>
      <c r="AH23" s="2">
        <f t="shared" si="8"/>
        <v>10</v>
      </c>
      <c r="AI23" s="2">
        <f t="shared" si="8"/>
        <v>10</v>
      </c>
      <c r="AJ23" s="2">
        <f t="shared" si="8"/>
        <v>10</v>
      </c>
      <c r="AK23" s="2">
        <f t="shared" si="8"/>
        <v>10</v>
      </c>
    </row>
    <row r="24" spans="1:37" ht="15" customHeight="1">
      <c r="A24" s="19" t="s">
        <v>769</v>
      </c>
      <c r="B24" s="8"/>
      <c r="C24" s="8"/>
      <c r="D24" s="8"/>
      <c r="E24" s="16"/>
      <c r="F24" s="16"/>
      <c r="G24" s="16"/>
      <c r="H24" s="16"/>
      <c r="I24" s="16"/>
      <c r="J24" s="16"/>
      <c r="K24" s="16"/>
      <c r="L24" s="16"/>
    </row>
  </sheetData>
  <mergeCells count="1">
    <mergeCell ref="A1:L1"/>
  </mergeCells>
  <phoneticPr fontId="24" type="noConversion"/>
  <conditionalFormatting sqref="B2:E3 B4:D4 A1:A23 B23:E1048576 B5:I22 M1:XFD3 M24:XFD1048576 M4:M23 AL4:XFD23 A25:A1048576">
    <cfRule type="cellIs" dxfId="2210" priority="43" operator="equal">
      <formula>0</formula>
    </cfRule>
  </conditionalFormatting>
  <conditionalFormatting sqref="M5">
    <cfRule type="containsText" dxfId="2209" priority="42" operator="containsText" text="FALSO">
      <formula>NOT(ISERROR(SEARCH("FALSO",M5)))</formula>
    </cfRule>
  </conditionalFormatting>
  <conditionalFormatting sqref="A24">
    <cfRule type="cellIs" dxfId="2208"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4D3DF-7868-49BF-B1DB-1AE1110C1282}">
  <sheetPr>
    <tabColor indexed="24"/>
    <pageSetUpPr fitToPage="1"/>
  </sheetPr>
  <dimension ref="A1:AK34"/>
  <sheetViews>
    <sheetView showGridLines="0" topLeftCell="J1" workbookViewId="0">
      <selection activeCell="Y70" sqref="Y70"/>
    </sheetView>
  </sheetViews>
  <sheetFormatPr defaultColWidth="9.140625" defaultRowHeight="11.25"/>
  <cols>
    <col min="1" max="1" width="24.140625" style="2" customWidth="1"/>
    <col min="2" max="12" width="7.5703125" style="2" customWidth="1"/>
    <col min="13" max="14" width="5.85546875" style="2" bestFit="1" customWidth="1"/>
    <col min="15" max="16384" width="9.140625" style="2"/>
  </cols>
  <sheetData>
    <row r="1" spans="1:37" s="1" customFormat="1" ht="29.25" customHeight="1">
      <c r="A1" s="982" t="s">
        <v>568</v>
      </c>
      <c r="B1" s="982"/>
      <c r="C1" s="982"/>
      <c r="D1" s="982"/>
      <c r="E1" s="982"/>
      <c r="F1" s="982"/>
      <c r="G1" s="982"/>
      <c r="H1" s="982"/>
      <c r="I1" s="982"/>
      <c r="J1" s="982"/>
      <c r="K1" s="982"/>
      <c r="L1" s="982"/>
    </row>
    <row r="2" spans="1:37" ht="15" customHeight="1">
      <c r="A2" s="9"/>
      <c r="B2" s="172"/>
      <c r="C2" s="172"/>
      <c r="D2" s="172"/>
      <c r="E2" s="172"/>
      <c r="F2" s="172"/>
      <c r="G2" s="172"/>
      <c r="H2" s="172"/>
      <c r="I2" s="172"/>
      <c r="J2" s="172"/>
      <c r="K2" s="172"/>
      <c r="L2" s="172"/>
    </row>
    <row r="3" spans="1:37" ht="15" customHeight="1">
      <c r="A3" s="11" t="s">
        <v>41</v>
      </c>
      <c r="B3" s="172"/>
      <c r="C3" s="172"/>
      <c r="D3" s="172"/>
      <c r="E3" s="172"/>
      <c r="F3" s="172"/>
      <c r="G3" s="172"/>
      <c r="H3" s="172"/>
      <c r="I3" s="172"/>
      <c r="J3" s="172"/>
      <c r="K3" s="172"/>
      <c r="L3" s="172"/>
    </row>
    <row r="4" spans="1:37" ht="28.5" customHeight="1" thickBot="1">
      <c r="A4" s="13"/>
      <c r="B4" s="14">
        <v>2014</v>
      </c>
      <c r="C4" s="14">
        <v>2015</v>
      </c>
      <c r="D4" s="14">
        <v>2016</v>
      </c>
      <c r="E4" s="14">
        <v>2017</v>
      </c>
      <c r="F4" s="14">
        <v>2018</v>
      </c>
      <c r="G4" s="14">
        <v>2019</v>
      </c>
      <c r="H4" s="14">
        <v>2020</v>
      </c>
      <c r="I4" s="14">
        <v>2021</v>
      </c>
      <c r="J4" s="14">
        <v>2022</v>
      </c>
      <c r="K4" s="14">
        <v>2023</v>
      </c>
      <c r="L4" s="14">
        <v>2024</v>
      </c>
      <c r="O4" s="649"/>
      <c r="P4" s="560">
        <f>+B4</f>
        <v>2014</v>
      </c>
      <c r="Q4" s="560">
        <f t="shared" ref="Q4:W4" si="0">+C4</f>
        <v>2015</v>
      </c>
      <c r="R4" s="560">
        <f t="shared" si="0"/>
        <v>2016</v>
      </c>
      <c r="S4" s="560">
        <f t="shared" si="0"/>
        <v>2017</v>
      </c>
      <c r="T4" s="560">
        <f t="shared" si="0"/>
        <v>2018</v>
      </c>
      <c r="U4" s="560">
        <f t="shared" si="0"/>
        <v>2019</v>
      </c>
      <c r="V4" s="560">
        <f t="shared" si="0"/>
        <v>2020</v>
      </c>
      <c r="W4" s="560">
        <f t="shared" si="0"/>
        <v>2021</v>
      </c>
      <c r="X4" s="560">
        <f>+J4</f>
        <v>2022</v>
      </c>
      <c r="Y4" s="560">
        <f t="shared" ref="Y4:Z4" si="1">+K4</f>
        <v>2023</v>
      </c>
      <c r="Z4" s="560">
        <f t="shared" si="1"/>
        <v>2024</v>
      </c>
      <c r="AA4" s="560">
        <f>+B4</f>
        <v>2014</v>
      </c>
      <c r="AB4" s="560">
        <f t="shared" ref="AB4:AJ4" si="2">+C4</f>
        <v>2015</v>
      </c>
      <c r="AC4" s="560">
        <f t="shared" si="2"/>
        <v>2016</v>
      </c>
      <c r="AD4" s="560">
        <f t="shared" si="2"/>
        <v>2017</v>
      </c>
      <c r="AE4" s="560">
        <f t="shared" si="2"/>
        <v>2018</v>
      </c>
      <c r="AF4" s="560">
        <f t="shared" si="2"/>
        <v>2019</v>
      </c>
      <c r="AG4" s="560">
        <f t="shared" si="2"/>
        <v>2020</v>
      </c>
      <c r="AH4" s="560">
        <f t="shared" si="2"/>
        <v>2021</v>
      </c>
      <c r="AI4" s="560">
        <f t="shared" si="2"/>
        <v>2022</v>
      </c>
      <c r="AJ4" s="560">
        <f t="shared" si="2"/>
        <v>2023</v>
      </c>
      <c r="AK4" s="560">
        <f>+L4</f>
        <v>2024</v>
      </c>
    </row>
    <row r="5" spans="1:37" ht="20.25" customHeight="1" thickTop="1">
      <c r="A5" s="113" t="s">
        <v>11</v>
      </c>
      <c r="B5" s="328">
        <v>318886</v>
      </c>
      <c r="C5" s="328">
        <v>321500</v>
      </c>
      <c r="D5" s="328">
        <v>324933</v>
      </c>
      <c r="E5" s="328">
        <v>327295</v>
      </c>
      <c r="F5" s="328">
        <v>330668</v>
      </c>
      <c r="G5" s="328">
        <v>322978</v>
      </c>
      <c r="H5" s="328">
        <v>324959</v>
      </c>
      <c r="I5" s="328">
        <v>318254</v>
      </c>
      <c r="J5" s="328">
        <v>332683</v>
      </c>
      <c r="K5" s="328">
        <v>340363.99999999994</v>
      </c>
      <c r="L5" s="328">
        <v>338025.99999999988</v>
      </c>
    </row>
    <row r="6" spans="1:37" ht="20.25" customHeight="1">
      <c r="A6" s="15" t="s">
        <v>496</v>
      </c>
      <c r="B6" s="328">
        <v>120246</v>
      </c>
      <c r="C6" s="328">
        <v>121392</v>
      </c>
      <c r="D6" s="328">
        <v>123068</v>
      </c>
      <c r="E6" s="328">
        <v>124207</v>
      </c>
      <c r="F6" s="328">
        <v>125524</v>
      </c>
      <c r="G6" s="328">
        <v>122296</v>
      </c>
      <c r="H6" s="328">
        <v>123094</v>
      </c>
      <c r="I6" s="328">
        <v>121078</v>
      </c>
      <c r="J6" s="328">
        <v>126463</v>
      </c>
      <c r="K6" s="328">
        <v>129002.00000000001</v>
      </c>
      <c r="L6" s="328">
        <v>127676.00000000001</v>
      </c>
      <c r="N6" s="559">
        <f>+(L6/B6-1)*100</f>
        <v>6.178999717246314</v>
      </c>
      <c r="O6" s="419">
        <f t="shared" ref="O6:O33" si="3">+L6-B6</f>
        <v>7430.0000000000146</v>
      </c>
      <c r="P6" s="559">
        <f>B6*100/B$5</f>
        <v>37.708146484950731</v>
      </c>
      <c r="Q6" s="559">
        <f t="shared" ref="Q6:Z21" si="4">C6*100/C$5</f>
        <v>37.758009331259721</v>
      </c>
      <c r="R6" s="559">
        <f t="shared" si="4"/>
        <v>37.874884976287419</v>
      </c>
      <c r="S6" s="559">
        <f t="shared" si="4"/>
        <v>37.949556210757876</v>
      </c>
      <c r="T6" s="559">
        <f t="shared" si="4"/>
        <v>37.960734029298266</v>
      </c>
      <c r="U6" s="559">
        <f t="shared" si="4"/>
        <v>37.865117747958067</v>
      </c>
      <c r="V6" s="559">
        <f t="shared" si="4"/>
        <v>37.879855612554202</v>
      </c>
      <c r="W6" s="559">
        <f t="shared" si="4"/>
        <v>38.044455057909722</v>
      </c>
      <c r="X6" s="559">
        <f t="shared" si="4"/>
        <v>38.013063486862869</v>
      </c>
      <c r="Y6" s="559">
        <f t="shared" si="4"/>
        <v>37.901188139756272</v>
      </c>
      <c r="Z6" s="559">
        <f t="shared" si="4"/>
        <v>37.771059030962135</v>
      </c>
      <c r="AA6" s="2">
        <f>+IFERROR(RANK(B6,(B$6,B$15,B$22,B$26,B$27,B$28,B$33),0),"")</f>
        <v>1</v>
      </c>
      <c r="AB6" s="2">
        <f>+IFERROR(RANK(C6,(C$6,C$15,C$22,C$26,C$27,C$28,C$33),0),"")</f>
        <v>1</v>
      </c>
      <c r="AC6" s="2">
        <f>+IFERROR(RANK(D6,(D$6,D$15,D$22,D$26,D$27,D$28,D$33),0),"")</f>
        <v>1</v>
      </c>
      <c r="AD6" s="2">
        <f>+IFERROR(RANK(E6,(E$6,E$15,E$22,E$26,E$27,E$28,E$33),0),"")</f>
        <v>1</v>
      </c>
      <c r="AE6" s="2">
        <f>+IFERROR(RANK(F6,(F$6,F$15,F$22,F$26,F$27,F$28,F$33),0),"")</f>
        <v>1</v>
      </c>
      <c r="AF6" s="2">
        <f>+IFERROR(RANK(G6,(G$6,G$15,G$22,G$26,G$27,G$28,G$33),0),"")</f>
        <v>1</v>
      </c>
      <c r="AG6" s="2">
        <f>+IFERROR(RANK(H6,(H$6,H$15,H$22,H$26,H$27,H$28,H$33),0),"")</f>
        <v>1</v>
      </c>
      <c r="AH6" s="2">
        <f>+IFERROR(RANK(I6,(I$6,I$15,I$22,I$26,I$27,I$28,I$33),0),"")</f>
        <v>1</v>
      </c>
      <c r="AI6" s="2">
        <f>+IFERROR(RANK(J6,(J$6,J$15,J$22,J$26,J$27,J$28,J$33),0),"")</f>
        <v>1</v>
      </c>
      <c r="AJ6" s="2">
        <f>+IFERROR(RANK(K6,(K$6,K$15,K$22,K$26,K$27,K$28,K$33),0),"")</f>
        <v>1</v>
      </c>
      <c r="AK6" s="2">
        <f>+IFERROR(RANK(L6,(L$6,L$15,L$22,L$26,L$27,L$28,L$33),0),"")</f>
        <v>1</v>
      </c>
    </row>
    <row r="7" spans="1:37" ht="20.25" customHeight="1">
      <c r="A7" s="572" t="s">
        <v>497</v>
      </c>
      <c r="B7" s="646">
        <v>8188</v>
      </c>
      <c r="C7" s="646">
        <v>8233</v>
      </c>
      <c r="D7" s="646">
        <v>8364</v>
      </c>
      <c r="E7" s="646">
        <v>8315</v>
      </c>
      <c r="F7" s="646">
        <v>8400</v>
      </c>
      <c r="G7" s="646">
        <v>8045</v>
      </c>
      <c r="H7" s="646">
        <v>8065</v>
      </c>
      <c r="I7" s="646">
        <v>7974</v>
      </c>
      <c r="J7" s="646">
        <v>8261</v>
      </c>
      <c r="K7" s="646">
        <v>8480</v>
      </c>
      <c r="L7" s="646">
        <v>8424</v>
      </c>
      <c r="N7" s="559">
        <f t="shared" ref="N7:N33" si="5">+(L7/B7-1)*100</f>
        <v>2.8822667318026296</v>
      </c>
      <c r="O7" s="419">
        <f t="shared" si="3"/>
        <v>236</v>
      </c>
      <c r="P7" s="559">
        <f t="shared" ref="P7:Z23" si="6">B7*100/B$5</f>
        <v>2.5676887665184425</v>
      </c>
      <c r="Q7" s="559">
        <f t="shared" si="4"/>
        <v>2.5608087091757388</v>
      </c>
      <c r="R7" s="559">
        <f t="shared" si="4"/>
        <v>2.5740691157869469</v>
      </c>
      <c r="S7" s="559">
        <f t="shared" si="4"/>
        <v>2.5405215478391052</v>
      </c>
      <c r="T7" s="559">
        <f t="shared" si="4"/>
        <v>2.5403123374502523</v>
      </c>
      <c r="U7" s="559">
        <f t="shared" si="4"/>
        <v>2.4908817318826668</v>
      </c>
      <c r="V7" s="559">
        <f t="shared" si="4"/>
        <v>2.4818515566579169</v>
      </c>
      <c r="W7" s="559">
        <f t="shared" si="4"/>
        <v>2.5055458847335776</v>
      </c>
      <c r="X7" s="559">
        <f t="shared" si="4"/>
        <v>2.4831446151441461</v>
      </c>
      <c r="Y7" s="559">
        <f t="shared" si="4"/>
        <v>2.4914503296470842</v>
      </c>
      <c r="Z7" s="559">
        <f t="shared" si="4"/>
        <v>2.4921159910776103</v>
      </c>
      <c r="AA7" s="2" t="str">
        <f>+IFERROR(RANK(B7,(B$6,B$15,B$22,B$26,B$27,B$28,B$33),0),"")</f>
        <v/>
      </c>
      <c r="AB7" s="2" t="str">
        <f>+IFERROR(RANK(C7,(C$6,C$15,C$22,C$26,C$27,C$28,C$33),0),"")</f>
        <v/>
      </c>
      <c r="AC7" s="2" t="str">
        <f>+IFERROR(RANK(D7,(D$6,D$15,D$22,D$26,D$27,D$28,D$33),0),"")</f>
        <v/>
      </c>
      <c r="AD7" s="2" t="str">
        <f>+IFERROR(RANK(E7,(E$6,E$15,E$22,E$26,E$27,E$28,E$33),0),"")</f>
        <v/>
      </c>
      <c r="AE7" s="2" t="str">
        <f>+IFERROR(RANK(F7,(F$6,F$15,F$22,F$26,F$27,F$28,F$33),0),"")</f>
        <v/>
      </c>
      <c r="AF7" s="2" t="str">
        <f>+IFERROR(RANK(G7,(G$6,G$15,G$22,G$26,G$27,G$28,G$33),0),"")</f>
        <v/>
      </c>
      <c r="AG7" s="2" t="str">
        <f>+IFERROR(RANK(H7,(H$6,H$15,H$22,H$26,H$27,H$28,H$33),0),"")</f>
        <v/>
      </c>
      <c r="AH7" s="2" t="str">
        <f>+IFERROR(RANK(I7,(I$6,I$15,I$22,I$26,I$27,I$28,I$33),0),"")</f>
        <v/>
      </c>
      <c r="AI7" s="2" t="str">
        <f>+IFERROR(RANK(J7,(J$6,J$15,J$22,J$26,J$27,J$28,J$33),0),"")</f>
        <v/>
      </c>
      <c r="AJ7" s="2" t="str">
        <f>+IFERROR(RANK(K7,(K$6,K$15,K$22,K$26,K$27,K$28,K$33),0),"")</f>
        <v/>
      </c>
      <c r="AK7" s="2" t="str">
        <f>+IFERROR(RANK(L7,(L$6,L$15,L$22,L$26,L$27,L$28,L$33),0),"")</f>
        <v/>
      </c>
    </row>
    <row r="8" spans="1:37" ht="15" customHeight="1">
      <c r="A8" s="572" t="s">
        <v>498</v>
      </c>
      <c r="B8" s="646">
        <v>14930</v>
      </c>
      <c r="C8" s="646">
        <v>15116</v>
      </c>
      <c r="D8" s="646">
        <v>15401</v>
      </c>
      <c r="E8" s="646">
        <v>15634</v>
      </c>
      <c r="F8" s="646">
        <v>15756</v>
      </c>
      <c r="G8" s="646">
        <v>15412</v>
      </c>
      <c r="H8" s="646">
        <v>15514</v>
      </c>
      <c r="I8" s="646">
        <v>15289</v>
      </c>
      <c r="J8" s="646">
        <v>16345</v>
      </c>
      <c r="K8" s="646">
        <v>16873</v>
      </c>
      <c r="L8" s="646">
        <v>16874</v>
      </c>
      <c r="N8" s="559">
        <f t="shared" si="5"/>
        <v>13.020763563295379</v>
      </c>
      <c r="O8" s="419">
        <f t="shared" si="3"/>
        <v>1944</v>
      </c>
      <c r="P8" s="559">
        <f t="shared" si="6"/>
        <v>4.6819239477430807</v>
      </c>
      <c r="Q8" s="559">
        <f t="shared" si="4"/>
        <v>4.7017107309486779</v>
      </c>
      <c r="R8" s="559">
        <f t="shared" si="4"/>
        <v>4.7397463477086044</v>
      </c>
      <c r="S8" s="559">
        <f t="shared" si="4"/>
        <v>4.7767304725095094</v>
      </c>
      <c r="T8" s="559">
        <f t="shared" si="4"/>
        <v>4.7649001415316876</v>
      </c>
      <c r="U8" s="559">
        <f t="shared" si="4"/>
        <v>4.7718420449690075</v>
      </c>
      <c r="V8" s="559">
        <f t="shared" si="4"/>
        <v>4.7741407377546095</v>
      </c>
      <c r="W8" s="559">
        <f t="shared" si="4"/>
        <v>4.8040244584514253</v>
      </c>
      <c r="X8" s="559">
        <f t="shared" si="4"/>
        <v>4.9130854296732922</v>
      </c>
      <c r="Y8" s="559">
        <f t="shared" si="4"/>
        <v>4.9573397891668929</v>
      </c>
      <c r="Z8" s="559">
        <f t="shared" si="4"/>
        <v>4.9919236981770654</v>
      </c>
      <c r="AA8" s="2" t="str">
        <f>+IFERROR(RANK(B8,(B$6,B$15,B$22,B$26,B$27,B$28,B$33),0),"")</f>
        <v/>
      </c>
      <c r="AB8" s="2" t="str">
        <f>+IFERROR(RANK(C8,(C$6,C$15,C$22,C$26,C$27,C$28,C$33),0),"")</f>
        <v/>
      </c>
      <c r="AC8" s="2" t="str">
        <f>+IFERROR(RANK(D8,(D$6,D$15,D$22,D$26,D$27,D$28,D$33),0),"")</f>
        <v/>
      </c>
      <c r="AD8" s="2" t="str">
        <f>+IFERROR(RANK(E8,(E$6,E$15,E$22,E$26,E$27,E$28,E$33),0),"")</f>
        <v/>
      </c>
      <c r="AE8" s="2" t="str">
        <f>+IFERROR(RANK(F8,(F$6,F$15,F$22,F$26,F$27,F$28,F$33),0),"")</f>
        <v/>
      </c>
      <c r="AF8" s="2" t="str">
        <f>+IFERROR(RANK(G8,(G$6,G$15,G$22,G$26,G$27,G$28,G$33),0),"")</f>
        <v/>
      </c>
      <c r="AG8" s="2" t="str">
        <f>+IFERROR(RANK(H8,(H$6,H$15,H$22,H$26,H$27,H$28,H$33),0),"")</f>
        <v/>
      </c>
      <c r="AH8" s="2" t="str">
        <f>+IFERROR(RANK(I8,(I$6,I$15,I$22,I$26,I$27,I$28,I$33),0),"")</f>
        <v/>
      </c>
      <c r="AI8" s="2" t="str">
        <f>+IFERROR(RANK(J8,(J$6,J$15,J$22,J$26,J$27,J$28,J$33),0),"")</f>
        <v/>
      </c>
      <c r="AJ8" s="2" t="str">
        <f>+IFERROR(RANK(K8,(K$6,K$15,K$22,K$26,K$27,K$28,K$33),0),"")</f>
        <v/>
      </c>
      <c r="AK8" s="2" t="str">
        <f>+IFERROR(RANK(L8,(L$6,L$15,L$22,L$26,L$27,L$28,L$33),0),"")</f>
        <v/>
      </c>
    </row>
    <row r="9" spans="1:37" ht="15" customHeight="1">
      <c r="A9" s="572" t="s">
        <v>499</v>
      </c>
      <c r="B9" s="646">
        <v>14360</v>
      </c>
      <c r="C9" s="646">
        <v>14483</v>
      </c>
      <c r="D9" s="646">
        <v>14818</v>
      </c>
      <c r="E9" s="646">
        <v>15050</v>
      </c>
      <c r="F9" s="646">
        <v>15078</v>
      </c>
      <c r="G9" s="646">
        <v>14513</v>
      </c>
      <c r="H9" s="646">
        <v>14697</v>
      </c>
      <c r="I9" s="646">
        <v>14380</v>
      </c>
      <c r="J9" s="646">
        <v>15257</v>
      </c>
      <c r="K9" s="646">
        <v>15408.999999999998</v>
      </c>
      <c r="L9" s="646">
        <v>15255</v>
      </c>
      <c r="N9" s="559">
        <f t="shared" si="5"/>
        <v>6.2325905292479167</v>
      </c>
      <c r="O9" s="419">
        <f t="shared" si="3"/>
        <v>895</v>
      </c>
      <c r="P9" s="559">
        <f t="shared" si="6"/>
        <v>4.5031766838305849</v>
      </c>
      <c r="Q9" s="559">
        <f t="shared" si="4"/>
        <v>4.5048211508553653</v>
      </c>
      <c r="R9" s="559">
        <f t="shared" si="4"/>
        <v>4.5603247438702752</v>
      </c>
      <c r="S9" s="559">
        <f t="shared" si="4"/>
        <v>4.5982981713744477</v>
      </c>
      <c r="T9" s="559">
        <f t="shared" si="4"/>
        <v>4.5598606457232025</v>
      </c>
      <c r="U9" s="559">
        <f t="shared" si="4"/>
        <v>4.4934949129662085</v>
      </c>
      <c r="V9" s="559">
        <f t="shared" si="4"/>
        <v>4.5227244052326601</v>
      </c>
      <c r="W9" s="559">
        <f t="shared" si="4"/>
        <v>4.5184035393113673</v>
      </c>
      <c r="X9" s="559">
        <f t="shared" si="4"/>
        <v>4.5860473784353273</v>
      </c>
      <c r="Y9" s="559">
        <f t="shared" si="4"/>
        <v>4.5272120435768768</v>
      </c>
      <c r="Z9" s="559">
        <f t="shared" si="4"/>
        <v>4.5129664582014417</v>
      </c>
      <c r="AA9" s="2" t="str">
        <f>+IFERROR(RANK(B9,(B$6,B$15,B$22,B$26,B$27,B$28,B$33),0),"")</f>
        <v/>
      </c>
      <c r="AB9" s="2" t="str">
        <f>+IFERROR(RANK(C9,(C$6,C$15,C$22,C$26,C$27,C$28,C$33),0),"")</f>
        <v/>
      </c>
      <c r="AC9" s="2" t="str">
        <f>+IFERROR(RANK(D9,(D$6,D$15,D$22,D$26,D$27,D$28,D$33),0),"")</f>
        <v/>
      </c>
      <c r="AD9" s="2" t="str">
        <f>+IFERROR(RANK(E9,(E$6,E$15,E$22,E$26,E$27,E$28,E$33),0),"")</f>
        <v/>
      </c>
      <c r="AE9" s="2" t="str">
        <f>+IFERROR(RANK(F9,(F$6,F$15,F$22,F$26,F$27,F$28,F$33),0),"")</f>
        <v/>
      </c>
      <c r="AF9" s="2" t="str">
        <f>+IFERROR(RANK(G9,(G$6,G$15,G$22,G$26,G$27,G$28,G$33),0),"")</f>
        <v/>
      </c>
      <c r="AG9" s="2" t="str">
        <f>+IFERROR(RANK(H9,(H$6,H$15,H$22,H$26,H$27,H$28,H$33),0),"")</f>
        <v/>
      </c>
      <c r="AH9" s="2" t="str">
        <f>+IFERROR(RANK(I9,(I$6,I$15,I$22,I$26,I$27,I$28,I$33),0),"")</f>
        <v/>
      </c>
      <c r="AI9" s="2" t="str">
        <f>+IFERROR(RANK(J9,(J$6,J$15,J$22,J$26,J$27,J$28,J$33),0),"")</f>
        <v/>
      </c>
      <c r="AJ9" s="2" t="str">
        <f>+IFERROR(RANK(K9,(K$6,K$15,K$22,K$26,K$27,K$28,K$33),0),"")</f>
        <v/>
      </c>
      <c r="AK9" s="2" t="str">
        <f>+IFERROR(RANK(L9,(L$6,L$15,L$22,L$26,L$27,L$28,L$33),0),"")</f>
        <v/>
      </c>
    </row>
    <row r="10" spans="1:37" ht="15" customHeight="1">
      <c r="A10" s="572" t="s">
        <v>500</v>
      </c>
      <c r="B10" s="646">
        <v>57194</v>
      </c>
      <c r="C10" s="646">
        <v>57692</v>
      </c>
      <c r="D10" s="646">
        <v>58291</v>
      </c>
      <c r="E10" s="646">
        <v>58794</v>
      </c>
      <c r="F10" s="646">
        <v>59602</v>
      </c>
      <c r="G10" s="646">
        <v>58375</v>
      </c>
      <c r="H10" s="646">
        <v>58630</v>
      </c>
      <c r="I10" s="646">
        <v>57051</v>
      </c>
      <c r="J10" s="646">
        <v>59479</v>
      </c>
      <c r="K10" s="646">
        <v>60584.999999999985</v>
      </c>
      <c r="L10" s="646">
        <v>59738.999999999993</v>
      </c>
      <c r="N10" s="559">
        <f t="shared" si="5"/>
        <v>4.4497674581249758</v>
      </c>
      <c r="O10" s="419">
        <f t="shared" si="3"/>
        <v>2544.9999999999927</v>
      </c>
      <c r="P10" s="559">
        <f t="shared" si="6"/>
        <v>17.935563179318002</v>
      </c>
      <c r="Q10" s="559">
        <f t="shared" si="4"/>
        <v>17.944634525660963</v>
      </c>
      <c r="R10" s="559">
        <f t="shared" si="4"/>
        <v>17.939390582058454</v>
      </c>
      <c r="S10" s="559">
        <f t="shared" si="4"/>
        <v>17.963610809819887</v>
      </c>
      <c r="T10" s="559">
        <f t="shared" si="4"/>
        <v>18.024725706751184</v>
      </c>
      <c r="U10" s="559">
        <f t="shared" si="4"/>
        <v>18.073986463474291</v>
      </c>
      <c r="V10" s="559">
        <f t="shared" si="4"/>
        <v>18.042276102523704</v>
      </c>
      <c r="W10" s="559">
        <f t="shared" si="4"/>
        <v>17.92624758840423</v>
      </c>
      <c r="X10" s="559">
        <f t="shared" si="4"/>
        <v>17.878581111749021</v>
      </c>
      <c r="Y10" s="559">
        <f t="shared" si="4"/>
        <v>17.800061111045817</v>
      </c>
      <c r="Z10" s="559">
        <f t="shared" si="4"/>
        <v>17.672900901114119</v>
      </c>
      <c r="AA10" s="2" t="str">
        <f>+IFERROR(RANK(B10,(B$6,B$15,B$22,B$26,B$27,B$28,B$33),0),"")</f>
        <v/>
      </c>
      <c r="AB10" s="2" t="str">
        <f>+IFERROR(RANK(C10,(C$6,C$15,C$22,C$26,C$27,C$28,C$33),0),"")</f>
        <v/>
      </c>
      <c r="AC10" s="2" t="str">
        <f>+IFERROR(RANK(D10,(D$6,D$15,D$22,D$26,D$27,D$28,D$33),0),"")</f>
        <v/>
      </c>
      <c r="AD10" s="2" t="str">
        <f>+IFERROR(RANK(E10,(E$6,E$15,E$22,E$26,E$27,E$28,E$33),0),"")</f>
        <v/>
      </c>
      <c r="AE10" s="2" t="str">
        <f>+IFERROR(RANK(F10,(F$6,F$15,F$22,F$26,F$27,F$28,F$33),0),"")</f>
        <v/>
      </c>
      <c r="AF10" s="2" t="str">
        <f>+IFERROR(RANK(G10,(G$6,G$15,G$22,G$26,G$27,G$28,G$33),0),"")</f>
        <v/>
      </c>
      <c r="AG10" s="2" t="str">
        <f>+IFERROR(RANK(H10,(H$6,H$15,H$22,H$26,H$27,H$28,H$33),0),"")</f>
        <v/>
      </c>
      <c r="AH10" s="2" t="str">
        <f>+IFERROR(RANK(I10,(I$6,I$15,I$22,I$26,I$27,I$28,I$33),0),"")</f>
        <v/>
      </c>
      <c r="AI10" s="2" t="str">
        <f>+IFERROR(RANK(J10,(J$6,J$15,J$22,J$26,J$27,J$28,J$33),0),"")</f>
        <v/>
      </c>
      <c r="AJ10" s="2" t="str">
        <f>+IFERROR(RANK(K10,(K$6,K$15,K$22,K$26,K$27,K$28,K$33),0),"")</f>
        <v/>
      </c>
      <c r="AK10" s="2" t="str">
        <f>+IFERROR(RANK(L10,(L$6,L$15,L$22,L$26,L$27,L$28,L$33),0),"")</f>
        <v/>
      </c>
    </row>
    <row r="11" spans="1:37" ht="15" customHeight="1">
      <c r="A11" s="572" t="s">
        <v>501</v>
      </c>
      <c r="B11" s="646">
        <v>2505</v>
      </c>
      <c r="C11" s="646">
        <v>2562</v>
      </c>
      <c r="D11" s="646">
        <v>2620</v>
      </c>
      <c r="E11" s="646">
        <v>2636</v>
      </c>
      <c r="F11" s="646">
        <v>2669</v>
      </c>
      <c r="G11" s="646">
        <v>2590</v>
      </c>
      <c r="H11" s="646">
        <v>2642</v>
      </c>
      <c r="I11" s="646">
        <v>2629</v>
      </c>
      <c r="J11" s="646">
        <v>2739</v>
      </c>
      <c r="K11" s="646">
        <v>2746</v>
      </c>
      <c r="L11" s="646">
        <v>2794</v>
      </c>
      <c r="N11" s="559">
        <f t="shared" si="5"/>
        <v>11.536926147704584</v>
      </c>
      <c r="O11" s="419">
        <f t="shared" si="3"/>
        <v>289</v>
      </c>
      <c r="P11" s="559">
        <f t="shared" si="6"/>
        <v>0.785547186141756</v>
      </c>
      <c r="Q11" s="559">
        <f t="shared" si="4"/>
        <v>0.79688958009331257</v>
      </c>
      <c r="R11" s="559">
        <f t="shared" si="4"/>
        <v>0.80632007213794843</v>
      </c>
      <c r="S11" s="559">
        <f t="shared" si="4"/>
        <v>0.80538963320551793</v>
      </c>
      <c r="T11" s="559">
        <f t="shared" si="4"/>
        <v>0.80715400341127652</v>
      </c>
      <c r="U11" s="559">
        <f t="shared" si="4"/>
        <v>0.80191220454643974</v>
      </c>
      <c r="V11" s="559">
        <f t="shared" si="4"/>
        <v>0.81302564323499271</v>
      </c>
      <c r="W11" s="559">
        <f t="shared" si="4"/>
        <v>0.82606974303543712</v>
      </c>
      <c r="X11" s="559">
        <f t="shared" si="4"/>
        <v>0.82330627053381145</v>
      </c>
      <c r="Y11" s="559">
        <f t="shared" si="4"/>
        <v>0.80678332608619019</v>
      </c>
      <c r="Z11" s="559">
        <f t="shared" si="4"/>
        <v>0.8265636371166718</v>
      </c>
      <c r="AA11" s="2" t="str">
        <f>+IFERROR(RANK(B11,(B$6,B$15,B$22,B$26,B$27,B$28,B$33),0),"")</f>
        <v/>
      </c>
      <c r="AB11" s="2" t="str">
        <f>+IFERROR(RANK(C11,(C$6,C$15,C$22,C$26,C$27,C$28,C$33),0),"")</f>
        <v/>
      </c>
      <c r="AC11" s="2" t="str">
        <f>+IFERROR(RANK(D11,(D$6,D$15,D$22,D$26,D$27,D$28,D$33),0),"")</f>
        <v/>
      </c>
      <c r="AD11" s="2" t="str">
        <f>+IFERROR(RANK(E11,(E$6,E$15,E$22,E$26,E$27,E$28,E$33),0),"")</f>
        <v/>
      </c>
      <c r="AE11" s="2" t="str">
        <f>+IFERROR(RANK(F11,(F$6,F$15,F$22,F$26,F$27,F$28,F$33),0),"")</f>
        <v/>
      </c>
      <c r="AF11" s="2" t="str">
        <f>+IFERROR(RANK(G11,(G$6,G$15,G$22,G$26,G$27,G$28,G$33),0),"")</f>
        <v/>
      </c>
      <c r="AG11" s="2" t="str">
        <f>+IFERROR(RANK(H11,(H$6,H$15,H$22,H$26,H$27,H$28,H$33),0),"")</f>
        <v/>
      </c>
      <c r="AH11" s="2" t="str">
        <f>+IFERROR(RANK(I11,(I$6,I$15,I$22,I$26,I$27,I$28,I$33),0),"")</f>
        <v/>
      </c>
      <c r="AI11" s="2" t="str">
        <f>+IFERROR(RANK(J11,(J$6,J$15,J$22,J$26,J$27,J$28,J$33),0),"")</f>
        <v/>
      </c>
      <c r="AJ11" s="2" t="str">
        <f>+IFERROR(RANK(K11,(K$6,K$15,K$22,K$26,K$27,K$28,K$33),0),"")</f>
        <v/>
      </c>
      <c r="AK11" s="2" t="str">
        <f>+IFERROR(RANK(L11,(L$6,L$15,L$22,L$26,L$27,L$28,L$33),0),"")</f>
        <v/>
      </c>
    </row>
    <row r="12" spans="1:37" ht="15" customHeight="1">
      <c r="A12" s="572" t="s">
        <v>502</v>
      </c>
      <c r="B12" s="646">
        <v>13219</v>
      </c>
      <c r="C12" s="646">
        <v>13492</v>
      </c>
      <c r="D12" s="646">
        <v>13669</v>
      </c>
      <c r="E12" s="646">
        <v>13820</v>
      </c>
      <c r="F12" s="646">
        <v>14097</v>
      </c>
      <c r="G12" s="646">
        <v>13814</v>
      </c>
      <c r="H12" s="646">
        <v>13874</v>
      </c>
      <c r="I12" s="646">
        <v>14035</v>
      </c>
      <c r="J12" s="646">
        <v>14461</v>
      </c>
      <c r="K12" s="646">
        <v>14776</v>
      </c>
      <c r="L12" s="646">
        <v>14547</v>
      </c>
      <c r="N12" s="559">
        <f t="shared" si="5"/>
        <v>10.046145699372122</v>
      </c>
      <c r="O12" s="419">
        <f t="shared" si="3"/>
        <v>1328</v>
      </c>
      <c r="P12" s="559">
        <f t="shared" si="6"/>
        <v>4.1453685643145199</v>
      </c>
      <c r="Q12" s="559">
        <f t="shared" si="4"/>
        <v>4.1965785381026439</v>
      </c>
      <c r="R12" s="559">
        <f t="shared" si="4"/>
        <v>4.2067133839899302</v>
      </c>
      <c r="S12" s="559">
        <f t="shared" si="4"/>
        <v>4.2224904138468355</v>
      </c>
      <c r="T12" s="559">
        <f t="shared" si="4"/>
        <v>4.2631884548852623</v>
      </c>
      <c r="U12" s="559">
        <f t="shared" si="4"/>
        <v>4.2770715033222073</v>
      </c>
      <c r="V12" s="559">
        <f t="shared" si="4"/>
        <v>4.2694616859357639</v>
      </c>
      <c r="W12" s="559">
        <f t="shared" si="4"/>
        <v>4.4099995600997941</v>
      </c>
      <c r="X12" s="559">
        <f t="shared" si="4"/>
        <v>4.3467805688899039</v>
      </c>
      <c r="Y12" s="559">
        <f t="shared" si="4"/>
        <v>4.34123467816808</v>
      </c>
      <c r="Z12" s="559">
        <f t="shared" si="4"/>
        <v>4.3035151142219847</v>
      </c>
      <c r="AA12" s="2" t="str">
        <f>+IFERROR(RANK(B12,(B$6,B$15,B$22,B$26,B$27,B$28,B$33),0),"")</f>
        <v/>
      </c>
      <c r="AB12" s="2" t="str">
        <f>+IFERROR(RANK(C12,(C$6,C$15,C$22,C$26,C$27,C$28,C$33),0),"")</f>
        <v/>
      </c>
      <c r="AC12" s="2" t="str">
        <f>+IFERROR(RANK(D12,(D$6,D$15,D$22,D$26,D$27,D$28,D$33),0),"")</f>
        <v/>
      </c>
      <c r="AD12" s="2" t="str">
        <f>+IFERROR(RANK(E12,(E$6,E$15,E$22,E$26,E$27,E$28,E$33),0),"")</f>
        <v/>
      </c>
      <c r="AE12" s="2" t="str">
        <f>+IFERROR(RANK(F12,(F$6,F$15,F$22,F$26,F$27,F$28,F$33),0),"")</f>
        <v/>
      </c>
      <c r="AF12" s="2" t="str">
        <f>+IFERROR(RANK(G12,(G$6,G$15,G$22,G$26,G$27,G$28,G$33),0),"")</f>
        <v/>
      </c>
      <c r="AG12" s="2" t="str">
        <f>+IFERROR(RANK(H12,(H$6,H$15,H$22,H$26,H$27,H$28,H$33),0),"")</f>
        <v/>
      </c>
      <c r="AH12" s="2" t="str">
        <f>+IFERROR(RANK(I12,(I$6,I$15,I$22,I$26,I$27,I$28,I$33),0),"")</f>
        <v/>
      </c>
      <c r="AI12" s="2" t="str">
        <f>+IFERROR(RANK(J12,(J$6,J$15,J$22,J$26,J$27,J$28,J$33),0),"")</f>
        <v/>
      </c>
      <c r="AJ12" s="2" t="str">
        <f>+IFERROR(RANK(K12,(K$6,K$15,K$22,K$26,K$27,K$28,K$33),0),"")</f>
        <v/>
      </c>
      <c r="AK12" s="2" t="str">
        <f>+IFERROR(RANK(L12,(L$6,L$15,L$22,L$26,L$27,L$28,L$33),0),"")</f>
        <v/>
      </c>
    </row>
    <row r="13" spans="1:37" ht="15" customHeight="1">
      <c r="A13" s="572" t="s">
        <v>503</v>
      </c>
      <c r="B13" s="646">
        <v>6125</v>
      </c>
      <c r="C13" s="646">
        <v>6090</v>
      </c>
      <c r="D13" s="646">
        <v>6142</v>
      </c>
      <c r="E13" s="646">
        <v>6166</v>
      </c>
      <c r="F13" s="646">
        <v>6137</v>
      </c>
      <c r="G13" s="646">
        <v>6006</v>
      </c>
      <c r="H13" s="646">
        <v>6107</v>
      </c>
      <c r="I13" s="646">
        <v>6046</v>
      </c>
      <c r="J13" s="646">
        <v>6219</v>
      </c>
      <c r="K13" s="646">
        <v>6355.9999999999982</v>
      </c>
      <c r="L13" s="646">
        <v>6331</v>
      </c>
      <c r="N13" s="559">
        <f t="shared" si="5"/>
        <v>3.3632653061224538</v>
      </c>
      <c r="O13" s="419">
        <f t="shared" si="3"/>
        <v>206</v>
      </c>
      <c r="P13" s="559">
        <f t="shared" si="6"/>
        <v>1.920749107831639</v>
      </c>
      <c r="Q13" s="559">
        <f t="shared" si="4"/>
        <v>1.8942457231726284</v>
      </c>
      <c r="R13" s="559">
        <f t="shared" si="4"/>
        <v>1.8902358332333127</v>
      </c>
      <c r="S13" s="559">
        <f t="shared" si="4"/>
        <v>1.8839273438335447</v>
      </c>
      <c r="T13" s="559">
        <f t="shared" si="4"/>
        <v>1.8559400970157378</v>
      </c>
      <c r="U13" s="559">
        <f t="shared" si="4"/>
        <v>1.8595693824347168</v>
      </c>
      <c r="V13" s="559">
        <f t="shared" si="4"/>
        <v>1.8793140057668813</v>
      </c>
      <c r="W13" s="559">
        <f t="shared" si="4"/>
        <v>1.8997404588787572</v>
      </c>
      <c r="X13" s="559">
        <f t="shared" si="4"/>
        <v>1.8693470961846563</v>
      </c>
      <c r="Y13" s="559">
        <f t="shared" si="4"/>
        <v>1.8674125348156676</v>
      </c>
      <c r="Z13" s="559">
        <f t="shared" si="4"/>
        <v>1.8729328513191299</v>
      </c>
      <c r="AA13" s="2" t="str">
        <f>+IFERROR(RANK(B13,(B$6,B$15,B$22,B$26,B$27,B$28,B$33),0),"")</f>
        <v/>
      </c>
      <c r="AB13" s="2" t="str">
        <f>+IFERROR(RANK(C13,(C$6,C$15,C$22,C$26,C$27,C$28,C$33),0),"")</f>
        <v/>
      </c>
      <c r="AC13" s="2" t="str">
        <f>+IFERROR(RANK(D13,(D$6,D$15,D$22,D$26,D$27,D$28,D$33),0),"")</f>
        <v/>
      </c>
      <c r="AD13" s="2" t="str">
        <f>+IFERROR(RANK(E13,(E$6,E$15,E$22,E$26,E$27,E$28,E$33),0),"")</f>
        <v/>
      </c>
      <c r="AE13" s="2" t="str">
        <f>+IFERROR(RANK(F13,(F$6,F$15,F$22,F$26,F$27,F$28,F$33),0),"")</f>
        <v/>
      </c>
      <c r="AF13" s="2" t="str">
        <f>+IFERROR(RANK(G13,(G$6,G$15,G$22,G$26,G$27,G$28,G$33),0),"")</f>
        <v/>
      </c>
      <c r="AG13" s="2" t="str">
        <f>+IFERROR(RANK(H13,(H$6,H$15,H$22,H$26,H$27,H$28,H$33),0),"")</f>
        <v/>
      </c>
      <c r="AH13" s="2" t="str">
        <f>+IFERROR(RANK(I13,(I$6,I$15,I$22,I$26,I$27,I$28,I$33),0),"")</f>
        <v/>
      </c>
      <c r="AI13" s="2" t="str">
        <f>+IFERROR(RANK(J13,(J$6,J$15,J$22,J$26,J$27,J$28,J$33),0),"")</f>
        <v/>
      </c>
      <c r="AJ13" s="2" t="str">
        <f>+IFERROR(RANK(K13,(K$6,K$15,K$22,K$26,K$27,K$28,K$33),0),"")</f>
        <v/>
      </c>
      <c r="AK13" s="2" t="str">
        <f>+IFERROR(RANK(L13,(L$6,L$15,L$22,L$26,L$27,L$28,L$33),0),"")</f>
        <v/>
      </c>
    </row>
    <row r="14" spans="1:37" ht="15" customHeight="1">
      <c r="A14" s="572" t="s">
        <v>504</v>
      </c>
      <c r="B14" s="646">
        <v>3725</v>
      </c>
      <c r="C14" s="646">
        <v>3724</v>
      </c>
      <c r="D14" s="646">
        <v>3763</v>
      </c>
      <c r="E14" s="646">
        <v>3792</v>
      </c>
      <c r="F14" s="646">
        <v>3785</v>
      </c>
      <c r="G14" s="646">
        <v>3541</v>
      </c>
      <c r="H14" s="646">
        <v>3565</v>
      </c>
      <c r="I14" s="646">
        <v>3674</v>
      </c>
      <c r="J14" s="646">
        <v>3702</v>
      </c>
      <c r="K14" s="646">
        <v>3777.0000000000009</v>
      </c>
      <c r="L14" s="646">
        <v>3712</v>
      </c>
      <c r="N14" s="559">
        <f t="shared" si="5"/>
        <v>-0.34899328859060441</v>
      </c>
      <c r="O14" s="419">
        <f t="shared" si="3"/>
        <v>-13</v>
      </c>
      <c r="P14" s="559">
        <f t="shared" si="6"/>
        <v>1.168129049252711</v>
      </c>
      <c r="Q14" s="559">
        <f t="shared" si="4"/>
        <v>1.1583203732503888</v>
      </c>
      <c r="R14" s="559">
        <f t="shared" si="4"/>
        <v>1.1580848975019467</v>
      </c>
      <c r="S14" s="559">
        <f t="shared" si="4"/>
        <v>1.1585878183290304</v>
      </c>
      <c r="T14" s="559">
        <f t="shared" si="4"/>
        <v>1.1446526425296673</v>
      </c>
      <c r="U14" s="559">
        <f t="shared" si="4"/>
        <v>1.0963595043625263</v>
      </c>
      <c r="V14" s="559">
        <f t="shared" si="4"/>
        <v>1.097061475447672</v>
      </c>
      <c r="W14" s="559">
        <f t="shared" si="4"/>
        <v>1.1544238249951297</v>
      </c>
      <c r="X14" s="559">
        <f t="shared" si="4"/>
        <v>1.1127710162527091</v>
      </c>
      <c r="Y14" s="559">
        <f t="shared" si="4"/>
        <v>1.1096943272496509</v>
      </c>
      <c r="Z14" s="559">
        <f t="shared" si="4"/>
        <v>1.0981403797341036</v>
      </c>
      <c r="AA14" s="2" t="str">
        <f>+IFERROR(RANK(B14,(B$6,B$15,B$22,B$26,B$27,B$28,B$33),0),"")</f>
        <v/>
      </c>
      <c r="AB14" s="2" t="str">
        <f>+IFERROR(RANK(C14,(C$6,C$15,C$22,C$26,C$27,C$28,C$33),0),"")</f>
        <v/>
      </c>
      <c r="AC14" s="2" t="str">
        <f>+IFERROR(RANK(D14,(D$6,D$15,D$22,D$26,D$27,D$28,D$33),0),"")</f>
        <v/>
      </c>
      <c r="AD14" s="2" t="str">
        <f>+IFERROR(RANK(E14,(E$6,E$15,E$22,E$26,E$27,E$28,E$33),0),"")</f>
        <v/>
      </c>
      <c r="AE14" s="2" t="str">
        <f>+IFERROR(RANK(F14,(F$6,F$15,F$22,F$26,F$27,F$28,F$33),0),"")</f>
        <v/>
      </c>
      <c r="AF14" s="2" t="str">
        <f>+IFERROR(RANK(G14,(G$6,G$15,G$22,G$26,G$27,G$28,G$33),0),"")</f>
        <v/>
      </c>
      <c r="AG14" s="2" t="str">
        <f>+IFERROR(RANK(H14,(H$6,H$15,H$22,H$26,H$27,H$28,H$33),0),"")</f>
        <v/>
      </c>
      <c r="AH14" s="2" t="str">
        <f>+IFERROR(RANK(I14,(I$6,I$15,I$22,I$26,I$27,I$28,I$33),0),"")</f>
        <v/>
      </c>
      <c r="AI14" s="2" t="str">
        <f>+IFERROR(RANK(J14,(J$6,J$15,J$22,J$26,J$27,J$28,J$33),0),"")</f>
        <v/>
      </c>
      <c r="AJ14" s="2" t="str">
        <f>+IFERROR(RANK(K14,(K$6,K$15,K$22,K$26,K$27,K$28,K$33),0),"")</f>
        <v/>
      </c>
      <c r="AK14" s="2" t="str">
        <f>+IFERROR(RANK(L14,(L$6,L$15,L$22,L$26,L$27,L$28,L$33),0),"")</f>
        <v/>
      </c>
    </row>
    <row r="15" spans="1:37" ht="15" customHeight="1">
      <c r="A15" s="15" t="s">
        <v>505</v>
      </c>
      <c r="B15" s="647">
        <v>54102</v>
      </c>
      <c r="C15" s="647">
        <v>54333</v>
      </c>
      <c r="D15" s="647">
        <v>54880</v>
      </c>
      <c r="E15" s="647">
        <v>54959</v>
      </c>
      <c r="F15" s="647">
        <v>55026</v>
      </c>
      <c r="G15" s="647">
        <v>53653</v>
      </c>
      <c r="H15" s="647">
        <v>53834</v>
      </c>
      <c r="I15" s="647">
        <v>52972</v>
      </c>
      <c r="J15" s="647">
        <v>54851</v>
      </c>
      <c r="K15" s="647">
        <v>55620.000000000007</v>
      </c>
      <c r="L15" s="647">
        <v>55186.999999999978</v>
      </c>
      <c r="N15" s="559">
        <f t="shared" si="5"/>
        <v>2.0054711470924858</v>
      </c>
      <c r="O15" s="419">
        <f t="shared" si="3"/>
        <v>1084.9999999999782</v>
      </c>
      <c r="P15" s="559">
        <f t="shared" si="6"/>
        <v>16.965937670515483</v>
      </c>
      <c r="Q15" s="559">
        <f t="shared" si="4"/>
        <v>16.899844479004667</v>
      </c>
      <c r="R15" s="559">
        <f t="shared" si="4"/>
        <v>16.889635709515499</v>
      </c>
      <c r="S15" s="559">
        <f t="shared" si="4"/>
        <v>16.791884996715503</v>
      </c>
      <c r="T15" s="559">
        <f t="shared" si="4"/>
        <v>16.640860319111617</v>
      </c>
      <c r="U15" s="559">
        <f t="shared" si="4"/>
        <v>16.61196737858306</v>
      </c>
      <c r="V15" s="559">
        <f t="shared" si="4"/>
        <v>16.566397607082738</v>
      </c>
      <c r="W15" s="559">
        <f t="shared" si="4"/>
        <v>16.644566918247691</v>
      </c>
      <c r="X15" s="559">
        <f t="shared" si="4"/>
        <v>16.487467048211059</v>
      </c>
      <c r="Y15" s="559">
        <f t="shared" si="4"/>
        <v>16.341328695161657</v>
      </c>
      <c r="Z15" s="559">
        <f t="shared" si="4"/>
        <v>16.326258926828114</v>
      </c>
      <c r="AA15" s="2">
        <f>+IFERROR(RANK(B15,(B$6,B$15,B$22,B$26,B$27,B$28,B$33),0),"")</f>
        <v>3</v>
      </c>
      <c r="AB15" s="2">
        <f>+IFERROR(RANK(C15,(C$6,C$15,C$22,C$26,C$27,C$28,C$33),0),"")</f>
        <v>3</v>
      </c>
      <c r="AC15" s="2">
        <f>+IFERROR(RANK(D15,(D$6,D$15,D$22,D$26,D$27,D$28,D$33),0),"")</f>
        <v>3</v>
      </c>
      <c r="AD15" s="2">
        <f>+IFERROR(RANK(E15,(E$6,E$15,E$22,E$26,E$27,E$28,E$33),0),"")</f>
        <v>3</v>
      </c>
      <c r="AE15" s="2">
        <f>+IFERROR(RANK(F15,(F$6,F$15,F$22,F$26,F$27,F$28,F$33),0),"")</f>
        <v>3</v>
      </c>
      <c r="AF15" s="2">
        <f>+IFERROR(RANK(G15,(G$6,G$15,G$22,G$26,G$27,G$28,G$33),0),"")</f>
        <v>3</v>
      </c>
      <c r="AG15" s="2">
        <f>+IFERROR(RANK(H15,(H$6,H$15,H$22,H$26,H$27,H$28,H$33),0),"")</f>
        <v>3</v>
      </c>
      <c r="AH15" s="2">
        <f>+IFERROR(RANK(I15,(I$6,I$15,I$22,I$26,I$27,I$28,I$33),0),"")</f>
        <v>3</v>
      </c>
      <c r="AI15" s="2">
        <f>+IFERROR(RANK(J15,(J$6,J$15,J$22,J$26,J$27,J$28,J$33),0),"")</f>
        <v>3</v>
      </c>
      <c r="AJ15" s="2">
        <f>+IFERROR(RANK(K15,(K$6,K$15,K$22,K$26,K$27,K$28,K$33),0),"")</f>
        <v>3</v>
      </c>
      <c r="AK15" s="2">
        <f>+IFERROR(RANK(L15,(L$6,L$15,L$22,L$26,L$27,L$28,L$33),0),"")</f>
        <v>3</v>
      </c>
    </row>
    <row r="16" spans="1:37" ht="15" customHeight="1">
      <c r="A16" s="572" t="s">
        <v>506</v>
      </c>
      <c r="B16" s="646">
        <v>10771</v>
      </c>
      <c r="C16" s="646">
        <v>10850</v>
      </c>
      <c r="D16" s="646">
        <v>11109</v>
      </c>
      <c r="E16" s="646">
        <v>11238</v>
      </c>
      <c r="F16" s="646">
        <v>11392</v>
      </c>
      <c r="G16" s="646">
        <v>11270</v>
      </c>
      <c r="H16" s="646">
        <v>11291</v>
      </c>
      <c r="I16" s="646">
        <v>10980</v>
      </c>
      <c r="J16" s="646">
        <v>11325</v>
      </c>
      <c r="K16" s="646">
        <v>11485</v>
      </c>
      <c r="L16" s="646">
        <v>11509.999999999998</v>
      </c>
      <c r="N16" s="559">
        <f t="shared" si="5"/>
        <v>6.8610156902794373</v>
      </c>
      <c r="O16" s="419">
        <f t="shared" si="3"/>
        <v>738.99999999999818</v>
      </c>
      <c r="P16" s="559">
        <f t="shared" si="6"/>
        <v>3.3776961045640133</v>
      </c>
      <c r="Q16" s="559">
        <f t="shared" si="4"/>
        <v>3.3748055987558319</v>
      </c>
      <c r="R16" s="559">
        <f t="shared" si="4"/>
        <v>3.4188586570154462</v>
      </c>
      <c r="S16" s="559">
        <f t="shared" si="4"/>
        <v>3.4335996578010661</v>
      </c>
      <c r="T16" s="559">
        <f t="shared" si="4"/>
        <v>3.4451473985991994</v>
      </c>
      <c r="U16" s="559">
        <f t="shared" si="4"/>
        <v>3.4894017549182919</v>
      </c>
      <c r="V16" s="559">
        <f t="shared" si="4"/>
        <v>3.4745921793210837</v>
      </c>
      <c r="W16" s="559">
        <f t="shared" si="4"/>
        <v>3.4500744688205018</v>
      </c>
      <c r="X16" s="559">
        <f t="shared" si="4"/>
        <v>3.4041414800275338</v>
      </c>
      <c r="Y16" s="559">
        <f t="shared" si="4"/>
        <v>3.3743286599052786</v>
      </c>
      <c r="Z16" s="559">
        <f t="shared" si="4"/>
        <v>3.4050635158242271</v>
      </c>
      <c r="AA16" s="2" t="str">
        <f>+IFERROR(RANK(B16,(B$6,B$15,B$22,B$26,B$27,B$28,B$33),0),"")</f>
        <v/>
      </c>
      <c r="AB16" s="2" t="str">
        <f>+IFERROR(RANK(C16,(C$6,C$15,C$22,C$26,C$27,C$28,C$33),0),"")</f>
        <v/>
      </c>
      <c r="AC16" s="2" t="str">
        <f>+IFERROR(RANK(D16,(D$6,D$15,D$22,D$26,D$27,D$28,D$33),0),"")</f>
        <v/>
      </c>
      <c r="AD16" s="2" t="str">
        <f>+IFERROR(RANK(E16,(E$6,E$15,E$22,E$26,E$27,E$28,E$33),0),"")</f>
        <v/>
      </c>
      <c r="AE16" s="2" t="str">
        <f>+IFERROR(RANK(F16,(F$6,F$15,F$22,F$26,F$27,F$28,F$33),0),"")</f>
        <v/>
      </c>
      <c r="AF16" s="2" t="str">
        <f>+IFERROR(RANK(G16,(G$6,G$15,G$22,G$26,G$27,G$28,G$33),0),"")</f>
        <v/>
      </c>
      <c r="AG16" s="2" t="str">
        <f>+IFERROR(RANK(H16,(H$6,H$15,H$22,H$26,H$27,H$28,H$33),0),"")</f>
        <v/>
      </c>
      <c r="AH16" s="2" t="str">
        <f>+IFERROR(RANK(I16,(I$6,I$15,I$22,I$26,I$27,I$28,I$33),0),"")</f>
        <v/>
      </c>
      <c r="AI16" s="2" t="str">
        <f>+IFERROR(RANK(J16,(J$6,J$15,J$22,J$26,J$27,J$28,J$33),0),"")</f>
        <v/>
      </c>
      <c r="AJ16" s="2" t="str">
        <f>+IFERROR(RANK(K16,(K$6,K$15,K$22,K$26,K$27,K$28,K$33),0),"")</f>
        <v/>
      </c>
      <c r="AK16" s="2" t="str">
        <f>+IFERROR(RANK(L16,(L$6,L$15,L$22,L$26,L$27,L$28,L$33),0),"")</f>
        <v/>
      </c>
    </row>
    <row r="17" spans="1:37" ht="15" customHeight="1">
      <c r="A17" s="572" t="s">
        <v>507</v>
      </c>
      <c r="B17" s="646">
        <v>13210</v>
      </c>
      <c r="C17" s="646">
        <v>13220</v>
      </c>
      <c r="D17" s="646">
        <v>13289</v>
      </c>
      <c r="E17" s="646">
        <v>13260</v>
      </c>
      <c r="F17" s="646">
        <v>13232</v>
      </c>
      <c r="G17" s="646">
        <v>12834</v>
      </c>
      <c r="H17" s="646">
        <v>12976</v>
      </c>
      <c r="I17" s="646">
        <v>12780</v>
      </c>
      <c r="J17" s="646">
        <v>13325</v>
      </c>
      <c r="K17" s="646">
        <v>13431.000000000004</v>
      </c>
      <c r="L17" s="646">
        <v>13262.000000000002</v>
      </c>
      <c r="N17" s="559">
        <f t="shared" si="5"/>
        <v>0.39364118092355405</v>
      </c>
      <c r="O17" s="419">
        <f t="shared" si="3"/>
        <v>52.000000000001819</v>
      </c>
      <c r="P17" s="559">
        <f t="shared" si="6"/>
        <v>4.1425462390948491</v>
      </c>
      <c r="Q17" s="559">
        <f t="shared" si="4"/>
        <v>4.1119751166407461</v>
      </c>
      <c r="R17" s="559">
        <f t="shared" si="4"/>
        <v>4.0897661979546553</v>
      </c>
      <c r="S17" s="559">
        <f t="shared" si="4"/>
        <v>4.0513909470049958</v>
      </c>
      <c r="T17" s="559">
        <f t="shared" si="4"/>
        <v>4.0015967677549691</v>
      </c>
      <c r="U17" s="559">
        <f t="shared" si="4"/>
        <v>3.9736452637640953</v>
      </c>
      <c r="V17" s="559">
        <f t="shared" si="4"/>
        <v>3.9931191319520307</v>
      </c>
      <c r="W17" s="559">
        <f t="shared" si="4"/>
        <v>4.0156604473156658</v>
      </c>
      <c r="X17" s="559">
        <f t="shared" si="4"/>
        <v>4.0053143683326171</v>
      </c>
      <c r="Y17" s="559">
        <f t="shared" si="4"/>
        <v>3.9460695020624996</v>
      </c>
      <c r="Z17" s="559">
        <f t="shared" si="4"/>
        <v>3.9233668416039023</v>
      </c>
      <c r="AA17" s="2" t="str">
        <f>+IFERROR(RANK(B17,(B$6,B$15,B$22,B$26,B$27,B$28,B$33),0),"")</f>
        <v/>
      </c>
      <c r="AB17" s="2" t="str">
        <f>+IFERROR(RANK(C17,(C$6,C$15,C$22,C$26,C$27,C$28,C$33),0),"")</f>
        <v/>
      </c>
      <c r="AC17" s="2" t="str">
        <f>+IFERROR(RANK(D17,(D$6,D$15,D$22,D$26,D$27,D$28,D$33),0),"")</f>
        <v/>
      </c>
      <c r="AD17" s="2" t="str">
        <f>+IFERROR(RANK(E17,(E$6,E$15,E$22,E$26,E$27,E$28,E$33),0),"")</f>
        <v/>
      </c>
      <c r="AE17" s="2" t="str">
        <f>+IFERROR(RANK(F17,(F$6,F$15,F$22,F$26,F$27,F$28,F$33),0),"")</f>
        <v/>
      </c>
      <c r="AF17" s="2" t="str">
        <f>+IFERROR(RANK(G17,(G$6,G$15,G$22,G$26,G$27,G$28,G$33),0),"")</f>
        <v/>
      </c>
      <c r="AG17" s="2" t="str">
        <f>+IFERROR(RANK(H17,(H$6,H$15,H$22,H$26,H$27,H$28,H$33),0),"")</f>
        <v/>
      </c>
      <c r="AH17" s="2" t="str">
        <f>+IFERROR(RANK(I17,(I$6,I$15,I$22,I$26,I$27,I$28,I$33),0),"")</f>
        <v/>
      </c>
      <c r="AI17" s="2" t="str">
        <f>+IFERROR(RANK(J17,(J$6,J$15,J$22,J$26,J$27,J$28,J$33),0),"")</f>
        <v/>
      </c>
      <c r="AJ17" s="2" t="str">
        <f>+IFERROR(RANK(K17,(K$6,K$15,K$22,K$26,K$27,K$28,K$33),0),"")</f>
        <v/>
      </c>
      <c r="AK17" s="2" t="str">
        <f>+IFERROR(RANK(L17,(L$6,L$15,L$22,L$26,L$27,L$28,L$33),0),"")</f>
        <v/>
      </c>
    </row>
    <row r="18" spans="1:37" ht="15" customHeight="1">
      <c r="A18" s="572" t="s">
        <v>508</v>
      </c>
      <c r="B18" s="646">
        <v>11750</v>
      </c>
      <c r="C18" s="646">
        <v>11795</v>
      </c>
      <c r="D18" s="646">
        <v>11912</v>
      </c>
      <c r="E18" s="646">
        <v>11909</v>
      </c>
      <c r="F18" s="646">
        <v>11844</v>
      </c>
      <c r="G18" s="646">
        <v>11538</v>
      </c>
      <c r="H18" s="646">
        <v>11586</v>
      </c>
      <c r="I18" s="646">
        <v>11446</v>
      </c>
      <c r="J18" s="646">
        <v>11845</v>
      </c>
      <c r="K18" s="646">
        <v>12118.999999999998</v>
      </c>
      <c r="L18" s="646">
        <v>11964</v>
      </c>
      <c r="N18" s="559">
        <f t="shared" si="5"/>
        <v>1.8212765957446919</v>
      </c>
      <c r="O18" s="419">
        <f t="shared" si="3"/>
        <v>214</v>
      </c>
      <c r="P18" s="559">
        <f t="shared" si="6"/>
        <v>3.6847023701260011</v>
      </c>
      <c r="Q18" s="559">
        <f t="shared" si="4"/>
        <v>3.6687402799377917</v>
      </c>
      <c r="R18" s="559">
        <f t="shared" si="4"/>
        <v>3.6659865264531457</v>
      </c>
      <c r="S18" s="559">
        <f t="shared" si="4"/>
        <v>3.6386134832490566</v>
      </c>
      <c r="T18" s="559">
        <f t="shared" si="4"/>
        <v>3.5818403958048557</v>
      </c>
      <c r="U18" s="559">
        <f t="shared" si="4"/>
        <v>3.5723795428790814</v>
      </c>
      <c r="V18" s="559">
        <f t="shared" si="4"/>
        <v>3.565372862422644</v>
      </c>
      <c r="W18" s="559">
        <f t="shared" si="4"/>
        <v>3.5964983943642501</v>
      </c>
      <c r="X18" s="559">
        <f t="shared" si="4"/>
        <v>3.5604464309868553</v>
      </c>
      <c r="Y18" s="559">
        <f t="shared" si="4"/>
        <v>3.5605998284189866</v>
      </c>
      <c r="Z18" s="559">
        <f t="shared" si="4"/>
        <v>3.5393727109748965</v>
      </c>
      <c r="AA18" s="2" t="str">
        <f>+IFERROR(RANK(B18,(B$6,B$15,B$22,B$26,B$27,B$28,B$33),0),"")</f>
        <v/>
      </c>
      <c r="AB18" s="2" t="str">
        <f>+IFERROR(RANK(C18,(C$6,C$15,C$22,C$26,C$27,C$28,C$33),0),"")</f>
        <v/>
      </c>
      <c r="AC18" s="2" t="str">
        <f>+IFERROR(RANK(D18,(D$6,D$15,D$22,D$26,D$27,D$28,D$33),0),"")</f>
        <v/>
      </c>
      <c r="AD18" s="2" t="str">
        <f>+IFERROR(RANK(E18,(E$6,E$15,E$22,E$26,E$27,E$28,E$33),0),"")</f>
        <v/>
      </c>
      <c r="AE18" s="2" t="str">
        <f>+IFERROR(RANK(F18,(F$6,F$15,F$22,F$26,F$27,F$28,F$33),0),"")</f>
        <v/>
      </c>
      <c r="AF18" s="2" t="str">
        <f>+IFERROR(RANK(G18,(G$6,G$15,G$22,G$26,G$27,G$28,G$33),0),"")</f>
        <v/>
      </c>
      <c r="AG18" s="2" t="str">
        <f>+IFERROR(RANK(H18,(H$6,H$15,H$22,H$26,H$27,H$28,H$33),0),"")</f>
        <v/>
      </c>
      <c r="AH18" s="2" t="str">
        <f>+IFERROR(RANK(I18,(I$6,I$15,I$22,I$26,I$27,I$28,I$33),0),"")</f>
        <v/>
      </c>
      <c r="AI18" s="2" t="str">
        <f>+IFERROR(RANK(J18,(J$6,J$15,J$22,J$26,J$27,J$28,J$33),0),"")</f>
        <v/>
      </c>
      <c r="AJ18" s="2" t="str">
        <f>+IFERROR(RANK(K18,(K$6,K$15,K$22,K$26,K$27,K$28,K$33),0),"")</f>
        <v/>
      </c>
      <c r="AK18" s="2" t="str">
        <f>+IFERROR(RANK(L18,(L$6,L$15,L$22,L$26,L$27,L$28,L$33),0),"")</f>
        <v/>
      </c>
    </row>
    <row r="19" spans="1:37" ht="15" customHeight="1">
      <c r="A19" s="572" t="s">
        <v>509</v>
      </c>
      <c r="B19" s="646">
        <v>8035</v>
      </c>
      <c r="C19" s="646">
        <v>8168</v>
      </c>
      <c r="D19" s="646">
        <v>8259</v>
      </c>
      <c r="E19" s="646">
        <v>8311</v>
      </c>
      <c r="F19" s="646">
        <v>8351</v>
      </c>
      <c r="G19" s="646">
        <v>8174</v>
      </c>
      <c r="H19" s="646">
        <v>8205</v>
      </c>
      <c r="I19" s="646">
        <v>8152</v>
      </c>
      <c r="J19" s="646">
        <v>8478</v>
      </c>
      <c r="K19" s="646">
        <v>8638</v>
      </c>
      <c r="L19" s="646">
        <v>8583</v>
      </c>
      <c r="N19" s="559">
        <f t="shared" si="5"/>
        <v>6.8201617921592961</v>
      </c>
      <c r="O19" s="419">
        <f t="shared" si="3"/>
        <v>548</v>
      </c>
      <c r="P19" s="559">
        <f t="shared" si="6"/>
        <v>2.5197092377840358</v>
      </c>
      <c r="Q19" s="559">
        <f t="shared" si="4"/>
        <v>2.5405909797822708</v>
      </c>
      <c r="R19" s="559">
        <f t="shared" si="4"/>
        <v>2.5417547617508842</v>
      </c>
      <c r="S19" s="559">
        <f t="shared" si="4"/>
        <v>2.5392994087902352</v>
      </c>
      <c r="T19" s="559">
        <f t="shared" si="4"/>
        <v>2.5254938488151257</v>
      </c>
      <c r="U19" s="559">
        <f t="shared" si="4"/>
        <v>2.5308225328040921</v>
      </c>
      <c r="V19" s="559">
        <f t="shared" si="4"/>
        <v>2.5249339147400134</v>
      </c>
      <c r="W19" s="559">
        <f t="shared" si="4"/>
        <v>2.5614760537180992</v>
      </c>
      <c r="X19" s="559">
        <f t="shared" si="4"/>
        <v>2.5483718735252476</v>
      </c>
      <c r="Y19" s="559">
        <f t="shared" si="4"/>
        <v>2.5378712202230558</v>
      </c>
      <c r="Z19" s="559">
        <f t="shared" si="4"/>
        <v>2.5391537929035053</v>
      </c>
      <c r="AA19" s="2" t="str">
        <f>+IFERROR(RANK(B19,(B$6,B$15,B$22,B$26,B$27,B$28,B$33),0),"")</f>
        <v/>
      </c>
      <c r="AB19" s="2" t="str">
        <f>+IFERROR(RANK(C19,(C$6,C$15,C$22,C$26,C$27,C$28,C$33),0),"")</f>
        <v/>
      </c>
      <c r="AC19" s="2" t="str">
        <f>+IFERROR(RANK(D19,(D$6,D$15,D$22,D$26,D$27,D$28,D$33),0),"")</f>
        <v/>
      </c>
      <c r="AD19" s="2" t="str">
        <f>+IFERROR(RANK(E19,(E$6,E$15,E$22,E$26,E$27,E$28,E$33),0),"")</f>
        <v/>
      </c>
      <c r="AE19" s="2" t="str">
        <f>+IFERROR(RANK(F19,(F$6,F$15,F$22,F$26,F$27,F$28,F$33),0),"")</f>
        <v/>
      </c>
      <c r="AF19" s="2" t="str">
        <f>+IFERROR(RANK(G19,(G$6,G$15,G$22,G$26,G$27,G$28,G$33),0),"")</f>
        <v/>
      </c>
      <c r="AG19" s="2" t="str">
        <f>+IFERROR(RANK(H19,(H$6,H$15,H$22,H$26,H$27,H$28,H$33),0),"")</f>
        <v/>
      </c>
      <c r="AH19" s="2" t="str">
        <f>+IFERROR(RANK(I19,(I$6,I$15,I$22,I$26,I$27,I$28,I$33),0),"")</f>
        <v/>
      </c>
      <c r="AI19" s="2" t="str">
        <f>+IFERROR(RANK(J19,(J$6,J$15,J$22,J$26,J$27,J$28,J$33),0),"")</f>
        <v/>
      </c>
      <c r="AJ19" s="2" t="str">
        <f>+IFERROR(RANK(K19,(K$6,K$15,K$22,K$26,K$27,K$28,K$33),0),"")</f>
        <v/>
      </c>
      <c r="AK19" s="2" t="str">
        <f>+IFERROR(RANK(L19,(L$6,L$15,L$22,L$26,L$27,L$28,L$33),0),"")</f>
        <v/>
      </c>
    </row>
    <row r="20" spans="1:37" ht="15" customHeight="1">
      <c r="A20" s="572" t="s">
        <v>510</v>
      </c>
      <c r="B20" s="646">
        <v>3287</v>
      </c>
      <c r="C20" s="646">
        <v>3291</v>
      </c>
      <c r="D20" s="646">
        <v>3288</v>
      </c>
      <c r="E20" s="646">
        <v>3208</v>
      </c>
      <c r="F20" s="646">
        <v>3244</v>
      </c>
      <c r="G20" s="646">
        <v>3195</v>
      </c>
      <c r="H20" s="646">
        <v>3163</v>
      </c>
      <c r="I20" s="646">
        <v>3161</v>
      </c>
      <c r="J20" s="646">
        <v>3245</v>
      </c>
      <c r="K20" s="646">
        <v>3270</v>
      </c>
      <c r="L20" s="646">
        <v>3212</v>
      </c>
      <c r="N20" s="559">
        <f t="shared" si="5"/>
        <v>-2.2817158503194435</v>
      </c>
      <c r="O20" s="419">
        <f t="shared" si="3"/>
        <v>-75</v>
      </c>
      <c r="P20" s="559">
        <f t="shared" si="6"/>
        <v>1.0307758885620566</v>
      </c>
      <c r="Q20" s="559">
        <f t="shared" si="4"/>
        <v>1.0236391912908243</v>
      </c>
      <c r="R20" s="559">
        <f t="shared" si="4"/>
        <v>1.0119009149578528</v>
      </c>
      <c r="S20" s="559">
        <f t="shared" si="4"/>
        <v>0.98015551719396876</v>
      </c>
      <c r="T20" s="559">
        <f t="shared" si="4"/>
        <v>0.98104443127245455</v>
      </c>
      <c r="U20" s="559">
        <f t="shared" si="4"/>
        <v>0.98923146468180501</v>
      </c>
      <c r="V20" s="559">
        <f t="shared" si="4"/>
        <v>0.97335356152622332</v>
      </c>
      <c r="W20" s="559">
        <f t="shared" si="4"/>
        <v>0.99323182112400787</v>
      </c>
      <c r="X20" s="559">
        <f t="shared" si="4"/>
        <v>0.97540301127499751</v>
      </c>
      <c r="Y20" s="559">
        <f t="shared" si="4"/>
        <v>0.96073615305966575</v>
      </c>
      <c r="Z20" s="559">
        <f t="shared" si="4"/>
        <v>0.95022276392940219</v>
      </c>
      <c r="AA20" s="2" t="str">
        <f>+IFERROR(RANK(B20,(B$6,B$15,B$22,B$26,B$27,B$28,B$33),0),"")</f>
        <v/>
      </c>
      <c r="AB20" s="2" t="str">
        <f>+IFERROR(RANK(C20,(C$6,C$15,C$22,C$26,C$27,C$28,C$33),0),"")</f>
        <v/>
      </c>
      <c r="AC20" s="2" t="str">
        <f>+IFERROR(RANK(D20,(D$6,D$15,D$22,D$26,D$27,D$28,D$33),0),"")</f>
        <v/>
      </c>
      <c r="AD20" s="2" t="str">
        <f>+IFERROR(RANK(E20,(E$6,E$15,E$22,E$26,E$27,E$28,E$33),0),"")</f>
        <v/>
      </c>
      <c r="AE20" s="2" t="str">
        <f>+IFERROR(RANK(F20,(F$6,F$15,F$22,F$26,F$27,F$28,F$33),0),"")</f>
        <v/>
      </c>
      <c r="AF20" s="2" t="str">
        <f>+IFERROR(RANK(G20,(G$6,G$15,G$22,G$26,G$27,G$28,G$33),0),"")</f>
        <v/>
      </c>
      <c r="AG20" s="2" t="str">
        <f>+IFERROR(RANK(H20,(H$6,H$15,H$22,H$26,H$27,H$28,H$33),0),"")</f>
        <v/>
      </c>
      <c r="AH20" s="2" t="str">
        <f>+IFERROR(RANK(I20,(I$6,I$15,I$22,I$26,I$27,I$28,I$33),0),"")</f>
        <v/>
      </c>
      <c r="AI20" s="2" t="str">
        <f>+IFERROR(RANK(J20,(J$6,J$15,J$22,J$26,J$27,J$28,J$33),0),"")</f>
        <v/>
      </c>
      <c r="AJ20" s="2" t="str">
        <f>+IFERROR(RANK(K20,(K$6,K$15,K$22,K$26,K$27,K$28,K$33),0),"")</f>
        <v/>
      </c>
      <c r="AK20" s="2" t="str">
        <f>+IFERROR(RANK(L20,(L$6,L$15,L$22,L$26,L$27,L$28,L$33),0),"")</f>
        <v/>
      </c>
    </row>
    <row r="21" spans="1:37" ht="15" customHeight="1">
      <c r="A21" s="572" t="s">
        <v>511</v>
      </c>
      <c r="B21" s="646">
        <v>7049</v>
      </c>
      <c r="C21" s="646">
        <v>7009</v>
      </c>
      <c r="D21" s="646">
        <v>7023</v>
      </c>
      <c r="E21" s="646">
        <v>7033</v>
      </c>
      <c r="F21" s="646">
        <v>6963</v>
      </c>
      <c r="G21" s="646">
        <v>6642</v>
      </c>
      <c r="H21" s="646">
        <v>6613</v>
      </c>
      <c r="I21" s="646">
        <v>6453</v>
      </c>
      <c r="J21" s="646">
        <v>6633</v>
      </c>
      <c r="K21" s="646">
        <v>6677</v>
      </c>
      <c r="L21" s="646">
        <v>6656</v>
      </c>
      <c r="N21" s="559">
        <f t="shared" si="5"/>
        <v>-5.5752589019719139</v>
      </c>
      <c r="O21" s="419">
        <f t="shared" si="3"/>
        <v>-393</v>
      </c>
      <c r="P21" s="559">
        <f t="shared" si="6"/>
        <v>2.2105078303845263</v>
      </c>
      <c r="Q21" s="559">
        <f t="shared" si="4"/>
        <v>2.1800933125972004</v>
      </c>
      <c r="R21" s="559">
        <f t="shared" si="4"/>
        <v>2.161368651383516</v>
      </c>
      <c r="S21" s="559">
        <f t="shared" si="4"/>
        <v>2.1488259826761791</v>
      </c>
      <c r="T21" s="559">
        <f t="shared" si="4"/>
        <v>2.1057374768650128</v>
      </c>
      <c r="U21" s="559">
        <f t="shared" si="4"/>
        <v>2.0564868195356958</v>
      </c>
      <c r="V21" s="559">
        <f t="shared" si="4"/>
        <v>2.0350259571207445</v>
      </c>
      <c r="W21" s="559">
        <f t="shared" si="4"/>
        <v>2.0276257329051637</v>
      </c>
      <c r="X21" s="559">
        <f t="shared" si="4"/>
        <v>1.9937898840638084</v>
      </c>
      <c r="Y21" s="559">
        <f t="shared" si="4"/>
        <v>1.9617233314921676</v>
      </c>
      <c r="Z21" s="559">
        <f t="shared" si="4"/>
        <v>1.9690793015921859</v>
      </c>
      <c r="AA21" s="2" t="str">
        <f>+IFERROR(RANK(B21,(B$6,B$15,B$22,B$26,B$27,B$28,B$33),0),"")</f>
        <v/>
      </c>
      <c r="AB21" s="2" t="str">
        <f>+IFERROR(RANK(C21,(C$6,C$15,C$22,C$26,C$27,C$28,C$33),0),"")</f>
        <v/>
      </c>
      <c r="AC21" s="2" t="str">
        <f>+IFERROR(RANK(D21,(D$6,D$15,D$22,D$26,D$27,D$28,D$33),0),"")</f>
        <v/>
      </c>
      <c r="AD21" s="2" t="str">
        <f>+IFERROR(RANK(E21,(E$6,E$15,E$22,E$26,E$27,E$28,E$33),0),"")</f>
        <v/>
      </c>
      <c r="AE21" s="2" t="str">
        <f>+IFERROR(RANK(F21,(F$6,F$15,F$22,F$26,F$27,F$28,F$33),0),"")</f>
        <v/>
      </c>
      <c r="AF21" s="2" t="str">
        <f>+IFERROR(RANK(G21,(G$6,G$15,G$22,G$26,G$27,G$28,G$33),0),"")</f>
        <v/>
      </c>
      <c r="AG21" s="2" t="str">
        <f>+IFERROR(RANK(H21,(H$6,H$15,H$22,H$26,H$27,H$28,H$33),0),"")</f>
        <v/>
      </c>
      <c r="AH21" s="2" t="str">
        <f>+IFERROR(RANK(I21,(I$6,I$15,I$22,I$26,I$27,I$28,I$33),0),"")</f>
        <v/>
      </c>
      <c r="AI21" s="2" t="str">
        <f>+IFERROR(RANK(J21,(J$6,J$15,J$22,J$26,J$27,J$28,J$33),0),"")</f>
        <v/>
      </c>
      <c r="AJ21" s="2" t="str">
        <f>+IFERROR(RANK(K21,(K$6,K$15,K$22,K$26,K$27,K$28,K$33),0),"")</f>
        <v/>
      </c>
      <c r="AK21" s="2" t="str">
        <f>+IFERROR(RANK(L21,(L$6,L$15,L$22,L$26,L$27,L$28,L$33),0),"")</f>
        <v/>
      </c>
    </row>
    <row r="22" spans="1:37" ht="15" customHeight="1">
      <c r="A22" s="15" t="s">
        <v>512</v>
      </c>
      <c r="B22" s="647">
        <v>26958</v>
      </c>
      <c r="C22" s="647">
        <v>27160</v>
      </c>
      <c r="D22" s="647">
        <v>27317</v>
      </c>
      <c r="E22" s="647">
        <v>27550</v>
      </c>
      <c r="F22" s="647">
        <v>27533</v>
      </c>
      <c r="G22" s="647">
        <v>26916</v>
      </c>
      <c r="H22" s="647">
        <v>26902</v>
      </c>
      <c r="I22" s="647">
        <v>26497</v>
      </c>
      <c r="J22" s="647">
        <v>27499</v>
      </c>
      <c r="K22" s="647">
        <v>28008.000000000004</v>
      </c>
      <c r="L22" s="647">
        <v>27902.999999999993</v>
      </c>
      <c r="N22" s="559">
        <f t="shared" si="5"/>
        <v>3.5054529267749546</v>
      </c>
      <c r="O22" s="419">
        <f t="shared" si="3"/>
        <v>944.99999999999272</v>
      </c>
      <c r="P22" s="559">
        <f t="shared" si="6"/>
        <v>8.4538048079878081</v>
      </c>
      <c r="Q22" s="559">
        <f t="shared" si="6"/>
        <v>8.4479004665629862</v>
      </c>
      <c r="R22" s="559">
        <f t="shared" si="6"/>
        <v>8.4069638971726484</v>
      </c>
      <c r="S22" s="559">
        <f t="shared" si="6"/>
        <v>8.417482699094089</v>
      </c>
      <c r="T22" s="559">
        <f t="shared" si="6"/>
        <v>8.3264785222640239</v>
      </c>
      <c r="U22" s="559">
        <f t="shared" si="6"/>
        <v>8.3336945550470922</v>
      </c>
      <c r="V22" s="559">
        <f t="shared" si="6"/>
        <v>8.2785828366040022</v>
      </c>
      <c r="W22" s="559">
        <f t="shared" si="6"/>
        <v>8.3257398178813151</v>
      </c>
      <c r="X22" s="559">
        <f t="shared" si="6"/>
        <v>8.2658266277507408</v>
      </c>
      <c r="Y22" s="559">
        <f t="shared" si="6"/>
        <v>8.2288373623532483</v>
      </c>
      <c r="Z22" s="559">
        <f t="shared" si="6"/>
        <v>8.2546904675971664</v>
      </c>
      <c r="AA22" s="2">
        <f>+IFERROR(RANK(B22,(B$6,B$15,B$22,B$26,B$27,B$28,B$33),0),"")</f>
        <v>4</v>
      </c>
      <c r="AB22" s="2">
        <f>+IFERROR(RANK(C22,(C$6,C$15,C$22,C$26,C$27,C$28,C$33),0),"")</f>
        <v>4</v>
      </c>
      <c r="AC22" s="2">
        <f>+IFERROR(RANK(D22,(D$6,D$15,D$22,D$26,D$27,D$28,D$33),0),"")</f>
        <v>4</v>
      </c>
      <c r="AD22" s="2">
        <f>+IFERROR(RANK(E22,(E$6,E$15,E$22,E$26,E$27,E$28,E$33),0),"")</f>
        <v>4</v>
      </c>
      <c r="AE22" s="2">
        <f>+IFERROR(RANK(F22,(F$6,F$15,F$22,F$26,F$27,F$28,F$33),0),"")</f>
        <v>4</v>
      </c>
      <c r="AF22" s="2">
        <f>+IFERROR(RANK(G22,(G$6,G$15,G$22,G$26,G$27,G$28,G$33),0),"")</f>
        <v>4</v>
      </c>
      <c r="AG22" s="2">
        <f>+IFERROR(RANK(H22,(H$6,H$15,H$22,H$26,H$27,H$28,H$33),0),"")</f>
        <v>4</v>
      </c>
      <c r="AH22" s="2">
        <f>+IFERROR(RANK(I22,(I$6,I$15,I$22,I$26,I$27,I$28,I$33),0),"")</f>
        <v>4</v>
      </c>
      <c r="AI22" s="2">
        <f>+IFERROR(RANK(J22,(J$6,J$15,J$22,J$26,J$27,J$28,J$33),0),"")</f>
        <v>4</v>
      </c>
      <c r="AJ22" s="2">
        <f>+IFERROR(RANK(K22,(K$6,K$15,K$22,K$26,K$27,K$28,K$33),0),"")</f>
        <v>4</v>
      </c>
      <c r="AK22" s="2">
        <f>+IFERROR(RANK(L22,(L$6,L$15,L$22,L$26,L$27,L$28,L$33),0),"")</f>
        <v>4</v>
      </c>
    </row>
    <row r="23" spans="1:37" ht="15" customHeight="1">
      <c r="A23" s="572" t="s">
        <v>513</v>
      </c>
      <c r="B23" s="646">
        <v>12157</v>
      </c>
      <c r="C23" s="646">
        <v>12279</v>
      </c>
      <c r="D23" s="646">
        <v>12458</v>
      </c>
      <c r="E23" s="646">
        <v>12690</v>
      </c>
      <c r="F23" s="646">
        <v>12776</v>
      </c>
      <c r="G23" s="646">
        <v>12579</v>
      </c>
      <c r="H23" s="646">
        <v>12676</v>
      </c>
      <c r="I23" s="646">
        <v>12522</v>
      </c>
      <c r="J23" s="646">
        <v>13106</v>
      </c>
      <c r="K23" s="646">
        <v>13372</v>
      </c>
      <c r="L23" s="646">
        <v>13413</v>
      </c>
      <c r="N23" s="559">
        <f t="shared" si="5"/>
        <v>10.331496257300321</v>
      </c>
      <c r="O23" s="419">
        <f t="shared" si="3"/>
        <v>1256</v>
      </c>
      <c r="P23" s="559">
        <f t="shared" si="6"/>
        <v>3.8123341883933444</v>
      </c>
      <c r="Q23" s="559">
        <f t="shared" si="6"/>
        <v>3.8192846034214618</v>
      </c>
      <c r="R23" s="559">
        <f t="shared" si="6"/>
        <v>3.8340211674406723</v>
      </c>
      <c r="S23" s="559">
        <f t="shared" si="6"/>
        <v>3.8772361325409799</v>
      </c>
      <c r="T23" s="559">
        <f t="shared" si="6"/>
        <v>3.8636940980076693</v>
      </c>
      <c r="U23" s="559">
        <f t="shared" si="6"/>
        <v>3.8946925177566274</v>
      </c>
      <c r="V23" s="559">
        <f t="shared" si="6"/>
        <v>3.9007997932046812</v>
      </c>
      <c r="W23" s="559">
        <f t="shared" si="6"/>
        <v>3.9345931237313594</v>
      </c>
      <c r="X23" s="559">
        <f t="shared" si="6"/>
        <v>3.9394859370632105</v>
      </c>
      <c r="Y23" s="559">
        <f t="shared" si="6"/>
        <v>3.9287351188727371</v>
      </c>
      <c r="Z23" s="559">
        <f t="shared" si="6"/>
        <v>3.9680379615769215</v>
      </c>
      <c r="AA23" s="2" t="str">
        <f>+IFERROR(RANK(B23,(B$6,B$15,B$22,B$26,B$27,B$28,B$33),0),"")</f>
        <v/>
      </c>
      <c r="AB23" s="2" t="str">
        <f>+IFERROR(RANK(C23,(C$6,C$15,C$22,C$26,C$27,C$28,C$33),0),"")</f>
        <v/>
      </c>
      <c r="AC23" s="2" t="str">
        <f>+IFERROR(RANK(D23,(D$6,D$15,D$22,D$26,D$27,D$28,D$33),0),"")</f>
        <v/>
      </c>
      <c r="AD23" s="2" t="str">
        <f>+IFERROR(RANK(E23,(E$6,E$15,E$22,E$26,E$27,E$28,E$33),0),"")</f>
        <v/>
      </c>
      <c r="AE23" s="2" t="str">
        <f>+IFERROR(RANK(F23,(F$6,F$15,F$22,F$26,F$27,F$28,F$33),0),"")</f>
        <v/>
      </c>
      <c r="AF23" s="2" t="str">
        <f>+IFERROR(RANK(G23,(G$6,G$15,G$22,G$26,G$27,G$28,G$33),0),"")</f>
        <v/>
      </c>
      <c r="AG23" s="2" t="str">
        <f>+IFERROR(RANK(H23,(H$6,H$15,H$22,H$26,H$27,H$28,H$33),0),"")</f>
        <v/>
      </c>
      <c r="AH23" s="2" t="str">
        <f>+IFERROR(RANK(I23,(I$6,I$15,I$22,I$26,I$27,I$28,I$33),0),"")</f>
        <v/>
      </c>
      <c r="AI23" s="2" t="str">
        <f>+IFERROR(RANK(J23,(J$6,J$15,J$22,J$26,J$27,J$28,J$33),0),"")</f>
        <v/>
      </c>
      <c r="AJ23" s="2" t="str">
        <f>+IFERROR(RANK(K23,(K$6,K$15,K$22,K$26,K$27,K$28,K$33),0),"")</f>
        <v/>
      </c>
      <c r="AK23" s="2" t="str">
        <f>+IFERROR(RANK(L23,(L$6,L$15,L$22,L$26,L$27,L$28,L$33),0),"")</f>
        <v/>
      </c>
    </row>
    <row r="24" spans="1:37" ht="15" customHeight="1">
      <c r="A24" s="572" t="s">
        <v>514</v>
      </c>
      <c r="B24" s="646">
        <v>7236</v>
      </c>
      <c r="C24" s="646">
        <v>7301</v>
      </c>
      <c r="D24" s="646">
        <v>7236</v>
      </c>
      <c r="E24" s="646">
        <v>7229</v>
      </c>
      <c r="F24" s="646">
        <v>7144</v>
      </c>
      <c r="G24" s="646">
        <v>6955</v>
      </c>
      <c r="H24" s="646">
        <v>6887</v>
      </c>
      <c r="I24" s="646">
        <v>6863</v>
      </c>
      <c r="J24" s="646">
        <v>7027</v>
      </c>
      <c r="K24" s="646">
        <v>7144</v>
      </c>
      <c r="L24" s="646">
        <v>7122</v>
      </c>
      <c r="N24" s="559">
        <f t="shared" si="5"/>
        <v>-1.5754560530679917</v>
      </c>
      <c r="O24" s="419">
        <f t="shared" si="3"/>
        <v>-114</v>
      </c>
      <c r="P24" s="559">
        <f t="shared" ref="P24:Z33" si="7">B24*100/B$5</f>
        <v>2.2691494766154676</v>
      </c>
      <c r="Q24" s="559">
        <f t="shared" si="7"/>
        <v>2.2709175738724729</v>
      </c>
      <c r="R24" s="559">
        <f t="shared" si="7"/>
        <v>2.2269206267138149</v>
      </c>
      <c r="S24" s="559">
        <f t="shared" si="7"/>
        <v>2.208710796070823</v>
      </c>
      <c r="T24" s="559">
        <f t="shared" si="7"/>
        <v>2.1604751593743572</v>
      </c>
      <c r="U24" s="559">
        <f t="shared" si="7"/>
        <v>2.1533974450272155</v>
      </c>
      <c r="V24" s="559">
        <f t="shared" si="7"/>
        <v>2.1193442865099903</v>
      </c>
      <c r="W24" s="559">
        <f t="shared" si="7"/>
        <v>2.1564536502290621</v>
      </c>
      <c r="X24" s="559">
        <f t="shared" si="7"/>
        <v>2.1122209430599099</v>
      </c>
      <c r="Y24" s="559">
        <f t="shared" si="7"/>
        <v>2.098929381485704</v>
      </c>
      <c r="Z24" s="559">
        <f t="shared" si="7"/>
        <v>2.1069385195221675</v>
      </c>
      <c r="AA24" s="2" t="str">
        <f>+IFERROR(RANK(B24,(B$6,B$15,B$22,B$26,B$27,B$28,B$33),0),"")</f>
        <v/>
      </c>
      <c r="AB24" s="2" t="str">
        <f>+IFERROR(RANK(C24,(C$6,C$15,C$22,C$26,C$27,C$28,C$33),0),"")</f>
        <v/>
      </c>
      <c r="AC24" s="2" t="str">
        <f>+IFERROR(RANK(D24,(D$6,D$15,D$22,D$26,D$27,D$28,D$33),0),"")</f>
        <v/>
      </c>
      <c r="AD24" s="2" t="str">
        <f>+IFERROR(RANK(E24,(E$6,E$15,E$22,E$26,E$27,E$28,E$33),0),"")</f>
        <v/>
      </c>
      <c r="AE24" s="2" t="str">
        <f>+IFERROR(RANK(F24,(F$6,F$15,F$22,F$26,F$27,F$28,F$33),0),"")</f>
        <v/>
      </c>
      <c r="AF24" s="2" t="str">
        <f>+IFERROR(RANK(G24,(G$6,G$15,G$22,G$26,G$27,G$28,G$33),0),"")</f>
        <v/>
      </c>
      <c r="AG24" s="2" t="str">
        <f>+IFERROR(RANK(H24,(H$6,H$15,H$22,H$26,H$27,H$28,H$33),0),"")</f>
        <v/>
      </c>
      <c r="AH24" s="2" t="str">
        <f>+IFERROR(RANK(I24,(I$6,I$15,I$22,I$26,I$27,I$28,I$33),0),"")</f>
        <v/>
      </c>
      <c r="AI24" s="2" t="str">
        <f>+IFERROR(RANK(J24,(J$6,J$15,J$22,J$26,J$27,J$28,J$33),0),"")</f>
        <v/>
      </c>
      <c r="AJ24" s="2" t="str">
        <f>+IFERROR(RANK(K24,(K$6,K$15,K$22,K$26,K$27,K$28,K$33),0),"")</f>
        <v/>
      </c>
      <c r="AK24" s="2" t="str">
        <f>+IFERROR(RANK(L24,(L$6,L$15,L$22,L$26,L$27,L$28,L$33),0),"")</f>
        <v/>
      </c>
    </row>
    <row r="25" spans="1:37" ht="15" customHeight="1">
      <c r="A25" s="572" t="s">
        <v>515</v>
      </c>
      <c r="B25" s="646">
        <v>7565</v>
      </c>
      <c r="C25" s="646">
        <v>7580</v>
      </c>
      <c r="D25" s="646">
        <v>7623</v>
      </c>
      <c r="E25" s="646">
        <v>7631</v>
      </c>
      <c r="F25" s="646">
        <v>7613</v>
      </c>
      <c r="G25" s="646">
        <v>7382</v>
      </c>
      <c r="H25" s="646">
        <v>7339</v>
      </c>
      <c r="I25" s="646">
        <v>7112</v>
      </c>
      <c r="J25" s="646">
        <v>7366</v>
      </c>
      <c r="K25" s="646">
        <v>7492.0000000000018</v>
      </c>
      <c r="L25" s="646">
        <v>7367.9999999999991</v>
      </c>
      <c r="N25" s="559">
        <f t="shared" si="5"/>
        <v>-2.6040978189028507</v>
      </c>
      <c r="O25" s="419">
        <f t="shared" si="3"/>
        <v>-197.00000000000091</v>
      </c>
      <c r="P25" s="559">
        <f t="shared" si="7"/>
        <v>2.3723211429789957</v>
      </c>
      <c r="Q25" s="559">
        <f t="shared" si="7"/>
        <v>2.3576982892690515</v>
      </c>
      <c r="R25" s="559">
        <f t="shared" si="7"/>
        <v>2.3460221030181607</v>
      </c>
      <c r="S25" s="559">
        <f t="shared" si="7"/>
        <v>2.3315357704822866</v>
      </c>
      <c r="T25" s="559">
        <f t="shared" si="7"/>
        <v>2.3023092648819965</v>
      </c>
      <c r="U25" s="559">
        <f t="shared" si="7"/>
        <v>2.2856045922632502</v>
      </c>
      <c r="V25" s="559">
        <f t="shared" si="7"/>
        <v>2.2584387568893307</v>
      </c>
      <c r="W25" s="559">
        <f t="shared" si="7"/>
        <v>2.2346930439208932</v>
      </c>
      <c r="X25" s="559">
        <f t="shared" si="7"/>
        <v>2.2141197476276213</v>
      </c>
      <c r="Y25" s="559">
        <f t="shared" si="7"/>
        <v>2.2011728619948068</v>
      </c>
      <c r="Z25" s="559">
        <f t="shared" si="7"/>
        <v>2.1797139864980806</v>
      </c>
      <c r="AA25" s="2" t="str">
        <f>+IFERROR(RANK(B25,(B$6,B$15,B$22,B$26,B$27,B$28,B$33),0),"")</f>
        <v/>
      </c>
      <c r="AB25" s="2" t="str">
        <f>+IFERROR(RANK(C25,(C$6,C$15,C$22,C$26,C$27,C$28,C$33),0),"")</f>
        <v/>
      </c>
      <c r="AC25" s="2" t="str">
        <f>+IFERROR(RANK(D25,(D$6,D$15,D$22,D$26,D$27,D$28,D$33),0),"")</f>
        <v/>
      </c>
      <c r="AD25" s="2" t="str">
        <f>+IFERROR(RANK(E25,(E$6,E$15,E$22,E$26,E$27,E$28,E$33),0),"")</f>
        <v/>
      </c>
      <c r="AE25" s="2" t="str">
        <f>+IFERROR(RANK(F25,(F$6,F$15,F$22,F$26,F$27,F$28,F$33),0),"")</f>
        <v/>
      </c>
      <c r="AF25" s="2" t="str">
        <f>+IFERROR(RANK(G25,(G$6,G$15,G$22,G$26,G$27,G$28,G$33),0),"")</f>
        <v/>
      </c>
      <c r="AG25" s="2" t="str">
        <f>+IFERROR(RANK(H25,(H$6,H$15,H$22,H$26,H$27,H$28,H$33),0),"")</f>
        <v/>
      </c>
      <c r="AH25" s="2" t="str">
        <f>+IFERROR(RANK(I25,(I$6,I$15,I$22,I$26,I$27,I$28,I$33),0),"")</f>
        <v/>
      </c>
      <c r="AI25" s="2" t="str">
        <f>+IFERROR(RANK(J25,(J$6,J$15,J$22,J$26,J$27,J$28,J$33),0),"")</f>
        <v/>
      </c>
      <c r="AJ25" s="2" t="str">
        <f>+IFERROR(RANK(K25,(K$6,K$15,K$22,K$26,K$27,K$28,K$33),0),"")</f>
        <v/>
      </c>
      <c r="AK25" s="2" t="str">
        <f>+IFERROR(RANK(L25,(L$6,L$15,L$22,L$26,L$27,L$28,L$33),0),"")</f>
        <v/>
      </c>
    </row>
    <row r="26" spans="1:37" ht="15" customHeight="1">
      <c r="A26" s="15" t="s">
        <v>516</v>
      </c>
      <c r="B26" s="647">
        <v>65289</v>
      </c>
      <c r="C26" s="647">
        <v>65847</v>
      </c>
      <c r="D26" s="647">
        <v>66220</v>
      </c>
      <c r="E26" s="647">
        <v>66764</v>
      </c>
      <c r="F26" s="647">
        <v>67989</v>
      </c>
      <c r="G26" s="647">
        <v>66115</v>
      </c>
      <c r="H26" s="647">
        <v>67101</v>
      </c>
      <c r="I26" s="647">
        <v>64927</v>
      </c>
      <c r="J26" s="647">
        <v>68270</v>
      </c>
      <c r="K26" s="647">
        <v>70103.999999999985</v>
      </c>
      <c r="L26" s="647">
        <v>69821</v>
      </c>
      <c r="N26" s="559">
        <f t="shared" si="5"/>
        <v>6.9414449601004735</v>
      </c>
      <c r="O26" s="419">
        <f t="shared" si="3"/>
        <v>4532</v>
      </c>
      <c r="P26" s="559">
        <f t="shared" si="7"/>
        <v>20.474087918566511</v>
      </c>
      <c r="Q26" s="559">
        <f t="shared" si="7"/>
        <v>20.481181959564541</v>
      </c>
      <c r="R26" s="559">
        <f t="shared" si="7"/>
        <v>20.379585945410284</v>
      </c>
      <c r="S26" s="559">
        <f t="shared" si="7"/>
        <v>20.39872286469393</v>
      </c>
      <c r="T26" s="559">
        <f t="shared" si="7"/>
        <v>20.561106608441094</v>
      </c>
      <c r="U26" s="559">
        <f t="shared" si="7"/>
        <v>20.470434518759792</v>
      </c>
      <c r="V26" s="559">
        <f t="shared" si="7"/>
        <v>20.6490664976197</v>
      </c>
      <c r="W26" s="559">
        <f t="shared" si="7"/>
        <v>20.401000458753071</v>
      </c>
      <c r="X26" s="559">
        <f t="shared" si="7"/>
        <v>20.521036542294016</v>
      </c>
      <c r="Y26" s="559">
        <f t="shared" si="7"/>
        <v>20.596772866695652</v>
      </c>
      <c r="Z26" s="559">
        <f t="shared" si="7"/>
        <v>20.655511706200123</v>
      </c>
      <c r="AA26" s="2">
        <f>+IFERROR(RANK(B26,(B$6,B$15,B$22,B$26,B$27,B$28,B$33),0),"")</f>
        <v>2</v>
      </c>
      <c r="AB26" s="2">
        <f>+IFERROR(RANK(C26,(C$6,C$15,C$22,C$26,C$27,C$28,C$33),0),"")</f>
        <v>2</v>
      </c>
      <c r="AC26" s="2">
        <f>+IFERROR(RANK(D26,(D$6,D$15,D$22,D$26,D$27,D$28,D$33),0),"")</f>
        <v>2</v>
      </c>
      <c r="AD26" s="2">
        <f>+IFERROR(RANK(E26,(E$6,E$15,E$22,E$26,E$27,E$28,E$33),0),"")</f>
        <v>2</v>
      </c>
      <c r="AE26" s="2">
        <f>+IFERROR(RANK(F26,(F$6,F$15,F$22,F$26,F$27,F$28,F$33),0),"")</f>
        <v>2</v>
      </c>
      <c r="AF26" s="2">
        <f>+IFERROR(RANK(G26,(G$6,G$15,G$22,G$26,G$27,G$28,G$33),0),"")</f>
        <v>2</v>
      </c>
      <c r="AG26" s="2">
        <f>+IFERROR(RANK(H26,(H$6,H$15,H$22,H$26,H$27,H$28,H$33),0),"")</f>
        <v>2</v>
      </c>
      <c r="AH26" s="2">
        <f>+IFERROR(RANK(I26,(I$6,I$15,I$22,I$26,I$27,I$28,I$33),0),"")</f>
        <v>2</v>
      </c>
      <c r="AI26" s="2">
        <f>+IFERROR(RANK(J26,(J$6,J$15,J$22,J$26,J$27,J$28,J$33),0),"")</f>
        <v>2</v>
      </c>
      <c r="AJ26" s="2">
        <f>+IFERROR(RANK(K26,(K$6,K$15,K$22,K$26,K$27,K$28,K$33),0),"")</f>
        <v>2</v>
      </c>
      <c r="AK26" s="2">
        <f>+IFERROR(RANK(L26,(L$6,L$15,L$22,L$26,L$27,L$28,L$33),0),"")</f>
        <v>2</v>
      </c>
    </row>
    <row r="27" spans="1:37" ht="15" customHeight="1">
      <c r="A27" s="15" t="s">
        <v>517</v>
      </c>
      <c r="B27" s="647">
        <v>16417</v>
      </c>
      <c r="C27" s="647">
        <v>16509</v>
      </c>
      <c r="D27" s="647">
        <v>16639</v>
      </c>
      <c r="E27" s="647">
        <v>16803</v>
      </c>
      <c r="F27" s="647">
        <v>16960</v>
      </c>
      <c r="G27" s="647">
        <v>16656</v>
      </c>
      <c r="H27" s="647">
        <v>17101</v>
      </c>
      <c r="I27" s="647">
        <v>16860</v>
      </c>
      <c r="J27" s="647">
        <v>17786</v>
      </c>
      <c r="K27" s="647">
        <v>18085</v>
      </c>
      <c r="L27" s="647">
        <v>18128</v>
      </c>
      <c r="N27" s="559">
        <f t="shared" si="5"/>
        <v>10.422123408661754</v>
      </c>
      <c r="O27" s="419">
        <f t="shared" si="3"/>
        <v>1711</v>
      </c>
      <c r="P27" s="559">
        <f t="shared" si="7"/>
        <v>5.1482347923709417</v>
      </c>
      <c r="Q27" s="559">
        <f t="shared" si="7"/>
        <v>5.134992223950233</v>
      </c>
      <c r="R27" s="559">
        <f t="shared" si="7"/>
        <v>5.1207479695814211</v>
      </c>
      <c r="S27" s="559">
        <f t="shared" si="7"/>
        <v>5.1339006095418505</v>
      </c>
      <c r="T27" s="559">
        <f t="shared" si="7"/>
        <v>5.1290115765662234</v>
      </c>
      <c r="U27" s="559">
        <f t="shared" si="7"/>
        <v>5.1570075980407335</v>
      </c>
      <c r="V27" s="559">
        <f t="shared" si="7"/>
        <v>5.2625100397280891</v>
      </c>
      <c r="W27" s="559">
        <f t="shared" si="7"/>
        <v>5.2976553319047053</v>
      </c>
      <c r="X27" s="559">
        <f t="shared" si="7"/>
        <v>5.346230495697105</v>
      </c>
      <c r="Y27" s="559">
        <f t="shared" si="7"/>
        <v>5.3134291523192827</v>
      </c>
      <c r="Z27" s="559">
        <f t="shared" si="7"/>
        <v>5.3629010786152564</v>
      </c>
      <c r="AA27" s="2">
        <f>+IFERROR(RANK(B27,(B$6,B$15,B$22,B$26,B$27,B$28,B$33),0),"")</f>
        <v>7</v>
      </c>
      <c r="AB27" s="2">
        <f>+IFERROR(RANK(C27,(C$6,C$15,C$22,C$26,C$27,C$28,C$33),0),"")</f>
        <v>7</v>
      </c>
      <c r="AC27" s="2">
        <f>+IFERROR(RANK(D27,(D$6,D$15,D$22,D$26,D$27,D$28,D$33),0),"")</f>
        <v>7</v>
      </c>
      <c r="AD27" s="2">
        <f>+IFERROR(RANK(E27,(E$6,E$15,E$22,E$26,E$27,E$28,E$33),0),"")</f>
        <v>7</v>
      </c>
      <c r="AE27" s="2">
        <f>+IFERROR(RANK(F27,(F$6,F$15,F$22,F$26,F$27,F$28,F$33),0),"")</f>
        <v>6</v>
      </c>
      <c r="AF27" s="2">
        <f>+IFERROR(RANK(G27,(G$6,G$15,G$22,G$26,G$27,G$28,G$33),0),"")</f>
        <v>6</v>
      </c>
      <c r="AG27" s="2">
        <f>+IFERROR(RANK(H27,(H$6,H$15,H$22,H$26,H$27,H$28,H$33),0),"")</f>
        <v>6</v>
      </c>
      <c r="AH27" s="2">
        <f>+IFERROR(RANK(I27,(I$6,I$15,I$22,I$26,I$27,I$28,I$33),0),"")</f>
        <v>6</v>
      </c>
      <c r="AI27" s="2">
        <f>+IFERROR(RANK(J27,(J$6,J$15,J$22,J$26,J$27,J$28,J$33),0),"")</f>
        <v>6</v>
      </c>
      <c r="AJ27" s="2">
        <f>+IFERROR(RANK(K27,(K$6,K$15,K$22,K$26,K$27,K$28,K$33),0),"")</f>
        <v>6</v>
      </c>
      <c r="AK27" s="2">
        <f>+IFERROR(RANK(L27,(L$6,L$15,L$22,L$26,L$27,L$28,L$33),0),"")</f>
        <v>6</v>
      </c>
    </row>
    <row r="28" spans="1:37" ht="15" customHeight="1">
      <c r="A28" s="15" t="s">
        <v>518</v>
      </c>
      <c r="B28" s="647">
        <v>16818</v>
      </c>
      <c r="C28" s="647">
        <v>16844</v>
      </c>
      <c r="D28" s="647">
        <v>16907</v>
      </c>
      <c r="E28" s="647">
        <v>16939</v>
      </c>
      <c r="F28" s="647">
        <v>16868</v>
      </c>
      <c r="G28" s="647">
        <v>16454</v>
      </c>
      <c r="H28" s="647">
        <v>16561</v>
      </c>
      <c r="I28" s="647">
        <v>16084</v>
      </c>
      <c r="J28" s="647">
        <v>17115</v>
      </c>
      <c r="K28" s="647">
        <v>17511.000000000004</v>
      </c>
      <c r="L28" s="647">
        <v>17352.000000000004</v>
      </c>
      <c r="N28" s="559">
        <f t="shared" si="5"/>
        <v>3.1751694612915049</v>
      </c>
      <c r="O28" s="419">
        <f t="shared" si="3"/>
        <v>534.00000000000364</v>
      </c>
      <c r="P28" s="559">
        <f t="shared" si="7"/>
        <v>5.273985060491837</v>
      </c>
      <c r="Q28" s="559">
        <f t="shared" si="7"/>
        <v>5.2391912908242615</v>
      </c>
      <c r="R28" s="559">
        <f t="shared" si="7"/>
        <v>5.2032265113115628</v>
      </c>
      <c r="S28" s="559">
        <f t="shared" si="7"/>
        <v>5.1754533372034404</v>
      </c>
      <c r="T28" s="559">
        <f t="shared" si="7"/>
        <v>5.1011891081084348</v>
      </c>
      <c r="U28" s="559">
        <f t="shared" si="7"/>
        <v>5.094464638458347</v>
      </c>
      <c r="V28" s="559">
        <f t="shared" si="7"/>
        <v>5.0963352299828593</v>
      </c>
      <c r="W28" s="559">
        <f t="shared" si="7"/>
        <v>5.0538249322867896</v>
      </c>
      <c r="X28" s="559">
        <f t="shared" si="7"/>
        <v>5.1445369916707495</v>
      </c>
      <c r="Y28" s="559">
        <f t="shared" si="7"/>
        <v>5.1447861701002475</v>
      </c>
      <c r="Z28" s="559">
        <f t="shared" si="7"/>
        <v>5.1333329388863609</v>
      </c>
      <c r="AA28" s="2">
        <f>+IFERROR(RANK(B28,(B$6,B$15,B$22,B$26,B$27,B$28,B$33),0),"")</f>
        <v>6</v>
      </c>
      <c r="AB28" s="2">
        <f>+IFERROR(RANK(C28,(C$6,C$15,C$22,C$26,C$27,C$28,C$33),0),"")</f>
        <v>6</v>
      </c>
      <c r="AC28" s="2">
        <f>+IFERROR(RANK(D28,(D$6,D$15,D$22,D$26,D$27,D$28,D$33),0),"")</f>
        <v>6</v>
      </c>
      <c r="AD28" s="2">
        <f>+IFERROR(RANK(E28,(E$6,E$15,E$22,E$26,E$27,E$28,E$33),0),"")</f>
        <v>6</v>
      </c>
      <c r="AE28" s="2">
        <f>+IFERROR(RANK(F28,(F$6,F$15,F$22,F$26,F$27,F$28,F$33),0),"")</f>
        <v>7</v>
      </c>
      <c r="AF28" s="2">
        <f>+IFERROR(RANK(G28,(G$6,G$15,G$22,G$26,G$27,G$28,G$33),0),"")</f>
        <v>7</v>
      </c>
      <c r="AG28" s="2">
        <f>+IFERROR(RANK(H28,(H$6,H$15,H$22,H$26,H$27,H$28,H$33),0),"")</f>
        <v>7</v>
      </c>
      <c r="AH28" s="2">
        <f>+IFERROR(RANK(I28,(I$6,I$15,I$22,I$26,I$27,I$28,I$33),0),"")</f>
        <v>7</v>
      </c>
      <c r="AI28" s="2">
        <f>+IFERROR(RANK(J28,(J$6,J$15,J$22,J$26,J$27,J$28,J$33),0),"")</f>
        <v>7</v>
      </c>
      <c r="AJ28" s="2">
        <f>+IFERROR(RANK(K28,(K$6,K$15,K$22,K$26,K$27,K$28,K$33),0),"")</f>
        <v>7</v>
      </c>
      <c r="AK28" s="2">
        <f>+IFERROR(RANK(L28,(L$6,L$15,L$22,L$26,L$27,L$28,L$33),0),"")</f>
        <v>7</v>
      </c>
    </row>
    <row r="29" spans="1:37" ht="15" customHeight="1">
      <c r="A29" s="572" t="s">
        <v>519</v>
      </c>
      <c r="B29" s="646">
        <v>3079</v>
      </c>
      <c r="C29" s="646">
        <v>3085</v>
      </c>
      <c r="D29" s="646">
        <v>3145</v>
      </c>
      <c r="E29" s="646">
        <v>3176</v>
      </c>
      <c r="F29" s="646">
        <v>3187</v>
      </c>
      <c r="G29" s="646">
        <v>3177</v>
      </c>
      <c r="H29" s="646">
        <v>3249</v>
      </c>
      <c r="I29" s="646">
        <v>3219</v>
      </c>
      <c r="J29" s="646">
        <v>3368</v>
      </c>
      <c r="K29" s="646">
        <v>3451</v>
      </c>
      <c r="L29" s="646">
        <v>3421</v>
      </c>
      <c r="N29" s="559">
        <f t="shared" si="5"/>
        <v>11.107502435855787</v>
      </c>
      <c r="O29" s="419">
        <f t="shared" si="3"/>
        <v>342</v>
      </c>
      <c r="P29" s="559">
        <f t="shared" si="7"/>
        <v>0.96554881681854954</v>
      </c>
      <c r="Q29" s="559">
        <f t="shared" si="7"/>
        <v>0.95956454121306378</v>
      </c>
      <c r="R29" s="559">
        <f t="shared" si="7"/>
        <v>0.96789184231826253</v>
      </c>
      <c r="S29" s="559">
        <f t="shared" si="7"/>
        <v>0.97037840480300641</v>
      </c>
      <c r="T29" s="559">
        <f t="shared" si="7"/>
        <v>0.96380659755404208</v>
      </c>
      <c r="U29" s="559">
        <f t="shared" si="7"/>
        <v>0.98365832966951305</v>
      </c>
      <c r="V29" s="559">
        <f t="shared" si="7"/>
        <v>0.99981843863379682</v>
      </c>
      <c r="W29" s="559">
        <f t="shared" si="7"/>
        <v>1.011456258208852</v>
      </c>
      <c r="X29" s="559">
        <f t="shared" si="7"/>
        <v>1.0123751439057602</v>
      </c>
      <c r="Y29" s="559">
        <f t="shared" si="7"/>
        <v>1.0139145150485953</v>
      </c>
      <c r="Z29" s="559">
        <f t="shared" si="7"/>
        <v>1.0120523273357673</v>
      </c>
      <c r="AA29" s="2" t="str">
        <f>+IFERROR(RANK(B29,(B$6,B$15,B$22,B$26,B$27,B$28,B$33),0),"")</f>
        <v/>
      </c>
      <c r="AB29" s="2" t="str">
        <f>+IFERROR(RANK(C29,(C$6,C$15,C$22,C$26,C$27,C$28,C$33),0),"")</f>
        <v/>
      </c>
      <c r="AC29" s="2" t="str">
        <f>+IFERROR(RANK(D29,(D$6,D$15,D$22,D$26,D$27,D$28,D$33),0),"")</f>
        <v/>
      </c>
      <c r="AD29" s="2" t="str">
        <f>+IFERROR(RANK(E29,(E$6,E$15,E$22,E$26,E$27,E$28,E$33),0),"")</f>
        <v/>
      </c>
      <c r="AE29" s="2" t="str">
        <f>+IFERROR(RANK(F29,(F$6,F$15,F$22,F$26,F$27,F$28,F$33),0),"")</f>
        <v/>
      </c>
      <c r="AF29" s="2" t="str">
        <f>+IFERROR(RANK(G29,(G$6,G$15,G$22,G$26,G$27,G$28,G$33),0),"")</f>
        <v/>
      </c>
      <c r="AG29" s="2" t="str">
        <f>+IFERROR(RANK(H29,(H$6,H$15,H$22,H$26,H$27,H$28,H$33),0),"")</f>
        <v/>
      </c>
      <c r="AH29" s="2" t="str">
        <f>+IFERROR(RANK(I29,(I$6,I$15,I$22,I$26,I$27,I$28,I$33),0),"")</f>
        <v/>
      </c>
      <c r="AI29" s="2" t="str">
        <f>+IFERROR(RANK(J29,(J$6,J$15,J$22,J$26,J$27,J$28,J$33),0),"")</f>
        <v/>
      </c>
      <c r="AJ29" s="2" t="str">
        <f>+IFERROR(RANK(K29,(K$6,K$15,K$22,K$26,K$27,K$28,K$33),0),"")</f>
        <v/>
      </c>
      <c r="AK29" s="2" t="str">
        <f>+IFERROR(RANK(L29,(L$6,L$15,L$22,L$26,L$27,L$28,L$33),0),"")</f>
        <v/>
      </c>
    </row>
    <row r="30" spans="1:37" ht="15" customHeight="1">
      <c r="A30" s="572" t="s">
        <v>520</v>
      </c>
      <c r="B30" s="646">
        <v>4090</v>
      </c>
      <c r="C30" s="646">
        <v>4123</v>
      </c>
      <c r="D30" s="646">
        <v>4152</v>
      </c>
      <c r="E30" s="646">
        <v>4217</v>
      </c>
      <c r="F30" s="646">
        <v>4208</v>
      </c>
      <c r="G30" s="646">
        <v>4100</v>
      </c>
      <c r="H30" s="646">
        <v>4108</v>
      </c>
      <c r="I30" s="646">
        <v>4065</v>
      </c>
      <c r="J30" s="646">
        <v>4263</v>
      </c>
      <c r="K30" s="646">
        <v>4493</v>
      </c>
      <c r="L30" s="646">
        <v>4522</v>
      </c>
      <c r="N30" s="559">
        <f t="shared" si="5"/>
        <v>10.562347188264054</v>
      </c>
      <c r="O30" s="419">
        <f t="shared" si="3"/>
        <v>432</v>
      </c>
      <c r="P30" s="559">
        <f t="shared" si="7"/>
        <v>1.2825900164949229</v>
      </c>
      <c r="Q30" s="559">
        <f t="shared" si="7"/>
        <v>1.2824261275272162</v>
      </c>
      <c r="R30" s="559">
        <f t="shared" si="7"/>
        <v>1.2778018853117412</v>
      </c>
      <c r="S30" s="559">
        <f t="shared" si="7"/>
        <v>1.2884400922714982</v>
      </c>
      <c r="T30" s="559">
        <f t="shared" si="7"/>
        <v>1.2725755138084121</v>
      </c>
      <c r="U30" s="559">
        <f t="shared" si="7"/>
        <v>1.2694363083553679</v>
      </c>
      <c r="V30" s="559">
        <f t="shared" si="7"/>
        <v>1.2641594785803747</v>
      </c>
      <c r="W30" s="559">
        <f t="shared" si="7"/>
        <v>1.2772816681015793</v>
      </c>
      <c r="X30" s="559">
        <f t="shared" si="7"/>
        <v>1.2814000114222848</v>
      </c>
      <c r="Y30" s="559">
        <f t="shared" si="7"/>
        <v>1.3200573503660789</v>
      </c>
      <c r="Z30" s="559">
        <f t="shared" si="7"/>
        <v>1.33776691733772</v>
      </c>
      <c r="AA30" s="2" t="str">
        <f>+IFERROR(RANK(B30,(B$6,B$15,B$22,B$26,B$27,B$28,B$33),0),"")</f>
        <v/>
      </c>
      <c r="AB30" s="2" t="str">
        <f>+IFERROR(RANK(C30,(C$6,C$15,C$22,C$26,C$27,C$28,C$33),0),"")</f>
        <v/>
      </c>
      <c r="AC30" s="2" t="str">
        <f>+IFERROR(RANK(D30,(D$6,D$15,D$22,D$26,D$27,D$28,D$33),0),"")</f>
        <v/>
      </c>
      <c r="AD30" s="2" t="str">
        <f>+IFERROR(RANK(E30,(E$6,E$15,E$22,E$26,E$27,E$28,E$33),0),"")</f>
        <v/>
      </c>
      <c r="AE30" s="2" t="str">
        <f>+IFERROR(RANK(F30,(F$6,F$15,F$22,F$26,F$27,F$28,F$33),0),"")</f>
        <v/>
      </c>
      <c r="AF30" s="2" t="str">
        <f>+IFERROR(RANK(G30,(G$6,G$15,G$22,G$26,G$27,G$28,G$33),0),"")</f>
        <v/>
      </c>
      <c r="AG30" s="2" t="str">
        <f>+IFERROR(RANK(H30,(H$6,H$15,H$22,H$26,H$27,H$28,H$33),0),"")</f>
        <v/>
      </c>
      <c r="AH30" s="2" t="str">
        <f>+IFERROR(RANK(I30,(I$6,I$15,I$22,I$26,I$27,I$28,I$33),0),"")</f>
        <v/>
      </c>
      <c r="AI30" s="2" t="str">
        <f>+IFERROR(RANK(J30,(J$6,J$15,J$22,J$26,J$27,J$28,J$33),0),"")</f>
        <v/>
      </c>
      <c r="AJ30" s="2" t="str">
        <f>+IFERROR(RANK(K30,(K$6,K$15,K$22,K$26,K$27,K$28,K$33),0),"")</f>
        <v/>
      </c>
      <c r="AK30" s="2" t="str">
        <f>+IFERROR(RANK(L30,(L$6,L$15,L$22,L$26,L$27,L$28,L$33),0),"")</f>
        <v/>
      </c>
    </row>
    <row r="31" spans="1:37" ht="15" customHeight="1">
      <c r="A31" s="572" t="s">
        <v>521</v>
      </c>
      <c r="B31" s="646">
        <v>3518</v>
      </c>
      <c r="C31" s="646">
        <v>3504</v>
      </c>
      <c r="D31" s="646">
        <v>3523</v>
      </c>
      <c r="E31" s="646">
        <v>3473</v>
      </c>
      <c r="F31" s="646">
        <v>3444</v>
      </c>
      <c r="G31" s="646">
        <v>3298</v>
      </c>
      <c r="H31" s="646">
        <v>3302</v>
      </c>
      <c r="I31" s="646">
        <v>3192</v>
      </c>
      <c r="J31" s="646">
        <v>3433</v>
      </c>
      <c r="K31" s="646">
        <v>3430.0000000000005</v>
      </c>
      <c r="L31" s="646">
        <v>3351.0000000000005</v>
      </c>
      <c r="N31" s="559">
        <f t="shared" si="5"/>
        <v>-4.7470153496304572</v>
      </c>
      <c r="O31" s="419">
        <f t="shared" si="3"/>
        <v>-166.99999999999955</v>
      </c>
      <c r="P31" s="559">
        <f t="shared" si="7"/>
        <v>1.1032155692002785</v>
      </c>
      <c r="Q31" s="559">
        <f t="shared" si="7"/>
        <v>1.0898911353032659</v>
      </c>
      <c r="R31" s="559">
        <f t="shared" si="7"/>
        <v>1.0842235168480887</v>
      </c>
      <c r="S31" s="559">
        <f t="shared" si="7"/>
        <v>1.0611222291816251</v>
      </c>
      <c r="T31" s="559">
        <f t="shared" si="7"/>
        <v>1.0415280583546034</v>
      </c>
      <c r="U31" s="559">
        <f t="shared" si="7"/>
        <v>1.0211221816965861</v>
      </c>
      <c r="V31" s="559">
        <f t="shared" si="7"/>
        <v>1.016128188479162</v>
      </c>
      <c r="W31" s="559">
        <f t="shared" si="7"/>
        <v>1.0029724685314245</v>
      </c>
      <c r="X31" s="559">
        <f t="shared" si="7"/>
        <v>1.0319132627756753</v>
      </c>
      <c r="Y31" s="559">
        <f t="shared" si="7"/>
        <v>1.0077446498454599</v>
      </c>
      <c r="Z31" s="559">
        <f t="shared" si="7"/>
        <v>0.99134386112310935</v>
      </c>
      <c r="AA31" s="2" t="str">
        <f>+IFERROR(RANK(B31,(B$6,B$15,B$22,B$26,B$27,B$28,B$33),0),"")</f>
        <v/>
      </c>
      <c r="AB31" s="2" t="str">
        <f>+IFERROR(RANK(C31,(C$6,C$15,C$22,C$26,C$27,C$28,C$33),0),"")</f>
        <v/>
      </c>
      <c r="AC31" s="2" t="str">
        <f>+IFERROR(RANK(D31,(D$6,D$15,D$22,D$26,D$27,D$28,D$33),0),"")</f>
        <v/>
      </c>
      <c r="AD31" s="2" t="str">
        <f>+IFERROR(RANK(E31,(E$6,E$15,E$22,E$26,E$27,E$28,E$33),0),"")</f>
        <v/>
      </c>
      <c r="AE31" s="2" t="str">
        <f>+IFERROR(RANK(F31,(F$6,F$15,F$22,F$26,F$27,F$28,F$33),0),"")</f>
        <v/>
      </c>
      <c r="AF31" s="2" t="str">
        <f>+IFERROR(RANK(G31,(G$6,G$15,G$22,G$26,G$27,G$28,G$33),0),"")</f>
        <v/>
      </c>
      <c r="AG31" s="2" t="str">
        <f>+IFERROR(RANK(H31,(H$6,H$15,H$22,H$26,H$27,H$28,H$33),0),"")</f>
        <v/>
      </c>
      <c r="AH31" s="2" t="str">
        <f>+IFERROR(RANK(I31,(I$6,I$15,I$22,I$26,I$27,I$28,I$33),0),"")</f>
        <v/>
      </c>
      <c r="AI31" s="2" t="str">
        <f>+IFERROR(RANK(J31,(J$6,J$15,J$22,J$26,J$27,J$28,J$33),0),"")</f>
        <v/>
      </c>
      <c r="AJ31" s="2" t="str">
        <f>+IFERROR(RANK(K31,(K$6,K$15,K$22,K$26,K$27,K$28,K$33),0),"")</f>
        <v/>
      </c>
      <c r="AK31" s="2" t="str">
        <f>+IFERROR(RANK(L31,(L$6,L$15,L$22,L$26,L$27,L$28,L$33),0),"")</f>
        <v/>
      </c>
    </row>
    <row r="32" spans="1:37" ht="15" customHeight="1">
      <c r="A32" s="572" t="s">
        <v>522</v>
      </c>
      <c r="B32" s="646">
        <v>6131</v>
      </c>
      <c r="C32" s="646">
        <v>6132</v>
      </c>
      <c r="D32" s="646">
        <v>6087</v>
      </c>
      <c r="E32" s="646">
        <v>6073</v>
      </c>
      <c r="F32" s="646">
        <v>6029</v>
      </c>
      <c r="G32" s="646">
        <v>5879</v>
      </c>
      <c r="H32" s="646">
        <v>5902</v>
      </c>
      <c r="I32" s="646">
        <v>5608</v>
      </c>
      <c r="J32" s="646">
        <v>6051</v>
      </c>
      <c r="K32" s="646">
        <v>6137</v>
      </c>
      <c r="L32" s="646">
        <v>6058</v>
      </c>
      <c r="N32" s="559">
        <f t="shared" si="5"/>
        <v>-1.1906703637253324</v>
      </c>
      <c r="O32" s="419">
        <f t="shared" si="3"/>
        <v>-73</v>
      </c>
      <c r="P32" s="559">
        <f t="shared" si="7"/>
        <v>1.9226306579780863</v>
      </c>
      <c r="Q32" s="559">
        <f t="shared" si="7"/>
        <v>1.9073094867807154</v>
      </c>
      <c r="R32" s="559">
        <f t="shared" si="7"/>
        <v>1.8733092668334703</v>
      </c>
      <c r="S32" s="559">
        <f t="shared" si="7"/>
        <v>1.8555126109473106</v>
      </c>
      <c r="T32" s="559">
        <f t="shared" si="7"/>
        <v>1.8232789383913774</v>
      </c>
      <c r="U32" s="559">
        <f t="shared" si="7"/>
        <v>1.82024781873688</v>
      </c>
      <c r="V32" s="559">
        <f t="shared" si="7"/>
        <v>1.8162291242895257</v>
      </c>
      <c r="W32" s="559">
        <f t="shared" si="7"/>
        <v>1.7621145374449338</v>
      </c>
      <c r="X32" s="559">
        <f t="shared" si="7"/>
        <v>1.8188485735670292</v>
      </c>
      <c r="Y32" s="559">
        <f t="shared" si="7"/>
        <v>1.8030696548401126</v>
      </c>
      <c r="Z32" s="559">
        <f t="shared" si="7"/>
        <v>1.7921698330897629</v>
      </c>
      <c r="AA32" s="2" t="str">
        <f>+IFERROR(RANK(B32,(B$6,B$15,B$22,B$26,B$27,B$28,B$33),0),"")</f>
        <v/>
      </c>
      <c r="AB32" s="2" t="str">
        <f>+IFERROR(RANK(C32,(C$6,C$15,C$22,C$26,C$27,C$28,C$33),0),"")</f>
        <v/>
      </c>
      <c r="AC32" s="2" t="str">
        <f>+IFERROR(RANK(D32,(D$6,D$15,D$22,D$26,D$27,D$28,D$33),0),"")</f>
        <v/>
      </c>
      <c r="AD32" s="2" t="str">
        <f>+IFERROR(RANK(E32,(E$6,E$15,E$22,E$26,E$27,E$28,E$33),0),"")</f>
        <v/>
      </c>
      <c r="AE32" s="2" t="str">
        <f>+IFERROR(RANK(F32,(F$6,F$15,F$22,F$26,F$27,F$28,F$33),0),"")</f>
        <v/>
      </c>
      <c r="AF32" s="2" t="str">
        <f>+IFERROR(RANK(G32,(G$6,G$15,G$22,G$26,G$27,G$28,G$33),0),"")</f>
        <v/>
      </c>
      <c r="AG32" s="2" t="str">
        <f>+IFERROR(RANK(H32,(H$6,H$15,H$22,H$26,H$27,H$28,H$33),0),"")</f>
        <v/>
      </c>
      <c r="AH32" s="2" t="str">
        <f>+IFERROR(RANK(I32,(I$6,I$15,I$22,I$26,I$27,I$28,I$33),0),"")</f>
        <v/>
      </c>
      <c r="AI32" s="2" t="str">
        <f>+IFERROR(RANK(J32,(J$6,J$15,J$22,J$26,J$27,J$28,J$33),0),"")</f>
        <v/>
      </c>
      <c r="AJ32" s="2" t="str">
        <f>+IFERROR(RANK(K32,(K$6,K$15,K$22,K$26,K$27,K$28,K$33),0),"")</f>
        <v/>
      </c>
      <c r="AK32" s="2" t="str">
        <f>+IFERROR(RANK(L32,(L$6,L$15,L$22,L$26,L$27,L$28,L$33),0),"")</f>
        <v/>
      </c>
    </row>
    <row r="33" spans="1:37" s="18" customFormat="1" ht="15" customHeight="1">
      <c r="A33" s="17" t="s">
        <v>523</v>
      </c>
      <c r="B33" s="648">
        <v>19056</v>
      </c>
      <c r="C33" s="648">
        <v>19415</v>
      </c>
      <c r="D33" s="648">
        <v>19902</v>
      </c>
      <c r="E33" s="648">
        <v>20073</v>
      </c>
      <c r="F33" s="648">
        <v>20768</v>
      </c>
      <c r="G33" s="648">
        <v>20888</v>
      </c>
      <c r="H33" s="648">
        <v>20366</v>
      </c>
      <c r="I33" s="648">
        <v>19836</v>
      </c>
      <c r="J33" s="648">
        <v>20699</v>
      </c>
      <c r="K33" s="648">
        <v>22034</v>
      </c>
      <c r="L33" s="648">
        <v>21958.999999999996</v>
      </c>
      <c r="N33" s="559">
        <f t="shared" si="5"/>
        <v>15.234047019311481</v>
      </c>
      <c r="O33" s="419">
        <f t="shared" si="3"/>
        <v>2902.9999999999964</v>
      </c>
      <c r="P33" s="559">
        <f t="shared" si="7"/>
        <v>5.9758032651166877</v>
      </c>
      <c r="Q33" s="559">
        <f t="shared" si="7"/>
        <v>6.0388802488335926</v>
      </c>
      <c r="R33" s="559">
        <f t="shared" si="7"/>
        <v>6.1249549907211644</v>
      </c>
      <c r="S33" s="559">
        <f t="shared" si="7"/>
        <v>6.1329992819933086</v>
      </c>
      <c r="T33" s="559">
        <f t="shared" si="7"/>
        <v>6.280619836210338</v>
      </c>
      <c r="U33" s="559">
        <f t="shared" si="7"/>
        <v>6.4673135631529082</v>
      </c>
      <c r="V33" s="559">
        <f t="shared" si="7"/>
        <v>6.2672521764284106</v>
      </c>
      <c r="W33" s="559">
        <f t="shared" si="7"/>
        <v>6.2327574830167096</v>
      </c>
      <c r="X33" s="559">
        <f t="shared" si="7"/>
        <v>6.2218388075134587</v>
      </c>
      <c r="Y33" s="559">
        <f t="shared" si="7"/>
        <v>6.4736576136136614</v>
      </c>
      <c r="Z33" s="559">
        <f t="shared" si="7"/>
        <v>6.4962458509108778</v>
      </c>
      <c r="AA33" s="2">
        <f>+IFERROR(RANK(B33,(B$6,B$15,B$22,B$26,B$27,B$28,B$33),0),"")</f>
        <v>5</v>
      </c>
      <c r="AB33" s="2">
        <f>+IFERROR(RANK(C33,(C$6,C$15,C$22,C$26,C$27,C$28,C$33),0),"")</f>
        <v>5</v>
      </c>
      <c r="AC33" s="2">
        <f>+IFERROR(RANK(D33,(D$6,D$15,D$22,D$26,D$27,D$28,D$33),0),"")</f>
        <v>5</v>
      </c>
      <c r="AD33" s="2">
        <f>+IFERROR(RANK(E33,(E$6,E$15,E$22,E$26,E$27,E$28,E$33),0),"")</f>
        <v>5</v>
      </c>
      <c r="AE33" s="2">
        <f>+IFERROR(RANK(F33,(F$6,F$15,F$22,F$26,F$27,F$28,F$33),0),"")</f>
        <v>5</v>
      </c>
      <c r="AF33" s="2">
        <f>+IFERROR(RANK(G33,(G$6,G$15,G$22,G$26,G$27,G$28,G$33),0),"")</f>
        <v>5</v>
      </c>
      <c r="AG33" s="2">
        <f>+IFERROR(RANK(H33,(H$6,H$15,H$22,H$26,H$27,H$28,H$33),0),"")</f>
        <v>5</v>
      </c>
      <c r="AH33" s="2">
        <f>+IFERROR(RANK(I33,(I$6,I$15,I$22,I$26,I$27,I$28,I$33),0),"")</f>
        <v>5</v>
      </c>
      <c r="AI33" s="2">
        <f>+IFERROR(RANK(J33,(J$6,J$15,J$22,J$26,J$27,J$28,J$33),0),"")</f>
        <v>5</v>
      </c>
      <c r="AJ33" s="2">
        <f>+IFERROR(RANK(K33,(K$6,K$15,K$22,K$26,K$27,K$28,K$33),0),"")</f>
        <v>5</v>
      </c>
      <c r="AK33" s="2">
        <f>+IFERROR(RANK(L33,(L$6,L$15,L$22,L$26,L$27,L$28,L$33),0),"")</f>
        <v>5</v>
      </c>
    </row>
    <row r="34" spans="1:37" ht="15" customHeight="1">
      <c r="A34" s="19" t="s">
        <v>769</v>
      </c>
      <c r="C34" s="16"/>
      <c r="D34" s="16"/>
      <c r="E34" s="16"/>
      <c r="F34" s="16"/>
      <c r="G34" s="16"/>
      <c r="H34" s="16"/>
      <c r="I34" s="16"/>
      <c r="J34" s="16"/>
      <c r="K34" s="16"/>
      <c r="L34" s="16"/>
    </row>
  </sheetData>
  <mergeCells count="1">
    <mergeCell ref="A1:L1"/>
  </mergeCells>
  <conditionalFormatting sqref="C34:D34 B5:L6">
    <cfRule type="cellIs" dxfId="2207" priority="17" operator="equal">
      <formula>0</formula>
    </cfRule>
  </conditionalFormatting>
  <conditionalFormatting sqref="E34">
    <cfRule type="cellIs" dxfId="2206" priority="16" operator="equal">
      <formula>0</formula>
    </cfRule>
  </conditionalFormatting>
  <conditionalFormatting sqref="H34">
    <cfRule type="cellIs" dxfId="2205" priority="15" operator="equal">
      <formula>0</formula>
    </cfRule>
  </conditionalFormatting>
  <conditionalFormatting sqref="F34">
    <cfRule type="cellIs" dxfId="2204" priority="14" operator="equal">
      <formula>0</formula>
    </cfRule>
  </conditionalFormatting>
  <conditionalFormatting sqref="G34">
    <cfRule type="cellIs" dxfId="2203" priority="13" operator="equal">
      <formula>0</formula>
    </cfRule>
  </conditionalFormatting>
  <conditionalFormatting sqref="I34">
    <cfRule type="cellIs" dxfId="2202" priority="12" operator="equal">
      <formula>0</formula>
    </cfRule>
  </conditionalFormatting>
  <conditionalFormatting sqref="J34">
    <cfRule type="cellIs" dxfId="2201" priority="11" operator="equal">
      <formula>0</formula>
    </cfRule>
  </conditionalFormatting>
  <conditionalFormatting sqref="K34">
    <cfRule type="cellIs" dxfId="2200" priority="10" operator="equal">
      <formula>0</formula>
    </cfRule>
  </conditionalFormatting>
  <conditionalFormatting sqref="L34">
    <cfRule type="cellIs" dxfId="2199" priority="9" operator="equal">
      <formula>0</formula>
    </cfRule>
  </conditionalFormatting>
  <conditionalFormatting sqref="B7:L14">
    <cfRule type="expression" dxfId="2198" priority="7">
      <formula>B7=MAX(B$7:B$14)</formula>
    </cfRule>
    <cfRule type="expression" dxfId="2197" priority="8">
      <formula>B7=MIN(B$7:B$14)</formula>
    </cfRule>
  </conditionalFormatting>
  <conditionalFormatting sqref="B16:L21">
    <cfRule type="expression" dxfId="2196" priority="5">
      <formula>B16=MAX(B$16:B$21)</formula>
    </cfRule>
    <cfRule type="expression" dxfId="2195" priority="6">
      <formula>B16=MIN(B$16:B$21)</formula>
    </cfRule>
  </conditionalFormatting>
  <conditionalFormatting sqref="B23:L25">
    <cfRule type="expression" dxfId="2194" priority="3">
      <formula>B23=MAX(B$23:B$25)</formula>
    </cfRule>
    <cfRule type="expression" dxfId="2193" priority="4">
      <formula>B23=MIN(B$23:B$25)</formula>
    </cfRule>
  </conditionalFormatting>
  <conditionalFormatting sqref="B29:L32">
    <cfRule type="expression" dxfId="2192" priority="1">
      <formula>B29=MAX(B$29:B$32)</formula>
    </cfRule>
    <cfRule type="expression" dxfId="2191" priority="2">
      <formula>B29=MIN(B$29:B$32)</formula>
    </cfRule>
  </conditionalFormatting>
  <printOptions horizontalCentered="1"/>
  <pageMargins left="0.27559055118110237" right="0.27559055118110237" top="1.7716535433070868" bottom="0.47244094488188981" header="0.19685039370078741" footer="0.19685039370078741"/>
  <pageSetup paperSize="9" scale="93" orientation="portrait" r:id="rId1"/>
  <headerFooter>
    <oddHeader xml:space="preserve">&amp;C&amp;G
</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75078-B103-4512-9AB9-C48016B34127}">
  <sheetPr>
    <tabColor indexed="24"/>
  </sheetPr>
  <dimension ref="A1:AK56"/>
  <sheetViews>
    <sheetView showGridLines="0" topLeftCell="A3" workbookViewId="0">
      <selection activeCell="Y70" sqref="Y70"/>
    </sheetView>
  </sheetViews>
  <sheetFormatPr defaultColWidth="9.140625" defaultRowHeight="11.25"/>
  <cols>
    <col min="1" max="1" width="24.140625" style="2" customWidth="1"/>
    <col min="2" max="12" width="7.28515625" style="2" customWidth="1"/>
    <col min="13" max="13" width="5.85546875" style="2" bestFit="1" customWidth="1"/>
    <col min="14" max="15" width="5.85546875" style="677" bestFit="1" customWidth="1"/>
    <col min="16" max="16" width="13" style="677" customWidth="1"/>
    <col min="17" max="17" width="6.7109375" style="677" bestFit="1" customWidth="1"/>
    <col min="18" max="18" width="5.85546875" style="677" bestFit="1" customWidth="1"/>
    <col min="19" max="19" width="6.7109375" style="677" bestFit="1" customWidth="1"/>
    <col min="20" max="20" width="5.85546875" style="677" bestFit="1" customWidth="1"/>
    <col min="21" max="21" width="11.5703125" style="677" customWidth="1"/>
    <col min="22" max="22" width="6.5703125" style="677" bestFit="1" customWidth="1"/>
    <col min="23" max="23" width="5.85546875" style="677" bestFit="1" customWidth="1"/>
    <col min="24" max="34" width="9.140625" style="677"/>
    <col min="35" max="16384" width="9.140625" style="2"/>
  </cols>
  <sheetData>
    <row r="1" spans="1:37" s="1" customFormat="1" ht="29.25" customHeight="1">
      <c r="A1" s="982" t="s">
        <v>773</v>
      </c>
      <c r="B1" s="982"/>
      <c r="C1" s="982"/>
      <c r="D1" s="982"/>
      <c r="E1" s="982"/>
      <c r="F1" s="982"/>
      <c r="G1" s="982"/>
      <c r="H1" s="982"/>
      <c r="I1" s="982"/>
      <c r="J1" s="982"/>
      <c r="K1" s="982"/>
      <c r="L1" s="982"/>
      <c r="N1" s="673"/>
      <c r="O1" s="690"/>
      <c r="P1" s="675"/>
      <c r="Q1" s="673"/>
      <c r="R1" s="673"/>
      <c r="S1" s="673"/>
      <c r="T1" s="673"/>
      <c r="U1" s="691"/>
      <c r="V1" s="673"/>
      <c r="W1" s="673"/>
      <c r="X1" s="673"/>
      <c r="Y1" s="673"/>
      <c r="Z1" s="673"/>
      <c r="AA1" s="673"/>
      <c r="AB1" s="673"/>
      <c r="AC1" s="673"/>
      <c r="AD1" s="673"/>
      <c r="AE1" s="673"/>
      <c r="AF1" s="673"/>
      <c r="AG1" s="673"/>
      <c r="AH1" s="673"/>
    </row>
    <row r="2" spans="1:37" ht="15" customHeight="1">
      <c r="A2" s="9"/>
      <c r="B2" s="172"/>
      <c r="C2" s="172"/>
      <c r="D2" s="172"/>
      <c r="E2" s="172"/>
      <c r="F2" s="172"/>
      <c r="G2" s="172"/>
      <c r="H2" s="172"/>
      <c r="I2" s="172"/>
      <c r="J2" s="172"/>
      <c r="K2" s="172"/>
      <c r="L2" s="172"/>
      <c r="O2" s="692"/>
    </row>
    <row r="3" spans="1:37" ht="15" customHeight="1">
      <c r="A3" s="11" t="s">
        <v>41</v>
      </c>
      <c r="B3" s="172"/>
      <c r="C3" s="172"/>
      <c r="D3" s="172"/>
      <c r="E3" s="172"/>
      <c r="F3" s="172"/>
      <c r="G3" s="172"/>
      <c r="H3" s="172"/>
      <c r="I3" s="172"/>
      <c r="J3" s="172"/>
      <c r="K3" s="172"/>
      <c r="L3" s="172"/>
      <c r="O3" s="692"/>
      <c r="Q3" s="678"/>
      <c r="R3" s="678"/>
      <c r="S3" s="678"/>
      <c r="T3" s="678"/>
      <c r="U3" s="678"/>
      <c r="V3" s="678"/>
      <c r="W3" s="678"/>
      <c r="X3" s="678"/>
      <c r="Y3" s="678"/>
      <c r="Z3" s="678"/>
      <c r="AA3" s="678"/>
    </row>
    <row r="4" spans="1:37" ht="28.5" customHeight="1" thickBot="1">
      <c r="A4" s="13"/>
      <c r="B4" s="14">
        <v>2014</v>
      </c>
      <c r="C4" s="14">
        <v>2015</v>
      </c>
      <c r="D4" s="14">
        <v>2016</v>
      </c>
      <c r="E4" s="14">
        <v>2017</v>
      </c>
      <c r="F4" s="14">
        <v>2018</v>
      </c>
      <c r="G4" s="14">
        <v>2019</v>
      </c>
      <c r="H4" s="14">
        <v>2020</v>
      </c>
      <c r="I4" s="14">
        <v>2021</v>
      </c>
      <c r="J4" s="14">
        <v>2022</v>
      </c>
      <c r="K4" s="14">
        <v>2023</v>
      </c>
      <c r="L4" s="14">
        <v>2024</v>
      </c>
      <c r="N4" s="2"/>
      <c r="O4" s="649"/>
      <c r="P4" s="560">
        <f>+B4</f>
        <v>2014</v>
      </c>
      <c r="Q4" s="560">
        <f t="shared" ref="Q4:W4" si="0">+C4</f>
        <v>2015</v>
      </c>
      <c r="R4" s="560">
        <f t="shared" si="0"/>
        <v>2016</v>
      </c>
      <c r="S4" s="560">
        <f t="shared" si="0"/>
        <v>2017</v>
      </c>
      <c r="T4" s="560">
        <f t="shared" si="0"/>
        <v>2018</v>
      </c>
      <c r="U4" s="560">
        <f t="shared" si="0"/>
        <v>2019</v>
      </c>
      <c r="V4" s="560">
        <f t="shared" si="0"/>
        <v>2020</v>
      </c>
      <c r="W4" s="560">
        <f t="shared" si="0"/>
        <v>2021</v>
      </c>
      <c r="X4" s="560">
        <f>+J4</f>
        <v>2022</v>
      </c>
      <c r="Y4" s="560">
        <f t="shared" ref="Y4:Z4" si="1">+K4</f>
        <v>2023</v>
      </c>
      <c r="Z4" s="560">
        <f t="shared" si="1"/>
        <v>2024</v>
      </c>
      <c r="AA4" s="560">
        <f>+B4</f>
        <v>2014</v>
      </c>
      <c r="AB4" s="560">
        <f t="shared" ref="AB4:AJ4" si="2">+C4</f>
        <v>2015</v>
      </c>
      <c r="AC4" s="560">
        <f t="shared" si="2"/>
        <v>2016</v>
      </c>
      <c r="AD4" s="560">
        <f t="shared" si="2"/>
        <v>2017</v>
      </c>
      <c r="AE4" s="560">
        <f t="shared" si="2"/>
        <v>2018</v>
      </c>
      <c r="AF4" s="560">
        <f t="shared" si="2"/>
        <v>2019</v>
      </c>
      <c r="AG4" s="560">
        <f t="shared" si="2"/>
        <v>2020</v>
      </c>
      <c r="AH4" s="560">
        <f t="shared" si="2"/>
        <v>2021</v>
      </c>
      <c r="AI4" s="560">
        <f t="shared" si="2"/>
        <v>2022</v>
      </c>
      <c r="AJ4" s="560">
        <f t="shared" si="2"/>
        <v>2023</v>
      </c>
      <c r="AK4" s="560">
        <f>+L4</f>
        <v>2024</v>
      </c>
    </row>
    <row r="5" spans="1:37" ht="20.25" customHeight="1" thickTop="1">
      <c r="A5" s="113" t="s">
        <v>11</v>
      </c>
      <c r="B5" s="328">
        <v>318885.99999999971</v>
      </c>
      <c r="C5" s="328">
        <v>321499.99999999988</v>
      </c>
      <c r="D5" s="328">
        <v>324932.99999999983</v>
      </c>
      <c r="E5" s="328">
        <v>327295.00000000012</v>
      </c>
      <c r="F5" s="328">
        <v>330667.99999999983</v>
      </c>
      <c r="G5" s="328">
        <v>322977.99999999988</v>
      </c>
      <c r="H5" s="328">
        <v>324958.99999999994</v>
      </c>
      <c r="I5" s="328">
        <v>318254</v>
      </c>
      <c r="J5" s="328">
        <v>332683.00000000006</v>
      </c>
      <c r="K5" s="328">
        <v>340363.99999999994</v>
      </c>
      <c r="L5" s="328">
        <v>338025.99999999988</v>
      </c>
      <c r="N5" s="2"/>
      <c r="O5" s="2"/>
      <c r="P5" s="2"/>
      <c r="Q5" s="2"/>
      <c r="R5" s="2"/>
      <c r="S5" s="2"/>
      <c r="T5" s="2"/>
      <c r="U5" s="2"/>
      <c r="V5" s="2"/>
      <c r="W5" s="2"/>
      <c r="X5" s="2"/>
      <c r="Y5" s="2"/>
      <c r="Z5" s="2"/>
      <c r="AA5" s="2"/>
      <c r="AB5" s="2"/>
      <c r="AC5" s="2"/>
      <c r="AD5" s="2"/>
      <c r="AE5" s="2"/>
      <c r="AF5" s="2"/>
      <c r="AG5" s="2"/>
      <c r="AH5" s="2"/>
    </row>
    <row r="6" spans="1:37" ht="20.100000000000001" customHeight="1">
      <c r="A6" s="15" t="s">
        <v>496</v>
      </c>
      <c r="B6" s="328">
        <v>120246</v>
      </c>
      <c r="C6" s="328">
        <v>121392</v>
      </c>
      <c r="D6" s="328">
        <v>123068</v>
      </c>
      <c r="E6" s="328">
        <v>124207</v>
      </c>
      <c r="F6" s="328">
        <v>125524</v>
      </c>
      <c r="G6" s="328">
        <v>122296</v>
      </c>
      <c r="H6" s="328">
        <v>123094</v>
      </c>
      <c r="I6" s="328">
        <v>121078</v>
      </c>
      <c r="J6" s="328">
        <v>126463</v>
      </c>
      <c r="K6" s="328">
        <v>129002.00000000001</v>
      </c>
      <c r="L6" s="328">
        <v>127676.00000000001</v>
      </c>
      <c r="N6" s="559">
        <f>+(L6/B6-1)*100</f>
        <v>6.178999717246314</v>
      </c>
      <c r="O6" s="419">
        <f t="shared" ref="O6" si="3">+L6-B6</f>
        <v>7430.0000000000146</v>
      </c>
      <c r="P6" s="559">
        <f>B6*100/B$5</f>
        <v>37.708146484950767</v>
      </c>
      <c r="Q6" s="559">
        <f t="shared" ref="Q6:Z6" si="4">C6*100/C$5</f>
        <v>37.758009331259736</v>
      </c>
      <c r="R6" s="559">
        <f t="shared" si="4"/>
        <v>37.87488497628744</v>
      </c>
      <c r="S6" s="559">
        <f t="shared" si="4"/>
        <v>37.949556210757862</v>
      </c>
      <c r="T6" s="559">
        <f t="shared" si="4"/>
        <v>37.960734029298287</v>
      </c>
      <c r="U6" s="559">
        <f t="shared" si="4"/>
        <v>37.865117747958081</v>
      </c>
      <c r="V6" s="559">
        <f t="shared" si="4"/>
        <v>37.879855612554209</v>
      </c>
      <c r="W6" s="559">
        <f t="shared" si="4"/>
        <v>38.044455057909722</v>
      </c>
      <c r="X6" s="559">
        <f t="shared" si="4"/>
        <v>38.013063486862862</v>
      </c>
      <c r="Y6" s="559">
        <f t="shared" si="4"/>
        <v>37.901188139756272</v>
      </c>
      <c r="Z6" s="559">
        <f t="shared" si="4"/>
        <v>37.771059030962135</v>
      </c>
      <c r="AA6" s="2">
        <f>+IFERROR(RANK(B6,(B$6,B$15,B$22,B$26,B$27,B$28,B$33),0),"")</f>
        <v>1</v>
      </c>
      <c r="AB6" s="2">
        <f>+IFERROR(RANK(C6,(C$6,C$15,C$22,C$26,C$27,C$28,C$33),0),"")</f>
        <v>1</v>
      </c>
      <c r="AC6" s="2">
        <f>+IFERROR(RANK(D6,(D$6,D$15,D$22,D$26,D$27,D$28,D$33),0),"")</f>
        <v>1</v>
      </c>
      <c r="AD6" s="2">
        <f>+IFERROR(RANK(E6,(E$6,E$15,E$22,E$26,E$27,E$28,E$33),0),"")</f>
        <v>1</v>
      </c>
      <c r="AE6" s="2">
        <f>+IFERROR(RANK(F6,(F$6,F$15,F$22,F$26,F$27,F$28,F$33),0),"")</f>
        <v>1</v>
      </c>
      <c r="AF6" s="2">
        <f>+IFERROR(RANK(G6,(G$6,G$15,G$22,G$26,G$27,G$28,G$33),0),"")</f>
        <v>1</v>
      </c>
      <c r="AG6" s="2">
        <f>+IFERROR(RANK(H6,(H$6,H$15,H$22,H$26,H$27,H$28,H$33),0),"")</f>
        <v>1</v>
      </c>
      <c r="AH6" s="2">
        <f>+IFERROR(RANK(I6,(I$6,I$15,I$22,I$26,I$27,I$28,I$33),0),"")</f>
        <v>1</v>
      </c>
      <c r="AI6" s="2">
        <f>+IFERROR(RANK(J6,(J$6,J$15,J$22,J$26,J$27,J$28,J$33),0),"")</f>
        <v>1</v>
      </c>
      <c r="AJ6" s="2">
        <f>+IFERROR(RANK(K6,(K$6,K$15,K$22,K$26,K$27,K$28,K$33),0),"")</f>
        <v>1</v>
      </c>
      <c r="AK6" s="2">
        <f>+IFERROR(RANK(L6,(L$6,L$15,L$22,L$26,L$27,L$28,L$33),0),"")</f>
        <v>1</v>
      </c>
    </row>
    <row r="7" spans="1:37" ht="18" customHeight="1">
      <c r="A7" s="572" t="s">
        <v>497</v>
      </c>
      <c r="B7" s="646">
        <v>8188</v>
      </c>
      <c r="C7" s="646">
        <v>8233</v>
      </c>
      <c r="D7" s="646">
        <v>8364</v>
      </c>
      <c r="E7" s="646">
        <v>8315</v>
      </c>
      <c r="F7" s="646">
        <v>8400</v>
      </c>
      <c r="G7" s="646">
        <v>8045</v>
      </c>
      <c r="H7" s="646">
        <v>8065</v>
      </c>
      <c r="I7" s="646">
        <v>7974</v>
      </c>
      <c r="J7" s="646">
        <v>8261</v>
      </c>
      <c r="K7" s="646">
        <v>8480</v>
      </c>
      <c r="L7" s="646">
        <v>8424</v>
      </c>
      <c r="N7" s="559">
        <f t="shared" ref="N7:N31" si="5">+(L7/B7-1)*100</f>
        <v>2.8822667318026296</v>
      </c>
      <c r="O7" s="419">
        <f t="shared" ref="O7:O31" si="6">+L7-B7</f>
        <v>236</v>
      </c>
      <c r="P7" s="559">
        <f t="shared" ref="P7:P31" si="7">B7*100/B$5</f>
        <v>2.5676887665184447</v>
      </c>
      <c r="Q7" s="559">
        <f t="shared" ref="Q7:Q31" si="8">C7*100/C$5</f>
        <v>2.5608087091757397</v>
      </c>
      <c r="R7" s="559">
        <f t="shared" ref="R7:R31" si="9">D7*100/D$5</f>
        <v>2.5740691157869482</v>
      </c>
      <c r="S7" s="559">
        <f t="shared" ref="S7:S31" si="10">E7*100/E$5</f>
        <v>2.5405215478391043</v>
      </c>
      <c r="T7" s="559">
        <f t="shared" ref="T7:T31" si="11">F7*100/F$5</f>
        <v>2.5403123374502536</v>
      </c>
      <c r="U7" s="559">
        <f t="shared" ref="U7:U31" si="12">G7*100/G$5</f>
        <v>2.4908817318826677</v>
      </c>
      <c r="V7" s="559">
        <f t="shared" ref="V7:V31" si="13">H7*100/H$5</f>
        <v>2.4818515566579173</v>
      </c>
      <c r="W7" s="559">
        <f t="shared" ref="W7:W31" si="14">I7*100/I$5</f>
        <v>2.5055458847335776</v>
      </c>
      <c r="X7" s="559">
        <f t="shared" ref="X7:X31" si="15">J7*100/J$5</f>
        <v>2.4831446151441456</v>
      </c>
      <c r="Y7" s="559">
        <f t="shared" ref="Y7:Y31" si="16">K7*100/K$5</f>
        <v>2.4914503296470842</v>
      </c>
      <c r="Z7" s="559">
        <f t="shared" ref="Z7:Z31" si="17">L7*100/L$5</f>
        <v>2.4921159910776103</v>
      </c>
      <c r="AA7" s="2" t="str">
        <f>+IFERROR(RANK(B7,(B$6,B$15,B$22,B$26,B$27,B$28,B$33),0),"")</f>
        <v/>
      </c>
      <c r="AB7" s="2" t="str">
        <f>+IFERROR(RANK(C7,(C$6,C$15,C$22,C$26,C$27,C$28,C$33),0),"")</f>
        <v/>
      </c>
      <c r="AC7" s="2" t="str">
        <f>+IFERROR(RANK(D7,(D$6,D$15,D$22,D$26,D$27,D$28,D$33),0),"")</f>
        <v/>
      </c>
      <c r="AD7" s="2" t="str">
        <f>+IFERROR(RANK(E7,(E$6,E$15,E$22,E$26,E$27,E$28,E$33),0),"")</f>
        <v/>
      </c>
      <c r="AE7" s="2" t="str">
        <f>+IFERROR(RANK(F7,(F$6,F$15,F$22,F$26,F$27,F$28,F$33),0),"")</f>
        <v/>
      </c>
      <c r="AF7" s="2" t="str">
        <f>+IFERROR(RANK(G7,(G$6,G$15,G$22,G$26,G$27,G$28,G$33),0),"")</f>
        <v/>
      </c>
      <c r="AG7" s="2" t="str">
        <f>+IFERROR(RANK(H7,(H$6,H$15,H$22,H$26,H$27,H$28,H$33),0),"")</f>
        <v/>
      </c>
      <c r="AH7" s="2" t="str">
        <f>+IFERROR(RANK(I7,(I$6,I$15,I$22,I$26,I$27,I$28,I$33),0),"")</f>
        <v/>
      </c>
      <c r="AI7" s="2" t="str">
        <f>+IFERROR(RANK(J7,(J$6,J$15,J$22,J$26,J$27,J$28,J$33),0),"")</f>
        <v/>
      </c>
      <c r="AJ7" s="2" t="str">
        <f>+IFERROR(RANK(K7,(K$6,K$15,K$22,K$26,K$27,K$28,K$33),0),"")</f>
        <v/>
      </c>
      <c r="AK7" s="2" t="str">
        <f>+IFERROR(RANK(L7,(L$6,L$15,L$22,L$26,L$27,L$28,L$33),0),"")</f>
        <v/>
      </c>
    </row>
    <row r="8" spans="1:37" ht="18" customHeight="1">
      <c r="A8" s="572" t="s">
        <v>498</v>
      </c>
      <c r="B8" s="646">
        <v>14930</v>
      </c>
      <c r="C8" s="646">
        <v>15116</v>
      </c>
      <c r="D8" s="646">
        <v>15401</v>
      </c>
      <c r="E8" s="646">
        <v>15634</v>
      </c>
      <c r="F8" s="646">
        <v>15756</v>
      </c>
      <c r="G8" s="646">
        <v>15412</v>
      </c>
      <c r="H8" s="646">
        <v>15514</v>
      </c>
      <c r="I8" s="646">
        <v>15289</v>
      </c>
      <c r="J8" s="646">
        <v>16345</v>
      </c>
      <c r="K8" s="646">
        <v>16873</v>
      </c>
      <c r="L8" s="646">
        <v>16874</v>
      </c>
      <c r="N8" s="559">
        <f t="shared" si="5"/>
        <v>13.020763563295379</v>
      </c>
      <c r="O8" s="419">
        <f t="shared" si="6"/>
        <v>1944</v>
      </c>
      <c r="P8" s="559">
        <f t="shared" si="7"/>
        <v>4.6819239477430852</v>
      </c>
      <c r="Q8" s="559">
        <f t="shared" si="8"/>
        <v>4.7017107309486796</v>
      </c>
      <c r="R8" s="559">
        <f t="shared" si="9"/>
        <v>4.739746347708607</v>
      </c>
      <c r="S8" s="559">
        <f t="shared" si="10"/>
        <v>4.7767304725095077</v>
      </c>
      <c r="T8" s="559">
        <f t="shared" si="11"/>
        <v>4.7649001415316903</v>
      </c>
      <c r="U8" s="559">
        <f t="shared" si="12"/>
        <v>4.7718420449690093</v>
      </c>
      <c r="V8" s="559">
        <f t="shared" si="13"/>
        <v>4.7741407377546103</v>
      </c>
      <c r="W8" s="559">
        <f t="shared" si="14"/>
        <v>4.8040244584514253</v>
      </c>
      <c r="X8" s="559">
        <f t="shared" si="15"/>
        <v>4.9130854296732913</v>
      </c>
      <c r="Y8" s="559">
        <f t="shared" si="16"/>
        <v>4.9573397891668929</v>
      </c>
      <c r="Z8" s="559">
        <f t="shared" si="17"/>
        <v>4.9919236981770654</v>
      </c>
      <c r="AA8" s="2" t="str">
        <f>+IFERROR(RANK(B8,(B$6,B$15,B$22,B$26,B$27,B$28,B$33),0),"")</f>
        <v/>
      </c>
      <c r="AB8" s="2" t="str">
        <f>+IFERROR(RANK(C8,(C$6,C$15,C$22,C$26,C$27,C$28,C$33),0),"")</f>
        <v/>
      </c>
      <c r="AC8" s="2" t="str">
        <f>+IFERROR(RANK(D8,(D$6,D$15,D$22,D$26,D$27,D$28,D$33),0),"")</f>
        <v/>
      </c>
      <c r="AD8" s="2" t="str">
        <f>+IFERROR(RANK(E8,(E$6,E$15,E$22,E$26,E$27,E$28,E$33),0),"")</f>
        <v/>
      </c>
      <c r="AE8" s="2" t="str">
        <f>+IFERROR(RANK(F8,(F$6,F$15,F$22,F$26,F$27,F$28,F$33),0),"")</f>
        <v/>
      </c>
      <c r="AF8" s="2" t="str">
        <f>+IFERROR(RANK(G8,(G$6,G$15,G$22,G$26,G$27,G$28,G$33),0),"")</f>
        <v/>
      </c>
      <c r="AG8" s="2" t="str">
        <f>+IFERROR(RANK(H8,(H$6,H$15,H$22,H$26,H$27,H$28,H$33),0),"")</f>
        <v/>
      </c>
      <c r="AH8" s="2" t="str">
        <f>+IFERROR(RANK(I8,(I$6,I$15,I$22,I$26,I$27,I$28,I$33),0),"")</f>
        <v/>
      </c>
      <c r="AI8" s="2" t="str">
        <f>+IFERROR(RANK(J8,(J$6,J$15,J$22,J$26,J$27,J$28,J$33),0),"")</f>
        <v/>
      </c>
      <c r="AJ8" s="2" t="str">
        <f>+IFERROR(RANK(K8,(K$6,K$15,K$22,K$26,K$27,K$28,K$33),0),"")</f>
        <v/>
      </c>
      <c r="AK8" s="2" t="str">
        <f>+IFERROR(RANK(L8,(L$6,L$15,L$22,L$26,L$27,L$28,L$33),0),"")</f>
        <v/>
      </c>
    </row>
    <row r="9" spans="1:37" ht="18" customHeight="1">
      <c r="A9" s="572" t="s">
        <v>499</v>
      </c>
      <c r="B9" s="646">
        <v>14360</v>
      </c>
      <c r="C9" s="646">
        <v>14483</v>
      </c>
      <c r="D9" s="646">
        <v>14818</v>
      </c>
      <c r="E9" s="646">
        <v>15050</v>
      </c>
      <c r="F9" s="646">
        <v>15078</v>
      </c>
      <c r="G9" s="646">
        <v>14513</v>
      </c>
      <c r="H9" s="646">
        <v>14697</v>
      </c>
      <c r="I9" s="646">
        <v>14380</v>
      </c>
      <c r="J9" s="646">
        <v>15257</v>
      </c>
      <c r="K9" s="646">
        <v>15408.999999999998</v>
      </c>
      <c r="L9" s="646">
        <v>15255</v>
      </c>
      <c r="N9" s="559">
        <f t="shared" si="5"/>
        <v>6.2325905292479167</v>
      </c>
      <c r="O9" s="419">
        <f t="shared" si="6"/>
        <v>895</v>
      </c>
      <c r="P9" s="559">
        <f t="shared" si="7"/>
        <v>4.5031766838305893</v>
      </c>
      <c r="Q9" s="559">
        <f t="shared" si="8"/>
        <v>4.5048211508553671</v>
      </c>
      <c r="R9" s="559">
        <f t="shared" si="9"/>
        <v>4.560324743870277</v>
      </c>
      <c r="S9" s="559">
        <f t="shared" si="10"/>
        <v>4.5982981713744469</v>
      </c>
      <c r="T9" s="559">
        <f t="shared" si="11"/>
        <v>4.5598606457232052</v>
      </c>
      <c r="U9" s="559">
        <f t="shared" si="12"/>
        <v>4.4934949129662103</v>
      </c>
      <c r="V9" s="559">
        <f t="shared" si="13"/>
        <v>4.5227244052326609</v>
      </c>
      <c r="W9" s="559">
        <f t="shared" si="14"/>
        <v>4.5184035393113673</v>
      </c>
      <c r="X9" s="559">
        <f t="shared" si="15"/>
        <v>4.5860473784353264</v>
      </c>
      <c r="Y9" s="559">
        <f t="shared" si="16"/>
        <v>4.5272120435768768</v>
      </c>
      <c r="Z9" s="559">
        <f t="shared" si="17"/>
        <v>4.5129664582014417</v>
      </c>
      <c r="AA9" s="2" t="str">
        <f>+IFERROR(RANK(B9,(B$6,B$15,B$22,B$26,B$27,B$28,B$33),0),"")</f>
        <v/>
      </c>
      <c r="AB9" s="2" t="str">
        <f>+IFERROR(RANK(C9,(C$6,C$15,C$22,C$26,C$27,C$28,C$33),0),"")</f>
        <v/>
      </c>
      <c r="AC9" s="2" t="str">
        <f>+IFERROR(RANK(D9,(D$6,D$15,D$22,D$26,D$27,D$28,D$33),0),"")</f>
        <v/>
      </c>
      <c r="AD9" s="2" t="str">
        <f>+IFERROR(RANK(E9,(E$6,E$15,E$22,E$26,E$27,E$28,E$33),0),"")</f>
        <v/>
      </c>
      <c r="AE9" s="2" t="str">
        <f>+IFERROR(RANK(F9,(F$6,F$15,F$22,F$26,F$27,F$28,F$33),0),"")</f>
        <v/>
      </c>
      <c r="AF9" s="2" t="str">
        <f>+IFERROR(RANK(G9,(G$6,G$15,G$22,G$26,G$27,G$28,G$33),0),"")</f>
        <v/>
      </c>
      <c r="AG9" s="2" t="str">
        <f>+IFERROR(RANK(H9,(H$6,H$15,H$22,H$26,H$27,H$28,H$33),0),"")</f>
        <v/>
      </c>
      <c r="AH9" s="2" t="str">
        <f>+IFERROR(RANK(I9,(I$6,I$15,I$22,I$26,I$27,I$28,I$33),0),"")</f>
        <v/>
      </c>
      <c r="AI9" s="2" t="str">
        <f>+IFERROR(RANK(J9,(J$6,J$15,J$22,J$26,J$27,J$28,J$33),0),"")</f>
        <v/>
      </c>
      <c r="AJ9" s="2" t="str">
        <f>+IFERROR(RANK(K9,(K$6,K$15,K$22,K$26,K$27,K$28,K$33),0),"")</f>
        <v/>
      </c>
      <c r="AK9" s="2" t="str">
        <f>+IFERROR(RANK(L9,(L$6,L$15,L$22,L$26,L$27,L$28,L$33),0),"")</f>
        <v/>
      </c>
    </row>
    <row r="10" spans="1:37" ht="18" customHeight="1">
      <c r="A10" s="572" t="s">
        <v>500</v>
      </c>
      <c r="B10" s="646">
        <v>57194</v>
      </c>
      <c r="C10" s="646">
        <v>57692</v>
      </c>
      <c r="D10" s="646">
        <v>58291</v>
      </c>
      <c r="E10" s="646">
        <v>58794</v>
      </c>
      <c r="F10" s="646">
        <v>59602</v>
      </c>
      <c r="G10" s="646">
        <v>58375</v>
      </c>
      <c r="H10" s="646">
        <v>58630</v>
      </c>
      <c r="I10" s="646">
        <v>57051</v>
      </c>
      <c r="J10" s="646">
        <v>59479</v>
      </c>
      <c r="K10" s="646">
        <v>60584.999999999985</v>
      </c>
      <c r="L10" s="646">
        <v>59738.999999999993</v>
      </c>
      <c r="N10" s="559">
        <f t="shared" si="5"/>
        <v>4.4497674581249758</v>
      </c>
      <c r="O10" s="419">
        <f t="shared" si="6"/>
        <v>2544.9999999999927</v>
      </c>
      <c r="P10" s="559">
        <f t="shared" si="7"/>
        <v>17.935563179318017</v>
      </c>
      <c r="Q10" s="559">
        <f t="shared" si="8"/>
        <v>17.94463452566097</v>
      </c>
      <c r="R10" s="559">
        <f t="shared" si="9"/>
        <v>17.939390582058465</v>
      </c>
      <c r="S10" s="559">
        <f t="shared" si="10"/>
        <v>17.96361080981988</v>
      </c>
      <c r="T10" s="559">
        <f t="shared" si="11"/>
        <v>18.024725706751191</v>
      </c>
      <c r="U10" s="559">
        <f t="shared" si="12"/>
        <v>18.073986463474299</v>
      </c>
      <c r="V10" s="559">
        <f t="shared" si="13"/>
        <v>18.042276102523708</v>
      </c>
      <c r="W10" s="559">
        <f t="shared" si="14"/>
        <v>17.92624758840423</v>
      </c>
      <c r="X10" s="559">
        <f t="shared" si="15"/>
        <v>17.878581111749018</v>
      </c>
      <c r="Y10" s="559">
        <f t="shared" si="16"/>
        <v>17.800061111045817</v>
      </c>
      <c r="Z10" s="559">
        <f t="shared" si="17"/>
        <v>17.672900901114119</v>
      </c>
      <c r="AA10" s="2" t="str">
        <f>+IFERROR(RANK(B10,(B$6,B$15,B$22,B$26,B$27,B$28,B$33),0),"")</f>
        <v/>
      </c>
      <c r="AB10" s="2" t="str">
        <f>+IFERROR(RANK(C10,(C$6,C$15,C$22,C$26,C$27,C$28,C$33),0),"")</f>
        <v/>
      </c>
      <c r="AC10" s="2" t="str">
        <f>+IFERROR(RANK(D10,(D$6,D$15,D$22,D$26,D$27,D$28,D$33),0),"")</f>
        <v/>
      </c>
      <c r="AD10" s="2" t="str">
        <f>+IFERROR(RANK(E10,(E$6,E$15,E$22,E$26,E$27,E$28,E$33),0),"")</f>
        <v/>
      </c>
      <c r="AE10" s="2" t="str">
        <f>+IFERROR(RANK(F10,(F$6,F$15,F$22,F$26,F$27,F$28,F$33),0),"")</f>
        <v/>
      </c>
      <c r="AF10" s="2" t="str">
        <f>+IFERROR(RANK(G10,(G$6,G$15,G$22,G$26,G$27,G$28,G$33),0),"")</f>
        <v/>
      </c>
      <c r="AG10" s="2" t="str">
        <f>+IFERROR(RANK(H10,(H$6,H$15,H$22,H$26,H$27,H$28,H$33),0),"")</f>
        <v/>
      </c>
      <c r="AH10" s="2" t="str">
        <f>+IFERROR(RANK(I10,(I$6,I$15,I$22,I$26,I$27,I$28,I$33),0),"")</f>
        <v/>
      </c>
      <c r="AI10" s="2" t="str">
        <f>+IFERROR(RANK(J10,(J$6,J$15,J$22,J$26,J$27,J$28,J$33),0),"")</f>
        <v/>
      </c>
      <c r="AJ10" s="2" t="str">
        <f>+IFERROR(RANK(K10,(K$6,K$15,K$22,K$26,K$27,K$28,K$33),0),"")</f>
        <v/>
      </c>
      <c r="AK10" s="2" t="str">
        <f>+IFERROR(RANK(L10,(L$6,L$15,L$22,L$26,L$27,L$28,L$33),0),"")</f>
        <v/>
      </c>
    </row>
    <row r="11" spans="1:37" ht="18" customHeight="1">
      <c r="A11" s="572" t="s">
        <v>771</v>
      </c>
      <c r="B11" s="646">
        <v>2505</v>
      </c>
      <c r="C11" s="646">
        <v>2562</v>
      </c>
      <c r="D11" s="646">
        <v>2620</v>
      </c>
      <c r="E11" s="646">
        <v>2636</v>
      </c>
      <c r="F11" s="646">
        <v>2669</v>
      </c>
      <c r="G11" s="646">
        <v>2590</v>
      </c>
      <c r="H11" s="646">
        <v>2642</v>
      </c>
      <c r="I11" s="646">
        <v>2629</v>
      </c>
      <c r="J11" s="646">
        <v>2739</v>
      </c>
      <c r="K11" s="646">
        <v>2746</v>
      </c>
      <c r="L11" s="646">
        <v>2794</v>
      </c>
      <c r="N11" s="559">
        <f t="shared" si="5"/>
        <v>11.536926147704584</v>
      </c>
      <c r="O11" s="419">
        <f t="shared" si="6"/>
        <v>289</v>
      </c>
      <c r="P11" s="559">
        <f t="shared" si="7"/>
        <v>0.78554718614175667</v>
      </c>
      <c r="Q11" s="559">
        <f t="shared" si="8"/>
        <v>0.7968895800933129</v>
      </c>
      <c r="R11" s="559">
        <f t="shared" si="9"/>
        <v>0.80632007213794887</v>
      </c>
      <c r="S11" s="559">
        <f t="shared" si="10"/>
        <v>0.80538963320551771</v>
      </c>
      <c r="T11" s="559">
        <f t="shared" si="11"/>
        <v>0.80715400341127697</v>
      </c>
      <c r="U11" s="559">
        <f t="shared" si="12"/>
        <v>0.80191220454643997</v>
      </c>
      <c r="V11" s="559">
        <f t="shared" si="13"/>
        <v>0.81302564323499282</v>
      </c>
      <c r="W11" s="559">
        <f t="shared" si="14"/>
        <v>0.82606974303543712</v>
      </c>
      <c r="X11" s="559">
        <f t="shared" si="15"/>
        <v>0.82330627053381134</v>
      </c>
      <c r="Y11" s="559">
        <f t="shared" si="16"/>
        <v>0.80678332608619019</v>
      </c>
      <c r="Z11" s="559">
        <f t="shared" si="17"/>
        <v>0.8265636371166718</v>
      </c>
      <c r="AA11" s="2" t="str">
        <f>+IFERROR(RANK(B11,(B$6,B$15,B$22,B$26,B$27,B$28,B$33),0),"")</f>
        <v/>
      </c>
      <c r="AB11" s="2" t="str">
        <f>+IFERROR(RANK(C11,(C$6,C$15,C$22,C$26,C$27,C$28,C$33),0),"")</f>
        <v/>
      </c>
      <c r="AC11" s="2" t="str">
        <f>+IFERROR(RANK(D11,(D$6,D$15,D$22,D$26,D$27,D$28,D$33),0),"")</f>
        <v/>
      </c>
      <c r="AD11" s="2" t="str">
        <f>+IFERROR(RANK(E11,(E$6,E$15,E$22,E$26,E$27,E$28,E$33),0),"")</f>
        <v/>
      </c>
      <c r="AE11" s="2" t="str">
        <f>+IFERROR(RANK(F11,(F$6,F$15,F$22,F$26,F$27,F$28,F$33),0),"")</f>
        <v/>
      </c>
      <c r="AF11" s="2" t="str">
        <f>+IFERROR(RANK(G11,(G$6,G$15,G$22,G$26,G$27,G$28,G$33),0),"")</f>
        <v/>
      </c>
      <c r="AG11" s="2" t="str">
        <f>+IFERROR(RANK(H11,(H$6,H$15,H$22,H$26,H$27,H$28,H$33),0),"")</f>
        <v/>
      </c>
      <c r="AH11" s="2" t="str">
        <f>+IFERROR(RANK(I11,(I$6,I$15,I$22,I$26,I$27,I$28,I$33),0),"")</f>
        <v/>
      </c>
      <c r="AI11" s="2" t="str">
        <f>+IFERROR(RANK(J11,(J$6,J$15,J$22,J$26,J$27,J$28,J$33),0),"")</f>
        <v/>
      </c>
      <c r="AJ11" s="2" t="str">
        <f>+IFERROR(RANK(K11,(K$6,K$15,K$22,K$26,K$27,K$28,K$33),0),"")</f>
        <v/>
      </c>
      <c r="AK11" s="2" t="str">
        <f>+IFERROR(RANK(L11,(L$6,L$15,L$22,L$26,L$27,L$28,L$33),0),"")</f>
        <v/>
      </c>
    </row>
    <row r="12" spans="1:37" ht="18" customHeight="1">
      <c r="A12" s="572" t="s">
        <v>502</v>
      </c>
      <c r="B12" s="646">
        <v>13219</v>
      </c>
      <c r="C12" s="646">
        <v>13492</v>
      </c>
      <c r="D12" s="646">
        <v>13669</v>
      </c>
      <c r="E12" s="646">
        <v>13820</v>
      </c>
      <c r="F12" s="646">
        <v>14097</v>
      </c>
      <c r="G12" s="646">
        <v>13814</v>
      </c>
      <c r="H12" s="646">
        <v>13874</v>
      </c>
      <c r="I12" s="646">
        <v>14035</v>
      </c>
      <c r="J12" s="646">
        <v>14461</v>
      </c>
      <c r="K12" s="646">
        <v>14776</v>
      </c>
      <c r="L12" s="646">
        <v>14547</v>
      </c>
      <c r="N12" s="559">
        <f t="shared" si="5"/>
        <v>10.046145699372122</v>
      </c>
      <c r="O12" s="419">
        <f t="shared" si="6"/>
        <v>1328</v>
      </c>
      <c r="P12" s="559">
        <f t="shared" si="7"/>
        <v>4.1453685643145235</v>
      </c>
      <c r="Q12" s="559">
        <f t="shared" si="8"/>
        <v>4.1965785381026457</v>
      </c>
      <c r="R12" s="559">
        <f t="shared" si="9"/>
        <v>4.2067133839899329</v>
      </c>
      <c r="S12" s="559">
        <f t="shared" si="10"/>
        <v>4.2224904138468338</v>
      </c>
      <c r="T12" s="559">
        <f t="shared" si="11"/>
        <v>4.263188454885265</v>
      </c>
      <c r="U12" s="559">
        <f t="shared" si="12"/>
        <v>4.2770715033222091</v>
      </c>
      <c r="V12" s="559">
        <f t="shared" si="13"/>
        <v>4.2694616859357648</v>
      </c>
      <c r="W12" s="559">
        <f t="shared" si="14"/>
        <v>4.4099995600997941</v>
      </c>
      <c r="X12" s="559">
        <f t="shared" si="15"/>
        <v>4.3467805688899031</v>
      </c>
      <c r="Y12" s="559">
        <f t="shared" si="16"/>
        <v>4.34123467816808</v>
      </c>
      <c r="Z12" s="559">
        <f t="shared" si="17"/>
        <v>4.3035151142219847</v>
      </c>
      <c r="AA12" s="2" t="str">
        <f>+IFERROR(RANK(B12,(B$6,B$15,B$22,B$26,B$27,B$28,B$33),0),"")</f>
        <v/>
      </c>
      <c r="AB12" s="2" t="str">
        <f>+IFERROR(RANK(C12,(C$6,C$15,C$22,C$26,C$27,C$28,C$33),0),"")</f>
        <v/>
      </c>
      <c r="AC12" s="2" t="str">
        <f>+IFERROR(RANK(D12,(D$6,D$15,D$22,D$26,D$27,D$28,D$33),0),"")</f>
        <v/>
      </c>
      <c r="AD12" s="2" t="str">
        <f>+IFERROR(RANK(E12,(E$6,E$15,E$22,E$26,E$27,E$28,E$33),0),"")</f>
        <v/>
      </c>
      <c r="AE12" s="2" t="str">
        <f>+IFERROR(RANK(F12,(F$6,F$15,F$22,F$26,F$27,F$28,F$33),0),"")</f>
        <v/>
      </c>
      <c r="AF12" s="2" t="str">
        <f>+IFERROR(RANK(G12,(G$6,G$15,G$22,G$26,G$27,G$28,G$33),0),"")</f>
        <v/>
      </c>
      <c r="AG12" s="2" t="str">
        <f>+IFERROR(RANK(H12,(H$6,H$15,H$22,H$26,H$27,H$28,H$33),0),"")</f>
        <v/>
      </c>
      <c r="AH12" s="2" t="str">
        <f>+IFERROR(RANK(I12,(I$6,I$15,I$22,I$26,I$27,I$28,I$33),0),"")</f>
        <v/>
      </c>
      <c r="AI12" s="2" t="str">
        <f>+IFERROR(RANK(J12,(J$6,J$15,J$22,J$26,J$27,J$28,J$33),0),"")</f>
        <v/>
      </c>
      <c r="AJ12" s="2" t="str">
        <f>+IFERROR(RANK(K12,(K$6,K$15,K$22,K$26,K$27,K$28,K$33),0),"")</f>
        <v/>
      </c>
      <c r="AK12" s="2" t="str">
        <f>+IFERROR(RANK(L12,(L$6,L$15,L$22,L$26,L$27,L$28,L$33),0),"")</f>
        <v/>
      </c>
    </row>
    <row r="13" spans="1:37" ht="18" customHeight="1">
      <c r="A13" s="572" t="s">
        <v>503</v>
      </c>
      <c r="B13" s="646">
        <v>6125</v>
      </c>
      <c r="C13" s="646">
        <v>6090</v>
      </c>
      <c r="D13" s="646">
        <v>6142</v>
      </c>
      <c r="E13" s="646">
        <v>6166</v>
      </c>
      <c r="F13" s="646">
        <v>6137</v>
      </c>
      <c r="G13" s="646">
        <v>6006</v>
      </c>
      <c r="H13" s="646">
        <v>6107</v>
      </c>
      <c r="I13" s="646">
        <v>6046</v>
      </c>
      <c r="J13" s="646">
        <v>6219</v>
      </c>
      <c r="K13" s="646">
        <v>6355.9999999999982</v>
      </c>
      <c r="L13" s="646">
        <v>6331</v>
      </c>
      <c r="N13" s="559">
        <f t="shared" si="5"/>
        <v>3.3632653061224538</v>
      </c>
      <c r="O13" s="419">
        <f t="shared" si="6"/>
        <v>206</v>
      </c>
      <c r="P13" s="559">
        <f t="shared" si="7"/>
        <v>1.9207491078316405</v>
      </c>
      <c r="Q13" s="559">
        <f t="shared" si="8"/>
        <v>1.8942457231726291</v>
      </c>
      <c r="R13" s="559">
        <f t="shared" si="9"/>
        <v>1.8902358332333138</v>
      </c>
      <c r="S13" s="559">
        <f t="shared" si="10"/>
        <v>1.883927343833544</v>
      </c>
      <c r="T13" s="559">
        <f t="shared" si="11"/>
        <v>1.8559400970157389</v>
      </c>
      <c r="U13" s="559">
        <f t="shared" si="12"/>
        <v>1.8595693824347175</v>
      </c>
      <c r="V13" s="559">
        <f t="shared" si="13"/>
        <v>1.8793140057668818</v>
      </c>
      <c r="W13" s="559">
        <f t="shared" si="14"/>
        <v>1.8997404588787572</v>
      </c>
      <c r="X13" s="559">
        <f t="shared" si="15"/>
        <v>1.8693470961846559</v>
      </c>
      <c r="Y13" s="559">
        <f t="shared" si="16"/>
        <v>1.8674125348156676</v>
      </c>
      <c r="Z13" s="559">
        <f t="shared" si="17"/>
        <v>1.8729328513191299</v>
      </c>
      <c r="AA13" s="2" t="str">
        <f>+IFERROR(RANK(B13,(B$6,B$15,B$22,B$26,B$27,B$28,B$33),0),"")</f>
        <v/>
      </c>
      <c r="AB13" s="2" t="str">
        <f>+IFERROR(RANK(C13,(C$6,C$15,C$22,C$26,C$27,C$28,C$33),0),"")</f>
        <v/>
      </c>
      <c r="AC13" s="2" t="str">
        <f>+IFERROR(RANK(D13,(D$6,D$15,D$22,D$26,D$27,D$28,D$33),0),"")</f>
        <v/>
      </c>
      <c r="AD13" s="2" t="str">
        <f>+IFERROR(RANK(E13,(E$6,E$15,E$22,E$26,E$27,E$28,E$33),0),"")</f>
        <v/>
      </c>
      <c r="AE13" s="2" t="str">
        <f>+IFERROR(RANK(F13,(F$6,F$15,F$22,F$26,F$27,F$28,F$33),0),"")</f>
        <v/>
      </c>
      <c r="AF13" s="2" t="str">
        <f>+IFERROR(RANK(G13,(G$6,G$15,G$22,G$26,G$27,G$28,G$33),0),"")</f>
        <v/>
      </c>
      <c r="AG13" s="2" t="str">
        <f>+IFERROR(RANK(H13,(H$6,H$15,H$22,H$26,H$27,H$28,H$33),0),"")</f>
        <v/>
      </c>
      <c r="AH13" s="2" t="str">
        <f>+IFERROR(RANK(I13,(I$6,I$15,I$22,I$26,I$27,I$28,I$33),0),"")</f>
        <v/>
      </c>
      <c r="AI13" s="2" t="str">
        <f>+IFERROR(RANK(J13,(J$6,J$15,J$22,J$26,J$27,J$28,J$33),0),"")</f>
        <v/>
      </c>
      <c r="AJ13" s="2" t="str">
        <f>+IFERROR(RANK(K13,(K$6,K$15,K$22,K$26,K$27,K$28,K$33),0),"")</f>
        <v/>
      </c>
      <c r="AK13" s="2" t="str">
        <f>+IFERROR(RANK(L13,(L$6,L$15,L$22,L$26,L$27,L$28,L$33),0),"")</f>
        <v/>
      </c>
    </row>
    <row r="14" spans="1:37" ht="18" customHeight="1">
      <c r="A14" s="572" t="s">
        <v>504</v>
      </c>
      <c r="B14" s="646">
        <v>3725</v>
      </c>
      <c r="C14" s="646">
        <v>3724</v>
      </c>
      <c r="D14" s="646">
        <v>3763</v>
      </c>
      <c r="E14" s="646">
        <v>3792</v>
      </c>
      <c r="F14" s="646">
        <v>3785</v>
      </c>
      <c r="G14" s="646">
        <v>3541</v>
      </c>
      <c r="H14" s="646">
        <v>3565</v>
      </c>
      <c r="I14" s="646">
        <v>3674</v>
      </c>
      <c r="J14" s="646">
        <v>3702</v>
      </c>
      <c r="K14" s="646">
        <v>3777.0000000000009</v>
      </c>
      <c r="L14" s="646">
        <v>3712</v>
      </c>
      <c r="N14" s="559">
        <f t="shared" si="5"/>
        <v>-0.34899328859060441</v>
      </c>
      <c r="O14" s="419">
        <f t="shared" si="6"/>
        <v>-13</v>
      </c>
      <c r="P14" s="559">
        <f t="shared" si="7"/>
        <v>1.1681290492527121</v>
      </c>
      <c r="Q14" s="559">
        <f t="shared" si="8"/>
        <v>1.1583203732503893</v>
      </c>
      <c r="R14" s="559">
        <f t="shared" si="9"/>
        <v>1.1580848975019471</v>
      </c>
      <c r="S14" s="559">
        <f t="shared" si="10"/>
        <v>1.1585878183290299</v>
      </c>
      <c r="T14" s="559">
        <f t="shared" si="11"/>
        <v>1.1446526425296679</v>
      </c>
      <c r="U14" s="559">
        <f t="shared" si="12"/>
        <v>1.0963595043625267</v>
      </c>
      <c r="V14" s="559">
        <f t="shared" si="13"/>
        <v>1.097061475447672</v>
      </c>
      <c r="W14" s="559">
        <f t="shared" si="14"/>
        <v>1.1544238249951297</v>
      </c>
      <c r="X14" s="559">
        <f t="shared" si="15"/>
        <v>1.1127710162527089</v>
      </c>
      <c r="Y14" s="559">
        <f t="shared" si="16"/>
        <v>1.1096943272496509</v>
      </c>
      <c r="Z14" s="559">
        <f t="shared" si="17"/>
        <v>1.0981403797341036</v>
      </c>
      <c r="AA14" s="2" t="str">
        <f>+IFERROR(RANK(B14,(B$6,B$15,B$22,B$26,B$27,B$28,B$33),0),"")</f>
        <v/>
      </c>
      <c r="AB14" s="2" t="str">
        <f>+IFERROR(RANK(C14,(C$6,C$15,C$22,C$26,C$27,C$28,C$33),0),"")</f>
        <v/>
      </c>
      <c r="AC14" s="2" t="str">
        <f>+IFERROR(RANK(D14,(D$6,D$15,D$22,D$26,D$27,D$28,D$33),0),"")</f>
        <v/>
      </c>
      <c r="AD14" s="2" t="str">
        <f>+IFERROR(RANK(E14,(E$6,E$15,E$22,E$26,E$27,E$28,E$33),0),"")</f>
        <v/>
      </c>
      <c r="AE14" s="2" t="str">
        <f>+IFERROR(RANK(F14,(F$6,F$15,F$22,F$26,F$27,F$28,F$33),0),"")</f>
        <v/>
      </c>
      <c r="AF14" s="2" t="str">
        <f>+IFERROR(RANK(G14,(G$6,G$15,G$22,G$26,G$27,G$28,G$33),0),"")</f>
        <v/>
      </c>
      <c r="AG14" s="2" t="str">
        <f>+IFERROR(RANK(H14,(H$6,H$15,H$22,H$26,H$27,H$28,H$33),0),"")</f>
        <v/>
      </c>
      <c r="AH14" s="2" t="str">
        <f>+IFERROR(RANK(I14,(I$6,I$15,I$22,I$26,I$27,I$28,I$33),0),"")</f>
        <v/>
      </c>
      <c r="AI14" s="2" t="str">
        <f>+IFERROR(RANK(J14,(J$6,J$15,J$22,J$26,J$27,J$28,J$33),0),"")</f>
        <v/>
      </c>
      <c r="AJ14" s="2" t="str">
        <f>+IFERROR(RANK(K14,(K$6,K$15,K$22,K$26,K$27,K$28,K$33),0),"")</f>
        <v/>
      </c>
      <c r="AK14" s="2" t="str">
        <f>+IFERROR(RANK(L14,(L$6,L$15,L$22,L$26,L$27,L$28,L$33),0),"")</f>
        <v/>
      </c>
    </row>
    <row r="15" spans="1:37" ht="20.100000000000001" customHeight="1">
      <c r="A15" s="15" t="s">
        <v>505</v>
      </c>
      <c r="B15" s="328">
        <v>73495</v>
      </c>
      <c r="C15" s="328">
        <v>73913</v>
      </c>
      <c r="D15" s="328">
        <v>74574</v>
      </c>
      <c r="E15" s="328">
        <v>74878</v>
      </c>
      <c r="F15" s="328">
        <v>74946</v>
      </c>
      <c r="G15" s="328">
        <v>73187</v>
      </c>
      <c r="H15" s="328">
        <v>73397</v>
      </c>
      <c r="I15" s="328">
        <v>72357</v>
      </c>
      <c r="J15" s="328">
        <v>74984</v>
      </c>
      <c r="K15" s="328">
        <v>76135.999999999985</v>
      </c>
      <c r="L15" s="328">
        <v>75721.999999999956</v>
      </c>
      <c r="N15" s="559">
        <f t="shared" si="5"/>
        <v>3.0301381046329068</v>
      </c>
      <c r="O15" s="419">
        <f t="shared" si="6"/>
        <v>2226.9999999999563</v>
      </c>
      <c r="P15" s="559">
        <f t="shared" si="7"/>
        <v>23.047421335524316</v>
      </c>
      <c r="Q15" s="559">
        <f t="shared" si="8"/>
        <v>22.99004665629861</v>
      </c>
      <c r="R15" s="559">
        <f t="shared" si="9"/>
        <v>22.950577503670001</v>
      </c>
      <c r="S15" s="559">
        <f t="shared" si="10"/>
        <v>22.877831925327296</v>
      </c>
      <c r="T15" s="559">
        <f t="shared" si="11"/>
        <v>22.665029576493655</v>
      </c>
      <c r="U15" s="559">
        <f t="shared" si="12"/>
        <v>22.660057341366912</v>
      </c>
      <c r="V15" s="559">
        <f t="shared" si="13"/>
        <v>22.586541686797414</v>
      </c>
      <c r="W15" s="559">
        <f t="shared" si="14"/>
        <v>22.735613692208112</v>
      </c>
      <c r="X15" s="559">
        <f t="shared" si="15"/>
        <v>22.539173928334176</v>
      </c>
      <c r="Y15" s="559">
        <f t="shared" si="16"/>
        <v>22.368993195520087</v>
      </c>
      <c r="Z15" s="559">
        <f t="shared" si="17"/>
        <v>22.401235407927196</v>
      </c>
      <c r="AA15" s="2">
        <f>+IFERROR(RANK(B15,(B$6,B$15,B$22,B$26,B$27,B$28,B$33),0),"")</f>
        <v>2</v>
      </c>
      <c r="AB15" s="2">
        <f>+IFERROR(RANK(C15,(C$6,C$15,C$22,C$26,C$27,C$28,C$33),0),"")</f>
        <v>2</v>
      </c>
      <c r="AC15" s="2">
        <f>+IFERROR(RANK(D15,(D$6,D$15,D$22,D$26,D$27,D$28,D$33),0),"")</f>
        <v>2</v>
      </c>
      <c r="AD15" s="2">
        <f>+IFERROR(RANK(E15,(E$6,E$15,E$22,E$26,E$27,E$28,E$33),0),"")</f>
        <v>2</v>
      </c>
      <c r="AE15" s="2">
        <f>+IFERROR(RANK(F15,(F$6,F$15,F$22,F$26,F$27,F$28,F$33),0),"")</f>
        <v>2</v>
      </c>
      <c r="AF15" s="2">
        <f>+IFERROR(RANK(G15,(G$6,G$15,G$22,G$26,G$27,G$28,G$33),0),"")</f>
        <v>2</v>
      </c>
      <c r="AG15" s="2">
        <f>+IFERROR(RANK(H15,(H$6,H$15,H$22,H$26,H$27,H$28,H$33),0),"")</f>
        <v>2</v>
      </c>
      <c r="AH15" s="2">
        <f>+IFERROR(RANK(I15,(I$6,I$15,I$22,I$26,I$27,I$28,I$33),0),"")</f>
        <v>2</v>
      </c>
      <c r="AI15" s="2">
        <f>+IFERROR(RANK(J15,(J$6,J$15,J$22,J$26,J$27,J$28,J$33),0),"")</f>
        <v>2</v>
      </c>
      <c r="AJ15" s="2">
        <f>+IFERROR(RANK(K15,(K$6,K$15,K$22,K$26,K$27,K$28,K$33),0),"")</f>
        <v>2</v>
      </c>
      <c r="AK15" s="2">
        <f>+IFERROR(RANK(L15,(L$6,L$15,L$22,L$26,L$27,L$28,L$33),0),"")</f>
        <v>2</v>
      </c>
    </row>
    <row r="16" spans="1:37" ht="18" customHeight="1">
      <c r="A16" s="572" t="s">
        <v>513</v>
      </c>
      <c r="B16" s="646">
        <v>12157</v>
      </c>
      <c r="C16" s="646">
        <v>12279</v>
      </c>
      <c r="D16" s="646">
        <v>12458</v>
      </c>
      <c r="E16" s="646">
        <v>12690</v>
      </c>
      <c r="F16" s="646">
        <v>12776</v>
      </c>
      <c r="G16" s="646">
        <v>12579</v>
      </c>
      <c r="H16" s="646">
        <v>12676</v>
      </c>
      <c r="I16" s="646">
        <v>12522</v>
      </c>
      <c r="J16" s="646">
        <v>13106</v>
      </c>
      <c r="K16" s="646">
        <v>13372</v>
      </c>
      <c r="L16" s="646">
        <v>13413</v>
      </c>
      <c r="N16" s="559">
        <f t="shared" si="5"/>
        <v>10.331496257300321</v>
      </c>
      <c r="O16" s="419">
        <f t="shared" si="6"/>
        <v>1256</v>
      </c>
      <c r="P16" s="559">
        <f t="shared" si="7"/>
        <v>3.8123341883933479</v>
      </c>
      <c r="Q16" s="559">
        <f t="shared" si="8"/>
        <v>3.8192846034214631</v>
      </c>
      <c r="R16" s="559">
        <f t="shared" si="9"/>
        <v>3.8340211674406746</v>
      </c>
      <c r="S16" s="559">
        <f t="shared" si="10"/>
        <v>3.8772361325409785</v>
      </c>
      <c r="T16" s="559">
        <f t="shared" si="11"/>
        <v>3.8636940980076715</v>
      </c>
      <c r="U16" s="559">
        <f t="shared" si="12"/>
        <v>3.8946925177566287</v>
      </c>
      <c r="V16" s="559">
        <f t="shared" si="13"/>
        <v>3.9007997932046821</v>
      </c>
      <c r="W16" s="559">
        <f t="shared" si="14"/>
        <v>3.9345931237313594</v>
      </c>
      <c r="X16" s="559">
        <f t="shared" si="15"/>
        <v>3.9394859370632096</v>
      </c>
      <c r="Y16" s="559">
        <f t="shared" si="16"/>
        <v>3.9287351188727371</v>
      </c>
      <c r="Z16" s="559">
        <f t="shared" si="17"/>
        <v>3.9680379615769215</v>
      </c>
      <c r="AA16" s="2" t="str">
        <f>+IFERROR(RANK(B16,(B$6,B$15,B$22,B$26,B$27,B$28,B$33),0),"")</f>
        <v/>
      </c>
      <c r="AB16" s="2" t="str">
        <f>+IFERROR(RANK(C16,(C$6,C$15,C$22,C$26,C$27,C$28,C$33),0),"")</f>
        <v/>
      </c>
      <c r="AC16" s="2" t="str">
        <f>+IFERROR(RANK(D16,(D$6,D$15,D$22,D$26,D$27,D$28,D$33),0),"")</f>
        <v/>
      </c>
      <c r="AD16" s="2" t="str">
        <f>+IFERROR(RANK(E16,(E$6,E$15,E$22,E$26,E$27,E$28,E$33),0),"")</f>
        <v/>
      </c>
      <c r="AE16" s="2" t="str">
        <f>+IFERROR(RANK(F16,(F$6,F$15,F$22,F$26,F$27,F$28,F$33),0),"")</f>
        <v/>
      </c>
      <c r="AF16" s="2" t="str">
        <f>+IFERROR(RANK(G16,(G$6,G$15,G$22,G$26,G$27,G$28,G$33),0),"")</f>
        <v/>
      </c>
      <c r="AG16" s="2" t="str">
        <f>+IFERROR(RANK(H16,(H$6,H$15,H$22,H$26,H$27,H$28,H$33),0),"")</f>
        <v/>
      </c>
      <c r="AH16" s="2" t="str">
        <f>+IFERROR(RANK(I16,(I$6,I$15,I$22,I$26,I$27,I$28,I$33),0),"")</f>
        <v/>
      </c>
      <c r="AI16" s="2" t="str">
        <f>+IFERROR(RANK(J16,(J$6,J$15,J$22,J$26,J$27,J$28,J$33),0),"")</f>
        <v/>
      </c>
      <c r="AJ16" s="2" t="str">
        <f>+IFERROR(RANK(K16,(K$6,K$15,K$22,K$26,K$27,K$28,K$33),0),"")</f>
        <v/>
      </c>
      <c r="AK16" s="2" t="str">
        <f>+IFERROR(RANK(L16,(L$6,L$15,L$22,L$26,L$27,L$28,L$33),0),"")</f>
        <v/>
      </c>
    </row>
    <row r="17" spans="1:37" ht="18" customHeight="1">
      <c r="A17" s="572" t="s">
        <v>506</v>
      </c>
      <c r="B17" s="646">
        <v>10771</v>
      </c>
      <c r="C17" s="646">
        <v>10850</v>
      </c>
      <c r="D17" s="646">
        <v>11109</v>
      </c>
      <c r="E17" s="646">
        <v>11238</v>
      </c>
      <c r="F17" s="646">
        <v>11392</v>
      </c>
      <c r="G17" s="646">
        <v>11270</v>
      </c>
      <c r="H17" s="646">
        <v>11291</v>
      </c>
      <c r="I17" s="646">
        <v>10980</v>
      </c>
      <c r="J17" s="646">
        <v>11325</v>
      </c>
      <c r="K17" s="646">
        <v>11485</v>
      </c>
      <c r="L17" s="646">
        <v>11509.999999999998</v>
      </c>
      <c r="N17" s="559">
        <f t="shared" si="5"/>
        <v>6.8610156902794373</v>
      </c>
      <c r="O17" s="419">
        <f t="shared" si="6"/>
        <v>738.99999999999818</v>
      </c>
      <c r="P17" s="559">
        <f t="shared" si="7"/>
        <v>3.3776961045640164</v>
      </c>
      <c r="Q17" s="559">
        <f t="shared" si="8"/>
        <v>3.3748055987558332</v>
      </c>
      <c r="R17" s="559">
        <f t="shared" si="9"/>
        <v>3.418858657015448</v>
      </c>
      <c r="S17" s="559">
        <f t="shared" si="10"/>
        <v>3.4335996578010652</v>
      </c>
      <c r="T17" s="559">
        <f t="shared" si="11"/>
        <v>3.4451473985992012</v>
      </c>
      <c r="U17" s="559">
        <f t="shared" si="12"/>
        <v>3.4894017549182927</v>
      </c>
      <c r="V17" s="559">
        <f t="shared" si="13"/>
        <v>3.4745921793210841</v>
      </c>
      <c r="W17" s="559">
        <f t="shared" si="14"/>
        <v>3.4500744688205018</v>
      </c>
      <c r="X17" s="559">
        <f t="shared" si="15"/>
        <v>3.4041414800275329</v>
      </c>
      <c r="Y17" s="559">
        <f t="shared" si="16"/>
        <v>3.3743286599052786</v>
      </c>
      <c r="Z17" s="559">
        <f t="shared" si="17"/>
        <v>3.4050635158242271</v>
      </c>
      <c r="AA17" s="2" t="str">
        <f>+IFERROR(RANK(B17,(B$6,B$15,B$22,B$26,B$27,B$28,B$33),0),"")</f>
        <v/>
      </c>
      <c r="AB17" s="2" t="str">
        <f>+IFERROR(RANK(C17,(C$6,C$15,C$22,C$26,C$27,C$28,C$33),0),"")</f>
        <v/>
      </c>
      <c r="AC17" s="2" t="str">
        <f>+IFERROR(RANK(D17,(D$6,D$15,D$22,D$26,D$27,D$28,D$33),0),"")</f>
        <v/>
      </c>
      <c r="AD17" s="2" t="str">
        <f>+IFERROR(RANK(E17,(E$6,E$15,E$22,E$26,E$27,E$28,E$33),0),"")</f>
        <v/>
      </c>
      <c r="AE17" s="2" t="str">
        <f>+IFERROR(RANK(F17,(F$6,F$15,F$22,F$26,F$27,F$28,F$33),0),"")</f>
        <v/>
      </c>
      <c r="AF17" s="2" t="str">
        <f>+IFERROR(RANK(G17,(G$6,G$15,G$22,G$26,G$27,G$28,G$33),0),"")</f>
        <v/>
      </c>
      <c r="AG17" s="2" t="str">
        <f>+IFERROR(RANK(H17,(H$6,H$15,H$22,H$26,H$27,H$28,H$33),0),"")</f>
        <v/>
      </c>
      <c r="AH17" s="2" t="str">
        <f>+IFERROR(RANK(I17,(I$6,I$15,I$22,I$26,I$27,I$28,I$33),0),"")</f>
        <v/>
      </c>
      <c r="AI17" s="2" t="str">
        <f>+IFERROR(RANK(J17,(J$6,J$15,J$22,J$26,J$27,J$28,J$33),0),"")</f>
        <v/>
      </c>
      <c r="AJ17" s="2" t="str">
        <f>+IFERROR(RANK(K17,(K$6,K$15,K$22,K$26,K$27,K$28,K$33),0),"")</f>
        <v/>
      </c>
      <c r="AK17" s="2" t="str">
        <f>+IFERROR(RANK(L17,(L$6,L$15,L$22,L$26,L$27,L$28,L$33),0),"")</f>
        <v/>
      </c>
    </row>
    <row r="18" spans="1:37" ht="18" customHeight="1">
      <c r="A18" s="572" t="s">
        <v>507</v>
      </c>
      <c r="B18" s="646">
        <v>13210</v>
      </c>
      <c r="C18" s="646">
        <v>13220</v>
      </c>
      <c r="D18" s="646">
        <v>13289</v>
      </c>
      <c r="E18" s="646">
        <v>13260</v>
      </c>
      <c r="F18" s="646">
        <v>13232</v>
      </c>
      <c r="G18" s="646">
        <v>12834</v>
      </c>
      <c r="H18" s="646">
        <v>12976</v>
      </c>
      <c r="I18" s="646">
        <v>12780</v>
      </c>
      <c r="J18" s="646">
        <v>13325</v>
      </c>
      <c r="K18" s="646">
        <v>13431.000000000004</v>
      </c>
      <c r="L18" s="646">
        <v>13262.000000000002</v>
      </c>
      <c r="N18" s="559">
        <f t="shared" si="5"/>
        <v>0.39364118092355405</v>
      </c>
      <c r="O18" s="419">
        <f t="shared" si="6"/>
        <v>52.000000000001819</v>
      </c>
      <c r="P18" s="559">
        <f t="shared" si="7"/>
        <v>4.1425462390948526</v>
      </c>
      <c r="Q18" s="559">
        <f t="shared" si="8"/>
        <v>4.1119751166407479</v>
      </c>
      <c r="R18" s="559">
        <f t="shared" si="9"/>
        <v>4.0897661979546571</v>
      </c>
      <c r="S18" s="559">
        <f t="shared" si="10"/>
        <v>4.051390947004994</v>
      </c>
      <c r="T18" s="559">
        <f t="shared" si="11"/>
        <v>4.0015967677549709</v>
      </c>
      <c r="U18" s="559">
        <f t="shared" si="12"/>
        <v>3.9736452637640967</v>
      </c>
      <c r="V18" s="559">
        <f t="shared" si="13"/>
        <v>3.9931191319520316</v>
      </c>
      <c r="W18" s="559">
        <f t="shared" si="14"/>
        <v>4.0156604473156658</v>
      </c>
      <c r="X18" s="559">
        <f t="shared" si="15"/>
        <v>4.0053143683326162</v>
      </c>
      <c r="Y18" s="559">
        <f t="shared" si="16"/>
        <v>3.9460695020624996</v>
      </c>
      <c r="Z18" s="559">
        <f t="shared" si="17"/>
        <v>3.9233668416039023</v>
      </c>
      <c r="AA18" s="2" t="str">
        <f>+IFERROR(RANK(B18,(B$6,B$15,B$22,B$26,B$27,B$28,B$33),0),"")</f>
        <v/>
      </c>
      <c r="AB18" s="2" t="str">
        <f>+IFERROR(RANK(C18,(C$6,C$15,C$22,C$26,C$27,C$28,C$33),0),"")</f>
        <v/>
      </c>
      <c r="AC18" s="2" t="str">
        <f>+IFERROR(RANK(D18,(D$6,D$15,D$22,D$26,D$27,D$28,D$33),0),"")</f>
        <v/>
      </c>
      <c r="AD18" s="2" t="str">
        <f>+IFERROR(RANK(E18,(E$6,E$15,E$22,E$26,E$27,E$28,E$33),0),"")</f>
        <v/>
      </c>
      <c r="AE18" s="2" t="str">
        <f>+IFERROR(RANK(F18,(F$6,F$15,F$22,F$26,F$27,F$28,F$33),0),"")</f>
        <v/>
      </c>
      <c r="AF18" s="2" t="str">
        <f>+IFERROR(RANK(G18,(G$6,G$15,G$22,G$26,G$27,G$28,G$33),0),"")</f>
        <v/>
      </c>
      <c r="AG18" s="2" t="str">
        <f>+IFERROR(RANK(H18,(H$6,H$15,H$22,H$26,H$27,H$28,H$33),0),"")</f>
        <v/>
      </c>
      <c r="AH18" s="2" t="str">
        <f>+IFERROR(RANK(I18,(I$6,I$15,I$22,I$26,I$27,I$28,I$33),0),"")</f>
        <v/>
      </c>
      <c r="AI18" s="2" t="str">
        <f>+IFERROR(RANK(J18,(J$6,J$15,J$22,J$26,J$27,J$28,J$33),0),"")</f>
        <v/>
      </c>
      <c r="AJ18" s="2" t="str">
        <f>+IFERROR(RANK(K18,(K$6,K$15,K$22,K$26,K$27,K$28,K$33),0),"")</f>
        <v/>
      </c>
      <c r="AK18" s="2" t="str">
        <f>+IFERROR(RANK(L18,(L$6,L$15,L$22,L$26,L$27,L$28,L$33),0),"")</f>
        <v/>
      </c>
    </row>
    <row r="19" spans="1:37" ht="18" customHeight="1">
      <c r="A19" s="572" t="s">
        <v>508</v>
      </c>
      <c r="B19" s="646">
        <v>11750</v>
      </c>
      <c r="C19" s="646">
        <v>11795</v>
      </c>
      <c r="D19" s="646">
        <v>11912</v>
      </c>
      <c r="E19" s="646">
        <v>11909</v>
      </c>
      <c r="F19" s="646">
        <v>11844</v>
      </c>
      <c r="G19" s="646">
        <v>11538</v>
      </c>
      <c r="H19" s="646">
        <v>11586</v>
      </c>
      <c r="I19" s="646">
        <v>11446</v>
      </c>
      <c r="J19" s="646">
        <v>11845</v>
      </c>
      <c r="K19" s="646">
        <v>12118.999999999998</v>
      </c>
      <c r="L19" s="646">
        <v>11964</v>
      </c>
      <c r="N19" s="559">
        <f t="shared" si="5"/>
        <v>1.8212765957446919</v>
      </c>
      <c r="O19" s="419">
        <f t="shared" si="6"/>
        <v>214</v>
      </c>
      <c r="P19" s="559">
        <f t="shared" si="7"/>
        <v>3.6847023701260047</v>
      </c>
      <c r="Q19" s="559">
        <f t="shared" si="8"/>
        <v>3.6687402799377931</v>
      </c>
      <c r="R19" s="559">
        <f t="shared" si="9"/>
        <v>3.6659865264531475</v>
      </c>
      <c r="S19" s="559">
        <f t="shared" si="10"/>
        <v>3.6386134832490553</v>
      </c>
      <c r="T19" s="559">
        <f t="shared" si="11"/>
        <v>3.5818403958048575</v>
      </c>
      <c r="U19" s="559">
        <f t="shared" si="12"/>
        <v>3.5723795428790828</v>
      </c>
      <c r="V19" s="559">
        <f t="shared" si="13"/>
        <v>3.5653728624226448</v>
      </c>
      <c r="W19" s="559">
        <f t="shared" si="14"/>
        <v>3.5964983943642501</v>
      </c>
      <c r="X19" s="559">
        <f t="shared" si="15"/>
        <v>3.5604464309868549</v>
      </c>
      <c r="Y19" s="559">
        <f t="shared" si="16"/>
        <v>3.5605998284189866</v>
      </c>
      <c r="Z19" s="559">
        <f t="shared" si="17"/>
        <v>3.5393727109748965</v>
      </c>
      <c r="AA19" s="2" t="str">
        <f>+IFERROR(RANK(B19,(B$6,B$15,B$22,B$26,B$27,B$28,B$33),0),"")</f>
        <v/>
      </c>
      <c r="AB19" s="2" t="str">
        <f>+IFERROR(RANK(C19,(C$6,C$15,C$22,C$26,C$27,C$28,C$33),0),"")</f>
        <v/>
      </c>
      <c r="AC19" s="2" t="str">
        <f>+IFERROR(RANK(D19,(D$6,D$15,D$22,D$26,D$27,D$28,D$33),0),"")</f>
        <v/>
      </c>
      <c r="AD19" s="2" t="str">
        <f>+IFERROR(RANK(E19,(E$6,E$15,E$22,E$26,E$27,E$28,E$33),0),"")</f>
        <v/>
      </c>
      <c r="AE19" s="2" t="str">
        <f>+IFERROR(RANK(F19,(F$6,F$15,F$22,F$26,F$27,F$28,F$33),0),"")</f>
        <v/>
      </c>
      <c r="AF19" s="2" t="str">
        <f>+IFERROR(RANK(G19,(G$6,G$15,G$22,G$26,G$27,G$28,G$33),0),"")</f>
        <v/>
      </c>
      <c r="AG19" s="2" t="str">
        <f>+IFERROR(RANK(H19,(H$6,H$15,H$22,H$26,H$27,H$28,H$33),0),"")</f>
        <v/>
      </c>
      <c r="AH19" s="2" t="str">
        <f>+IFERROR(RANK(I19,(I$6,I$15,I$22,I$26,I$27,I$28,I$33),0),"")</f>
        <v/>
      </c>
      <c r="AI19" s="2" t="str">
        <f>+IFERROR(RANK(J19,(J$6,J$15,J$22,J$26,J$27,J$28,J$33),0),"")</f>
        <v/>
      </c>
      <c r="AJ19" s="2" t="str">
        <f>+IFERROR(RANK(K19,(K$6,K$15,K$22,K$26,K$27,K$28,K$33),0),"")</f>
        <v/>
      </c>
      <c r="AK19" s="2" t="str">
        <f>+IFERROR(RANK(L19,(L$6,L$15,L$22,L$26,L$27,L$28,L$33),0),"")</f>
        <v/>
      </c>
    </row>
    <row r="20" spans="1:37" ht="18" customHeight="1">
      <c r="A20" s="572" t="s">
        <v>509</v>
      </c>
      <c r="B20" s="646">
        <v>8035</v>
      </c>
      <c r="C20" s="646">
        <v>8168</v>
      </c>
      <c r="D20" s="646">
        <v>8259</v>
      </c>
      <c r="E20" s="646">
        <v>8311</v>
      </c>
      <c r="F20" s="646">
        <v>8351</v>
      </c>
      <c r="G20" s="646">
        <v>8174</v>
      </c>
      <c r="H20" s="646">
        <v>8205</v>
      </c>
      <c r="I20" s="646">
        <v>8152</v>
      </c>
      <c r="J20" s="646">
        <v>8478</v>
      </c>
      <c r="K20" s="646">
        <v>8638</v>
      </c>
      <c r="L20" s="646">
        <v>8583</v>
      </c>
      <c r="N20" s="559">
        <f t="shared" si="5"/>
        <v>6.8201617921592961</v>
      </c>
      <c r="O20" s="419">
        <f t="shared" si="6"/>
        <v>548</v>
      </c>
      <c r="P20" s="559">
        <f t="shared" si="7"/>
        <v>2.519709237784038</v>
      </c>
      <c r="Q20" s="559">
        <f t="shared" si="8"/>
        <v>2.5405909797822717</v>
      </c>
      <c r="R20" s="559">
        <f t="shared" si="9"/>
        <v>2.5417547617508855</v>
      </c>
      <c r="S20" s="559">
        <f t="shared" si="10"/>
        <v>2.5392994087902343</v>
      </c>
      <c r="T20" s="559">
        <f t="shared" si="11"/>
        <v>2.5254938488151271</v>
      </c>
      <c r="U20" s="559">
        <f t="shared" si="12"/>
        <v>2.530822532804093</v>
      </c>
      <c r="V20" s="559">
        <f t="shared" si="13"/>
        <v>2.5249339147400138</v>
      </c>
      <c r="W20" s="559">
        <f t="shared" si="14"/>
        <v>2.5614760537180992</v>
      </c>
      <c r="X20" s="559">
        <f t="shared" si="15"/>
        <v>2.5483718735252472</v>
      </c>
      <c r="Y20" s="559">
        <f t="shared" si="16"/>
        <v>2.5378712202230558</v>
      </c>
      <c r="Z20" s="559">
        <f t="shared" si="17"/>
        <v>2.5391537929035053</v>
      </c>
      <c r="AA20" s="2" t="str">
        <f>+IFERROR(RANK(B20,(B$6,B$15,B$22,B$26,B$27,B$28,B$33),0),"")</f>
        <v/>
      </c>
      <c r="AB20" s="2" t="str">
        <f>+IFERROR(RANK(C20,(C$6,C$15,C$22,C$26,C$27,C$28,C$33),0),"")</f>
        <v/>
      </c>
      <c r="AC20" s="2" t="str">
        <f>+IFERROR(RANK(D20,(D$6,D$15,D$22,D$26,D$27,D$28,D$33),0),"")</f>
        <v/>
      </c>
      <c r="AD20" s="2" t="str">
        <f>+IFERROR(RANK(E20,(E$6,E$15,E$22,E$26,E$27,E$28,E$33),0),"")</f>
        <v/>
      </c>
      <c r="AE20" s="2" t="str">
        <f>+IFERROR(RANK(F20,(F$6,F$15,F$22,F$26,F$27,F$28,F$33),0),"")</f>
        <v/>
      </c>
      <c r="AF20" s="2" t="str">
        <f>+IFERROR(RANK(G20,(G$6,G$15,G$22,G$26,G$27,G$28,G$33),0),"")</f>
        <v/>
      </c>
      <c r="AG20" s="2" t="str">
        <f>+IFERROR(RANK(H20,(H$6,H$15,H$22,H$26,H$27,H$28,H$33),0),"")</f>
        <v/>
      </c>
      <c r="AH20" s="2" t="str">
        <f>+IFERROR(RANK(I20,(I$6,I$15,I$22,I$26,I$27,I$28,I$33),0),"")</f>
        <v/>
      </c>
      <c r="AI20" s="2" t="str">
        <f>+IFERROR(RANK(J20,(J$6,J$15,J$22,J$26,J$27,J$28,J$33),0),"")</f>
        <v/>
      </c>
      <c r="AJ20" s="2" t="str">
        <f>+IFERROR(RANK(K20,(K$6,K$15,K$22,K$26,K$27,K$28,K$33),0),"")</f>
        <v/>
      </c>
      <c r="AK20" s="2" t="str">
        <f>+IFERROR(RANK(L20,(L$6,L$15,L$22,L$26,L$27,L$28,L$33),0),"")</f>
        <v/>
      </c>
    </row>
    <row r="21" spans="1:37" ht="18" customHeight="1">
      <c r="A21" s="572" t="s">
        <v>510</v>
      </c>
      <c r="B21" s="646">
        <v>2664</v>
      </c>
      <c r="C21" s="646">
        <v>2707</v>
      </c>
      <c r="D21" s="646">
        <v>2665</v>
      </c>
      <c r="E21" s="646">
        <v>2645</v>
      </c>
      <c r="F21" s="646">
        <v>2619</v>
      </c>
      <c r="G21" s="646">
        <v>2574</v>
      </c>
      <c r="H21" s="646">
        <v>2528</v>
      </c>
      <c r="I21" s="646">
        <v>2555</v>
      </c>
      <c r="J21" s="646">
        <v>2618</v>
      </c>
      <c r="K21" s="646">
        <v>2642</v>
      </c>
      <c r="L21" s="646">
        <v>2592</v>
      </c>
      <c r="N21" s="559">
        <f t="shared" si="5"/>
        <v>-2.7027027027026973</v>
      </c>
      <c r="O21" s="419">
        <f t="shared" si="6"/>
        <v>-72</v>
      </c>
      <c r="P21" s="559">
        <f t="shared" si="7"/>
        <v>0.83540826502261067</v>
      </c>
      <c r="Q21" s="559">
        <f t="shared" si="8"/>
        <v>0.84199066874028028</v>
      </c>
      <c r="R21" s="559">
        <f t="shared" si="9"/>
        <v>0.8201690810105472</v>
      </c>
      <c r="S21" s="559">
        <f t="shared" si="10"/>
        <v>0.80813944606547583</v>
      </c>
      <c r="T21" s="559">
        <f t="shared" si="11"/>
        <v>0.79203309664073973</v>
      </c>
      <c r="U21" s="559">
        <f t="shared" si="12"/>
        <v>0.79695830675773616</v>
      </c>
      <c r="V21" s="559">
        <f t="shared" si="13"/>
        <v>0.777944294511</v>
      </c>
      <c r="W21" s="559">
        <f t="shared" si="14"/>
        <v>0.80281787503063595</v>
      </c>
      <c r="X21" s="559">
        <f t="shared" si="15"/>
        <v>0.78693531079135381</v>
      </c>
      <c r="Y21" s="559">
        <f t="shared" si="16"/>
        <v>0.77622780317542406</v>
      </c>
      <c r="Z21" s="559">
        <f t="shared" si="17"/>
        <v>0.76680492033157244</v>
      </c>
      <c r="AA21" s="2" t="str">
        <f>+IFERROR(RANK(B21,(B$6,B$15,B$22,B$26,B$27,B$28,B$33),0),"")</f>
        <v/>
      </c>
      <c r="AB21" s="2" t="str">
        <f>+IFERROR(RANK(C21,(C$6,C$15,C$22,C$26,C$27,C$28,C$33),0),"")</f>
        <v/>
      </c>
      <c r="AC21" s="2" t="str">
        <f>+IFERROR(RANK(D21,(D$6,D$15,D$22,D$26,D$27,D$28,D$33),0),"")</f>
        <v/>
      </c>
      <c r="AD21" s="2" t="str">
        <f>+IFERROR(RANK(E21,(E$6,E$15,E$22,E$26,E$27,E$28,E$33),0),"")</f>
        <v/>
      </c>
      <c r="AE21" s="2" t="str">
        <f>+IFERROR(RANK(F21,(F$6,F$15,F$22,F$26,F$27,F$28,F$33),0),"")</f>
        <v/>
      </c>
      <c r="AF21" s="2" t="str">
        <f>+IFERROR(RANK(G21,(G$6,G$15,G$22,G$26,G$27,G$28,G$33),0),"")</f>
        <v/>
      </c>
      <c r="AG21" s="2" t="str">
        <f>+IFERROR(RANK(H21,(H$6,H$15,H$22,H$26,H$27,H$28,H$33),0),"")</f>
        <v/>
      </c>
      <c r="AH21" s="2" t="str">
        <f>+IFERROR(RANK(I21,(I$6,I$15,I$22,I$26,I$27,I$28,I$33),0),"")</f>
        <v/>
      </c>
      <c r="AI21" s="2" t="str">
        <f>+IFERROR(RANK(J21,(J$6,J$15,J$22,J$26,J$27,J$28,J$33),0),"")</f>
        <v/>
      </c>
      <c r="AJ21" s="2" t="str">
        <f>+IFERROR(RANK(K21,(K$6,K$15,K$22,K$26,K$27,K$28,K$33),0),"")</f>
        <v/>
      </c>
      <c r="AK21" s="2" t="str">
        <f>+IFERROR(RANK(L21,(L$6,L$15,L$22,L$26,L$27,L$28,L$33),0),"")</f>
        <v/>
      </c>
    </row>
    <row r="22" spans="1:37" ht="18" customHeight="1">
      <c r="A22" s="572" t="s">
        <v>514</v>
      </c>
      <c r="B22" s="646">
        <v>7859</v>
      </c>
      <c r="C22" s="646">
        <v>7885</v>
      </c>
      <c r="D22" s="646">
        <v>7859</v>
      </c>
      <c r="E22" s="646">
        <v>7792</v>
      </c>
      <c r="F22" s="646">
        <v>7769</v>
      </c>
      <c r="G22" s="646">
        <v>7576</v>
      </c>
      <c r="H22" s="646">
        <v>7522</v>
      </c>
      <c r="I22" s="646">
        <v>7469</v>
      </c>
      <c r="J22" s="646">
        <v>7654</v>
      </c>
      <c r="K22" s="646">
        <v>7772</v>
      </c>
      <c r="L22" s="646">
        <v>7741.9999999999982</v>
      </c>
      <c r="N22" s="559">
        <f t="shared" si="5"/>
        <v>-1.4887390253213062</v>
      </c>
      <c r="O22" s="419">
        <f t="shared" si="6"/>
        <v>-117.00000000000182</v>
      </c>
      <c r="P22" s="559">
        <f t="shared" si="7"/>
        <v>2.4645171001549167</v>
      </c>
      <c r="Q22" s="559">
        <f t="shared" si="8"/>
        <v>2.452566096423018</v>
      </c>
      <c r="R22" s="559">
        <f t="shared" si="9"/>
        <v>2.4186524606611224</v>
      </c>
      <c r="S22" s="559">
        <f t="shared" si="10"/>
        <v>2.3807268671993147</v>
      </c>
      <c r="T22" s="559">
        <f t="shared" si="11"/>
        <v>2.349486494006074</v>
      </c>
      <c r="U22" s="559">
        <f t="shared" si="12"/>
        <v>2.3456706029512855</v>
      </c>
      <c r="V22" s="559">
        <f t="shared" si="13"/>
        <v>2.3147535535252142</v>
      </c>
      <c r="W22" s="559">
        <f t="shared" si="14"/>
        <v>2.3468675963224341</v>
      </c>
      <c r="X22" s="559">
        <f t="shared" si="15"/>
        <v>2.3006886435435532</v>
      </c>
      <c r="Y22" s="559">
        <f t="shared" si="16"/>
        <v>2.2834377313699457</v>
      </c>
      <c r="Z22" s="559">
        <f t="shared" si="17"/>
        <v>2.2903563631199968</v>
      </c>
      <c r="AA22" s="2">
        <f>+IFERROR(RANK(B22,(B$6,B$15,B$22,B$26,B$27,B$28,B$33),0),"")</f>
        <v>3</v>
      </c>
      <c r="AB22" s="2">
        <f>+IFERROR(RANK(C22,(C$6,C$15,C$22,C$26,C$27,C$28,C$33),0),"")</f>
        <v>3</v>
      </c>
      <c r="AC22" s="2">
        <f>+IFERROR(RANK(D22,(D$6,D$15,D$22,D$26,D$27,D$28,D$33),0),"")</f>
        <v>3</v>
      </c>
      <c r="AD22" s="2">
        <f>+IFERROR(RANK(E22,(E$6,E$15,E$22,E$26,E$27,E$28,E$33),0),"")</f>
        <v>3</v>
      </c>
      <c r="AE22" s="2">
        <f>+IFERROR(RANK(F22,(F$6,F$15,F$22,F$26,F$27,F$28,F$33),0),"")</f>
        <v>3</v>
      </c>
      <c r="AF22" s="2">
        <f>+IFERROR(RANK(G22,(G$6,G$15,G$22,G$26,G$27,G$28,G$33),0),"")</f>
        <v>3</v>
      </c>
      <c r="AG22" s="2">
        <f>+IFERROR(RANK(H22,(H$6,H$15,H$22,H$26,H$27,H$28,H$33),0),"")</f>
        <v>3</v>
      </c>
      <c r="AH22" s="2">
        <f>+IFERROR(RANK(I22,(I$6,I$15,I$22,I$26,I$27,I$28,I$33),0),"")</f>
        <v>3</v>
      </c>
      <c r="AI22" s="2">
        <f>+IFERROR(RANK(J22,(J$6,J$15,J$22,J$26,J$27,J$28,J$33),0),"")</f>
        <v>3</v>
      </c>
      <c r="AJ22" s="2">
        <f>+IFERROR(RANK(K22,(K$6,K$15,K$22,K$26,K$27,K$28,K$33),0),"")</f>
        <v>3</v>
      </c>
      <c r="AK22" s="2">
        <f>+IFERROR(RANK(L22,(L$6,L$15,L$22,L$26,L$27,L$28,L$33),0),"")</f>
        <v>3</v>
      </c>
    </row>
    <row r="23" spans="1:37" ht="18" customHeight="1">
      <c r="A23" s="572" t="s">
        <v>511</v>
      </c>
      <c r="B23" s="646">
        <v>7049</v>
      </c>
      <c r="C23" s="646">
        <v>7009</v>
      </c>
      <c r="D23" s="646">
        <v>7023</v>
      </c>
      <c r="E23" s="646">
        <v>7033</v>
      </c>
      <c r="F23" s="646">
        <v>6963</v>
      </c>
      <c r="G23" s="646">
        <v>6642</v>
      </c>
      <c r="H23" s="646">
        <v>6613</v>
      </c>
      <c r="I23" s="646">
        <v>6453</v>
      </c>
      <c r="J23" s="646">
        <v>6633</v>
      </c>
      <c r="K23" s="646">
        <v>6677</v>
      </c>
      <c r="L23" s="646">
        <v>6656</v>
      </c>
      <c r="N23" s="559">
        <f t="shared" si="5"/>
        <v>-5.5752589019719139</v>
      </c>
      <c r="O23" s="419">
        <f t="shared" si="6"/>
        <v>-393</v>
      </c>
      <c r="P23" s="559">
        <f t="shared" si="7"/>
        <v>2.210507830384528</v>
      </c>
      <c r="Q23" s="559">
        <f t="shared" si="8"/>
        <v>2.1800933125972013</v>
      </c>
      <c r="R23" s="559">
        <f t="shared" si="9"/>
        <v>2.1613686513835173</v>
      </c>
      <c r="S23" s="559">
        <f t="shared" si="10"/>
        <v>2.1488259826761782</v>
      </c>
      <c r="T23" s="559">
        <f t="shared" si="11"/>
        <v>2.1057374768650137</v>
      </c>
      <c r="U23" s="559">
        <f t="shared" si="12"/>
        <v>2.0564868195356967</v>
      </c>
      <c r="V23" s="559">
        <f t="shared" si="13"/>
        <v>2.035025957120745</v>
      </c>
      <c r="W23" s="559">
        <f t="shared" si="14"/>
        <v>2.0276257329051637</v>
      </c>
      <c r="X23" s="559">
        <f t="shared" si="15"/>
        <v>1.9937898840638082</v>
      </c>
      <c r="Y23" s="559">
        <f t="shared" si="16"/>
        <v>1.9617233314921676</v>
      </c>
      <c r="Z23" s="559">
        <f t="shared" si="17"/>
        <v>1.9690793015921859</v>
      </c>
      <c r="AA23" s="2" t="str">
        <f>+IFERROR(RANK(B23,(B$6,B$15,B$22,B$26,B$27,B$28,B$33),0),"")</f>
        <v/>
      </c>
      <c r="AB23" s="2" t="str">
        <f>+IFERROR(RANK(C23,(C$6,C$15,C$22,C$26,C$27,C$28,C$33),0),"")</f>
        <v/>
      </c>
      <c r="AC23" s="2" t="str">
        <f>+IFERROR(RANK(D23,(D$6,D$15,D$22,D$26,D$27,D$28,D$33),0),"")</f>
        <v/>
      </c>
      <c r="AD23" s="2" t="str">
        <f>+IFERROR(RANK(E23,(E$6,E$15,E$22,E$26,E$27,E$28,E$33),0),"")</f>
        <v/>
      </c>
      <c r="AE23" s="2" t="str">
        <f>+IFERROR(RANK(F23,(F$6,F$15,F$22,F$26,F$27,F$28,F$33),0),"")</f>
        <v/>
      </c>
      <c r="AF23" s="2" t="str">
        <f>+IFERROR(RANK(G23,(G$6,G$15,G$22,G$26,G$27,G$28,G$33),0),"")</f>
        <v/>
      </c>
      <c r="AG23" s="2" t="str">
        <f>+IFERROR(RANK(H23,(H$6,H$15,H$22,H$26,H$27,H$28,H$33),0),"")</f>
        <v/>
      </c>
      <c r="AH23" s="2" t="str">
        <f>+IFERROR(RANK(I23,(I$6,I$15,I$22,I$26,I$27,I$28,I$33),0),"")</f>
        <v/>
      </c>
      <c r="AI23" s="2" t="str">
        <f>+IFERROR(RANK(J23,(J$6,J$15,J$22,J$26,J$27,J$28,J$33),0),"")</f>
        <v/>
      </c>
      <c r="AJ23" s="2" t="str">
        <f>+IFERROR(RANK(K23,(K$6,K$15,K$22,K$26,K$27,K$28,K$33),0),"")</f>
        <v/>
      </c>
      <c r="AK23" s="2" t="str">
        <f>+IFERROR(RANK(L23,(L$6,L$15,L$22,L$26,L$27,L$28,L$33),0),"")</f>
        <v/>
      </c>
    </row>
    <row r="24" spans="1:37" ht="20.100000000000001" customHeight="1">
      <c r="A24" s="15" t="s">
        <v>772</v>
      </c>
      <c r="B24" s="328">
        <v>81706</v>
      </c>
      <c r="C24" s="328">
        <v>82356</v>
      </c>
      <c r="D24" s="328">
        <v>82859</v>
      </c>
      <c r="E24" s="328">
        <v>83567</v>
      </c>
      <c r="F24" s="328">
        <v>84949</v>
      </c>
      <c r="G24" s="328">
        <v>82771</v>
      </c>
      <c r="H24" s="328">
        <v>84202</v>
      </c>
      <c r="I24" s="328">
        <v>81787</v>
      </c>
      <c r="J24" s="328">
        <v>86056</v>
      </c>
      <c r="K24" s="328">
        <v>88188.999999999985</v>
      </c>
      <c r="L24" s="328">
        <v>87949</v>
      </c>
      <c r="N24" s="559">
        <f t="shared" si="5"/>
        <v>7.6408097324553781</v>
      </c>
      <c r="O24" s="419">
        <f t="shared" si="6"/>
        <v>6243</v>
      </c>
      <c r="P24" s="559">
        <f t="shared" si="7"/>
        <v>25.622322710937475</v>
      </c>
      <c r="Q24" s="559">
        <f t="shared" si="8"/>
        <v>25.616174183514783</v>
      </c>
      <c r="R24" s="559">
        <f t="shared" si="9"/>
        <v>25.500333914991721</v>
      </c>
      <c r="S24" s="559">
        <f t="shared" si="10"/>
        <v>25.532623474235773</v>
      </c>
      <c r="T24" s="559">
        <f t="shared" si="11"/>
        <v>25.690118185007332</v>
      </c>
      <c r="U24" s="559">
        <f t="shared" si="12"/>
        <v>25.627442116800534</v>
      </c>
      <c r="V24" s="559">
        <f t="shared" si="13"/>
        <v>25.911576537347795</v>
      </c>
      <c r="W24" s="559">
        <f t="shared" si="14"/>
        <v>25.698655790657778</v>
      </c>
      <c r="X24" s="559">
        <f t="shared" si="15"/>
        <v>25.867267037991116</v>
      </c>
      <c r="Y24" s="559">
        <f t="shared" si="16"/>
        <v>25.910202019014935</v>
      </c>
      <c r="Z24" s="559">
        <f t="shared" si="17"/>
        <v>26.018412784815379</v>
      </c>
      <c r="AA24" s="2" t="str">
        <f>+IFERROR(RANK(B24,(B$6,B$15,B$22,B$26,B$27,B$28,B$33),0),"")</f>
        <v/>
      </c>
      <c r="AB24" s="2" t="str">
        <f>+IFERROR(RANK(C24,(C$6,C$15,C$22,C$26,C$27,C$28,C$33),0),"")</f>
        <v/>
      </c>
      <c r="AC24" s="2" t="str">
        <f>+IFERROR(RANK(D24,(D$6,D$15,D$22,D$26,D$27,D$28,D$33),0),"")</f>
        <v/>
      </c>
      <c r="AD24" s="2" t="str">
        <f>+IFERROR(RANK(E24,(E$6,E$15,E$22,E$26,E$27,E$28,E$33),0),"")</f>
        <v/>
      </c>
      <c r="AE24" s="2" t="str">
        <f>+IFERROR(RANK(F24,(F$6,F$15,F$22,F$26,F$27,F$28,F$33),0),"")</f>
        <v/>
      </c>
      <c r="AF24" s="2" t="str">
        <f>+IFERROR(RANK(G24,(G$6,G$15,G$22,G$26,G$27,G$28,G$33),0),"")</f>
        <v/>
      </c>
      <c r="AG24" s="2" t="str">
        <f>+IFERROR(RANK(H24,(H$6,H$15,H$22,H$26,H$27,H$28,H$33),0),"")</f>
        <v/>
      </c>
      <c r="AH24" s="2" t="str">
        <f>+IFERROR(RANK(I24,(I$6,I$15,I$22,I$26,I$27,I$28,I$33),0),"")</f>
        <v/>
      </c>
      <c r="AI24" s="2" t="str">
        <f>+IFERROR(RANK(J24,(J$6,J$15,J$22,J$26,J$27,J$28,J$33),0),"")</f>
        <v/>
      </c>
      <c r="AJ24" s="2" t="str">
        <f>+IFERROR(RANK(K24,(K$6,K$15,K$22,K$26,K$27,K$28,K$33),0),"")</f>
        <v/>
      </c>
      <c r="AK24" s="2" t="str">
        <f>+IFERROR(RANK(L24,(L$6,L$15,L$22,L$26,L$27,L$28,L$33),0),"")</f>
        <v/>
      </c>
    </row>
    <row r="25" spans="1:37" ht="20.100000000000001" customHeight="1">
      <c r="A25" s="15" t="s">
        <v>518</v>
      </c>
      <c r="B25" s="328">
        <v>24383</v>
      </c>
      <c r="C25" s="328">
        <v>24424</v>
      </c>
      <c r="D25" s="328">
        <v>24530</v>
      </c>
      <c r="E25" s="328">
        <v>24570</v>
      </c>
      <c r="F25" s="328">
        <v>24481</v>
      </c>
      <c r="G25" s="328">
        <v>23836</v>
      </c>
      <c r="H25" s="328">
        <v>23900</v>
      </c>
      <c r="I25" s="328">
        <v>23196</v>
      </c>
      <c r="J25" s="328">
        <v>24481</v>
      </c>
      <c r="K25" s="328">
        <v>25002.999999999996</v>
      </c>
      <c r="L25" s="328">
        <v>24720.000000000004</v>
      </c>
      <c r="N25" s="559">
        <f t="shared" si="5"/>
        <v>1.3821104868146028</v>
      </c>
      <c r="O25" s="419">
        <f t="shared" si="6"/>
        <v>337.00000000000364</v>
      </c>
      <c r="P25" s="559">
        <f t="shared" si="7"/>
        <v>7.6463062034708402</v>
      </c>
      <c r="Q25" s="559">
        <f t="shared" si="8"/>
        <v>7.5968895800933156</v>
      </c>
      <c r="R25" s="559">
        <f t="shared" si="9"/>
        <v>7.549248614329727</v>
      </c>
      <c r="S25" s="559">
        <f t="shared" si="10"/>
        <v>7.5069891076857242</v>
      </c>
      <c r="T25" s="559">
        <f t="shared" si="11"/>
        <v>7.4034983729904358</v>
      </c>
      <c r="U25" s="559">
        <f t="shared" si="12"/>
        <v>7.3800692307215998</v>
      </c>
      <c r="V25" s="559">
        <f t="shared" si="13"/>
        <v>7.3547739868721917</v>
      </c>
      <c r="W25" s="559">
        <f t="shared" si="14"/>
        <v>7.2885179762076833</v>
      </c>
      <c r="X25" s="559">
        <f t="shared" si="15"/>
        <v>7.3586567392983699</v>
      </c>
      <c r="Y25" s="559">
        <f t="shared" si="16"/>
        <v>7.3459590320950507</v>
      </c>
      <c r="Z25" s="559">
        <f t="shared" si="17"/>
        <v>7.3130469253844419</v>
      </c>
      <c r="AA25" s="2" t="str">
        <f>+IFERROR(RANK(B25,(B$6,B$15,B$22,B$26,B$27,B$28,B$33),0),"")</f>
        <v/>
      </c>
      <c r="AB25" s="2" t="str">
        <f>+IFERROR(RANK(C25,(C$6,C$15,C$22,C$26,C$27,C$28,C$33),0),"")</f>
        <v/>
      </c>
      <c r="AC25" s="2" t="str">
        <f>+IFERROR(RANK(D25,(D$6,D$15,D$22,D$26,D$27,D$28,D$33),0),"")</f>
        <v/>
      </c>
      <c r="AD25" s="2" t="str">
        <f>+IFERROR(RANK(E25,(E$6,E$15,E$22,E$26,E$27,E$28,E$33),0),"")</f>
        <v/>
      </c>
      <c r="AE25" s="2" t="str">
        <f>+IFERROR(RANK(F25,(F$6,F$15,F$22,F$26,F$27,F$28,F$33),0),"")</f>
        <v/>
      </c>
      <c r="AF25" s="2" t="str">
        <f>+IFERROR(RANK(G25,(G$6,G$15,G$22,G$26,G$27,G$28,G$33),0),"")</f>
        <v/>
      </c>
      <c r="AG25" s="2" t="str">
        <f>+IFERROR(RANK(H25,(H$6,H$15,H$22,H$26,H$27,H$28,H$33),0),"")</f>
        <v/>
      </c>
      <c r="AH25" s="2" t="str">
        <f>+IFERROR(RANK(I25,(I$6,I$15,I$22,I$26,I$27,I$28,I$33),0),"")</f>
        <v/>
      </c>
      <c r="AI25" s="2" t="str">
        <f>+IFERROR(RANK(J25,(J$6,J$15,J$22,J$26,J$27,J$28,J$33),0),"")</f>
        <v/>
      </c>
      <c r="AJ25" s="2" t="str">
        <f>+IFERROR(RANK(K25,(K$6,K$15,K$22,K$26,K$27,K$28,K$33),0),"")</f>
        <v/>
      </c>
      <c r="AK25" s="2" t="str">
        <f>+IFERROR(RANK(L25,(L$6,L$15,L$22,L$26,L$27,L$28,L$33),0),"")</f>
        <v/>
      </c>
    </row>
    <row r="26" spans="1:37" ht="18" customHeight="1">
      <c r="A26" s="572" t="s">
        <v>519</v>
      </c>
      <c r="B26" s="646">
        <v>3079</v>
      </c>
      <c r="C26" s="646">
        <v>3085</v>
      </c>
      <c r="D26" s="646">
        <v>3145</v>
      </c>
      <c r="E26" s="646">
        <v>3176</v>
      </c>
      <c r="F26" s="646">
        <v>3187</v>
      </c>
      <c r="G26" s="646">
        <v>3177</v>
      </c>
      <c r="H26" s="646">
        <v>3249</v>
      </c>
      <c r="I26" s="646">
        <v>3219</v>
      </c>
      <c r="J26" s="646">
        <v>3368</v>
      </c>
      <c r="K26" s="646">
        <v>3451</v>
      </c>
      <c r="L26" s="646">
        <v>3421</v>
      </c>
      <c r="N26" s="559">
        <f t="shared" si="5"/>
        <v>11.107502435855787</v>
      </c>
      <c r="O26" s="419">
        <f t="shared" si="6"/>
        <v>342</v>
      </c>
      <c r="P26" s="559">
        <f t="shared" si="7"/>
        <v>0.96554881681855043</v>
      </c>
      <c r="Q26" s="559">
        <f t="shared" si="8"/>
        <v>0.95956454121306411</v>
      </c>
      <c r="R26" s="559">
        <f t="shared" si="9"/>
        <v>0.96789184231826308</v>
      </c>
      <c r="S26" s="559">
        <f t="shared" si="10"/>
        <v>0.97037840480300608</v>
      </c>
      <c r="T26" s="559">
        <f t="shared" si="11"/>
        <v>0.96380659755404263</v>
      </c>
      <c r="U26" s="559">
        <f t="shared" si="12"/>
        <v>0.9836583296695135</v>
      </c>
      <c r="V26" s="559">
        <f t="shared" si="13"/>
        <v>0.99981843863379705</v>
      </c>
      <c r="W26" s="559">
        <f t="shared" si="14"/>
        <v>1.011456258208852</v>
      </c>
      <c r="X26" s="559">
        <f t="shared" si="15"/>
        <v>1.01237514390576</v>
      </c>
      <c r="Y26" s="559">
        <f t="shared" si="16"/>
        <v>1.0139145150485953</v>
      </c>
      <c r="Z26" s="559">
        <f t="shared" si="17"/>
        <v>1.0120523273357673</v>
      </c>
      <c r="AA26" s="2">
        <f>+IFERROR(RANK(B26,(B$6,B$15,B$22,B$26,B$27,B$28,B$33),0),"")</f>
        <v>6</v>
      </c>
      <c r="AB26" s="2">
        <f>+IFERROR(RANK(C26,(C$6,C$15,C$22,C$26,C$27,C$28,C$33),0),"")</f>
        <v>6</v>
      </c>
      <c r="AC26" s="2">
        <f>+IFERROR(RANK(D26,(D$6,D$15,D$22,D$26,D$27,D$28,D$33),0),"")</f>
        <v>6</v>
      </c>
      <c r="AD26" s="2">
        <f>+IFERROR(RANK(E26,(E$6,E$15,E$22,E$26,E$27,E$28,E$33),0),"")</f>
        <v>6</v>
      </c>
      <c r="AE26" s="2">
        <f>+IFERROR(RANK(F26,(F$6,F$15,F$22,F$26,F$27,F$28,F$33),0),"")</f>
        <v>6</v>
      </c>
      <c r="AF26" s="2">
        <f>+IFERROR(RANK(G26,(G$6,G$15,G$22,G$26,G$27,G$28,G$33),0),"")</f>
        <v>6</v>
      </c>
      <c r="AG26" s="2">
        <f>+IFERROR(RANK(H26,(H$6,H$15,H$22,H$26,H$27,H$28,H$33),0),"")</f>
        <v>6</v>
      </c>
      <c r="AH26" s="2">
        <f>+IFERROR(RANK(I26,(I$6,I$15,I$22,I$26,I$27,I$28,I$33),0),"")</f>
        <v>6</v>
      </c>
      <c r="AI26" s="2">
        <f>+IFERROR(RANK(J26,(J$6,J$15,J$22,J$26,J$27,J$28,J$33),0),"")</f>
        <v>6</v>
      </c>
      <c r="AJ26" s="2">
        <f>+IFERROR(RANK(K26,(K$6,K$15,K$22,K$26,K$27,K$28,K$33),0),"")</f>
        <v>6</v>
      </c>
      <c r="AK26" s="2">
        <f>+IFERROR(RANK(L26,(L$6,L$15,L$22,L$26,L$27,L$28,L$33),0),"")</f>
        <v>6</v>
      </c>
    </row>
    <row r="27" spans="1:37" ht="18" customHeight="1">
      <c r="A27" s="572" t="s">
        <v>520</v>
      </c>
      <c r="B27" s="646">
        <v>4090</v>
      </c>
      <c r="C27" s="646">
        <v>4123</v>
      </c>
      <c r="D27" s="646">
        <v>4152</v>
      </c>
      <c r="E27" s="646">
        <v>4217</v>
      </c>
      <c r="F27" s="646">
        <v>4208</v>
      </c>
      <c r="G27" s="646">
        <v>4100</v>
      </c>
      <c r="H27" s="646">
        <v>4108</v>
      </c>
      <c r="I27" s="646">
        <v>4065</v>
      </c>
      <c r="J27" s="646">
        <v>4263</v>
      </c>
      <c r="K27" s="646">
        <v>4493</v>
      </c>
      <c r="L27" s="646">
        <v>4522</v>
      </c>
      <c r="N27" s="559">
        <f t="shared" si="5"/>
        <v>10.562347188264054</v>
      </c>
      <c r="O27" s="419">
        <f t="shared" si="6"/>
        <v>432</v>
      </c>
      <c r="P27" s="559">
        <f t="shared" si="7"/>
        <v>1.2825900164949242</v>
      </c>
      <c r="Q27" s="559">
        <f t="shared" si="8"/>
        <v>1.2824261275272166</v>
      </c>
      <c r="R27" s="559">
        <f t="shared" si="9"/>
        <v>1.2778018853117419</v>
      </c>
      <c r="S27" s="559">
        <f t="shared" si="10"/>
        <v>1.2884400922714978</v>
      </c>
      <c r="T27" s="559">
        <f t="shared" si="11"/>
        <v>1.2725755138084127</v>
      </c>
      <c r="U27" s="559">
        <f t="shared" si="12"/>
        <v>1.2694363083553684</v>
      </c>
      <c r="V27" s="559">
        <f t="shared" si="13"/>
        <v>1.2641594785803749</v>
      </c>
      <c r="W27" s="559">
        <f t="shared" si="14"/>
        <v>1.2772816681015793</v>
      </c>
      <c r="X27" s="559">
        <f t="shared" si="15"/>
        <v>1.2814000114222845</v>
      </c>
      <c r="Y27" s="559">
        <f t="shared" si="16"/>
        <v>1.3200573503660789</v>
      </c>
      <c r="Z27" s="559">
        <f t="shared" si="17"/>
        <v>1.33776691733772</v>
      </c>
      <c r="AA27" s="2">
        <f>+IFERROR(RANK(B27,(B$6,B$15,B$22,B$26,B$27,B$28,B$33),0),"")</f>
        <v>5</v>
      </c>
      <c r="AB27" s="2">
        <f>+IFERROR(RANK(C27,(C$6,C$15,C$22,C$26,C$27,C$28,C$33),0),"")</f>
        <v>5</v>
      </c>
      <c r="AC27" s="2">
        <f>+IFERROR(RANK(D27,(D$6,D$15,D$22,D$26,D$27,D$28,D$33),0),"")</f>
        <v>5</v>
      </c>
      <c r="AD27" s="2">
        <f>+IFERROR(RANK(E27,(E$6,E$15,E$22,E$26,E$27,E$28,E$33),0),"")</f>
        <v>5</v>
      </c>
      <c r="AE27" s="2">
        <f>+IFERROR(RANK(F27,(F$6,F$15,F$22,F$26,F$27,F$28,F$33),0),"")</f>
        <v>5</v>
      </c>
      <c r="AF27" s="2">
        <f>+IFERROR(RANK(G27,(G$6,G$15,G$22,G$26,G$27,G$28,G$33),0),"")</f>
        <v>5</v>
      </c>
      <c r="AG27" s="2">
        <f>+IFERROR(RANK(H27,(H$6,H$15,H$22,H$26,H$27,H$28,H$33),0),"")</f>
        <v>5</v>
      </c>
      <c r="AH27" s="2">
        <f>+IFERROR(RANK(I27,(I$6,I$15,I$22,I$26,I$27,I$28,I$33),0),"")</f>
        <v>5</v>
      </c>
      <c r="AI27" s="2">
        <f>+IFERROR(RANK(J27,(J$6,J$15,J$22,J$26,J$27,J$28,J$33),0),"")</f>
        <v>5</v>
      </c>
      <c r="AJ27" s="2">
        <f>+IFERROR(RANK(K27,(K$6,K$15,K$22,K$26,K$27,K$28,K$33),0),"")</f>
        <v>5</v>
      </c>
      <c r="AK27" s="2">
        <f>+IFERROR(RANK(L27,(L$6,L$15,L$22,L$26,L$27,L$28,L$33),0),"")</f>
        <v>5</v>
      </c>
    </row>
    <row r="28" spans="1:37" ht="18" customHeight="1">
      <c r="A28" s="572" t="s">
        <v>515</v>
      </c>
      <c r="B28" s="646">
        <v>7565</v>
      </c>
      <c r="C28" s="646">
        <v>7580</v>
      </c>
      <c r="D28" s="646">
        <v>7623</v>
      </c>
      <c r="E28" s="646">
        <v>7631</v>
      </c>
      <c r="F28" s="646">
        <v>7613</v>
      </c>
      <c r="G28" s="646">
        <v>7382</v>
      </c>
      <c r="H28" s="646">
        <v>7339</v>
      </c>
      <c r="I28" s="646">
        <v>7112</v>
      </c>
      <c r="J28" s="646">
        <v>7366</v>
      </c>
      <c r="K28" s="646">
        <v>7492.0000000000018</v>
      </c>
      <c r="L28" s="646">
        <v>7367.9999999999991</v>
      </c>
      <c r="N28" s="559">
        <f t="shared" si="5"/>
        <v>-2.6040978189028507</v>
      </c>
      <c r="O28" s="419">
        <f t="shared" si="6"/>
        <v>-197.00000000000091</v>
      </c>
      <c r="P28" s="559">
        <f t="shared" si="7"/>
        <v>2.3723211429789979</v>
      </c>
      <c r="Q28" s="559">
        <f t="shared" si="8"/>
        <v>2.3576982892690523</v>
      </c>
      <c r="R28" s="559">
        <f t="shared" si="9"/>
        <v>2.3460221030181621</v>
      </c>
      <c r="S28" s="559">
        <f t="shared" si="10"/>
        <v>2.3315357704822857</v>
      </c>
      <c r="T28" s="559">
        <f t="shared" si="11"/>
        <v>2.3023092648819978</v>
      </c>
      <c r="U28" s="559">
        <f t="shared" si="12"/>
        <v>2.2856045922632511</v>
      </c>
      <c r="V28" s="559">
        <f t="shared" si="13"/>
        <v>2.2584387568893312</v>
      </c>
      <c r="W28" s="559">
        <f t="shared" si="14"/>
        <v>2.2346930439208932</v>
      </c>
      <c r="X28" s="559">
        <f t="shared" si="15"/>
        <v>2.2141197476276213</v>
      </c>
      <c r="Y28" s="559">
        <f t="shared" si="16"/>
        <v>2.2011728619948068</v>
      </c>
      <c r="Z28" s="559">
        <f t="shared" si="17"/>
        <v>2.1797139864980806</v>
      </c>
      <c r="AA28" s="2">
        <f>+IFERROR(RANK(B28,(B$6,B$15,B$22,B$26,B$27,B$28,B$33),0),"")</f>
        <v>4</v>
      </c>
      <c r="AB28" s="2">
        <f>+IFERROR(RANK(C28,(C$6,C$15,C$22,C$26,C$27,C$28,C$33),0),"")</f>
        <v>4</v>
      </c>
      <c r="AC28" s="2">
        <f>+IFERROR(RANK(D28,(D$6,D$15,D$22,D$26,D$27,D$28,D$33),0),"")</f>
        <v>4</v>
      </c>
      <c r="AD28" s="2">
        <f>+IFERROR(RANK(E28,(E$6,E$15,E$22,E$26,E$27,E$28,E$33),0),"")</f>
        <v>4</v>
      </c>
      <c r="AE28" s="2">
        <f>+IFERROR(RANK(F28,(F$6,F$15,F$22,F$26,F$27,F$28,F$33),0),"")</f>
        <v>4</v>
      </c>
      <c r="AF28" s="2">
        <f>+IFERROR(RANK(G28,(G$6,G$15,G$22,G$26,G$27,G$28,G$33),0),"")</f>
        <v>4</v>
      </c>
      <c r="AG28" s="2">
        <f>+IFERROR(RANK(H28,(H$6,H$15,H$22,H$26,H$27,H$28,H$33),0),"")</f>
        <v>4</v>
      </c>
      <c r="AH28" s="2">
        <f>+IFERROR(RANK(I28,(I$6,I$15,I$22,I$26,I$27,I$28,I$33),0),"")</f>
        <v>4</v>
      </c>
      <c r="AI28" s="2">
        <f>+IFERROR(RANK(J28,(J$6,J$15,J$22,J$26,J$27,J$28,J$33),0),"")</f>
        <v>4</v>
      </c>
      <c r="AJ28" s="2">
        <f>+IFERROR(RANK(K28,(K$6,K$15,K$22,K$26,K$27,K$28,K$33),0),"")</f>
        <v>4</v>
      </c>
      <c r="AK28" s="2">
        <f>+IFERROR(RANK(L28,(L$6,L$15,L$22,L$26,L$27,L$28,L$33),0),"")</f>
        <v>4</v>
      </c>
    </row>
    <row r="29" spans="1:37" ht="18" customHeight="1">
      <c r="A29" s="572" t="s">
        <v>521</v>
      </c>
      <c r="B29" s="646">
        <v>3518</v>
      </c>
      <c r="C29" s="646">
        <v>3504</v>
      </c>
      <c r="D29" s="646">
        <v>3523</v>
      </c>
      <c r="E29" s="646">
        <v>3473</v>
      </c>
      <c r="F29" s="646">
        <v>3444</v>
      </c>
      <c r="G29" s="646">
        <v>3298</v>
      </c>
      <c r="H29" s="646">
        <v>3302</v>
      </c>
      <c r="I29" s="646">
        <v>3192</v>
      </c>
      <c r="J29" s="646">
        <v>3433</v>
      </c>
      <c r="K29" s="646">
        <v>3430.0000000000005</v>
      </c>
      <c r="L29" s="646">
        <v>3351.0000000000005</v>
      </c>
      <c r="N29" s="559">
        <f t="shared" si="5"/>
        <v>-4.7470153496304572</v>
      </c>
      <c r="O29" s="419">
        <f t="shared" si="6"/>
        <v>-166.99999999999955</v>
      </c>
      <c r="P29" s="559">
        <f t="shared" si="7"/>
        <v>1.1032155692002794</v>
      </c>
      <c r="Q29" s="559">
        <f t="shared" si="8"/>
        <v>1.0898911353032663</v>
      </c>
      <c r="R29" s="559">
        <f t="shared" si="9"/>
        <v>1.0842235168480894</v>
      </c>
      <c r="S29" s="559">
        <f t="shared" si="10"/>
        <v>1.0611222291816247</v>
      </c>
      <c r="T29" s="559">
        <f t="shared" si="11"/>
        <v>1.041528058354604</v>
      </c>
      <c r="U29" s="559">
        <f t="shared" si="12"/>
        <v>1.0211221816965865</v>
      </c>
      <c r="V29" s="559">
        <f t="shared" si="13"/>
        <v>1.0161281884791622</v>
      </c>
      <c r="W29" s="559">
        <f t="shared" si="14"/>
        <v>1.0029724685314245</v>
      </c>
      <c r="X29" s="559">
        <f t="shared" si="15"/>
        <v>1.0319132627756751</v>
      </c>
      <c r="Y29" s="559">
        <f t="shared" si="16"/>
        <v>1.0077446498454599</v>
      </c>
      <c r="Z29" s="559">
        <f t="shared" si="17"/>
        <v>0.99134386112310935</v>
      </c>
      <c r="AA29" s="2" t="str">
        <f>+IFERROR(RANK(B29,(B$6,B$15,B$22,B$26,B$27,B$28,B$33),0),"")</f>
        <v/>
      </c>
      <c r="AB29" s="2" t="str">
        <f>+IFERROR(RANK(C29,(C$6,C$15,C$22,C$26,C$27,C$28,C$33),0),"")</f>
        <v/>
      </c>
      <c r="AC29" s="2" t="str">
        <f>+IFERROR(RANK(D29,(D$6,D$15,D$22,D$26,D$27,D$28,D$33),0),"")</f>
        <v/>
      </c>
      <c r="AD29" s="2" t="str">
        <f>+IFERROR(RANK(E29,(E$6,E$15,E$22,E$26,E$27,E$28,E$33),0),"")</f>
        <v/>
      </c>
      <c r="AE29" s="2" t="str">
        <f>+IFERROR(RANK(F29,(F$6,F$15,F$22,F$26,F$27,F$28,F$33),0),"")</f>
        <v/>
      </c>
      <c r="AF29" s="2" t="str">
        <f>+IFERROR(RANK(G29,(G$6,G$15,G$22,G$26,G$27,G$28,G$33),0),"")</f>
        <v/>
      </c>
      <c r="AG29" s="2" t="str">
        <f>+IFERROR(RANK(H29,(H$6,H$15,H$22,H$26,H$27,H$28,H$33),0),"")</f>
        <v/>
      </c>
      <c r="AH29" s="2" t="str">
        <f>+IFERROR(RANK(I29,(I$6,I$15,I$22,I$26,I$27,I$28,I$33),0),"")</f>
        <v/>
      </c>
      <c r="AI29" s="2" t="str">
        <f>+IFERROR(RANK(J29,(J$6,J$15,J$22,J$26,J$27,J$28,J$33),0),"")</f>
        <v/>
      </c>
      <c r="AJ29" s="2" t="str">
        <f>+IFERROR(RANK(K29,(K$6,K$15,K$22,K$26,K$27,K$28,K$33),0),"")</f>
        <v/>
      </c>
      <c r="AK29" s="2" t="str">
        <f>+IFERROR(RANK(L29,(L$6,L$15,L$22,L$26,L$27,L$28,L$33),0),"")</f>
        <v/>
      </c>
    </row>
    <row r="30" spans="1:37" ht="18" customHeight="1">
      <c r="A30" s="572" t="s">
        <v>522</v>
      </c>
      <c r="B30" s="646">
        <v>6131</v>
      </c>
      <c r="C30" s="646">
        <v>6132</v>
      </c>
      <c r="D30" s="646">
        <v>6087</v>
      </c>
      <c r="E30" s="646">
        <v>6073</v>
      </c>
      <c r="F30" s="646">
        <v>6029</v>
      </c>
      <c r="G30" s="646">
        <v>5879</v>
      </c>
      <c r="H30" s="646">
        <v>5902</v>
      </c>
      <c r="I30" s="646">
        <v>5608</v>
      </c>
      <c r="J30" s="646">
        <v>6051</v>
      </c>
      <c r="K30" s="646">
        <v>6137</v>
      </c>
      <c r="L30" s="646">
        <v>6058</v>
      </c>
      <c r="N30" s="559">
        <f t="shared" si="5"/>
        <v>-1.1906703637253324</v>
      </c>
      <c r="O30" s="419">
        <f t="shared" si="6"/>
        <v>-73</v>
      </c>
      <c r="P30" s="559">
        <f t="shared" si="7"/>
        <v>1.9226306579780881</v>
      </c>
      <c r="Q30" s="559">
        <f t="shared" si="8"/>
        <v>1.9073094867807161</v>
      </c>
      <c r="R30" s="559">
        <f t="shared" si="9"/>
        <v>1.8733092668334712</v>
      </c>
      <c r="S30" s="559">
        <f t="shared" si="10"/>
        <v>1.8555126109473099</v>
      </c>
      <c r="T30" s="559">
        <f t="shared" si="11"/>
        <v>1.8232789383913783</v>
      </c>
      <c r="U30" s="559">
        <f t="shared" si="12"/>
        <v>1.8202478187368805</v>
      </c>
      <c r="V30" s="559">
        <f t="shared" si="13"/>
        <v>1.8162291242895261</v>
      </c>
      <c r="W30" s="559">
        <f t="shared" si="14"/>
        <v>1.7621145374449338</v>
      </c>
      <c r="X30" s="559">
        <f t="shared" si="15"/>
        <v>1.818848573567029</v>
      </c>
      <c r="Y30" s="559">
        <f t="shared" si="16"/>
        <v>1.8030696548401126</v>
      </c>
      <c r="Z30" s="559">
        <f t="shared" si="17"/>
        <v>1.7921698330897629</v>
      </c>
      <c r="AA30" s="2" t="str">
        <f>+IFERROR(RANK(B30,(B$6,B$15,B$22,B$26,B$27,B$28,B$33),0),"")</f>
        <v/>
      </c>
      <c r="AB30" s="2" t="str">
        <f>+IFERROR(RANK(C30,(C$6,C$15,C$22,C$26,C$27,C$28,C$33),0),"")</f>
        <v/>
      </c>
      <c r="AC30" s="2" t="str">
        <f>+IFERROR(RANK(D30,(D$6,D$15,D$22,D$26,D$27,D$28,D$33),0),"")</f>
        <v/>
      </c>
      <c r="AD30" s="2" t="str">
        <f>+IFERROR(RANK(E30,(E$6,E$15,E$22,E$26,E$27,E$28,E$33),0),"")</f>
        <v/>
      </c>
      <c r="AE30" s="2" t="str">
        <f>+IFERROR(RANK(F30,(F$6,F$15,F$22,F$26,F$27,F$28,F$33),0),"")</f>
        <v/>
      </c>
      <c r="AF30" s="2" t="str">
        <f>+IFERROR(RANK(G30,(G$6,G$15,G$22,G$26,G$27,G$28,G$33),0),"")</f>
        <v/>
      </c>
      <c r="AG30" s="2" t="str">
        <f>+IFERROR(RANK(H30,(H$6,H$15,H$22,H$26,H$27,H$28,H$33),0),"")</f>
        <v/>
      </c>
      <c r="AH30" s="2" t="str">
        <f>+IFERROR(RANK(I30,(I$6,I$15,I$22,I$26,I$27,I$28,I$33),0),"")</f>
        <v/>
      </c>
      <c r="AI30" s="2" t="str">
        <f>+IFERROR(RANK(J30,(J$6,J$15,J$22,J$26,J$27,J$28,J$33),0),"")</f>
        <v/>
      </c>
      <c r="AJ30" s="2" t="str">
        <f>+IFERROR(RANK(K30,(K$6,K$15,K$22,K$26,K$27,K$28,K$33),0),"")</f>
        <v/>
      </c>
      <c r="AK30" s="2" t="str">
        <f>+IFERROR(RANK(L30,(L$6,L$15,L$22,L$26,L$27,L$28,L$33),0),"")</f>
        <v/>
      </c>
    </row>
    <row r="31" spans="1:37" s="18" customFormat="1" ht="20.100000000000001" customHeight="1">
      <c r="A31" s="17" t="s">
        <v>523</v>
      </c>
      <c r="B31" s="689">
        <v>19056</v>
      </c>
      <c r="C31" s="689">
        <v>19415</v>
      </c>
      <c r="D31" s="689">
        <v>19902</v>
      </c>
      <c r="E31" s="689">
        <v>20073</v>
      </c>
      <c r="F31" s="689">
        <v>20768</v>
      </c>
      <c r="G31" s="689">
        <v>20888</v>
      </c>
      <c r="H31" s="689">
        <v>20366</v>
      </c>
      <c r="I31" s="689">
        <v>19836</v>
      </c>
      <c r="J31" s="689">
        <v>20699</v>
      </c>
      <c r="K31" s="689">
        <v>22034</v>
      </c>
      <c r="L31" s="689">
        <v>21958.999999999996</v>
      </c>
      <c r="N31" s="559">
        <f t="shared" si="5"/>
        <v>15.234047019311481</v>
      </c>
      <c r="O31" s="419">
        <f t="shared" si="6"/>
        <v>2902.9999999999964</v>
      </c>
      <c r="P31" s="559">
        <f t="shared" si="7"/>
        <v>5.975803265116693</v>
      </c>
      <c r="Q31" s="559">
        <f t="shared" si="8"/>
        <v>6.0388802488335944</v>
      </c>
      <c r="R31" s="559">
        <f t="shared" si="9"/>
        <v>6.1249549907211671</v>
      </c>
      <c r="S31" s="559">
        <f t="shared" si="10"/>
        <v>6.1329992819933068</v>
      </c>
      <c r="T31" s="559">
        <f t="shared" si="11"/>
        <v>6.2806198362103416</v>
      </c>
      <c r="U31" s="559">
        <f t="shared" si="12"/>
        <v>6.4673135631529108</v>
      </c>
      <c r="V31" s="559">
        <f t="shared" si="13"/>
        <v>6.2672521764284124</v>
      </c>
      <c r="W31" s="559">
        <f t="shared" si="14"/>
        <v>6.2327574830167096</v>
      </c>
      <c r="X31" s="559">
        <f t="shared" si="15"/>
        <v>6.2218388075134579</v>
      </c>
      <c r="Y31" s="559">
        <f t="shared" si="16"/>
        <v>6.4736576136136614</v>
      </c>
      <c r="Z31" s="559">
        <f t="shared" si="17"/>
        <v>6.4962458509108778</v>
      </c>
      <c r="AA31" s="2" t="str">
        <f>+IFERROR(RANK(B31,(B$6,B$15,B$22,B$26,B$27,B$28,B$33),0),"")</f>
        <v/>
      </c>
      <c r="AB31" s="2" t="str">
        <f>+IFERROR(RANK(C31,(C$6,C$15,C$22,C$26,C$27,C$28,C$33),0),"")</f>
        <v/>
      </c>
      <c r="AC31" s="2" t="str">
        <f>+IFERROR(RANK(D31,(D$6,D$15,D$22,D$26,D$27,D$28,D$33),0),"")</f>
        <v/>
      </c>
      <c r="AD31" s="2" t="str">
        <f>+IFERROR(RANK(E31,(E$6,E$15,E$22,E$26,E$27,E$28,E$33),0),"")</f>
        <v/>
      </c>
      <c r="AE31" s="2" t="str">
        <f>+IFERROR(RANK(F31,(F$6,F$15,F$22,F$26,F$27,F$28,F$33),0),"")</f>
        <v/>
      </c>
      <c r="AF31" s="2" t="str">
        <f>+IFERROR(RANK(G31,(G$6,G$15,G$22,G$26,G$27,G$28,G$33),0),"")</f>
        <v/>
      </c>
      <c r="AG31" s="2" t="str">
        <f>+IFERROR(RANK(H31,(H$6,H$15,H$22,H$26,H$27,H$28,H$33),0),"")</f>
        <v/>
      </c>
      <c r="AH31" s="2" t="str">
        <f>+IFERROR(RANK(I31,(I$6,I$15,I$22,I$26,I$27,I$28,I$33),0),"")</f>
        <v/>
      </c>
      <c r="AI31" s="2" t="str">
        <f>+IFERROR(RANK(J31,(J$6,J$15,J$22,J$26,J$27,J$28,J$33),0),"")</f>
        <v/>
      </c>
      <c r="AJ31" s="2" t="str">
        <f>+IFERROR(RANK(K31,(K$6,K$15,K$22,K$26,K$27,K$28,K$33),0),"")</f>
        <v/>
      </c>
      <c r="AK31" s="2" t="str">
        <f>+IFERROR(RANK(L31,(L$6,L$15,L$22,L$26,L$27,L$28,L$33),0),"")</f>
        <v/>
      </c>
    </row>
    <row r="32" spans="1:37" ht="15" customHeight="1">
      <c r="A32" s="19" t="s">
        <v>769</v>
      </c>
      <c r="B32" s="16"/>
      <c r="C32" s="16"/>
      <c r="D32" s="16"/>
      <c r="E32" s="16"/>
      <c r="F32" s="16"/>
      <c r="G32" s="16"/>
      <c r="H32" s="16"/>
      <c r="I32" s="16"/>
      <c r="J32" s="16"/>
      <c r="K32" s="16"/>
      <c r="L32" s="16"/>
      <c r="P32" s="682"/>
      <c r="Q32" s="681"/>
      <c r="U32" s="682"/>
      <c r="V32" s="678"/>
      <c r="W32" s="678"/>
      <c r="X32" s="678"/>
      <c r="Y32" s="678"/>
      <c r="Z32" s="678"/>
      <c r="AA32" s="678"/>
      <c r="AB32" s="678"/>
      <c r="AC32" s="678"/>
      <c r="AD32" s="678"/>
      <c r="AE32" s="678"/>
    </row>
    <row r="33" spans="16:31">
      <c r="P33" s="682"/>
      <c r="Q33" s="681"/>
      <c r="U33" s="682"/>
      <c r="V33" s="678"/>
      <c r="W33" s="678"/>
      <c r="X33" s="678"/>
      <c r="Y33" s="678"/>
      <c r="Z33" s="678"/>
      <c r="AA33" s="678"/>
      <c r="AB33" s="678"/>
      <c r="AC33" s="678"/>
      <c r="AD33" s="678"/>
      <c r="AE33" s="678"/>
    </row>
    <row r="34" spans="16:31">
      <c r="P34" s="682"/>
      <c r="Q34" s="681"/>
      <c r="U34" s="682"/>
      <c r="V34" s="678"/>
      <c r="W34" s="678"/>
      <c r="X34" s="678"/>
      <c r="Y34" s="678"/>
      <c r="Z34" s="678"/>
      <c r="AA34" s="678"/>
      <c r="AB34" s="678"/>
      <c r="AC34" s="678"/>
      <c r="AD34" s="678"/>
      <c r="AE34" s="678"/>
    </row>
    <row r="35" spans="16:31">
      <c r="P35" s="682"/>
      <c r="Q35" s="681"/>
      <c r="U35" s="682"/>
      <c r="V35" s="678"/>
      <c r="W35" s="678"/>
      <c r="X35" s="678"/>
      <c r="Y35" s="678"/>
      <c r="Z35" s="678"/>
      <c r="AA35" s="678"/>
      <c r="AB35" s="678"/>
      <c r="AC35" s="678"/>
      <c r="AD35" s="678"/>
      <c r="AE35" s="678"/>
    </row>
    <row r="36" spans="16:31">
      <c r="P36" s="682"/>
      <c r="Q36" s="681"/>
      <c r="U36" s="682"/>
      <c r="V36" s="678"/>
      <c r="W36" s="678"/>
      <c r="X36" s="678"/>
      <c r="Y36" s="678"/>
      <c r="Z36" s="678"/>
      <c r="AA36" s="678"/>
      <c r="AB36" s="678"/>
      <c r="AC36" s="678"/>
      <c r="AD36" s="678"/>
      <c r="AE36" s="678"/>
    </row>
    <row r="37" spans="16:31">
      <c r="P37" s="682"/>
      <c r="Q37" s="681"/>
      <c r="U37" s="682"/>
      <c r="V37" s="678"/>
      <c r="W37" s="678"/>
      <c r="X37" s="678"/>
      <c r="Y37" s="678"/>
      <c r="Z37" s="678"/>
      <c r="AA37" s="678"/>
      <c r="AB37" s="678"/>
      <c r="AC37" s="678"/>
      <c r="AD37" s="678"/>
      <c r="AE37" s="678"/>
    </row>
    <row r="38" spans="16:31">
      <c r="P38" s="682"/>
      <c r="Q38" s="681"/>
      <c r="U38" s="682"/>
      <c r="V38" s="678"/>
      <c r="W38" s="678"/>
      <c r="X38" s="678"/>
      <c r="Y38" s="678"/>
      <c r="Z38" s="678"/>
      <c r="AA38" s="678"/>
      <c r="AB38" s="678"/>
      <c r="AC38" s="678"/>
      <c r="AD38" s="678"/>
      <c r="AE38" s="678"/>
    </row>
    <row r="39" spans="16:31">
      <c r="P39" s="685"/>
      <c r="Q39" s="681"/>
      <c r="U39" s="685"/>
      <c r="V39" s="678"/>
      <c r="W39" s="678"/>
      <c r="X39" s="678"/>
      <c r="Y39" s="678"/>
      <c r="Z39" s="678"/>
      <c r="AA39" s="678"/>
      <c r="AB39" s="678"/>
      <c r="AC39" s="678"/>
      <c r="AD39" s="678"/>
      <c r="AE39" s="678"/>
    </row>
    <row r="40" spans="16:31">
      <c r="P40" s="685"/>
      <c r="Q40" s="681"/>
      <c r="U40" s="685"/>
      <c r="V40" s="678"/>
      <c r="W40" s="678"/>
      <c r="X40" s="678"/>
      <c r="Y40" s="678"/>
      <c r="Z40" s="678"/>
      <c r="AA40" s="678"/>
      <c r="AB40" s="678"/>
      <c r="AC40" s="678"/>
      <c r="AD40" s="678"/>
      <c r="AE40" s="678"/>
    </row>
    <row r="41" spans="16:31">
      <c r="P41" s="682"/>
      <c r="Q41" s="681"/>
      <c r="U41" s="682"/>
      <c r="V41" s="678"/>
      <c r="W41" s="678"/>
      <c r="X41" s="678"/>
      <c r="Y41" s="678"/>
      <c r="Z41" s="678"/>
      <c r="AA41" s="678"/>
      <c r="AB41" s="678"/>
      <c r="AC41" s="678"/>
      <c r="AD41" s="678"/>
      <c r="AE41" s="678"/>
    </row>
    <row r="42" spans="16:31">
      <c r="P42" s="682"/>
      <c r="Q42" s="681"/>
      <c r="U42" s="682"/>
      <c r="V42" s="678"/>
      <c r="W42" s="678"/>
      <c r="X42" s="678"/>
      <c r="Y42" s="678"/>
      <c r="Z42" s="678"/>
      <c r="AA42" s="678"/>
      <c r="AB42" s="678"/>
      <c r="AC42" s="678"/>
      <c r="AD42" s="678"/>
      <c r="AE42" s="678"/>
    </row>
    <row r="43" spans="16:31">
      <c r="P43" s="682"/>
      <c r="Q43" s="681"/>
      <c r="U43" s="682"/>
      <c r="V43" s="678"/>
      <c r="W43" s="678"/>
      <c r="X43" s="678"/>
      <c r="Y43" s="678"/>
      <c r="Z43" s="678"/>
      <c r="AA43" s="678"/>
      <c r="AB43" s="678"/>
      <c r="AC43" s="678"/>
      <c r="AD43" s="678"/>
      <c r="AE43" s="678"/>
    </row>
    <row r="44" spans="16:31">
      <c r="P44" s="682"/>
      <c r="Q44" s="681"/>
      <c r="U44" s="682"/>
      <c r="V44" s="678"/>
      <c r="W44" s="678"/>
      <c r="X44" s="678"/>
      <c r="Y44" s="678"/>
      <c r="Z44" s="678"/>
      <c r="AA44" s="678"/>
      <c r="AB44" s="678"/>
      <c r="AC44" s="678"/>
      <c r="AD44" s="678"/>
      <c r="AE44" s="678"/>
    </row>
    <row r="45" spans="16:31">
      <c r="P45" s="682"/>
      <c r="Q45" s="681"/>
      <c r="U45" s="682"/>
      <c r="V45" s="678"/>
      <c r="W45" s="678"/>
      <c r="X45" s="678"/>
      <c r="Y45" s="678"/>
      <c r="Z45" s="678"/>
      <c r="AA45" s="678"/>
      <c r="AB45" s="678"/>
      <c r="AC45" s="678"/>
      <c r="AD45" s="678"/>
      <c r="AE45" s="678"/>
    </row>
    <row r="46" spans="16:31">
      <c r="P46" s="685"/>
      <c r="Q46" s="687"/>
      <c r="U46" s="685"/>
    </row>
    <row r="47" spans="16:31">
      <c r="P47" s="679"/>
      <c r="Q47" s="687"/>
    </row>
    <row r="48" spans="16:31" ht="12.75">
      <c r="Q48" s="688"/>
      <c r="R48" s="688"/>
      <c r="S48" s="688"/>
      <c r="T48" s="675"/>
      <c r="U48" s="675"/>
      <c r="V48" s="675"/>
      <c r="W48" s="675"/>
      <c r="X48" s="675"/>
      <c r="Y48" s="675"/>
      <c r="Z48" s="675"/>
      <c r="AA48" s="675"/>
    </row>
    <row r="49" spans="7:31">
      <c r="P49" s="685"/>
      <c r="Q49" s="678"/>
      <c r="R49" s="678"/>
      <c r="S49" s="678"/>
      <c r="T49" s="678"/>
      <c r="U49" s="678"/>
      <c r="V49" s="678"/>
      <c r="W49" s="687"/>
      <c r="X49" s="687"/>
      <c r="Y49" s="687"/>
      <c r="Z49" s="687"/>
      <c r="AA49" s="687"/>
    </row>
    <row r="50" spans="7:31" ht="12.75">
      <c r="G50" s="419"/>
      <c r="H50" s="419"/>
      <c r="P50" s="685"/>
      <c r="Q50" s="678"/>
      <c r="V50" s="688"/>
      <c r="W50" s="688"/>
      <c r="X50" s="688"/>
      <c r="Y50" s="688"/>
      <c r="Z50" s="688"/>
      <c r="AA50" s="688"/>
      <c r="AB50" s="688"/>
      <c r="AC50" s="688"/>
      <c r="AD50" s="688"/>
      <c r="AE50" s="688"/>
    </row>
    <row r="51" spans="7:31">
      <c r="P51" s="685"/>
      <c r="U51" s="685"/>
      <c r="V51" s="681"/>
      <c r="W51" s="681"/>
      <c r="X51" s="681"/>
      <c r="Y51" s="681"/>
      <c r="Z51" s="681"/>
      <c r="AA51" s="681"/>
      <c r="AB51" s="681"/>
      <c r="AC51" s="681"/>
      <c r="AD51" s="681"/>
      <c r="AE51" s="681"/>
    </row>
    <row r="52" spans="7:31">
      <c r="P52" s="685"/>
      <c r="U52" s="685"/>
      <c r="V52" s="681"/>
      <c r="W52" s="681"/>
      <c r="X52" s="681"/>
      <c r="Y52" s="681"/>
      <c r="Z52" s="681"/>
      <c r="AA52" s="681"/>
      <c r="AB52" s="681"/>
      <c r="AC52" s="681"/>
      <c r="AD52" s="681"/>
      <c r="AE52" s="681"/>
    </row>
    <row r="53" spans="7:31">
      <c r="P53" s="685"/>
      <c r="U53" s="685"/>
      <c r="V53" s="681"/>
      <c r="W53" s="681"/>
      <c r="X53" s="681"/>
      <c r="Y53" s="681"/>
      <c r="Z53" s="681"/>
      <c r="AA53" s="681"/>
      <c r="AB53" s="681"/>
      <c r="AC53" s="681"/>
      <c r="AD53" s="681"/>
      <c r="AE53" s="681"/>
    </row>
    <row r="54" spans="7:31">
      <c r="P54" s="685"/>
      <c r="U54" s="685"/>
      <c r="V54" s="681"/>
      <c r="W54" s="681"/>
      <c r="X54" s="681"/>
      <c r="Y54" s="681"/>
      <c r="Z54" s="681"/>
      <c r="AA54" s="681"/>
      <c r="AB54" s="681"/>
      <c r="AC54" s="681"/>
      <c r="AD54" s="681"/>
      <c r="AE54" s="681"/>
    </row>
    <row r="55" spans="7:31">
      <c r="P55" s="685"/>
      <c r="Q55" s="678"/>
      <c r="R55" s="678"/>
      <c r="S55" s="678"/>
      <c r="T55" s="678"/>
      <c r="U55" s="685"/>
      <c r="V55" s="681"/>
      <c r="W55" s="681"/>
      <c r="X55" s="681"/>
      <c r="Y55" s="681"/>
      <c r="Z55" s="681"/>
      <c r="AA55" s="681"/>
      <c r="AB55" s="681"/>
      <c r="AC55" s="681"/>
      <c r="AD55" s="681"/>
      <c r="AE55" s="681"/>
    </row>
    <row r="56" spans="7:31">
      <c r="U56" s="679"/>
      <c r="V56" s="681"/>
      <c r="W56" s="681"/>
      <c r="X56" s="681"/>
      <c r="Y56" s="681"/>
      <c r="Z56" s="681"/>
      <c r="AA56" s="681"/>
      <c r="AB56" s="681"/>
      <c r="AC56" s="681"/>
      <c r="AD56" s="681"/>
      <c r="AE56" s="681"/>
    </row>
  </sheetData>
  <mergeCells count="1">
    <mergeCell ref="A1:L1"/>
  </mergeCells>
  <conditionalFormatting sqref="B32">
    <cfRule type="cellIs" dxfId="2190" priority="132" operator="equal">
      <formula>0</formula>
    </cfRule>
  </conditionalFormatting>
  <conditionalFormatting sqref="C32">
    <cfRule type="cellIs" dxfId="2189" priority="131" operator="equal">
      <formula>0</formula>
    </cfRule>
  </conditionalFormatting>
  <conditionalFormatting sqref="F32">
    <cfRule type="cellIs" dxfId="2188" priority="130" operator="equal">
      <formula>0</formula>
    </cfRule>
  </conditionalFormatting>
  <conditionalFormatting sqref="D32">
    <cfRule type="cellIs" dxfId="2187" priority="129" operator="equal">
      <formula>0</formula>
    </cfRule>
  </conditionalFormatting>
  <conditionalFormatting sqref="E32">
    <cfRule type="cellIs" dxfId="2186" priority="128" operator="equal">
      <formula>0</formula>
    </cfRule>
  </conditionalFormatting>
  <conditionalFormatting sqref="G32">
    <cfRule type="cellIs" dxfId="2185" priority="127" operator="equal">
      <formula>0</formula>
    </cfRule>
  </conditionalFormatting>
  <conditionalFormatting sqref="H32">
    <cfRule type="cellIs" dxfId="2184" priority="126" operator="equal">
      <formula>0</formula>
    </cfRule>
  </conditionalFormatting>
  <conditionalFormatting sqref="I32">
    <cfRule type="cellIs" dxfId="2183" priority="125" operator="equal">
      <formula>0</formula>
    </cfRule>
  </conditionalFormatting>
  <conditionalFormatting sqref="J32">
    <cfRule type="cellIs" dxfId="2182" priority="124" operator="equal">
      <formula>0</formula>
    </cfRule>
  </conditionalFormatting>
  <conditionalFormatting sqref="K32">
    <cfRule type="cellIs" dxfId="2181" priority="123" operator="equal">
      <formula>0</formula>
    </cfRule>
  </conditionalFormatting>
  <conditionalFormatting sqref="L32">
    <cfRule type="cellIs" dxfId="2180" priority="122" operator="equal">
      <formula>0</formula>
    </cfRule>
  </conditionalFormatting>
  <conditionalFormatting sqref="B5:B6">
    <cfRule type="cellIs" dxfId="2179" priority="121" operator="equal">
      <formula>0</formula>
    </cfRule>
  </conditionalFormatting>
  <conditionalFormatting sqref="B7:B14">
    <cfRule type="expression" dxfId="2178" priority="119">
      <formula>B7=MAX(B$7:B$14)</formula>
    </cfRule>
    <cfRule type="expression" dxfId="2177" priority="120">
      <formula>B7=MIN(B$7:B$14)</formula>
    </cfRule>
  </conditionalFormatting>
  <conditionalFormatting sqref="B16:B23">
    <cfRule type="expression" dxfId="2176" priority="117">
      <formula>B16=MAX(B$16:B$23)</formula>
    </cfRule>
    <cfRule type="expression" dxfId="2175" priority="118">
      <formula>B16=MIN(B$16:B$23)</formula>
    </cfRule>
  </conditionalFormatting>
  <conditionalFormatting sqref="B26:B30">
    <cfRule type="expression" dxfId="2174" priority="115">
      <formula>B26=MAX(B$26:B$30)</formula>
    </cfRule>
    <cfRule type="expression" dxfId="2173" priority="116">
      <formula>B26=MIN(B$26:B$30)</formula>
    </cfRule>
  </conditionalFormatting>
  <conditionalFormatting sqref="B15">
    <cfRule type="cellIs" dxfId="2172" priority="114" operator="equal">
      <formula>0</formula>
    </cfRule>
  </conditionalFormatting>
  <conditionalFormatting sqref="B24">
    <cfRule type="cellIs" dxfId="2171" priority="113" operator="equal">
      <formula>0</formula>
    </cfRule>
  </conditionalFormatting>
  <conditionalFormatting sqref="B25">
    <cfRule type="cellIs" dxfId="2170" priority="112" operator="equal">
      <formula>0</formula>
    </cfRule>
  </conditionalFormatting>
  <conditionalFormatting sqref="B31">
    <cfRule type="cellIs" dxfId="2169" priority="111" operator="equal">
      <formula>0</formula>
    </cfRule>
  </conditionalFormatting>
  <conditionalFormatting sqref="C5:C6">
    <cfRule type="cellIs" dxfId="2168" priority="110" operator="equal">
      <formula>0</formula>
    </cfRule>
  </conditionalFormatting>
  <conditionalFormatting sqref="C7:C14">
    <cfRule type="expression" dxfId="2167" priority="108">
      <formula>C7=MAX(C$7:C$14)</formula>
    </cfRule>
    <cfRule type="expression" dxfId="2166" priority="109">
      <formula>C7=MIN(C$7:C$14)</formula>
    </cfRule>
  </conditionalFormatting>
  <conditionalFormatting sqref="C16:C23">
    <cfRule type="expression" dxfId="2165" priority="106">
      <formula>C16=MAX(C$16:C$23)</formula>
    </cfRule>
    <cfRule type="expression" dxfId="2164" priority="107">
      <formula>C16=MIN(C$16:C$23)</formula>
    </cfRule>
  </conditionalFormatting>
  <conditionalFormatting sqref="C26:C30">
    <cfRule type="expression" dxfId="2163" priority="104">
      <formula>C26=MAX(C$26:C$30)</formula>
    </cfRule>
    <cfRule type="expression" dxfId="2162" priority="105">
      <formula>C26=MIN(C$26:C$30)</formula>
    </cfRule>
  </conditionalFormatting>
  <conditionalFormatting sqref="C15">
    <cfRule type="cellIs" dxfId="2161" priority="103" operator="equal">
      <formula>0</formula>
    </cfRule>
  </conditionalFormatting>
  <conditionalFormatting sqref="C24">
    <cfRule type="cellIs" dxfId="2160" priority="102" operator="equal">
      <formula>0</formula>
    </cfRule>
  </conditionalFormatting>
  <conditionalFormatting sqref="C25">
    <cfRule type="cellIs" dxfId="2159" priority="101" operator="equal">
      <formula>0</formula>
    </cfRule>
  </conditionalFormatting>
  <conditionalFormatting sqref="C31">
    <cfRule type="cellIs" dxfId="2158" priority="100" operator="equal">
      <formula>0</formula>
    </cfRule>
  </conditionalFormatting>
  <conditionalFormatting sqref="D5:D6">
    <cfRule type="cellIs" dxfId="2157" priority="99" operator="equal">
      <formula>0</formula>
    </cfRule>
  </conditionalFormatting>
  <conditionalFormatting sqref="D7:D14">
    <cfRule type="expression" dxfId="2156" priority="97">
      <formula>D7=MAX(D$7:D$14)</formula>
    </cfRule>
    <cfRule type="expression" dxfId="2155" priority="98">
      <formula>D7=MIN(D$7:D$14)</formula>
    </cfRule>
  </conditionalFormatting>
  <conditionalFormatting sqref="D16:D23">
    <cfRule type="expression" dxfId="2154" priority="95">
      <formula>D16=MAX(D$16:D$23)</formula>
    </cfRule>
    <cfRule type="expression" dxfId="2153" priority="96">
      <formula>D16=MIN(D$16:D$23)</formula>
    </cfRule>
  </conditionalFormatting>
  <conditionalFormatting sqref="D26:D30">
    <cfRule type="expression" dxfId="2152" priority="93">
      <formula>D26=MAX(D$26:D$30)</formula>
    </cfRule>
    <cfRule type="expression" dxfId="2151" priority="94">
      <formula>D26=MIN(D$26:D$30)</formula>
    </cfRule>
  </conditionalFormatting>
  <conditionalFormatting sqref="D15">
    <cfRule type="cellIs" dxfId="2150" priority="92" operator="equal">
      <formula>0</formula>
    </cfRule>
  </conditionalFormatting>
  <conditionalFormatting sqref="D24">
    <cfRule type="cellIs" dxfId="2149" priority="91" operator="equal">
      <formula>0</formula>
    </cfRule>
  </conditionalFormatting>
  <conditionalFormatting sqref="D25">
    <cfRule type="cellIs" dxfId="2148" priority="90" operator="equal">
      <formula>0</formula>
    </cfRule>
  </conditionalFormatting>
  <conditionalFormatting sqref="D31">
    <cfRule type="cellIs" dxfId="2147" priority="89" operator="equal">
      <formula>0</formula>
    </cfRule>
  </conditionalFormatting>
  <conditionalFormatting sqref="E5:E6">
    <cfRule type="cellIs" dxfId="2146" priority="88" operator="equal">
      <formula>0</formula>
    </cfRule>
  </conditionalFormatting>
  <conditionalFormatting sqref="E7:E14">
    <cfRule type="expression" dxfId="2145" priority="86">
      <formula>E7=MAX(E$7:E$14)</formula>
    </cfRule>
    <cfRule type="expression" dxfId="2144" priority="87">
      <formula>E7=MIN(E$7:E$14)</formula>
    </cfRule>
  </conditionalFormatting>
  <conditionalFormatting sqref="E16:E23">
    <cfRule type="expression" dxfId="2143" priority="84">
      <formula>E16=MAX(E$16:E$23)</formula>
    </cfRule>
    <cfRule type="expression" dxfId="2142" priority="85">
      <formula>E16=MIN(E$16:E$23)</formula>
    </cfRule>
  </conditionalFormatting>
  <conditionalFormatting sqref="E26:E30">
    <cfRule type="expression" dxfId="2141" priority="82">
      <formula>E26=MAX(E$26:E$30)</formula>
    </cfRule>
    <cfRule type="expression" dxfId="2140" priority="83">
      <formula>E26=MIN(E$26:E$30)</formula>
    </cfRule>
  </conditionalFormatting>
  <conditionalFormatting sqref="E15">
    <cfRule type="cellIs" dxfId="2139" priority="81" operator="equal">
      <formula>0</formula>
    </cfRule>
  </conditionalFormatting>
  <conditionalFormatting sqref="E24">
    <cfRule type="cellIs" dxfId="2138" priority="80" operator="equal">
      <formula>0</formula>
    </cfRule>
  </conditionalFormatting>
  <conditionalFormatting sqref="E25">
    <cfRule type="cellIs" dxfId="2137" priority="79" operator="equal">
      <formula>0</formula>
    </cfRule>
  </conditionalFormatting>
  <conditionalFormatting sqref="E31">
    <cfRule type="cellIs" dxfId="2136" priority="78" operator="equal">
      <formula>0</formula>
    </cfRule>
  </conditionalFormatting>
  <conditionalFormatting sqref="F5:F6">
    <cfRule type="cellIs" dxfId="2135" priority="77" operator="equal">
      <formula>0</formula>
    </cfRule>
  </conditionalFormatting>
  <conditionalFormatting sqref="F7:F14">
    <cfRule type="expression" dxfId="2134" priority="75">
      <formula>F7=MAX(F$7:F$14)</formula>
    </cfRule>
    <cfRule type="expression" dxfId="2133" priority="76">
      <formula>F7=MIN(F$7:F$14)</formula>
    </cfRule>
  </conditionalFormatting>
  <conditionalFormatting sqref="F16:F23">
    <cfRule type="expression" dxfId="2132" priority="73">
      <formula>F16=MAX(F$16:F$23)</formula>
    </cfRule>
    <cfRule type="expression" dxfId="2131" priority="74">
      <formula>F16=MIN(F$16:F$23)</formula>
    </cfRule>
  </conditionalFormatting>
  <conditionalFormatting sqref="F26:F30">
    <cfRule type="expression" dxfId="2130" priority="71">
      <formula>F26=MAX(F$26:F$30)</formula>
    </cfRule>
    <cfRule type="expression" dxfId="2129" priority="72">
      <formula>F26=MIN(F$26:F$30)</formula>
    </cfRule>
  </conditionalFormatting>
  <conditionalFormatting sqref="F15">
    <cfRule type="cellIs" dxfId="2128" priority="70" operator="equal">
      <formula>0</formula>
    </cfRule>
  </conditionalFormatting>
  <conditionalFormatting sqref="F24">
    <cfRule type="cellIs" dxfId="2127" priority="69" operator="equal">
      <formula>0</formula>
    </cfRule>
  </conditionalFormatting>
  <conditionalFormatting sqref="F25">
    <cfRule type="cellIs" dxfId="2126" priority="68" operator="equal">
      <formula>0</formula>
    </cfRule>
  </conditionalFormatting>
  <conditionalFormatting sqref="F31">
    <cfRule type="cellIs" dxfId="2125" priority="67" operator="equal">
      <formula>0</formula>
    </cfRule>
  </conditionalFormatting>
  <conditionalFormatting sqref="G5:G6">
    <cfRule type="cellIs" dxfId="2124" priority="66" operator="equal">
      <formula>0</formula>
    </cfRule>
  </conditionalFormatting>
  <conditionalFormatting sqref="G7:G14">
    <cfRule type="expression" dxfId="2123" priority="64">
      <formula>G7=MAX(G$7:G$14)</formula>
    </cfRule>
    <cfRule type="expression" dxfId="2122" priority="65">
      <formula>G7=MIN(G$7:G$14)</formula>
    </cfRule>
  </conditionalFormatting>
  <conditionalFormatting sqref="G16:G23">
    <cfRule type="expression" dxfId="2121" priority="62">
      <formula>G16=MAX(G$16:G$23)</formula>
    </cfRule>
    <cfRule type="expression" dxfId="2120" priority="63">
      <formula>G16=MIN(G$16:G$23)</formula>
    </cfRule>
  </conditionalFormatting>
  <conditionalFormatting sqref="G26:G30">
    <cfRule type="expression" dxfId="2119" priority="60">
      <formula>G26=MAX(G$26:G$30)</formula>
    </cfRule>
    <cfRule type="expression" dxfId="2118" priority="61">
      <formula>G26=MIN(G$26:G$30)</formula>
    </cfRule>
  </conditionalFormatting>
  <conditionalFormatting sqref="G15">
    <cfRule type="cellIs" dxfId="2117" priority="59" operator="equal">
      <formula>0</formula>
    </cfRule>
  </conditionalFormatting>
  <conditionalFormatting sqref="G24">
    <cfRule type="cellIs" dxfId="2116" priority="58" operator="equal">
      <formula>0</formula>
    </cfRule>
  </conditionalFormatting>
  <conditionalFormatting sqref="G25">
    <cfRule type="cellIs" dxfId="2115" priority="57" operator="equal">
      <formula>0</formula>
    </cfRule>
  </conditionalFormatting>
  <conditionalFormatting sqref="G31">
    <cfRule type="cellIs" dxfId="2114" priority="56" operator="equal">
      <formula>0</formula>
    </cfRule>
  </conditionalFormatting>
  <conditionalFormatting sqref="H5:H6">
    <cfRule type="cellIs" dxfId="2113" priority="55" operator="equal">
      <formula>0</formula>
    </cfRule>
  </conditionalFormatting>
  <conditionalFormatting sqref="H7:H14">
    <cfRule type="expression" dxfId="2112" priority="53">
      <formula>H7=MAX(H$7:H$14)</formula>
    </cfRule>
    <cfRule type="expression" dxfId="2111" priority="54">
      <formula>H7=MIN(H$7:H$14)</formula>
    </cfRule>
  </conditionalFormatting>
  <conditionalFormatting sqref="H16:H23">
    <cfRule type="expression" dxfId="2110" priority="51">
      <formula>H16=MAX(H$16:H$23)</formula>
    </cfRule>
    <cfRule type="expression" dxfId="2109" priority="52">
      <formula>H16=MIN(H$16:H$23)</formula>
    </cfRule>
  </conditionalFormatting>
  <conditionalFormatting sqref="H26:H30">
    <cfRule type="expression" dxfId="2108" priority="49">
      <formula>H26=MAX(H$26:H$30)</formula>
    </cfRule>
    <cfRule type="expression" dxfId="2107" priority="50">
      <formula>H26=MIN(H$26:H$30)</formula>
    </cfRule>
  </conditionalFormatting>
  <conditionalFormatting sqref="H15">
    <cfRule type="cellIs" dxfId="2106" priority="48" operator="equal">
      <formula>0</formula>
    </cfRule>
  </conditionalFormatting>
  <conditionalFormatting sqref="H24">
    <cfRule type="cellIs" dxfId="2105" priority="47" operator="equal">
      <formula>0</formula>
    </cfRule>
  </conditionalFormatting>
  <conditionalFormatting sqref="H25">
    <cfRule type="cellIs" dxfId="2104" priority="46" operator="equal">
      <formula>0</formula>
    </cfRule>
  </conditionalFormatting>
  <conditionalFormatting sqref="H31">
    <cfRule type="cellIs" dxfId="2103" priority="45" operator="equal">
      <formula>0</formula>
    </cfRule>
  </conditionalFormatting>
  <conditionalFormatting sqref="I5:I6">
    <cfRule type="cellIs" dxfId="2102" priority="44" operator="equal">
      <formula>0</formula>
    </cfRule>
  </conditionalFormatting>
  <conditionalFormatting sqref="I7:I14">
    <cfRule type="expression" dxfId="2101" priority="42">
      <formula>I7=MAX(I$7:I$14)</formula>
    </cfRule>
    <cfRule type="expression" dxfId="2100" priority="43">
      <formula>I7=MIN(I$7:I$14)</formula>
    </cfRule>
  </conditionalFormatting>
  <conditionalFormatting sqref="I16:I23">
    <cfRule type="expression" dxfId="2099" priority="40">
      <formula>I16=MAX(I$16:I$23)</formula>
    </cfRule>
    <cfRule type="expression" dxfId="2098" priority="41">
      <formula>I16=MIN(I$16:I$23)</formula>
    </cfRule>
  </conditionalFormatting>
  <conditionalFormatting sqref="I26:I30">
    <cfRule type="expression" dxfId="2097" priority="38">
      <formula>I26=MAX(I$26:I$30)</formula>
    </cfRule>
    <cfRule type="expression" dxfId="2096" priority="39">
      <formula>I26=MIN(I$26:I$30)</formula>
    </cfRule>
  </conditionalFormatting>
  <conditionalFormatting sqref="I15">
    <cfRule type="cellIs" dxfId="2095" priority="37" operator="equal">
      <formula>0</formula>
    </cfRule>
  </conditionalFormatting>
  <conditionalFormatting sqref="I24">
    <cfRule type="cellIs" dxfId="2094" priority="36" operator="equal">
      <formula>0</formula>
    </cfRule>
  </conditionalFormatting>
  <conditionalFormatting sqref="I25">
    <cfRule type="cellIs" dxfId="2093" priority="35" operator="equal">
      <formula>0</formula>
    </cfRule>
  </conditionalFormatting>
  <conditionalFormatting sqref="I31">
    <cfRule type="cellIs" dxfId="2092" priority="34" operator="equal">
      <formula>0</formula>
    </cfRule>
  </conditionalFormatting>
  <conditionalFormatting sqref="J5:J6">
    <cfRule type="cellIs" dxfId="2091" priority="33" operator="equal">
      <formula>0</formula>
    </cfRule>
  </conditionalFormatting>
  <conditionalFormatting sqref="J7:J14">
    <cfRule type="expression" dxfId="2090" priority="31">
      <formula>J7=MAX(J$7:J$14)</formula>
    </cfRule>
    <cfRule type="expression" dxfId="2089" priority="32">
      <formula>J7=MIN(J$7:J$14)</formula>
    </cfRule>
  </conditionalFormatting>
  <conditionalFormatting sqref="J16:J23">
    <cfRule type="expression" dxfId="2088" priority="29">
      <formula>J16=MAX(J$16:J$23)</formula>
    </cfRule>
    <cfRule type="expression" dxfId="2087" priority="30">
      <formula>J16=MIN(J$16:J$23)</formula>
    </cfRule>
  </conditionalFormatting>
  <conditionalFormatting sqref="J26:J30">
    <cfRule type="expression" dxfId="2086" priority="27">
      <formula>J26=MAX(J$26:J$30)</formula>
    </cfRule>
    <cfRule type="expression" dxfId="2085" priority="28">
      <formula>J26=MIN(J$26:J$30)</formula>
    </cfRule>
  </conditionalFormatting>
  <conditionalFormatting sqref="J15">
    <cfRule type="cellIs" dxfId="2084" priority="26" operator="equal">
      <formula>0</formula>
    </cfRule>
  </conditionalFormatting>
  <conditionalFormatting sqref="J24">
    <cfRule type="cellIs" dxfId="2083" priority="25" operator="equal">
      <formula>0</formula>
    </cfRule>
  </conditionalFormatting>
  <conditionalFormatting sqref="J25">
    <cfRule type="cellIs" dxfId="2082" priority="24" operator="equal">
      <formula>0</formula>
    </cfRule>
  </conditionalFormatting>
  <conditionalFormatting sqref="J31">
    <cfRule type="cellIs" dxfId="2081" priority="23" operator="equal">
      <formula>0</formula>
    </cfRule>
  </conditionalFormatting>
  <conditionalFormatting sqref="K5:K6">
    <cfRule type="cellIs" dxfId="2080" priority="22" operator="equal">
      <formula>0</formula>
    </cfRule>
  </conditionalFormatting>
  <conditionalFormatting sqref="K7:K14">
    <cfRule type="expression" dxfId="2079" priority="20">
      <formula>K7=MAX(K$7:K$14)</formula>
    </cfRule>
    <cfRule type="expression" dxfId="2078" priority="21">
      <formula>K7=MIN(K$7:K$14)</formula>
    </cfRule>
  </conditionalFormatting>
  <conditionalFormatting sqref="K16:K23">
    <cfRule type="expression" dxfId="2077" priority="18">
      <formula>K16=MAX(K$16:K$23)</formula>
    </cfRule>
    <cfRule type="expression" dxfId="2076" priority="19">
      <formula>K16=MIN(K$16:K$23)</formula>
    </cfRule>
  </conditionalFormatting>
  <conditionalFormatting sqref="K26:K30">
    <cfRule type="expression" dxfId="2075" priority="16">
      <formula>K26=MAX(K$26:K$30)</formula>
    </cfRule>
    <cfRule type="expression" dxfId="2074" priority="17">
      <formula>K26=MIN(K$26:K$30)</formula>
    </cfRule>
  </conditionalFormatting>
  <conditionalFormatting sqref="K15">
    <cfRule type="cellIs" dxfId="2073" priority="15" operator="equal">
      <formula>0</formula>
    </cfRule>
  </conditionalFormatting>
  <conditionalFormatting sqref="K24">
    <cfRule type="cellIs" dxfId="2072" priority="14" operator="equal">
      <formula>0</formula>
    </cfRule>
  </conditionalFormatting>
  <conditionalFormatting sqref="K25">
    <cfRule type="cellIs" dxfId="2071" priority="13" operator="equal">
      <formula>0</formula>
    </cfRule>
  </conditionalFormatting>
  <conditionalFormatting sqref="K31">
    <cfRule type="cellIs" dxfId="2070" priority="12" operator="equal">
      <formula>0</formula>
    </cfRule>
  </conditionalFormatting>
  <conditionalFormatting sqref="L5:L6">
    <cfRule type="cellIs" dxfId="2069" priority="11" operator="equal">
      <formula>0</formula>
    </cfRule>
  </conditionalFormatting>
  <conditionalFormatting sqref="L7:L14">
    <cfRule type="expression" dxfId="2068" priority="9">
      <formula>L7=MAX(L$7:L$14)</formula>
    </cfRule>
    <cfRule type="expression" dxfId="2067" priority="10">
      <formula>L7=MIN(L$7:L$14)</formula>
    </cfRule>
  </conditionalFormatting>
  <conditionalFormatting sqref="L16:L23">
    <cfRule type="expression" dxfId="2066" priority="7">
      <formula>L16=MAX(L$16:L$23)</formula>
    </cfRule>
    <cfRule type="expression" dxfId="2065" priority="8">
      <formula>L16=MIN(L$16:L$23)</formula>
    </cfRule>
  </conditionalFormatting>
  <conditionalFormatting sqref="L26:L30">
    <cfRule type="expression" dxfId="2064" priority="5">
      <formula>L26=MAX(L$26:L$30)</formula>
    </cfRule>
    <cfRule type="expression" dxfId="2063" priority="6">
      <formula>L26=MIN(L$26:L$30)</formula>
    </cfRule>
  </conditionalFormatting>
  <conditionalFormatting sqref="L15">
    <cfRule type="cellIs" dxfId="2062" priority="4" operator="equal">
      <formula>0</formula>
    </cfRule>
  </conditionalFormatting>
  <conditionalFormatting sqref="L24">
    <cfRule type="cellIs" dxfId="2061" priority="3" operator="equal">
      <formula>0</formula>
    </cfRule>
  </conditionalFormatting>
  <conditionalFormatting sqref="L25">
    <cfRule type="cellIs" dxfId="2060" priority="2" operator="equal">
      <formula>0</formula>
    </cfRule>
  </conditionalFormatting>
  <conditionalFormatting sqref="L31">
    <cfRule type="cellIs" dxfId="2059" priority="1" operator="equal">
      <formula>0</formula>
    </cfRule>
  </conditionalFormatting>
  <printOptions horizontalCentered="1"/>
  <pageMargins left="0.19685039370078741" right="0.19685039370078741" top="1.5748031496062993" bottom="0.39370078740157483" header="0.31496062992125984" footer="0"/>
  <pageSetup paperSize="9" scale="85" fitToWidth="0" fitToHeight="0" orientation="portrait" r:id="rId1"/>
  <headerFooter>
    <oddHeader>&amp;C&amp;G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28">
    <tabColor theme="5" tint="0.39997558519241921"/>
  </sheetPr>
  <dimension ref="A1"/>
  <sheetViews>
    <sheetView showGridLines="0" workbookViewId="0">
      <selection activeCell="Y70" sqref="Y70"/>
    </sheetView>
  </sheetViews>
  <sheetFormatPr defaultColWidth="8.7109375" defaultRowHeight="15"/>
  <cols>
    <col min="1" max="16384" width="8.7109375" style="377"/>
  </cols>
  <sheetData/>
  <pageMargins left="0.19685039370078741" right="0" top="0.74803149606299213" bottom="0.74803149606299213" header="0.31496062992125984" footer="0.31496062992125984"/>
  <pageSetup paperSize="9"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11">
    <tabColor indexed="25"/>
    <pageSetUpPr fitToPage="1"/>
  </sheetPr>
  <dimension ref="A1:AU51"/>
  <sheetViews>
    <sheetView showGridLines="0" workbookViewId="0">
      <selection activeCell="Y70" sqref="Y70"/>
    </sheetView>
  </sheetViews>
  <sheetFormatPr defaultColWidth="9.140625" defaultRowHeight="11.25"/>
  <cols>
    <col min="1" max="1" width="2" style="130" customWidth="1"/>
    <col min="2" max="2" width="27.85546875" style="130" customWidth="1"/>
    <col min="3" max="13" width="7.5703125" style="130" customWidth="1"/>
    <col min="14" max="14" width="9.140625" style="130"/>
    <col min="15" max="18" width="9.140625" style="6"/>
    <col min="19" max="40" width="9.140625" style="651"/>
    <col min="41" max="42" width="9.140625" style="130"/>
    <col min="43" max="47" width="9.140625" style="115"/>
    <col min="48" max="16384" width="9.140625" style="130"/>
  </cols>
  <sheetData>
    <row r="1" spans="1:47" s="126" customFormat="1" ht="28.5" customHeight="1">
      <c r="A1" s="985" t="s">
        <v>775</v>
      </c>
      <c r="B1" s="985"/>
      <c r="C1" s="985"/>
      <c r="D1" s="985"/>
      <c r="E1" s="985"/>
      <c r="F1" s="985"/>
      <c r="G1" s="985"/>
      <c r="H1" s="985"/>
      <c r="I1" s="985"/>
      <c r="J1" s="985"/>
      <c r="K1" s="985"/>
      <c r="L1" s="985"/>
      <c r="M1" s="985"/>
      <c r="O1" s="1"/>
      <c r="P1" s="1"/>
      <c r="Q1" s="1"/>
      <c r="R1" s="1"/>
      <c r="S1" s="1"/>
      <c r="T1" s="1"/>
      <c r="U1" s="1"/>
      <c r="V1" s="1"/>
      <c r="W1" s="1"/>
      <c r="X1" s="1"/>
      <c r="Y1" s="1"/>
      <c r="Z1" s="1"/>
      <c r="AA1" s="1"/>
      <c r="AB1" s="1"/>
      <c r="AC1" s="1"/>
      <c r="AD1" s="1"/>
      <c r="AE1" s="1"/>
      <c r="AF1" s="1"/>
      <c r="AG1" s="1"/>
      <c r="AH1" s="1"/>
      <c r="AI1" s="1"/>
      <c r="AJ1" s="1"/>
      <c r="AK1" s="1"/>
      <c r="AL1" s="1"/>
      <c r="AM1" s="1"/>
      <c r="AN1" s="1"/>
    </row>
    <row r="2" spans="1:47" s="115" customFormat="1" ht="15" customHeight="1">
      <c r="A2" s="174"/>
      <c r="B2" s="174"/>
      <c r="C2" s="174"/>
      <c r="D2" s="172"/>
      <c r="E2" s="172"/>
      <c r="F2" s="172"/>
      <c r="G2" s="172"/>
      <c r="H2" s="172"/>
      <c r="I2" s="172"/>
      <c r="J2" s="172"/>
      <c r="K2" s="172"/>
      <c r="L2" s="172"/>
      <c r="M2" s="172"/>
      <c r="O2" s="2"/>
      <c r="P2" s="2"/>
      <c r="Q2" s="2"/>
      <c r="R2" s="2"/>
      <c r="S2" s="2"/>
      <c r="T2" s="2"/>
      <c r="U2" s="2"/>
      <c r="V2" s="2"/>
      <c r="W2" s="2"/>
      <c r="X2" s="2"/>
      <c r="Y2" s="2"/>
      <c r="Z2" s="2"/>
      <c r="AA2" s="2"/>
      <c r="AB2" s="2"/>
      <c r="AC2" s="2"/>
      <c r="AD2" s="2"/>
      <c r="AE2" s="2"/>
      <c r="AF2" s="2"/>
      <c r="AG2" s="2"/>
      <c r="AH2" s="2"/>
      <c r="AI2" s="2"/>
      <c r="AJ2" s="2"/>
      <c r="AK2" s="2"/>
      <c r="AL2" s="2"/>
      <c r="AM2" s="2"/>
      <c r="AN2" s="2"/>
    </row>
    <row r="3" spans="1:47" s="115" customFormat="1" ht="15" customHeight="1">
      <c r="A3" s="173" t="s">
        <v>41</v>
      </c>
      <c r="B3" s="175"/>
      <c r="C3" s="164"/>
      <c r="D3" s="172"/>
      <c r="E3" s="172"/>
      <c r="F3" s="172"/>
      <c r="G3" s="172"/>
      <c r="H3" s="172"/>
      <c r="I3" s="172"/>
      <c r="J3" s="172"/>
      <c r="K3" s="172"/>
      <c r="L3" s="172"/>
      <c r="M3" s="172"/>
      <c r="O3" s="2"/>
      <c r="P3" s="2"/>
      <c r="Q3" s="2"/>
      <c r="R3" s="2"/>
      <c r="S3" s="2"/>
      <c r="T3" s="2"/>
      <c r="U3" s="2"/>
      <c r="V3" s="2"/>
      <c r="W3" s="2"/>
      <c r="X3" s="2"/>
      <c r="Y3" s="2"/>
      <c r="Z3" s="2"/>
      <c r="AA3" s="2"/>
      <c r="AB3" s="2"/>
      <c r="AC3" s="2"/>
      <c r="AD3" s="2"/>
      <c r="AE3" s="2"/>
      <c r="AF3" s="2"/>
      <c r="AG3" s="2"/>
      <c r="AH3" s="2"/>
      <c r="AI3" s="2"/>
      <c r="AJ3" s="2"/>
      <c r="AK3" s="2"/>
      <c r="AL3" s="2"/>
      <c r="AM3" s="2"/>
      <c r="AN3" s="2"/>
    </row>
    <row r="4" spans="1:47" s="115" customFormat="1" ht="28.5" customHeight="1" thickBot="1">
      <c r="A4" s="203" t="s">
        <v>1</v>
      </c>
      <c r="B4" s="203"/>
      <c r="C4" s="4">
        <v>2014</v>
      </c>
      <c r="D4" s="4">
        <v>2015</v>
      </c>
      <c r="E4" s="4">
        <v>2016</v>
      </c>
      <c r="F4" s="4">
        <v>2017</v>
      </c>
      <c r="G4" s="4">
        <v>2018</v>
      </c>
      <c r="H4" s="4">
        <v>2019</v>
      </c>
      <c r="I4" s="4">
        <v>2020</v>
      </c>
      <c r="J4" s="4">
        <v>2021</v>
      </c>
      <c r="K4" s="4">
        <v>2022</v>
      </c>
      <c r="L4" s="4">
        <v>2023</v>
      </c>
      <c r="M4" s="4">
        <v>2024</v>
      </c>
      <c r="O4" s="2"/>
      <c r="P4" s="2"/>
      <c r="Q4" s="2"/>
      <c r="R4" s="2"/>
      <c r="S4" s="560">
        <f>+C4</f>
        <v>2014</v>
      </c>
      <c r="T4" s="560">
        <f t="shared" ref="T4:AA4" si="0">+D4</f>
        <v>2015</v>
      </c>
      <c r="U4" s="560">
        <f t="shared" si="0"/>
        <v>2016</v>
      </c>
      <c r="V4" s="560">
        <f t="shared" si="0"/>
        <v>2017</v>
      </c>
      <c r="W4" s="560">
        <f t="shared" si="0"/>
        <v>2018</v>
      </c>
      <c r="X4" s="560">
        <f t="shared" si="0"/>
        <v>2019</v>
      </c>
      <c r="Y4" s="560">
        <f t="shared" si="0"/>
        <v>2020</v>
      </c>
      <c r="Z4" s="560">
        <f t="shared" si="0"/>
        <v>2021</v>
      </c>
      <c r="AA4" s="560">
        <f t="shared" si="0"/>
        <v>2022</v>
      </c>
      <c r="AB4" s="560">
        <f>+L4</f>
        <v>2023</v>
      </c>
      <c r="AC4" s="560">
        <f t="shared" ref="AC4" si="1">+M4</f>
        <v>2024</v>
      </c>
      <c r="AD4" s="560">
        <f>+C4</f>
        <v>2014</v>
      </c>
      <c r="AE4" s="560">
        <f t="shared" ref="AE4:AN4" si="2">+D4</f>
        <v>2015</v>
      </c>
      <c r="AF4" s="560">
        <f t="shared" si="2"/>
        <v>2016</v>
      </c>
      <c r="AG4" s="560">
        <f t="shared" si="2"/>
        <v>2017</v>
      </c>
      <c r="AH4" s="560">
        <f t="shared" si="2"/>
        <v>2018</v>
      </c>
      <c r="AI4" s="560">
        <f t="shared" si="2"/>
        <v>2019</v>
      </c>
      <c r="AJ4" s="560">
        <f t="shared" si="2"/>
        <v>2020</v>
      </c>
      <c r="AK4" s="560">
        <f t="shared" si="2"/>
        <v>2021</v>
      </c>
      <c r="AL4" s="560">
        <f t="shared" si="2"/>
        <v>2022</v>
      </c>
      <c r="AM4" s="560">
        <f t="shared" si="2"/>
        <v>2023</v>
      </c>
      <c r="AN4" s="560">
        <f t="shared" si="2"/>
        <v>2024</v>
      </c>
      <c r="AQ4" s="395"/>
      <c r="AR4" s="395"/>
      <c r="AT4" s="395"/>
      <c r="AU4" s="668"/>
    </row>
    <row r="5" spans="1:47" s="115" customFormat="1" ht="16.5" customHeight="1" thickTop="1">
      <c r="A5" s="32" t="s">
        <v>42</v>
      </c>
      <c r="B5" s="201"/>
      <c r="C5" s="335">
        <v>2636881</v>
      </c>
      <c r="D5" s="335">
        <v>2716011</v>
      </c>
      <c r="E5" s="335">
        <v>2819978</v>
      </c>
      <c r="F5" s="335">
        <v>2946903</v>
      </c>
      <c r="G5" s="335">
        <v>3060489</v>
      </c>
      <c r="H5" s="335">
        <v>3110949</v>
      </c>
      <c r="I5" s="335">
        <v>3085566</v>
      </c>
      <c r="J5" s="335">
        <v>3102345</v>
      </c>
      <c r="K5" s="335">
        <v>3337082</v>
      </c>
      <c r="L5" s="335">
        <v>3489583</v>
      </c>
      <c r="M5" s="335">
        <v>3544955</v>
      </c>
      <c r="O5" s="419">
        <f>+M5-16779</f>
        <v>3528176</v>
      </c>
      <c r="P5" s="2">
        <f>+(M5/L5-1)*100</f>
        <v>1.5867798530655453</v>
      </c>
      <c r="Q5" s="419">
        <f>+M5-L5</f>
        <v>55372</v>
      </c>
      <c r="R5" s="2"/>
      <c r="S5" s="559">
        <f>C5*100/C$5</f>
        <v>100</v>
      </c>
      <c r="T5" s="559">
        <f t="shared" ref="T5:AC20" si="3">D5*100/D$5</f>
        <v>100</v>
      </c>
      <c r="U5" s="559">
        <f t="shared" si="3"/>
        <v>100</v>
      </c>
      <c r="V5" s="559">
        <f t="shared" si="3"/>
        <v>100</v>
      </c>
      <c r="W5" s="559">
        <f t="shared" si="3"/>
        <v>100</v>
      </c>
      <c r="X5" s="559">
        <f t="shared" si="3"/>
        <v>100</v>
      </c>
      <c r="Y5" s="559">
        <f t="shared" si="3"/>
        <v>100</v>
      </c>
      <c r="Z5" s="559">
        <f t="shared" si="3"/>
        <v>100</v>
      </c>
      <c r="AA5" s="559">
        <f t="shared" si="3"/>
        <v>100</v>
      </c>
      <c r="AB5" s="559">
        <f t="shared" si="3"/>
        <v>100</v>
      </c>
      <c r="AC5" s="559">
        <f t="shared" si="3"/>
        <v>100</v>
      </c>
      <c r="AD5" s="650" t="str">
        <f>+IFERROR(RANK(S5,(S$6:S$8,S$33:S$49),0),"")</f>
        <v/>
      </c>
      <c r="AE5" s="650" t="str">
        <f>+IFERROR(RANK(T5,(T$6:T$8,T$33:T$49),0),"")</f>
        <v/>
      </c>
      <c r="AF5" s="650" t="str">
        <f>+IFERROR(RANK(U5,(U$6:U$8,U$33:U$49),0),"")</f>
        <v/>
      </c>
      <c r="AG5" s="650" t="str">
        <f>+IFERROR(RANK(V5,(V$6:V$8,V$33:V$49),0),"")</f>
        <v/>
      </c>
      <c r="AH5" s="650" t="str">
        <f>+IFERROR(RANK(W5,(W$6:W$8,W$33:W$49),0),"")</f>
        <v/>
      </c>
      <c r="AI5" s="650" t="str">
        <f>+IFERROR(RANK(X5,(X$6:X$8,X$33:X$49),0),"")</f>
        <v/>
      </c>
      <c r="AJ5" s="650" t="str">
        <f>+IFERROR(RANK(Y5,(Y$6:Y$8,Y$33:Y$49),0),"")</f>
        <v/>
      </c>
      <c r="AK5" s="650" t="str">
        <f>+IFERROR(RANK(Z5,(Z$6:Z$8,Z$33:Z$49),0),"")</f>
        <v/>
      </c>
      <c r="AL5" s="650" t="str">
        <f>+IFERROR(RANK(AA5,(AA$6:AA$8,AA$33:AA$49),0),"")</f>
        <v/>
      </c>
      <c r="AM5" s="650" t="str">
        <f>+IFERROR(RANK(AB5,(AB$6:AB$8,AB$33:AB$49),0),"")</f>
        <v/>
      </c>
      <c r="AN5" s="650" t="str">
        <f>+IFERROR(RANK(AC5,(AC$6:AC$8,AC$33:AC$49),0),"")</f>
        <v/>
      </c>
      <c r="AQ5" s="127"/>
      <c r="AR5" s="127"/>
      <c r="AS5" s="127"/>
      <c r="AT5" s="395"/>
      <c r="AU5" s="668"/>
    </row>
    <row r="6" spans="1:47" s="115" customFormat="1" ht="16.5" customHeight="1">
      <c r="A6" s="201" t="s">
        <v>72</v>
      </c>
      <c r="B6" s="307" t="s">
        <v>169</v>
      </c>
      <c r="C6" s="335">
        <v>59974</v>
      </c>
      <c r="D6" s="335">
        <v>62767</v>
      </c>
      <c r="E6" s="335">
        <v>66231</v>
      </c>
      <c r="F6" s="335">
        <v>67785</v>
      </c>
      <c r="G6" s="335">
        <v>71264</v>
      </c>
      <c r="H6" s="335">
        <v>72158</v>
      </c>
      <c r="I6" s="335">
        <v>76190</v>
      </c>
      <c r="J6" s="335">
        <v>74598</v>
      </c>
      <c r="K6" s="335">
        <v>80596</v>
      </c>
      <c r="L6" s="335">
        <v>84693</v>
      </c>
      <c r="M6" s="335">
        <v>86544</v>
      </c>
      <c r="O6" s="2"/>
      <c r="P6" s="2"/>
      <c r="Q6" s="2"/>
      <c r="R6" s="2"/>
      <c r="S6" s="559">
        <f t="shared" ref="S6:AC42" si="4">C6*100/C$5</f>
        <v>2.2744295248818585</v>
      </c>
      <c r="T6" s="559">
        <f t="shared" si="3"/>
        <v>2.3109994768062427</v>
      </c>
      <c r="U6" s="559">
        <f t="shared" si="3"/>
        <v>2.3486353439636765</v>
      </c>
      <c r="V6" s="559">
        <f t="shared" si="3"/>
        <v>2.300211442317579</v>
      </c>
      <c r="W6" s="559">
        <f t="shared" si="3"/>
        <v>2.3285167827755631</v>
      </c>
      <c r="X6" s="559">
        <f t="shared" si="3"/>
        <v>2.3194851474582192</v>
      </c>
      <c r="Y6" s="559">
        <f t="shared" si="3"/>
        <v>2.4692390310238057</v>
      </c>
      <c r="Z6" s="559">
        <f t="shared" si="3"/>
        <v>2.4045681573132582</v>
      </c>
      <c r="AA6" s="559">
        <f t="shared" si="3"/>
        <v>2.4151639066705584</v>
      </c>
      <c r="AB6" s="559">
        <f t="shared" si="3"/>
        <v>2.4270235154171718</v>
      </c>
      <c r="AC6" s="559">
        <f t="shared" si="3"/>
        <v>2.4413285923234569</v>
      </c>
      <c r="AD6" s="650">
        <f>+IFERROR(RANK(S6,(S$6:S$8,S$33:S$49),0),"")</f>
        <v>12</v>
      </c>
      <c r="AE6" s="650">
        <f>+IFERROR(RANK(T6,(T$6:T$8,T$33:T$49),0),"")</f>
        <v>12</v>
      </c>
      <c r="AF6" s="650">
        <f>+IFERROR(RANK(U6,(U$6:U$8,U$33:U$49),0),"")</f>
        <v>12</v>
      </c>
      <c r="AG6" s="650">
        <f>+IFERROR(RANK(V6,(V$6:V$8,V$33:V$49),0),"")</f>
        <v>11</v>
      </c>
      <c r="AH6" s="650">
        <f>+IFERROR(RANK(W6,(W$6:W$8,W$33:W$49),0),"")</f>
        <v>11</v>
      </c>
      <c r="AI6" s="650">
        <f>+IFERROR(RANK(X6,(X$6:X$8,X$33:X$49),0),"")</f>
        <v>11</v>
      </c>
      <c r="AJ6" s="650">
        <f>+IFERROR(RANK(Y6,(Y$6:Y$8,Y$33:Y$49),0),"")</f>
        <v>11</v>
      </c>
      <c r="AK6" s="650">
        <f>+IFERROR(RANK(Z6,(Z$6:Z$8,Z$33:Z$49),0),"")</f>
        <v>11</v>
      </c>
      <c r="AL6" s="650">
        <f>+IFERROR(RANK(AA6,(AA$6:AA$8,AA$33:AA$49),0),"")</f>
        <v>10</v>
      </c>
      <c r="AM6" s="650">
        <f>+IFERROR(RANK(AB6,(AB$6:AB$8,AB$33:AB$49),0),"")</f>
        <v>10</v>
      </c>
      <c r="AN6" s="650">
        <f>+IFERROR(RANK(AC6,(AC$6:AC$8,AC$33:AC$49),0),"")</f>
        <v>10</v>
      </c>
      <c r="AQ6" s="127"/>
      <c r="AR6" s="127"/>
      <c r="AS6" s="127"/>
      <c r="AT6" s="127"/>
      <c r="AU6" s="127"/>
    </row>
    <row r="7" spans="1:47" s="115" customFormat="1" ht="12.75" customHeight="1">
      <c r="A7" s="201" t="s">
        <v>73</v>
      </c>
      <c r="B7" s="307" t="s">
        <v>101</v>
      </c>
      <c r="C7" s="335">
        <v>8514</v>
      </c>
      <c r="D7" s="335">
        <v>8479</v>
      </c>
      <c r="E7" s="335">
        <v>8384</v>
      </c>
      <c r="F7" s="335">
        <v>8723</v>
      </c>
      <c r="G7" s="335">
        <v>8644</v>
      </c>
      <c r="H7" s="335">
        <v>8455</v>
      </c>
      <c r="I7" s="335">
        <v>8318</v>
      </c>
      <c r="J7" s="335">
        <v>8437</v>
      </c>
      <c r="K7" s="335">
        <v>8822</v>
      </c>
      <c r="L7" s="335">
        <v>9420</v>
      </c>
      <c r="M7" s="335">
        <v>9426</v>
      </c>
      <c r="O7" s="2"/>
      <c r="P7" s="2"/>
      <c r="Q7" s="2"/>
      <c r="R7" s="2"/>
      <c r="S7" s="559">
        <f t="shared" si="4"/>
        <v>0.32288146488218467</v>
      </c>
      <c r="T7" s="559">
        <f t="shared" si="3"/>
        <v>0.3121857753889804</v>
      </c>
      <c r="U7" s="559">
        <f t="shared" si="3"/>
        <v>0.29730728395753442</v>
      </c>
      <c r="V7" s="559">
        <f t="shared" si="3"/>
        <v>0.29600567103837488</v>
      </c>
      <c r="W7" s="559">
        <f t="shared" si="3"/>
        <v>0.2824385253467665</v>
      </c>
      <c r="X7" s="559">
        <f t="shared" si="3"/>
        <v>0.27178201892734338</v>
      </c>
      <c r="Y7" s="559">
        <f t="shared" si="3"/>
        <v>0.26957776952429474</v>
      </c>
      <c r="Z7" s="559">
        <f t="shared" si="3"/>
        <v>0.27195556909370172</v>
      </c>
      <c r="AA7" s="559">
        <f t="shared" si="3"/>
        <v>0.26436269771015514</v>
      </c>
      <c r="AB7" s="559">
        <f t="shared" si="3"/>
        <v>0.26994629444263113</v>
      </c>
      <c r="AC7" s="559">
        <f t="shared" si="3"/>
        <v>0.26589900294926172</v>
      </c>
      <c r="AD7" s="650">
        <f>+IFERROR(RANK(S7,(S$6:S$8,S$33:S$49),0),"")</f>
        <v>18</v>
      </c>
      <c r="AE7" s="650">
        <f>+IFERROR(RANK(T7,(T$6:T$8,T$33:T$49),0),"")</f>
        <v>18</v>
      </c>
      <c r="AF7" s="650">
        <f>+IFERROR(RANK(U7,(U$6:U$8,U$33:U$49),0),"")</f>
        <v>18</v>
      </c>
      <c r="AG7" s="650">
        <f>+IFERROR(RANK(V7,(V$6:V$8,V$33:V$49),0),"")</f>
        <v>18</v>
      </c>
      <c r="AH7" s="650">
        <f>+IFERROR(RANK(W7,(W$6:W$8,W$33:W$49),0),"")</f>
        <v>18</v>
      </c>
      <c r="AI7" s="650">
        <f>+IFERROR(RANK(X7,(X$6:X$8,X$33:X$49),0),"")</f>
        <v>18</v>
      </c>
      <c r="AJ7" s="650">
        <f>+IFERROR(RANK(Y7,(Y$6:Y$8,Y$33:Y$49),0),"")</f>
        <v>18</v>
      </c>
      <c r="AK7" s="650">
        <f>+IFERROR(RANK(Z7,(Z$6:Z$8,Z$33:Z$49),0),"")</f>
        <v>18</v>
      </c>
      <c r="AL7" s="650">
        <f>+IFERROR(RANK(AA7,(AA$6:AA$8,AA$33:AA$49),0),"")</f>
        <v>18</v>
      </c>
      <c r="AM7" s="650">
        <f>+IFERROR(RANK(AB7,(AB$6:AB$8,AB$33:AB$49),0),"")</f>
        <v>18</v>
      </c>
      <c r="AN7" s="650">
        <f>+IFERROR(RANK(AC7,(AC$6:AC$8,AC$33:AC$49),0),"")</f>
        <v>18</v>
      </c>
      <c r="AQ7" s="127"/>
      <c r="AR7" s="127"/>
      <c r="AS7" s="127"/>
      <c r="AT7" s="127"/>
      <c r="AU7" s="127"/>
    </row>
    <row r="8" spans="1:47" s="115" customFormat="1" ht="16.5" customHeight="1">
      <c r="A8" s="201" t="s">
        <v>74</v>
      </c>
      <c r="B8" s="307" t="s">
        <v>100</v>
      </c>
      <c r="C8" s="335">
        <v>583685</v>
      </c>
      <c r="D8" s="335">
        <v>598482</v>
      </c>
      <c r="E8" s="335">
        <v>615556</v>
      </c>
      <c r="F8" s="335">
        <v>639429</v>
      </c>
      <c r="G8" s="335">
        <v>659459</v>
      </c>
      <c r="H8" s="335">
        <v>650638</v>
      </c>
      <c r="I8" s="335">
        <v>639517</v>
      </c>
      <c r="J8" s="335">
        <v>636329</v>
      </c>
      <c r="K8" s="335">
        <v>667361</v>
      </c>
      <c r="L8" s="335">
        <v>675754</v>
      </c>
      <c r="M8" s="335">
        <v>665805</v>
      </c>
      <c r="O8" s="559">
        <f>+C8/$C$5*100</f>
        <v>22.135431974366686</v>
      </c>
      <c r="P8" s="559">
        <f>+M8/$M$5*100</f>
        <v>18.781761686678674</v>
      </c>
      <c r="Q8" s="2"/>
      <c r="R8" s="2"/>
      <c r="S8" s="559">
        <f t="shared" si="4"/>
        <v>22.135431974366686</v>
      </c>
      <c r="T8" s="559">
        <f t="shared" si="3"/>
        <v>22.035330490193154</v>
      </c>
      <c r="U8" s="559">
        <f t="shared" si="3"/>
        <v>21.82839724281537</v>
      </c>
      <c r="V8" s="559">
        <f t="shared" si="3"/>
        <v>21.698338900194543</v>
      </c>
      <c r="W8" s="559">
        <f t="shared" si="3"/>
        <v>21.547504336725275</v>
      </c>
      <c r="X8" s="559">
        <f t="shared" si="3"/>
        <v>20.914454078160716</v>
      </c>
      <c r="Y8" s="559">
        <f t="shared" si="3"/>
        <v>20.726083966442463</v>
      </c>
      <c r="Z8" s="559">
        <f t="shared" si="3"/>
        <v>20.511226185353337</v>
      </c>
      <c r="AA8" s="559">
        <f t="shared" si="3"/>
        <v>19.998339866985589</v>
      </c>
      <c r="AB8" s="559">
        <f t="shared" si="3"/>
        <v>19.36489259604944</v>
      </c>
      <c r="AC8" s="559">
        <f t="shared" si="3"/>
        <v>18.781761686678674</v>
      </c>
      <c r="AD8" s="650">
        <f>+IFERROR(RANK(S8,(S$6:S$8,S$33:S$49),0),"")</f>
        <v>1</v>
      </c>
      <c r="AE8" s="650">
        <f>+IFERROR(RANK(T8,(T$6:T$8,T$33:T$49),0),"")</f>
        <v>1</v>
      </c>
      <c r="AF8" s="650">
        <f>+IFERROR(RANK(U8,(U$6:U$8,U$33:U$49),0),"")</f>
        <v>1</v>
      </c>
      <c r="AG8" s="650">
        <f>+IFERROR(RANK(V8,(V$6:V$8,V$33:V$49),0),"")</f>
        <v>1</v>
      </c>
      <c r="AH8" s="650">
        <f>+IFERROR(RANK(W8,(W$6:W$8,W$33:W$49),0),"")</f>
        <v>1</v>
      </c>
      <c r="AI8" s="650">
        <f>+IFERROR(RANK(X8,(X$6:X$8,X$33:X$49),0),"")</f>
        <v>1</v>
      </c>
      <c r="AJ8" s="650">
        <f>+IFERROR(RANK(Y8,(Y$6:Y$8,Y$33:Y$49),0),"")</f>
        <v>1</v>
      </c>
      <c r="AK8" s="650">
        <f>+IFERROR(RANK(Z8,(Z$6:Z$8,Z$33:Z$49),0),"")</f>
        <v>1</v>
      </c>
      <c r="AL8" s="650">
        <f>+IFERROR(RANK(AA8,(AA$6:AA$8,AA$33:AA$49),0),"")</f>
        <v>1</v>
      </c>
      <c r="AM8" s="650">
        <f>+IFERROR(RANK(AB8,(AB$6:AB$8,AB$33:AB$49),0),"")</f>
        <v>1</v>
      </c>
      <c r="AN8" s="650">
        <f>+IFERROR(RANK(AC8,(AC$6:AC$8,AC$33:AC$49),0),"")</f>
        <v>1</v>
      </c>
      <c r="AQ8" s="127"/>
      <c r="AR8" s="127"/>
      <c r="AS8" s="127"/>
      <c r="AT8" s="127"/>
      <c r="AU8" s="127"/>
    </row>
    <row r="9" spans="1:47" s="115" customFormat="1" ht="12.75" customHeight="1">
      <c r="A9" s="103"/>
      <c r="B9" s="102" t="s">
        <v>87</v>
      </c>
      <c r="C9" s="336">
        <v>74615</v>
      </c>
      <c r="D9" s="336">
        <v>75933</v>
      </c>
      <c r="E9" s="336">
        <v>77704</v>
      </c>
      <c r="F9" s="336">
        <v>79619</v>
      </c>
      <c r="G9" s="336">
        <v>79921</v>
      </c>
      <c r="H9" s="336">
        <v>80556</v>
      </c>
      <c r="I9" s="336">
        <v>78649</v>
      </c>
      <c r="J9" s="336">
        <v>77825</v>
      </c>
      <c r="K9" s="336">
        <v>81302</v>
      </c>
      <c r="L9" s="336">
        <v>82509</v>
      </c>
      <c r="M9" s="336">
        <v>83143</v>
      </c>
      <c r="O9" s="559">
        <f t="shared" ref="O9:O47" si="5">+C9/$C$5*100</f>
        <v>2.8296688398149179</v>
      </c>
      <c r="P9" s="559">
        <f t="shared" ref="P9:P47" si="6">+M9/$M$5*100</f>
        <v>2.3453894337163659</v>
      </c>
      <c r="Q9" s="2"/>
      <c r="R9" s="2"/>
      <c r="S9" s="559">
        <f t="shared" si="4"/>
        <v>2.8296688398149179</v>
      </c>
      <c r="T9" s="559">
        <f t="shared" si="3"/>
        <v>2.7957545090944036</v>
      </c>
      <c r="U9" s="559">
        <f t="shared" si="3"/>
        <v>2.7554824895797059</v>
      </c>
      <c r="V9" s="559">
        <f t="shared" si="3"/>
        <v>2.701785569460549</v>
      </c>
      <c r="W9" s="559">
        <f t="shared" si="3"/>
        <v>2.611380076843929</v>
      </c>
      <c r="X9" s="559">
        <f t="shared" si="3"/>
        <v>2.5894349280557156</v>
      </c>
      <c r="Y9" s="559">
        <f t="shared" si="3"/>
        <v>2.5489326755609829</v>
      </c>
      <c r="Z9" s="559">
        <f t="shared" si="3"/>
        <v>2.5085862468552014</v>
      </c>
      <c r="AA9" s="559">
        <f t="shared" si="3"/>
        <v>2.4363201143993467</v>
      </c>
      <c r="AB9" s="559">
        <f t="shared" si="3"/>
        <v>2.3644372407820646</v>
      </c>
      <c r="AC9" s="559">
        <f t="shared" si="3"/>
        <v>2.3453894337163659</v>
      </c>
      <c r="AD9" s="650" t="str">
        <f>+IFERROR(RANK(S9,(S$6:S$8,S$33:S$49),0),"")</f>
        <v/>
      </c>
      <c r="AE9" s="650" t="str">
        <f>+IFERROR(RANK(T9,(T$6:T$8,T$33:T$49),0),"")</f>
        <v/>
      </c>
      <c r="AF9" s="650" t="str">
        <f>+IFERROR(RANK(U9,(U$6:U$8,U$33:U$49),0),"")</f>
        <v/>
      </c>
      <c r="AG9" s="650" t="str">
        <f>+IFERROR(RANK(V9,(V$6:V$8,V$33:V$49),0),"")</f>
        <v/>
      </c>
      <c r="AH9" s="650" t="str">
        <f>+IFERROR(RANK(W9,(W$6:W$8,W$33:W$49),0),"")</f>
        <v/>
      </c>
      <c r="AI9" s="650" t="str">
        <f>+IFERROR(RANK(X9,(X$6:X$8,X$33:X$49),0),"")</f>
        <v/>
      </c>
      <c r="AJ9" s="650" t="str">
        <f>+IFERROR(RANK(Y9,(Y$6:Y$8,Y$33:Y$49),0),"")</f>
        <v/>
      </c>
      <c r="AK9" s="650" t="str">
        <f>+IFERROR(RANK(Z9,(Z$6:Z$8,Z$33:Z$49),0),"")</f>
        <v/>
      </c>
      <c r="AL9" s="650" t="str">
        <f>+IFERROR(RANK(AA9,(AA$6:AA$8,AA$33:AA$49),0),"")</f>
        <v/>
      </c>
      <c r="AM9" s="650" t="str">
        <f>+IFERROR(RANK(AB9,(AB$6:AB$8,AB$33:AB$49),0),"")</f>
        <v/>
      </c>
      <c r="AN9" s="650" t="str">
        <f>+IFERROR(RANK(AC9,(AC$6:AC$8,AC$33:AC$49),0),"")</f>
        <v/>
      </c>
      <c r="AQ9" s="127"/>
      <c r="AR9" s="127"/>
      <c r="AS9" s="127"/>
      <c r="AT9" s="127"/>
      <c r="AU9" s="127"/>
    </row>
    <row r="10" spans="1:47" s="115" customFormat="1" ht="12.75" customHeight="1">
      <c r="A10" s="103"/>
      <c r="B10" s="102" t="s">
        <v>88</v>
      </c>
      <c r="C10" s="336">
        <v>11814</v>
      </c>
      <c r="D10" s="336">
        <v>11868</v>
      </c>
      <c r="E10" s="336">
        <v>12215</v>
      </c>
      <c r="F10" s="336">
        <v>12419</v>
      </c>
      <c r="G10" s="336">
        <v>13246</v>
      </c>
      <c r="H10" s="336">
        <v>13756</v>
      </c>
      <c r="I10" s="336">
        <v>12984</v>
      </c>
      <c r="J10" s="336">
        <v>12838</v>
      </c>
      <c r="K10" s="336">
        <v>13817</v>
      </c>
      <c r="L10" s="336">
        <v>14153</v>
      </c>
      <c r="M10" s="336">
        <v>14705</v>
      </c>
      <c r="O10" s="559">
        <f t="shared" si="5"/>
        <v>0.44802931948768265</v>
      </c>
      <c r="P10" s="559">
        <f t="shared" si="6"/>
        <v>0.41481485660607825</v>
      </c>
      <c r="Q10" s="2"/>
      <c r="R10" s="2"/>
      <c r="S10" s="559">
        <f t="shared" si="4"/>
        <v>0.4480293194876826</v>
      </c>
      <c r="T10" s="559">
        <f t="shared" si="3"/>
        <v>0.43696435691902574</v>
      </c>
      <c r="U10" s="559">
        <f t="shared" si="3"/>
        <v>0.43315940762658434</v>
      </c>
      <c r="V10" s="559">
        <f t="shared" si="3"/>
        <v>0.42142547616938869</v>
      </c>
      <c r="W10" s="559">
        <f t="shared" si="3"/>
        <v>0.43280665279306674</v>
      </c>
      <c r="X10" s="559">
        <f t="shared" si="3"/>
        <v>0.44218018360313849</v>
      </c>
      <c r="Y10" s="559">
        <f t="shared" si="3"/>
        <v>0.42079799945941848</v>
      </c>
      <c r="Z10" s="559">
        <f t="shared" si="3"/>
        <v>0.41381600047705847</v>
      </c>
      <c r="AA10" s="559">
        <f t="shared" si="3"/>
        <v>0.41404436570632669</v>
      </c>
      <c r="AB10" s="559">
        <f t="shared" si="3"/>
        <v>0.40557854620451783</v>
      </c>
      <c r="AC10" s="559">
        <f t="shared" si="3"/>
        <v>0.4148148566060782</v>
      </c>
      <c r="AD10" s="650" t="str">
        <f>+IFERROR(RANK(S10,(S$6:S$8,S$33:S$49),0),"")</f>
        <v/>
      </c>
      <c r="AE10" s="650" t="str">
        <f>+IFERROR(RANK(T10,(T$6:T$8,T$33:T$49),0),"")</f>
        <v/>
      </c>
      <c r="AF10" s="650" t="str">
        <f>+IFERROR(RANK(U10,(U$6:U$8,U$33:U$49),0),"")</f>
        <v/>
      </c>
      <c r="AG10" s="650" t="str">
        <f>+IFERROR(RANK(V10,(V$6:V$8,V$33:V$49),0),"")</f>
        <v/>
      </c>
      <c r="AH10" s="650" t="str">
        <f>+IFERROR(RANK(W10,(W$6:W$8,W$33:W$49),0),"")</f>
        <v/>
      </c>
      <c r="AI10" s="650" t="str">
        <f>+IFERROR(RANK(X10,(X$6:X$8,X$33:X$49),0),"")</f>
        <v/>
      </c>
      <c r="AJ10" s="650" t="str">
        <f>+IFERROR(RANK(Y10,(Y$6:Y$8,Y$33:Y$49),0),"")</f>
        <v/>
      </c>
      <c r="AK10" s="650" t="str">
        <f>+IFERROR(RANK(Z10,(Z$6:Z$8,Z$33:Z$49),0),"")</f>
        <v/>
      </c>
      <c r="AL10" s="650" t="str">
        <f>+IFERROR(RANK(AA10,(AA$6:AA$8,AA$33:AA$49),0),"")</f>
        <v/>
      </c>
      <c r="AM10" s="650" t="str">
        <f>+IFERROR(RANK(AB10,(AB$6:AB$8,AB$33:AB$49),0),"")</f>
        <v/>
      </c>
      <c r="AN10" s="650" t="str">
        <f>+IFERROR(RANK(AC10,(AC$6:AC$8,AC$33:AC$49),0),"")</f>
        <v/>
      </c>
      <c r="AQ10" s="127"/>
      <c r="AR10" s="127"/>
      <c r="AS10" s="127"/>
      <c r="AT10" s="127"/>
      <c r="AU10" s="127"/>
    </row>
    <row r="11" spans="1:47" s="115" customFormat="1" ht="12.75" customHeight="1">
      <c r="A11" s="103"/>
      <c r="B11" s="102" t="s">
        <v>89</v>
      </c>
      <c r="C11" s="336">
        <v>448</v>
      </c>
      <c r="D11" s="336">
        <v>517</v>
      </c>
      <c r="E11" s="336">
        <v>482</v>
      </c>
      <c r="F11" s="336">
        <v>495</v>
      </c>
      <c r="G11" s="336">
        <v>484</v>
      </c>
      <c r="H11" s="336">
        <v>488</v>
      </c>
      <c r="I11" s="336">
        <v>487</v>
      </c>
      <c r="J11" s="336">
        <v>465</v>
      </c>
      <c r="K11" s="336">
        <v>471</v>
      </c>
      <c r="L11" s="336">
        <v>455</v>
      </c>
      <c r="M11" s="336">
        <v>468</v>
      </c>
      <c r="O11" s="559">
        <f t="shared" si="5"/>
        <v>1.6989769352503962E-2</v>
      </c>
      <c r="P11" s="559">
        <f t="shared" si="6"/>
        <v>1.3201860108238327E-2</v>
      </c>
      <c r="Q11" s="2"/>
      <c r="R11" s="2"/>
      <c r="S11" s="559">
        <f t="shared" si="4"/>
        <v>1.6989769352503962E-2</v>
      </c>
      <c r="T11" s="559">
        <f t="shared" si="3"/>
        <v>1.9035269002960591E-2</v>
      </c>
      <c r="U11" s="559">
        <f t="shared" si="3"/>
        <v>1.7092331925993749E-2</v>
      </c>
      <c r="V11" s="559">
        <f t="shared" si="3"/>
        <v>1.6797295330046494E-2</v>
      </c>
      <c r="W11" s="559">
        <f t="shared" si="3"/>
        <v>1.5814466250327969E-2</v>
      </c>
      <c r="X11" s="559">
        <f t="shared" si="3"/>
        <v>1.5686531666060741E-2</v>
      </c>
      <c r="Y11" s="559">
        <f t="shared" si="3"/>
        <v>1.5783165876212014E-2</v>
      </c>
      <c r="Z11" s="559">
        <f t="shared" si="3"/>
        <v>1.4988661802604159E-2</v>
      </c>
      <c r="AA11" s="559">
        <f t="shared" si="3"/>
        <v>1.4114127252491847E-2</v>
      </c>
      <c r="AB11" s="559">
        <f t="shared" si="3"/>
        <v>1.3038807215647256E-2</v>
      </c>
      <c r="AC11" s="559">
        <f t="shared" si="3"/>
        <v>1.3201860108238327E-2</v>
      </c>
      <c r="AD11" s="650" t="str">
        <f>+IFERROR(RANK(S11,(S$6:S$8,S$33:S$49),0),"")</f>
        <v/>
      </c>
      <c r="AE11" s="650" t="str">
        <f>+IFERROR(RANK(T11,(T$6:T$8,T$33:T$49),0),"")</f>
        <v/>
      </c>
      <c r="AF11" s="650" t="str">
        <f>+IFERROR(RANK(U11,(U$6:U$8,U$33:U$49),0),"")</f>
        <v/>
      </c>
      <c r="AG11" s="650" t="str">
        <f>+IFERROR(RANK(V11,(V$6:V$8,V$33:V$49),0),"")</f>
        <v/>
      </c>
      <c r="AH11" s="650" t="str">
        <f>+IFERROR(RANK(W11,(W$6:W$8,W$33:W$49),0),"")</f>
        <v/>
      </c>
      <c r="AI11" s="650" t="str">
        <f>+IFERROR(RANK(X11,(X$6:X$8,X$33:X$49),0),"")</f>
        <v/>
      </c>
      <c r="AJ11" s="650" t="str">
        <f>+IFERROR(RANK(Y11,(Y$6:Y$8,Y$33:Y$49),0),"")</f>
        <v/>
      </c>
      <c r="AK11" s="650" t="str">
        <f>+IFERROR(RANK(Z11,(Z$6:Z$8,Z$33:Z$49),0),"")</f>
        <v/>
      </c>
      <c r="AL11" s="650" t="str">
        <f>+IFERROR(RANK(AA11,(AA$6:AA$8,AA$33:AA$49),0),"")</f>
        <v/>
      </c>
      <c r="AM11" s="650" t="str">
        <f>+IFERROR(RANK(AB11,(AB$6:AB$8,AB$33:AB$49),0),"")</f>
        <v/>
      </c>
      <c r="AN11" s="650" t="str">
        <f>+IFERROR(RANK(AC11,(AC$6:AC$8,AC$33:AC$49),0),"")</f>
        <v/>
      </c>
      <c r="AQ11" s="127"/>
      <c r="AR11" s="127"/>
      <c r="AS11" s="127"/>
      <c r="AT11" s="127"/>
      <c r="AU11" s="127"/>
    </row>
    <row r="12" spans="1:47" s="115" customFormat="1" ht="12.75" customHeight="1">
      <c r="A12" s="103"/>
      <c r="B12" s="102" t="s">
        <v>0</v>
      </c>
      <c r="C12" s="336">
        <v>41824</v>
      </c>
      <c r="D12" s="336">
        <v>42910</v>
      </c>
      <c r="E12" s="336">
        <v>42135</v>
      </c>
      <c r="F12" s="336">
        <v>42600</v>
      </c>
      <c r="G12" s="336">
        <v>43189</v>
      </c>
      <c r="H12" s="336">
        <v>41474</v>
      </c>
      <c r="I12" s="336">
        <v>40066</v>
      </c>
      <c r="J12" s="336">
        <v>40372</v>
      </c>
      <c r="K12" s="336">
        <v>42726</v>
      </c>
      <c r="L12" s="336">
        <v>42213</v>
      </c>
      <c r="M12" s="336">
        <v>40852</v>
      </c>
      <c r="O12" s="559">
        <f t="shared" si="5"/>
        <v>1.5861163245516199</v>
      </c>
      <c r="P12" s="559">
        <f t="shared" si="6"/>
        <v>1.1523982673969062</v>
      </c>
      <c r="Q12" s="2"/>
      <c r="R12" s="2"/>
      <c r="S12" s="559">
        <f t="shared" si="4"/>
        <v>1.5861163245516199</v>
      </c>
      <c r="T12" s="559">
        <f t="shared" si="3"/>
        <v>1.5798905085435957</v>
      </c>
      <c r="U12" s="559">
        <f t="shared" si="3"/>
        <v>1.4941605927422128</v>
      </c>
      <c r="V12" s="559">
        <f t="shared" si="3"/>
        <v>1.445585416282789</v>
      </c>
      <c r="W12" s="559">
        <f t="shared" si="3"/>
        <v>1.4111797167054023</v>
      </c>
      <c r="X12" s="559">
        <f t="shared" si="3"/>
        <v>1.3331623244225477</v>
      </c>
      <c r="Y12" s="559">
        <f t="shared" si="3"/>
        <v>1.2984975852080298</v>
      </c>
      <c r="Z12" s="559">
        <f t="shared" si="3"/>
        <v>1.3013381812790001</v>
      </c>
      <c r="AA12" s="559">
        <f t="shared" si="3"/>
        <v>1.2803401294903751</v>
      </c>
      <c r="AB12" s="559">
        <f t="shared" si="3"/>
        <v>1.2096860857013574</v>
      </c>
      <c r="AC12" s="559">
        <f t="shared" si="3"/>
        <v>1.1523982673969062</v>
      </c>
      <c r="AD12" s="650" t="str">
        <f>+IFERROR(RANK(S12,(S$6:S$8,S$33:S$49),0),"")</f>
        <v/>
      </c>
      <c r="AE12" s="650" t="str">
        <f>+IFERROR(RANK(T12,(T$6:T$8,T$33:T$49),0),"")</f>
        <v/>
      </c>
      <c r="AF12" s="650" t="str">
        <f>+IFERROR(RANK(U12,(U$6:U$8,U$33:U$49),0),"")</f>
        <v/>
      </c>
      <c r="AG12" s="650" t="str">
        <f>+IFERROR(RANK(V12,(V$6:V$8,V$33:V$49),0),"")</f>
        <v/>
      </c>
      <c r="AH12" s="650" t="str">
        <f>+IFERROR(RANK(W12,(W$6:W$8,W$33:W$49),0),"")</f>
        <v/>
      </c>
      <c r="AI12" s="650" t="str">
        <f>+IFERROR(RANK(X12,(X$6:X$8,X$33:X$49),0),"")</f>
        <v/>
      </c>
      <c r="AJ12" s="650" t="str">
        <f>+IFERROR(RANK(Y12,(Y$6:Y$8,Y$33:Y$49),0),"")</f>
        <v/>
      </c>
      <c r="AK12" s="650" t="str">
        <f>+IFERROR(RANK(Z12,(Z$6:Z$8,Z$33:Z$49),0),"")</f>
        <v/>
      </c>
      <c r="AL12" s="650" t="str">
        <f>+IFERROR(RANK(AA12,(AA$6:AA$8,AA$33:AA$49),0),"")</f>
        <v/>
      </c>
      <c r="AM12" s="650" t="str">
        <f>+IFERROR(RANK(AB12,(AB$6:AB$8,AB$33:AB$49),0),"")</f>
        <v/>
      </c>
      <c r="AN12" s="650" t="str">
        <f>+IFERROR(RANK(AC12,(AC$6:AC$8,AC$33:AC$49),0),"")</f>
        <v/>
      </c>
      <c r="AQ12" s="127"/>
      <c r="AR12" s="127"/>
      <c r="AS12" s="127"/>
      <c r="AT12" s="127"/>
      <c r="AU12" s="127"/>
    </row>
    <row r="13" spans="1:47" s="115" customFormat="1" ht="12.75" customHeight="1">
      <c r="A13" s="103"/>
      <c r="B13" s="102" t="s">
        <v>90</v>
      </c>
      <c r="C13" s="336">
        <v>77085</v>
      </c>
      <c r="D13" s="336">
        <v>78730</v>
      </c>
      <c r="E13" s="336">
        <v>79880</v>
      </c>
      <c r="F13" s="336">
        <v>80607</v>
      </c>
      <c r="G13" s="336">
        <v>79392</v>
      </c>
      <c r="H13" s="336">
        <v>73192</v>
      </c>
      <c r="I13" s="336">
        <v>69965</v>
      </c>
      <c r="J13" s="336">
        <v>67155</v>
      </c>
      <c r="K13" s="336">
        <v>69672</v>
      </c>
      <c r="L13" s="336">
        <v>66874</v>
      </c>
      <c r="M13" s="336">
        <v>61567</v>
      </c>
      <c r="O13" s="559">
        <f t="shared" si="5"/>
        <v>2.9233401128075176</v>
      </c>
      <c r="P13" s="559">
        <f t="shared" si="6"/>
        <v>1.7367498318032244</v>
      </c>
      <c r="Q13" s="2"/>
      <c r="R13" s="2"/>
      <c r="S13" s="559">
        <f t="shared" si="4"/>
        <v>2.9233401128075176</v>
      </c>
      <c r="T13" s="559">
        <f t="shared" si="3"/>
        <v>2.8987364189614842</v>
      </c>
      <c r="U13" s="559">
        <f t="shared" si="3"/>
        <v>2.8326462121335698</v>
      </c>
      <c r="V13" s="559">
        <f t="shared" si="3"/>
        <v>2.7353122922607227</v>
      </c>
      <c r="W13" s="559">
        <f t="shared" si="3"/>
        <v>2.5940952573265252</v>
      </c>
      <c r="X13" s="559">
        <f t="shared" si="3"/>
        <v>2.3527225936522909</v>
      </c>
      <c r="Y13" s="559">
        <f t="shared" si="3"/>
        <v>2.2674932249059006</v>
      </c>
      <c r="Z13" s="559">
        <f t="shared" si="3"/>
        <v>2.1646528674277037</v>
      </c>
      <c r="AA13" s="559">
        <f t="shared" si="3"/>
        <v>2.0878120465724246</v>
      </c>
      <c r="AB13" s="559">
        <f t="shared" si="3"/>
        <v>1.9163894367894387</v>
      </c>
      <c r="AC13" s="559">
        <f t="shared" si="3"/>
        <v>1.7367498318032246</v>
      </c>
      <c r="AD13" s="650" t="str">
        <f>+IFERROR(RANK(S13,(S$6:S$8,S$33:S$49),0),"")</f>
        <v/>
      </c>
      <c r="AE13" s="650" t="str">
        <f>+IFERROR(RANK(T13,(T$6:T$8,T$33:T$49),0),"")</f>
        <v/>
      </c>
      <c r="AF13" s="650" t="str">
        <f>+IFERROR(RANK(U13,(U$6:U$8,U$33:U$49),0),"")</f>
        <v/>
      </c>
      <c r="AG13" s="650" t="str">
        <f>+IFERROR(RANK(V13,(V$6:V$8,V$33:V$49),0),"")</f>
        <v/>
      </c>
      <c r="AH13" s="650" t="str">
        <f>+IFERROR(RANK(W13,(W$6:W$8,W$33:W$49),0),"")</f>
        <v/>
      </c>
      <c r="AI13" s="650" t="str">
        <f>+IFERROR(RANK(X13,(X$6:X$8,X$33:X$49),0),"")</f>
        <v/>
      </c>
      <c r="AJ13" s="650" t="str">
        <f>+IFERROR(RANK(Y13,(Y$6:Y$8,Y$33:Y$49),0),"")</f>
        <v/>
      </c>
      <c r="AK13" s="650" t="str">
        <f>+IFERROR(RANK(Z13,(Z$6:Z$8,Z$33:Z$49),0),"")</f>
        <v/>
      </c>
      <c r="AL13" s="650" t="str">
        <f>+IFERROR(RANK(AA13,(AA$6:AA$8,AA$33:AA$49),0),"")</f>
        <v/>
      </c>
      <c r="AM13" s="650" t="str">
        <f>+IFERROR(RANK(AB13,(AB$6:AB$8,AB$33:AB$49),0),"")</f>
        <v/>
      </c>
      <c r="AN13" s="650" t="str">
        <f>+IFERROR(RANK(AC13,(AC$6:AC$8,AC$33:AC$49),0),"")</f>
        <v/>
      </c>
      <c r="AQ13" s="127"/>
      <c r="AR13" s="127"/>
      <c r="AS13" s="127"/>
      <c r="AT13" s="127"/>
      <c r="AU13" s="127"/>
    </row>
    <row r="14" spans="1:47" s="115" customFormat="1" ht="12.75" customHeight="1">
      <c r="A14" s="103"/>
      <c r="B14" s="102" t="s">
        <v>143</v>
      </c>
      <c r="C14" s="336">
        <v>47431</v>
      </c>
      <c r="D14" s="336">
        <v>47504</v>
      </c>
      <c r="E14" s="336">
        <v>49072</v>
      </c>
      <c r="F14" s="336">
        <v>49394</v>
      </c>
      <c r="G14" s="336">
        <v>48101</v>
      </c>
      <c r="H14" s="336">
        <v>44197</v>
      </c>
      <c r="I14" s="336">
        <v>42179</v>
      </c>
      <c r="J14" s="336">
        <v>42028</v>
      </c>
      <c r="K14" s="336">
        <v>44151</v>
      </c>
      <c r="L14" s="336">
        <v>40997</v>
      </c>
      <c r="M14" s="336">
        <v>37636</v>
      </c>
      <c r="O14" s="559">
        <f t="shared" si="5"/>
        <v>1.7987539066040523</v>
      </c>
      <c r="P14" s="559">
        <f t="shared" si="6"/>
        <v>1.0616777928069607</v>
      </c>
      <c r="Q14" s="2"/>
      <c r="R14" s="2"/>
      <c r="S14" s="559">
        <f t="shared" si="4"/>
        <v>1.7987539066040523</v>
      </c>
      <c r="T14" s="559">
        <f t="shared" si="3"/>
        <v>1.7490356261443714</v>
      </c>
      <c r="U14" s="559">
        <f t="shared" si="3"/>
        <v>1.74015541965221</v>
      </c>
      <c r="V14" s="559">
        <f t="shared" si="3"/>
        <v>1.6761325364289221</v>
      </c>
      <c r="W14" s="559">
        <f t="shared" si="3"/>
        <v>1.5716769444360035</v>
      </c>
      <c r="X14" s="559">
        <f t="shared" si="3"/>
        <v>1.4206918853378825</v>
      </c>
      <c r="Y14" s="559">
        <f t="shared" si="3"/>
        <v>1.3669777279111839</v>
      </c>
      <c r="Z14" s="559">
        <f t="shared" si="3"/>
        <v>1.3547171575050485</v>
      </c>
      <c r="AA14" s="559">
        <f t="shared" si="3"/>
        <v>1.3230421068466403</v>
      </c>
      <c r="AB14" s="559">
        <f t="shared" si="3"/>
        <v>1.1748395152085507</v>
      </c>
      <c r="AC14" s="559">
        <f t="shared" si="3"/>
        <v>1.061677792806961</v>
      </c>
      <c r="AD14" s="650" t="str">
        <f>+IFERROR(RANK(S14,(S$6:S$8,S$33:S$49),0),"")</f>
        <v/>
      </c>
      <c r="AE14" s="650" t="str">
        <f>+IFERROR(RANK(T14,(T$6:T$8,T$33:T$49),0),"")</f>
        <v/>
      </c>
      <c r="AF14" s="650" t="str">
        <f>+IFERROR(RANK(U14,(U$6:U$8,U$33:U$49),0),"")</f>
        <v/>
      </c>
      <c r="AG14" s="650" t="str">
        <f>+IFERROR(RANK(V14,(V$6:V$8,V$33:V$49),0),"")</f>
        <v/>
      </c>
      <c r="AH14" s="650" t="str">
        <f>+IFERROR(RANK(W14,(W$6:W$8,W$33:W$49),0),"")</f>
        <v/>
      </c>
      <c r="AI14" s="650" t="str">
        <f>+IFERROR(RANK(X14,(X$6:X$8,X$33:X$49),0),"")</f>
        <v/>
      </c>
      <c r="AJ14" s="650" t="str">
        <f>+IFERROR(RANK(Y14,(Y$6:Y$8,Y$33:Y$49),0),"")</f>
        <v/>
      </c>
      <c r="AK14" s="650" t="str">
        <f>+IFERROR(RANK(Z14,(Z$6:Z$8,Z$33:Z$49),0),"")</f>
        <v/>
      </c>
      <c r="AL14" s="650" t="str">
        <f>+IFERROR(RANK(AA14,(AA$6:AA$8,AA$33:AA$49),0),"")</f>
        <v/>
      </c>
      <c r="AM14" s="650" t="str">
        <f>+IFERROR(RANK(AB14,(AB$6:AB$8,AB$33:AB$49),0),"")</f>
        <v/>
      </c>
      <c r="AN14" s="650" t="str">
        <f>+IFERROR(RANK(AC14,(AC$6:AC$8,AC$33:AC$49),0),"")</f>
        <v/>
      </c>
      <c r="AQ14" s="127"/>
      <c r="AR14" s="127"/>
      <c r="AS14" s="127"/>
      <c r="AT14" s="127"/>
      <c r="AU14" s="127"/>
    </row>
    <row r="15" spans="1:47" s="115" customFormat="1" ht="12.75" customHeight="1">
      <c r="A15" s="103"/>
      <c r="B15" s="102" t="s">
        <v>144</v>
      </c>
      <c r="C15" s="336">
        <v>23825</v>
      </c>
      <c r="D15" s="336">
        <v>24278</v>
      </c>
      <c r="E15" s="336">
        <v>24256</v>
      </c>
      <c r="F15" s="336">
        <v>24754</v>
      </c>
      <c r="G15" s="336">
        <v>25549</v>
      </c>
      <c r="H15" s="336">
        <v>25543</v>
      </c>
      <c r="I15" s="336">
        <v>24550</v>
      </c>
      <c r="J15" s="336">
        <v>24481</v>
      </c>
      <c r="K15" s="336">
        <v>25724</v>
      </c>
      <c r="L15" s="336">
        <v>26253</v>
      </c>
      <c r="M15" s="336">
        <v>25076</v>
      </c>
      <c r="O15" s="559">
        <f t="shared" si="5"/>
        <v>0.90352958665939043</v>
      </c>
      <c r="P15" s="559">
        <f t="shared" si="6"/>
        <v>0.70737146169697496</v>
      </c>
      <c r="Q15" s="2"/>
      <c r="R15" s="2"/>
      <c r="S15" s="559">
        <f t="shared" si="4"/>
        <v>0.90352958665939043</v>
      </c>
      <c r="T15" s="559">
        <f t="shared" si="3"/>
        <v>0.89388445039434672</v>
      </c>
      <c r="U15" s="559">
        <f t="shared" si="3"/>
        <v>0.86014855435042403</v>
      </c>
      <c r="V15" s="559">
        <f t="shared" si="3"/>
        <v>0.84000050222216338</v>
      </c>
      <c r="W15" s="559">
        <f t="shared" si="3"/>
        <v>0.83480123601163081</v>
      </c>
      <c r="X15" s="559">
        <f t="shared" si="3"/>
        <v>0.82106778349629006</v>
      </c>
      <c r="Y15" s="559">
        <f t="shared" si="3"/>
        <v>0.79564008677824427</v>
      </c>
      <c r="Z15" s="559">
        <f t="shared" si="3"/>
        <v>0.78911275180548912</v>
      </c>
      <c r="AA15" s="559">
        <f t="shared" si="3"/>
        <v>0.77085309860530848</v>
      </c>
      <c r="AB15" s="559">
        <f t="shared" si="3"/>
        <v>0.75232484798326904</v>
      </c>
      <c r="AC15" s="559">
        <f t="shared" si="3"/>
        <v>0.70737146169697496</v>
      </c>
      <c r="AD15" s="650" t="str">
        <f>+IFERROR(RANK(S15,(S$6:S$8,S$33:S$49),0),"")</f>
        <v/>
      </c>
      <c r="AE15" s="650" t="str">
        <f>+IFERROR(RANK(T15,(T$6:T$8,T$33:T$49),0),"")</f>
        <v/>
      </c>
      <c r="AF15" s="650" t="str">
        <f>+IFERROR(RANK(U15,(U$6:U$8,U$33:U$49),0),"")</f>
        <v/>
      </c>
      <c r="AG15" s="650" t="str">
        <f>+IFERROR(RANK(V15,(V$6:V$8,V$33:V$49),0),"")</f>
        <v/>
      </c>
      <c r="AH15" s="650" t="str">
        <f>+IFERROR(RANK(W15,(W$6:W$8,W$33:W$49),0),"")</f>
        <v/>
      </c>
      <c r="AI15" s="650" t="str">
        <f>+IFERROR(RANK(X15,(X$6:X$8,X$33:X$49),0),"")</f>
        <v/>
      </c>
      <c r="AJ15" s="650" t="str">
        <f>+IFERROR(RANK(Y15,(Y$6:Y$8,Y$33:Y$49),0),"")</f>
        <v/>
      </c>
      <c r="AK15" s="650" t="str">
        <f>+IFERROR(RANK(Z15,(Z$6:Z$8,Z$33:Z$49),0),"")</f>
        <v/>
      </c>
      <c r="AL15" s="650" t="str">
        <f>+IFERROR(RANK(AA15,(AA$6:AA$8,AA$33:AA$49),0),"")</f>
        <v/>
      </c>
      <c r="AM15" s="650" t="str">
        <f>+IFERROR(RANK(AB15,(AB$6:AB$8,AB$33:AB$49),0),"")</f>
        <v/>
      </c>
      <c r="AN15" s="650" t="str">
        <f>+IFERROR(RANK(AC15,(AC$6:AC$8,AC$33:AC$49),0),"")</f>
        <v/>
      </c>
      <c r="AQ15" s="127"/>
      <c r="AR15" s="127"/>
      <c r="AS15" s="127"/>
      <c r="AT15" s="127"/>
      <c r="AU15" s="127"/>
    </row>
    <row r="16" spans="1:47" s="115" customFormat="1" ht="12.75" customHeight="1">
      <c r="A16" s="103"/>
      <c r="B16" s="102" t="s">
        <v>145</v>
      </c>
      <c r="C16" s="336">
        <v>10847</v>
      </c>
      <c r="D16" s="336">
        <v>10539</v>
      </c>
      <c r="E16" s="336">
        <v>11104</v>
      </c>
      <c r="F16" s="336">
        <v>11561</v>
      </c>
      <c r="G16" s="336">
        <v>12847</v>
      </c>
      <c r="H16" s="336">
        <v>12747</v>
      </c>
      <c r="I16" s="336">
        <v>13114</v>
      </c>
      <c r="J16" s="336">
        <v>13211</v>
      </c>
      <c r="K16" s="336">
        <v>13751</v>
      </c>
      <c r="L16" s="336">
        <v>13955</v>
      </c>
      <c r="M16" s="336">
        <v>14125</v>
      </c>
      <c r="O16" s="559">
        <f t="shared" si="5"/>
        <v>0.41135720572904122</v>
      </c>
      <c r="P16" s="559">
        <f t="shared" si="6"/>
        <v>0.3984535769847572</v>
      </c>
      <c r="Q16" s="2"/>
      <c r="R16" s="2"/>
      <c r="S16" s="559">
        <f t="shared" si="4"/>
        <v>0.41135720572904122</v>
      </c>
      <c r="T16" s="559">
        <f t="shared" si="3"/>
        <v>0.38803230178375564</v>
      </c>
      <c r="U16" s="559">
        <f t="shared" si="3"/>
        <v>0.39376193714986429</v>
      </c>
      <c r="V16" s="559">
        <f t="shared" si="3"/>
        <v>0.39231016426397475</v>
      </c>
      <c r="W16" s="559">
        <f t="shared" si="3"/>
        <v>0.41976952049166</v>
      </c>
      <c r="X16" s="559">
        <f t="shared" si="3"/>
        <v>0.40974635071163173</v>
      </c>
      <c r="Y16" s="559">
        <f t="shared" si="3"/>
        <v>0.42501116488838675</v>
      </c>
      <c r="Z16" s="559">
        <f t="shared" si="3"/>
        <v>0.42583916360043772</v>
      </c>
      <c r="AA16" s="559">
        <f t="shared" si="3"/>
        <v>0.41206658991298384</v>
      </c>
      <c r="AB16" s="559">
        <f t="shared" si="3"/>
        <v>0.39990451581177466</v>
      </c>
      <c r="AC16" s="559">
        <f t="shared" si="3"/>
        <v>0.3984535769847572</v>
      </c>
      <c r="AD16" s="650" t="str">
        <f>+IFERROR(RANK(S16,(S$6:S$8,S$33:S$49),0),"")</f>
        <v/>
      </c>
      <c r="AE16" s="650" t="str">
        <f>+IFERROR(RANK(T16,(T$6:T$8,T$33:T$49),0),"")</f>
        <v/>
      </c>
      <c r="AF16" s="650" t="str">
        <f>+IFERROR(RANK(U16,(U$6:U$8,U$33:U$49),0),"")</f>
        <v/>
      </c>
      <c r="AG16" s="650" t="str">
        <f>+IFERROR(RANK(V16,(V$6:V$8,V$33:V$49),0),"")</f>
        <v/>
      </c>
      <c r="AH16" s="650" t="str">
        <f>+IFERROR(RANK(W16,(W$6:W$8,W$33:W$49),0),"")</f>
        <v/>
      </c>
      <c r="AI16" s="650" t="str">
        <f>+IFERROR(RANK(X16,(X$6:X$8,X$33:X$49),0),"")</f>
        <v/>
      </c>
      <c r="AJ16" s="650" t="str">
        <f>+IFERROR(RANK(Y16,(Y$6:Y$8,Y$33:Y$49),0),"")</f>
        <v/>
      </c>
      <c r="AK16" s="650" t="str">
        <f>+IFERROR(RANK(Z16,(Z$6:Z$8,Z$33:Z$49),0),"")</f>
        <v/>
      </c>
      <c r="AL16" s="650" t="str">
        <f>+IFERROR(RANK(AA16,(AA$6:AA$8,AA$33:AA$49),0),"")</f>
        <v/>
      </c>
      <c r="AM16" s="650" t="str">
        <f>+IFERROR(RANK(AB16,(AB$6:AB$8,AB$33:AB$49),0),"")</f>
        <v/>
      </c>
      <c r="AN16" s="650" t="str">
        <f>+IFERROR(RANK(AC16,(AC$6:AC$8,AC$33:AC$49),0),"")</f>
        <v/>
      </c>
      <c r="AQ16" s="127"/>
      <c r="AR16" s="127"/>
      <c r="AS16" s="127"/>
      <c r="AT16" s="127"/>
      <c r="AU16" s="127"/>
    </row>
    <row r="17" spans="1:47" s="115" customFormat="1" ht="12.75" customHeight="1">
      <c r="A17" s="103"/>
      <c r="B17" s="102" t="s">
        <v>146</v>
      </c>
      <c r="C17" s="336">
        <v>12847</v>
      </c>
      <c r="D17" s="336">
        <v>12797</v>
      </c>
      <c r="E17" s="336">
        <v>12836</v>
      </c>
      <c r="F17" s="336">
        <v>12885</v>
      </c>
      <c r="G17" s="336">
        <v>12704</v>
      </c>
      <c r="H17" s="336">
        <v>12087</v>
      </c>
      <c r="I17" s="336">
        <v>11683</v>
      </c>
      <c r="J17" s="336">
        <v>11406</v>
      </c>
      <c r="K17" s="336">
        <v>11948</v>
      </c>
      <c r="L17" s="336">
        <v>11580</v>
      </c>
      <c r="M17" s="336">
        <v>11042</v>
      </c>
      <c r="O17" s="559">
        <f t="shared" si="5"/>
        <v>0.48720439033843388</v>
      </c>
      <c r="P17" s="559">
        <f t="shared" si="6"/>
        <v>0.31148491306659742</v>
      </c>
      <c r="Q17" s="2"/>
      <c r="R17" s="2"/>
      <c r="S17" s="559">
        <f t="shared" si="4"/>
        <v>0.48720439033843393</v>
      </c>
      <c r="T17" s="559">
        <f t="shared" si="3"/>
        <v>0.47116893120094139</v>
      </c>
      <c r="U17" s="559">
        <f t="shared" si="3"/>
        <v>0.45518085602086256</v>
      </c>
      <c r="V17" s="559">
        <f t="shared" si="3"/>
        <v>0.43723868753060419</v>
      </c>
      <c r="W17" s="559">
        <f t="shared" si="3"/>
        <v>0.41509706455406309</v>
      </c>
      <c r="X17" s="559">
        <f t="shared" si="3"/>
        <v>0.38853095952392663</v>
      </c>
      <c r="Y17" s="559">
        <f t="shared" si="3"/>
        <v>0.37863393620489727</v>
      </c>
      <c r="Z17" s="559">
        <f t="shared" si="3"/>
        <v>0.36765736886129685</v>
      </c>
      <c r="AA17" s="559">
        <f t="shared" si="3"/>
        <v>0.35803735119484625</v>
      </c>
      <c r="AB17" s="559">
        <f t="shared" si="3"/>
        <v>0.33184480781801151</v>
      </c>
      <c r="AC17" s="559">
        <f t="shared" si="3"/>
        <v>0.31148491306659748</v>
      </c>
      <c r="AD17" s="650" t="str">
        <f>+IFERROR(RANK(S17,(S$6:S$8,S$33:S$49),0),"")</f>
        <v/>
      </c>
      <c r="AE17" s="650" t="str">
        <f>+IFERROR(RANK(T17,(T$6:T$8,T$33:T$49),0),"")</f>
        <v/>
      </c>
      <c r="AF17" s="650" t="str">
        <f>+IFERROR(RANK(U17,(U$6:U$8,U$33:U$49),0),"")</f>
        <v/>
      </c>
      <c r="AG17" s="650" t="str">
        <f>+IFERROR(RANK(V17,(V$6:V$8,V$33:V$49),0),"")</f>
        <v/>
      </c>
      <c r="AH17" s="650" t="str">
        <f>+IFERROR(RANK(W17,(W$6:W$8,W$33:W$49),0),"")</f>
        <v/>
      </c>
      <c r="AI17" s="650" t="str">
        <f>+IFERROR(RANK(X17,(X$6:X$8,X$33:X$49),0),"")</f>
        <v/>
      </c>
      <c r="AJ17" s="650" t="str">
        <f>+IFERROR(RANK(Y17,(Y$6:Y$8,Y$33:Y$49),0),"")</f>
        <v/>
      </c>
      <c r="AK17" s="650" t="str">
        <f>+IFERROR(RANK(Z17,(Z$6:Z$8,Z$33:Z$49),0),"")</f>
        <v/>
      </c>
      <c r="AL17" s="650" t="str">
        <f>+IFERROR(RANK(AA17,(AA$6:AA$8,AA$33:AA$49),0),"")</f>
        <v/>
      </c>
      <c r="AM17" s="650" t="str">
        <f>+IFERROR(RANK(AB17,(AB$6:AB$8,AB$33:AB$49),0),"")</f>
        <v/>
      </c>
      <c r="AN17" s="650" t="str">
        <f>+IFERROR(RANK(AC17,(AC$6:AC$8,AC$33:AC$49),0),"")</f>
        <v/>
      </c>
      <c r="AQ17" s="127"/>
      <c r="AR17" s="127"/>
      <c r="AS17" s="127"/>
      <c r="AT17" s="127"/>
      <c r="AU17" s="127"/>
    </row>
    <row r="18" spans="1:47" s="115" customFormat="1" ht="12.75" customHeight="1">
      <c r="A18" s="103"/>
      <c r="B18" s="102" t="s">
        <v>147</v>
      </c>
      <c r="C18" s="336">
        <v>1982</v>
      </c>
      <c r="D18" s="336">
        <v>1852</v>
      </c>
      <c r="E18" s="336">
        <v>1850</v>
      </c>
      <c r="F18" s="336">
        <v>1816</v>
      </c>
      <c r="G18" s="336">
        <v>1812</v>
      </c>
      <c r="H18" s="336">
        <v>1737</v>
      </c>
      <c r="I18" s="336">
        <v>1597</v>
      </c>
      <c r="J18" s="336">
        <v>1318</v>
      </c>
      <c r="K18" s="336">
        <v>1449</v>
      </c>
      <c r="L18" s="336">
        <v>1504</v>
      </c>
      <c r="M18" s="336">
        <v>1371</v>
      </c>
      <c r="O18" s="559">
        <f t="shared" si="5"/>
        <v>7.5164559947908147E-2</v>
      </c>
      <c r="P18" s="559">
        <f t="shared" si="6"/>
        <v>3.8674679932467412E-2</v>
      </c>
      <c r="Q18" s="2"/>
      <c r="R18" s="2"/>
      <c r="S18" s="559">
        <f t="shared" si="4"/>
        <v>7.5164559947908161E-2</v>
      </c>
      <c r="T18" s="559">
        <f t="shared" si="3"/>
        <v>6.8188236351030981E-2</v>
      </c>
      <c r="U18" s="559">
        <f t="shared" si="3"/>
        <v>6.5603348678606718E-2</v>
      </c>
      <c r="V18" s="559">
        <f t="shared" si="3"/>
        <v>6.1624016806796827E-2</v>
      </c>
      <c r="W18" s="559">
        <f t="shared" si="3"/>
        <v>5.9206224887591495E-2</v>
      </c>
      <c r="X18" s="559">
        <f t="shared" si="3"/>
        <v>5.5835052262187518E-2</v>
      </c>
      <c r="Y18" s="559">
        <f t="shared" si="3"/>
        <v>5.1757116846633651E-2</v>
      </c>
      <c r="Z18" s="559">
        <f t="shared" si="3"/>
        <v>4.2483991948026413E-2</v>
      </c>
      <c r="AA18" s="559">
        <f t="shared" si="3"/>
        <v>4.3421168553844348E-2</v>
      </c>
      <c r="AB18" s="559">
        <f t="shared" si="3"/>
        <v>4.3099705609524121E-2</v>
      </c>
      <c r="AC18" s="559">
        <f t="shared" si="3"/>
        <v>3.8674679932467405E-2</v>
      </c>
      <c r="AD18" s="650" t="str">
        <f>+IFERROR(RANK(S18,(S$6:S$8,S$33:S$49),0),"")</f>
        <v/>
      </c>
      <c r="AE18" s="650" t="str">
        <f>+IFERROR(RANK(T18,(T$6:T$8,T$33:T$49),0),"")</f>
        <v/>
      </c>
      <c r="AF18" s="650" t="str">
        <f>+IFERROR(RANK(U18,(U$6:U$8,U$33:U$49),0),"")</f>
        <v/>
      </c>
      <c r="AG18" s="650" t="str">
        <f>+IFERROR(RANK(V18,(V$6:V$8,V$33:V$49),0),"")</f>
        <v/>
      </c>
      <c r="AH18" s="650" t="str">
        <f>+IFERROR(RANK(W18,(W$6:W$8,W$33:W$49),0),"")</f>
        <v/>
      </c>
      <c r="AI18" s="650" t="str">
        <f>+IFERROR(RANK(X18,(X$6:X$8,X$33:X$49),0),"")</f>
        <v/>
      </c>
      <c r="AJ18" s="650" t="str">
        <f>+IFERROR(RANK(Y18,(Y$6:Y$8,Y$33:Y$49),0),"")</f>
        <v/>
      </c>
      <c r="AK18" s="650" t="str">
        <f>+IFERROR(RANK(Z18,(Z$6:Z$8,Z$33:Z$49),0),"")</f>
        <v/>
      </c>
      <c r="AL18" s="650" t="str">
        <f>+IFERROR(RANK(AA18,(AA$6:AA$8,AA$33:AA$49),0),"")</f>
        <v/>
      </c>
      <c r="AM18" s="650" t="str">
        <f>+IFERROR(RANK(AB18,(AB$6:AB$8,AB$33:AB$49),0),"")</f>
        <v/>
      </c>
      <c r="AN18" s="650" t="str">
        <f>+IFERROR(RANK(AC18,(AC$6:AC$8,AC$33:AC$49),0),"")</f>
        <v/>
      </c>
      <c r="AQ18" s="127"/>
      <c r="AR18" s="127"/>
      <c r="AS18" s="127"/>
      <c r="AT18" s="127"/>
      <c r="AU18" s="127"/>
    </row>
    <row r="19" spans="1:47" s="115" customFormat="1" ht="12.75" customHeight="1">
      <c r="A19" s="103"/>
      <c r="B19" s="102" t="s">
        <v>148</v>
      </c>
      <c r="C19" s="336">
        <v>11214</v>
      </c>
      <c r="D19" s="336">
        <v>11337</v>
      </c>
      <c r="E19" s="336">
        <v>11725</v>
      </c>
      <c r="F19" s="336">
        <v>11746</v>
      </c>
      <c r="G19" s="336">
        <v>12212</v>
      </c>
      <c r="H19" s="336">
        <v>11991</v>
      </c>
      <c r="I19" s="336">
        <v>12152</v>
      </c>
      <c r="J19" s="336">
        <v>12604</v>
      </c>
      <c r="K19" s="336">
        <v>13066</v>
      </c>
      <c r="L19" s="336">
        <v>13264</v>
      </c>
      <c r="M19" s="336">
        <v>13267</v>
      </c>
      <c r="O19" s="559">
        <f t="shared" si="5"/>
        <v>0.42527516410486482</v>
      </c>
      <c r="P19" s="559">
        <f t="shared" si="6"/>
        <v>0.37425016678632028</v>
      </c>
      <c r="Q19" s="2"/>
      <c r="R19" s="2"/>
      <c r="S19" s="559">
        <f t="shared" si="4"/>
        <v>0.42527516410486482</v>
      </c>
      <c r="T19" s="559">
        <f t="shared" si="3"/>
        <v>0.41741362608619775</v>
      </c>
      <c r="U19" s="559">
        <f t="shared" si="3"/>
        <v>0.41578338554414257</v>
      </c>
      <c r="V19" s="559">
        <f t="shared" si="3"/>
        <v>0.39858794130651737</v>
      </c>
      <c r="W19" s="559">
        <f t="shared" si="3"/>
        <v>0.39902120216736608</v>
      </c>
      <c r="X19" s="559">
        <f t="shared" si="3"/>
        <v>0.38544508444207859</v>
      </c>
      <c r="Y19" s="559">
        <f t="shared" si="3"/>
        <v>0.39383374071402133</v>
      </c>
      <c r="Z19" s="559">
        <f t="shared" si="3"/>
        <v>0.40627331905381253</v>
      </c>
      <c r="AA19" s="559">
        <f t="shared" si="3"/>
        <v>0.39153967448207744</v>
      </c>
      <c r="AB19" s="559">
        <f t="shared" si="3"/>
        <v>0.38010272287548397</v>
      </c>
      <c r="AC19" s="559">
        <f t="shared" si="3"/>
        <v>0.37425016678632028</v>
      </c>
      <c r="AD19" s="650" t="str">
        <f>+IFERROR(RANK(S19,(S$6:S$8,S$33:S$49),0),"")</f>
        <v/>
      </c>
      <c r="AE19" s="650" t="str">
        <f>+IFERROR(RANK(T19,(T$6:T$8,T$33:T$49),0),"")</f>
        <v/>
      </c>
      <c r="AF19" s="650" t="str">
        <f>+IFERROR(RANK(U19,(U$6:U$8,U$33:U$49),0),"")</f>
        <v/>
      </c>
      <c r="AG19" s="650" t="str">
        <f>+IFERROR(RANK(V19,(V$6:V$8,V$33:V$49),0),"")</f>
        <v/>
      </c>
      <c r="AH19" s="650" t="str">
        <f>+IFERROR(RANK(W19,(W$6:W$8,W$33:W$49),0),"")</f>
        <v/>
      </c>
      <c r="AI19" s="650" t="str">
        <f>+IFERROR(RANK(X19,(X$6:X$8,X$33:X$49),0),"")</f>
        <v/>
      </c>
      <c r="AJ19" s="650" t="str">
        <f>+IFERROR(RANK(Y19,(Y$6:Y$8,Y$33:Y$49),0),"")</f>
        <v/>
      </c>
      <c r="AK19" s="650" t="str">
        <f>+IFERROR(RANK(Z19,(Z$6:Z$8,Z$33:Z$49),0),"")</f>
        <v/>
      </c>
      <c r="AL19" s="650" t="str">
        <f>+IFERROR(RANK(AA19,(AA$6:AA$8,AA$33:AA$49),0),"")</f>
        <v/>
      </c>
      <c r="AM19" s="650" t="str">
        <f>+IFERROR(RANK(AB19,(AB$6:AB$8,AB$33:AB$49),0),"")</f>
        <v/>
      </c>
      <c r="AN19" s="650" t="str">
        <f>+IFERROR(RANK(AC19,(AC$6:AC$8,AC$33:AC$49),0),"")</f>
        <v/>
      </c>
      <c r="AQ19" s="127"/>
      <c r="AR19" s="127"/>
      <c r="AS19" s="127"/>
      <c r="AT19" s="127"/>
      <c r="AU19" s="127"/>
    </row>
    <row r="20" spans="1:47" s="115" customFormat="1" ht="12.75" customHeight="1">
      <c r="A20" s="103"/>
      <c r="B20" s="102" t="s">
        <v>157</v>
      </c>
      <c r="C20" s="336">
        <v>6419</v>
      </c>
      <c r="D20" s="336">
        <v>6654</v>
      </c>
      <c r="E20" s="336">
        <v>7072</v>
      </c>
      <c r="F20" s="336">
        <v>7606</v>
      </c>
      <c r="G20" s="336">
        <v>8271</v>
      </c>
      <c r="H20" s="336">
        <v>8946</v>
      </c>
      <c r="I20" s="336">
        <v>9437</v>
      </c>
      <c r="J20" s="336">
        <v>9677</v>
      </c>
      <c r="K20" s="336">
        <v>10327</v>
      </c>
      <c r="L20" s="336">
        <v>10862</v>
      </c>
      <c r="M20" s="336">
        <v>11141</v>
      </c>
      <c r="O20" s="559">
        <f t="shared" si="5"/>
        <v>0.24343153900384584</v>
      </c>
      <c r="P20" s="559">
        <f t="shared" si="6"/>
        <v>0.31427761424334016</v>
      </c>
      <c r="Q20" s="2"/>
      <c r="R20" s="2"/>
      <c r="S20" s="559">
        <f t="shared" si="4"/>
        <v>0.24343153900384584</v>
      </c>
      <c r="T20" s="559">
        <f t="shared" si="3"/>
        <v>0.24499164399555082</v>
      </c>
      <c r="U20" s="559">
        <f t="shared" si="3"/>
        <v>0.25078209830005765</v>
      </c>
      <c r="V20" s="559">
        <f t="shared" si="3"/>
        <v>0.25810147127340127</v>
      </c>
      <c r="W20" s="559">
        <f t="shared" si="3"/>
        <v>0.27025093048855919</v>
      </c>
      <c r="X20" s="559">
        <f t="shared" si="3"/>
        <v>0.28756498418971188</v>
      </c>
      <c r="Y20" s="559">
        <f t="shared" si="3"/>
        <v>0.30584340117826031</v>
      </c>
      <c r="Z20" s="559">
        <f t="shared" si="3"/>
        <v>0.31192533390064614</v>
      </c>
      <c r="AA20" s="559">
        <f t="shared" si="3"/>
        <v>0.30946197905835099</v>
      </c>
      <c r="AB20" s="559">
        <f t="shared" si="3"/>
        <v>0.31126928346452859</v>
      </c>
      <c r="AC20" s="559">
        <f t="shared" si="3"/>
        <v>0.31427761424334016</v>
      </c>
      <c r="AD20" s="650" t="str">
        <f>+IFERROR(RANK(S20,(S$6:S$8,S$33:S$49),0),"")</f>
        <v/>
      </c>
      <c r="AE20" s="650" t="str">
        <f>+IFERROR(RANK(T20,(T$6:T$8,T$33:T$49),0),"")</f>
        <v/>
      </c>
      <c r="AF20" s="650" t="str">
        <f>+IFERROR(RANK(U20,(U$6:U$8,U$33:U$49),0),"")</f>
        <v/>
      </c>
      <c r="AG20" s="650" t="str">
        <f>+IFERROR(RANK(V20,(V$6:V$8,V$33:V$49),0),"")</f>
        <v/>
      </c>
      <c r="AH20" s="650" t="str">
        <f>+IFERROR(RANK(W20,(W$6:W$8,W$33:W$49),0),"")</f>
        <v/>
      </c>
      <c r="AI20" s="650" t="str">
        <f>+IFERROR(RANK(X20,(X$6:X$8,X$33:X$49),0),"")</f>
        <v/>
      </c>
      <c r="AJ20" s="650" t="str">
        <f>+IFERROR(RANK(Y20,(Y$6:Y$8,Y$33:Y$49),0),"")</f>
        <v/>
      </c>
      <c r="AK20" s="650" t="str">
        <f>+IFERROR(RANK(Z20,(Z$6:Z$8,Z$33:Z$49),0),"")</f>
        <v/>
      </c>
      <c r="AL20" s="650" t="str">
        <f>+IFERROR(RANK(AA20,(AA$6:AA$8,AA$33:AA$49),0),"")</f>
        <v/>
      </c>
      <c r="AM20" s="650" t="str">
        <f>+IFERROR(RANK(AB20,(AB$6:AB$8,AB$33:AB$49),0),"")</f>
        <v/>
      </c>
      <c r="AN20" s="650" t="str">
        <f>+IFERROR(RANK(AC20,(AC$6:AC$8,AC$33:AC$49),0),"")</f>
        <v/>
      </c>
      <c r="AQ20" s="127"/>
      <c r="AR20" s="127"/>
      <c r="AS20" s="127"/>
      <c r="AT20" s="127"/>
      <c r="AU20" s="127"/>
    </row>
    <row r="21" spans="1:47" s="115" customFormat="1" ht="12.75" customHeight="1">
      <c r="A21" s="103"/>
      <c r="B21" s="102" t="s">
        <v>149</v>
      </c>
      <c r="C21" s="336">
        <v>23382</v>
      </c>
      <c r="D21" s="336">
        <v>24581</v>
      </c>
      <c r="E21" s="336">
        <v>25547</v>
      </c>
      <c r="F21" s="336">
        <v>27653</v>
      </c>
      <c r="G21" s="336">
        <v>28666</v>
      </c>
      <c r="H21" s="336">
        <v>29832</v>
      </c>
      <c r="I21" s="336">
        <v>30199</v>
      </c>
      <c r="J21" s="336">
        <v>29926</v>
      </c>
      <c r="K21" s="336">
        <v>28544</v>
      </c>
      <c r="L21" s="336">
        <v>28541</v>
      </c>
      <c r="M21" s="336">
        <v>29605</v>
      </c>
      <c r="O21" s="559">
        <f t="shared" si="5"/>
        <v>0.88672943526840986</v>
      </c>
      <c r="P21" s="559">
        <f t="shared" si="6"/>
        <v>0.83513048825725567</v>
      </c>
      <c r="Q21" s="2"/>
      <c r="R21" s="2"/>
      <c r="S21" s="559">
        <f t="shared" si="4"/>
        <v>0.88672943526840986</v>
      </c>
      <c r="T21" s="559">
        <f t="shared" si="4"/>
        <v>0.90504051714076272</v>
      </c>
      <c r="U21" s="559">
        <f t="shared" si="4"/>
        <v>0.90592905334722473</v>
      </c>
      <c r="V21" s="559">
        <f t="shared" si="4"/>
        <v>0.93837496517530439</v>
      </c>
      <c r="W21" s="559">
        <f t="shared" si="4"/>
        <v>0.93664770564442479</v>
      </c>
      <c r="X21" s="559">
        <f t="shared" si="4"/>
        <v>0.95893568168427057</v>
      </c>
      <c r="Y21" s="559">
        <f t="shared" si="4"/>
        <v>0.97871832914933599</v>
      </c>
      <c r="Z21" s="559">
        <f t="shared" si="4"/>
        <v>0.96462514646178943</v>
      </c>
      <c r="AA21" s="559">
        <f t="shared" si="4"/>
        <v>0.85535806432086481</v>
      </c>
      <c r="AB21" s="559">
        <f t="shared" si="4"/>
        <v>0.81789142141052384</v>
      </c>
      <c r="AC21" s="559">
        <f t="shared" si="4"/>
        <v>0.83513048825725578</v>
      </c>
      <c r="AD21" s="650" t="str">
        <f>+IFERROR(RANK(S21,(S$6:S$8,S$33:S$49),0),"")</f>
        <v/>
      </c>
      <c r="AE21" s="650" t="str">
        <f>+IFERROR(RANK(T21,(T$6:T$8,T$33:T$49),0),"")</f>
        <v/>
      </c>
      <c r="AF21" s="650" t="str">
        <f>+IFERROR(RANK(U21,(U$6:U$8,U$33:U$49),0),"")</f>
        <v/>
      </c>
      <c r="AG21" s="650" t="str">
        <f>+IFERROR(RANK(V21,(V$6:V$8,V$33:V$49),0),"")</f>
        <v/>
      </c>
      <c r="AH21" s="650" t="str">
        <f>+IFERROR(RANK(W21,(W$6:W$8,W$33:W$49),0),"")</f>
        <v/>
      </c>
      <c r="AI21" s="650" t="str">
        <f>+IFERROR(RANK(X21,(X$6:X$8,X$33:X$49),0),"")</f>
        <v/>
      </c>
      <c r="AJ21" s="650" t="str">
        <f>+IFERROR(RANK(Y21,(Y$6:Y$8,Y$33:Y$49),0),"")</f>
        <v/>
      </c>
      <c r="AK21" s="650" t="str">
        <f>+IFERROR(RANK(Z21,(Z$6:Z$8,Z$33:Z$49),0),"")</f>
        <v/>
      </c>
      <c r="AL21" s="650" t="str">
        <f>+IFERROR(RANK(AA21,(AA$6:AA$8,AA$33:AA$49),0),"")</f>
        <v/>
      </c>
      <c r="AM21" s="650" t="str">
        <f>+IFERROR(RANK(AB21,(AB$6:AB$8,AB$33:AB$49),0),"")</f>
        <v/>
      </c>
      <c r="AN21" s="650" t="str">
        <f>+IFERROR(RANK(AC21,(AC$6:AC$8,AC$33:AC$49),0),"")</f>
        <v/>
      </c>
      <c r="AQ21" s="127"/>
      <c r="AR21" s="127"/>
      <c r="AS21" s="127"/>
      <c r="AT21" s="127"/>
      <c r="AU21" s="127"/>
    </row>
    <row r="22" spans="1:47" s="115" customFormat="1" ht="12.75" customHeight="1">
      <c r="A22" s="103"/>
      <c r="B22" s="102" t="s">
        <v>156</v>
      </c>
      <c r="C22" s="336">
        <v>34935</v>
      </c>
      <c r="D22" s="336">
        <v>35393</v>
      </c>
      <c r="E22" s="336">
        <v>36342</v>
      </c>
      <c r="F22" s="336">
        <v>37733</v>
      </c>
      <c r="G22" s="336">
        <v>38276</v>
      </c>
      <c r="H22" s="336">
        <v>38270</v>
      </c>
      <c r="I22" s="336">
        <v>38700</v>
      </c>
      <c r="J22" s="336">
        <v>40168</v>
      </c>
      <c r="K22" s="336">
        <v>40818</v>
      </c>
      <c r="L22" s="336">
        <v>41111</v>
      </c>
      <c r="M22" s="336">
        <v>40614</v>
      </c>
      <c r="O22" s="559">
        <f t="shared" si="5"/>
        <v>1.3248606971645669</v>
      </c>
      <c r="P22" s="559">
        <f t="shared" si="6"/>
        <v>1.1456845009316057</v>
      </c>
      <c r="Q22" s="2"/>
      <c r="R22" s="2"/>
      <c r="S22" s="559">
        <f t="shared" si="4"/>
        <v>1.3248606971645667</v>
      </c>
      <c r="T22" s="559">
        <f t="shared" si="4"/>
        <v>1.3031243246069328</v>
      </c>
      <c r="U22" s="559">
        <f t="shared" si="4"/>
        <v>1.2887334582042838</v>
      </c>
      <c r="V22" s="559">
        <f t="shared" si="4"/>
        <v>1.2804289791689785</v>
      </c>
      <c r="W22" s="559">
        <f t="shared" si="4"/>
        <v>1.2506498144577549</v>
      </c>
      <c r="X22" s="559">
        <f t="shared" si="4"/>
        <v>1.23017124356587</v>
      </c>
      <c r="Y22" s="559">
        <f t="shared" si="4"/>
        <v>1.2542269392390246</v>
      </c>
      <c r="Z22" s="559">
        <f t="shared" si="4"/>
        <v>1.2947625102946321</v>
      </c>
      <c r="AA22" s="559">
        <f t="shared" si="4"/>
        <v>1.2231644292828285</v>
      </c>
      <c r="AB22" s="559">
        <f t="shared" si="4"/>
        <v>1.1781063811922514</v>
      </c>
      <c r="AC22" s="559">
        <f t="shared" si="4"/>
        <v>1.1456845009316057</v>
      </c>
      <c r="AD22" s="650" t="str">
        <f>+IFERROR(RANK(S22,(S$6:S$8,S$33:S$49),0),"")</f>
        <v/>
      </c>
      <c r="AE22" s="650" t="str">
        <f>+IFERROR(RANK(T22,(T$6:T$8,T$33:T$49),0),"")</f>
        <v/>
      </c>
      <c r="AF22" s="650" t="str">
        <f>+IFERROR(RANK(U22,(U$6:U$8,U$33:U$49),0),"")</f>
        <v/>
      </c>
      <c r="AG22" s="650" t="str">
        <f>+IFERROR(RANK(V22,(V$6:V$8,V$33:V$49),0),"")</f>
        <v/>
      </c>
      <c r="AH22" s="650" t="str">
        <f>+IFERROR(RANK(W22,(W$6:W$8,W$33:W$49),0),"")</f>
        <v/>
      </c>
      <c r="AI22" s="650" t="str">
        <f>+IFERROR(RANK(X22,(X$6:X$8,X$33:X$49),0),"")</f>
        <v/>
      </c>
      <c r="AJ22" s="650" t="str">
        <f>+IFERROR(RANK(Y22,(Y$6:Y$8,Y$33:Y$49),0),"")</f>
        <v/>
      </c>
      <c r="AK22" s="650" t="str">
        <f>+IFERROR(RANK(Z22,(Z$6:Z$8,Z$33:Z$49),0),"")</f>
        <v/>
      </c>
      <c r="AL22" s="650" t="str">
        <f>+IFERROR(RANK(AA22,(AA$6:AA$8,AA$33:AA$49),0),"")</f>
        <v/>
      </c>
      <c r="AM22" s="650" t="str">
        <f>+IFERROR(RANK(AB22,(AB$6:AB$8,AB$33:AB$49),0),"")</f>
        <v/>
      </c>
      <c r="AN22" s="650" t="str">
        <f>+IFERROR(RANK(AC22,(AC$6:AC$8,AC$33:AC$49),0),"")</f>
        <v/>
      </c>
      <c r="AQ22" s="127"/>
      <c r="AR22" s="127"/>
      <c r="AS22" s="127"/>
      <c r="AT22" s="127"/>
      <c r="AU22" s="127"/>
    </row>
    <row r="23" spans="1:47" s="115" customFormat="1" ht="12.75" customHeight="1">
      <c r="A23" s="103"/>
      <c r="B23" s="102" t="s">
        <v>91</v>
      </c>
      <c r="C23" s="336">
        <v>7896</v>
      </c>
      <c r="D23" s="336">
        <v>8121</v>
      </c>
      <c r="E23" s="336">
        <v>8310</v>
      </c>
      <c r="F23" s="336">
        <v>8791</v>
      </c>
      <c r="G23" s="336">
        <v>8753</v>
      </c>
      <c r="H23" s="336">
        <v>8994</v>
      </c>
      <c r="I23" s="336">
        <v>8862</v>
      </c>
      <c r="J23" s="336">
        <v>9138</v>
      </c>
      <c r="K23" s="336">
        <v>9391</v>
      </c>
      <c r="L23" s="336">
        <v>9200</v>
      </c>
      <c r="M23" s="336">
        <v>8325</v>
      </c>
      <c r="O23" s="559">
        <f t="shared" si="5"/>
        <v>0.29944468483788234</v>
      </c>
      <c r="P23" s="559">
        <f t="shared" si="6"/>
        <v>0.23484078077154716</v>
      </c>
      <c r="Q23" s="2"/>
      <c r="R23" s="2"/>
      <c r="S23" s="559">
        <f t="shared" si="4"/>
        <v>0.29944468483788234</v>
      </c>
      <c r="T23" s="559">
        <f t="shared" si="4"/>
        <v>0.29900468002522818</v>
      </c>
      <c r="U23" s="559">
        <f t="shared" si="4"/>
        <v>0.29468315001039014</v>
      </c>
      <c r="V23" s="559">
        <f t="shared" si="4"/>
        <v>0.29831317827563375</v>
      </c>
      <c r="W23" s="559">
        <f t="shared" si="4"/>
        <v>0.28600004770479487</v>
      </c>
      <c r="X23" s="559">
        <f t="shared" si="4"/>
        <v>0.28910792173063588</v>
      </c>
      <c r="Y23" s="559">
        <f t="shared" si="4"/>
        <v>0.28720824639628517</v>
      </c>
      <c r="Z23" s="559">
        <f t="shared" si="4"/>
        <v>0.29455137968214368</v>
      </c>
      <c r="AA23" s="559">
        <f t="shared" si="4"/>
        <v>0.28141352235276207</v>
      </c>
      <c r="AB23" s="559">
        <f t="shared" si="4"/>
        <v>0.26364181622847199</v>
      </c>
      <c r="AC23" s="559">
        <f t="shared" si="4"/>
        <v>0.23484078077154716</v>
      </c>
      <c r="AD23" s="650" t="str">
        <f>+IFERROR(RANK(S23,(S$6:S$8,S$33:S$49),0),"")</f>
        <v/>
      </c>
      <c r="AE23" s="650" t="str">
        <f>+IFERROR(RANK(T23,(T$6:T$8,T$33:T$49),0),"")</f>
        <v/>
      </c>
      <c r="AF23" s="650" t="str">
        <f>+IFERROR(RANK(U23,(U$6:U$8,U$33:U$49),0),"")</f>
        <v/>
      </c>
      <c r="AG23" s="650" t="str">
        <f>+IFERROR(RANK(V23,(V$6:V$8,V$33:V$49),0),"")</f>
        <v/>
      </c>
      <c r="AH23" s="650" t="str">
        <f>+IFERROR(RANK(W23,(W$6:W$8,W$33:W$49),0),"")</f>
        <v/>
      </c>
      <c r="AI23" s="650" t="str">
        <f>+IFERROR(RANK(X23,(X$6:X$8,X$33:X$49),0),"")</f>
        <v/>
      </c>
      <c r="AJ23" s="650" t="str">
        <f>+IFERROR(RANK(Y23,(Y$6:Y$8,Y$33:Y$49),0),"")</f>
        <v/>
      </c>
      <c r="AK23" s="650" t="str">
        <f>+IFERROR(RANK(Z23,(Z$6:Z$8,Z$33:Z$49),0),"")</f>
        <v/>
      </c>
      <c r="AL23" s="650" t="str">
        <f>+IFERROR(RANK(AA23,(AA$6:AA$8,AA$33:AA$49),0),"")</f>
        <v/>
      </c>
      <c r="AM23" s="650" t="str">
        <f>+IFERROR(RANK(AB23,(AB$6:AB$8,AB$33:AB$49),0),"")</f>
        <v/>
      </c>
      <c r="AN23" s="650" t="str">
        <f>+IFERROR(RANK(AC23,(AC$6:AC$8,AC$33:AC$49),0),"")</f>
        <v/>
      </c>
      <c r="AQ23" s="127"/>
      <c r="AR23" s="127"/>
      <c r="AS23" s="127"/>
      <c r="AT23" s="127"/>
      <c r="AU23" s="127"/>
    </row>
    <row r="24" spans="1:47" s="115" customFormat="1" ht="12.75" customHeight="1">
      <c r="A24" s="103"/>
      <c r="B24" s="102" t="s">
        <v>154</v>
      </c>
      <c r="C24" s="336">
        <v>66933</v>
      </c>
      <c r="D24" s="336">
        <v>69079</v>
      </c>
      <c r="E24" s="336">
        <v>72491</v>
      </c>
      <c r="F24" s="336">
        <v>75996</v>
      </c>
      <c r="G24" s="336">
        <v>80055</v>
      </c>
      <c r="H24" s="336">
        <v>80462</v>
      </c>
      <c r="I24" s="336">
        <v>80997</v>
      </c>
      <c r="J24" s="336">
        <v>81797</v>
      </c>
      <c r="K24" s="336">
        <v>86266</v>
      </c>
      <c r="L24" s="336">
        <v>88417</v>
      </c>
      <c r="M24" s="336">
        <v>90582</v>
      </c>
      <c r="O24" s="559">
        <f t="shared" si="5"/>
        <v>2.5383398037302403</v>
      </c>
      <c r="P24" s="559">
        <f t="shared" si="6"/>
        <v>2.5552369494112055</v>
      </c>
      <c r="Q24" s="2"/>
      <c r="R24" s="2"/>
      <c r="S24" s="559">
        <f t="shared" si="4"/>
        <v>2.5383398037302403</v>
      </c>
      <c r="T24" s="559">
        <f t="shared" si="4"/>
        <v>2.5433991246721757</v>
      </c>
      <c r="U24" s="559">
        <f t="shared" si="4"/>
        <v>2.570622891384259</v>
      </c>
      <c r="V24" s="559">
        <f t="shared" si="4"/>
        <v>2.5788429412165925</v>
      </c>
      <c r="W24" s="559">
        <f t="shared" si="4"/>
        <v>2.6157584621281109</v>
      </c>
      <c r="X24" s="559">
        <f t="shared" si="4"/>
        <v>2.5864133420380728</v>
      </c>
      <c r="Y24" s="559">
        <f t="shared" si="4"/>
        <v>2.6250289250011183</v>
      </c>
      <c r="Z24" s="559">
        <f t="shared" si="4"/>
        <v>2.6366184289626071</v>
      </c>
      <c r="AA24" s="559">
        <f t="shared" si="4"/>
        <v>2.5850728270986449</v>
      </c>
      <c r="AB24" s="559">
        <f t="shared" si="4"/>
        <v>2.5337411375513921</v>
      </c>
      <c r="AC24" s="559">
        <f t="shared" si="4"/>
        <v>2.5552369494112055</v>
      </c>
      <c r="AD24" s="650" t="str">
        <f>+IFERROR(RANK(S24,(S$6:S$8,S$33:S$49),0),"")</f>
        <v/>
      </c>
      <c r="AE24" s="650" t="str">
        <f>+IFERROR(RANK(T24,(T$6:T$8,T$33:T$49),0),"")</f>
        <v/>
      </c>
      <c r="AF24" s="650" t="str">
        <f>+IFERROR(RANK(U24,(U$6:U$8,U$33:U$49),0),"")</f>
        <v/>
      </c>
      <c r="AG24" s="650" t="str">
        <f>+IFERROR(RANK(V24,(V$6:V$8,V$33:V$49),0),"")</f>
        <v/>
      </c>
      <c r="AH24" s="650" t="str">
        <f>+IFERROR(RANK(W24,(W$6:W$8,W$33:W$49),0),"")</f>
        <v/>
      </c>
      <c r="AI24" s="650" t="str">
        <f>+IFERROR(RANK(X24,(X$6:X$8,X$33:X$49),0),"")</f>
        <v/>
      </c>
      <c r="AJ24" s="650" t="str">
        <f>+IFERROR(RANK(Y24,(Y$6:Y$8,Y$33:Y$49),0),"")</f>
        <v/>
      </c>
      <c r="AK24" s="650" t="str">
        <f>+IFERROR(RANK(Z24,(Z$6:Z$8,Z$33:Z$49),0),"")</f>
        <v/>
      </c>
      <c r="AL24" s="650" t="str">
        <f>+IFERROR(RANK(AA24,(AA$6:AA$8,AA$33:AA$49),0),"")</f>
        <v/>
      </c>
      <c r="AM24" s="650" t="str">
        <f>+IFERROR(RANK(AB24,(AB$6:AB$8,AB$33:AB$49),0),"")</f>
        <v/>
      </c>
      <c r="AN24" s="650" t="str">
        <f>+IFERROR(RANK(AC24,(AC$6:AC$8,AC$33:AC$49),0),"")</f>
        <v/>
      </c>
      <c r="AQ24" s="127"/>
      <c r="AR24" s="127"/>
      <c r="AS24" s="127"/>
      <c r="AT24" s="127"/>
      <c r="AU24" s="127"/>
    </row>
    <row r="25" spans="1:47" s="115" customFormat="1" ht="12.75" customHeight="1">
      <c r="A25" s="103"/>
      <c r="B25" s="102" t="s">
        <v>155</v>
      </c>
      <c r="C25" s="336">
        <v>9627</v>
      </c>
      <c r="D25" s="336">
        <v>9466</v>
      </c>
      <c r="E25" s="336">
        <v>9894</v>
      </c>
      <c r="F25" s="336">
        <v>11097</v>
      </c>
      <c r="G25" s="336">
        <v>12182</v>
      </c>
      <c r="H25" s="336">
        <v>12736</v>
      </c>
      <c r="I25" s="336">
        <v>12550</v>
      </c>
      <c r="J25" s="336">
        <v>12284</v>
      </c>
      <c r="K25" s="336">
        <v>12614</v>
      </c>
      <c r="L25" s="336">
        <v>13751</v>
      </c>
      <c r="M25" s="336">
        <v>13791</v>
      </c>
      <c r="O25" s="559">
        <f t="shared" si="5"/>
        <v>0.36509042311731171</v>
      </c>
      <c r="P25" s="559">
        <f t="shared" si="6"/>
        <v>0.38903173665109991</v>
      </c>
      <c r="Q25" s="2"/>
      <c r="R25" s="2"/>
      <c r="S25" s="559">
        <f t="shared" si="4"/>
        <v>0.36509042311731171</v>
      </c>
      <c r="T25" s="559">
        <f t="shared" si="4"/>
        <v>0.34852583439463242</v>
      </c>
      <c r="U25" s="559">
        <f t="shared" si="4"/>
        <v>0.3508538009870999</v>
      </c>
      <c r="V25" s="559">
        <f t="shared" si="4"/>
        <v>0.37656482076267866</v>
      </c>
      <c r="W25" s="559">
        <f t="shared" si="4"/>
        <v>0.3980409666559821</v>
      </c>
      <c r="X25" s="559">
        <f t="shared" si="4"/>
        <v>0.40939276085850329</v>
      </c>
      <c r="Y25" s="559">
        <f t="shared" si="4"/>
        <v>0.40673250871963201</v>
      </c>
      <c r="Z25" s="559">
        <f t="shared" si="4"/>
        <v>0.39595854103911721</v>
      </c>
      <c r="AA25" s="559">
        <f t="shared" si="4"/>
        <v>0.37799490692766913</v>
      </c>
      <c r="AB25" s="559">
        <f t="shared" si="4"/>
        <v>0.39405854510409982</v>
      </c>
      <c r="AC25" s="559">
        <f t="shared" si="4"/>
        <v>0.38903173665109997</v>
      </c>
      <c r="AD25" s="650" t="str">
        <f>+IFERROR(RANK(S25,(S$6:S$8,S$33:S$49),0),"")</f>
        <v/>
      </c>
      <c r="AE25" s="650" t="str">
        <f>+IFERROR(RANK(T25,(T$6:T$8,T$33:T$49),0),"")</f>
        <v/>
      </c>
      <c r="AF25" s="650" t="str">
        <f>+IFERROR(RANK(U25,(U$6:U$8,U$33:U$49),0),"")</f>
        <v/>
      </c>
      <c r="AG25" s="650" t="str">
        <f>+IFERROR(RANK(V25,(V$6:V$8,V$33:V$49),0),"")</f>
        <v/>
      </c>
      <c r="AH25" s="650" t="str">
        <f>+IFERROR(RANK(W25,(W$6:W$8,W$33:W$49),0),"")</f>
        <v/>
      </c>
      <c r="AI25" s="650" t="str">
        <f>+IFERROR(RANK(X25,(X$6:X$8,X$33:X$49),0),"")</f>
        <v/>
      </c>
      <c r="AJ25" s="650" t="str">
        <f>+IFERROR(RANK(Y25,(Y$6:Y$8,Y$33:Y$49),0),"")</f>
        <v/>
      </c>
      <c r="AK25" s="650" t="str">
        <f>+IFERROR(RANK(Z25,(Z$6:Z$8,Z$33:Z$49),0),"")</f>
        <v/>
      </c>
      <c r="AL25" s="650" t="str">
        <f>+IFERROR(RANK(AA25,(AA$6:AA$8,AA$33:AA$49),0),"")</f>
        <v/>
      </c>
      <c r="AM25" s="650" t="str">
        <f>+IFERROR(RANK(AB25,(AB$6:AB$8,AB$33:AB$49),0),"")</f>
        <v/>
      </c>
      <c r="AN25" s="650" t="str">
        <f>+IFERROR(RANK(AC25,(AC$6:AC$8,AC$33:AC$49),0),"")</f>
        <v/>
      </c>
      <c r="AQ25" s="127"/>
      <c r="AR25" s="127"/>
      <c r="AS25" s="127"/>
      <c r="AT25" s="127"/>
      <c r="AU25" s="127"/>
    </row>
    <row r="26" spans="1:47" s="115" customFormat="1" ht="12.75" customHeight="1">
      <c r="A26" s="103"/>
      <c r="B26" s="102" t="s">
        <v>150</v>
      </c>
      <c r="C26" s="336">
        <v>15645</v>
      </c>
      <c r="D26" s="336">
        <v>17501</v>
      </c>
      <c r="E26" s="336">
        <v>17302</v>
      </c>
      <c r="F26" s="336">
        <v>18400</v>
      </c>
      <c r="G26" s="336">
        <v>19235</v>
      </c>
      <c r="H26" s="336">
        <v>17947</v>
      </c>
      <c r="I26" s="336">
        <v>19219</v>
      </c>
      <c r="J26" s="336">
        <v>18297</v>
      </c>
      <c r="K26" s="336">
        <v>21199</v>
      </c>
      <c r="L26" s="336">
        <v>22491</v>
      </c>
      <c r="M26" s="336">
        <v>22309</v>
      </c>
      <c r="O26" s="559">
        <f t="shared" si="5"/>
        <v>0.59331460160697436</v>
      </c>
      <c r="P26" s="559">
        <f t="shared" si="6"/>
        <v>0.62931687426215566</v>
      </c>
      <c r="Q26" s="2"/>
      <c r="R26" s="2"/>
      <c r="S26" s="559">
        <f t="shared" si="4"/>
        <v>0.59331460160697425</v>
      </c>
      <c r="T26" s="559">
        <f t="shared" si="4"/>
        <v>0.64436410603638938</v>
      </c>
      <c r="U26" s="559">
        <f t="shared" si="4"/>
        <v>0.61355088585797479</v>
      </c>
      <c r="V26" s="559">
        <f t="shared" si="4"/>
        <v>0.62438431125829386</v>
      </c>
      <c r="W26" s="559">
        <f t="shared" si="4"/>
        <v>0.62849433538235233</v>
      </c>
      <c r="X26" s="559">
        <f t="shared" si="4"/>
        <v>0.57689791764506582</v>
      </c>
      <c r="Y26" s="559">
        <f t="shared" si="4"/>
        <v>0.62286789522570574</v>
      </c>
      <c r="Z26" s="559">
        <f t="shared" si="4"/>
        <v>0.58977966667150172</v>
      </c>
      <c r="AA26" s="559">
        <f t="shared" si="4"/>
        <v>0.63525559156172973</v>
      </c>
      <c r="AB26" s="559">
        <f t="shared" si="4"/>
        <v>0.64451827052114818</v>
      </c>
      <c r="AC26" s="559">
        <f t="shared" si="4"/>
        <v>0.62931687426215566</v>
      </c>
      <c r="AD26" s="650" t="str">
        <f>+IFERROR(RANK(S26,(S$6:S$8,S$33:S$49),0),"")</f>
        <v/>
      </c>
      <c r="AE26" s="650" t="str">
        <f>+IFERROR(RANK(T26,(T$6:T$8,T$33:T$49),0),"")</f>
        <v/>
      </c>
      <c r="AF26" s="650" t="str">
        <f>+IFERROR(RANK(U26,(U$6:U$8,U$33:U$49),0),"")</f>
        <v/>
      </c>
      <c r="AG26" s="650" t="str">
        <f>+IFERROR(RANK(V26,(V$6:V$8,V$33:V$49),0),"")</f>
        <v/>
      </c>
      <c r="AH26" s="650" t="str">
        <f>+IFERROR(RANK(W26,(W$6:W$8,W$33:W$49),0),"")</f>
        <v/>
      </c>
      <c r="AI26" s="650" t="str">
        <f>+IFERROR(RANK(X26,(X$6:X$8,X$33:X$49),0),"")</f>
        <v/>
      </c>
      <c r="AJ26" s="650" t="str">
        <f>+IFERROR(RANK(Y26,(Y$6:Y$8,Y$33:Y$49),0),"")</f>
        <v/>
      </c>
      <c r="AK26" s="650" t="str">
        <f>+IFERROR(RANK(Z26,(Z$6:Z$8,Z$33:Z$49),0),"")</f>
        <v/>
      </c>
      <c r="AL26" s="650" t="str">
        <f>+IFERROR(RANK(AA26,(AA$6:AA$8,AA$33:AA$49),0),"")</f>
        <v/>
      </c>
      <c r="AM26" s="650" t="str">
        <f>+IFERROR(RANK(AB26,(AB$6:AB$8,AB$33:AB$49),0),"")</f>
        <v/>
      </c>
      <c r="AN26" s="650" t="str">
        <f>+IFERROR(RANK(AC26,(AC$6:AC$8,AC$33:AC$49),0),"")</f>
        <v/>
      </c>
      <c r="AQ26" s="127"/>
      <c r="AR26" s="127"/>
      <c r="AS26" s="127"/>
      <c r="AT26" s="127"/>
      <c r="AU26" s="127"/>
    </row>
    <row r="27" spans="1:47" s="115" customFormat="1" ht="12.75" customHeight="1">
      <c r="A27" s="103"/>
      <c r="B27" s="102" t="s">
        <v>158</v>
      </c>
      <c r="C27" s="336">
        <v>20331</v>
      </c>
      <c r="D27" s="336">
        <v>21309</v>
      </c>
      <c r="E27" s="336">
        <v>21378</v>
      </c>
      <c r="F27" s="336">
        <v>22227</v>
      </c>
      <c r="G27" s="336">
        <v>23169</v>
      </c>
      <c r="H27" s="336">
        <v>23425</v>
      </c>
      <c r="I27" s="336">
        <v>23519</v>
      </c>
      <c r="J27" s="336">
        <v>23685</v>
      </c>
      <c r="K27" s="336">
        <v>24837</v>
      </c>
      <c r="L27" s="336">
        <v>25205</v>
      </c>
      <c r="M27" s="336">
        <v>24529</v>
      </c>
      <c r="O27" s="559">
        <f t="shared" si="5"/>
        <v>0.77102455514678137</v>
      </c>
      <c r="P27" s="559">
        <f t="shared" si="6"/>
        <v>0.69194108246790165</v>
      </c>
      <c r="Q27" s="2"/>
      <c r="R27" s="2"/>
      <c r="S27" s="559">
        <f t="shared" si="4"/>
        <v>0.77102455514678137</v>
      </c>
      <c r="T27" s="559">
        <f t="shared" si="4"/>
        <v>0.78456972376032352</v>
      </c>
      <c r="U27" s="559">
        <f t="shared" si="4"/>
        <v>0.75809102056824562</v>
      </c>
      <c r="V27" s="559">
        <f t="shared" si="4"/>
        <v>0.75424946121402703</v>
      </c>
      <c r="W27" s="559">
        <f t="shared" si="4"/>
        <v>0.75703588544183631</v>
      </c>
      <c r="X27" s="559">
        <f t="shared" si="4"/>
        <v>0.75298566450301818</v>
      </c>
      <c r="Y27" s="559">
        <f t="shared" si="4"/>
        <v>0.76222644403004181</v>
      </c>
      <c r="Z27" s="559">
        <f t="shared" si="4"/>
        <v>0.76345474149393444</v>
      </c>
      <c r="AA27" s="559">
        <f t="shared" si="4"/>
        <v>0.74427299059477714</v>
      </c>
      <c r="AB27" s="559">
        <f t="shared" si="4"/>
        <v>0.72229260630854741</v>
      </c>
      <c r="AC27" s="559">
        <f t="shared" si="4"/>
        <v>0.69194108246790154</v>
      </c>
      <c r="AD27" s="650" t="str">
        <f>+IFERROR(RANK(S27,(S$6:S$8,S$33:S$49),0),"")</f>
        <v/>
      </c>
      <c r="AE27" s="650" t="str">
        <f>+IFERROR(RANK(T27,(T$6:T$8,T$33:T$49),0),"")</f>
        <v/>
      </c>
      <c r="AF27" s="650" t="str">
        <f>+IFERROR(RANK(U27,(U$6:U$8,U$33:U$49),0),"")</f>
        <v/>
      </c>
      <c r="AG27" s="650" t="str">
        <f>+IFERROR(RANK(V27,(V$6:V$8,V$33:V$49),0),"")</f>
        <v/>
      </c>
      <c r="AH27" s="650" t="str">
        <f>+IFERROR(RANK(W27,(W$6:W$8,W$33:W$49),0),"")</f>
        <v/>
      </c>
      <c r="AI27" s="650" t="str">
        <f>+IFERROR(RANK(X27,(X$6:X$8,X$33:X$49),0),"")</f>
        <v/>
      </c>
      <c r="AJ27" s="650" t="str">
        <f>+IFERROR(RANK(Y27,(Y$6:Y$8,Y$33:Y$49),0),"")</f>
        <v/>
      </c>
      <c r="AK27" s="650" t="str">
        <f>+IFERROR(RANK(Z27,(Z$6:Z$8,Z$33:Z$49),0),"")</f>
        <v/>
      </c>
      <c r="AL27" s="650" t="str">
        <f>+IFERROR(RANK(AA27,(AA$6:AA$8,AA$33:AA$49),0),"")</f>
        <v/>
      </c>
      <c r="AM27" s="650" t="str">
        <f>+IFERROR(RANK(AB27,(AB$6:AB$8,AB$33:AB$49),0),"")</f>
        <v/>
      </c>
      <c r="AN27" s="650" t="str">
        <f>+IFERROR(RANK(AC27,(AC$6:AC$8,AC$33:AC$49),0),"")</f>
        <v/>
      </c>
      <c r="AQ27" s="127"/>
      <c r="AR27" s="127"/>
      <c r="AS27" s="127"/>
      <c r="AT27" s="127"/>
      <c r="AU27" s="127"/>
    </row>
    <row r="28" spans="1:47" s="115" customFormat="1" ht="12.75" customHeight="1">
      <c r="A28" s="103"/>
      <c r="B28" s="102" t="s">
        <v>151</v>
      </c>
      <c r="C28" s="336">
        <v>27289</v>
      </c>
      <c r="D28" s="336">
        <v>28445</v>
      </c>
      <c r="E28" s="336">
        <v>31757</v>
      </c>
      <c r="F28" s="336">
        <v>35600</v>
      </c>
      <c r="G28" s="336">
        <v>41536</v>
      </c>
      <c r="H28" s="336">
        <v>41668</v>
      </c>
      <c r="I28" s="336">
        <v>39890</v>
      </c>
      <c r="J28" s="336">
        <v>39290</v>
      </c>
      <c r="K28" s="336">
        <v>39255</v>
      </c>
      <c r="L28" s="336">
        <v>42945</v>
      </c>
      <c r="M28" s="336">
        <v>41412</v>
      </c>
      <c r="O28" s="559">
        <f t="shared" si="5"/>
        <v>1.0348969104028585</v>
      </c>
      <c r="P28" s="559">
        <f t="shared" si="6"/>
        <v>1.1681953649623198</v>
      </c>
      <c r="Q28" s="2"/>
      <c r="R28" s="2"/>
      <c r="S28" s="559">
        <f t="shared" si="4"/>
        <v>1.0348969104028585</v>
      </c>
      <c r="T28" s="559">
        <f t="shared" si="4"/>
        <v>1.0473079821841664</v>
      </c>
      <c r="U28" s="559">
        <f t="shared" si="4"/>
        <v>1.1261435372900073</v>
      </c>
      <c r="V28" s="559">
        <f t="shared" si="4"/>
        <v>1.2080479065649599</v>
      </c>
      <c r="W28" s="559">
        <f t="shared" si="4"/>
        <v>1.3571687400281458</v>
      </c>
      <c r="X28" s="559">
        <f t="shared" si="4"/>
        <v>1.3393983636504487</v>
      </c>
      <c r="Y28" s="559">
        <f t="shared" si="4"/>
        <v>1.2927936073965036</v>
      </c>
      <c r="Z28" s="559">
        <f t="shared" si="4"/>
        <v>1.2664613381168117</v>
      </c>
      <c r="AA28" s="559">
        <f t="shared" si="4"/>
        <v>1.1763271025404829</v>
      </c>
      <c r="AB28" s="559">
        <f t="shared" si="4"/>
        <v>1.2306628041230141</v>
      </c>
      <c r="AC28" s="559">
        <f t="shared" si="4"/>
        <v>1.1681953649623198</v>
      </c>
      <c r="AD28" s="650" t="str">
        <f>+IFERROR(RANK(S28,(S$6:S$8,S$33:S$49),0),"")</f>
        <v/>
      </c>
      <c r="AE28" s="650" t="str">
        <f>+IFERROR(RANK(T28,(T$6:T$8,T$33:T$49),0),"")</f>
        <v/>
      </c>
      <c r="AF28" s="650" t="str">
        <f>+IFERROR(RANK(U28,(U$6:U$8,U$33:U$49),0),"")</f>
        <v/>
      </c>
      <c r="AG28" s="650" t="str">
        <f>+IFERROR(RANK(V28,(V$6:V$8,V$33:V$49),0),"")</f>
        <v/>
      </c>
      <c r="AH28" s="650" t="str">
        <f>+IFERROR(RANK(W28,(W$6:W$8,W$33:W$49),0),"")</f>
        <v/>
      </c>
      <c r="AI28" s="650" t="str">
        <f>+IFERROR(RANK(X28,(X$6:X$8,X$33:X$49),0),"")</f>
        <v/>
      </c>
      <c r="AJ28" s="650" t="str">
        <f>+IFERROR(RANK(Y28,(Y$6:Y$8,Y$33:Y$49),0),"")</f>
        <v/>
      </c>
      <c r="AK28" s="650" t="str">
        <f>+IFERROR(RANK(Z28,(Z$6:Z$8,Z$33:Z$49),0),"")</f>
        <v/>
      </c>
      <c r="AL28" s="650" t="str">
        <f>+IFERROR(RANK(AA28,(AA$6:AA$8,AA$33:AA$49),0),"")</f>
        <v/>
      </c>
      <c r="AM28" s="650" t="str">
        <f>+IFERROR(RANK(AB28,(AB$6:AB$8,AB$33:AB$49),0),"")</f>
        <v/>
      </c>
      <c r="AN28" s="650" t="str">
        <f>+IFERROR(RANK(AC28,(AC$6:AC$8,AC$33:AC$49),0),"")</f>
        <v/>
      </c>
      <c r="AQ28" s="127"/>
      <c r="AR28" s="127"/>
      <c r="AS28" s="127"/>
      <c r="AT28" s="127"/>
      <c r="AU28" s="127"/>
    </row>
    <row r="29" spans="1:47" s="127" customFormat="1" ht="12.75" customHeight="1">
      <c r="A29" s="103"/>
      <c r="B29" s="102" t="s">
        <v>159</v>
      </c>
      <c r="C29" s="336">
        <v>3291</v>
      </c>
      <c r="D29" s="336">
        <v>3760</v>
      </c>
      <c r="E29" s="336">
        <v>4182</v>
      </c>
      <c r="F29" s="336">
        <v>4492</v>
      </c>
      <c r="G29" s="336">
        <v>5262</v>
      </c>
      <c r="H29" s="336">
        <v>6046</v>
      </c>
      <c r="I29" s="336">
        <v>5574</v>
      </c>
      <c r="J29" s="336">
        <v>6375</v>
      </c>
      <c r="K29" s="336">
        <v>7995</v>
      </c>
      <c r="L29" s="336">
        <v>7503</v>
      </c>
      <c r="M29" s="336">
        <v>7415</v>
      </c>
      <c r="O29" s="559">
        <f t="shared" si="5"/>
        <v>0.12480654227475566</v>
      </c>
      <c r="P29" s="559">
        <f t="shared" si="6"/>
        <v>0.20917049722775044</v>
      </c>
      <c r="Q29" s="2"/>
      <c r="R29" s="2"/>
      <c r="S29" s="559">
        <f t="shared" si="4"/>
        <v>0.12480654227475567</v>
      </c>
      <c r="T29" s="559">
        <f t="shared" si="4"/>
        <v>0.13843832002153159</v>
      </c>
      <c r="U29" s="559">
        <f t="shared" si="4"/>
        <v>0.14829902928320718</v>
      </c>
      <c r="V29" s="559">
        <f t="shared" si="4"/>
        <v>0.15243121337892696</v>
      </c>
      <c r="W29" s="559">
        <f t="shared" si="4"/>
        <v>0.17193330869674747</v>
      </c>
      <c r="X29" s="559">
        <f t="shared" si="4"/>
        <v>0.19434584109221978</v>
      </c>
      <c r="Y29" s="559">
        <f t="shared" si="4"/>
        <v>0.1806475700082254</v>
      </c>
      <c r="Z29" s="559">
        <f t="shared" si="4"/>
        <v>0.20548971826150864</v>
      </c>
      <c r="AA29" s="559">
        <f t="shared" si="4"/>
        <v>0.23958056769357181</v>
      </c>
      <c r="AB29" s="559">
        <f t="shared" si="4"/>
        <v>0.21501136382198102</v>
      </c>
      <c r="AC29" s="559">
        <f t="shared" si="4"/>
        <v>0.20917049722775041</v>
      </c>
      <c r="AD29" s="650" t="str">
        <f>+IFERROR(RANK(S29,(S$6:S$8,S$33:S$49),0),"")</f>
        <v/>
      </c>
      <c r="AE29" s="650" t="str">
        <f>+IFERROR(RANK(T29,(T$6:T$8,T$33:T$49),0),"")</f>
        <v/>
      </c>
      <c r="AF29" s="650" t="str">
        <f>+IFERROR(RANK(U29,(U$6:U$8,U$33:U$49),0),"")</f>
        <v/>
      </c>
      <c r="AG29" s="650" t="str">
        <f>+IFERROR(RANK(V29,(V$6:V$8,V$33:V$49),0),"")</f>
        <v/>
      </c>
      <c r="AH29" s="650" t="str">
        <f>+IFERROR(RANK(W29,(W$6:W$8,W$33:W$49),0),"")</f>
        <v/>
      </c>
      <c r="AI29" s="650" t="str">
        <f>+IFERROR(RANK(X29,(X$6:X$8,X$33:X$49),0),"")</f>
        <v/>
      </c>
      <c r="AJ29" s="650" t="str">
        <f>+IFERROR(RANK(Y29,(Y$6:Y$8,Y$33:Y$49),0),"")</f>
        <v/>
      </c>
      <c r="AK29" s="650" t="str">
        <f>+IFERROR(RANK(Z29,(Z$6:Z$8,Z$33:Z$49),0),"")</f>
        <v/>
      </c>
      <c r="AL29" s="650" t="str">
        <f>+IFERROR(RANK(AA29,(AA$6:AA$8,AA$33:AA$49),0),"")</f>
        <v/>
      </c>
      <c r="AM29" s="650" t="str">
        <f>+IFERROR(RANK(AB29,(AB$6:AB$8,AB$33:AB$49),0),"")</f>
        <v/>
      </c>
      <c r="AN29" s="650" t="str">
        <f>+IFERROR(RANK(AC29,(AC$6:AC$8,AC$33:AC$49),0),"")</f>
        <v/>
      </c>
    </row>
    <row r="30" spans="1:47" s="115" customFormat="1" ht="12.75" customHeight="1">
      <c r="A30" s="103"/>
      <c r="B30" s="102" t="s">
        <v>152</v>
      </c>
      <c r="C30" s="336">
        <v>25702</v>
      </c>
      <c r="D30" s="336">
        <v>26443</v>
      </c>
      <c r="E30" s="336">
        <v>27558</v>
      </c>
      <c r="F30" s="336">
        <v>29080</v>
      </c>
      <c r="G30" s="336">
        <v>30030</v>
      </c>
      <c r="H30" s="336">
        <v>29697</v>
      </c>
      <c r="I30" s="336">
        <v>30230</v>
      </c>
      <c r="J30" s="336">
        <v>29482</v>
      </c>
      <c r="K30" s="336">
        <v>32012</v>
      </c>
      <c r="L30" s="336">
        <v>32710</v>
      </c>
      <c r="M30" s="336">
        <v>32270</v>
      </c>
      <c r="O30" s="559">
        <f t="shared" si="5"/>
        <v>0.97471216941530536</v>
      </c>
      <c r="P30" s="559">
        <f t="shared" si="6"/>
        <v>0.91030774720694629</v>
      </c>
      <c r="Q30" s="2"/>
      <c r="R30" s="2"/>
      <c r="S30" s="559">
        <f t="shared" si="4"/>
        <v>0.97471216941530547</v>
      </c>
      <c r="T30" s="559">
        <f t="shared" si="4"/>
        <v>0.97359694051312751</v>
      </c>
      <c r="U30" s="559">
        <f t="shared" si="4"/>
        <v>0.97724166642434795</v>
      </c>
      <c r="V30" s="559">
        <f t="shared" si="4"/>
        <v>0.98679868322778186</v>
      </c>
      <c r="W30" s="559">
        <f t="shared" si="4"/>
        <v>0.98121574689534907</v>
      </c>
      <c r="X30" s="559">
        <f t="shared" si="4"/>
        <v>0.95459616985042184</v>
      </c>
      <c r="Y30" s="559">
        <f t="shared" si="4"/>
        <v>0.97972300705932069</v>
      </c>
      <c r="Z30" s="559">
        <f t="shared" si="4"/>
        <v>0.95031339196639963</v>
      </c>
      <c r="AA30" s="559">
        <f t="shared" si="4"/>
        <v>0.95928119237105947</v>
      </c>
      <c r="AB30" s="559">
        <f t="shared" si="4"/>
        <v>0.93736128356883908</v>
      </c>
      <c r="AC30" s="559">
        <f t="shared" si="4"/>
        <v>0.91030774720694618</v>
      </c>
      <c r="AD30" s="650" t="str">
        <f>+IFERROR(RANK(S30,(S$6:S$8,S$33:S$49),0),"")</f>
        <v/>
      </c>
      <c r="AE30" s="650" t="str">
        <f>+IFERROR(RANK(T30,(T$6:T$8,T$33:T$49),0),"")</f>
        <v/>
      </c>
      <c r="AF30" s="650" t="str">
        <f>+IFERROR(RANK(U30,(U$6:U$8,U$33:U$49),0),"")</f>
        <v/>
      </c>
      <c r="AG30" s="650" t="str">
        <f>+IFERROR(RANK(V30,(V$6:V$8,V$33:V$49),0),"")</f>
        <v/>
      </c>
      <c r="AH30" s="650" t="str">
        <f>+IFERROR(RANK(W30,(W$6:W$8,W$33:W$49),0),"")</f>
        <v/>
      </c>
      <c r="AI30" s="650" t="str">
        <f>+IFERROR(RANK(X30,(X$6:X$8,X$33:X$49),0),"")</f>
        <v/>
      </c>
      <c r="AJ30" s="650" t="str">
        <f>+IFERROR(RANK(Y30,(Y$6:Y$8,Y$33:Y$49),0),"")</f>
        <v/>
      </c>
      <c r="AK30" s="650" t="str">
        <f>+IFERROR(RANK(Z30,(Z$6:Z$8,Z$33:Z$49),0),"")</f>
        <v/>
      </c>
      <c r="AL30" s="650" t="str">
        <f>+IFERROR(RANK(AA30,(AA$6:AA$8,AA$33:AA$49),0),"")</f>
        <v/>
      </c>
      <c r="AM30" s="650" t="str">
        <f>+IFERROR(RANK(AB30,(AB$6:AB$8,AB$33:AB$49),0),"")</f>
        <v/>
      </c>
      <c r="AN30" s="650" t="str">
        <f>+IFERROR(RANK(AC30,(AC$6:AC$8,AC$33:AC$49),0),"")</f>
        <v/>
      </c>
      <c r="AQ30" s="127"/>
      <c r="AR30" s="127"/>
      <c r="AS30" s="127"/>
      <c r="AT30" s="127"/>
      <c r="AU30" s="127"/>
    </row>
    <row r="31" spans="1:47" s="115" customFormat="1" ht="12.75" customHeight="1">
      <c r="A31" s="103"/>
      <c r="B31" s="102" t="s">
        <v>153</v>
      </c>
      <c r="C31" s="336">
        <v>10734</v>
      </c>
      <c r="D31" s="336">
        <v>11469</v>
      </c>
      <c r="E31" s="336">
        <v>11853</v>
      </c>
      <c r="F31" s="336">
        <v>12746</v>
      </c>
      <c r="G31" s="336">
        <v>12933</v>
      </c>
      <c r="H31" s="336">
        <v>12752</v>
      </c>
      <c r="I31" s="336">
        <v>13044</v>
      </c>
      <c r="J31" s="336">
        <v>11505</v>
      </c>
      <c r="K31" s="336">
        <v>14067</v>
      </c>
      <c r="L31" s="336">
        <v>15747</v>
      </c>
      <c r="M31" s="336">
        <v>15476</v>
      </c>
      <c r="O31" s="559">
        <f t="shared" si="5"/>
        <v>0.40707183979861061</v>
      </c>
      <c r="P31" s="559">
        <f t="shared" si="6"/>
        <v>0.43656407486131704</v>
      </c>
      <c r="Q31" s="2"/>
      <c r="R31" s="2"/>
      <c r="S31" s="559">
        <f t="shared" si="4"/>
        <v>0.40707183979861056</v>
      </c>
      <c r="T31" s="559">
        <f t="shared" si="4"/>
        <v>0.42227369476780469</v>
      </c>
      <c r="U31" s="559">
        <f t="shared" si="4"/>
        <v>0.42032242804731101</v>
      </c>
      <c r="V31" s="559">
        <f t="shared" si="4"/>
        <v>0.43252187126620728</v>
      </c>
      <c r="W31" s="559">
        <f t="shared" si="4"/>
        <v>0.42257952895762735</v>
      </c>
      <c r="X31" s="559">
        <f t="shared" si="4"/>
        <v>0.40990707337214466</v>
      </c>
      <c r="Y31" s="559">
        <f t="shared" si="4"/>
        <v>0.42274253734971151</v>
      </c>
      <c r="Z31" s="559">
        <f t="shared" si="4"/>
        <v>0.37084850330959324</v>
      </c>
      <c r="AA31" s="559">
        <f t="shared" si="4"/>
        <v>0.42153594068111</v>
      </c>
      <c r="AB31" s="559">
        <f t="shared" si="4"/>
        <v>0.45125735653801613</v>
      </c>
      <c r="AC31" s="559">
        <f t="shared" si="4"/>
        <v>0.43656407486131699</v>
      </c>
      <c r="AD31" s="650" t="str">
        <f>+IFERROR(RANK(S31,(S$6:S$8,S$33:S$49),0),"")</f>
        <v/>
      </c>
      <c r="AE31" s="650" t="str">
        <f>+IFERROR(RANK(T31,(T$6:T$8,T$33:T$49),0),"")</f>
        <v/>
      </c>
      <c r="AF31" s="650" t="str">
        <f>+IFERROR(RANK(U31,(U$6:U$8,U$33:U$49),0),"")</f>
        <v/>
      </c>
      <c r="AG31" s="650" t="str">
        <f>+IFERROR(RANK(V31,(V$6:V$8,V$33:V$49),0),"")</f>
        <v/>
      </c>
      <c r="AH31" s="650" t="str">
        <f>+IFERROR(RANK(W31,(W$6:W$8,W$33:W$49),0),"")</f>
        <v/>
      </c>
      <c r="AI31" s="650" t="str">
        <f>+IFERROR(RANK(X31,(X$6:X$8,X$33:X$49),0),"")</f>
        <v/>
      </c>
      <c r="AJ31" s="650" t="str">
        <f>+IFERROR(RANK(Y31,(Y$6:Y$8,Y$33:Y$49),0),"")</f>
        <v/>
      </c>
      <c r="AK31" s="650" t="str">
        <f>+IFERROR(RANK(Z31,(Z$6:Z$8,Z$33:Z$49),0),"")</f>
        <v/>
      </c>
      <c r="AL31" s="650" t="str">
        <f>+IFERROR(RANK(AA31,(AA$6:AA$8,AA$33:AA$49),0),"")</f>
        <v/>
      </c>
      <c r="AM31" s="650" t="str">
        <f>+IFERROR(RANK(AB31,(AB$6:AB$8,AB$33:AB$49),0),"")</f>
        <v/>
      </c>
      <c r="AN31" s="650" t="str">
        <f>+IFERROR(RANK(AC31,(AC$6:AC$8,AC$33:AC$49),0),"")</f>
        <v/>
      </c>
      <c r="AQ31" s="127"/>
      <c r="AR31" s="127"/>
      <c r="AS31" s="127"/>
      <c r="AT31" s="127"/>
      <c r="AU31" s="127"/>
    </row>
    <row r="32" spans="1:47" s="115" customFormat="1" ht="12.75" customHeight="1">
      <c r="A32" s="103"/>
      <c r="B32" s="102" t="s">
        <v>160</v>
      </c>
      <c r="C32" s="336">
        <v>17569</v>
      </c>
      <c r="D32" s="336">
        <v>17996</v>
      </c>
      <c r="E32" s="336">
        <v>18611</v>
      </c>
      <c r="F32" s="336">
        <v>20112</v>
      </c>
      <c r="G32" s="336">
        <v>21634</v>
      </c>
      <c r="H32" s="336">
        <v>22095</v>
      </c>
      <c r="I32" s="336">
        <v>19870</v>
      </c>
      <c r="J32" s="336">
        <v>21002</v>
      </c>
      <c r="K32" s="336">
        <v>21959</v>
      </c>
      <c r="L32" s="336">
        <v>23514</v>
      </c>
      <c r="M32" s="336">
        <v>25084</v>
      </c>
      <c r="O32" s="559">
        <f t="shared" si="5"/>
        <v>0.66627959320121</v>
      </c>
      <c r="P32" s="559">
        <f t="shared" si="6"/>
        <v>0.70759713451933803</v>
      </c>
      <c r="Q32" s="2"/>
      <c r="R32" s="2"/>
      <c r="S32" s="559">
        <f t="shared" si="4"/>
        <v>0.66627959320121011</v>
      </c>
      <c r="T32" s="559">
        <f t="shared" si="4"/>
        <v>0.66258936359241549</v>
      </c>
      <c r="U32" s="559">
        <f t="shared" si="4"/>
        <v>0.65996968770678355</v>
      </c>
      <c r="V32" s="559">
        <f t="shared" si="4"/>
        <v>0.68247919934928292</v>
      </c>
      <c r="W32" s="559">
        <f t="shared" si="4"/>
        <v>0.70688050177602335</v>
      </c>
      <c r="X32" s="559">
        <f t="shared" si="4"/>
        <v>0.71023343680658213</v>
      </c>
      <c r="Y32" s="559">
        <f t="shared" si="4"/>
        <v>0.64396613133538549</v>
      </c>
      <c r="Z32" s="559">
        <f t="shared" si="4"/>
        <v>0.67697177457697322</v>
      </c>
      <c r="AA32" s="559">
        <f t="shared" si="4"/>
        <v>0.65802997948507114</v>
      </c>
      <c r="AB32" s="559">
        <f t="shared" si="4"/>
        <v>0.67383409421698814</v>
      </c>
      <c r="AC32" s="559">
        <f t="shared" si="4"/>
        <v>0.70759713451933803</v>
      </c>
      <c r="AD32" s="650" t="str">
        <f>+IFERROR(RANK(S32,(S$6:S$8,S$33:S$49),0),"")</f>
        <v/>
      </c>
      <c r="AE32" s="650" t="str">
        <f>+IFERROR(RANK(T32,(T$6:T$8,T$33:T$49),0),"")</f>
        <v/>
      </c>
      <c r="AF32" s="650" t="str">
        <f>+IFERROR(RANK(U32,(U$6:U$8,U$33:U$49),0),"")</f>
        <v/>
      </c>
      <c r="AG32" s="650" t="str">
        <f>+IFERROR(RANK(V32,(V$6:V$8,V$33:V$49),0),"")</f>
        <v/>
      </c>
      <c r="AH32" s="650" t="str">
        <f>+IFERROR(RANK(W32,(W$6:W$8,W$33:W$49),0),"")</f>
        <v/>
      </c>
      <c r="AI32" s="650" t="str">
        <f>+IFERROR(RANK(X32,(X$6:X$8,X$33:X$49),0),"")</f>
        <v/>
      </c>
      <c r="AJ32" s="650" t="str">
        <f>+IFERROR(RANK(Y32,(Y$6:Y$8,Y$33:Y$49),0),"")</f>
        <v/>
      </c>
      <c r="AK32" s="650" t="str">
        <f>+IFERROR(RANK(Z32,(Z$6:Z$8,Z$33:Z$49),0),"")</f>
        <v/>
      </c>
      <c r="AL32" s="650" t="str">
        <f>+IFERROR(RANK(AA32,(AA$6:AA$8,AA$33:AA$49),0),"")</f>
        <v/>
      </c>
      <c r="AM32" s="650" t="str">
        <f>+IFERROR(RANK(AB32,(AB$6:AB$8,AB$33:AB$49),0),"")</f>
        <v/>
      </c>
      <c r="AN32" s="650" t="str">
        <f>+IFERROR(RANK(AC32,(AC$6:AC$8,AC$33:AC$49),0),"")</f>
        <v/>
      </c>
      <c r="AQ32" s="127"/>
      <c r="AR32" s="127"/>
      <c r="AS32" s="127"/>
      <c r="AT32" s="127"/>
      <c r="AU32" s="127"/>
    </row>
    <row r="33" spans="1:47" s="115" customFormat="1" ht="16.5" customHeight="1">
      <c r="A33" s="201" t="s">
        <v>75</v>
      </c>
      <c r="B33" s="307" t="s">
        <v>161</v>
      </c>
      <c r="C33" s="335">
        <v>6369</v>
      </c>
      <c r="D33" s="335">
        <v>6704</v>
      </c>
      <c r="E33" s="335">
        <v>6470</v>
      </c>
      <c r="F33" s="335">
        <v>6573</v>
      </c>
      <c r="G33" s="335">
        <v>6821</v>
      </c>
      <c r="H33" s="335">
        <v>6807</v>
      </c>
      <c r="I33" s="335">
        <v>6753</v>
      </c>
      <c r="J33" s="335">
        <v>6643</v>
      </c>
      <c r="K33" s="335">
        <v>6615</v>
      </c>
      <c r="L33" s="335">
        <v>7038</v>
      </c>
      <c r="M33" s="335">
        <v>7153</v>
      </c>
      <c r="O33" s="559">
        <f t="shared" si="5"/>
        <v>0.24153535938861104</v>
      </c>
      <c r="P33" s="559">
        <f t="shared" si="6"/>
        <v>0.2017797122953606</v>
      </c>
      <c r="Q33" s="2"/>
      <c r="R33" s="2"/>
      <c r="S33" s="559">
        <f t="shared" si="4"/>
        <v>0.24153535938861101</v>
      </c>
      <c r="T33" s="559">
        <f t="shared" si="4"/>
        <v>0.24683257910222012</v>
      </c>
      <c r="U33" s="559">
        <f t="shared" si="4"/>
        <v>0.22943441402734346</v>
      </c>
      <c r="V33" s="559">
        <f t="shared" si="4"/>
        <v>0.22304772162504161</v>
      </c>
      <c r="W33" s="559">
        <f t="shared" si="4"/>
        <v>0.22287288077166753</v>
      </c>
      <c r="X33" s="559">
        <f t="shared" si="4"/>
        <v>0.21880783002228579</v>
      </c>
      <c r="Y33" s="559">
        <f t="shared" si="4"/>
        <v>0.21885773955248405</v>
      </c>
      <c r="Z33" s="559">
        <f t="shared" si="4"/>
        <v>0.21412834484881599</v>
      </c>
      <c r="AA33" s="559">
        <f t="shared" si="4"/>
        <v>0.19822707383276766</v>
      </c>
      <c r="AB33" s="559">
        <f t="shared" si="4"/>
        <v>0.20168598941478108</v>
      </c>
      <c r="AC33" s="559">
        <f t="shared" si="4"/>
        <v>0.2017797122953606</v>
      </c>
      <c r="AD33" s="650">
        <f>+IFERROR(RANK(S33,(S$6:S$8,S$33:S$49),0),"")</f>
        <v>19</v>
      </c>
      <c r="AE33" s="650">
        <f>+IFERROR(RANK(T33,(T$6:T$8,T$33:T$49),0),"")</f>
        <v>19</v>
      </c>
      <c r="AF33" s="650">
        <f>+IFERROR(RANK(U33,(U$6:U$8,U$33:U$49),0),"")</f>
        <v>19</v>
      </c>
      <c r="AG33" s="650">
        <f>+IFERROR(RANK(V33,(V$6:V$8,V$33:V$49),0),"")</f>
        <v>19</v>
      </c>
      <c r="AH33" s="650">
        <f>+IFERROR(RANK(W33,(W$6:W$8,W$33:W$49),0),"")</f>
        <v>19</v>
      </c>
      <c r="AI33" s="650">
        <f>+IFERROR(RANK(X33,(X$6:X$8,X$33:X$49),0),"")</f>
        <v>19</v>
      </c>
      <c r="AJ33" s="650">
        <f>+IFERROR(RANK(Y33,(Y$6:Y$8,Y$33:Y$49),0),"")</f>
        <v>19</v>
      </c>
      <c r="AK33" s="650">
        <f>+IFERROR(RANK(Z33,(Z$6:Z$8,Z$33:Z$49),0),"")</f>
        <v>19</v>
      </c>
      <c r="AL33" s="650">
        <f>+IFERROR(RANK(AA33,(AA$6:AA$8,AA$33:AA$49),0),"")</f>
        <v>19</v>
      </c>
      <c r="AM33" s="650">
        <f>+IFERROR(RANK(AB33,(AB$6:AB$8,AB$33:AB$49),0),"")</f>
        <v>19</v>
      </c>
      <c r="AN33" s="650">
        <f>+IFERROR(RANK(AC33,(AC$6:AC$8,AC$33:AC$49),0),"")</f>
        <v>19</v>
      </c>
      <c r="AQ33" s="127"/>
      <c r="AR33" s="127"/>
      <c r="AS33" s="127"/>
      <c r="AT33" s="127"/>
      <c r="AU33" s="127"/>
    </row>
    <row r="34" spans="1:47" s="115" customFormat="1" ht="12.75" customHeight="1">
      <c r="A34" s="201" t="s">
        <v>76</v>
      </c>
      <c r="B34" s="307" t="s">
        <v>170</v>
      </c>
      <c r="C34" s="335">
        <v>20728</v>
      </c>
      <c r="D34" s="335">
        <v>21233</v>
      </c>
      <c r="E34" s="335">
        <v>22585</v>
      </c>
      <c r="F34" s="335">
        <v>23439</v>
      </c>
      <c r="G34" s="335">
        <v>23927</v>
      </c>
      <c r="H34" s="335">
        <v>25301</v>
      </c>
      <c r="I34" s="335">
        <v>26123</v>
      </c>
      <c r="J34" s="335">
        <v>27869</v>
      </c>
      <c r="K34" s="335">
        <v>29036</v>
      </c>
      <c r="L34" s="335">
        <v>29674</v>
      </c>
      <c r="M34" s="335">
        <v>30695</v>
      </c>
      <c r="O34" s="559">
        <f t="shared" si="5"/>
        <v>0.78608022129174582</v>
      </c>
      <c r="P34" s="559">
        <f t="shared" si="6"/>
        <v>0.86587841030422108</v>
      </c>
      <c r="Q34" s="2"/>
      <c r="R34" s="2"/>
      <c r="S34" s="559">
        <f t="shared" si="4"/>
        <v>0.78608022129174582</v>
      </c>
      <c r="T34" s="559">
        <f t="shared" si="4"/>
        <v>0.78177150239818616</v>
      </c>
      <c r="U34" s="559">
        <f t="shared" si="4"/>
        <v>0.80089277292234196</v>
      </c>
      <c r="V34" s="559">
        <f t="shared" si="4"/>
        <v>0.79537738432517124</v>
      </c>
      <c r="W34" s="559">
        <f t="shared" si="4"/>
        <v>0.78180316936280447</v>
      </c>
      <c r="X34" s="559">
        <f t="shared" si="4"/>
        <v>0.81328880672746484</v>
      </c>
      <c r="Y34" s="559">
        <f t="shared" si="4"/>
        <v>0.84661938846876073</v>
      </c>
      <c r="Z34" s="559">
        <f t="shared" si="4"/>
        <v>0.89832046403607591</v>
      </c>
      <c r="AA34" s="559">
        <f t="shared" si="4"/>
        <v>0.87010148387123842</v>
      </c>
      <c r="AB34" s="559">
        <f t="shared" si="4"/>
        <v>0.85035948421344332</v>
      </c>
      <c r="AC34" s="559">
        <f t="shared" si="4"/>
        <v>0.86587841030422108</v>
      </c>
      <c r="AD34" s="650">
        <f>+IFERROR(RANK(S34,(S$6:S$8,S$33:S$49),0),"")</f>
        <v>14</v>
      </c>
      <c r="AE34" s="650">
        <f>+IFERROR(RANK(T34,(T$6:T$8,T$33:T$49),0),"")</f>
        <v>16</v>
      </c>
      <c r="AF34" s="650">
        <f>+IFERROR(RANK(U34,(U$6:U$8,U$33:U$49),0),"")</f>
        <v>16</v>
      </c>
      <c r="AG34" s="650">
        <f>+IFERROR(RANK(V34,(V$6:V$8,V$33:V$49),0),"")</f>
        <v>16</v>
      </c>
      <c r="AH34" s="650">
        <f>+IFERROR(RANK(W34,(W$6:W$8,W$33:W$49),0),"")</f>
        <v>16</v>
      </c>
      <c r="AI34" s="650">
        <f>+IFERROR(RANK(X34,(X$6:X$8,X$33:X$49),0),"")</f>
        <v>16</v>
      </c>
      <c r="AJ34" s="650">
        <f>+IFERROR(RANK(Y34,(Y$6:Y$8,Y$33:Y$49),0),"")</f>
        <v>16</v>
      </c>
      <c r="AK34" s="650">
        <f>+IFERROR(RANK(Z34,(Z$6:Z$8,Z$33:Z$49),0),"")</f>
        <v>16</v>
      </c>
      <c r="AL34" s="650">
        <f>+IFERROR(RANK(AA34,(AA$6:AA$8,AA$33:AA$49),0),"")</f>
        <v>16</v>
      </c>
      <c r="AM34" s="650">
        <f>+IFERROR(RANK(AB34,(AB$6:AB$8,AB$33:AB$49),0),"")</f>
        <v>16</v>
      </c>
      <c r="AN34" s="650">
        <f>+IFERROR(RANK(AC34,(AC$6:AC$8,AC$33:AC$49),0),"")</f>
        <v>16</v>
      </c>
      <c r="AQ34" s="127"/>
      <c r="AR34" s="127"/>
      <c r="AS34" s="127"/>
      <c r="AT34" s="127"/>
      <c r="AU34" s="127"/>
    </row>
    <row r="35" spans="1:47" s="115" customFormat="1" ht="12.75" customHeight="1">
      <c r="A35" s="201" t="s">
        <v>77</v>
      </c>
      <c r="B35" s="307" t="s">
        <v>78</v>
      </c>
      <c r="C35" s="335">
        <v>197951</v>
      </c>
      <c r="D35" s="335">
        <v>198073</v>
      </c>
      <c r="E35" s="335">
        <v>203068</v>
      </c>
      <c r="F35" s="335">
        <v>215365</v>
      </c>
      <c r="G35" s="335">
        <v>227394</v>
      </c>
      <c r="H35" s="335">
        <v>241160</v>
      </c>
      <c r="I35" s="335">
        <v>254572</v>
      </c>
      <c r="J35" s="335">
        <v>256768</v>
      </c>
      <c r="K35" s="335">
        <v>277485</v>
      </c>
      <c r="L35" s="335">
        <v>300958</v>
      </c>
      <c r="M35" s="335">
        <v>313267</v>
      </c>
      <c r="O35" s="559">
        <f t="shared" si="5"/>
        <v>7.5070130203069461</v>
      </c>
      <c r="P35" s="559">
        <f t="shared" si="6"/>
        <v>8.8369810054006326</v>
      </c>
      <c r="Q35" s="2"/>
      <c r="R35" s="2"/>
      <c r="S35" s="559">
        <f t="shared" si="4"/>
        <v>7.5070130203069461</v>
      </c>
      <c r="T35" s="559">
        <f t="shared" si="4"/>
        <v>7.2927907876661768</v>
      </c>
      <c r="U35" s="559">
        <f t="shared" si="4"/>
        <v>7.2010490861985446</v>
      </c>
      <c r="V35" s="559">
        <f t="shared" si="4"/>
        <v>7.3081808257686118</v>
      </c>
      <c r="W35" s="559">
        <f t="shared" si="4"/>
        <v>7.4299891291881783</v>
      </c>
      <c r="X35" s="559">
        <f t="shared" si="4"/>
        <v>7.7519753618590341</v>
      </c>
      <c r="Y35" s="559">
        <f t="shared" si="4"/>
        <v>8.2504149967947527</v>
      </c>
      <c r="Z35" s="559">
        <f t="shared" si="4"/>
        <v>8.276577878991537</v>
      </c>
      <c r="AA35" s="559">
        <f t="shared" si="4"/>
        <v>8.3151987275110404</v>
      </c>
      <c r="AB35" s="559">
        <f t="shared" si="4"/>
        <v>8.6244688835313568</v>
      </c>
      <c r="AC35" s="559">
        <f t="shared" si="4"/>
        <v>8.8369810054006326</v>
      </c>
      <c r="AD35" s="650">
        <f>+IFERROR(RANK(S35,(S$6:S$8,S$33:S$49),0),"")</f>
        <v>5</v>
      </c>
      <c r="AE35" s="650">
        <f>+IFERROR(RANK(T35,(T$6:T$8,T$33:T$49),0),"")</f>
        <v>6</v>
      </c>
      <c r="AF35" s="650">
        <f>+IFERROR(RANK(U35,(U$6:U$8,U$33:U$49),0),"")</f>
        <v>6</v>
      </c>
      <c r="AG35" s="650">
        <f>+IFERROR(RANK(V35,(V$6:V$8,V$33:V$49),0),"")</f>
        <v>6</v>
      </c>
      <c r="AH35" s="650">
        <f>+IFERROR(RANK(W35,(W$6:W$8,W$33:W$49),0),"")</f>
        <v>6</v>
      </c>
      <c r="AI35" s="650">
        <f>+IFERROR(RANK(X35,(X$6:X$8,X$33:X$49),0),"")</f>
        <v>6</v>
      </c>
      <c r="AJ35" s="650">
        <f>+IFERROR(RANK(Y35,(Y$6:Y$8,Y$33:Y$49),0),"")</f>
        <v>5</v>
      </c>
      <c r="AK35" s="650">
        <f>+IFERROR(RANK(Z35,(Z$6:Z$8,Z$33:Z$49),0),"")</f>
        <v>5</v>
      </c>
      <c r="AL35" s="650">
        <f>+IFERROR(RANK(AA35,(AA$6:AA$8,AA$33:AA$49),0),"")</f>
        <v>6</v>
      </c>
      <c r="AM35" s="650">
        <f>+IFERROR(RANK(AB35,(AB$6:AB$8,AB$33:AB$49),0),"")</f>
        <v>6</v>
      </c>
      <c r="AN35" s="650">
        <f>+IFERROR(RANK(AC35,(AC$6:AC$8,AC$33:AC$49),0),"")</f>
        <v>6</v>
      </c>
      <c r="AQ35" s="127"/>
      <c r="AR35" s="127"/>
      <c r="AS35" s="127"/>
      <c r="AT35" s="127"/>
      <c r="AU35" s="127"/>
    </row>
    <row r="36" spans="1:47" s="115" customFormat="1" ht="12.75" customHeight="1">
      <c r="A36" s="201" t="s">
        <v>79</v>
      </c>
      <c r="B36" s="307" t="s">
        <v>171</v>
      </c>
      <c r="C36" s="335">
        <v>513639</v>
      </c>
      <c r="D36" s="335">
        <v>528110</v>
      </c>
      <c r="E36" s="335">
        <v>541723</v>
      </c>
      <c r="F36" s="335">
        <v>556229</v>
      </c>
      <c r="G36" s="335">
        <v>571387</v>
      </c>
      <c r="H36" s="335">
        <v>585267</v>
      </c>
      <c r="I36" s="335">
        <v>572866</v>
      </c>
      <c r="J36" s="335">
        <v>579715</v>
      </c>
      <c r="K36" s="335">
        <v>606424</v>
      </c>
      <c r="L36" s="335">
        <v>624971</v>
      </c>
      <c r="M36" s="335">
        <v>629059</v>
      </c>
      <c r="O36" s="559">
        <f t="shared" si="5"/>
        <v>19.479036027791928</v>
      </c>
      <c r="P36" s="559">
        <f t="shared" si="6"/>
        <v>17.745189995359603</v>
      </c>
      <c r="Q36" s="2"/>
      <c r="R36" s="2"/>
      <c r="S36" s="559">
        <f t="shared" si="4"/>
        <v>19.479036027791924</v>
      </c>
      <c r="T36" s="559">
        <f t="shared" si="4"/>
        <v>19.444324783662513</v>
      </c>
      <c r="U36" s="559">
        <f t="shared" si="4"/>
        <v>19.210185327686954</v>
      </c>
      <c r="V36" s="559">
        <f t="shared" si="4"/>
        <v>18.875035927548346</v>
      </c>
      <c r="W36" s="559">
        <f t="shared" si="4"/>
        <v>18.669794271438324</v>
      </c>
      <c r="X36" s="559">
        <f t="shared" si="4"/>
        <v>18.81313387008273</v>
      </c>
      <c r="Y36" s="559">
        <f t="shared" si="4"/>
        <v>18.565994051010414</v>
      </c>
      <c r="Z36" s="559">
        <f t="shared" si="4"/>
        <v>18.686348552465958</v>
      </c>
      <c r="AA36" s="559">
        <f t="shared" si="4"/>
        <v>18.172283450032094</v>
      </c>
      <c r="AB36" s="559">
        <f t="shared" si="4"/>
        <v>17.909618427187432</v>
      </c>
      <c r="AC36" s="559">
        <f t="shared" si="4"/>
        <v>17.745189995359603</v>
      </c>
      <c r="AD36" s="650">
        <f>+IFERROR(RANK(S36,(S$6:S$8,S$33:S$49),0),"")</f>
        <v>2</v>
      </c>
      <c r="AE36" s="650">
        <f>+IFERROR(RANK(T36,(T$6:T$8,T$33:T$49),0),"")</f>
        <v>2</v>
      </c>
      <c r="AF36" s="650">
        <f>+IFERROR(RANK(U36,(U$6:U$8,U$33:U$49),0),"")</f>
        <v>2</v>
      </c>
      <c r="AG36" s="650">
        <f>+IFERROR(RANK(V36,(V$6:V$8,V$33:V$49),0),"")</f>
        <v>2</v>
      </c>
      <c r="AH36" s="650">
        <f>+IFERROR(RANK(W36,(W$6:W$8,W$33:W$49),0),"")</f>
        <v>2</v>
      </c>
      <c r="AI36" s="650">
        <f>+IFERROR(RANK(X36,(X$6:X$8,X$33:X$49),0),"")</f>
        <v>2</v>
      </c>
      <c r="AJ36" s="650">
        <f>+IFERROR(RANK(Y36,(Y$6:Y$8,Y$33:Y$49),0),"")</f>
        <v>2</v>
      </c>
      <c r="AK36" s="650">
        <f>+IFERROR(RANK(Z36,(Z$6:Z$8,Z$33:Z$49),0),"")</f>
        <v>2</v>
      </c>
      <c r="AL36" s="650">
        <f>+IFERROR(RANK(AA36,(AA$6:AA$8,AA$33:AA$49),0),"")</f>
        <v>2</v>
      </c>
      <c r="AM36" s="650">
        <f>+IFERROR(RANK(AB36,(AB$6:AB$8,AB$33:AB$49),0),"")</f>
        <v>2</v>
      </c>
      <c r="AN36" s="650">
        <f>+IFERROR(RANK(AC36,(AC$6:AC$8,AC$33:AC$49),0),"")</f>
        <v>2</v>
      </c>
      <c r="AQ36" s="127"/>
      <c r="AR36" s="127"/>
      <c r="AS36" s="127"/>
      <c r="AT36" s="127"/>
      <c r="AU36" s="127"/>
    </row>
    <row r="37" spans="1:47" s="115" customFormat="1" ht="12.75" customHeight="1">
      <c r="A37" s="201" t="s">
        <v>52</v>
      </c>
      <c r="B37" s="307" t="s">
        <v>92</v>
      </c>
      <c r="C37" s="335">
        <v>130835</v>
      </c>
      <c r="D37" s="335">
        <v>134827</v>
      </c>
      <c r="E37" s="335">
        <v>140298</v>
      </c>
      <c r="F37" s="335">
        <v>147627</v>
      </c>
      <c r="G37" s="335">
        <v>153184</v>
      </c>
      <c r="H37" s="335">
        <v>154795</v>
      </c>
      <c r="I37" s="335">
        <v>153703</v>
      </c>
      <c r="J37" s="335">
        <v>150030</v>
      </c>
      <c r="K37" s="335">
        <v>157420</v>
      </c>
      <c r="L37" s="335">
        <v>167296</v>
      </c>
      <c r="M37" s="335">
        <v>171432</v>
      </c>
      <c r="O37" s="559">
        <f t="shared" si="5"/>
        <v>4.9617331991849465</v>
      </c>
      <c r="P37" s="559">
        <f t="shared" si="6"/>
        <v>4.8359429104177627</v>
      </c>
      <c r="Q37" s="2"/>
      <c r="R37" s="2"/>
      <c r="S37" s="559">
        <f t="shared" si="4"/>
        <v>4.9617331991849465</v>
      </c>
      <c r="T37" s="559">
        <f t="shared" si="4"/>
        <v>4.9641551525380416</v>
      </c>
      <c r="U37" s="559">
        <f t="shared" si="4"/>
        <v>4.9751451961681967</v>
      </c>
      <c r="V37" s="559">
        <f t="shared" si="4"/>
        <v>5.0095642781591385</v>
      </c>
      <c r="W37" s="559">
        <f t="shared" si="4"/>
        <v>5.0052132191947107</v>
      </c>
      <c r="X37" s="559">
        <f t="shared" si="4"/>
        <v>4.9758128468194114</v>
      </c>
      <c r="Y37" s="559">
        <f t="shared" si="4"/>
        <v>4.9813551225285737</v>
      </c>
      <c r="Z37" s="559">
        <f t="shared" si="4"/>
        <v>4.8360192048273163</v>
      </c>
      <c r="AA37" s="559">
        <f t="shared" si="4"/>
        <v>4.717294930121585</v>
      </c>
      <c r="AB37" s="559">
        <f t="shared" si="4"/>
        <v>4.7941544877998314</v>
      </c>
      <c r="AC37" s="559">
        <f t="shared" si="4"/>
        <v>4.8359429104177627</v>
      </c>
      <c r="AD37" s="650">
        <f>+IFERROR(RANK(S37,(S$6:S$8,S$33:S$49),0),"")</f>
        <v>7</v>
      </c>
      <c r="AE37" s="650">
        <f>+IFERROR(RANK(T37,(T$6:T$8,T$33:T$49),0),"")</f>
        <v>7</v>
      </c>
      <c r="AF37" s="650">
        <f>+IFERROR(RANK(U37,(U$6:U$8,U$33:U$49),0),"")</f>
        <v>7</v>
      </c>
      <c r="AG37" s="650">
        <f>+IFERROR(RANK(V37,(V$6:V$8,V$33:V$49),0),"")</f>
        <v>7</v>
      </c>
      <c r="AH37" s="650">
        <f>+IFERROR(RANK(W37,(W$6:W$8,W$33:W$49),0),"")</f>
        <v>7</v>
      </c>
      <c r="AI37" s="650">
        <f>+IFERROR(RANK(X37,(X$6:X$8,X$33:X$49),0),"")</f>
        <v>7</v>
      </c>
      <c r="AJ37" s="650">
        <f>+IFERROR(RANK(Y37,(Y$6:Y$8,Y$33:Y$49),0),"")</f>
        <v>7</v>
      </c>
      <c r="AK37" s="650">
        <f>+IFERROR(RANK(Z37,(Z$6:Z$8,Z$33:Z$49),0),"")</f>
        <v>8</v>
      </c>
      <c r="AL37" s="650">
        <f>+IFERROR(RANK(AA37,(AA$6:AA$8,AA$33:AA$49),0),"")</f>
        <v>8</v>
      </c>
      <c r="AM37" s="650">
        <f>+IFERROR(RANK(AB37,(AB$6:AB$8,AB$33:AB$49),0),"")</f>
        <v>8</v>
      </c>
      <c r="AN37" s="650">
        <f>+IFERROR(RANK(AC37,(AC$6:AC$8,AC$33:AC$49),0),"")</f>
        <v>8</v>
      </c>
      <c r="AQ37" s="127"/>
      <c r="AR37" s="127"/>
      <c r="AS37" s="127"/>
      <c r="AT37" s="127"/>
      <c r="AU37" s="127"/>
    </row>
    <row r="38" spans="1:47" s="115" customFormat="1" ht="12.75" customHeight="1">
      <c r="A38" s="201" t="s">
        <v>10</v>
      </c>
      <c r="B38" s="307" t="s">
        <v>162</v>
      </c>
      <c r="C38" s="335">
        <v>193103</v>
      </c>
      <c r="D38" s="335">
        <v>207980</v>
      </c>
      <c r="E38" s="335">
        <v>223137</v>
      </c>
      <c r="F38" s="335">
        <v>243205</v>
      </c>
      <c r="G38" s="335">
        <v>261730</v>
      </c>
      <c r="H38" s="335">
        <v>270796</v>
      </c>
      <c r="I38" s="335">
        <v>233699</v>
      </c>
      <c r="J38" s="335">
        <v>239745</v>
      </c>
      <c r="K38" s="335">
        <v>279781</v>
      </c>
      <c r="L38" s="335">
        <v>307448</v>
      </c>
      <c r="M38" s="335">
        <v>315899</v>
      </c>
      <c r="O38" s="559">
        <f t="shared" si="5"/>
        <v>7.3231594448137791</v>
      </c>
      <c r="P38" s="559">
        <f t="shared" si="6"/>
        <v>8.9112273639580764</v>
      </c>
      <c r="Q38" s="2"/>
      <c r="R38" s="2"/>
      <c r="S38" s="559">
        <f t="shared" si="4"/>
        <v>7.3231594448137782</v>
      </c>
      <c r="T38" s="559">
        <f t="shared" si="4"/>
        <v>7.657553669701632</v>
      </c>
      <c r="U38" s="559">
        <f t="shared" si="4"/>
        <v>7.9127213049179819</v>
      </c>
      <c r="V38" s="559">
        <f t="shared" si="4"/>
        <v>8.252901435846379</v>
      </c>
      <c r="W38" s="559">
        <f t="shared" si="4"/>
        <v>8.5519013464841738</v>
      </c>
      <c r="X38" s="559">
        <f t="shared" si="4"/>
        <v>8.7046107152511976</v>
      </c>
      <c r="Y38" s="559">
        <f t="shared" si="4"/>
        <v>7.573942673726636</v>
      </c>
      <c r="Z38" s="559">
        <f t="shared" si="4"/>
        <v>7.727863922291041</v>
      </c>
      <c r="AA38" s="559">
        <f t="shared" si="4"/>
        <v>8.3840013520794514</v>
      </c>
      <c r="AB38" s="559">
        <f t="shared" si="4"/>
        <v>8.8104509908490503</v>
      </c>
      <c r="AC38" s="559">
        <f t="shared" si="4"/>
        <v>8.9112273639580764</v>
      </c>
      <c r="AD38" s="650">
        <f>+IFERROR(RANK(S38,(S$6:S$8,S$33:S$49),0),"")</f>
        <v>6</v>
      </c>
      <c r="AE38" s="650">
        <f>+IFERROR(RANK(T38,(T$6:T$8,T$33:T$49),0),"")</f>
        <v>5</v>
      </c>
      <c r="AF38" s="650">
        <f>+IFERROR(RANK(U38,(U$6:U$8,U$33:U$49),0),"")</f>
        <v>5</v>
      </c>
      <c r="AG38" s="650">
        <f>+IFERROR(RANK(V38,(V$6:V$8,V$33:V$49),0),"")</f>
        <v>5</v>
      </c>
      <c r="AH38" s="650">
        <f>+IFERROR(RANK(W38,(W$6:W$8,W$33:W$49),0),"")</f>
        <v>5</v>
      </c>
      <c r="AI38" s="650">
        <f>+IFERROR(RANK(X38,(X$6:X$8,X$33:X$49),0),"")</f>
        <v>5</v>
      </c>
      <c r="AJ38" s="650">
        <f>+IFERROR(RANK(Y38,(Y$6:Y$8,Y$33:Y$49),0),"")</f>
        <v>6</v>
      </c>
      <c r="AK38" s="650">
        <f>+IFERROR(RANK(Z38,(Z$6:Z$8,Z$33:Z$49),0),"")</f>
        <v>6</v>
      </c>
      <c r="AL38" s="650">
        <f>+IFERROR(RANK(AA38,(AA$6:AA$8,AA$33:AA$49),0),"")</f>
        <v>5</v>
      </c>
      <c r="AM38" s="650">
        <f>+IFERROR(RANK(AB38,(AB$6:AB$8,AB$33:AB$49),0),"")</f>
        <v>5</v>
      </c>
      <c r="AN38" s="650">
        <f>+IFERROR(RANK(AC38,(AC$6:AC$8,AC$33:AC$49),0),"")</f>
        <v>5</v>
      </c>
      <c r="AQ38" s="127"/>
      <c r="AR38" s="127"/>
      <c r="AS38" s="127"/>
      <c r="AT38" s="127"/>
      <c r="AU38" s="127"/>
    </row>
    <row r="39" spans="1:47" ht="12.75" customHeight="1">
      <c r="A39" s="201" t="s">
        <v>80</v>
      </c>
      <c r="B39" s="307" t="s">
        <v>168</v>
      </c>
      <c r="C39" s="335">
        <v>71993</v>
      </c>
      <c r="D39" s="335">
        <v>72956</v>
      </c>
      <c r="E39" s="335">
        <v>77039</v>
      </c>
      <c r="F39" s="335">
        <v>83632</v>
      </c>
      <c r="G39" s="335">
        <v>91709</v>
      </c>
      <c r="H39" s="335">
        <v>99727</v>
      </c>
      <c r="I39" s="335">
        <v>107652</v>
      </c>
      <c r="J39" s="335">
        <v>114093</v>
      </c>
      <c r="K39" s="335">
        <v>132730</v>
      </c>
      <c r="L39" s="335">
        <v>136036</v>
      </c>
      <c r="M39" s="335">
        <v>142110</v>
      </c>
      <c r="O39" s="559">
        <f t="shared" si="5"/>
        <v>2.7302331807920037</v>
      </c>
      <c r="P39" s="559">
        <f t="shared" si="6"/>
        <v>4.0087955982516004</v>
      </c>
      <c r="S39" s="559">
        <f t="shared" si="4"/>
        <v>2.7302331807920037</v>
      </c>
      <c r="T39" s="559">
        <f t="shared" si="4"/>
        <v>2.6861452328433133</v>
      </c>
      <c r="U39" s="559">
        <f t="shared" si="4"/>
        <v>2.7319007453249635</v>
      </c>
      <c r="V39" s="559">
        <f t="shared" si="4"/>
        <v>2.8379624303887843</v>
      </c>
      <c r="W39" s="559">
        <f t="shared" si="4"/>
        <v>2.9965472837837352</v>
      </c>
      <c r="X39" s="559">
        <f t="shared" si="4"/>
        <v>3.2056777529943434</v>
      </c>
      <c r="Y39" s="559">
        <f t="shared" si="4"/>
        <v>3.4888898827638104</v>
      </c>
      <c r="Z39" s="559">
        <f t="shared" si="4"/>
        <v>3.6776374000957341</v>
      </c>
      <c r="AA39" s="559">
        <f t="shared" si="4"/>
        <v>3.9774269856119808</v>
      </c>
      <c r="AB39" s="559">
        <f t="shared" si="4"/>
        <v>3.8983454470061321</v>
      </c>
      <c r="AC39" s="559">
        <f t="shared" si="4"/>
        <v>4.0087955982515995</v>
      </c>
      <c r="AD39" s="650">
        <f>+IFERROR(RANK(S39,(S$6:S$8,S$33:S$49),0),"")</f>
        <v>10</v>
      </c>
      <c r="AE39" s="650">
        <f>+IFERROR(RANK(T39,(T$6:T$8,T$33:T$49),0),"")</f>
        <v>10</v>
      </c>
      <c r="AF39" s="650">
        <f>+IFERROR(RANK(U39,(U$6:U$8,U$33:U$49),0),"")</f>
        <v>10</v>
      </c>
      <c r="AG39" s="650">
        <f>+IFERROR(RANK(V39,(V$6:V$8,V$33:V$49),0),"")</f>
        <v>9</v>
      </c>
      <c r="AH39" s="650">
        <f>+IFERROR(RANK(W39,(W$6:W$8,W$33:W$49),0),"")</f>
        <v>9</v>
      </c>
      <c r="AI39" s="650">
        <f>+IFERROR(RANK(X39,(X$6:X$8,X$33:X$49),0),"")</f>
        <v>9</v>
      </c>
      <c r="AJ39" s="650">
        <f>+IFERROR(RANK(Y39,(Y$6:Y$8,Y$33:Y$49),0),"")</f>
        <v>9</v>
      </c>
      <c r="AK39" s="650">
        <f>+IFERROR(RANK(Z39,(Z$6:Z$8,Z$33:Z$49),0),"")</f>
        <v>9</v>
      </c>
      <c r="AL39" s="650">
        <f>+IFERROR(RANK(AA39,(AA$6:AA$8,AA$33:AA$49),0),"")</f>
        <v>9</v>
      </c>
      <c r="AM39" s="650">
        <f>+IFERROR(RANK(AB39,(AB$6:AB$8,AB$33:AB$49),0),"")</f>
        <v>9</v>
      </c>
      <c r="AN39" s="650">
        <f>+IFERROR(RANK(AC39,(AC$6:AC$8,AC$33:AC$49),0),"")</f>
        <v>9</v>
      </c>
      <c r="AQ39" s="127"/>
      <c r="AR39" s="127"/>
      <c r="AS39" s="127"/>
      <c r="AT39" s="127"/>
      <c r="AU39" s="127"/>
    </row>
    <row r="40" spans="1:47" ht="12.75" customHeight="1">
      <c r="A40" s="201" t="s">
        <v>81</v>
      </c>
      <c r="B40" s="307" t="s">
        <v>163</v>
      </c>
      <c r="C40" s="335">
        <v>82983</v>
      </c>
      <c r="D40" s="335">
        <v>81189</v>
      </c>
      <c r="E40" s="335">
        <v>79408</v>
      </c>
      <c r="F40" s="335">
        <v>78025</v>
      </c>
      <c r="G40" s="335">
        <v>78807</v>
      </c>
      <c r="H40" s="335">
        <v>72314</v>
      </c>
      <c r="I40" s="335">
        <v>78746</v>
      </c>
      <c r="J40" s="335">
        <v>77632</v>
      </c>
      <c r="K40" s="335">
        <v>80352</v>
      </c>
      <c r="L40" s="335">
        <v>83710</v>
      </c>
      <c r="M40" s="335">
        <v>84960</v>
      </c>
      <c r="O40" s="559">
        <f t="shared" si="5"/>
        <v>3.1470134602206166</v>
      </c>
      <c r="P40" s="559">
        <f t="shared" si="6"/>
        <v>2.3966453734955735</v>
      </c>
      <c r="S40" s="559">
        <f t="shared" si="4"/>
        <v>3.1470134602206166</v>
      </c>
      <c r="T40" s="559">
        <f t="shared" si="4"/>
        <v>2.9892736075074806</v>
      </c>
      <c r="U40" s="559">
        <f t="shared" si="4"/>
        <v>2.8159084929031359</v>
      </c>
      <c r="V40" s="559">
        <f t="shared" si="4"/>
        <v>2.6476948851048032</v>
      </c>
      <c r="W40" s="559">
        <f t="shared" si="4"/>
        <v>2.5749806648545381</v>
      </c>
      <c r="X40" s="559">
        <f t="shared" si="4"/>
        <v>2.3244996944662222</v>
      </c>
      <c r="Y40" s="559">
        <f t="shared" si="4"/>
        <v>2.5520763451502901</v>
      </c>
      <c r="Z40" s="559">
        <f t="shared" si="4"/>
        <v>2.5023651463650882</v>
      </c>
      <c r="AA40" s="559">
        <f t="shared" si="4"/>
        <v>2.4078521294951698</v>
      </c>
      <c r="AB40" s="559">
        <f t="shared" si="4"/>
        <v>2.3988539604875423</v>
      </c>
      <c r="AC40" s="559">
        <f t="shared" si="4"/>
        <v>2.3966453734955735</v>
      </c>
      <c r="AD40" s="650">
        <f>+IFERROR(RANK(S40,(S$6:S$8,S$33:S$49),0),"")</f>
        <v>9</v>
      </c>
      <c r="AE40" s="650">
        <f>+IFERROR(RANK(T40,(T$6:T$8,T$33:T$49),0),"")</f>
        <v>9</v>
      </c>
      <c r="AF40" s="650">
        <f>+IFERROR(RANK(U40,(U$6:U$8,U$33:U$49),0),"")</f>
        <v>9</v>
      </c>
      <c r="AG40" s="650">
        <f>+IFERROR(RANK(V40,(V$6:V$8,V$33:V$49),0),"")</f>
        <v>10</v>
      </c>
      <c r="AH40" s="650">
        <f>+IFERROR(RANK(W40,(W$6:W$8,W$33:W$49),0),"")</f>
        <v>10</v>
      </c>
      <c r="AI40" s="650">
        <f>+IFERROR(RANK(X40,(X$6:X$8,X$33:X$49),0),"")</f>
        <v>10</v>
      </c>
      <c r="AJ40" s="650">
        <f>+IFERROR(RANK(Y40,(Y$6:Y$8,Y$33:Y$49),0),"")</f>
        <v>10</v>
      </c>
      <c r="AK40" s="650">
        <f>+IFERROR(RANK(Z40,(Z$6:Z$8,Z$33:Z$49),0),"")</f>
        <v>10</v>
      </c>
      <c r="AL40" s="650">
        <f>+IFERROR(RANK(AA40,(AA$6:AA$8,AA$33:AA$49),0),"")</f>
        <v>11</v>
      </c>
      <c r="AM40" s="650">
        <f>+IFERROR(RANK(AB40,(AB$6:AB$8,AB$33:AB$49),0),"")</f>
        <v>11</v>
      </c>
      <c r="AN40" s="650">
        <f>+IFERROR(RANK(AC40,(AC$6:AC$8,AC$33:AC$49),0),"")</f>
        <v>11</v>
      </c>
      <c r="AQ40" s="127"/>
      <c r="AR40" s="127"/>
      <c r="AS40" s="127"/>
      <c r="AT40" s="127"/>
      <c r="AU40" s="127"/>
    </row>
    <row r="41" spans="1:47" ht="12.75" customHeight="1">
      <c r="A41" s="201" t="s">
        <v>82</v>
      </c>
      <c r="B41" s="307" t="s">
        <v>102</v>
      </c>
      <c r="C41" s="335">
        <v>19960</v>
      </c>
      <c r="D41" s="335">
        <v>21488</v>
      </c>
      <c r="E41" s="335">
        <v>22728</v>
      </c>
      <c r="F41" s="335">
        <v>25240</v>
      </c>
      <c r="G41" s="335">
        <v>28146</v>
      </c>
      <c r="H41" s="335">
        <v>29700</v>
      </c>
      <c r="I41" s="335">
        <v>30554</v>
      </c>
      <c r="J41" s="335">
        <v>32205</v>
      </c>
      <c r="K41" s="335">
        <v>35036</v>
      </c>
      <c r="L41" s="335">
        <v>37963</v>
      </c>
      <c r="M41" s="335">
        <v>39582</v>
      </c>
      <c r="O41" s="559">
        <f t="shared" si="5"/>
        <v>0.75695490240173902</v>
      </c>
      <c r="P41" s="559">
        <f t="shared" si="6"/>
        <v>1.1165727068467723</v>
      </c>
      <c r="S41" s="559">
        <f t="shared" si="4"/>
        <v>0.75695490240173902</v>
      </c>
      <c r="T41" s="559">
        <f t="shared" si="4"/>
        <v>0.79116027144219958</v>
      </c>
      <c r="U41" s="559">
        <f t="shared" si="4"/>
        <v>0.8059637344688505</v>
      </c>
      <c r="V41" s="559">
        <f t="shared" si="4"/>
        <v>0.85649239218257267</v>
      </c>
      <c r="W41" s="559">
        <f t="shared" si="4"/>
        <v>0.91965695678043602</v>
      </c>
      <c r="X41" s="559">
        <f t="shared" si="4"/>
        <v>0.95469260344672957</v>
      </c>
      <c r="Y41" s="559">
        <f t="shared" si="4"/>
        <v>0.99022351166690326</v>
      </c>
      <c r="Z41" s="559">
        <f t="shared" si="4"/>
        <v>1.0380857061351978</v>
      </c>
      <c r="AA41" s="559">
        <f t="shared" si="4"/>
        <v>1.049899283266039</v>
      </c>
      <c r="AB41" s="559">
        <f t="shared" si="4"/>
        <v>1.0878950292914655</v>
      </c>
      <c r="AC41" s="559">
        <f t="shared" si="4"/>
        <v>1.1165727068467723</v>
      </c>
      <c r="AD41" s="650">
        <f>+IFERROR(RANK(S41,(S$6:S$8,S$33:S$49),0),"")</f>
        <v>16</v>
      </c>
      <c r="AE41" s="650">
        <f>+IFERROR(RANK(T41,(T$6:T$8,T$33:T$49),0),"")</f>
        <v>15</v>
      </c>
      <c r="AF41" s="650">
        <f>+IFERROR(RANK(U41,(U$6:U$8,U$33:U$49),0),"")</f>
        <v>15</v>
      </c>
      <c r="AG41" s="650">
        <f>+IFERROR(RANK(V41,(V$6:V$8,V$33:V$49),0),"")</f>
        <v>15</v>
      </c>
      <c r="AH41" s="650">
        <f>+IFERROR(RANK(W41,(W$6:W$8,W$33:W$49),0),"")</f>
        <v>15</v>
      </c>
      <c r="AI41" s="650">
        <f>+IFERROR(RANK(X41,(X$6:X$8,X$33:X$49),0),"")</f>
        <v>15</v>
      </c>
      <c r="AJ41" s="650">
        <f>+IFERROR(RANK(Y41,(Y$6:Y$8,Y$33:Y$49),0),"")</f>
        <v>14</v>
      </c>
      <c r="AK41" s="650">
        <f>+IFERROR(RANK(Z41,(Z$6:Z$8,Z$33:Z$49),0),"")</f>
        <v>14</v>
      </c>
      <c r="AL41" s="650">
        <f>+IFERROR(RANK(AA41,(AA$6:AA$8,AA$33:AA$49),0),"")</f>
        <v>14</v>
      </c>
      <c r="AM41" s="650">
        <f>+IFERROR(RANK(AB41,(AB$6:AB$8,AB$33:AB$49),0),"")</f>
        <v>14</v>
      </c>
      <c r="AN41" s="650">
        <f>+IFERROR(RANK(AC41,(AC$6:AC$8,AC$33:AC$49),0),"")</f>
        <v>14</v>
      </c>
      <c r="AQ41" s="127"/>
      <c r="AR41" s="127"/>
      <c r="AS41" s="127"/>
      <c r="AT41" s="127"/>
      <c r="AU41" s="127"/>
    </row>
    <row r="42" spans="1:47" ht="12.75" customHeight="1">
      <c r="A42" s="201" t="s">
        <v>53</v>
      </c>
      <c r="B42" s="307" t="s">
        <v>172</v>
      </c>
      <c r="C42" s="335">
        <v>120671</v>
      </c>
      <c r="D42" s="335">
        <v>125288</v>
      </c>
      <c r="E42" s="335">
        <v>127354</v>
      </c>
      <c r="F42" s="335">
        <v>128982</v>
      </c>
      <c r="G42" s="335">
        <v>139971</v>
      </c>
      <c r="H42" s="335">
        <v>148924</v>
      </c>
      <c r="I42" s="335">
        <v>150763</v>
      </c>
      <c r="J42" s="335">
        <v>156464</v>
      </c>
      <c r="K42" s="335">
        <v>177058</v>
      </c>
      <c r="L42" s="335">
        <v>191467</v>
      </c>
      <c r="M42" s="335">
        <v>202733</v>
      </c>
      <c r="O42" s="559">
        <f t="shared" si="5"/>
        <v>4.5762778070000127</v>
      </c>
      <c r="P42" s="559">
        <f t="shared" si="6"/>
        <v>5.7189160370159851</v>
      </c>
      <c r="S42" s="559">
        <f t="shared" si="4"/>
        <v>4.5762778070000127</v>
      </c>
      <c r="T42" s="559">
        <f t="shared" si="4"/>
        <v>4.6129415528876727</v>
      </c>
      <c r="U42" s="559">
        <f t="shared" si="4"/>
        <v>4.5161345230352863</v>
      </c>
      <c r="V42" s="559">
        <f t="shared" si="4"/>
        <v>4.3768661540607203</v>
      </c>
      <c r="W42" s="559">
        <f t="shared" si="4"/>
        <v>4.573484825464166</v>
      </c>
      <c r="X42" s="559">
        <f t="shared" si="4"/>
        <v>4.7870922988451436</v>
      </c>
      <c r="Y42" s="559">
        <f t="shared" si="4"/>
        <v>4.8860727659042134</v>
      </c>
      <c r="Z42" s="559">
        <f t="shared" si="4"/>
        <v>5.0434107102852845</v>
      </c>
      <c r="AA42" s="559">
        <f t="shared" si="4"/>
        <v>5.3057731275407676</v>
      </c>
      <c r="AB42" s="559">
        <f t="shared" ref="AB42:AC49" si="7">L42*100/L$5</f>
        <v>5.486816046501831</v>
      </c>
      <c r="AC42" s="559">
        <f t="shared" si="7"/>
        <v>5.7189160370159851</v>
      </c>
      <c r="AD42" s="650">
        <f>+IFERROR(RANK(S42,(S$6:S$8,S$33:S$49),0),"")</f>
        <v>8</v>
      </c>
      <c r="AE42" s="650">
        <f>+IFERROR(RANK(T42,(T$6:T$8,T$33:T$49),0),"")</f>
        <v>8</v>
      </c>
      <c r="AF42" s="650">
        <f>+IFERROR(RANK(U42,(U$6:U$8,U$33:U$49),0),"")</f>
        <v>8</v>
      </c>
      <c r="AG42" s="650">
        <f>+IFERROR(RANK(V42,(V$6:V$8,V$33:V$49),0),"")</f>
        <v>8</v>
      </c>
      <c r="AH42" s="650">
        <f>+IFERROR(RANK(W42,(W$6:W$8,W$33:W$49),0),"")</f>
        <v>8</v>
      </c>
      <c r="AI42" s="650">
        <f>+IFERROR(RANK(X42,(X$6:X$8,X$33:X$49),0),"")</f>
        <v>8</v>
      </c>
      <c r="AJ42" s="650">
        <f>+IFERROR(RANK(Y42,(Y$6:Y$8,Y$33:Y$49),0),"")</f>
        <v>8</v>
      </c>
      <c r="AK42" s="650">
        <f>+IFERROR(RANK(Z42,(Z$6:Z$8,Z$33:Z$49),0),"")</f>
        <v>7</v>
      </c>
      <c r="AL42" s="650">
        <f>+IFERROR(RANK(AA42,(AA$6:AA$8,AA$33:AA$49),0),"")</f>
        <v>7</v>
      </c>
      <c r="AM42" s="650">
        <f>+IFERROR(RANK(AB42,(AB$6:AB$8,AB$33:AB$49),0),"")</f>
        <v>7</v>
      </c>
      <c r="AN42" s="650">
        <f>+IFERROR(RANK(AC42,(AC$6:AC$8,AC$33:AC$49),0),"")</f>
        <v>7</v>
      </c>
      <c r="AQ42" s="127"/>
      <c r="AR42" s="127"/>
      <c r="AS42" s="127"/>
      <c r="AT42" s="127"/>
      <c r="AU42" s="127"/>
    </row>
    <row r="43" spans="1:47" ht="12.75" customHeight="1">
      <c r="A43" s="201" t="s">
        <v>84</v>
      </c>
      <c r="B43" s="307" t="s">
        <v>166</v>
      </c>
      <c r="C43" s="335">
        <v>243964</v>
      </c>
      <c r="D43" s="335">
        <v>251590</v>
      </c>
      <c r="E43" s="335">
        <v>273459</v>
      </c>
      <c r="F43" s="335">
        <v>299479</v>
      </c>
      <c r="G43" s="335">
        <v>298771</v>
      </c>
      <c r="H43" s="335">
        <v>299376</v>
      </c>
      <c r="I43" s="335">
        <v>291316</v>
      </c>
      <c r="J43" s="335">
        <v>280916</v>
      </c>
      <c r="K43" s="335">
        <v>313802</v>
      </c>
      <c r="L43" s="335">
        <v>329658</v>
      </c>
      <c r="M43" s="335">
        <v>331240</v>
      </c>
      <c r="O43" s="559">
        <f t="shared" si="5"/>
        <v>9.2519912730229379</v>
      </c>
      <c r="P43" s="559">
        <f t="shared" si="6"/>
        <v>9.3439832099420173</v>
      </c>
      <c r="S43" s="559">
        <f t="shared" ref="S43:AA49" si="8">C43*100/C$5</f>
        <v>9.2519912730229397</v>
      </c>
      <c r="T43" s="559">
        <f t="shared" si="8"/>
        <v>9.2632172697385986</v>
      </c>
      <c r="U43" s="559">
        <f t="shared" si="8"/>
        <v>9.6972033115151959</v>
      </c>
      <c r="V43" s="559">
        <f t="shared" si="8"/>
        <v>10.162499410397967</v>
      </c>
      <c r="W43" s="559">
        <f t="shared" si="8"/>
        <v>9.7621981323899547</v>
      </c>
      <c r="X43" s="559">
        <f t="shared" si="8"/>
        <v>9.6233014427430348</v>
      </c>
      <c r="Y43" s="559">
        <f t="shared" si="8"/>
        <v>9.4412500008102249</v>
      </c>
      <c r="Z43" s="559">
        <f t="shared" si="8"/>
        <v>9.0549568149254842</v>
      </c>
      <c r="AA43" s="559">
        <f t="shared" si="8"/>
        <v>9.4034848409478702</v>
      </c>
      <c r="AB43" s="559">
        <f t="shared" si="7"/>
        <v>9.4469167232875684</v>
      </c>
      <c r="AC43" s="559">
        <f t="shared" si="7"/>
        <v>9.3439832099420155</v>
      </c>
      <c r="AD43" s="650">
        <f>+IFERROR(RANK(S43,(S$6:S$8,S$33:S$49),0),"")</f>
        <v>3</v>
      </c>
      <c r="AE43" s="650">
        <f>+IFERROR(RANK(T43,(T$6:T$8,T$33:T$49),0),"")</f>
        <v>3</v>
      </c>
      <c r="AF43" s="650">
        <f>+IFERROR(RANK(U43,(U$6:U$8,U$33:U$49),0),"")</f>
        <v>3</v>
      </c>
      <c r="AG43" s="650">
        <f>+IFERROR(RANK(V43,(V$6:V$8,V$33:V$49),0),"")</f>
        <v>3</v>
      </c>
      <c r="AH43" s="650">
        <f>+IFERROR(RANK(W43,(W$6:W$8,W$33:W$49),0),"")</f>
        <v>3</v>
      </c>
      <c r="AI43" s="650">
        <f>+IFERROR(RANK(X43,(X$6:X$8,X$33:X$49),0),"")</f>
        <v>3</v>
      </c>
      <c r="AJ43" s="650">
        <f>+IFERROR(RANK(Y43,(Y$6:Y$8,Y$33:Y$49),0),"")</f>
        <v>3</v>
      </c>
      <c r="AK43" s="650">
        <f>+IFERROR(RANK(Z43,(Z$6:Z$8,Z$33:Z$49),0),"")</f>
        <v>4</v>
      </c>
      <c r="AL43" s="650">
        <f>+IFERROR(RANK(AA43,(AA$6:AA$8,AA$33:AA$49),0),"")</f>
        <v>3</v>
      </c>
      <c r="AM43" s="650">
        <f>+IFERROR(RANK(AB43,(AB$6:AB$8,AB$33:AB$49),0),"")</f>
        <v>3</v>
      </c>
      <c r="AN43" s="650">
        <f>+IFERROR(RANK(AC43,(AC$6:AC$8,AC$33:AC$49),0),"")</f>
        <v>3</v>
      </c>
      <c r="AQ43" s="127"/>
      <c r="AR43" s="127"/>
      <c r="AS43" s="127"/>
      <c r="AT43" s="127"/>
      <c r="AU43" s="127"/>
    </row>
    <row r="44" spans="1:47" ht="12.75" customHeight="1">
      <c r="A44" s="201" t="s">
        <v>85</v>
      </c>
      <c r="B44" s="307" t="s">
        <v>167</v>
      </c>
      <c r="C44" s="335">
        <v>10823</v>
      </c>
      <c r="D44" s="335">
        <v>10646</v>
      </c>
      <c r="E44" s="335">
        <v>10719</v>
      </c>
      <c r="F44" s="335">
        <v>11285</v>
      </c>
      <c r="G44" s="335">
        <v>11658</v>
      </c>
      <c r="H44" s="335">
        <v>11877</v>
      </c>
      <c r="I44" s="335">
        <v>12408</v>
      </c>
      <c r="J44" s="335">
        <v>12061</v>
      </c>
      <c r="K44" s="335">
        <v>13207</v>
      </c>
      <c r="L44" s="335">
        <v>14299</v>
      </c>
      <c r="M44" s="335">
        <v>14609</v>
      </c>
      <c r="O44" s="559">
        <f t="shared" si="5"/>
        <v>0.41044703951372857</v>
      </c>
      <c r="P44" s="559">
        <f t="shared" si="6"/>
        <v>0.41210678273772161</v>
      </c>
      <c r="S44" s="559">
        <f t="shared" si="8"/>
        <v>0.41044703951372852</v>
      </c>
      <c r="T44" s="559">
        <f t="shared" si="8"/>
        <v>0.39197190291202799</v>
      </c>
      <c r="U44" s="559">
        <f t="shared" si="8"/>
        <v>0.3801093483708029</v>
      </c>
      <c r="V44" s="559">
        <f t="shared" si="8"/>
        <v>0.38294439959510035</v>
      </c>
      <c r="W44" s="559">
        <f t="shared" si="8"/>
        <v>0.38091951972380883</v>
      </c>
      <c r="X44" s="559">
        <f t="shared" si="8"/>
        <v>0.3817806077823841</v>
      </c>
      <c r="Y44" s="559">
        <f t="shared" si="8"/>
        <v>0.40213043571260509</v>
      </c>
      <c r="Z44" s="559">
        <f t="shared" si="8"/>
        <v>0.38877043011012635</v>
      </c>
      <c r="AA44" s="559">
        <f t="shared" si="8"/>
        <v>0.39576492276785524</v>
      </c>
      <c r="AB44" s="559">
        <f t="shared" si="7"/>
        <v>0.40976242720118705</v>
      </c>
      <c r="AC44" s="559">
        <f t="shared" si="7"/>
        <v>0.41210678273772161</v>
      </c>
      <c r="AD44" s="650">
        <f>+IFERROR(RANK(S44,(S$6:S$8,S$33:S$49),0),"")</f>
        <v>17</v>
      </c>
      <c r="AE44" s="650">
        <f>+IFERROR(RANK(T44,(T$6:T$8,T$33:T$49),0),"")</f>
        <v>17</v>
      </c>
      <c r="AF44" s="650">
        <f>+IFERROR(RANK(U44,(U$6:U$8,U$33:U$49),0),"")</f>
        <v>17</v>
      </c>
      <c r="AG44" s="650">
        <f>+IFERROR(RANK(V44,(V$6:V$8,V$33:V$49),0),"")</f>
        <v>17</v>
      </c>
      <c r="AH44" s="650">
        <f>+IFERROR(RANK(W44,(W$6:W$8,W$33:W$49),0),"")</f>
        <v>17</v>
      </c>
      <c r="AI44" s="650">
        <f>+IFERROR(RANK(X44,(X$6:X$8,X$33:X$49),0),"")</f>
        <v>17</v>
      </c>
      <c r="AJ44" s="650">
        <f>+IFERROR(RANK(Y44,(Y$6:Y$8,Y$33:Y$49),0),"")</f>
        <v>17</v>
      </c>
      <c r="AK44" s="650">
        <f>+IFERROR(RANK(Z44,(Z$6:Z$8,Z$33:Z$49),0),"")</f>
        <v>17</v>
      </c>
      <c r="AL44" s="650">
        <f>+IFERROR(RANK(AA44,(AA$6:AA$8,AA$33:AA$49),0),"")</f>
        <v>17</v>
      </c>
      <c r="AM44" s="650">
        <f>+IFERROR(RANK(AB44,(AB$6:AB$8,AB$33:AB$49),0),"")</f>
        <v>17</v>
      </c>
      <c r="AN44" s="650">
        <f>+IFERROR(RANK(AC44,(AC$6:AC$8,AC$33:AC$49),0),"")</f>
        <v>17</v>
      </c>
      <c r="AQ44" s="127"/>
      <c r="AR44" s="127"/>
      <c r="AS44" s="127"/>
      <c r="AT44" s="127"/>
      <c r="AU44" s="127"/>
    </row>
    <row r="45" spans="1:47" ht="12.75" customHeight="1">
      <c r="A45" s="201" t="s">
        <v>93</v>
      </c>
      <c r="B45" s="307" t="s">
        <v>83</v>
      </c>
      <c r="C45" s="335">
        <v>53776</v>
      </c>
      <c r="D45" s="335">
        <v>56603</v>
      </c>
      <c r="E45" s="335">
        <v>56595</v>
      </c>
      <c r="F45" s="335">
        <v>56216</v>
      </c>
      <c r="G45" s="335">
        <v>60367</v>
      </c>
      <c r="H45" s="335">
        <v>60849</v>
      </c>
      <c r="I45" s="335">
        <v>62433</v>
      </c>
      <c r="J45" s="335">
        <v>61474</v>
      </c>
      <c r="K45" s="335">
        <v>64779</v>
      </c>
      <c r="L45" s="335">
        <v>69358</v>
      </c>
      <c r="M45" s="335">
        <v>72782</v>
      </c>
      <c r="O45" s="559">
        <f t="shared" si="5"/>
        <v>2.0393790997773507</v>
      </c>
      <c r="P45" s="559">
        <f t="shared" si="6"/>
        <v>2.0531149196534226</v>
      </c>
      <c r="S45" s="559">
        <f t="shared" si="8"/>
        <v>2.0393790997773507</v>
      </c>
      <c r="T45" s="559">
        <f t="shared" si="8"/>
        <v>2.0840489968560512</v>
      </c>
      <c r="U45" s="559">
        <f t="shared" si="8"/>
        <v>2.0069305505220254</v>
      </c>
      <c r="V45" s="559">
        <f t="shared" si="8"/>
        <v>1.9076298066139266</v>
      </c>
      <c r="W45" s="559">
        <f t="shared" si="8"/>
        <v>1.9724625705238608</v>
      </c>
      <c r="X45" s="559">
        <f t="shared" si="8"/>
        <v>1.9559626339101026</v>
      </c>
      <c r="Y45" s="559">
        <f t="shared" si="8"/>
        <v>2.0233889017444451</v>
      </c>
      <c r="Z45" s="559">
        <f t="shared" si="8"/>
        <v>1.9815333239855657</v>
      </c>
      <c r="AA45" s="559">
        <f t="shared" si="8"/>
        <v>1.9411869411659648</v>
      </c>
      <c r="AB45" s="559">
        <f t="shared" si="7"/>
        <v>1.9875727271711261</v>
      </c>
      <c r="AC45" s="559">
        <f t="shared" si="7"/>
        <v>2.0531149196534231</v>
      </c>
      <c r="AD45" s="650">
        <f>+IFERROR(RANK(S45,(S$6:S$8,S$33:S$49),0),"")</f>
        <v>13</v>
      </c>
      <c r="AE45" s="650">
        <f>+IFERROR(RANK(T45,(T$6:T$8,T$33:T$49),0),"")</f>
        <v>13</v>
      </c>
      <c r="AF45" s="650">
        <f>+IFERROR(RANK(U45,(U$6:U$8,U$33:U$49),0),"")</f>
        <v>13</v>
      </c>
      <c r="AG45" s="650">
        <f>+IFERROR(RANK(V45,(V$6:V$8,V$33:V$49),0),"")</f>
        <v>13</v>
      </c>
      <c r="AH45" s="650">
        <f>+IFERROR(RANK(W45,(W$6:W$8,W$33:W$49),0),"")</f>
        <v>13</v>
      </c>
      <c r="AI45" s="650">
        <f>+IFERROR(RANK(X45,(X$6:X$8,X$33:X$49),0),"")</f>
        <v>13</v>
      </c>
      <c r="AJ45" s="650">
        <f>+IFERROR(RANK(Y45,(Y$6:Y$8,Y$33:Y$49),0),"")</f>
        <v>12</v>
      </c>
      <c r="AK45" s="650">
        <f>+IFERROR(RANK(Z45,(Z$6:Z$8,Z$33:Z$49),0),"")</f>
        <v>12</v>
      </c>
      <c r="AL45" s="650">
        <f>+IFERROR(RANK(AA45,(AA$6:AA$8,AA$33:AA$49),0),"")</f>
        <v>12</v>
      </c>
      <c r="AM45" s="650">
        <f>+IFERROR(RANK(AB45,(AB$6:AB$8,AB$33:AB$49),0),"")</f>
        <v>12</v>
      </c>
      <c r="AN45" s="650">
        <f>+IFERROR(RANK(AC45,(AC$6:AC$8,AC$33:AC$49),0),"")</f>
        <v>12</v>
      </c>
      <c r="AQ45" s="127"/>
      <c r="AR45" s="127"/>
      <c r="AS45" s="127"/>
      <c r="AT45" s="127"/>
      <c r="AU45" s="127"/>
    </row>
    <row r="46" spans="1:47" ht="12.75" customHeight="1">
      <c r="A46" s="201" t="s">
        <v>86</v>
      </c>
      <c r="B46" s="307" t="s">
        <v>138</v>
      </c>
      <c r="C46" s="335">
        <v>229330</v>
      </c>
      <c r="D46" s="335">
        <v>241051</v>
      </c>
      <c r="E46" s="335">
        <v>254988</v>
      </c>
      <c r="F46" s="335">
        <v>265423</v>
      </c>
      <c r="G46" s="335">
        <v>271575</v>
      </c>
      <c r="H46" s="335">
        <v>278424</v>
      </c>
      <c r="I46" s="335">
        <v>289188</v>
      </c>
      <c r="J46" s="335">
        <v>295748</v>
      </c>
      <c r="K46" s="335">
        <v>309107</v>
      </c>
      <c r="L46" s="335">
        <v>319140</v>
      </c>
      <c r="M46" s="335">
        <v>326389</v>
      </c>
      <c r="O46" s="559">
        <f t="shared" si="5"/>
        <v>8.6970174232360122</v>
      </c>
      <c r="P46" s="559">
        <f t="shared" si="6"/>
        <v>9.207140852281622</v>
      </c>
      <c r="S46" s="559">
        <f t="shared" si="8"/>
        <v>8.6970174232360122</v>
      </c>
      <c r="T46" s="559">
        <f t="shared" si="8"/>
        <v>8.8751849679548425</v>
      </c>
      <c r="U46" s="559">
        <f t="shared" si="8"/>
        <v>9.0421982015462525</v>
      </c>
      <c r="V46" s="559">
        <f t="shared" si="8"/>
        <v>9.0068454916907683</v>
      </c>
      <c r="W46" s="559">
        <f t="shared" si="8"/>
        <v>8.8735819668033447</v>
      </c>
      <c r="X46" s="559">
        <f t="shared" si="8"/>
        <v>8.9498092061297054</v>
      </c>
      <c r="Y46" s="559">
        <f t="shared" si="8"/>
        <v>9.3722837236344976</v>
      </c>
      <c r="Z46" s="559">
        <f t="shared" si="8"/>
        <v>9.5330467759066124</v>
      </c>
      <c r="AA46" s="559">
        <f t="shared" si="8"/>
        <v>9.262793062921439</v>
      </c>
      <c r="AB46" s="559">
        <f t="shared" si="7"/>
        <v>9.1455053512124511</v>
      </c>
      <c r="AC46" s="559">
        <f t="shared" si="7"/>
        <v>9.207140852281622</v>
      </c>
      <c r="AD46" s="650">
        <f>+IFERROR(RANK(S46,(S$6:S$8,S$33:S$49),0),"")</f>
        <v>4</v>
      </c>
      <c r="AE46" s="650">
        <f>+IFERROR(RANK(T46,(T$6:T$8,T$33:T$49),0),"")</f>
        <v>4</v>
      </c>
      <c r="AF46" s="650">
        <f>+IFERROR(RANK(U46,(U$6:U$8,U$33:U$49),0),"")</f>
        <v>4</v>
      </c>
      <c r="AG46" s="650">
        <f>+IFERROR(RANK(V46,(V$6:V$8,V$33:V$49),0),"")</f>
        <v>4</v>
      </c>
      <c r="AH46" s="650">
        <f>+IFERROR(RANK(W46,(W$6:W$8,W$33:W$49),0),"")</f>
        <v>4</v>
      </c>
      <c r="AI46" s="650">
        <f>+IFERROR(RANK(X46,(X$6:X$8,X$33:X$49),0),"")</f>
        <v>4</v>
      </c>
      <c r="AJ46" s="650">
        <f>+IFERROR(RANK(Y46,(Y$6:Y$8,Y$33:Y$49),0),"")</f>
        <v>4</v>
      </c>
      <c r="AK46" s="650">
        <f>+IFERROR(RANK(Z46,(Z$6:Z$8,Z$33:Z$49),0),"")</f>
        <v>3</v>
      </c>
      <c r="AL46" s="650">
        <f>+IFERROR(RANK(AA46,(AA$6:AA$8,AA$33:AA$49),0),"")</f>
        <v>4</v>
      </c>
      <c r="AM46" s="650">
        <f>+IFERROR(RANK(AB46,(AB$6:AB$8,AB$33:AB$49),0),"")</f>
        <v>4</v>
      </c>
      <c r="AN46" s="650">
        <f>+IFERROR(RANK(AC46,(AC$6:AC$8,AC$33:AC$49),0),"")</f>
        <v>4</v>
      </c>
      <c r="AQ46" s="127"/>
      <c r="AR46" s="127"/>
      <c r="AS46" s="127"/>
      <c r="AT46" s="127"/>
      <c r="AU46" s="127"/>
    </row>
    <row r="47" spans="1:47" ht="12.75" customHeight="1">
      <c r="A47" s="201" t="s">
        <v>94</v>
      </c>
      <c r="B47" s="307" t="s">
        <v>164</v>
      </c>
      <c r="C47" s="335">
        <v>20524</v>
      </c>
      <c r="D47" s="335">
        <v>22785</v>
      </c>
      <c r="E47" s="335">
        <v>23892</v>
      </c>
      <c r="F47" s="335">
        <v>26109</v>
      </c>
      <c r="G47" s="335">
        <v>28777</v>
      </c>
      <c r="H47" s="335">
        <v>30427</v>
      </c>
      <c r="I47" s="335">
        <v>28691</v>
      </c>
      <c r="J47" s="335">
        <v>31034</v>
      </c>
      <c r="K47" s="335">
        <v>33359</v>
      </c>
      <c r="L47" s="335">
        <v>36709</v>
      </c>
      <c r="M47" s="335">
        <v>39194</v>
      </c>
      <c r="O47" s="559">
        <f t="shared" si="5"/>
        <v>0.77834380846158779</v>
      </c>
      <c r="P47" s="559">
        <f t="shared" si="6"/>
        <v>1.1056275749621645</v>
      </c>
      <c r="S47" s="559">
        <f t="shared" si="8"/>
        <v>0.77834380846158779</v>
      </c>
      <c r="T47" s="559">
        <f t="shared" si="8"/>
        <v>0.8389141281092013</v>
      </c>
      <c r="U47" s="559">
        <f t="shared" si="8"/>
        <v>0.8472406522320387</v>
      </c>
      <c r="V47" s="559">
        <f t="shared" si="8"/>
        <v>0.88598097731754322</v>
      </c>
      <c r="W47" s="559">
        <f t="shared" si="8"/>
        <v>0.94027457703654549</v>
      </c>
      <c r="X47" s="559">
        <f t="shared" si="8"/>
        <v>0.97806167828530777</v>
      </c>
      <c r="Y47" s="559">
        <f t="shared" si="8"/>
        <v>0.92984561017330369</v>
      </c>
      <c r="Z47" s="559">
        <f t="shared" si="8"/>
        <v>1.0003400653376719</v>
      </c>
      <c r="AA47" s="559">
        <f t="shared" si="8"/>
        <v>0.99964579833519229</v>
      </c>
      <c r="AB47" s="559">
        <f t="shared" si="7"/>
        <v>1.0519595034707585</v>
      </c>
      <c r="AC47" s="559">
        <f t="shared" si="7"/>
        <v>1.1056275749621645</v>
      </c>
      <c r="AD47" s="650">
        <f>+IFERROR(RANK(S47,(S$6:S$8,S$33:S$49),0),"")</f>
        <v>15</v>
      </c>
      <c r="AE47" s="650">
        <f>+IFERROR(RANK(T47,(T$6:T$8,T$33:T$49),0),"")</f>
        <v>14</v>
      </c>
      <c r="AF47" s="650">
        <f>+IFERROR(RANK(U47,(U$6:U$8,U$33:U$49),0),"")</f>
        <v>14</v>
      </c>
      <c r="AG47" s="650">
        <f>+IFERROR(RANK(V47,(V$6:V$8,V$33:V$49),0),"")</f>
        <v>14</v>
      </c>
      <c r="AH47" s="650">
        <f>+IFERROR(RANK(W47,(W$6:W$8,W$33:W$49),0),"")</f>
        <v>14</v>
      </c>
      <c r="AI47" s="650">
        <f>+IFERROR(RANK(X47,(X$6:X$8,X$33:X$49),0),"")</f>
        <v>14</v>
      </c>
      <c r="AJ47" s="650">
        <f>+IFERROR(RANK(Y47,(Y$6:Y$8,Y$33:Y$49),0),"")</f>
        <v>15</v>
      </c>
      <c r="AK47" s="650">
        <f>+IFERROR(RANK(Z47,(Z$6:Z$8,Z$33:Z$49),0),"")</f>
        <v>15</v>
      </c>
      <c r="AL47" s="650">
        <f>+IFERROR(RANK(AA47,(AA$6:AA$8,AA$33:AA$49),0),"")</f>
        <v>15</v>
      </c>
      <c r="AM47" s="650">
        <f>+IFERROR(RANK(AB47,(AB$6:AB$8,AB$33:AB$49),0),"")</f>
        <v>15</v>
      </c>
      <c r="AN47" s="650">
        <f>+IFERROR(RANK(AC47,(AC$6:AC$8,AC$33:AC$49),0),"")</f>
        <v>15</v>
      </c>
      <c r="AQ47" s="127"/>
      <c r="AR47" s="127"/>
      <c r="AS47" s="127"/>
      <c r="AT47" s="127"/>
      <c r="AU47" s="127"/>
    </row>
    <row r="48" spans="1:47" ht="12.75" customHeight="1">
      <c r="A48" s="201" t="s">
        <v>95</v>
      </c>
      <c r="B48" s="307" t="s">
        <v>103</v>
      </c>
      <c r="C48" s="335">
        <v>67966</v>
      </c>
      <c r="D48" s="335">
        <v>65669</v>
      </c>
      <c r="E48" s="335">
        <v>66238</v>
      </c>
      <c r="F48" s="335">
        <v>64042</v>
      </c>
      <c r="G48" s="335">
        <v>66801</v>
      </c>
      <c r="H48" s="335">
        <v>63852</v>
      </c>
      <c r="I48" s="335">
        <v>61955</v>
      </c>
      <c r="J48" s="335">
        <v>60477</v>
      </c>
      <c r="K48" s="335">
        <v>63987</v>
      </c>
      <c r="L48" s="335">
        <v>63846</v>
      </c>
      <c r="M48" s="335">
        <v>61922</v>
      </c>
      <c r="S48" s="559">
        <f t="shared" si="8"/>
        <v>2.5775148745809915</v>
      </c>
      <c r="T48" s="559">
        <f t="shared" si="8"/>
        <v>2.417847350397329</v>
      </c>
      <c r="U48" s="559">
        <f t="shared" si="8"/>
        <v>2.3488835728505681</v>
      </c>
      <c r="V48" s="559">
        <f t="shared" si="8"/>
        <v>2.1731967424784595</v>
      </c>
      <c r="W48" s="559">
        <f t="shared" si="8"/>
        <v>2.1826904131986753</v>
      </c>
      <c r="X48" s="559">
        <f t="shared" si="8"/>
        <v>2.052492663814161</v>
      </c>
      <c r="Y48" s="559">
        <f t="shared" si="8"/>
        <v>2.0078974165517769</v>
      </c>
      <c r="Z48" s="559">
        <f t="shared" si="8"/>
        <v>1.9493963437335307</v>
      </c>
      <c r="AA48" s="559">
        <f t="shared" si="8"/>
        <v>1.917453631645851</v>
      </c>
      <c r="AB48" s="559">
        <f t="shared" si="7"/>
        <v>1.8296168911872852</v>
      </c>
      <c r="AC48" s="559">
        <f t="shared" si="7"/>
        <v>1.7467640632955848</v>
      </c>
      <c r="AD48" s="650">
        <f>+IFERROR(RANK(S48,(S$6:S$8,S$33:S$49),0),"")</f>
        <v>11</v>
      </c>
      <c r="AE48" s="650">
        <f>+IFERROR(RANK(T48,(T$6:T$8,T$33:T$49),0),"")</f>
        <v>11</v>
      </c>
      <c r="AF48" s="650">
        <f>+IFERROR(RANK(U48,(U$6:U$8,U$33:U$49),0),"")</f>
        <v>11</v>
      </c>
      <c r="AG48" s="650">
        <f>+IFERROR(RANK(V48,(V$6:V$8,V$33:V$49),0),"")</f>
        <v>12</v>
      </c>
      <c r="AH48" s="650">
        <f>+IFERROR(RANK(W48,(W$6:W$8,W$33:W$49),0),"")</f>
        <v>12</v>
      </c>
      <c r="AI48" s="650">
        <f>+IFERROR(RANK(X48,(X$6:X$8,X$33:X$49),0),"")</f>
        <v>12</v>
      </c>
      <c r="AJ48" s="650">
        <f>+IFERROR(RANK(Y48,(Y$6:Y$8,Y$33:Y$49),0),"")</f>
        <v>13</v>
      </c>
      <c r="AK48" s="650">
        <f>+IFERROR(RANK(Z48,(Z$6:Z$8,Z$33:Z$49),0),"")</f>
        <v>13</v>
      </c>
      <c r="AL48" s="650">
        <f>+IFERROR(RANK(AA48,(AA$6:AA$8,AA$33:AA$49),0),"")</f>
        <v>13</v>
      </c>
      <c r="AM48" s="650">
        <f>+IFERROR(RANK(AB48,(AB$6:AB$8,AB$33:AB$49),0),"")</f>
        <v>13</v>
      </c>
      <c r="AN48" s="650">
        <f>+IFERROR(RANK(AC48,(AC$6:AC$8,AC$33:AC$49),0),"")</f>
        <v>13</v>
      </c>
      <c r="AQ48" s="127"/>
      <c r="AR48" s="127"/>
    </row>
    <row r="49" spans="1:44" ht="12.75" customHeight="1">
      <c r="A49" s="34" t="s">
        <v>96</v>
      </c>
      <c r="B49" s="35" t="s">
        <v>165</v>
      </c>
      <c r="C49" s="337">
        <v>93</v>
      </c>
      <c r="D49" s="337">
        <v>91</v>
      </c>
      <c r="E49" s="337">
        <v>106</v>
      </c>
      <c r="F49" s="337">
        <v>95</v>
      </c>
      <c r="G49" s="337">
        <v>97</v>
      </c>
      <c r="H49" s="337">
        <v>102</v>
      </c>
      <c r="I49" s="337">
        <v>119</v>
      </c>
      <c r="J49" s="337">
        <v>107</v>
      </c>
      <c r="K49" s="337">
        <v>125</v>
      </c>
      <c r="L49" s="337">
        <v>145</v>
      </c>
      <c r="M49" s="337">
        <v>154</v>
      </c>
      <c r="S49" s="559">
        <f t="shared" si="8"/>
        <v>3.5268940843367598E-3</v>
      </c>
      <c r="T49" s="559">
        <f t="shared" si="8"/>
        <v>3.3505018941381312E-3</v>
      </c>
      <c r="U49" s="559">
        <f t="shared" si="8"/>
        <v>3.7588945729363846E-3</v>
      </c>
      <c r="V49" s="559">
        <f t="shared" si="8"/>
        <v>3.2237233461705392E-3</v>
      </c>
      <c r="W49" s="559">
        <f t="shared" si="8"/>
        <v>3.1694281534748207E-3</v>
      </c>
      <c r="X49" s="559">
        <f t="shared" si="8"/>
        <v>3.278742274463516E-3</v>
      </c>
      <c r="Y49" s="559">
        <f t="shared" si="8"/>
        <v>3.8566668157479049E-3</v>
      </c>
      <c r="Z49" s="559">
        <f t="shared" si="8"/>
        <v>3.4490038986637528E-3</v>
      </c>
      <c r="AA49" s="559">
        <f t="shared" si="8"/>
        <v>3.7457874873916795E-3</v>
      </c>
      <c r="AB49" s="559">
        <f t="shared" si="7"/>
        <v>4.1552242775139605E-3</v>
      </c>
      <c r="AC49" s="559">
        <f t="shared" si="7"/>
        <v>4.3442018304886802E-3</v>
      </c>
      <c r="AD49" s="650">
        <f>+IFERROR(RANK(S49,(S$6:S$8,S$33:S$49),0),"")</f>
        <v>20</v>
      </c>
      <c r="AE49" s="650">
        <f>+IFERROR(RANK(T49,(T$6:T$8,T$33:T$49),0),"")</f>
        <v>20</v>
      </c>
      <c r="AF49" s="650">
        <f>+IFERROR(RANK(U49,(U$6:U$8,U$33:U$49),0),"")</f>
        <v>20</v>
      </c>
      <c r="AG49" s="650">
        <f>+IFERROR(RANK(V49,(V$6:V$8,V$33:V$49),0),"")</f>
        <v>20</v>
      </c>
      <c r="AH49" s="650">
        <f>+IFERROR(RANK(W49,(W$6:W$8,W$33:W$49),0),"")</f>
        <v>20</v>
      </c>
      <c r="AI49" s="650">
        <f>+IFERROR(RANK(X49,(X$6:X$8,X$33:X$49),0),"")</f>
        <v>20</v>
      </c>
      <c r="AJ49" s="650">
        <f>+IFERROR(RANK(Y49,(Y$6:Y$8,Y$33:Y$49),0),"")</f>
        <v>20</v>
      </c>
      <c r="AK49" s="650">
        <f>+IFERROR(RANK(Z49,(Z$6:Z$8,Z$33:Z$49),0),"")</f>
        <v>20</v>
      </c>
      <c r="AL49" s="650">
        <f>+IFERROR(RANK(AA49,(AA$6:AA$8,AA$33:AA$49),0),"")</f>
        <v>20</v>
      </c>
      <c r="AM49" s="650">
        <f>+IFERROR(RANK(AB49,(AB$6:AB$8,AB$33:AB$49),0),"")</f>
        <v>20</v>
      </c>
      <c r="AN49" s="650">
        <f>+IFERROR(RANK(AC49,(AC$6:AC$8,AC$33:AC$49),0),"")</f>
        <v>20</v>
      </c>
      <c r="AQ49" s="127"/>
      <c r="AR49" s="127"/>
    </row>
    <row r="50" spans="1:44" ht="15" customHeight="1">
      <c r="A50" s="19" t="s">
        <v>769</v>
      </c>
      <c r="B50" s="8"/>
      <c r="C50" s="5"/>
      <c r="D50" s="177"/>
      <c r="E50" s="177"/>
      <c r="F50" s="5"/>
      <c r="G50" s="5"/>
      <c r="H50" s="5"/>
      <c r="I50" s="5"/>
      <c r="J50" s="5"/>
      <c r="K50" s="5"/>
      <c r="L50" s="5"/>
      <c r="M50" s="5"/>
    </row>
    <row r="51" spans="1:44" ht="21" customHeight="1">
      <c r="B51" s="202"/>
    </row>
  </sheetData>
  <mergeCells count="1">
    <mergeCell ref="A1:M1"/>
  </mergeCells>
  <phoneticPr fontId="24" type="noConversion"/>
  <conditionalFormatting sqref="A1 A2:B5 C2:G3 A51:G1048576 C4:E4 B50:E50 C5:J49 N1:N1048576 AO1:AP1048576 AV1:XFD1048576">
    <cfRule type="cellIs" dxfId="2058" priority="45" operator="equal">
      <formula>0</formula>
    </cfRule>
  </conditionalFormatting>
  <conditionalFormatting sqref="F4:G4">
    <cfRule type="cellIs" dxfId="2057" priority="42" operator="equal">
      <formula>0</formula>
    </cfRule>
  </conditionalFormatting>
  <conditionalFormatting sqref="F50:G50">
    <cfRule type="cellIs" dxfId="2056" priority="41" operator="equal">
      <formula>0</formula>
    </cfRule>
  </conditionalFormatting>
  <conditionalFormatting sqref="J2:J3 J51:J1048576">
    <cfRule type="cellIs" dxfId="2055" priority="39" operator="equal">
      <formula>0</formula>
    </cfRule>
  </conditionalFormatting>
  <conditionalFormatting sqref="J4">
    <cfRule type="cellIs" dxfId="2054" priority="38" operator="equal">
      <formula>0</formula>
    </cfRule>
  </conditionalFormatting>
  <conditionalFormatting sqref="J50">
    <cfRule type="cellIs" dxfId="2053" priority="37" operator="equal">
      <formula>0</formula>
    </cfRule>
  </conditionalFormatting>
  <conditionalFormatting sqref="H2:H3 H51:H1048576">
    <cfRule type="cellIs" dxfId="2052" priority="35" operator="equal">
      <formula>0</formula>
    </cfRule>
  </conditionalFormatting>
  <conditionalFormatting sqref="H4">
    <cfRule type="cellIs" dxfId="2051" priority="34" operator="equal">
      <formula>0</formula>
    </cfRule>
  </conditionalFormatting>
  <conditionalFormatting sqref="H50">
    <cfRule type="cellIs" dxfId="2050" priority="33" operator="equal">
      <formula>0</formula>
    </cfRule>
  </conditionalFormatting>
  <conditionalFormatting sqref="I2:I3 I51:I1048576">
    <cfRule type="cellIs" dxfId="2049" priority="30" operator="equal">
      <formula>0</formula>
    </cfRule>
  </conditionalFormatting>
  <conditionalFormatting sqref="I4">
    <cfRule type="cellIs" dxfId="2048" priority="29" operator="equal">
      <formula>0</formula>
    </cfRule>
  </conditionalFormatting>
  <conditionalFormatting sqref="I50">
    <cfRule type="cellIs" dxfId="2047" priority="28" operator="equal">
      <formula>0</formula>
    </cfRule>
  </conditionalFormatting>
  <conditionalFormatting sqref="K50">
    <cfRule type="cellIs" dxfId="2046" priority="24" operator="equal">
      <formula>0</formula>
    </cfRule>
  </conditionalFormatting>
  <conditionalFormatting sqref="K6:K49">
    <cfRule type="cellIs" dxfId="2045" priority="27" operator="equal">
      <formula>0</formula>
    </cfRule>
  </conditionalFormatting>
  <conditionalFormatting sqref="K2:K3 K51:K1048576">
    <cfRule type="cellIs" dxfId="2044" priority="26" operator="equal">
      <formula>0</formula>
    </cfRule>
  </conditionalFormatting>
  <conditionalFormatting sqref="K4">
    <cfRule type="cellIs" dxfId="2043" priority="25" operator="equal">
      <formula>0</formula>
    </cfRule>
  </conditionalFormatting>
  <conditionalFormatting sqref="L50">
    <cfRule type="cellIs" dxfId="2042" priority="20" operator="equal">
      <formula>0</formula>
    </cfRule>
  </conditionalFormatting>
  <conditionalFormatting sqref="L6:L49">
    <cfRule type="cellIs" dxfId="2041" priority="23" operator="equal">
      <formula>0</formula>
    </cfRule>
  </conditionalFormatting>
  <conditionalFormatting sqref="L2:L3 L51:L1048576">
    <cfRule type="cellIs" dxfId="2040" priority="22" operator="equal">
      <formula>0</formula>
    </cfRule>
  </conditionalFormatting>
  <conditionalFormatting sqref="L4">
    <cfRule type="cellIs" dxfId="2039" priority="21" operator="equal">
      <formula>0</formula>
    </cfRule>
  </conditionalFormatting>
  <conditionalFormatting sqref="K5">
    <cfRule type="cellIs" dxfId="2038" priority="18" operator="equal">
      <formula>0</formula>
    </cfRule>
  </conditionalFormatting>
  <conditionalFormatting sqref="L5">
    <cfRule type="cellIs" dxfId="2037" priority="17" operator="equal">
      <formula>0</formula>
    </cfRule>
  </conditionalFormatting>
  <conditionalFormatting sqref="M50">
    <cfRule type="cellIs" dxfId="2036" priority="13" operator="equal">
      <formula>0</formula>
    </cfRule>
  </conditionalFormatting>
  <conditionalFormatting sqref="M6:M49">
    <cfRule type="cellIs" dxfId="2035" priority="16" operator="equal">
      <formula>0</formula>
    </cfRule>
  </conditionalFormatting>
  <conditionalFormatting sqref="M2:M3 M51:M1048576">
    <cfRule type="cellIs" dxfId="2034" priority="15" operator="equal">
      <formula>0</formula>
    </cfRule>
  </conditionalFormatting>
  <conditionalFormatting sqref="M4">
    <cfRule type="cellIs" dxfId="2033" priority="14" operator="equal">
      <formula>0</formula>
    </cfRule>
  </conditionalFormatting>
  <conditionalFormatting sqref="M5">
    <cfRule type="cellIs" dxfId="2032" priority="12" operator="equal">
      <formula>0</formula>
    </cfRule>
  </conditionalFormatting>
  <conditionalFormatting sqref="O1:R7 Q8:R47 O48:R1048576">
    <cfRule type="cellIs" dxfId="2031" priority="11" operator="equal">
      <formula>0</formula>
    </cfRule>
  </conditionalFormatting>
  <conditionalFormatting sqref="S6:AC49">
    <cfRule type="expression" dxfId="2030" priority="3">
      <formula>AD6=1</formula>
    </cfRule>
    <cfRule type="expression" dxfId="2029" priority="4">
      <formula>AD6=2</formula>
    </cfRule>
    <cfRule type="expression" dxfId="2028" priority="5">
      <formula>AD6=3</formula>
    </cfRule>
  </conditionalFormatting>
  <conditionalFormatting sqref="S1:AN3">
    <cfRule type="cellIs" dxfId="2027" priority="9" operator="equal">
      <formula>0</formula>
    </cfRule>
  </conditionalFormatting>
  <conditionalFormatting sqref="S50:AN1048576">
    <cfRule type="cellIs" dxfId="2026" priority="10" operator="equal">
      <formula>0</formula>
    </cfRule>
  </conditionalFormatting>
  <conditionalFormatting sqref="AD6:AN49">
    <cfRule type="cellIs" dxfId="2025" priority="6" operator="equal">
      <formula>1</formula>
    </cfRule>
    <cfRule type="cellIs" dxfId="2024" priority="7" operator="equal">
      <formula>2</formula>
    </cfRule>
    <cfRule type="cellIs" dxfId="2023" priority="8" operator="equal">
      <formula>3</formula>
    </cfRule>
  </conditionalFormatting>
  <conditionalFormatting sqref="AQ6:AR49">
    <cfRule type="cellIs" dxfId="2022" priority="2" operator="between">
      <formula>1</formula>
      <formula>3</formula>
    </cfRule>
  </conditionalFormatting>
  <conditionalFormatting sqref="A50">
    <cfRule type="cellIs" dxfId="2021"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89" orientation="portrait" r:id="rId1"/>
  <headerFooter>
    <oddHeader>&amp;C&amp;G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F6B36-CA5B-4444-9850-2DDA888E74E9}">
  <sheetPr>
    <tabColor indexed="25"/>
  </sheetPr>
  <dimension ref="A1:AN63"/>
  <sheetViews>
    <sheetView showGridLines="0" workbookViewId="0">
      <selection activeCell="Y70" sqref="Y70"/>
    </sheetView>
  </sheetViews>
  <sheetFormatPr defaultColWidth="9.140625" defaultRowHeight="11.25"/>
  <cols>
    <col min="1" max="1" width="2" style="698" customWidth="1"/>
    <col min="2" max="2" width="29.140625" style="698" customWidth="1"/>
    <col min="3" max="13" width="7.5703125" style="698" customWidth="1"/>
    <col min="14" max="16384" width="9.140625" style="698"/>
  </cols>
  <sheetData>
    <row r="1" spans="1:40" s="126" customFormat="1" ht="28.5" customHeight="1">
      <c r="A1" s="986" t="s">
        <v>774</v>
      </c>
      <c r="B1" s="986"/>
      <c r="C1" s="986"/>
      <c r="D1" s="986"/>
      <c r="E1" s="986"/>
      <c r="F1" s="986"/>
      <c r="G1" s="986"/>
      <c r="H1" s="986"/>
      <c r="I1" s="986"/>
      <c r="J1" s="986"/>
      <c r="K1" s="986"/>
      <c r="L1" s="986"/>
      <c r="M1" s="986"/>
      <c r="O1" s="673"/>
      <c r="P1" s="675"/>
      <c r="Q1" s="673"/>
      <c r="R1" s="673"/>
      <c r="S1" s="673"/>
      <c r="T1" s="673"/>
      <c r="U1" s="691"/>
      <c r="V1" s="673"/>
      <c r="W1" s="673"/>
      <c r="X1" s="673"/>
      <c r="Y1" s="673"/>
      <c r="Z1" s="673"/>
      <c r="AA1" s="673"/>
      <c r="AB1" s="673"/>
      <c r="AC1" s="673"/>
      <c r="AD1" s="673"/>
      <c r="AE1" s="673"/>
      <c r="AF1" s="673"/>
      <c r="AG1" s="673"/>
      <c r="AH1" s="673"/>
      <c r="AI1" s="673"/>
      <c r="AJ1" s="673"/>
      <c r="AK1" s="673"/>
      <c r="AL1" s="673"/>
    </row>
    <row r="2" spans="1:40" s="115" customFormat="1" ht="15" customHeight="1">
      <c r="A2" s="174"/>
      <c r="B2" s="174"/>
      <c r="C2" s="172"/>
      <c r="D2" s="172"/>
      <c r="E2" s="172"/>
      <c r="F2" s="172"/>
      <c r="G2" s="172"/>
      <c r="H2" s="172"/>
      <c r="I2" s="172"/>
      <c r="J2" s="172"/>
      <c r="K2" s="172"/>
      <c r="L2" s="172"/>
      <c r="M2" s="172"/>
      <c r="O2" s="677"/>
      <c r="P2" s="677"/>
      <c r="Q2" s="677"/>
      <c r="R2" s="677"/>
      <c r="S2" s="677"/>
      <c r="T2" s="677"/>
      <c r="U2" s="677"/>
      <c r="V2" s="677"/>
      <c r="W2" s="677"/>
      <c r="X2" s="677"/>
      <c r="Y2" s="677"/>
      <c r="Z2" s="677"/>
      <c r="AA2" s="677"/>
      <c r="AB2" s="677"/>
      <c r="AC2" s="677"/>
      <c r="AD2" s="677"/>
      <c r="AE2" s="677"/>
      <c r="AF2" s="677"/>
      <c r="AG2" s="677"/>
      <c r="AH2" s="677"/>
      <c r="AI2" s="677"/>
      <c r="AJ2" s="677"/>
      <c r="AK2" s="677"/>
      <c r="AL2" s="677"/>
    </row>
    <row r="3" spans="1:40" s="115" customFormat="1" ht="15" customHeight="1">
      <c r="A3" s="173" t="s">
        <v>41</v>
      </c>
      <c r="B3" s="175"/>
      <c r="C3" s="172"/>
      <c r="D3" s="172"/>
      <c r="E3" s="172"/>
      <c r="F3" s="172"/>
      <c r="G3" s="172"/>
      <c r="H3" s="172"/>
      <c r="I3" s="172"/>
      <c r="J3" s="172"/>
      <c r="K3" s="172"/>
      <c r="L3" s="172"/>
      <c r="M3" s="172"/>
      <c r="O3" s="677"/>
      <c r="P3" s="677"/>
      <c r="Q3" s="678"/>
      <c r="R3" s="678"/>
      <c r="S3" s="678"/>
      <c r="T3" s="678"/>
      <c r="U3" s="678"/>
      <c r="V3" s="678"/>
      <c r="W3" s="678"/>
      <c r="X3" s="678"/>
      <c r="Y3" s="678"/>
      <c r="Z3" s="678"/>
      <c r="AA3" s="678"/>
      <c r="AB3" s="677"/>
      <c r="AC3" s="677"/>
      <c r="AD3" s="677"/>
      <c r="AE3" s="677"/>
      <c r="AF3" s="677"/>
      <c r="AG3" s="677"/>
      <c r="AH3" s="677"/>
      <c r="AI3" s="677"/>
      <c r="AJ3" s="677"/>
      <c r="AK3" s="677"/>
      <c r="AL3" s="677"/>
    </row>
    <row r="4" spans="1:40" s="115" customFormat="1" ht="28.5" customHeight="1" thickBot="1">
      <c r="A4" s="203" t="s">
        <v>1</v>
      </c>
      <c r="B4" s="203"/>
      <c r="C4" s="4">
        <v>2014</v>
      </c>
      <c r="D4" s="4">
        <v>2015</v>
      </c>
      <c r="E4" s="4">
        <v>2016</v>
      </c>
      <c r="F4" s="4">
        <v>2017</v>
      </c>
      <c r="G4" s="4">
        <v>2018</v>
      </c>
      <c r="H4" s="4">
        <v>2019</v>
      </c>
      <c r="I4" s="4">
        <v>2020</v>
      </c>
      <c r="J4" s="4">
        <v>2021</v>
      </c>
      <c r="K4" s="4">
        <v>2022</v>
      </c>
      <c r="L4" s="4">
        <v>2023</v>
      </c>
      <c r="M4" s="4">
        <v>2024</v>
      </c>
      <c r="O4" s="2"/>
      <c r="P4" s="2"/>
      <c r="Q4" s="2"/>
      <c r="R4" s="2"/>
      <c r="S4" s="560">
        <f>+C4</f>
        <v>2014</v>
      </c>
      <c r="T4" s="560">
        <f t="shared" ref="T4:AA4" si="0">+D4</f>
        <v>2015</v>
      </c>
      <c r="U4" s="560">
        <f t="shared" si="0"/>
        <v>2016</v>
      </c>
      <c r="V4" s="560">
        <f t="shared" si="0"/>
        <v>2017</v>
      </c>
      <c r="W4" s="560">
        <f t="shared" si="0"/>
        <v>2018</v>
      </c>
      <c r="X4" s="560">
        <f t="shared" si="0"/>
        <v>2019</v>
      </c>
      <c r="Y4" s="560">
        <f t="shared" si="0"/>
        <v>2020</v>
      </c>
      <c r="Z4" s="560">
        <f t="shared" si="0"/>
        <v>2021</v>
      </c>
      <c r="AA4" s="560">
        <f t="shared" si="0"/>
        <v>2022</v>
      </c>
      <c r="AB4" s="560">
        <f>+L4</f>
        <v>2023</v>
      </c>
      <c r="AC4" s="560">
        <f t="shared" ref="AC4" si="1">+M4</f>
        <v>2024</v>
      </c>
      <c r="AD4" s="560">
        <f>+C4</f>
        <v>2014</v>
      </c>
      <c r="AE4" s="560">
        <f t="shared" ref="AE4:AN4" si="2">+D4</f>
        <v>2015</v>
      </c>
      <c r="AF4" s="560">
        <f t="shared" si="2"/>
        <v>2016</v>
      </c>
      <c r="AG4" s="560">
        <f t="shared" si="2"/>
        <v>2017</v>
      </c>
      <c r="AH4" s="560">
        <f t="shared" si="2"/>
        <v>2018</v>
      </c>
      <c r="AI4" s="560">
        <f t="shared" si="2"/>
        <v>2019</v>
      </c>
      <c r="AJ4" s="560">
        <f t="shared" si="2"/>
        <v>2020</v>
      </c>
      <c r="AK4" s="560">
        <f t="shared" si="2"/>
        <v>2021</v>
      </c>
      <c r="AL4" s="560">
        <f t="shared" si="2"/>
        <v>2022</v>
      </c>
      <c r="AM4" s="560">
        <f t="shared" si="2"/>
        <v>2023</v>
      </c>
      <c r="AN4" s="560">
        <f t="shared" si="2"/>
        <v>2024</v>
      </c>
    </row>
    <row r="5" spans="1:40" s="115" customFormat="1" ht="16.5" customHeight="1" thickTop="1">
      <c r="A5" s="307" t="s">
        <v>42</v>
      </c>
      <c r="B5" s="201"/>
      <c r="C5" s="5">
        <v>116849</v>
      </c>
      <c r="D5" s="5">
        <v>122910</v>
      </c>
      <c r="E5" s="5">
        <v>134443</v>
      </c>
      <c r="F5" s="5">
        <v>147756</v>
      </c>
      <c r="G5" s="5">
        <v>177438</v>
      </c>
      <c r="H5" s="5">
        <v>218982</v>
      </c>
      <c r="I5" s="5">
        <v>226327</v>
      </c>
      <c r="J5" s="5">
        <v>237058</v>
      </c>
      <c r="K5" s="5">
        <v>331528</v>
      </c>
      <c r="L5" s="5">
        <v>425463</v>
      </c>
      <c r="M5" s="5">
        <v>522990</v>
      </c>
      <c r="O5" s="419">
        <f>+M5-16779</f>
        <v>506211</v>
      </c>
      <c r="P5" s="2">
        <f>+(M5/L5-1)*100</f>
        <v>22.922557308156065</v>
      </c>
      <c r="Q5" s="419">
        <f>+M5-L5</f>
        <v>97527</v>
      </c>
      <c r="R5" s="2"/>
      <c r="S5" s="559">
        <f>C5*100/C$5</f>
        <v>100</v>
      </c>
      <c r="T5" s="559">
        <f t="shared" ref="T5:AC6" si="3">D5*100/D$5</f>
        <v>100</v>
      </c>
      <c r="U5" s="559">
        <f t="shared" si="3"/>
        <v>100</v>
      </c>
      <c r="V5" s="559">
        <f t="shared" si="3"/>
        <v>100</v>
      </c>
      <c r="W5" s="559">
        <f t="shared" si="3"/>
        <v>100</v>
      </c>
      <c r="X5" s="559">
        <f t="shared" si="3"/>
        <v>100</v>
      </c>
      <c r="Y5" s="559">
        <f t="shared" si="3"/>
        <v>100</v>
      </c>
      <c r="Z5" s="559">
        <f t="shared" si="3"/>
        <v>100</v>
      </c>
      <c r="AA5" s="559">
        <f t="shared" si="3"/>
        <v>100</v>
      </c>
      <c r="AB5" s="559">
        <f t="shared" si="3"/>
        <v>100</v>
      </c>
      <c r="AC5" s="559">
        <f t="shared" si="3"/>
        <v>100</v>
      </c>
      <c r="AD5" s="650" t="str">
        <f>+IFERROR(RANK(S5,(S$6:S$8,S$33:S$49),0),"")</f>
        <v/>
      </c>
      <c r="AE5" s="650" t="str">
        <f>+IFERROR(RANK(T5,(T$6:T$8,T$33:T$49),0),"")</f>
        <v/>
      </c>
      <c r="AF5" s="650" t="str">
        <f>+IFERROR(RANK(U5,(U$6:U$8,U$33:U$49),0),"")</f>
        <v/>
      </c>
      <c r="AG5" s="650" t="str">
        <f>+IFERROR(RANK(V5,(V$6:V$8,V$33:V$49),0),"")</f>
        <v/>
      </c>
      <c r="AH5" s="650" t="str">
        <f>+IFERROR(RANK(W5,(W$6:W$8,W$33:W$49),0),"")</f>
        <v/>
      </c>
      <c r="AI5" s="650" t="str">
        <f>+IFERROR(RANK(X5,(X$6:X$8,X$33:X$49),0),"")</f>
        <v/>
      </c>
      <c r="AJ5" s="650" t="str">
        <f>+IFERROR(RANK(Y5,(Y$6:Y$8,Y$33:Y$49),0),"")</f>
        <v/>
      </c>
      <c r="AK5" s="650" t="str">
        <f>+IFERROR(RANK(Z5,(Z$6:Z$8,Z$33:Z$49),0),"")</f>
        <v/>
      </c>
      <c r="AL5" s="650" t="str">
        <f>+IFERROR(RANK(AA5,(AA$6:AA$8,AA$33:AA$49),0),"")</f>
        <v/>
      </c>
      <c r="AM5" s="650" t="str">
        <f>+IFERROR(RANK(AB5,(AB$6:AB$8,AB$33:AB$49),0),"")</f>
        <v/>
      </c>
      <c r="AN5" s="650" t="str">
        <f>+IFERROR(RANK(AC5,(AC$6:AC$8,AC$33:AC$49),0),"")</f>
        <v/>
      </c>
    </row>
    <row r="6" spans="1:40" s="115" customFormat="1" ht="16.5" customHeight="1">
      <c r="A6" s="201" t="s">
        <v>72</v>
      </c>
      <c r="B6" s="307" t="s">
        <v>169</v>
      </c>
      <c r="C6" s="5">
        <v>7205</v>
      </c>
      <c r="D6" s="5">
        <v>7947</v>
      </c>
      <c r="E6" s="5">
        <v>9445</v>
      </c>
      <c r="F6" s="5">
        <v>10109</v>
      </c>
      <c r="G6" s="5">
        <v>12079</v>
      </c>
      <c r="H6" s="5">
        <v>14470</v>
      </c>
      <c r="I6" s="5">
        <v>19004</v>
      </c>
      <c r="J6" s="5">
        <v>18272</v>
      </c>
      <c r="K6" s="5">
        <v>22728</v>
      </c>
      <c r="L6" s="5">
        <v>26238</v>
      </c>
      <c r="M6" s="5">
        <v>31117</v>
      </c>
      <c r="O6" s="2"/>
      <c r="P6" s="2"/>
      <c r="Q6" s="2"/>
      <c r="R6" s="2"/>
      <c r="S6" s="559">
        <f t="shared" ref="S6" si="4">C6*100/C$5</f>
        <v>6.1660775873135414</v>
      </c>
      <c r="T6" s="559">
        <f t="shared" si="3"/>
        <v>6.465706614596046</v>
      </c>
      <c r="U6" s="559">
        <f t="shared" si="3"/>
        <v>7.0252820898075763</v>
      </c>
      <c r="V6" s="559">
        <f t="shared" si="3"/>
        <v>6.8416849400362763</v>
      </c>
      <c r="W6" s="559">
        <f t="shared" si="3"/>
        <v>6.8074482354399848</v>
      </c>
      <c r="X6" s="559">
        <f t="shared" si="3"/>
        <v>6.6078490469536311</v>
      </c>
      <c r="Y6" s="559">
        <f t="shared" si="3"/>
        <v>8.3967003494943153</v>
      </c>
      <c r="Z6" s="559">
        <f t="shared" si="3"/>
        <v>7.7078183398155726</v>
      </c>
      <c r="AA6" s="559">
        <f t="shared" si="3"/>
        <v>6.8555295480321421</v>
      </c>
      <c r="AB6" s="559">
        <f t="shared" si="3"/>
        <v>6.1669287341084891</v>
      </c>
      <c r="AC6" s="559">
        <f t="shared" si="3"/>
        <v>5.9498269565383657</v>
      </c>
      <c r="AD6" s="650">
        <f>+IFERROR(RANK(S6,(S$6:S$8,S$33:S$49),0),"")</f>
        <v>6</v>
      </c>
      <c r="AE6" s="650">
        <f>+IFERROR(RANK(T6,(T$6:T$8,T$33:T$49),0),"")</f>
        <v>6</v>
      </c>
      <c r="AF6" s="650">
        <f>+IFERROR(RANK(U6,(U$6:U$8,U$33:U$49),0),"")</f>
        <v>6</v>
      </c>
      <c r="AG6" s="650">
        <f>+IFERROR(RANK(V6,(V$6:V$8,V$33:V$49),0),"")</f>
        <v>6</v>
      </c>
      <c r="AH6" s="650">
        <f>+IFERROR(RANK(W6,(W$6:W$8,W$33:W$49),0),"")</f>
        <v>6</v>
      </c>
      <c r="AI6" s="650">
        <f>+IFERROR(RANK(X6,(X$6:X$8,X$33:X$49),0),"")</f>
        <v>6</v>
      </c>
      <c r="AJ6" s="650">
        <f>+IFERROR(RANK(Y6,(Y$6:Y$8,Y$33:Y$49),0),"")</f>
        <v>6</v>
      </c>
      <c r="AK6" s="650">
        <f>+IFERROR(RANK(Z6,(Z$6:Z$8,Z$33:Z$49),0),"")</f>
        <v>6</v>
      </c>
      <c r="AL6" s="650">
        <f>+IFERROR(RANK(AA6,(AA$6:AA$8,AA$33:AA$49),0),"")</f>
        <v>6</v>
      </c>
      <c r="AM6" s="650">
        <f>+IFERROR(RANK(AB6,(AB$6:AB$8,AB$33:AB$49),0),"")</f>
        <v>6</v>
      </c>
      <c r="AN6" s="650">
        <f>+IFERROR(RANK(AC6,(AC$6:AC$8,AC$33:AC$49),0),"")</f>
        <v>6</v>
      </c>
    </row>
    <row r="7" spans="1:40" s="115" customFormat="1" ht="12.75" customHeight="1">
      <c r="A7" s="201" t="s">
        <v>73</v>
      </c>
      <c r="B7" s="307" t="s">
        <v>101</v>
      </c>
      <c r="C7" s="5">
        <v>231</v>
      </c>
      <c r="D7" s="5">
        <v>229</v>
      </c>
      <c r="E7" s="5">
        <v>221</v>
      </c>
      <c r="F7" s="5">
        <v>234</v>
      </c>
      <c r="G7" s="5">
        <v>250</v>
      </c>
      <c r="H7" s="5">
        <v>276</v>
      </c>
      <c r="I7" s="5">
        <v>289</v>
      </c>
      <c r="J7" s="5">
        <v>352</v>
      </c>
      <c r="K7" s="5">
        <v>530</v>
      </c>
      <c r="L7" s="5">
        <v>741</v>
      </c>
      <c r="M7" s="5">
        <v>1039</v>
      </c>
      <c r="O7" s="677"/>
      <c r="P7" s="677"/>
      <c r="Q7" s="677"/>
      <c r="R7" s="677"/>
      <c r="S7" s="559">
        <f t="shared" ref="S7:S49" si="5">C7*100/C$5</f>
        <v>0.19769103715051048</v>
      </c>
      <c r="T7" s="559">
        <f t="shared" ref="T7:T49" si="6">D7*100/D$5</f>
        <v>0.1863151899764055</v>
      </c>
      <c r="U7" s="559">
        <f t="shared" ref="U7:U49" si="7">E7*100/E$5</f>
        <v>0.16438193137612223</v>
      </c>
      <c r="V7" s="559">
        <f t="shared" ref="V7:V49" si="8">F7*100/F$5</f>
        <v>0.15836920328108503</v>
      </c>
      <c r="W7" s="559">
        <f t="shared" ref="W7:W49" si="9">G7*100/G$5</f>
        <v>0.14089428420067854</v>
      </c>
      <c r="X7" s="559">
        <f t="shared" ref="X7:X49" si="10">H7*100/H$5</f>
        <v>0.12603775652793381</v>
      </c>
      <c r="Y7" s="559">
        <f t="shared" ref="Y7:Y49" si="11">I7*100/I$5</f>
        <v>0.12769134924246775</v>
      </c>
      <c r="Z7" s="559">
        <f t="shared" ref="Z7:Z49" si="12">J7*100/J$5</f>
        <v>0.14848686819259421</v>
      </c>
      <c r="AA7" s="559">
        <f t="shared" ref="AA7:AA49" si="13">K7*100/K$5</f>
        <v>0.15986583335344223</v>
      </c>
      <c r="AB7" s="559">
        <f t="shared" ref="AB7:AB49" si="14">L7*100/L$5</f>
        <v>0.17416320573116817</v>
      </c>
      <c r="AC7" s="559">
        <f t="shared" ref="AC7:AC49" si="15">M7*100/M$5</f>
        <v>0.19866536645060134</v>
      </c>
      <c r="AD7" s="650">
        <f>+IFERROR(RANK(S7,(S$6:S$8,S$33:S$49),0),"")</f>
        <v>17</v>
      </c>
      <c r="AE7" s="650">
        <f>+IFERROR(RANK(T7,(T$6:T$8,T$33:T$49),0),"")</f>
        <v>17</v>
      </c>
      <c r="AF7" s="650">
        <f>+IFERROR(RANK(U7,(U$6:U$8,U$33:U$49),0),"")</f>
        <v>17</v>
      </c>
      <c r="AG7" s="650">
        <f>+IFERROR(RANK(V7,(V$6:V$8,V$33:V$49),0),"")</f>
        <v>17</v>
      </c>
      <c r="AH7" s="650">
        <f>+IFERROR(RANK(W7,(W$6:W$8,W$33:W$49),0),"")</f>
        <v>17</v>
      </c>
      <c r="AI7" s="650">
        <f>+IFERROR(RANK(X7,(X$6:X$8,X$33:X$49),0),"")</f>
        <v>17</v>
      </c>
      <c r="AJ7" s="650">
        <f>+IFERROR(RANK(Y7,(Y$6:Y$8,Y$33:Y$49),0),"")</f>
        <v>17</v>
      </c>
      <c r="AK7" s="650">
        <f>+IFERROR(RANK(Z7,(Z$6:Z$8,Z$33:Z$49),0),"")</f>
        <v>17</v>
      </c>
      <c r="AL7" s="650">
        <f>+IFERROR(RANK(AA7,(AA$6:AA$8,AA$33:AA$49),0),"")</f>
        <v>17</v>
      </c>
      <c r="AM7" s="650">
        <f>+IFERROR(RANK(AB7,(AB$6:AB$8,AB$33:AB$49),0),"")</f>
        <v>17</v>
      </c>
      <c r="AN7" s="650">
        <f>+IFERROR(RANK(AC7,(AC$6:AC$8,AC$33:AC$49),0),"")</f>
        <v>17</v>
      </c>
    </row>
    <row r="8" spans="1:40" s="115" customFormat="1" ht="12.75" customHeight="1">
      <c r="A8" s="201" t="s">
        <v>74</v>
      </c>
      <c r="B8" s="307" t="s">
        <v>100</v>
      </c>
      <c r="C8" s="5">
        <v>11696</v>
      </c>
      <c r="D8" s="5">
        <v>12230</v>
      </c>
      <c r="E8" s="5">
        <v>12876</v>
      </c>
      <c r="F8" s="5">
        <v>13906</v>
      </c>
      <c r="G8" s="5">
        <v>17154</v>
      </c>
      <c r="H8" s="5">
        <v>20859</v>
      </c>
      <c r="I8" s="5">
        <v>22497</v>
      </c>
      <c r="J8" s="5">
        <v>24420</v>
      </c>
      <c r="K8" s="5">
        <v>36582</v>
      </c>
      <c r="L8" s="5">
        <v>49355</v>
      </c>
      <c r="M8" s="5">
        <v>60489</v>
      </c>
      <c r="O8" s="559">
        <f>+C8/$C$5*100</f>
        <v>10.009499439447492</v>
      </c>
      <c r="P8" s="559">
        <f>+M8/$M$5*100</f>
        <v>11.56599552572707</v>
      </c>
      <c r="Q8" s="675"/>
      <c r="R8" s="683"/>
      <c r="S8" s="559">
        <f t="shared" si="5"/>
        <v>10.009499439447492</v>
      </c>
      <c r="T8" s="559">
        <f t="shared" si="6"/>
        <v>9.950370189569604</v>
      </c>
      <c r="U8" s="559">
        <f t="shared" si="7"/>
        <v>9.5772929791807684</v>
      </c>
      <c r="V8" s="559">
        <f t="shared" si="8"/>
        <v>9.4114621402853356</v>
      </c>
      <c r="W8" s="559">
        <f t="shared" si="9"/>
        <v>9.6676022047137593</v>
      </c>
      <c r="X8" s="559">
        <f t="shared" si="10"/>
        <v>9.5254404471600402</v>
      </c>
      <c r="Y8" s="559">
        <f t="shared" si="11"/>
        <v>9.9400425048712702</v>
      </c>
      <c r="Z8" s="559">
        <f t="shared" si="12"/>
        <v>10.301276480861224</v>
      </c>
      <c r="AA8" s="559">
        <f t="shared" si="13"/>
        <v>11.034362105161556</v>
      </c>
      <c r="AB8" s="559">
        <f t="shared" si="14"/>
        <v>11.600303669179224</v>
      </c>
      <c r="AC8" s="559">
        <f t="shared" si="15"/>
        <v>11.56599552572707</v>
      </c>
      <c r="AD8" s="650">
        <f>+IFERROR(RANK(S8,(S$6:S$8,S$33:S$49),0),"")</f>
        <v>4</v>
      </c>
      <c r="AE8" s="650">
        <f>+IFERROR(RANK(T8,(T$6:T$8,T$33:T$49),0),"")</f>
        <v>4</v>
      </c>
      <c r="AF8" s="650">
        <f>+IFERROR(RANK(U8,(U$6:U$8,U$33:U$49),0),"")</f>
        <v>4</v>
      </c>
      <c r="AG8" s="650">
        <f>+IFERROR(RANK(V8,(V$6:V$8,V$33:V$49),0),"")</f>
        <v>4</v>
      </c>
      <c r="AH8" s="650">
        <f>+IFERROR(RANK(W8,(W$6:W$8,W$33:W$49),0),"")</f>
        <v>4</v>
      </c>
      <c r="AI8" s="650">
        <f>+IFERROR(RANK(X8,(X$6:X$8,X$33:X$49),0),"")</f>
        <v>5</v>
      </c>
      <c r="AJ8" s="650">
        <f>+IFERROR(RANK(Y8,(Y$6:Y$8,Y$33:Y$49),0),"")</f>
        <v>5</v>
      </c>
      <c r="AK8" s="650">
        <f>+IFERROR(RANK(Z8,(Z$6:Z$8,Z$33:Z$49),0),"")</f>
        <v>5</v>
      </c>
      <c r="AL8" s="650">
        <f>+IFERROR(RANK(AA8,(AA$6:AA$8,AA$33:AA$49),0),"")</f>
        <v>4</v>
      </c>
      <c r="AM8" s="650">
        <f>+IFERROR(RANK(AB8,(AB$6:AB$8,AB$33:AB$49),0),"")</f>
        <v>4</v>
      </c>
      <c r="AN8" s="650">
        <f>+IFERROR(RANK(AC8,(AC$6:AC$8,AC$33:AC$49),0),"")</f>
        <v>4</v>
      </c>
    </row>
    <row r="9" spans="1:40" s="115" customFormat="1" ht="12.75" customHeight="1">
      <c r="A9" s="694"/>
      <c r="B9" s="102" t="s">
        <v>87</v>
      </c>
      <c r="C9" s="606">
        <v>2895</v>
      </c>
      <c r="D9" s="606">
        <v>3253</v>
      </c>
      <c r="E9" s="606">
        <v>3408</v>
      </c>
      <c r="F9" s="606">
        <v>3845</v>
      </c>
      <c r="G9" s="606">
        <v>4723</v>
      </c>
      <c r="H9" s="606">
        <v>6223</v>
      </c>
      <c r="I9" s="606">
        <v>5999</v>
      </c>
      <c r="J9" s="606">
        <v>6389</v>
      </c>
      <c r="K9" s="606">
        <v>9033</v>
      </c>
      <c r="L9" s="606">
        <v>11700</v>
      </c>
      <c r="M9" s="606">
        <v>14393</v>
      </c>
      <c r="O9" s="559">
        <f t="shared" ref="O9:O49" si="16">+C9/$C$5*100</f>
        <v>2.4775565045486054</v>
      </c>
      <c r="P9" s="559">
        <f t="shared" ref="P9:P49" si="17">+M9/$M$5*100</f>
        <v>2.7520602688387923</v>
      </c>
      <c r="Q9" s="677"/>
      <c r="R9" s="675"/>
      <c r="S9" s="559">
        <f t="shared" si="5"/>
        <v>2.4775565045486054</v>
      </c>
      <c r="T9" s="559">
        <f t="shared" si="6"/>
        <v>2.6466520218045724</v>
      </c>
      <c r="U9" s="559">
        <f t="shared" si="7"/>
        <v>2.5349032675557672</v>
      </c>
      <c r="V9" s="559">
        <f t="shared" si="8"/>
        <v>2.6022631906656919</v>
      </c>
      <c r="W9" s="559">
        <f t="shared" si="9"/>
        <v>2.6617748171192193</v>
      </c>
      <c r="X9" s="559">
        <f t="shared" si="10"/>
        <v>2.8417860828743917</v>
      </c>
      <c r="Y9" s="559">
        <f t="shared" si="11"/>
        <v>2.6505896335832668</v>
      </c>
      <c r="Z9" s="559">
        <f t="shared" si="12"/>
        <v>2.6951210252343309</v>
      </c>
      <c r="AA9" s="559">
        <f t="shared" si="13"/>
        <v>2.7246567409087619</v>
      </c>
      <c r="AB9" s="559">
        <f t="shared" si="14"/>
        <v>2.7499453536500238</v>
      </c>
      <c r="AC9" s="559">
        <f t="shared" si="15"/>
        <v>2.7520602688387923</v>
      </c>
      <c r="AD9" s="650" t="str">
        <f>+IFERROR(RANK(S9,(S$6:S$8,S$33:S$49),0),"")</f>
        <v/>
      </c>
      <c r="AE9" s="650" t="str">
        <f>+IFERROR(RANK(T9,(T$6:T$8,T$33:T$49),0),"")</f>
        <v/>
      </c>
      <c r="AF9" s="650" t="str">
        <f>+IFERROR(RANK(U9,(U$6:U$8,U$33:U$49),0),"")</f>
        <v/>
      </c>
      <c r="AG9" s="650" t="str">
        <f>+IFERROR(RANK(V9,(V$6:V$8,V$33:V$49),0),"")</f>
        <v/>
      </c>
      <c r="AH9" s="650" t="str">
        <f>+IFERROR(RANK(W9,(W$6:W$8,W$33:W$49),0),"")</f>
        <v/>
      </c>
      <c r="AI9" s="650" t="str">
        <f>+IFERROR(RANK(X9,(X$6:X$8,X$33:X$49),0),"")</f>
        <v/>
      </c>
      <c r="AJ9" s="650" t="str">
        <f>+IFERROR(RANK(Y9,(Y$6:Y$8,Y$33:Y$49),0),"")</f>
        <v/>
      </c>
      <c r="AK9" s="650" t="str">
        <f>+IFERROR(RANK(Z9,(Z$6:Z$8,Z$33:Z$49),0),"")</f>
        <v/>
      </c>
      <c r="AL9" s="650" t="str">
        <f>+IFERROR(RANK(AA9,(AA$6:AA$8,AA$33:AA$49),0),"")</f>
        <v/>
      </c>
      <c r="AM9" s="650" t="str">
        <f>+IFERROR(RANK(AB9,(AB$6:AB$8,AB$33:AB$49),0),"")</f>
        <v/>
      </c>
      <c r="AN9" s="650" t="str">
        <f>+IFERROR(RANK(AC9,(AC$6:AC$8,AC$33:AC$49),0),"")</f>
        <v/>
      </c>
    </row>
    <row r="10" spans="1:40" s="115" customFormat="1" ht="12.75" customHeight="1">
      <c r="A10" s="694"/>
      <c r="B10" s="102" t="s">
        <v>88</v>
      </c>
      <c r="C10" s="606">
        <v>261</v>
      </c>
      <c r="D10" s="606">
        <v>235</v>
      </c>
      <c r="E10" s="606">
        <v>231</v>
      </c>
      <c r="F10" s="606">
        <v>258</v>
      </c>
      <c r="G10" s="606">
        <v>293</v>
      </c>
      <c r="H10" s="606">
        <v>338</v>
      </c>
      <c r="I10" s="606">
        <v>300</v>
      </c>
      <c r="J10" s="606">
        <v>341</v>
      </c>
      <c r="K10" s="606">
        <v>506</v>
      </c>
      <c r="L10" s="606">
        <v>619</v>
      </c>
      <c r="M10" s="606">
        <v>798</v>
      </c>
      <c r="O10" s="559">
        <f t="shared" si="16"/>
        <v>0.22336519781940797</v>
      </c>
      <c r="P10" s="559">
        <f t="shared" si="17"/>
        <v>0.15258417942981703</v>
      </c>
      <c r="Q10" s="677"/>
      <c r="R10" s="683"/>
      <c r="S10" s="559">
        <f t="shared" si="5"/>
        <v>0.22336519781940795</v>
      </c>
      <c r="T10" s="559">
        <f t="shared" si="6"/>
        <v>0.19119681067447725</v>
      </c>
      <c r="U10" s="559">
        <f t="shared" si="7"/>
        <v>0.17182002781848069</v>
      </c>
      <c r="V10" s="559">
        <f t="shared" si="8"/>
        <v>0.17461219848940143</v>
      </c>
      <c r="W10" s="559">
        <f t="shared" si="9"/>
        <v>0.16512810108319526</v>
      </c>
      <c r="X10" s="559">
        <f t="shared" si="10"/>
        <v>0.15435058589290443</v>
      </c>
      <c r="Y10" s="559">
        <f t="shared" si="11"/>
        <v>0.13255157360809802</v>
      </c>
      <c r="Z10" s="559">
        <f t="shared" si="12"/>
        <v>0.14384665356157564</v>
      </c>
      <c r="AA10" s="559">
        <f t="shared" si="13"/>
        <v>0.15262662580536185</v>
      </c>
      <c r="AB10" s="559">
        <f t="shared" si="14"/>
        <v>0.14548856187259526</v>
      </c>
      <c r="AC10" s="559">
        <f t="shared" si="15"/>
        <v>0.152584179429817</v>
      </c>
      <c r="AD10" s="650" t="str">
        <f>+IFERROR(RANK(S10,(S$6:S$8,S$33:S$49),0),"")</f>
        <v/>
      </c>
      <c r="AE10" s="650" t="str">
        <f>+IFERROR(RANK(T10,(T$6:T$8,T$33:T$49),0),"")</f>
        <v/>
      </c>
      <c r="AF10" s="650" t="str">
        <f>+IFERROR(RANK(U10,(U$6:U$8,U$33:U$49),0),"")</f>
        <v/>
      </c>
      <c r="AG10" s="650" t="str">
        <f>+IFERROR(RANK(V10,(V$6:V$8,V$33:V$49),0),"")</f>
        <v/>
      </c>
      <c r="AH10" s="650" t="str">
        <f>+IFERROR(RANK(W10,(W$6:W$8,W$33:W$49),0),"")</f>
        <v/>
      </c>
      <c r="AI10" s="650" t="str">
        <f>+IFERROR(RANK(X10,(X$6:X$8,X$33:X$49),0),"")</f>
        <v/>
      </c>
      <c r="AJ10" s="650" t="str">
        <f>+IFERROR(RANK(Y10,(Y$6:Y$8,Y$33:Y$49),0),"")</f>
        <v/>
      </c>
      <c r="AK10" s="650" t="str">
        <f>+IFERROR(RANK(Z10,(Z$6:Z$8,Z$33:Z$49),0),"")</f>
        <v/>
      </c>
      <c r="AL10" s="650" t="str">
        <f>+IFERROR(RANK(AA10,(AA$6:AA$8,AA$33:AA$49),0),"")</f>
        <v/>
      </c>
      <c r="AM10" s="650" t="str">
        <f>+IFERROR(RANK(AB10,(AB$6:AB$8,AB$33:AB$49),0),"")</f>
        <v/>
      </c>
      <c r="AN10" s="650" t="str">
        <f>+IFERROR(RANK(AC10,(AC$6:AC$8,AC$33:AC$49),0),"")</f>
        <v/>
      </c>
    </row>
    <row r="11" spans="1:40" s="115" customFormat="1" ht="12.75" customHeight="1">
      <c r="A11" s="694"/>
      <c r="B11" s="102" t="s">
        <v>89</v>
      </c>
      <c r="C11" s="606">
        <v>5</v>
      </c>
      <c r="D11" s="606">
        <v>8</v>
      </c>
      <c r="E11" s="606">
        <v>7</v>
      </c>
      <c r="F11" s="606">
        <v>10</v>
      </c>
      <c r="G11" s="606">
        <v>9</v>
      </c>
      <c r="H11" s="606">
        <v>14</v>
      </c>
      <c r="I11" s="606">
        <v>19</v>
      </c>
      <c r="J11" s="606">
        <v>20</v>
      </c>
      <c r="K11" s="606">
        <v>25</v>
      </c>
      <c r="L11" s="606">
        <v>21</v>
      </c>
      <c r="M11" s="606">
        <v>23</v>
      </c>
      <c r="O11" s="559">
        <f t="shared" si="16"/>
        <v>4.2790267781495778E-3</v>
      </c>
      <c r="P11" s="559">
        <f t="shared" si="17"/>
        <v>4.397789632688962E-3</v>
      </c>
      <c r="Q11" s="695"/>
      <c r="R11" s="683"/>
      <c r="S11" s="559">
        <f t="shared" si="5"/>
        <v>4.2790267781495778E-3</v>
      </c>
      <c r="T11" s="559">
        <f t="shared" si="6"/>
        <v>6.5088275974290134E-3</v>
      </c>
      <c r="U11" s="559">
        <f t="shared" si="7"/>
        <v>5.2066675096509299E-3</v>
      </c>
      <c r="V11" s="559">
        <f t="shared" si="8"/>
        <v>6.7679146701318388E-3</v>
      </c>
      <c r="W11" s="559">
        <f t="shared" si="9"/>
        <v>5.072194231224428E-3</v>
      </c>
      <c r="X11" s="559">
        <f t="shared" si="10"/>
        <v>6.3932195340256279E-3</v>
      </c>
      <c r="Y11" s="559">
        <f t="shared" si="11"/>
        <v>8.3949329951795403E-3</v>
      </c>
      <c r="Z11" s="559">
        <f t="shared" si="12"/>
        <v>8.4367538745792163E-3</v>
      </c>
      <c r="AA11" s="559">
        <f t="shared" si="13"/>
        <v>7.5408411959170868E-3</v>
      </c>
      <c r="AB11" s="559">
        <f t="shared" si="14"/>
        <v>4.9357993527051709E-3</v>
      </c>
      <c r="AC11" s="559">
        <f t="shared" si="15"/>
        <v>4.3977896326889612E-3</v>
      </c>
      <c r="AD11" s="650" t="str">
        <f>+IFERROR(RANK(S11,(S$6:S$8,S$33:S$49),0),"")</f>
        <v/>
      </c>
      <c r="AE11" s="650" t="str">
        <f>+IFERROR(RANK(T11,(T$6:T$8,T$33:T$49),0),"")</f>
        <v/>
      </c>
      <c r="AF11" s="650" t="str">
        <f>+IFERROR(RANK(U11,(U$6:U$8,U$33:U$49),0),"")</f>
        <v/>
      </c>
      <c r="AG11" s="650" t="str">
        <f>+IFERROR(RANK(V11,(V$6:V$8,V$33:V$49),0),"")</f>
        <v/>
      </c>
      <c r="AH11" s="650" t="str">
        <f>+IFERROR(RANK(W11,(W$6:W$8,W$33:W$49),0),"")</f>
        <v/>
      </c>
      <c r="AI11" s="650" t="str">
        <f>+IFERROR(RANK(X11,(X$6:X$8,X$33:X$49),0),"")</f>
        <v/>
      </c>
      <c r="AJ11" s="650" t="str">
        <f>+IFERROR(RANK(Y11,(Y$6:Y$8,Y$33:Y$49),0),"")</f>
        <v/>
      </c>
      <c r="AK11" s="650" t="str">
        <f>+IFERROR(RANK(Z11,(Z$6:Z$8,Z$33:Z$49),0),"")</f>
        <v/>
      </c>
      <c r="AL11" s="650" t="str">
        <f>+IFERROR(RANK(AA11,(AA$6:AA$8,AA$33:AA$49),0),"")</f>
        <v/>
      </c>
      <c r="AM11" s="650" t="str">
        <f>+IFERROR(RANK(AB11,(AB$6:AB$8,AB$33:AB$49),0),"")</f>
        <v/>
      </c>
      <c r="AN11" s="650" t="str">
        <f>+IFERROR(RANK(AC11,(AC$6:AC$8,AC$33:AC$49),0),"")</f>
        <v/>
      </c>
    </row>
    <row r="12" spans="1:40" s="115" customFormat="1" ht="12.75" customHeight="1">
      <c r="A12" s="694"/>
      <c r="B12" s="102" t="s">
        <v>0</v>
      </c>
      <c r="C12" s="606">
        <v>422</v>
      </c>
      <c r="D12" s="606">
        <v>452</v>
      </c>
      <c r="E12" s="606">
        <v>471</v>
      </c>
      <c r="F12" s="606">
        <v>465</v>
      </c>
      <c r="G12" s="606">
        <v>573</v>
      </c>
      <c r="H12" s="606">
        <v>669</v>
      </c>
      <c r="I12" s="606">
        <v>757</v>
      </c>
      <c r="J12" s="606">
        <v>864</v>
      </c>
      <c r="K12" s="606">
        <v>1408</v>
      </c>
      <c r="L12" s="606">
        <v>1892</v>
      </c>
      <c r="M12" s="606">
        <v>2305</v>
      </c>
      <c r="O12" s="559">
        <f t="shared" si="16"/>
        <v>0.36114986007582434</v>
      </c>
      <c r="P12" s="559">
        <f t="shared" si="17"/>
        <v>0.44073500449339376</v>
      </c>
      <c r="Q12" s="695"/>
      <c r="R12" s="683"/>
      <c r="S12" s="559">
        <f t="shared" si="5"/>
        <v>0.36114986007582434</v>
      </c>
      <c r="T12" s="559">
        <f t="shared" si="6"/>
        <v>0.36774875925473927</v>
      </c>
      <c r="U12" s="559">
        <f t="shared" si="7"/>
        <v>0.35033434243508399</v>
      </c>
      <c r="V12" s="559">
        <f t="shared" si="8"/>
        <v>0.31470803216113052</v>
      </c>
      <c r="W12" s="559">
        <f t="shared" si="9"/>
        <v>0.32292969938795524</v>
      </c>
      <c r="X12" s="559">
        <f t="shared" si="10"/>
        <v>0.30550456201879606</v>
      </c>
      <c r="Y12" s="559">
        <f t="shared" si="11"/>
        <v>0.33447180407110066</v>
      </c>
      <c r="Z12" s="559">
        <f t="shared" si="12"/>
        <v>0.36446776738182218</v>
      </c>
      <c r="AA12" s="559">
        <f t="shared" si="13"/>
        <v>0.42470017615405031</v>
      </c>
      <c r="AB12" s="559">
        <f t="shared" si="14"/>
        <v>0.4446920178722944</v>
      </c>
      <c r="AC12" s="559">
        <f t="shared" si="15"/>
        <v>0.44073500449339376</v>
      </c>
      <c r="AD12" s="650" t="str">
        <f>+IFERROR(RANK(S12,(S$6:S$8,S$33:S$49),0),"")</f>
        <v/>
      </c>
      <c r="AE12" s="650" t="str">
        <f>+IFERROR(RANK(T12,(T$6:T$8,T$33:T$49),0),"")</f>
        <v/>
      </c>
      <c r="AF12" s="650" t="str">
        <f>+IFERROR(RANK(U12,(U$6:U$8,U$33:U$49),0),"")</f>
        <v/>
      </c>
      <c r="AG12" s="650" t="str">
        <f>+IFERROR(RANK(V12,(V$6:V$8,V$33:V$49),0),"")</f>
        <v/>
      </c>
      <c r="AH12" s="650" t="str">
        <f>+IFERROR(RANK(W12,(W$6:W$8,W$33:W$49),0),"")</f>
        <v/>
      </c>
      <c r="AI12" s="650" t="str">
        <f>+IFERROR(RANK(X12,(X$6:X$8,X$33:X$49),0),"")</f>
        <v/>
      </c>
      <c r="AJ12" s="650" t="str">
        <f>+IFERROR(RANK(Y12,(Y$6:Y$8,Y$33:Y$49),0),"")</f>
        <v/>
      </c>
      <c r="AK12" s="650" t="str">
        <f>+IFERROR(RANK(Z12,(Z$6:Z$8,Z$33:Z$49),0),"")</f>
        <v/>
      </c>
      <c r="AL12" s="650" t="str">
        <f>+IFERROR(RANK(AA12,(AA$6:AA$8,AA$33:AA$49),0),"")</f>
        <v/>
      </c>
      <c r="AM12" s="650" t="str">
        <f>+IFERROR(RANK(AB12,(AB$6:AB$8,AB$33:AB$49),0),"")</f>
        <v/>
      </c>
      <c r="AN12" s="650" t="str">
        <f>+IFERROR(RANK(AC12,(AC$6:AC$8,AC$33:AC$49),0),"")</f>
        <v/>
      </c>
    </row>
    <row r="13" spans="1:40" s="115" customFormat="1" ht="12.75" customHeight="1">
      <c r="A13" s="694"/>
      <c r="B13" s="102" t="s">
        <v>90</v>
      </c>
      <c r="C13" s="606">
        <v>440</v>
      </c>
      <c r="D13" s="606">
        <v>440</v>
      </c>
      <c r="E13" s="606">
        <v>436</v>
      </c>
      <c r="F13" s="606">
        <v>456</v>
      </c>
      <c r="G13" s="606">
        <v>526</v>
      </c>
      <c r="H13" s="606">
        <v>606</v>
      </c>
      <c r="I13" s="606">
        <v>643</v>
      </c>
      <c r="J13" s="606">
        <v>646</v>
      </c>
      <c r="K13" s="606">
        <v>1143</v>
      </c>
      <c r="L13" s="606">
        <v>1502</v>
      </c>
      <c r="M13" s="606">
        <v>1564</v>
      </c>
      <c r="O13" s="559">
        <f t="shared" si="16"/>
        <v>0.37655435647716284</v>
      </c>
      <c r="P13" s="559">
        <f t="shared" si="17"/>
        <v>0.29904969502284939</v>
      </c>
      <c r="Q13" s="695"/>
      <c r="R13" s="683"/>
      <c r="S13" s="559">
        <f t="shared" si="5"/>
        <v>0.37655435647716284</v>
      </c>
      <c r="T13" s="559">
        <f t="shared" si="6"/>
        <v>0.35798551785859573</v>
      </c>
      <c r="U13" s="559">
        <f t="shared" si="7"/>
        <v>0.32430100488682934</v>
      </c>
      <c r="V13" s="559">
        <f t="shared" si="8"/>
        <v>0.30861690895801186</v>
      </c>
      <c r="W13" s="559">
        <f t="shared" si="9"/>
        <v>0.29644157395822768</v>
      </c>
      <c r="X13" s="559">
        <f t="shared" si="10"/>
        <v>0.27673507411568077</v>
      </c>
      <c r="Y13" s="559">
        <f t="shared" si="11"/>
        <v>0.2841022061000234</v>
      </c>
      <c r="Z13" s="559">
        <f t="shared" si="12"/>
        <v>0.27250715014890869</v>
      </c>
      <c r="AA13" s="559">
        <f t="shared" si="13"/>
        <v>0.34476725947732922</v>
      </c>
      <c r="AB13" s="559">
        <f t="shared" si="14"/>
        <v>0.35302717275062695</v>
      </c>
      <c r="AC13" s="559">
        <f t="shared" si="15"/>
        <v>0.29904969502284939</v>
      </c>
      <c r="AD13" s="650" t="str">
        <f>+IFERROR(RANK(S13,(S$6:S$8,S$33:S$49),0),"")</f>
        <v/>
      </c>
      <c r="AE13" s="650" t="str">
        <f>+IFERROR(RANK(T13,(T$6:T$8,T$33:T$49),0),"")</f>
        <v/>
      </c>
      <c r="AF13" s="650" t="str">
        <f>+IFERROR(RANK(U13,(U$6:U$8,U$33:U$49),0),"")</f>
        <v/>
      </c>
      <c r="AG13" s="650" t="str">
        <f>+IFERROR(RANK(V13,(V$6:V$8,V$33:V$49),0),"")</f>
        <v/>
      </c>
      <c r="AH13" s="650" t="str">
        <f>+IFERROR(RANK(W13,(W$6:W$8,W$33:W$49),0),"")</f>
        <v/>
      </c>
      <c r="AI13" s="650" t="str">
        <f>+IFERROR(RANK(X13,(X$6:X$8,X$33:X$49),0),"")</f>
        <v/>
      </c>
      <c r="AJ13" s="650" t="str">
        <f>+IFERROR(RANK(Y13,(Y$6:Y$8,Y$33:Y$49),0),"")</f>
        <v/>
      </c>
      <c r="AK13" s="650" t="str">
        <f>+IFERROR(RANK(Z13,(Z$6:Z$8,Z$33:Z$49),0),"")</f>
        <v/>
      </c>
      <c r="AL13" s="650" t="str">
        <f>+IFERROR(RANK(AA13,(AA$6:AA$8,AA$33:AA$49),0),"")</f>
        <v/>
      </c>
      <c r="AM13" s="650" t="str">
        <f>+IFERROR(RANK(AB13,(AB$6:AB$8,AB$33:AB$49),0),"")</f>
        <v/>
      </c>
      <c r="AN13" s="650" t="str">
        <f>+IFERROR(RANK(AC13,(AC$6:AC$8,AC$33:AC$49),0),"")</f>
        <v/>
      </c>
    </row>
    <row r="14" spans="1:40" s="115" customFormat="1" ht="12.75" customHeight="1">
      <c r="A14" s="694"/>
      <c r="B14" s="102" t="s">
        <v>143</v>
      </c>
      <c r="C14" s="606">
        <v>331</v>
      </c>
      <c r="D14" s="606">
        <v>332</v>
      </c>
      <c r="E14" s="606">
        <v>365</v>
      </c>
      <c r="F14" s="606">
        <v>348</v>
      </c>
      <c r="G14" s="606">
        <v>396</v>
      </c>
      <c r="H14" s="606">
        <v>427</v>
      </c>
      <c r="I14" s="606">
        <v>475</v>
      </c>
      <c r="J14" s="606">
        <v>614</v>
      </c>
      <c r="K14" s="606">
        <v>1270</v>
      </c>
      <c r="L14" s="606">
        <v>1538</v>
      </c>
      <c r="M14" s="606">
        <v>1414</v>
      </c>
      <c r="O14" s="559">
        <f t="shared" si="16"/>
        <v>0.28327157271350206</v>
      </c>
      <c r="P14" s="559">
        <f t="shared" si="17"/>
        <v>0.27036845828792139</v>
      </c>
      <c r="Q14" s="695"/>
      <c r="R14" s="683"/>
      <c r="S14" s="559">
        <f t="shared" si="5"/>
        <v>0.28327157271350206</v>
      </c>
      <c r="T14" s="559">
        <f t="shared" si="6"/>
        <v>0.27011634529330403</v>
      </c>
      <c r="U14" s="559">
        <f t="shared" si="7"/>
        <v>0.27149052014608421</v>
      </c>
      <c r="V14" s="559">
        <f t="shared" si="8"/>
        <v>0.235523430520588</v>
      </c>
      <c r="W14" s="559">
        <f t="shared" si="9"/>
        <v>0.22317654617387481</v>
      </c>
      <c r="X14" s="559">
        <f t="shared" si="10"/>
        <v>0.19499319578778165</v>
      </c>
      <c r="Y14" s="559">
        <f t="shared" si="11"/>
        <v>0.20987332487948854</v>
      </c>
      <c r="Z14" s="559">
        <f t="shared" si="12"/>
        <v>0.25900834394958194</v>
      </c>
      <c r="AA14" s="559">
        <f t="shared" si="13"/>
        <v>0.38307473275258802</v>
      </c>
      <c r="AB14" s="559">
        <f t="shared" si="14"/>
        <v>0.36148854306955014</v>
      </c>
      <c r="AC14" s="559">
        <f t="shared" si="15"/>
        <v>0.27036845828792139</v>
      </c>
      <c r="AD14" s="650" t="str">
        <f>+IFERROR(RANK(S14,(S$6:S$8,S$33:S$49),0),"")</f>
        <v/>
      </c>
      <c r="AE14" s="650" t="str">
        <f>+IFERROR(RANK(T14,(T$6:T$8,T$33:T$49),0),"")</f>
        <v/>
      </c>
      <c r="AF14" s="650" t="str">
        <f>+IFERROR(RANK(U14,(U$6:U$8,U$33:U$49),0),"")</f>
        <v/>
      </c>
      <c r="AG14" s="650" t="str">
        <f>+IFERROR(RANK(V14,(V$6:V$8,V$33:V$49),0),"")</f>
        <v/>
      </c>
      <c r="AH14" s="650" t="str">
        <f>+IFERROR(RANK(W14,(W$6:W$8,W$33:W$49),0),"")</f>
        <v/>
      </c>
      <c r="AI14" s="650" t="str">
        <f>+IFERROR(RANK(X14,(X$6:X$8,X$33:X$49),0),"")</f>
        <v/>
      </c>
      <c r="AJ14" s="650" t="str">
        <f>+IFERROR(RANK(Y14,(Y$6:Y$8,Y$33:Y$49),0),"")</f>
        <v/>
      </c>
      <c r="AK14" s="650" t="str">
        <f>+IFERROR(RANK(Z14,(Z$6:Z$8,Z$33:Z$49),0),"")</f>
        <v/>
      </c>
      <c r="AL14" s="650" t="str">
        <f>+IFERROR(RANK(AA14,(AA$6:AA$8,AA$33:AA$49),0),"")</f>
        <v/>
      </c>
      <c r="AM14" s="650" t="str">
        <f>+IFERROR(RANK(AB14,(AB$6:AB$8,AB$33:AB$49),0),"")</f>
        <v/>
      </c>
      <c r="AN14" s="650" t="str">
        <f>+IFERROR(RANK(AC14,(AC$6:AC$8,AC$33:AC$49),0),"")</f>
        <v/>
      </c>
    </row>
    <row r="15" spans="1:40" s="115" customFormat="1" ht="12.75" customHeight="1">
      <c r="A15" s="694"/>
      <c r="B15" s="102" t="s">
        <v>144</v>
      </c>
      <c r="C15" s="606">
        <v>402</v>
      </c>
      <c r="D15" s="606">
        <v>393</v>
      </c>
      <c r="E15" s="606">
        <v>357</v>
      </c>
      <c r="F15" s="606">
        <v>384</v>
      </c>
      <c r="G15" s="606">
        <v>446</v>
      </c>
      <c r="H15" s="606">
        <v>585</v>
      </c>
      <c r="I15" s="606">
        <v>603</v>
      </c>
      <c r="J15" s="606">
        <v>681</v>
      </c>
      <c r="K15" s="606">
        <v>1026</v>
      </c>
      <c r="L15" s="606">
        <v>1256</v>
      </c>
      <c r="M15" s="606">
        <v>1605</v>
      </c>
      <c r="O15" s="559">
        <f t="shared" si="16"/>
        <v>0.34403375296322602</v>
      </c>
      <c r="P15" s="559">
        <f t="shared" si="17"/>
        <v>0.30688923306372973</v>
      </c>
      <c r="Q15" s="695"/>
      <c r="R15" s="683"/>
      <c r="S15" s="559">
        <f t="shared" si="5"/>
        <v>0.34403375296322602</v>
      </c>
      <c r="T15" s="559">
        <f t="shared" si="6"/>
        <v>0.31974615572370024</v>
      </c>
      <c r="U15" s="559">
        <f t="shared" si="7"/>
        <v>0.26554004299219741</v>
      </c>
      <c r="V15" s="559">
        <f t="shared" si="8"/>
        <v>0.2598879233330626</v>
      </c>
      <c r="W15" s="559">
        <f t="shared" si="9"/>
        <v>0.25135540301401055</v>
      </c>
      <c r="X15" s="559">
        <f t="shared" si="10"/>
        <v>0.2671452448146423</v>
      </c>
      <c r="Y15" s="559">
        <f t="shared" si="11"/>
        <v>0.26642866295227702</v>
      </c>
      <c r="Z15" s="559">
        <f t="shared" si="12"/>
        <v>0.28727146942942233</v>
      </c>
      <c r="AA15" s="559">
        <f t="shared" si="13"/>
        <v>0.30947612268043723</v>
      </c>
      <c r="AB15" s="559">
        <f t="shared" si="14"/>
        <v>0.29520780890465209</v>
      </c>
      <c r="AC15" s="559">
        <f t="shared" si="15"/>
        <v>0.30688923306372973</v>
      </c>
      <c r="AD15" s="650" t="str">
        <f>+IFERROR(RANK(S15,(S$6:S$8,S$33:S$49),0),"")</f>
        <v/>
      </c>
      <c r="AE15" s="650" t="str">
        <f>+IFERROR(RANK(T15,(T$6:T$8,T$33:T$49),0),"")</f>
        <v/>
      </c>
      <c r="AF15" s="650" t="str">
        <f>+IFERROR(RANK(U15,(U$6:U$8,U$33:U$49),0),"")</f>
        <v/>
      </c>
      <c r="AG15" s="650" t="str">
        <f>+IFERROR(RANK(V15,(V$6:V$8,V$33:V$49),0),"")</f>
        <v/>
      </c>
      <c r="AH15" s="650" t="str">
        <f>+IFERROR(RANK(W15,(W$6:W$8,W$33:W$49),0),"")</f>
        <v/>
      </c>
      <c r="AI15" s="650" t="str">
        <f>+IFERROR(RANK(X15,(X$6:X$8,X$33:X$49),0),"")</f>
        <v/>
      </c>
      <c r="AJ15" s="650" t="str">
        <f>+IFERROR(RANK(Y15,(Y$6:Y$8,Y$33:Y$49),0),"")</f>
        <v/>
      </c>
      <c r="AK15" s="650" t="str">
        <f>+IFERROR(RANK(Z15,(Z$6:Z$8,Z$33:Z$49),0),"")</f>
        <v/>
      </c>
      <c r="AL15" s="650" t="str">
        <f>+IFERROR(RANK(AA15,(AA$6:AA$8,AA$33:AA$49),0),"")</f>
        <v/>
      </c>
      <c r="AM15" s="650" t="str">
        <f>+IFERROR(RANK(AB15,(AB$6:AB$8,AB$33:AB$49),0),"")</f>
        <v/>
      </c>
      <c r="AN15" s="650" t="str">
        <f>+IFERROR(RANK(AC15,(AC$6:AC$8,AC$33:AC$49),0),"")</f>
        <v/>
      </c>
    </row>
    <row r="16" spans="1:40" s="115" customFormat="1" ht="12.75" customHeight="1">
      <c r="A16" s="694"/>
      <c r="B16" s="102" t="s">
        <v>145</v>
      </c>
      <c r="C16" s="606">
        <v>197</v>
      </c>
      <c r="D16" s="606">
        <v>194</v>
      </c>
      <c r="E16" s="606">
        <v>217</v>
      </c>
      <c r="F16" s="606">
        <v>224</v>
      </c>
      <c r="G16" s="606">
        <v>255</v>
      </c>
      <c r="H16" s="606">
        <v>340</v>
      </c>
      <c r="I16" s="606">
        <v>403</v>
      </c>
      <c r="J16" s="606">
        <v>484</v>
      </c>
      <c r="K16" s="606">
        <v>664</v>
      </c>
      <c r="L16" s="606">
        <v>835</v>
      </c>
      <c r="M16" s="606">
        <v>936</v>
      </c>
      <c r="O16" s="559">
        <f t="shared" si="16"/>
        <v>0.16859365505909335</v>
      </c>
      <c r="P16" s="559">
        <f t="shared" si="17"/>
        <v>0.17897091722595079</v>
      </c>
      <c r="Q16" s="695"/>
      <c r="R16" s="683"/>
      <c r="S16" s="559">
        <f t="shared" si="5"/>
        <v>0.16859365505909335</v>
      </c>
      <c r="T16" s="559">
        <f t="shared" si="6"/>
        <v>0.15783906923765356</v>
      </c>
      <c r="U16" s="559">
        <f t="shared" si="7"/>
        <v>0.16140669279917882</v>
      </c>
      <c r="V16" s="559">
        <f t="shared" si="8"/>
        <v>0.15160128861095321</v>
      </c>
      <c r="W16" s="559">
        <f t="shared" si="9"/>
        <v>0.14371216988469213</v>
      </c>
      <c r="X16" s="559">
        <f t="shared" si="10"/>
        <v>0.15526390296919382</v>
      </c>
      <c r="Y16" s="559">
        <f t="shared" si="11"/>
        <v>0.17806094721354501</v>
      </c>
      <c r="Z16" s="559">
        <f t="shared" si="12"/>
        <v>0.20416944376481705</v>
      </c>
      <c r="AA16" s="559">
        <f t="shared" si="13"/>
        <v>0.20028474216355782</v>
      </c>
      <c r="AB16" s="559">
        <f t="shared" si="14"/>
        <v>0.19625678378613418</v>
      </c>
      <c r="AC16" s="559">
        <f t="shared" si="15"/>
        <v>0.17897091722595079</v>
      </c>
      <c r="AD16" s="650" t="str">
        <f>+IFERROR(RANK(S16,(S$6:S$8,S$33:S$49),0),"")</f>
        <v/>
      </c>
      <c r="AE16" s="650" t="str">
        <f>+IFERROR(RANK(T16,(T$6:T$8,T$33:T$49),0),"")</f>
        <v/>
      </c>
      <c r="AF16" s="650" t="str">
        <f>+IFERROR(RANK(U16,(U$6:U$8,U$33:U$49),0),"")</f>
        <v/>
      </c>
      <c r="AG16" s="650" t="str">
        <f>+IFERROR(RANK(V16,(V$6:V$8,V$33:V$49),0),"")</f>
        <v/>
      </c>
      <c r="AH16" s="650" t="str">
        <f>+IFERROR(RANK(W16,(W$6:W$8,W$33:W$49),0),"")</f>
        <v/>
      </c>
      <c r="AI16" s="650" t="str">
        <f>+IFERROR(RANK(X16,(X$6:X$8,X$33:X$49),0),"")</f>
        <v/>
      </c>
      <c r="AJ16" s="650" t="str">
        <f>+IFERROR(RANK(Y16,(Y$6:Y$8,Y$33:Y$49),0),"")</f>
        <v/>
      </c>
      <c r="AK16" s="650" t="str">
        <f>+IFERROR(RANK(Z16,(Z$6:Z$8,Z$33:Z$49),0),"")</f>
        <v/>
      </c>
      <c r="AL16" s="650" t="str">
        <f>+IFERROR(RANK(AA16,(AA$6:AA$8,AA$33:AA$49),0),"")</f>
        <v/>
      </c>
      <c r="AM16" s="650" t="str">
        <f>+IFERROR(RANK(AB16,(AB$6:AB$8,AB$33:AB$49),0),"")</f>
        <v/>
      </c>
      <c r="AN16" s="650" t="str">
        <f>+IFERROR(RANK(AC16,(AC$6:AC$8,AC$33:AC$49),0),"")</f>
        <v/>
      </c>
    </row>
    <row r="17" spans="1:40" s="115" customFormat="1" ht="12.75" customHeight="1">
      <c r="A17" s="694"/>
      <c r="B17" s="102" t="s">
        <v>146</v>
      </c>
      <c r="C17" s="606">
        <v>209</v>
      </c>
      <c r="D17" s="606">
        <v>186</v>
      </c>
      <c r="E17" s="606">
        <v>192</v>
      </c>
      <c r="F17" s="606">
        <v>204</v>
      </c>
      <c r="G17" s="606">
        <v>251</v>
      </c>
      <c r="H17" s="606">
        <v>300</v>
      </c>
      <c r="I17" s="606">
        <v>294</v>
      </c>
      <c r="J17" s="606">
        <v>290</v>
      </c>
      <c r="K17" s="606">
        <v>395</v>
      </c>
      <c r="L17" s="606">
        <v>434</v>
      </c>
      <c r="M17" s="606">
        <v>564</v>
      </c>
      <c r="O17" s="559">
        <f t="shared" si="16"/>
        <v>0.17886331932665234</v>
      </c>
      <c r="P17" s="559">
        <f t="shared" si="17"/>
        <v>0.10784145012332931</v>
      </c>
      <c r="Q17" s="695"/>
      <c r="R17" s="683"/>
      <c r="S17" s="559">
        <f t="shared" si="5"/>
        <v>0.17886331932665234</v>
      </c>
      <c r="T17" s="559">
        <f t="shared" si="6"/>
        <v>0.15133024164022454</v>
      </c>
      <c r="U17" s="559">
        <f t="shared" si="7"/>
        <v>0.14281145169328266</v>
      </c>
      <c r="V17" s="559">
        <f t="shared" si="8"/>
        <v>0.13806545927068953</v>
      </c>
      <c r="W17" s="559">
        <f t="shared" si="9"/>
        <v>0.14145786133748126</v>
      </c>
      <c r="X17" s="559">
        <f t="shared" si="10"/>
        <v>0.1369975614434063</v>
      </c>
      <c r="Y17" s="559">
        <f t="shared" si="11"/>
        <v>0.12990054213593605</v>
      </c>
      <c r="Z17" s="559">
        <f t="shared" si="12"/>
        <v>0.12233293118139865</v>
      </c>
      <c r="AA17" s="559">
        <f t="shared" si="13"/>
        <v>0.11914529089548997</v>
      </c>
      <c r="AB17" s="559">
        <f t="shared" si="14"/>
        <v>0.10200651995590686</v>
      </c>
      <c r="AC17" s="559">
        <f t="shared" si="15"/>
        <v>0.10784145012332932</v>
      </c>
      <c r="AD17" s="650" t="str">
        <f>+IFERROR(RANK(S17,(S$6:S$8,S$33:S$49),0),"")</f>
        <v/>
      </c>
      <c r="AE17" s="650" t="str">
        <f>+IFERROR(RANK(T17,(T$6:T$8,T$33:T$49),0),"")</f>
        <v/>
      </c>
      <c r="AF17" s="650" t="str">
        <f>+IFERROR(RANK(U17,(U$6:U$8,U$33:U$49),0),"")</f>
        <v/>
      </c>
      <c r="AG17" s="650" t="str">
        <f>+IFERROR(RANK(V17,(V$6:V$8,V$33:V$49),0),"")</f>
        <v/>
      </c>
      <c r="AH17" s="650" t="str">
        <f>+IFERROR(RANK(W17,(W$6:W$8,W$33:W$49),0),"")</f>
        <v/>
      </c>
      <c r="AI17" s="650" t="str">
        <f>+IFERROR(RANK(X17,(X$6:X$8,X$33:X$49),0),"")</f>
        <v/>
      </c>
      <c r="AJ17" s="650" t="str">
        <f>+IFERROR(RANK(Y17,(Y$6:Y$8,Y$33:Y$49),0),"")</f>
        <v/>
      </c>
      <c r="AK17" s="650" t="str">
        <f>+IFERROR(RANK(Z17,(Z$6:Z$8,Z$33:Z$49),0),"")</f>
        <v/>
      </c>
      <c r="AL17" s="650" t="str">
        <f>+IFERROR(RANK(AA17,(AA$6:AA$8,AA$33:AA$49),0),"")</f>
        <v/>
      </c>
      <c r="AM17" s="650" t="str">
        <f>+IFERROR(RANK(AB17,(AB$6:AB$8,AB$33:AB$49),0),"")</f>
        <v/>
      </c>
      <c r="AN17" s="650" t="str">
        <f>+IFERROR(RANK(AC17,(AC$6:AC$8,AC$33:AC$49),0),"")</f>
        <v/>
      </c>
    </row>
    <row r="18" spans="1:40" s="115" customFormat="1" ht="12.75" customHeight="1">
      <c r="A18" s="694"/>
      <c r="B18" s="102" t="s">
        <v>147</v>
      </c>
      <c r="C18" s="606">
        <v>16</v>
      </c>
      <c r="D18" s="606">
        <v>15</v>
      </c>
      <c r="E18" s="606">
        <v>15</v>
      </c>
      <c r="F18" s="606">
        <v>14</v>
      </c>
      <c r="G18" s="606">
        <v>15</v>
      </c>
      <c r="H18" s="606">
        <v>15</v>
      </c>
      <c r="I18" s="606">
        <v>12</v>
      </c>
      <c r="J18" s="606">
        <v>9</v>
      </c>
      <c r="K18" s="606">
        <v>32</v>
      </c>
      <c r="L18" s="606">
        <v>60</v>
      </c>
      <c r="M18" s="606">
        <v>22</v>
      </c>
      <c r="O18" s="559">
        <f t="shared" si="16"/>
        <v>1.3692885690078649E-2</v>
      </c>
      <c r="P18" s="559">
        <f t="shared" si="17"/>
        <v>4.2065813877894412E-3</v>
      </c>
      <c r="Q18" s="695"/>
      <c r="R18" s="683"/>
      <c r="S18" s="559">
        <f t="shared" si="5"/>
        <v>1.3692885690078649E-2</v>
      </c>
      <c r="T18" s="559">
        <f t="shared" si="6"/>
        <v>1.22040517451794E-2</v>
      </c>
      <c r="U18" s="559">
        <f t="shared" si="7"/>
        <v>1.1157144663537708E-2</v>
      </c>
      <c r="V18" s="559">
        <f t="shared" si="8"/>
        <v>9.4750805381845753E-3</v>
      </c>
      <c r="W18" s="559">
        <f t="shared" si="9"/>
        <v>8.4536570520407136E-3</v>
      </c>
      <c r="X18" s="559">
        <f t="shared" si="10"/>
        <v>6.8498780721703151E-3</v>
      </c>
      <c r="Y18" s="559">
        <f t="shared" si="11"/>
        <v>5.3020629443239209E-3</v>
      </c>
      <c r="Z18" s="559">
        <f t="shared" si="12"/>
        <v>3.7965392435606476E-3</v>
      </c>
      <c r="AA18" s="559">
        <f t="shared" si="13"/>
        <v>9.6522767307738715E-3</v>
      </c>
      <c r="AB18" s="559">
        <f t="shared" si="14"/>
        <v>1.4102283864871916E-2</v>
      </c>
      <c r="AC18" s="559">
        <f t="shared" si="15"/>
        <v>4.2065813877894412E-3</v>
      </c>
      <c r="AD18" s="650" t="str">
        <f>+IFERROR(RANK(S18,(S$6:S$8,S$33:S$49),0),"")</f>
        <v/>
      </c>
      <c r="AE18" s="650">
        <f>+IFERROR(RANK(T18,(T$6:T$8,T$33:T$49),0),"")</f>
        <v>20</v>
      </c>
      <c r="AF18" s="650">
        <f>+IFERROR(RANK(U18,(U$6:U$8,U$33:U$49),0),"")</f>
        <v>20</v>
      </c>
      <c r="AG18" s="650" t="str">
        <f>+IFERROR(RANK(V18,(V$6:V$8,V$33:V$49),0),"")</f>
        <v/>
      </c>
      <c r="AH18" s="650" t="str">
        <f>+IFERROR(RANK(W18,(W$6:W$8,W$33:W$49),0),"")</f>
        <v/>
      </c>
      <c r="AI18" s="650" t="str">
        <f>+IFERROR(RANK(X18,(X$6:X$8,X$33:X$49),0),"")</f>
        <v/>
      </c>
      <c r="AJ18" s="650" t="str">
        <f>+IFERROR(RANK(Y18,(Y$6:Y$8,Y$33:Y$49),0),"")</f>
        <v/>
      </c>
      <c r="AK18" s="650" t="str">
        <f>+IFERROR(RANK(Z18,(Z$6:Z$8,Z$33:Z$49),0),"")</f>
        <v/>
      </c>
      <c r="AL18" s="650" t="str">
        <f>+IFERROR(RANK(AA18,(AA$6:AA$8,AA$33:AA$49),0),"")</f>
        <v/>
      </c>
      <c r="AM18" s="650" t="str">
        <f>+IFERROR(RANK(AB18,(AB$6:AB$8,AB$33:AB$49),0),"")</f>
        <v/>
      </c>
      <c r="AN18" s="650" t="str">
        <f>+IFERROR(RANK(AC18,(AC$6:AC$8,AC$33:AC$49),0),"")</f>
        <v/>
      </c>
    </row>
    <row r="19" spans="1:40" s="115" customFormat="1" ht="12.75" customHeight="1">
      <c r="A19" s="694"/>
      <c r="B19" s="102" t="s">
        <v>148</v>
      </c>
      <c r="C19" s="606">
        <v>254</v>
      </c>
      <c r="D19" s="606">
        <v>243</v>
      </c>
      <c r="E19" s="606">
        <v>242</v>
      </c>
      <c r="F19" s="606">
        <v>249</v>
      </c>
      <c r="G19" s="606">
        <v>270</v>
      </c>
      <c r="H19" s="606">
        <v>293</v>
      </c>
      <c r="I19" s="606">
        <v>354</v>
      </c>
      <c r="J19" s="606">
        <v>454</v>
      </c>
      <c r="K19" s="606">
        <v>517</v>
      </c>
      <c r="L19" s="606">
        <v>788</v>
      </c>
      <c r="M19" s="606">
        <v>891</v>
      </c>
      <c r="O19" s="559">
        <f t="shared" si="16"/>
        <v>0.21737456032999855</v>
      </c>
      <c r="P19" s="559">
        <f t="shared" si="17"/>
        <v>0.17036654620547237</v>
      </c>
      <c r="Q19" s="695"/>
      <c r="R19" s="683"/>
      <c r="S19" s="559">
        <f t="shared" si="5"/>
        <v>0.21737456032999855</v>
      </c>
      <c r="T19" s="559">
        <f t="shared" si="6"/>
        <v>0.19770563827190626</v>
      </c>
      <c r="U19" s="559">
        <f t="shared" si="7"/>
        <v>0.18000193390507502</v>
      </c>
      <c r="V19" s="559">
        <f t="shared" si="8"/>
        <v>0.1685210752862828</v>
      </c>
      <c r="W19" s="559">
        <f t="shared" si="9"/>
        <v>0.15216582693673283</v>
      </c>
      <c r="X19" s="559">
        <f t="shared" si="10"/>
        <v>0.1338009516763935</v>
      </c>
      <c r="Y19" s="559">
        <f t="shared" si="11"/>
        <v>0.15641085685755565</v>
      </c>
      <c r="Z19" s="559">
        <f t="shared" si="12"/>
        <v>0.19151431295294821</v>
      </c>
      <c r="AA19" s="559">
        <f t="shared" si="13"/>
        <v>0.15594459593156537</v>
      </c>
      <c r="AB19" s="559">
        <f t="shared" si="14"/>
        <v>0.18520999475865116</v>
      </c>
      <c r="AC19" s="559">
        <f t="shared" si="15"/>
        <v>0.17036654620547237</v>
      </c>
      <c r="AD19" s="650" t="str">
        <f>+IFERROR(RANK(S19,(S$6:S$8,S$33:S$49),0),"")</f>
        <v/>
      </c>
      <c r="AE19" s="650" t="str">
        <f>+IFERROR(RANK(T19,(T$6:T$8,T$33:T$49),0),"")</f>
        <v/>
      </c>
      <c r="AF19" s="650" t="str">
        <f>+IFERROR(RANK(U19,(U$6:U$8,U$33:U$49),0),"")</f>
        <v/>
      </c>
      <c r="AG19" s="650" t="str">
        <f>+IFERROR(RANK(V19,(V$6:V$8,V$33:V$49),0),"")</f>
        <v/>
      </c>
      <c r="AH19" s="650" t="str">
        <f>+IFERROR(RANK(W19,(W$6:W$8,W$33:W$49),0),"")</f>
        <v/>
      </c>
      <c r="AI19" s="650" t="str">
        <f>+IFERROR(RANK(X19,(X$6:X$8,X$33:X$49),0),"")</f>
        <v/>
      </c>
      <c r="AJ19" s="650" t="str">
        <f>+IFERROR(RANK(Y19,(Y$6:Y$8,Y$33:Y$49),0),"")</f>
        <v/>
      </c>
      <c r="AK19" s="650" t="str">
        <f>+IFERROR(RANK(Z19,(Z$6:Z$8,Z$33:Z$49),0),"")</f>
        <v/>
      </c>
      <c r="AL19" s="650" t="str">
        <f>+IFERROR(RANK(AA19,(AA$6:AA$8,AA$33:AA$49),0),"")</f>
        <v/>
      </c>
      <c r="AM19" s="650" t="str">
        <f>+IFERROR(RANK(AB19,(AB$6:AB$8,AB$33:AB$49),0),"")</f>
        <v/>
      </c>
      <c r="AN19" s="650" t="str">
        <f>+IFERROR(RANK(AC19,(AC$6:AC$8,AC$33:AC$49),0),"")</f>
        <v/>
      </c>
    </row>
    <row r="20" spans="1:40" s="115" customFormat="1" ht="12.75" customHeight="1">
      <c r="A20" s="694"/>
      <c r="B20" s="102" t="s">
        <v>157</v>
      </c>
      <c r="C20" s="606">
        <v>100</v>
      </c>
      <c r="D20" s="606">
        <v>96</v>
      </c>
      <c r="E20" s="606">
        <v>115</v>
      </c>
      <c r="F20" s="606">
        <v>139</v>
      </c>
      <c r="G20" s="606">
        <v>183</v>
      </c>
      <c r="H20" s="606">
        <v>233</v>
      </c>
      <c r="I20" s="606">
        <v>307</v>
      </c>
      <c r="J20" s="606">
        <v>354</v>
      </c>
      <c r="K20" s="606">
        <v>489</v>
      </c>
      <c r="L20" s="606">
        <v>634</v>
      </c>
      <c r="M20" s="606">
        <v>748</v>
      </c>
      <c r="O20" s="559">
        <f t="shared" si="16"/>
        <v>8.5580535562991555E-2</v>
      </c>
      <c r="P20" s="559">
        <f t="shared" si="17"/>
        <v>0.143023767184841</v>
      </c>
      <c r="Q20" s="695"/>
      <c r="R20" s="683"/>
      <c r="S20" s="559">
        <f t="shared" si="5"/>
        <v>8.5580535562991555E-2</v>
      </c>
      <c r="T20" s="559">
        <f t="shared" si="6"/>
        <v>7.8105931169148157E-2</v>
      </c>
      <c r="U20" s="559">
        <f t="shared" si="7"/>
        <v>8.5538109087122421E-2</v>
      </c>
      <c r="V20" s="559">
        <f t="shared" si="8"/>
        <v>9.4074013914832555E-2</v>
      </c>
      <c r="W20" s="559">
        <f t="shared" si="9"/>
        <v>0.1031346160348967</v>
      </c>
      <c r="X20" s="559">
        <f t="shared" si="10"/>
        <v>0.10640143938771224</v>
      </c>
      <c r="Y20" s="559">
        <f t="shared" si="11"/>
        <v>0.13564444365895365</v>
      </c>
      <c r="Z20" s="559">
        <f t="shared" si="12"/>
        <v>0.14933054358005213</v>
      </c>
      <c r="AA20" s="559">
        <f t="shared" si="13"/>
        <v>0.14749885379213823</v>
      </c>
      <c r="AB20" s="559">
        <f t="shared" si="14"/>
        <v>0.14901413283881323</v>
      </c>
      <c r="AC20" s="559">
        <f t="shared" si="15"/>
        <v>0.143023767184841</v>
      </c>
      <c r="AD20" s="650" t="str">
        <f>+IFERROR(RANK(S20,(S$6:S$8,S$33:S$49),0),"")</f>
        <v/>
      </c>
      <c r="AE20" s="650" t="str">
        <f>+IFERROR(RANK(T20,(T$6:T$8,T$33:T$49),0),"")</f>
        <v/>
      </c>
      <c r="AF20" s="650" t="str">
        <f>+IFERROR(RANK(U20,(U$6:U$8,U$33:U$49),0),"")</f>
        <v/>
      </c>
      <c r="AG20" s="650" t="str">
        <f>+IFERROR(RANK(V20,(V$6:V$8,V$33:V$49),0),"")</f>
        <v/>
      </c>
      <c r="AH20" s="650" t="str">
        <f>+IFERROR(RANK(W20,(W$6:W$8,W$33:W$49),0),"")</f>
        <v/>
      </c>
      <c r="AI20" s="650" t="str">
        <f>+IFERROR(RANK(X20,(X$6:X$8,X$33:X$49),0),"")</f>
        <v/>
      </c>
      <c r="AJ20" s="650" t="str">
        <f>+IFERROR(RANK(Y20,(Y$6:Y$8,Y$33:Y$49),0),"")</f>
        <v/>
      </c>
      <c r="AK20" s="650" t="str">
        <f>+IFERROR(RANK(Z20,(Z$6:Z$8,Z$33:Z$49),0),"")</f>
        <v/>
      </c>
      <c r="AL20" s="650" t="str">
        <f>+IFERROR(RANK(AA20,(AA$6:AA$8,AA$33:AA$49),0),"")</f>
        <v/>
      </c>
      <c r="AM20" s="650" t="str">
        <f>+IFERROR(RANK(AB20,(AB$6:AB$8,AB$33:AB$49),0),"")</f>
        <v/>
      </c>
      <c r="AN20" s="650" t="str">
        <f>+IFERROR(RANK(AC20,(AC$6:AC$8,AC$33:AC$49),0),"")</f>
        <v/>
      </c>
    </row>
    <row r="21" spans="1:40" s="115" customFormat="1" ht="12.75" customHeight="1">
      <c r="A21" s="694"/>
      <c r="B21" s="102" t="s">
        <v>149</v>
      </c>
      <c r="C21" s="606">
        <v>536</v>
      </c>
      <c r="D21" s="606">
        <v>517</v>
      </c>
      <c r="E21" s="606">
        <v>545</v>
      </c>
      <c r="F21" s="606">
        <v>650</v>
      </c>
      <c r="G21" s="606">
        <v>705</v>
      </c>
      <c r="H21" s="606">
        <v>833</v>
      </c>
      <c r="I21" s="606">
        <v>992</v>
      </c>
      <c r="J21" s="606">
        <v>1097</v>
      </c>
      <c r="K21" s="606">
        <v>1542</v>
      </c>
      <c r="L21" s="606">
        <v>1921</v>
      </c>
      <c r="M21" s="606">
        <v>2744</v>
      </c>
      <c r="O21" s="559">
        <f t="shared" si="16"/>
        <v>0.45871167061763468</v>
      </c>
      <c r="P21" s="559">
        <f t="shared" si="17"/>
        <v>0.52467542400428302</v>
      </c>
      <c r="Q21" s="695"/>
      <c r="R21" s="683"/>
      <c r="S21" s="559">
        <f t="shared" si="5"/>
        <v>0.45871167061763474</v>
      </c>
      <c r="T21" s="559">
        <f t="shared" si="6"/>
        <v>0.42063298348384998</v>
      </c>
      <c r="U21" s="559">
        <f t="shared" si="7"/>
        <v>0.40537625610853673</v>
      </c>
      <c r="V21" s="559">
        <f t="shared" si="8"/>
        <v>0.43991445355856951</v>
      </c>
      <c r="W21" s="559">
        <f t="shared" si="9"/>
        <v>0.39732188144591352</v>
      </c>
      <c r="X21" s="559">
        <f t="shared" si="10"/>
        <v>0.38039656227452484</v>
      </c>
      <c r="Y21" s="559">
        <f t="shared" si="11"/>
        <v>0.43830387006411076</v>
      </c>
      <c r="Z21" s="559">
        <f t="shared" si="12"/>
        <v>0.46275595002067005</v>
      </c>
      <c r="AA21" s="559">
        <f t="shared" si="13"/>
        <v>0.46511908496416593</v>
      </c>
      <c r="AB21" s="559">
        <f t="shared" si="14"/>
        <v>0.45150812174031585</v>
      </c>
      <c r="AC21" s="559">
        <f t="shared" si="15"/>
        <v>0.52467542400428302</v>
      </c>
      <c r="AD21" s="650" t="str">
        <f>+IFERROR(RANK(S21,(S$6:S$8,S$33:S$49),0),"")</f>
        <v/>
      </c>
      <c r="AE21" s="650" t="str">
        <f>+IFERROR(RANK(T21,(T$6:T$8,T$33:T$49),0),"")</f>
        <v/>
      </c>
      <c r="AF21" s="650" t="str">
        <f>+IFERROR(RANK(U21,(U$6:U$8,U$33:U$49),0),"")</f>
        <v/>
      </c>
      <c r="AG21" s="650" t="str">
        <f>+IFERROR(RANK(V21,(V$6:V$8,V$33:V$49),0),"")</f>
        <v/>
      </c>
      <c r="AH21" s="650" t="str">
        <f>+IFERROR(RANK(W21,(W$6:W$8,W$33:W$49),0),"")</f>
        <v/>
      </c>
      <c r="AI21" s="650" t="str">
        <f>+IFERROR(RANK(X21,(X$6:X$8,X$33:X$49),0),"")</f>
        <v/>
      </c>
      <c r="AJ21" s="650" t="str">
        <f>+IFERROR(RANK(Y21,(Y$6:Y$8,Y$33:Y$49),0),"")</f>
        <v/>
      </c>
      <c r="AK21" s="650" t="str">
        <f>+IFERROR(RANK(Z21,(Z$6:Z$8,Z$33:Z$49),0),"")</f>
        <v/>
      </c>
      <c r="AL21" s="650" t="str">
        <f>+IFERROR(RANK(AA21,(AA$6:AA$8,AA$33:AA$49),0),"")</f>
        <v/>
      </c>
      <c r="AM21" s="650" t="str">
        <f>+IFERROR(RANK(AB21,(AB$6:AB$8,AB$33:AB$49),0),"")</f>
        <v/>
      </c>
      <c r="AN21" s="650" t="str">
        <f>+IFERROR(RANK(AC21,(AC$6:AC$8,AC$33:AC$49),0),"")</f>
        <v/>
      </c>
    </row>
    <row r="22" spans="1:40" s="115" customFormat="1" ht="12.75" customHeight="1">
      <c r="A22" s="694"/>
      <c r="B22" s="102" t="s">
        <v>156</v>
      </c>
      <c r="C22" s="606">
        <v>978</v>
      </c>
      <c r="D22" s="606">
        <v>949</v>
      </c>
      <c r="E22" s="606">
        <v>1034</v>
      </c>
      <c r="F22" s="606">
        <v>1083</v>
      </c>
      <c r="G22" s="606">
        <v>1276</v>
      </c>
      <c r="H22" s="606">
        <v>1633</v>
      </c>
      <c r="I22" s="606">
        <v>1934</v>
      </c>
      <c r="J22" s="606">
        <v>2515</v>
      </c>
      <c r="K22" s="606">
        <v>3305</v>
      </c>
      <c r="L22" s="606">
        <v>4170</v>
      </c>
      <c r="M22" s="606">
        <v>4920</v>
      </c>
      <c r="O22" s="559">
        <f t="shared" si="16"/>
        <v>0.83697763780605727</v>
      </c>
      <c r="P22" s="559">
        <f t="shared" si="17"/>
        <v>0.94074456490563874</v>
      </c>
      <c r="Q22" s="695"/>
      <c r="R22" s="683"/>
      <c r="S22" s="559">
        <f t="shared" si="5"/>
        <v>0.83697763780605738</v>
      </c>
      <c r="T22" s="559">
        <f t="shared" si="6"/>
        <v>0.77210967374501671</v>
      </c>
      <c r="U22" s="559">
        <f t="shared" si="7"/>
        <v>0.76909917213986601</v>
      </c>
      <c r="V22" s="559">
        <f t="shared" si="8"/>
        <v>0.73296515877527812</v>
      </c>
      <c r="W22" s="559">
        <f t="shared" si="9"/>
        <v>0.71912442656026332</v>
      </c>
      <c r="X22" s="559">
        <f t="shared" si="10"/>
        <v>0.745723392790275</v>
      </c>
      <c r="Y22" s="559">
        <f t="shared" si="11"/>
        <v>0.85451581119353859</v>
      </c>
      <c r="Z22" s="559">
        <f t="shared" si="12"/>
        <v>1.0609217997283364</v>
      </c>
      <c r="AA22" s="559">
        <f t="shared" si="13"/>
        <v>0.99689920610023885</v>
      </c>
      <c r="AB22" s="559">
        <f t="shared" si="14"/>
        <v>0.98010872860859821</v>
      </c>
      <c r="AC22" s="559">
        <f t="shared" si="15"/>
        <v>0.94074456490563874</v>
      </c>
      <c r="AD22" s="650" t="str">
        <f>+IFERROR(RANK(S22,(S$6:S$8,S$33:S$49),0),"")</f>
        <v/>
      </c>
      <c r="AE22" s="650" t="str">
        <f>+IFERROR(RANK(T22,(T$6:T$8,T$33:T$49),0),"")</f>
        <v/>
      </c>
      <c r="AF22" s="650" t="str">
        <f>+IFERROR(RANK(U22,(U$6:U$8,U$33:U$49),0),"")</f>
        <v/>
      </c>
      <c r="AG22" s="650" t="str">
        <f>+IFERROR(RANK(V22,(V$6:V$8,V$33:V$49),0),"")</f>
        <v/>
      </c>
      <c r="AH22" s="650" t="str">
        <f>+IFERROR(RANK(W22,(W$6:W$8,W$33:W$49),0),"")</f>
        <v/>
      </c>
      <c r="AI22" s="650" t="str">
        <f>+IFERROR(RANK(X22,(X$6:X$8,X$33:X$49),0),"")</f>
        <v/>
      </c>
      <c r="AJ22" s="650" t="str">
        <f>+IFERROR(RANK(Y22,(Y$6:Y$8,Y$33:Y$49),0),"")</f>
        <v/>
      </c>
      <c r="AK22" s="650" t="str">
        <f>+IFERROR(RANK(Z22,(Z$6:Z$8,Z$33:Z$49),0),"")</f>
        <v/>
      </c>
      <c r="AL22" s="650" t="str">
        <f>+IFERROR(RANK(AA22,(AA$6:AA$8,AA$33:AA$49),0),"")</f>
        <v/>
      </c>
      <c r="AM22" s="650" t="str">
        <f>+IFERROR(RANK(AB22,(AB$6:AB$8,AB$33:AB$49),0),"")</f>
        <v/>
      </c>
      <c r="AN22" s="650" t="str">
        <f>+IFERROR(RANK(AC22,(AC$6:AC$8,AC$33:AC$49),0),"")</f>
        <v/>
      </c>
    </row>
    <row r="23" spans="1:40" s="115" customFormat="1" ht="12.75" customHeight="1">
      <c r="A23" s="694"/>
      <c r="B23" s="102" t="s">
        <v>91</v>
      </c>
      <c r="C23" s="606">
        <v>251</v>
      </c>
      <c r="D23" s="606">
        <v>240</v>
      </c>
      <c r="E23" s="606">
        <v>234</v>
      </c>
      <c r="F23" s="606">
        <v>240</v>
      </c>
      <c r="G23" s="606">
        <v>271</v>
      </c>
      <c r="H23" s="606">
        <v>319</v>
      </c>
      <c r="I23" s="606">
        <v>301</v>
      </c>
      <c r="J23" s="606">
        <v>383</v>
      </c>
      <c r="K23" s="606">
        <v>557</v>
      </c>
      <c r="L23" s="606">
        <v>837</v>
      </c>
      <c r="M23" s="606">
        <v>869</v>
      </c>
      <c r="O23" s="559">
        <f t="shared" si="16"/>
        <v>0.21480714426310882</v>
      </c>
      <c r="P23" s="559">
        <f t="shared" si="17"/>
        <v>0.16615996481768294</v>
      </c>
      <c r="Q23" s="695"/>
      <c r="R23" s="683"/>
      <c r="S23" s="559">
        <f t="shared" si="5"/>
        <v>0.21480714426310879</v>
      </c>
      <c r="T23" s="559">
        <f t="shared" si="6"/>
        <v>0.19526482792287039</v>
      </c>
      <c r="U23" s="559">
        <f t="shared" si="7"/>
        <v>0.17405145675118824</v>
      </c>
      <c r="V23" s="559">
        <f t="shared" si="8"/>
        <v>0.16242995208316413</v>
      </c>
      <c r="W23" s="559">
        <f t="shared" si="9"/>
        <v>0.15272940407353555</v>
      </c>
      <c r="X23" s="559">
        <f t="shared" si="10"/>
        <v>0.14567407366815538</v>
      </c>
      <c r="Y23" s="559">
        <f t="shared" si="11"/>
        <v>0.13299341218679167</v>
      </c>
      <c r="Z23" s="559">
        <f t="shared" si="12"/>
        <v>0.16156383669819199</v>
      </c>
      <c r="AA23" s="559">
        <f t="shared" si="13"/>
        <v>0.16800994184503271</v>
      </c>
      <c r="AB23" s="559">
        <f t="shared" si="14"/>
        <v>0.19672685991496322</v>
      </c>
      <c r="AC23" s="559">
        <f t="shared" si="15"/>
        <v>0.16615996481768294</v>
      </c>
      <c r="AD23" s="650" t="str">
        <f>+IFERROR(RANK(S23,(S$6:S$8,S$33:S$49),0),"")</f>
        <v/>
      </c>
      <c r="AE23" s="650" t="str">
        <f>+IFERROR(RANK(T23,(T$6:T$8,T$33:T$49),0),"")</f>
        <v/>
      </c>
      <c r="AF23" s="650" t="str">
        <f>+IFERROR(RANK(U23,(U$6:U$8,U$33:U$49),0),"")</f>
        <v/>
      </c>
      <c r="AG23" s="650" t="str">
        <f>+IFERROR(RANK(V23,(V$6:V$8,V$33:V$49),0),"")</f>
        <v/>
      </c>
      <c r="AH23" s="650" t="str">
        <f>+IFERROR(RANK(W23,(W$6:W$8,W$33:W$49),0),"")</f>
        <v/>
      </c>
      <c r="AI23" s="650" t="str">
        <f>+IFERROR(RANK(X23,(X$6:X$8,X$33:X$49),0),"")</f>
        <v/>
      </c>
      <c r="AJ23" s="650" t="str">
        <f>+IFERROR(RANK(Y23,(Y$6:Y$8,Y$33:Y$49),0),"")</f>
        <v/>
      </c>
      <c r="AK23" s="650" t="str">
        <f>+IFERROR(RANK(Z23,(Z$6:Z$8,Z$33:Z$49),0),"")</f>
        <v/>
      </c>
      <c r="AL23" s="650" t="str">
        <f>+IFERROR(RANK(AA23,(AA$6:AA$8,AA$33:AA$49),0),"")</f>
        <v/>
      </c>
      <c r="AM23" s="650" t="str">
        <f>+IFERROR(RANK(AB23,(AB$6:AB$8,AB$33:AB$49),0),"")</f>
        <v/>
      </c>
      <c r="AN23" s="650" t="str">
        <f>+IFERROR(RANK(AC23,(AC$6:AC$8,AC$33:AC$49),0),"")</f>
        <v/>
      </c>
    </row>
    <row r="24" spans="1:40" s="115" customFormat="1" ht="12.75" customHeight="1">
      <c r="A24" s="694"/>
      <c r="B24" s="102" t="s">
        <v>154</v>
      </c>
      <c r="C24" s="606">
        <v>1604</v>
      </c>
      <c r="D24" s="606">
        <v>1655</v>
      </c>
      <c r="E24" s="606">
        <v>1762</v>
      </c>
      <c r="F24" s="606">
        <v>1902</v>
      </c>
      <c r="G24" s="606">
        <v>2358</v>
      </c>
      <c r="H24" s="606">
        <v>2807</v>
      </c>
      <c r="I24" s="606">
        <v>3212</v>
      </c>
      <c r="J24" s="606">
        <v>3380</v>
      </c>
      <c r="K24" s="606">
        <v>5074</v>
      </c>
      <c r="L24" s="606">
        <v>7008</v>
      </c>
      <c r="M24" s="606">
        <v>9950</v>
      </c>
      <c r="O24" s="559">
        <f t="shared" si="16"/>
        <v>1.3727117904303845</v>
      </c>
      <c r="P24" s="559">
        <f t="shared" si="17"/>
        <v>1.9025220367502247</v>
      </c>
      <c r="Q24" s="695"/>
      <c r="R24" s="683"/>
      <c r="S24" s="559">
        <f t="shared" si="5"/>
        <v>1.3727117904303845</v>
      </c>
      <c r="T24" s="559">
        <f t="shared" si="6"/>
        <v>1.3465137092181272</v>
      </c>
      <c r="U24" s="559">
        <f t="shared" si="7"/>
        <v>1.3105925931435627</v>
      </c>
      <c r="V24" s="559">
        <f t="shared" si="8"/>
        <v>1.2872573702590757</v>
      </c>
      <c r="W24" s="559">
        <f t="shared" si="9"/>
        <v>1.3289148885808</v>
      </c>
      <c r="X24" s="559">
        <f t="shared" si="10"/>
        <v>1.2818405165721383</v>
      </c>
      <c r="Y24" s="559">
        <f t="shared" si="11"/>
        <v>1.4191855147640362</v>
      </c>
      <c r="Z24" s="559">
        <f t="shared" si="12"/>
        <v>1.4258114048038877</v>
      </c>
      <c r="AA24" s="559">
        <f t="shared" si="13"/>
        <v>1.530489129123332</v>
      </c>
      <c r="AB24" s="559">
        <f t="shared" si="14"/>
        <v>1.6471467554170398</v>
      </c>
      <c r="AC24" s="559">
        <f t="shared" si="15"/>
        <v>1.9025220367502247</v>
      </c>
      <c r="AD24" s="650" t="str">
        <f>+IFERROR(RANK(S24,(S$6:S$8,S$33:S$49),0),"")</f>
        <v/>
      </c>
      <c r="AE24" s="650" t="str">
        <f>+IFERROR(RANK(T24,(T$6:T$8,T$33:T$49),0),"")</f>
        <v/>
      </c>
      <c r="AF24" s="650" t="str">
        <f>+IFERROR(RANK(U24,(U$6:U$8,U$33:U$49),0),"")</f>
        <v/>
      </c>
      <c r="AG24" s="650" t="str">
        <f>+IFERROR(RANK(V24,(V$6:V$8,V$33:V$49),0),"")</f>
        <v/>
      </c>
      <c r="AH24" s="650" t="str">
        <f>+IFERROR(RANK(W24,(W$6:W$8,W$33:W$49),0),"")</f>
        <v/>
      </c>
      <c r="AI24" s="650" t="str">
        <f>+IFERROR(RANK(X24,(X$6:X$8,X$33:X$49),0),"")</f>
        <v/>
      </c>
      <c r="AJ24" s="650" t="str">
        <f>+IFERROR(RANK(Y24,(Y$6:Y$8,Y$33:Y$49),0),"")</f>
        <v/>
      </c>
      <c r="AK24" s="650" t="str">
        <f>+IFERROR(RANK(Z24,(Z$6:Z$8,Z$33:Z$49),0),"")</f>
        <v/>
      </c>
      <c r="AL24" s="650" t="str">
        <f>+IFERROR(RANK(AA24,(AA$6:AA$8,AA$33:AA$49),0),"")</f>
        <v/>
      </c>
      <c r="AM24" s="650" t="str">
        <f>+IFERROR(RANK(AB24,(AB$6:AB$8,AB$33:AB$49),0),"")</f>
        <v/>
      </c>
      <c r="AN24" s="650" t="str">
        <f>+IFERROR(RANK(AC24,(AC$6:AC$8,AC$33:AC$49),0),"")</f>
        <v/>
      </c>
    </row>
    <row r="25" spans="1:40" s="115" customFormat="1" ht="12.75" customHeight="1">
      <c r="A25" s="694"/>
      <c r="B25" s="102" t="s">
        <v>155</v>
      </c>
      <c r="C25" s="606">
        <v>104</v>
      </c>
      <c r="D25" s="606">
        <v>119</v>
      </c>
      <c r="E25" s="606">
        <v>141</v>
      </c>
      <c r="F25" s="606">
        <v>184</v>
      </c>
      <c r="G25" s="606">
        <v>225</v>
      </c>
      <c r="H25" s="606">
        <v>279</v>
      </c>
      <c r="I25" s="606">
        <v>356</v>
      </c>
      <c r="J25" s="606">
        <v>446</v>
      </c>
      <c r="K25" s="606">
        <v>633</v>
      </c>
      <c r="L25" s="606">
        <v>926</v>
      </c>
      <c r="M25" s="606">
        <v>1037</v>
      </c>
      <c r="O25" s="559">
        <f t="shared" si="16"/>
        <v>8.9003756985511218E-2</v>
      </c>
      <c r="P25" s="559">
        <f t="shared" si="17"/>
        <v>0.19828294996080231</v>
      </c>
      <c r="Q25" s="695"/>
      <c r="R25" s="683"/>
      <c r="S25" s="559">
        <f t="shared" si="5"/>
        <v>8.9003756985511218E-2</v>
      </c>
      <c r="T25" s="559">
        <f t="shared" si="6"/>
        <v>9.6818810511756573E-2</v>
      </c>
      <c r="U25" s="559">
        <f t="shared" si="7"/>
        <v>0.10487715983725444</v>
      </c>
      <c r="V25" s="559">
        <f t="shared" si="8"/>
        <v>0.12452962993042584</v>
      </c>
      <c r="W25" s="559">
        <f t="shared" si="9"/>
        <v>0.12680485578061068</v>
      </c>
      <c r="X25" s="559">
        <f t="shared" si="10"/>
        <v>0.12740773214236786</v>
      </c>
      <c r="Y25" s="559">
        <f t="shared" si="11"/>
        <v>0.15729453401494298</v>
      </c>
      <c r="Z25" s="559">
        <f t="shared" si="12"/>
        <v>0.18813961140311652</v>
      </c>
      <c r="AA25" s="559">
        <f t="shared" si="13"/>
        <v>0.19093409908062065</v>
      </c>
      <c r="AB25" s="559">
        <f t="shared" si="14"/>
        <v>0.21764524764785656</v>
      </c>
      <c r="AC25" s="559">
        <f t="shared" si="15"/>
        <v>0.19828294996080231</v>
      </c>
      <c r="AD25" s="650" t="str">
        <f>+IFERROR(RANK(S25,(S$6:S$8,S$33:S$49),0),"")</f>
        <v/>
      </c>
      <c r="AE25" s="650" t="str">
        <f>+IFERROR(RANK(T25,(T$6:T$8,T$33:T$49),0),"")</f>
        <v/>
      </c>
      <c r="AF25" s="650" t="str">
        <f>+IFERROR(RANK(U25,(U$6:U$8,U$33:U$49),0),"")</f>
        <v/>
      </c>
      <c r="AG25" s="650" t="str">
        <f>+IFERROR(RANK(V25,(V$6:V$8,V$33:V$49),0),"")</f>
        <v/>
      </c>
      <c r="AH25" s="650" t="str">
        <f>+IFERROR(RANK(W25,(W$6:W$8,W$33:W$49),0),"")</f>
        <v/>
      </c>
      <c r="AI25" s="650" t="str">
        <f>+IFERROR(RANK(X25,(X$6:X$8,X$33:X$49),0),"")</f>
        <v/>
      </c>
      <c r="AJ25" s="650" t="str">
        <f>+IFERROR(RANK(Y25,(Y$6:Y$8,Y$33:Y$49),0),"")</f>
        <v/>
      </c>
      <c r="AK25" s="650" t="str">
        <f>+IFERROR(RANK(Z25,(Z$6:Z$8,Z$33:Z$49),0),"")</f>
        <v/>
      </c>
      <c r="AL25" s="650" t="str">
        <f>+IFERROR(RANK(AA25,(AA$6:AA$8,AA$33:AA$49),0),"")</f>
        <v/>
      </c>
      <c r="AM25" s="650" t="str">
        <f>+IFERROR(RANK(AB25,(AB$6:AB$8,AB$33:AB$49),0),"")</f>
        <v/>
      </c>
      <c r="AN25" s="650" t="str">
        <f>+IFERROR(RANK(AC25,(AC$6:AC$8,AC$33:AC$49),0),"")</f>
        <v/>
      </c>
    </row>
    <row r="26" spans="1:40" s="115" customFormat="1" ht="12.75" customHeight="1">
      <c r="A26" s="694"/>
      <c r="B26" s="102" t="s">
        <v>150</v>
      </c>
      <c r="C26" s="606">
        <v>369</v>
      </c>
      <c r="D26" s="606">
        <v>392</v>
      </c>
      <c r="E26" s="606">
        <v>398</v>
      </c>
      <c r="F26" s="606">
        <v>415</v>
      </c>
      <c r="G26" s="606">
        <v>511</v>
      </c>
      <c r="H26" s="606">
        <v>375</v>
      </c>
      <c r="I26" s="606">
        <v>741</v>
      </c>
      <c r="J26" s="606">
        <v>558</v>
      </c>
      <c r="K26" s="606">
        <v>1275</v>
      </c>
      <c r="L26" s="606">
        <v>1621</v>
      </c>
      <c r="M26" s="606">
        <v>1895</v>
      </c>
      <c r="O26" s="559">
        <f t="shared" si="16"/>
        <v>0.31579217622743883</v>
      </c>
      <c r="P26" s="559">
        <f t="shared" si="17"/>
        <v>0.36233962408459053</v>
      </c>
      <c r="Q26" s="695"/>
      <c r="R26" s="683"/>
      <c r="S26" s="559">
        <f t="shared" si="5"/>
        <v>0.31579217622743883</v>
      </c>
      <c r="T26" s="559">
        <f t="shared" si="6"/>
        <v>0.31893255227402162</v>
      </c>
      <c r="U26" s="559">
        <f t="shared" si="7"/>
        <v>0.29603623840586718</v>
      </c>
      <c r="V26" s="559">
        <f t="shared" si="8"/>
        <v>0.28086845881047134</v>
      </c>
      <c r="W26" s="559">
        <f t="shared" si="9"/>
        <v>0.28798791690618697</v>
      </c>
      <c r="X26" s="559">
        <f t="shared" si="10"/>
        <v>0.17124695180425789</v>
      </c>
      <c r="Y26" s="559">
        <f t="shared" si="11"/>
        <v>0.32740238681200212</v>
      </c>
      <c r="Z26" s="559">
        <f t="shared" si="12"/>
        <v>0.23538543310076016</v>
      </c>
      <c r="AA26" s="559">
        <f t="shared" si="13"/>
        <v>0.38458290099177145</v>
      </c>
      <c r="AB26" s="559">
        <f t="shared" si="14"/>
        <v>0.38099670241595629</v>
      </c>
      <c r="AC26" s="559">
        <f t="shared" si="15"/>
        <v>0.36233962408459053</v>
      </c>
      <c r="AD26" s="650" t="str">
        <f>+IFERROR(RANK(S26,(S$6:S$8,S$33:S$49),0),"")</f>
        <v/>
      </c>
      <c r="AE26" s="650" t="str">
        <f>+IFERROR(RANK(T26,(T$6:T$8,T$33:T$49),0),"")</f>
        <v/>
      </c>
      <c r="AF26" s="650" t="str">
        <f>+IFERROR(RANK(U26,(U$6:U$8,U$33:U$49),0),"")</f>
        <v/>
      </c>
      <c r="AG26" s="650" t="str">
        <f>+IFERROR(RANK(V26,(V$6:V$8,V$33:V$49),0),"")</f>
        <v/>
      </c>
      <c r="AH26" s="650" t="str">
        <f>+IFERROR(RANK(W26,(W$6:W$8,W$33:W$49),0),"")</f>
        <v/>
      </c>
      <c r="AI26" s="650" t="str">
        <f>+IFERROR(RANK(X26,(X$6:X$8,X$33:X$49),0),"")</f>
        <v/>
      </c>
      <c r="AJ26" s="650" t="str">
        <f>+IFERROR(RANK(Y26,(Y$6:Y$8,Y$33:Y$49),0),"")</f>
        <v/>
      </c>
      <c r="AK26" s="650" t="str">
        <f>+IFERROR(RANK(Z26,(Z$6:Z$8,Z$33:Z$49),0),"")</f>
        <v/>
      </c>
      <c r="AL26" s="650" t="str">
        <f>+IFERROR(RANK(AA26,(AA$6:AA$8,AA$33:AA$49),0),"")</f>
        <v/>
      </c>
      <c r="AM26" s="650" t="str">
        <f>+IFERROR(RANK(AB26,(AB$6:AB$8,AB$33:AB$49),0),"")</f>
        <v/>
      </c>
      <c r="AN26" s="650" t="str">
        <f>+IFERROR(RANK(AC26,(AC$6:AC$8,AC$33:AC$49),0),"")</f>
        <v/>
      </c>
    </row>
    <row r="27" spans="1:40" s="115" customFormat="1" ht="12.75" customHeight="1">
      <c r="A27" s="694"/>
      <c r="B27" s="102" t="s">
        <v>158</v>
      </c>
      <c r="C27" s="606">
        <v>443</v>
      </c>
      <c r="D27" s="606">
        <v>499</v>
      </c>
      <c r="E27" s="606">
        <v>418</v>
      </c>
      <c r="F27" s="606">
        <v>452</v>
      </c>
      <c r="G27" s="606">
        <v>524</v>
      </c>
      <c r="H27" s="606">
        <v>659</v>
      </c>
      <c r="I27" s="606">
        <v>652</v>
      </c>
      <c r="J27" s="606">
        <v>733</v>
      </c>
      <c r="K27" s="606">
        <v>1086</v>
      </c>
      <c r="L27" s="606">
        <v>1421</v>
      </c>
      <c r="M27" s="606">
        <v>1640</v>
      </c>
      <c r="O27" s="559">
        <f t="shared" si="16"/>
        <v>0.37912177254405255</v>
      </c>
      <c r="P27" s="559">
        <f t="shared" si="17"/>
        <v>0.31358152163521291</v>
      </c>
      <c r="Q27" s="695"/>
      <c r="R27" s="683"/>
      <c r="S27" s="559">
        <f t="shared" si="5"/>
        <v>0.3791217725440526</v>
      </c>
      <c r="T27" s="559">
        <f t="shared" si="6"/>
        <v>0.40598812138963469</v>
      </c>
      <c r="U27" s="559">
        <f t="shared" si="7"/>
        <v>0.3109124312905841</v>
      </c>
      <c r="V27" s="559">
        <f t="shared" si="8"/>
        <v>0.30590974308995911</v>
      </c>
      <c r="W27" s="559">
        <f t="shared" si="9"/>
        <v>0.29531441968462224</v>
      </c>
      <c r="X27" s="559">
        <f t="shared" si="10"/>
        <v>0.30093797663734917</v>
      </c>
      <c r="Y27" s="559">
        <f t="shared" si="11"/>
        <v>0.28807875330826638</v>
      </c>
      <c r="Z27" s="559">
        <f t="shared" si="12"/>
        <v>0.30920702950332829</v>
      </c>
      <c r="AA27" s="559">
        <f t="shared" si="13"/>
        <v>0.32757414155063824</v>
      </c>
      <c r="AB27" s="559">
        <f t="shared" si="14"/>
        <v>0.3339890895330499</v>
      </c>
      <c r="AC27" s="559">
        <f t="shared" si="15"/>
        <v>0.31358152163521291</v>
      </c>
      <c r="AD27" s="650" t="str">
        <f>+IFERROR(RANK(S27,(S$6:S$8,S$33:S$49),0),"")</f>
        <v/>
      </c>
      <c r="AE27" s="650" t="str">
        <f>+IFERROR(RANK(T27,(T$6:T$8,T$33:T$49),0),"")</f>
        <v/>
      </c>
      <c r="AF27" s="650" t="str">
        <f>+IFERROR(RANK(U27,(U$6:U$8,U$33:U$49),0),"")</f>
        <v/>
      </c>
      <c r="AG27" s="650" t="str">
        <f>+IFERROR(RANK(V27,(V$6:V$8,V$33:V$49),0),"")</f>
        <v/>
      </c>
      <c r="AH27" s="650" t="str">
        <f>+IFERROR(RANK(W27,(W$6:W$8,W$33:W$49),0),"")</f>
        <v/>
      </c>
      <c r="AI27" s="650" t="str">
        <f>+IFERROR(RANK(X27,(X$6:X$8,X$33:X$49),0),"")</f>
        <v/>
      </c>
      <c r="AJ27" s="650" t="str">
        <f>+IFERROR(RANK(Y27,(Y$6:Y$8,Y$33:Y$49),0),"")</f>
        <v/>
      </c>
      <c r="AK27" s="650" t="str">
        <f>+IFERROR(RANK(Z27,(Z$6:Z$8,Z$33:Z$49),0),"")</f>
        <v/>
      </c>
      <c r="AL27" s="650" t="str">
        <f>+IFERROR(RANK(AA27,(AA$6:AA$8,AA$33:AA$49),0),"")</f>
        <v/>
      </c>
      <c r="AM27" s="650" t="str">
        <f>+IFERROR(RANK(AB27,(AB$6:AB$8,AB$33:AB$49),0),"")</f>
        <v/>
      </c>
      <c r="AN27" s="650" t="str">
        <f>+IFERROR(RANK(AC27,(AC$6:AC$8,AC$33:AC$49),0),"")</f>
        <v/>
      </c>
    </row>
    <row r="28" spans="1:40" s="115" customFormat="1" ht="12.75" customHeight="1">
      <c r="A28" s="694"/>
      <c r="B28" s="102" t="s">
        <v>151</v>
      </c>
      <c r="C28" s="606">
        <v>730</v>
      </c>
      <c r="D28" s="606">
        <v>834</v>
      </c>
      <c r="E28" s="606">
        <v>905</v>
      </c>
      <c r="F28" s="606">
        <v>905</v>
      </c>
      <c r="G28" s="606">
        <v>1421</v>
      </c>
      <c r="H28" s="606">
        <v>1520</v>
      </c>
      <c r="I28" s="606">
        <v>1536</v>
      </c>
      <c r="J28" s="606">
        <v>1526</v>
      </c>
      <c r="K28" s="606">
        <v>1781</v>
      </c>
      <c r="L28" s="606">
        <v>3071</v>
      </c>
      <c r="M28" s="606">
        <v>3625</v>
      </c>
      <c r="O28" s="559">
        <f t="shared" si="16"/>
        <v>0.62473790960983833</v>
      </c>
      <c r="P28" s="559">
        <f t="shared" si="17"/>
        <v>0.69312988776076023</v>
      </c>
      <c r="Q28" s="695"/>
      <c r="R28" s="683"/>
      <c r="S28" s="559">
        <f t="shared" si="5"/>
        <v>0.62473790960983833</v>
      </c>
      <c r="T28" s="559">
        <f t="shared" si="6"/>
        <v>0.67854527703197465</v>
      </c>
      <c r="U28" s="559">
        <f t="shared" si="7"/>
        <v>0.67314772803344169</v>
      </c>
      <c r="V28" s="559">
        <f t="shared" si="8"/>
        <v>0.61249627764693138</v>
      </c>
      <c r="W28" s="559">
        <f t="shared" si="9"/>
        <v>0.80084311139665687</v>
      </c>
      <c r="X28" s="559">
        <f t="shared" si="10"/>
        <v>0.69412097797992534</v>
      </c>
      <c r="Y28" s="559">
        <f t="shared" si="11"/>
        <v>0.67866405687346187</v>
      </c>
      <c r="Z28" s="559">
        <f t="shared" si="12"/>
        <v>0.6437243206303942</v>
      </c>
      <c r="AA28" s="559">
        <f t="shared" si="13"/>
        <v>0.5372095267971333</v>
      </c>
      <c r="AB28" s="559">
        <f t="shared" si="14"/>
        <v>0.72180189581702758</v>
      </c>
      <c r="AC28" s="559">
        <f t="shared" si="15"/>
        <v>0.69312988776076023</v>
      </c>
      <c r="AD28" s="650" t="str">
        <f>+IFERROR(RANK(S28,(S$6:S$8,S$33:S$49),0),"")</f>
        <v/>
      </c>
      <c r="AE28" s="650" t="str">
        <f>+IFERROR(RANK(T28,(T$6:T$8,T$33:T$49),0),"")</f>
        <v/>
      </c>
      <c r="AF28" s="650" t="str">
        <f>+IFERROR(RANK(U28,(U$6:U$8,U$33:U$49),0),"")</f>
        <v/>
      </c>
      <c r="AG28" s="650" t="str">
        <f>+IFERROR(RANK(V28,(V$6:V$8,V$33:V$49),0),"")</f>
        <v/>
      </c>
      <c r="AH28" s="650" t="str">
        <f>+IFERROR(RANK(W28,(W$6:W$8,W$33:W$49),0),"")</f>
        <v/>
      </c>
      <c r="AI28" s="650" t="str">
        <f>+IFERROR(RANK(X28,(X$6:X$8,X$33:X$49),0),"")</f>
        <v/>
      </c>
      <c r="AJ28" s="650" t="str">
        <f>+IFERROR(RANK(Y28,(Y$6:Y$8,Y$33:Y$49),0),"")</f>
        <v/>
      </c>
      <c r="AK28" s="650" t="str">
        <f>+IFERROR(RANK(Z28,(Z$6:Z$8,Z$33:Z$49),0),"")</f>
        <v/>
      </c>
      <c r="AL28" s="650" t="str">
        <f>+IFERROR(RANK(AA28,(AA$6:AA$8,AA$33:AA$49),0),"")</f>
        <v/>
      </c>
      <c r="AM28" s="650" t="str">
        <f>+IFERROR(RANK(AB28,(AB$6:AB$8,AB$33:AB$49),0),"")</f>
        <v/>
      </c>
      <c r="AN28" s="650" t="str">
        <f>+IFERROR(RANK(AC28,(AC$6:AC$8,AC$33:AC$49),0),"")</f>
        <v/>
      </c>
    </row>
    <row r="29" spans="1:40" s="127" customFormat="1" ht="12.75" customHeight="1">
      <c r="A29" s="694"/>
      <c r="B29" s="102" t="s">
        <v>159</v>
      </c>
      <c r="C29" s="606">
        <v>159</v>
      </c>
      <c r="D29" s="606">
        <v>144</v>
      </c>
      <c r="E29" s="606">
        <v>195</v>
      </c>
      <c r="F29" s="606">
        <v>187</v>
      </c>
      <c r="G29" s="606">
        <v>267</v>
      </c>
      <c r="H29" s="606">
        <v>361</v>
      </c>
      <c r="I29" s="606">
        <v>355</v>
      </c>
      <c r="J29" s="606">
        <v>504</v>
      </c>
      <c r="K29" s="606">
        <v>1149</v>
      </c>
      <c r="L29" s="606">
        <v>1426</v>
      </c>
      <c r="M29" s="606">
        <v>1609</v>
      </c>
      <c r="O29" s="559">
        <f t="shared" si="16"/>
        <v>0.13607305154515656</v>
      </c>
      <c r="P29" s="559">
        <f t="shared" si="17"/>
        <v>0.30765406604332779</v>
      </c>
      <c r="Q29" s="695"/>
      <c r="R29" s="683"/>
      <c r="S29" s="559">
        <f t="shared" si="5"/>
        <v>0.13607305154515656</v>
      </c>
      <c r="T29" s="559">
        <f t="shared" si="6"/>
        <v>0.11715889675372224</v>
      </c>
      <c r="U29" s="559">
        <f t="shared" si="7"/>
        <v>0.14504288062599019</v>
      </c>
      <c r="V29" s="559">
        <f t="shared" si="8"/>
        <v>0.12656000433146539</v>
      </c>
      <c r="W29" s="559">
        <f t="shared" si="9"/>
        <v>0.15047509552632468</v>
      </c>
      <c r="X29" s="559">
        <f t="shared" si="10"/>
        <v>0.16485373227023226</v>
      </c>
      <c r="Y29" s="559">
        <f t="shared" si="11"/>
        <v>0.15685269543624933</v>
      </c>
      <c r="Z29" s="559">
        <f t="shared" si="12"/>
        <v>0.21260619763939625</v>
      </c>
      <c r="AA29" s="559">
        <f t="shared" si="13"/>
        <v>0.34657706136434929</v>
      </c>
      <c r="AB29" s="559">
        <f t="shared" si="14"/>
        <v>0.33516427985512254</v>
      </c>
      <c r="AC29" s="559">
        <f t="shared" si="15"/>
        <v>0.30765406604332779</v>
      </c>
      <c r="AD29" s="650" t="str">
        <f>+IFERROR(RANK(S29,(S$6:S$8,S$33:S$49),0),"")</f>
        <v/>
      </c>
      <c r="AE29" s="650" t="str">
        <f>+IFERROR(RANK(T29,(T$6:T$8,T$33:T$49),0),"")</f>
        <v/>
      </c>
      <c r="AF29" s="650" t="str">
        <f>+IFERROR(RANK(U29,(U$6:U$8,U$33:U$49),0),"")</f>
        <v/>
      </c>
      <c r="AG29" s="650" t="str">
        <f>+IFERROR(RANK(V29,(V$6:V$8,V$33:V$49),0),"")</f>
        <v/>
      </c>
      <c r="AH29" s="650" t="str">
        <f>+IFERROR(RANK(W29,(W$6:W$8,W$33:W$49),0),"")</f>
        <v/>
      </c>
      <c r="AI29" s="650" t="str">
        <f>+IFERROR(RANK(X29,(X$6:X$8,X$33:X$49),0),"")</f>
        <v/>
      </c>
      <c r="AJ29" s="650" t="str">
        <f>+IFERROR(RANK(Y29,(Y$6:Y$8,Y$33:Y$49),0),"")</f>
        <v/>
      </c>
      <c r="AK29" s="650" t="str">
        <f>+IFERROR(RANK(Z29,(Z$6:Z$8,Z$33:Z$49),0),"")</f>
        <v/>
      </c>
      <c r="AL29" s="650" t="str">
        <f>+IFERROR(RANK(AA29,(AA$6:AA$8,AA$33:AA$49),0),"")</f>
        <v/>
      </c>
      <c r="AM29" s="650" t="str">
        <f>+IFERROR(RANK(AB29,(AB$6:AB$8,AB$33:AB$49),0),"")</f>
        <v/>
      </c>
      <c r="AN29" s="650" t="str">
        <f>+IFERROR(RANK(AC29,(AC$6:AC$8,AC$33:AC$49),0),"")</f>
        <v/>
      </c>
    </row>
    <row r="30" spans="1:40" s="115" customFormat="1" ht="12.75" customHeight="1">
      <c r="A30" s="694"/>
      <c r="B30" s="102" t="s">
        <v>152</v>
      </c>
      <c r="C30" s="606">
        <v>250</v>
      </c>
      <c r="D30" s="606">
        <v>258</v>
      </c>
      <c r="E30" s="606">
        <v>295</v>
      </c>
      <c r="F30" s="606">
        <v>354</v>
      </c>
      <c r="G30" s="606">
        <v>469</v>
      </c>
      <c r="H30" s="606">
        <v>562</v>
      </c>
      <c r="I30" s="606">
        <v>656</v>
      </c>
      <c r="J30" s="606">
        <v>669</v>
      </c>
      <c r="K30" s="606">
        <v>1049</v>
      </c>
      <c r="L30" s="606">
        <v>1356</v>
      </c>
      <c r="M30" s="606">
        <v>1792</v>
      </c>
      <c r="O30" s="559">
        <f t="shared" si="16"/>
        <v>0.21395133890747889</v>
      </c>
      <c r="P30" s="559">
        <f t="shared" si="17"/>
        <v>0.34264517485993995</v>
      </c>
      <c r="Q30" s="695"/>
      <c r="R30" s="683"/>
      <c r="S30" s="559">
        <f t="shared" si="5"/>
        <v>0.21395133890747889</v>
      </c>
      <c r="T30" s="559">
        <f t="shared" si="6"/>
        <v>0.20990969001708568</v>
      </c>
      <c r="U30" s="559">
        <f t="shared" si="7"/>
        <v>0.21942384504957491</v>
      </c>
      <c r="V30" s="559">
        <f t="shared" si="8"/>
        <v>0.2395841793226671</v>
      </c>
      <c r="W30" s="559">
        <f t="shared" si="9"/>
        <v>0.26431767716047294</v>
      </c>
      <c r="X30" s="559">
        <f t="shared" si="10"/>
        <v>0.2566420984373145</v>
      </c>
      <c r="Y30" s="559">
        <f t="shared" si="11"/>
        <v>0.28984610762304097</v>
      </c>
      <c r="Z30" s="559">
        <f t="shared" si="12"/>
        <v>0.28220941710467479</v>
      </c>
      <c r="AA30" s="559">
        <f t="shared" si="13"/>
        <v>0.31641369658068097</v>
      </c>
      <c r="AB30" s="559">
        <f t="shared" si="14"/>
        <v>0.31871161534610531</v>
      </c>
      <c r="AC30" s="559">
        <f t="shared" si="15"/>
        <v>0.34264517485993995</v>
      </c>
      <c r="AD30" s="650" t="str">
        <f>+IFERROR(RANK(S30,(S$6:S$8,S$33:S$49),0),"")</f>
        <v/>
      </c>
      <c r="AE30" s="650" t="str">
        <f>+IFERROR(RANK(T30,(T$6:T$8,T$33:T$49),0),"")</f>
        <v/>
      </c>
      <c r="AF30" s="650" t="str">
        <f>+IFERROR(RANK(U30,(U$6:U$8,U$33:U$49),0),"")</f>
        <v/>
      </c>
      <c r="AG30" s="650" t="str">
        <f>+IFERROR(RANK(V30,(V$6:V$8,V$33:V$49),0),"")</f>
        <v/>
      </c>
      <c r="AH30" s="650" t="str">
        <f>+IFERROR(RANK(W30,(W$6:W$8,W$33:W$49),0),"")</f>
        <v/>
      </c>
      <c r="AI30" s="650" t="str">
        <f>+IFERROR(RANK(X30,(X$6:X$8,X$33:X$49),0),"")</f>
        <v/>
      </c>
      <c r="AJ30" s="650" t="str">
        <f>+IFERROR(RANK(Y30,(Y$6:Y$8,Y$33:Y$49),0),"")</f>
        <v/>
      </c>
      <c r="AK30" s="650" t="str">
        <f>+IFERROR(RANK(Z30,(Z$6:Z$8,Z$33:Z$49),0),"")</f>
        <v/>
      </c>
      <c r="AL30" s="650" t="str">
        <f>+IFERROR(RANK(AA30,(AA$6:AA$8,AA$33:AA$49),0),"")</f>
        <v/>
      </c>
      <c r="AM30" s="650" t="str">
        <f>+IFERROR(RANK(AB30,(AB$6:AB$8,AB$33:AB$49),0),"")</f>
        <v/>
      </c>
      <c r="AN30" s="650" t="str">
        <f>+IFERROR(RANK(AC30,(AC$6:AC$8,AC$33:AC$49),0),"")</f>
        <v/>
      </c>
    </row>
    <row r="31" spans="1:40" s="115" customFormat="1" ht="12.75" customHeight="1">
      <c r="A31" s="694"/>
      <c r="B31" s="102" t="s">
        <v>153</v>
      </c>
      <c r="C31" s="606">
        <v>281</v>
      </c>
      <c r="D31" s="606">
        <v>320</v>
      </c>
      <c r="E31" s="606">
        <v>349</v>
      </c>
      <c r="F31" s="606">
        <v>373</v>
      </c>
      <c r="G31" s="606">
        <v>420</v>
      </c>
      <c r="H31" s="606">
        <v>489</v>
      </c>
      <c r="I31" s="606">
        <v>556</v>
      </c>
      <c r="J31" s="606">
        <v>461</v>
      </c>
      <c r="K31" s="606">
        <v>1120</v>
      </c>
      <c r="L31" s="606">
        <v>2114</v>
      </c>
      <c r="M31" s="606">
        <v>1959</v>
      </c>
      <c r="O31" s="559">
        <f t="shared" si="16"/>
        <v>0.24048130493200628</v>
      </c>
      <c r="P31" s="559">
        <f t="shared" si="17"/>
        <v>0.3745769517581598</v>
      </c>
      <c r="Q31" s="695"/>
      <c r="R31" s="683"/>
      <c r="S31" s="559">
        <f t="shared" si="5"/>
        <v>0.24048130493200626</v>
      </c>
      <c r="T31" s="559">
        <f t="shared" si="6"/>
        <v>0.26035310389716054</v>
      </c>
      <c r="U31" s="559">
        <f t="shared" si="7"/>
        <v>0.25958956583831067</v>
      </c>
      <c r="V31" s="559">
        <f t="shared" si="8"/>
        <v>0.25244321719591761</v>
      </c>
      <c r="W31" s="559">
        <f t="shared" si="9"/>
        <v>0.23670239745713995</v>
      </c>
      <c r="X31" s="559">
        <f t="shared" si="10"/>
        <v>0.22330602515275227</v>
      </c>
      <c r="Y31" s="559">
        <f t="shared" si="11"/>
        <v>0.24566224975367498</v>
      </c>
      <c r="Z31" s="559">
        <f t="shared" si="12"/>
        <v>0.19446717680905096</v>
      </c>
      <c r="AA31" s="559">
        <f t="shared" si="13"/>
        <v>0.33782968557708548</v>
      </c>
      <c r="AB31" s="559">
        <f t="shared" si="14"/>
        <v>0.4968704681723205</v>
      </c>
      <c r="AC31" s="559">
        <f t="shared" si="15"/>
        <v>0.3745769517581598</v>
      </c>
      <c r="AD31" s="650" t="str">
        <f>+IFERROR(RANK(S31,(S$6:S$8,S$33:S$49),0),"")</f>
        <v/>
      </c>
      <c r="AE31" s="650" t="str">
        <f>+IFERROR(RANK(T31,(T$6:T$8,T$33:T$49),0),"")</f>
        <v/>
      </c>
      <c r="AF31" s="650" t="str">
        <f>+IFERROR(RANK(U31,(U$6:U$8,U$33:U$49),0),"")</f>
        <v/>
      </c>
      <c r="AG31" s="650" t="str">
        <f>+IFERROR(RANK(V31,(V$6:V$8,V$33:V$49),0),"")</f>
        <v/>
      </c>
      <c r="AH31" s="650" t="str">
        <f>+IFERROR(RANK(W31,(W$6:W$8,W$33:W$49),0),"")</f>
        <v/>
      </c>
      <c r="AI31" s="650" t="str">
        <f>+IFERROR(RANK(X31,(X$6:X$8,X$33:X$49),0),"")</f>
        <v/>
      </c>
      <c r="AJ31" s="650" t="str">
        <f>+IFERROR(RANK(Y31,(Y$6:Y$8,Y$33:Y$49),0),"")</f>
        <v/>
      </c>
      <c r="AK31" s="650" t="str">
        <f>+IFERROR(RANK(Z31,(Z$6:Z$8,Z$33:Z$49),0),"")</f>
        <v/>
      </c>
      <c r="AL31" s="650" t="str">
        <f>+IFERROR(RANK(AA31,(AA$6:AA$8,AA$33:AA$49),0),"")</f>
        <v/>
      </c>
      <c r="AM31" s="650" t="str">
        <f>+IFERROR(RANK(AB31,(AB$6:AB$8,AB$33:AB$49),0),"")</f>
        <v/>
      </c>
      <c r="AN31" s="650" t="str">
        <f>+IFERROR(RANK(AC31,(AC$6:AC$8,AC$33:AC$49),0),"")</f>
        <v/>
      </c>
    </row>
    <row r="32" spans="1:40" s="115" customFormat="1" ht="12.75" customHeight="1">
      <c r="A32" s="694"/>
      <c r="B32" s="102" t="s">
        <v>160</v>
      </c>
      <c r="C32" s="606">
        <v>459</v>
      </c>
      <c r="D32" s="606">
        <v>456</v>
      </c>
      <c r="E32" s="606">
        <v>544</v>
      </c>
      <c r="F32" s="606">
        <v>565</v>
      </c>
      <c r="G32" s="606">
        <v>767</v>
      </c>
      <c r="H32" s="606">
        <v>979</v>
      </c>
      <c r="I32" s="606">
        <v>1040</v>
      </c>
      <c r="J32" s="606">
        <v>1002</v>
      </c>
      <c r="K32" s="606">
        <v>1503</v>
      </c>
      <c r="L32" s="606">
        <v>2205</v>
      </c>
      <c r="M32" s="606">
        <v>3186</v>
      </c>
      <c r="O32" s="559">
        <f t="shared" si="16"/>
        <v>0.3928146582341312</v>
      </c>
      <c r="P32" s="559">
        <f t="shared" si="17"/>
        <v>0.60918946824987086</v>
      </c>
      <c r="Q32" s="695"/>
      <c r="R32" s="683"/>
      <c r="S32" s="559">
        <f t="shared" si="5"/>
        <v>0.39281465823413125</v>
      </c>
      <c r="T32" s="559">
        <f t="shared" si="6"/>
        <v>0.37100317305345376</v>
      </c>
      <c r="U32" s="559">
        <f t="shared" si="7"/>
        <v>0.40463244646430085</v>
      </c>
      <c r="V32" s="559">
        <f t="shared" si="8"/>
        <v>0.38238717886244888</v>
      </c>
      <c r="W32" s="559">
        <f t="shared" si="9"/>
        <v>0.43226366392768178</v>
      </c>
      <c r="X32" s="559">
        <f t="shared" si="10"/>
        <v>0.44706870884364924</v>
      </c>
      <c r="Y32" s="559">
        <f t="shared" si="11"/>
        <v>0.45951212184140644</v>
      </c>
      <c r="Z32" s="559">
        <f t="shared" si="12"/>
        <v>0.42268136911641879</v>
      </c>
      <c r="AA32" s="559">
        <f t="shared" si="13"/>
        <v>0.45335537269853526</v>
      </c>
      <c r="AB32" s="559">
        <f t="shared" si="14"/>
        <v>0.51825893203404294</v>
      </c>
      <c r="AC32" s="559">
        <f t="shared" si="15"/>
        <v>0.60918946824987097</v>
      </c>
      <c r="AD32" s="650" t="str">
        <f>+IFERROR(RANK(S32,(S$6:S$8,S$33:S$49),0),"")</f>
        <v/>
      </c>
      <c r="AE32" s="650" t="str">
        <f>+IFERROR(RANK(T32,(T$6:T$8,T$33:T$49),0),"")</f>
        <v/>
      </c>
      <c r="AF32" s="650" t="str">
        <f>+IFERROR(RANK(U32,(U$6:U$8,U$33:U$49),0),"")</f>
        <v/>
      </c>
      <c r="AG32" s="650" t="str">
        <f>+IFERROR(RANK(V32,(V$6:V$8,V$33:V$49),0),"")</f>
        <v/>
      </c>
      <c r="AH32" s="650" t="str">
        <f>+IFERROR(RANK(W32,(W$6:W$8,W$33:W$49),0),"")</f>
        <v/>
      </c>
      <c r="AI32" s="650" t="str">
        <f>+IFERROR(RANK(X32,(X$6:X$8,X$33:X$49),0),"")</f>
        <v/>
      </c>
      <c r="AJ32" s="650" t="str">
        <f>+IFERROR(RANK(Y32,(Y$6:Y$8,Y$33:Y$49),0),"")</f>
        <v/>
      </c>
      <c r="AK32" s="650" t="str">
        <f>+IFERROR(RANK(Z32,(Z$6:Z$8,Z$33:Z$49),0),"")</f>
        <v/>
      </c>
      <c r="AL32" s="650" t="str">
        <f>+IFERROR(RANK(AA32,(AA$6:AA$8,AA$33:AA$49),0),"")</f>
        <v/>
      </c>
      <c r="AM32" s="650" t="str">
        <f>+IFERROR(RANK(AB32,(AB$6:AB$8,AB$33:AB$49),0),"")</f>
        <v/>
      </c>
      <c r="AN32" s="650" t="str">
        <f>+IFERROR(RANK(AC32,(AC$6:AC$8,AC$33:AC$49),0),"")</f>
        <v/>
      </c>
    </row>
    <row r="33" spans="1:40" s="115" customFormat="1" ht="16.5" customHeight="1">
      <c r="A33" s="201" t="s">
        <v>75</v>
      </c>
      <c r="B33" s="307" t="s">
        <v>161</v>
      </c>
      <c r="C33" s="5">
        <v>62</v>
      </c>
      <c r="D33" s="5">
        <v>61</v>
      </c>
      <c r="E33" s="5">
        <v>65</v>
      </c>
      <c r="F33" s="5">
        <v>65</v>
      </c>
      <c r="G33" s="5">
        <v>104</v>
      </c>
      <c r="H33" s="5">
        <v>99</v>
      </c>
      <c r="I33" s="5">
        <v>115</v>
      </c>
      <c r="J33" s="5">
        <v>120</v>
      </c>
      <c r="K33" s="5">
        <v>156</v>
      </c>
      <c r="L33" s="5">
        <v>231</v>
      </c>
      <c r="M33" s="5">
        <v>306</v>
      </c>
      <c r="O33" s="559">
        <f t="shared" si="16"/>
        <v>5.3059932049054757E-2</v>
      </c>
      <c r="P33" s="559">
        <f t="shared" si="17"/>
        <v>5.8509722939253134E-2</v>
      </c>
      <c r="Q33" s="695"/>
      <c r="R33" s="683"/>
      <c r="S33" s="559">
        <f t="shared" si="5"/>
        <v>5.3059932049054764E-2</v>
      </c>
      <c r="T33" s="559">
        <f t="shared" si="6"/>
        <v>4.9629810430396222E-2</v>
      </c>
      <c r="U33" s="559">
        <f t="shared" si="7"/>
        <v>4.8347626875330063E-2</v>
      </c>
      <c r="V33" s="559">
        <f t="shared" si="8"/>
        <v>4.3991445355856952E-2</v>
      </c>
      <c r="W33" s="559">
        <f t="shared" si="9"/>
        <v>5.8612022227482276E-2</v>
      </c>
      <c r="X33" s="559">
        <f t="shared" si="10"/>
        <v>4.5209195276324082E-2</v>
      </c>
      <c r="Y33" s="559">
        <f t="shared" si="11"/>
        <v>5.0811436549770904E-2</v>
      </c>
      <c r="Z33" s="559">
        <f t="shared" si="12"/>
        <v>5.0620523247475305E-2</v>
      </c>
      <c r="AA33" s="559">
        <f t="shared" si="13"/>
        <v>4.7054849062522622E-2</v>
      </c>
      <c r="AB33" s="559">
        <f t="shared" si="14"/>
        <v>5.4293792879756879E-2</v>
      </c>
      <c r="AC33" s="559">
        <f t="shared" si="15"/>
        <v>5.8509722939253141E-2</v>
      </c>
      <c r="AD33" s="650">
        <f>+IFERROR(RANK(S33,(S$6:S$8,S$33:S$49),0),"")</f>
        <v>19</v>
      </c>
      <c r="AE33" s="650">
        <f>+IFERROR(RANK(T33,(T$6:T$8,T$33:T$49),0),"")</f>
        <v>19</v>
      </c>
      <c r="AF33" s="650">
        <f>+IFERROR(RANK(U33,(U$6:U$8,U$33:U$49),0),"")</f>
        <v>19</v>
      </c>
      <c r="AG33" s="650">
        <f>+IFERROR(RANK(V33,(V$6:V$8,V$33:V$49),0),"")</f>
        <v>19</v>
      </c>
      <c r="AH33" s="650">
        <f>+IFERROR(RANK(W33,(W$6:W$8,W$33:W$49),0),"")</f>
        <v>19</v>
      </c>
      <c r="AI33" s="650">
        <f>+IFERROR(RANK(X33,(X$6:X$8,X$33:X$49),0),"")</f>
        <v>19</v>
      </c>
      <c r="AJ33" s="650">
        <f>+IFERROR(RANK(Y33,(Y$6:Y$8,Y$33:Y$49),0),"")</f>
        <v>19</v>
      </c>
      <c r="AK33" s="650">
        <f>+IFERROR(RANK(Z33,(Z$6:Z$8,Z$33:Z$49),0),"")</f>
        <v>18</v>
      </c>
      <c r="AL33" s="650">
        <f>+IFERROR(RANK(AA33,(AA$6:AA$8,AA$33:AA$49),0),"")</f>
        <v>19</v>
      </c>
      <c r="AM33" s="650">
        <f>+IFERROR(RANK(AB33,(AB$6:AB$8,AB$33:AB$49),0),"")</f>
        <v>19</v>
      </c>
      <c r="AN33" s="650">
        <f>+IFERROR(RANK(AC33,(AC$6:AC$8,AC$33:AC$49),0),"")</f>
        <v>19</v>
      </c>
    </row>
    <row r="34" spans="1:40" s="115" customFormat="1" ht="12.75" customHeight="1">
      <c r="A34" s="201" t="s">
        <v>76</v>
      </c>
      <c r="B34" s="307" t="s">
        <v>170</v>
      </c>
      <c r="C34" s="5">
        <v>958</v>
      </c>
      <c r="D34" s="5">
        <v>955</v>
      </c>
      <c r="E34" s="5">
        <v>964</v>
      </c>
      <c r="F34" s="5">
        <v>982</v>
      </c>
      <c r="G34" s="5">
        <v>1060</v>
      </c>
      <c r="H34" s="5">
        <v>1261</v>
      </c>
      <c r="I34" s="5">
        <v>1592</v>
      </c>
      <c r="J34" s="5">
        <v>1754</v>
      </c>
      <c r="K34" s="5">
        <v>1887</v>
      </c>
      <c r="L34" s="5">
        <v>2290</v>
      </c>
      <c r="M34" s="5">
        <v>3083</v>
      </c>
      <c r="O34" s="559">
        <f t="shared" si="16"/>
        <v>0.81986153069345902</v>
      </c>
      <c r="P34" s="559">
        <f t="shared" si="17"/>
        <v>0.58949501902522028</v>
      </c>
      <c r="Q34" s="695"/>
      <c r="R34" s="683"/>
      <c r="S34" s="559">
        <f t="shared" si="5"/>
        <v>0.81986153069345913</v>
      </c>
      <c r="T34" s="559">
        <f t="shared" si="6"/>
        <v>0.77699129444308845</v>
      </c>
      <c r="U34" s="559">
        <f t="shared" si="7"/>
        <v>0.7170324970433567</v>
      </c>
      <c r="V34" s="559">
        <f t="shared" si="8"/>
        <v>0.6646092206069466</v>
      </c>
      <c r="W34" s="559">
        <f t="shared" si="9"/>
        <v>0.59739176501087699</v>
      </c>
      <c r="X34" s="559">
        <f t="shared" si="10"/>
        <v>0.57584641660045122</v>
      </c>
      <c r="Y34" s="559">
        <f t="shared" si="11"/>
        <v>0.70340701728030686</v>
      </c>
      <c r="Z34" s="559">
        <f t="shared" si="12"/>
        <v>0.73990331480059734</v>
      </c>
      <c r="AA34" s="559">
        <f t="shared" si="13"/>
        <v>0.56918269346782169</v>
      </c>
      <c r="AB34" s="559">
        <f t="shared" si="14"/>
        <v>0.53823716750927808</v>
      </c>
      <c r="AC34" s="559">
        <f t="shared" si="15"/>
        <v>0.58949501902522039</v>
      </c>
      <c r="AD34" s="650">
        <f>+IFERROR(RANK(S34,(S$6:S$8,S$33:S$49),0),"")</f>
        <v>16</v>
      </c>
      <c r="AE34" s="650">
        <f>+IFERROR(RANK(T34,(T$6:T$8,T$33:T$49),0),"")</f>
        <v>16</v>
      </c>
      <c r="AF34" s="650">
        <f>+IFERROR(RANK(U34,(U$6:U$8,U$33:U$49),0),"")</f>
        <v>16</v>
      </c>
      <c r="AG34" s="650">
        <f>+IFERROR(RANK(V34,(V$6:V$8,V$33:V$49),0),"")</f>
        <v>16</v>
      </c>
      <c r="AH34" s="650">
        <f>+IFERROR(RANK(W34,(W$6:W$8,W$33:W$49),0),"")</f>
        <v>16</v>
      </c>
      <c r="AI34" s="650">
        <f>+IFERROR(RANK(X34,(X$6:X$8,X$33:X$49),0),"")</f>
        <v>16</v>
      </c>
      <c r="AJ34" s="650">
        <f>+IFERROR(RANK(Y34,(Y$6:Y$8,Y$33:Y$49),0),"")</f>
        <v>16</v>
      </c>
      <c r="AK34" s="650">
        <f>+IFERROR(RANK(Z34,(Z$6:Z$8,Z$33:Z$49),0),"")</f>
        <v>16</v>
      </c>
      <c r="AL34" s="650">
        <f>+IFERROR(RANK(AA34,(AA$6:AA$8,AA$33:AA$49),0),"")</f>
        <v>16</v>
      </c>
      <c r="AM34" s="650">
        <f>+IFERROR(RANK(AB34,(AB$6:AB$8,AB$33:AB$49),0),"")</f>
        <v>16</v>
      </c>
      <c r="AN34" s="650">
        <f>+IFERROR(RANK(AC34,(AC$6:AC$8,AC$33:AC$49),0),"")</f>
        <v>16</v>
      </c>
    </row>
    <row r="35" spans="1:40" s="115" customFormat="1" ht="12.75" customHeight="1">
      <c r="A35" s="201" t="s">
        <v>77</v>
      </c>
      <c r="B35" s="307" t="s">
        <v>78</v>
      </c>
      <c r="C35" s="5">
        <v>9907</v>
      </c>
      <c r="D35" s="5">
        <v>10112</v>
      </c>
      <c r="E35" s="5">
        <v>10815</v>
      </c>
      <c r="F35" s="5">
        <v>12528</v>
      </c>
      <c r="G35" s="5">
        <v>15987</v>
      </c>
      <c r="H35" s="5">
        <v>21695</v>
      </c>
      <c r="I35" s="5">
        <v>25598</v>
      </c>
      <c r="J35" s="5">
        <v>26636</v>
      </c>
      <c r="K35" s="5">
        <v>37834</v>
      </c>
      <c r="L35" s="5">
        <v>50985</v>
      </c>
      <c r="M35" s="5">
        <v>67631</v>
      </c>
      <c r="O35" s="559">
        <f t="shared" si="16"/>
        <v>8.4784636582255732</v>
      </c>
      <c r="P35" s="559">
        <f t="shared" si="17"/>
        <v>12.93160481079944</v>
      </c>
      <c r="Q35" s="695"/>
      <c r="R35" s="683"/>
      <c r="S35" s="559">
        <f t="shared" si="5"/>
        <v>8.4784636582255732</v>
      </c>
      <c r="T35" s="559">
        <f t="shared" si="6"/>
        <v>8.2271580831502718</v>
      </c>
      <c r="U35" s="559">
        <f t="shared" si="7"/>
        <v>8.0443013024106875</v>
      </c>
      <c r="V35" s="559">
        <f t="shared" si="8"/>
        <v>8.4788434987411687</v>
      </c>
      <c r="W35" s="559">
        <f t="shared" si="9"/>
        <v>9.0099076860649916</v>
      </c>
      <c r="X35" s="559">
        <f t="shared" si="10"/>
        <v>9.9072069850489992</v>
      </c>
      <c r="Y35" s="559">
        <f t="shared" si="11"/>
        <v>11.310183937400311</v>
      </c>
      <c r="Z35" s="559">
        <f t="shared" si="12"/>
        <v>11.236068810164602</v>
      </c>
      <c r="AA35" s="559">
        <f t="shared" si="13"/>
        <v>11.412007432253082</v>
      </c>
      <c r="AB35" s="559">
        <f t="shared" si="14"/>
        <v>11.98341571417491</v>
      </c>
      <c r="AC35" s="559">
        <f t="shared" si="15"/>
        <v>12.931604810799442</v>
      </c>
      <c r="AD35" s="650">
        <f>+IFERROR(RANK(S35,(S$6:S$8,S$33:S$49),0),"")</f>
        <v>5</v>
      </c>
      <c r="AE35" s="650">
        <f>+IFERROR(RANK(T35,(T$6:T$8,T$33:T$49),0),"")</f>
        <v>5</v>
      </c>
      <c r="AF35" s="650">
        <f>+IFERROR(RANK(U35,(U$6:U$8,U$33:U$49),0),"")</f>
        <v>5</v>
      </c>
      <c r="AG35" s="650">
        <f>+IFERROR(RANK(V35,(V$6:V$8,V$33:V$49),0),"")</f>
        <v>5</v>
      </c>
      <c r="AH35" s="650">
        <f>+IFERROR(RANK(W35,(W$6:W$8,W$33:W$49),0),"")</f>
        <v>5</v>
      </c>
      <c r="AI35" s="650">
        <f>+IFERROR(RANK(X35,(X$6:X$8,X$33:X$49),0),"")</f>
        <v>4</v>
      </c>
      <c r="AJ35" s="650">
        <f>+IFERROR(RANK(Y35,(Y$6:Y$8,Y$33:Y$49),0),"")</f>
        <v>3</v>
      </c>
      <c r="AK35" s="650">
        <f>+IFERROR(RANK(Z35,(Z$6:Z$8,Z$33:Z$49),0),"")</f>
        <v>3</v>
      </c>
      <c r="AL35" s="650">
        <f>+IFERROR(RANK(AA35,(AA$6:AA$8,AA$33:AA$49),0),"")</f>
        <v>3</v>
      </c>
      <c r="AM35" s="650">
        <f>+IFERROR(RANK(AB35,(AB$6:AB$8,AB$33:AB$49),0),"")</f>
        <v>3</v>
      </c>
      <c r="AN35" s="650">
        <f>+IFERROR(RANK(AC35,(AC$6:AC$8,AC$33:AC$49),0),"")</f>
        <v>3</v>
      </c>
    </row>
    <row r="36" spans="1:40" s="115" customFormat="1" ht="12.75" customHeight="1">
      <c r="A36" s="201" t="s">
        <v>79</v>
      </c>
      <c r="B36" s="307" t="s">
        <v>171</v>
      </c>
      <c r="C36" s="5">
        <v>17426</v>
      </c>
      <c r="D36" s="5">
        <v>18321</v>
      </c>
      <c r="E36" s="5">
        <v>18275</v>
      </c>
      <c r="F36" s="5">
        <v>18846</v>
      </c>
      <c r="G36" s="5">
        <v>21580</v>
      </c>
      <c r="H36" s="5">
        <v>25528</v>
      </c>
      <c r="I36" s="5">
        <v>25321</v>
      </c>
      <c r="J36" s="5">
        <v>26532</v>
      </c>
      <c r="K36" s="5">
        <v>34265</v>
      </c>
      <c r="L36" s="5">
        <v>46202</v>
      </c>
      <c r="M36" s="5">
        <v>58057</v>
      </c>
      <c r="O36" s="559">
        <f t="shared" si="16"/>
        <v>14.913264127206908</v>
      </c>
      <c r="P36" s="559">
        <f t="shared" si="17"/>
        <v>11.100977074131437</v>
      </c>
      <c r="Q36" s="695"/>
      <c r="R36" s="683"/>
      <c r="S36" s="559">
        <f t="shared" si="5"/>
        <v>14.913264127206908</v>
      </c>
      <c r="T36" s="559">
        <f t="shared" si="6"/>
        <v>14.906028801562119</v>
      </c>
      <c r="U36" s="559">
        <f t="shared" si="7"/>
        <v>13.593121248410107</v>
      </c>
      <c r="V36" s="559">
        <f t="shared" si="8"/>
        <v>12.754811987330465</v>
      </c>
      <c r="W36" s="559">
        <f t="shared" si="9"/>
        <v>12.161994612202573</v>
      </c>
      <c r="X36" s="559">
        <f t="shared" si="10"/>
        <v>11.657579161757587</v>
      </c>
      <c r="Y36" s="559">
        <f t="shared" si="11"/>
        <v>11.187794651102166</v>
      </c>
      <c r="Z36" s="559">
        <f t="shared" si="12"/>
        <v>11.192197690016789</v>
      </c>
      <c r="AA36" s="559">
        <f t="shared" si="13"/>
        <v>10.335476943123959</v>
      </c>
      <c r="AB36" s="559">
        <f t="shared" si="14"/>
        <v>10.859228652080205</v>
      </c>
      <c r="AC36" s="559">
        <f t="shared" si="15"/>
        <v>11.100977074131437</v>
      </c>
      <c r="AD36" s="650">
        <f>+IFERROR(RANK(S36,(S$6:S$8,S$33:S$49),0),"")</f>
        <v>3</v>
      </c>
      <c r="AE36" s="650">
        <f>+IFERROR(RANK(T36,(T$6:T$8,T$33:T$49),0),"")</f>
        <v>3</v>
      </c>
      <c r="AF36" s="650">
        <f>+IFERROR(RANK(U36,(U$6:U$8,U$33:U$49),0),"")</f>
        <v>3</v>
      </c>
      <c r="AG36" s="650">
        <f>+IFERROR(RANK(V36,(V$6:V$8,V$33:V$49),0),"")</f>
        <v>3</v>
      </c>
      <c r="AH36" s="650">
        <f>+IFERROR(RANK(W36,(W$6:W$8,W$33:W$49),0),"")</f>
        <v>3</v>
      </c>
      <c r="AI36" s="650">
        <f>+IFERROR(RANK(X36,(X$6:X$8,X$33:X$49),0),"")</f>
        <v>3</v>
      </c>
      <c r="AJ36" s="650">
        <f>+IFERROR(RANK(Y36,(Y$6:Y$8,Y$33:Y$49),0),"")</f>
        <v>4</v>
      </c>
      <c r="AK36" s="650">
        <f>+IFERROR(RANK(Z36,(Z$6:Z$8,Z$33:Z$49),0),"")</f>
        <v>4</v>
      </c>
      <c r="AL36" s="650">
        <f>+IFERROR(RANK(AA36,(AA$6:AA$8,AA$33:AA$49),0),"")</f>
        <v>5</v>
      </c>
      <c r="AM36" s="650">
        <f>+IFERROR(RANK(AB36,(AB$6:AB$8,AB$33:AB$49),0),"")</f>
        <v>5</v>
      </c>
      <c r="AN36" s="650">
        <f>+IFERROR(RANK(AC36,(AC$6:AC$8,AC$33:AC$49),0),"")</f>
        <v>5</v>
      </c>
    </row>
    <row r="37" spans="1:40" s="115" customFormat="1" ht="12.75" customHeight="1">
      <c r="A37" s="201" t="s">
        <v>52</v>
      </c>
      <c r="B37" s="307" t="s">
        <v>92</v>
      </c>
      <c r="C37" s="5">
        <v>5440</v>
      </c>
      <c r="D37" s="5">
        <v>5485</v>
      </c>
      <c r="E37" s="5">
        <v>5241</v>
      </c>
      <c r="F37" s="5">
        <v>5422</v>
      </c>
      <c r="G37" s="5">
        <v>6418</v>
      </c>
      <c r="H37" s="5">
        <v>6978</v>
      </c>
      <c r="I37" s="5">
        <v>7193</v>
      </c>
      <c r="J37" s="5">
        <v>7404</v>
      </c>
      <c r="K37" s="5">
        <v>9136</v>
      </c>
      <c r="L37" s="5">
        <v>12863</v>
      </c>
      <c r="M37" s="5">
        <v>18524</v>
      </c>
      <c r="O37" s="559">
        <f t="shared" si="16"/>
        <v>4.6555811346267406</v>
      </c>
      <c r="P37" s="559">
        <f t="shared" si="17"/>
        <v>3.5419415285187097</v>
      </c>
      <c r="Q37" s="695"/>
      <c r="R37" s="683"/>
      <c r="S37" s="559">
        <f t="shared" si="5"/>
        <v>4.6555811346267406</v>
      </c>
      <c r="T37" s="559">
        <f t="shared" si="6"/>
        <v>4.4626149214872672</v>
      </c>
      <c r="U37" s="559">
        <f t="shared" si="7"/>
        <v>3.898306345440075</v>
      </c>
      <c r="V37" s="559">
        <f t="shared" si="8"/>
        <v>3.669563334145483</v>
      </c>
      <c r="W37" s="559">
        <f t="shared" si="9"/>
        <v>3.6170380639998196</v>
      </c>
      <c r="X37" s="559">
        <f t="shared" si="10"/>
        <v>3.1865632791736309</v>
      </c>
      <c r="Y37" s="559">
        <f t="shared" si="11"/>
        <v>3.1781448965434969</v>
      </c>
      <c r="Z37" s="559">
        <f t="shared" si="12"/>
        <v>3.1232862843692262</v>
      </c>
      <c r="AA37" s="559">
        <f t="shared" si="13"/>
        <v>2.7557250066359402</v>
      </c>
      <c r="AB37" s="559">
        <f t="shared" si="14"/>
        <v>3.0232946225641242</v>
      </c>
      <c r="AC37" s="559">
        <f t="shared" si="15"/>
        <v>3.5419415285187097</v>
      </c>
      <c r="AD37" s="650">
        <f>+IFERROR(RANK(S37,(S$6:S$8,S$33:S$49),0),"")</f>
        <v>8</v>
      </c>
      <c r="AE37" s="650">
        <f>+IFERROR(RANK(T37,(T$6:T$8,T$33:T$49),0),"")</f>
        <v>8</v>
      </c>
      <c r="AF37" s="650">
        <f>+IFERROR(RANK(U37,(U$6:U$8,U$33:U$49),0),"")</f>
        <v>8</v>
      </c>
      <c r="AG37" s="650">
        <f>+IFERROR(RANK(V37,(V$6:V$8,V$33:V$49),0),"")</f>
        <v>8</v>
      </c>
      <c r="AH37" s="650">
        <f>+IFERROR(RANK(W37,(W$6:W$8,W$33:W$49),0),"")</f>
        <v>8</v>
      </c>
      <c r="AI37" s="650">
        <f>+IFERROR(RANK(X37,(X$6:X$8,X$33:X$49),0),"")</f>
        <v>8</v>
      </c>
      <c r="AJ37" s="650">
        <f>+IFERROR(RANK(Y37,(Y$6:Y$8,Y$33:Y$49),0),"")</f>
        <v>10</v>
      </c>
      <c r="AK37" s="650">
        <f>+IFERROR(RANK(Z37,(Z$6:Z$8,Z$33:Z$49),0),"")</f>
        <v>10</v>
      </c>
      <c r="AL37" s="650">
        <f>+IFERROR(RANK(AA37,(AA$6:AA$8,AA$33:AA$49),0),"")</f>
        <v>10</v>
      </c>
      <c r="AM37" s="650">
        <f>+IFERROR(RANK(AB37,(AB$6:AB$8,AB$33:AB$49),0),"")</f>
        <v>10</v>
      </c>
      <c r="AN37" s="650">
        <f>+IFERROR(RANK(AC37,(AC$6:AC$8,AC$33:AC$49),0),"")</f>
        <v>10</v>
      </c>
    </row>
    <row r="38" spans="1:40" s="115" customFormat="1" ht="12.75" customHeight="1">
      <c r="A38" s="201" t="s">
        <v>10</v>
      </c>
      <c r="B38" s="307" t="s">
        <v>162</v>
      </c>
      <c r="C38" s="5">
        <v>22421</v>
      </c>
      <c r="D38" s="5">
        <v>24396</v>
      </c>
      <c r="E38" s="5">
        <v>26994</v>
      </c>
      <c r="F38" s="5">
        <v>30926</v>
      </c>
      <c r="G38" s="5">
        <v>37855</v>
      </c>
      <c r="H38" s="5">
        <v>46407</v>
      </c>
      <c r="I38" s="5">
        <v>36187</v>
      </c>
      <c r="J38" s="5">
        <v>37538</v>
      </c>
      <c r="K38" s="5">
        <v>58475</v>
      </c>
      <c r="L38" s="5">
        <v>77812</v>
      </c>
      <c r="M38" s="5">
        <v>95946</v>
      </c>
      <c r="O38" s="559">
        <f t="shared" si="16"/>
        <v>19.188011878578337</v>
      </c>
      <c r="P38" s="559">
        <f t="shared" si="17"/>
        <v>18.345666265129353</v>
      </c>
      <c r="Q38" s="695"/>
      <c r="R38" s="683"/>
      <c r="S38" s="559">
        <f t="shared" si="5"/>
        <v>19.188011878578337</v>
      </c>
      <c r="T38" s="559">
        <f t="shared" si="6"/>
        <v>19.848669758359776</v>
      </c>
      <c r="U38" s="559">
        <f t="shared" si="7"/>
        <v>20.078397536502457</v>
      </c>
      <c r="V38" s="559">
        <f t="shared" si="8"/>
        <v>20.930452908849727</v>
      </c>
      <c r="W38" s="559">
        <f t="shared" si="9"/>
        <v>21.334212513666746</v>
      </c>
      <c r="X38" s="559">
        <f t="shared" si="10"/>
        <v>21.192152779680523</v>
      </c>
      <c r="Y38" s="559">
        <f t="shared" si="11"/>
        <v>15.988812647187476</v>
      </c>
      <c r="Z38" s="559">
        <f t="shared" si="12"/>
        <v>15.834943347197733</v>
      </c>
      <c r="AA38" s="559">
        <f t="shared" si="13"/>
        <v>17.638027557250066</v>
      </c>
      <c r="AB38" s="559">
        <f t="shared" si="14"/>
        <v>18.288781868223559</v>
      </c>
      <c r="AC38" s="559">
        <f t="shared" si="15"/>
        <v>18.345666265129353</v>
      </c>
      <c r="AD38" s="650">
        <f>+IFERROR(RANK(S38,(S$6:S$8,S$33:S$49),0),"")</f>
        <v>1</v>
      </c>
      <c r="AE38" s="650">
        <f>+IFERROR(RANK(T38,(T$6:T$8,T$33:T$49),0),"")</f>
        <v>1</v>
      </c>
      <c r="AF38" s="650">
        <f>+IFERROR(RANK(U38,(U$6:U$8,U$33:U$49),0),"")</f>
        <v>2</v>
      </c>
      <c r="AG38" s="650">
        <f>+IFERROR(RANK(V38,(V$6:V$8,V$33:V$49),0),"")</f>
        <v>1</v>
      </c>
      <c r="AH38" s="650">
        <f>+IFERROR(RANK(W38,(W$6:W$8,W$33:W$49),0),"")</f>
        <v>1</v>
      </c>
      <c r="AI38" s="650">
        <f>+IFERROR(RANK(X38,(X$6:X$8,X$33:X$49),0),"")</f>
        <v>1</v>
      </c>
      <c r="AJ38" s="650">
        <f>+IFERROR(RANK(Y38,(Y$6:Y$8,Y$33:Y$49),0),"")</f>
        <v>2</v>
      </c>
      <c r="AK38" s="650">
        <f>+IFERROR(RANK(Z38,(Z$6:Z$8,Z$33:Z$49),0),"")</f>
        <v>2</v>
      </c>
      <c r="AL38" s="650">
        <f>+IFERROR(RANK(AA38,(AA$6:AA$8,AA$33:AA$49),0),"")</f>
        <v>2</v>
      </c>
      <c r="AM38" s="650">
        <f>+IFERROR(RANK(AB38,(AB$6:AB$8,AB$33:AB$49),0),"")</f>
        <v>2</v>
      </c>
      <c r="AN38" s="650">
        <f>+IFERROR(RANK(AC38,(AC$6:AC$8,AC$33:AC$49),0),"")</f>
        <v>2</v>
      </c>
    </row>
    <row r="39" spans="1:40" ht="12.75" customHeight="1">
      <c r="A39" s="201" t="s">
        <v>80</v>
      </c>
      <c r="B39" s="307" t="s">
        <v>168</v>
      </c>
      <c r="C39" s="5">
        <v>1730</v>
      </c>
      <c r="D39" s="5">
        <v>1981</v>
      </c>
      <c r="E39" s="5">
        <v>2350</v>
      </c>
      <c r="F39" s="5">
        <v>2901</v>
      </c>
      <c r="G39" s="5">
        <v>3983</v>
      </c>
      <c r="H39" s="5">
        <v>6025</v>
      </c>
      <c r="I39" s="5">
        <v>8114</v>
      </c>
      <c r="J39" s="5">
        <v>9191</v>
      </c>
      <c r="K39" s="5">
        <v>14392</v>
      </c>
      <c r="L39" s="5">
        <v>16133</v>
      </c>
      <c r="M39" s="5">
        <v>18637</v>
      </c>
      <c r="O39" s="559">
        <f t="shared" si="16"/>
        <v>1.4805432652397539</v>
      </c>
      <c r="P39" s="559">
        <f t="shared" si="17"/>
        <v>3.5635480601923555</v>
      </c>
      <c r="Q39" s="695"/>
      <c r="R39" s="683"/>
      <c r="S39" s="559">
        <f t="shared" si="5"/>
        <v>1.4805432652397539</v>
      </c>
      <c r="T39" s="559">
        <f t="shared" si="6"/>
        <v>1.6117484338133594</v>
      </c>
      <c r="U39" s="559">
        <f t="shared" si="7"/>
        <v>1.7479526639542409</v>
      </c>
      <c r="V39" s="559">
        <f t="shared" si="8"/>
        <v>1.9633720458052464</v>
      </c>
      <c r="W39" s="559">
        <f t="shared" si="9"/>
        <v>2.2447277358852107</v>
      </c>
      <c r="X39" s="559">
        <f t="shared" si="10"/>
        <v>2.7513676923217432</v>
      </c>
      <c r="Y39" s="559">
        <f t="shared" si="11"/>
        <v>3.5850782275203579</v>
      </c>
      <c r="Z39" s="559">
        <f t="shared" si="12"/>
        <v>3.8771102430628792</v>
      </c>
      <c r="AA39" s="559">
        <f t="shared" si="13"/>
        <v>4.3411114596655489</v>
      </c>
      <c r="AB39" s="559">
        <f t="shared" si="14"/>
        <v>3.7918690931996437</v>
      </c>
      <c r="AC39" s="559">
        <f t="shared" si="15"/>
        <v>3.5635480601923555</v>
      </c>
      <c r="AD39" s="650">
        <f>+IFERROR(RANK(S39,(S$6:S$8,S$33:S$49),0),"")</f>
        <v>12</v>
      </c>
      <c r="AE39" s="650">
        <f>+IFERROR(RANK(T39,(T$6:T$8,T$33:T$49),0),"")</f>
        <v>11</v>
      </c>
      <c r="AF39" s="650">
        <f>+IFERROR(RANK(U39,(U$6:U$8,U$33:U$49),0),"")</f>
        <v>11</v>
      </c>
      <c r="AG39" s="650">
        <f>+IFERROR(RANK(V39,(V$6:V$8,V$33:V$49),0),"")</f>
        <v>11</v>
      </c>
      <c r="AH39" s="650">
        <f>+IFERROR(RANK(W39,(W$6:W$8,W$33:W$49),0),"")</f>
        <v>10</v>
      </c>
      <c r="AI39" s="650">
        <f>+IFERROR(RANK(X39,(X$6:X$8,X$33:X$49),0),"")</f>
        <v>10</v>
      </c>
      <c r="AJ39" s="650">
        <f>+IFERROR(RANK(Y39,(Y$6:Y$8,Y$33:Y$49),0),"")</f>
        <v>8</v>
      </c>
      <c r="AK39" s="650">
        <f>+IFERROR(RANK(Z39,(Z$6:Z$8,Z$33:Z$49),0),"")</f>
        <v>8</v>
      </c>
      <c r="AL39" s="650">
        <f>+IFERROR(RANK(AA39,(AA$6:AA$8,AA$33:AA$49),0),"")</f>
        <v>8</v>
      </c>
      <c r="AM39" s="650">
        <f>+IFERROR(RANK(AB39,(AB$6:AB$8,AB$33:AB$49),0),"")</f>
        <v>8</v>
      </c>
      <c r="AN39" s="650">
        <f>+IFERROR(RANK(AC39,(AC$6:AC$8,AC$33:AC$49),0),"")</f>
        <v>9</v>
      </c>
    </row>
    <row r="40" spans="1:40" ht="12.75" customHeight="1">
      <c r="A40" s="201" t="s">
        <v>81</v>
      </c>
      <c r="B40" s="307" t="s">
        <v>163</v>
      </c>
      <c r="C40" s="5">
        <v>979</v>
      </c>
      <c r="D40" s="5">
        <v>1003</v>
      </c>
      <c r="E40" s="5">
        <v>1048</v>
      </c>
      <c r="F40" s="5">
        <v>1178</v>
      </c>
      <c r="G40" s="5">
        <v>1413</v>
      </c>
      <c r="H40" s="5">
        <v>1648</v>
      </c>
      <c r="I40" s="5">
        <v>1808</v>
      </c>
      <c r="J40" s="5">
        <v>2044</v>
      </c>
      <c r="K40" s="5">
        <v>2562</v>
      </c>
      <c r="L40" s="5">
        <v>3219</v>
      </c>
      <c r="M40" s="5">
        <v>3728</v>
      </c>
      <c r="O40" s="559">
        <f t="shared" si="16"/>
        <v>0.8378334431616874</v>
      </c>
      <c r="P40" s="559">
        <f t="shared" si="17"/>
        <v>0.71282433698541081</v>
      </c>
      <c r="Q40" s="695"/>
      <c r="R40" s="683"/>
      <c r="S40" s="559">
        <f t="shared" si="5"/>
        <v>0.83783344316168729</v>
      </c>
      <c r="T40" s="559">
        <f t="shared" si="6"/>
        <v>0.8160442600276625</v>
      </c>
      <c r="U40" s="559">
        <f t="shared" si="7"/>
        <v>0.77951250715916787</v>
      </c>
      <c r="V40" s="559">
        <f t="shared" si="8"/>
        <v>0.79726034814153068</v>
      </c>
      <c r="W40" s="559">
        <f t="shared" si="9"/>
        <v>0.79633449430223513</v>
      </c>
      <c r="X40" s="559">
        <f t="shared" si="10"/>
        <v>0.7525732708624453</v>
      </c>
      <c r="Y40" s="559">
        <f t="shared" si="11"/>
        <v>0.79884415027813738</v>
      </c>
      <c r="Z40" s="559">
        <f t="shared" si="12"/>
        <v>0.862236245981996</v>
      </c>
      <c r="AA40" s="559">
        <f t="shared" si="13"/>
        <v>0.77278540575758303</v>
      </c>
      <c r="AB40" s="559">
        <f t="shared" si="14"/>
        <v>0.75658752935037832</v>
      </c>
      <c r="AC40" s="559">
        <f t="shared" si="15"/>
        <v>0.71282433698541081</v>
      </c>
      <c r="AD40" s="650">
        <f>+IFERROR(RANK(S40,(S$6:S$8,S$33:S$49),0),"")</f>
        <v>15</v>
      </c>
      <c r="AE40" s="650">
        <f>+IFERROR(RANK(T40,(T$6:T$8,T$33:T$49),0),"")</f>
        <v>15</v>
      </c>
      <c r="AF40" s="650">
        <f>+IFERROR(RANK(U40,(U$6:U$8,U$33:U$49),0),"")</f>
        <v>15</v>
      </c>
      <c r="AG40" s="650">
        <f>+IFERROR(RANK(V40,(V$6:V$8,V$33:V$49),0),"")</f>
        <v>15</v>
      </c>
      <c r="AH40" s="650">
        <f>+IFERROR(RANK(W40,(W$6:W$8,W$33:W$49),0),"")</f>
        <v>15</v>
      </c>
      <c r="AI40" s="650">
        <f>+IFERROR(RANK(X40,(X$6:X$8,X$33:X$49),0),"")</f>
        <v>15</v>
      </c>
      <c r="AJ40" s="650">
        <f>+IFERROR(RANK(Y40,(Y$6:Y$8,Y$33:Y$49),0),"")</f>
        <v>15</v>
      </c>
      <c r="AK40" s="650">
        <f>+IFERROR(RANK(Z40,(Z$6:Z$8,Z$33:Z$49),0),"")</f>
        <v>15</v>
      </c>
      <c r="AL40" s="650">
        <f>+IFERROR(RANK(AA40,(AA$6:AA$8,AA$33:AA$49),0),"")</f>
        <v>15</v>
      </c>
      <c r="AM40" s="650">
        <f>+IFERROR(RANK(AB40,(AB$6:AB$8,AB$33:AB$49),0),"")</f>
        <v>15</v>
      </c>
      <c r="AN40" s="650">
        <f>+IFERROR(RANK(AC40,(AC$6:AC$8,AC$33:AC$49),0),"")</f>
        <v>15</v>
      </c>
    </row>
    <row r="41" spans="1:40" ht="12.75" customHeight="1">
      <c r="A41" s="201" t="s">
        <v>82</v>
      </c>
      <c r="B41" s="307" t="s">
        <v>102</v>
      </c>
      <c r="C41" s="5">
        <v>1522</v>
      </c>
      <c r="D41" s="5">
        <v>1648</v>
      </c>
      <c r="E41" s="5">
        <v>1618</v>
      </c>
      <c r="F41" s="5">
        <v>1894</v>
      </c>
      <c r="G41" s="5">
        <v>2187</v>
      </c>
      <c r="H41" s="5">
        <v>2377</v>
      </c>
      <c r="I41" s="5">
        <v>2320</v>
      </c>
      <c r="J41" s="5">
        <v>2472</v>
      </c>
      <c r="K41" s="5">
        <v>3007</v>
      </c>
      <c r="L41" s="5">
        <v>3763</v>
      </c>
      <c r="M41" s="5">
        <v>4904</v>
      </c>
      <c r="O41" s="559">
        <f t="shared" si="16"/>
        <v>1.3025357512687314</v>
      </c>
      <c r="P41" s="559">
        <f t="shared" si="17"/>
        <v>0.93768523298724638</v>
      </c>
      <c r="Q41" s="695"/>
      <c r="R41" s="683"/>
      <c r="S41" s="559">
        <f t="shared" si="5"/>
        <v>1.3025357512687314</v>
      </c>
      <c r="T41" s="559">
        <f t="shared" si="6"/>
        <v>1.3408184850703766</v>
      </c>
      <c r="U41" s="559">
        <f t="shared" si="7"/>
        <v>1.2034840043736008</v>
      </c>
      <c r="V41" s="559">
        <f t="shared" si="8"/>
        <v>1.2818430385229702</v>
      </c>
      <c r="W41" s="559">
        <f t="shared" si="9"/>
        <v>1.2325431981875359</v>
      </c>
      <c r="X41" s="559">
        <f t="shared" si="10"/>
        <v>1.0854773451699227</v>
      </c>
      <c r="Y41" s="559">
        <f t="shared" si="11"/>
        <v>1.0250655025692914</v>
      </c>
      <c r="Z41" s="559">
        <f t="shared" si="12"/>
        <v>1.0427827788979913</v>
      </c>
      <c r="AA41" s="559">
        <f t="shared" si="13"/>
        <v>0.90701237904490717</v>
      </c>
      <c r="AB41" s="559">
        <f t="shared" si="14"/>
        <v>0.88444823639188364</v>
      </c>
      <c r="AC41" s="559">
        <f t="shared" si="15"/>
        <v>0.93768523298724638</v>
      </c>
      <c r="AD41" s="650">
        <f>+IFERROR(RANK(S41,(S$6:S$8,S$33:S$49),0),"")</f>
        <v>13</v>
      </c>
      <c r="AE41" s="650">
        <f>+IFERROR(RANK(T41,(T$6:T$8,T$33:T$49),0),"")</f>
        <v>13</v>
      </c>
      <c r="AF41" s="650">
        <f>+IFERROR(RANK(U41,(U$6:U$8,U$33:U$49),0),"")</f>
        <v>13</v>
      </c>
      <c r="AG41" s="650">
        <f>+IFERROR(RANK(V41,(V$6:V$8,V$33:V$49),0),"")</f>
        <v>12</v>
      </c>
      <c r="AH41" s="650">
        <f>+IFERROR(RANK(W41,(W$6:W$8,W$33:W$49),0),"")</f>
        <v>12</v>
      </c>
      <c r="AI41" s="650">
        <f>+IFERROR(RANK(X41,(X$6:X$8,X$33:X$49),0),"")</f>
        <v>12</v>
      </c>
      <c r="AJ41" s="650">
        <f>+IFERROR(RANK(Y41,(Y$6:Y$8,Y$33:Y$49),0),"")</f>
        <v>13</v>
      </c>
      <c r="AK41" s="650">
        <f>+IFERROR(RANK(Z41,(Z$6:Z$8,Z$33:Z$49),0),"")</f>
        <v>13</v>
      </c>
      <c r="AL41" s="650">
        <f>+IFERROR(RANK(AA41,(AA$6:AA$8,AA$33:AA$49),0),"")</f>
        <v>13</v>
      </c>
      <c r="AM41" s="650">
        <f>+IFERROR(RANK(AB41,(AB$6:AB$8,AB$33:AB$49),0),"")</f>
        <v>13</v>
      </c>
      <c r="AN41" s="650">
        <f>+IFERROR(RANK(AC41,(AC$6:AC$8,AC$33:AC$49),0),"")</f>
        <v>12</v>
      </c>
    </row>
    <row r="42" spans="1:40" ht="12.75" customHeight="1">
      <c r="A42" s="201" t="s">
        <v>53</v>
      </c>
      <c r="B42" s="307" t="s">
        <v>172</v>
      </c>
      <c r="C42" s="5">
        <v>2980</v>
      </c>
      <c r="D42" s="5">
        <v>3156</v>
      </c>
      <c r="E42" s="5">
        <v>3496</v>
      </c>
      <c r="F42" s="5">
        <v>3594</v>
      </c>
      <c r="G42" s="5">
        <v>4961</v>
      </c>
      <c r="H42" s="5">
        <v>6898</v>
      </c>
      <c r="I42" s="5">
        <v>7218</v>
      </c>
      <c r="J42" s="5">
        <v>7523</v>
      </c>
      <c r="K42" s="5">
        <v>10332</v>
      </c>
      <c r="L42" s="5">
        <v>14066</v>
      </c>
      <c r="M42" s="5">
        <v>18678</v>
      </c>
      <c r="O42" s="559">
        <f t="shared" si="16"/>
        <v>2.5502999597771483</v>
      </c>
      <c r="P42" s="559">
        <f t="shared" si="17"/>
        <v>3.5713875982332359</v>
      </c>
      <c r="Q42" s="695"/>
      <c r="R42" s="683"/>
      <c r="S42" s="559">
        <f t="shared" si="5"/>
        <v>2.5502999597771483</v>
      </c>
      <c r="T42" s="559">
        <f t="shared" si="6"/>
        <v>2.5677324871857459</v>
      </c>
      <c r="U42" s="559">
        <f t="shared" si="7"/>
        <v>2.6003585162485217</v>
      </c>
      <c r="V42" s="559">
        <f t="shared" si="8"/>
        <v>2.4323885324453829</v>
      </c>
      <c r="W42" s="559">
        <f t="shared" si="9"/>
        <v>2.7959061756782653</v>
      </c>
      <c r="X42" s="559">
        <f t="shared" si="10"/>
        <v>3.1500305961220558</v>
      </c>
      <c r="Y42" s="559">
        <f t="shared" si="11"/>
        <v>3.1891908610108382</v>
      </c>
      <c r="Z42" s="559">
        <f t="shared" si="12"/>
        <v>3.1734849699229724</v>
      </c>
      <c r="AA42" s="559">
        <f t="shared" si="13"/>
        <v>3.1164788494486135</v>
      </c>
      <c r="AB42" s="559">
        <f t="shared" si="14"/>
        <v>3.3060454140548061</v>
      </c>
      <c r="AC42" s="559">
        <f t="shared" si="15"/>
        <v>3.5713875982332359</v>
      </c>
      <c r="AD42" s="650">
        <f>+IFERROR(RANK(S42,(S$6:S$8,S$33:S$49),0),"")</f>
        <v>10</v>
      </c>
      <c r="AE42" s="650">
        <f>+IFERROR(RANK(T42,(T$6:T$8,T$33:T$49),0),"")</f>
        <v>9</v>
      </c>
      <c r="AF42" s="650">
        <f>+IFERROR(RANK(U42,(U$6:U$8,U$33:U$49),0),"")</f>
        <v>9</v>
      </c>
      <c r="AG42" s="650">
        <f>+IFERROR(RANK(V42,(V$6:V$8,V$33:V$49),0),"")</f>
        <v>9</v>
      </c>
      <c r="AH42" s="650">
        <f>+IFERROR(RANK(W42,(W$6:W$8,W$33:W$49),0),"")</f>
        <v>9</v>
      </c>
      <c r="AI42" s="650">
        <f>+IFERROR(RANK(X42,(X$6:X$8,X$33:X$49),0),"")</f>
        <v>9</v>
      </c>
      <c r="AJ42" s="650">
        <f>+IFERROR(RANK(Y42,(Y$6:Y$8,Y$33:Y$49),0),"")</f>
        <v>9</v>
      </c>
      <c r="AK42" s="650">
        <f>+IFERROR(RANK(Z42,(Z$6:Z$8,Z$33:Z$49),0),"")</f>
        <v>9</v>
      </c>
      <c r="AL42" s="650">
        <f>+IFERROR(RANK(AA42,(AA$6:AA$8,AA$33:AA$49),0),"")</f>
        <v>9</v>
      </c>
      <c r="AM42" s="650">
        <f>+IFERROR(RANK(AB42,(AB$6:AB$8,AB$33:AB$49),0),"")</f>
        <v>9</v>
      </c>
      <c r="AN42" s="650">
        <f>+IFERROR(RANK(AC42,(AC$6:AC$8,AC$33:AC$49),0),"")</f>
        <v>8</v>
      </c>
    </row>
    <row r="43" spans="1:40" ht="12.75" customHeight="1">
      <c r="A43" s="201" t="s">
        <v>84</v>
      </c>
      <c r="B43" s="307" t="s">
        <v>166</v>
      </c>
      <c r="C43" s="5">
        <v>21681</v>
      </c>
      <c r="D43" s="5">
        <v>22250</v>
      </c>
      <c r="E43" s="5">
        <v>27492</v>
      </c>
      <c r="F43" s="5">
        <v>30903</v>
      </c>
      <c r="G43" s="5">
        <v>36229</v>
      </c>
      <c r="H43" s="5">
        <v>45543</v>
      </c>
      <c r="I43" s="5">
        <v>48376</v>
      </c>
      <c r="J43" s="5">
        <v>51133</v>
      </c>
      <c r="K43" s="5">
        <v>72441</v>
      </c>
      <c r="L43" s="5">
        <v>86959</v>
      </c>
      <c r="M43" s="5">
        <v>97612</v>
      </c>
      <c r="O43" s="559">
        <f t="shared" si="16"/>
        <v>18.554715915412199</v>
      </c>
      <c r="P43" s="559">
        <f t="shared" si="17"/>
        <v>18.664219201131953</v>
      </c>
      <c r="Q43" s="695"/>
      <c r="R43" s="683"/>
      <c r="S43" s="559">
        <f t="shared" si="5"/>
        <v>18.554715915412199</v>
      </c>
      <c r="T43" s="559">
        <f t="shared" si="6"/>
        <v>18.102676755349442</v>
      </c>
      <c r="U43" s="559">
        <f t="shared" si="7"/>
        <v>20.448814739331912</v>
      </c>
      <c r="V43" s="559">
        <f t="shared" si="8"/>
        <v>20.914886705108422</v>
      </c>
      <c r="W43" s="559">
        <f t="shared" si="9"/>
        <v>20.417836089225531</v>
      </c>
      <c r="X43" s="559">
        <f t="shared" si="10"/>
        <v>20.797599802723511</v>
      </c>
      <c r="Y43" s="559">
        <f t="shared" si="11"/>
        <v>21.374383082884499</v>
      </c>
      <c r="Z43" s="559">
        <f t="shared" si="12"/>
        <v>21.569826793442957</v>
      </c>
      <c r="AA43" s="559">
        <f t="shared" si="13"/>
        <v>21.850643082937189</v>
      </c>
      <c r="AB43" s="559">
        <f t="shared" si="14"/>
        <v>20.438675043423281</v>
      </c>
      <c r="AC43" s="559">
        <f t="shared" si="15"/>
        <v>18.664219201131953</v>
      </c>
      <c r="AD43" s="650">
        <f>+IFERROR(RANK(S43,(S$6:S$8,S$33:S$49),0),"")</f>
        <v>2</v>
      </c>
      <c r="AE43" s="650">
        <f>+IFERROR(RANK(T43,(T$6:T$8,T$33:T$49),0),"")</f>
        <v>2</v>
      </c>
      <c r="AF43" s="650">
        <f>+IFERROR(RANK(U43,(U$6:U$8,U$33:U$49),0),"")</f>
        <v>1</v>
      </c>
      <c r="AG43" s="650">
        <f>+IFERROR(RANK(V43,(V$6:V$8,V$33:V$49),0),"")</f>
        <v>2</v>
      </c>
      <c r="AH43" s="650">
        <f>+IFERROR(RANK(W43,(W$6:W$8,W$33:W$49),0),"")</f>
        <v>2</v>
      </c>
      <c r="AI43" s="650">
        <f>+IFERROR(RANK(X43,(X$6:X$8,X$33:X$49),0),"")</f>
        <v>2</v>
      </c>
      <c r="AJ43" s="650">
        <f>+IFERROR(RANK(Y43,(Y$6:Y$8,Y$33:Y$49),0),"")</f>
        <v>1</v>
      </c>
      <c r="AK43" s="650">
        <f>+IFERROR(RANK(Z43,(Z$6:Z$8,Z$33:Z$49),0),"")</f>
        <v>1</v>
      </c>
      <c r="AL43" s="650">
        <f>+IFERROR(RANK(AA43,(AA$6:AA$8,AA$33:AA$49),0),"")</f>
        <v>1</v>
      </c>
      <c r="AM43" s="650">
        <f>+IFERROR(RANK(AB43,(AB$6:AB$8,AB$33:AB$49),0),"")</f>
        <v>1</v>
      </c>
      <c r="AN43" s="650">
        <f>+IFERROR(RANK(AC43,(AC$6:AC$8,AC$33:AC$49),0),"")</f>
        <v>1</v>
      </c>
    </row>
    <row r="44" spans="1:40" ht="12.75" customHeight="1">
      <c r="A44" s="201" t="s">
        <v>85</v>
      </c>
      <c r="B44" s="307" t="s">
        <v>167</v>
      </c>
      <c r="C44" s="5">
        <v>112</v>
      </c>
      <c r="D44" s="5">
        <v>111</v>
      </c>
      <c r="E44" s="5">
        <v>109</v>
      </c>
      <c r="F44" s="5">
        <v>113</v>
      </c>
      <c r="G44" s="5">
        <v>105</v>
      </c>
      <c r="H44" s="5">
        <v>105</v>
      </c>
      <c r="I44" s="5">
        <v>116</v>
      </c>
      <c r="J44" s="5">
        <v>115</v>
      </c>
      <c r="K44" s="5">
        <v>182</v>
      </c>
      <c r="L44" s="5">
        <v>274</v>
      </c>
      <c r="M44" s="5">
        <v>476</v>
      </c>
      <c r="O44" s="559">
        <f t="shared" si="16"/>
        <v>9.5850199830550542E-2</v>
      </c>
      <c r="P44" s="559">
        <f t="shared" si="17"/>
        <v>9.1015124572171549E-2</v>
      </c>
      <c r="Q44" s="695"/>
      <c r="R44" s="683"/>
      <c r="S44" s="559">
        <f t="shared" si="5"/>
        <v>9.5850199830550542E-2</v>
      </c>
      <c r="T44" s="559">
        <f t="shared" si="6"/>
        <v>9.0309982914327555E-2</v>
      </c>
      <c r="U44" s="559">
        <f t="shared" si="7"/>
        <v>8.1075251221707334E-2</v>
      </c>
      <c r="V44" s="559">
        <f t="shared" si="8"/>
        <v>7.6477435772489777E-2</v>
      </c>
      <c r="W44" s="559">
        <f t="shared" si="9"/>
        <v>5.9175599364284986E-2</v>
      </c>
      <c r="X44" s="559">
        <f t="shared" si="10"/>
        <v>4.7949146505192206E-2</v>
      </c>
      <c r="Y44" s="559">
        <f t="shared" si="11"/>
        <v>5.1253275128464566E-2</v>
      </c>
      <c r="Z44" s="559">
        <f t="shared" si="12"/>
        <v>4.8511334778830496E-2</v>
      </c>
      <c r="AA44" s="559">
        <f t="shared" si="13"/>
        <v>5.4897323906276392E-2</v>
      </c>
      <c r="AB44" s="559">
        <f t="shared" si="14"/>
        <v>6.4400429649581745E-2</v>
      </c>
      <c r="AC44" s="559">
        <f t="shared" si="15"/>
        <v>9.1015124572171549E-2</v>
      </c>
      <c r="AD44" s="650">
        <f>+IFERROR(RANK(S44,(S$6:S$8,S$33:S$49),0),"")</f>
        <v>18</v>
      </c>
      <c r="AE44" s="650">
        <f>+IFERROR(RANK(T44,(T$6:T$8,T$33:T$49),0),"")</f>
        <v>18</v>
      </c>
      <c r="AF44" s="650">
        <f>+IFERROR(RANK(U44,(U$6:U$8,U$33:U$49),0),"")</f>
        <v>18</v>
      </c>
      <c r="AG44" s="650">
        <f>+IFERROR(RANK(V44,(V$6:V$8,V$33:V$49),0),"")</f>
        <v>18</v>
      </c>
      <c r="AH44" s="650">
        <f>+IFERROR(RANK(W44,(W$6:W$8,W$33:W$49),0),"")</f>
        <v>18</v>
      </c>
      <c r="AI44" s="650">
        <f>+IFERROR(RANK(X44,(X$6:X$8,X$33:X$49),0),"")</f>
        <v>18</v>
      </c>
      <c r="AJ44" s="650">
        <f>+IFERROR(RANK(Y44,(Y$6:Y$8,Y$33:Y$49),0),"")</f>
        <v>18</v>
      </c>
      <c r="AK44" s="650">
        <f>+IFERROR(RANK(Z44,(Z$6:Z$8,Z$33:Z$49),0),"")</f>
        <v>19</v>
      </c>
      <c r="AL44" s="650">
        <f>+IFERROR(RANK(AA44,(AA$6:AA$8,AA$33:AA$49),0),"")</f>
        <v>18</v>
      </c>
      <c r="AM44" s="650">
        <f>+IFERROR(RANK(AB44,(AB$6:AB$8,AB$33:AB$49),0),"")</f>
        <v>18</v>
      </c>
      <c r="AN44" s="650">
        <f>+IFERROR(RANK(AC44,(AC$6:AC$8,AC$33:AC$49),0),"")</f>
        <v>18</v>
      </c>
    </row>
    <row r="45" spans="1:40" ht="12.75" customHeight="1">
      <c r="A45" s="201" t="s">
        <v>93</v>
      </c>
      <c r="B45" s="307" t="s">
        <v>83</v>
      </c>
      <c r="C45" s="5">
        <v>1797</v>
      </c>
      <c r="D45" s="5">
        <v>1863</v>
      </c>
      <c r="E45" s="5">
        <v>1877</v>
      </c>
      <c r="F45" s="5">
        <v>1874</v>
      </c>
      <c r="G45" s="5">
        <v>2052</v>
      </c>
      <c r="H45" s="5">
        <v>2338</v>
      </c>
      <c r="I45" s="5">
        <v>2589</v>
      </c>
      <c r="J45" s="5">
        <v>2706</v>
      </c>
      <c r="K45" s="5">
        <v>2960</v>
      </c>
      <c r="L45" s="5">
        <v>3878</v>
      </c>
      <c r="M45" s="5">
        <v>4584</v>
      </c>
      <c r="O45" s="559">
        <f t="shared" si="16"/>
        <v>1.5378822240669581</v>
      </c>
      <c r="P45" s="559">
        <f t="shared" si="17"/>
        <v>0.87649859461939994</v>
      </c>
      <c r="Q45" s="695"/>
      <c r="R45" s="683"/>
      <c r="S45" s="559">
        <f t="shared" si="5"/>
        <v>1.5378822240669583</v>
      </c>
      <c r="T45" s="559">
        <f t="shared" si="6"/>
        <v>1.5157432267512814</v>
      </c>
      <c r="U45" s="559">
        <f t="shared" si="7"/>
        <v>1.396130702230685</v>
      </c>
      <c r="V45" s="559">
        <f t="shared" si="8"/>
        <v>1.2683072091827066</v>
      </c>
      <c r="W45" s="559">
        <f t="shared" si="9"/>
        <v>1.1564602847191696</v>
      </c>
      <c r="X45" s="559">
        <f t="shared" si="10"/>
        <v>1.0676676621822798</v>
      </c>
      <c r="Y45" s="559">
        <f t="shared" si="11"/>
        <v>1.1439200802378859</v>
      </c>
      <c r="Z45" s="559">
        <f t="shared" si="12"/>
        <v>1.1414927992305681</v>
      </c>
      <c r="AA45" s="559">
        <f t="shared" si="13"/>
        <v>0.89283559759658304</v>
      </c>
      <c r="AB45" s="559">
        <f t="shared" si="14"/>
        <v>0.91147761379955483</v>
      </c>
      <c r="AC45" s="559">
        <f t="shared" si="15"/>
        <v>0.87649859461939994</v>
      </c>
      <c r="AD45" s="650">
        <f>+IFERROR(RANK(S45,(S$6:S$8,S$33:S$49),0),"")</f>
        <v>11</v>
      </c>
      <c r="AE45" s="650">
        <f>+IFERROR(RANK(T45,(T$6:T$8,T$33:T$49),0),"")</f>
        <v>12</v>
      </c>
      <c r="AF45" s="650">
        <f>+IFERROR(RANK(U45,(U$6:U$8,U$33:U$49),0),"")</f>
        <v>12</v>
      </c>
      <c r="AG45" s="650">
        <f>+IFERROR(RANK(V45,(V$6:V$8,V$33:V$49),0),"")</f>
        <v>13</v>
      </c>
      <c r="AH45" s="650">
        <f>+IFERROR(RANK(W45,(W$6:W$8,W$33:W$49),0),"")</f>
        <v>14</v>
      </c>
      <c r="AI45" s="650">
        <f>+IFERROR(RANK(X45,(X$6:X$8,X$33:X$49),0),"")</f>
        <v>14</v>
      </c>
      <c r="AJ45" s="650">
        <f>+IFERROR(RANK(Y45,(Y$6:Y$8,Y$33:Y$49),0),"")</f>
        <v>12</v>
      </c>
      <c r="AK45" s="650">
        <f>+IFERROR(RANK(Z45,(Z$6:Z$8,Z$33:Z$49),0),"")</f>
        <v>12</v>
      </c>
      <c r="AL45" s="650">
        <f>+IFERROR(RANK(AA45,(AA$6:AA$8,AA$33:AA$49),0),"")</f>
        <v>14</v>
      </c>
      <c r="AM45" s="650">
        <f>+IFERROR(RANK(AB45,(AB$6:AB$8,AB$33:AB$49),0),"")</f>
        <v>12</v>
      </c>
      <c r="AN45" s="650">
        <f>+IFERROR(RANK(AC45,(AC$6:AC$8,AC$33:AC$49),0),"")</f>
        <v>14</v>
      </c>
    </row>
    <row r="46" spans="1:40" ht="12.75" customHeight="1">
      <c r="A46" s="201" t="s">
        <v>86</v>
      </c>
      <c r="B46" s="307" t="s">
        <v>138</v>
      </c>
      <c r="C46" s="5">
        <v>6267</v>
      </c>
      <c r="D46" s="5">
        <v>6493</v>
      </c>
      <c r="E46" s="5">
        <v>6806</v>
      </c>
      <c r="F46" s="5">
        <v>7204</v>
      </c>
      <c r="G46" s="5">
        <v>8283</v>
      </c>
      <c r="H46" s="5">
        <v>10226</v>
      </c>
      <c r="I46" s="5">
        <v>12107</v>
      </c>
      <c r="J46" s="5">
        <v>12960</v>
      </c>
      <c r="K46" s="5">
        <v>16549</v>
      </c>
      <c r="L46" s="5">
        <v>21307</v>
      </c>
      <c r="M46" s="5">
        <v>26915</v>
      </c>
      <c r="O46" s="559">
        <f t="shared" si="16"/>
        <v>5.3633321637326805</v>
      </c>
      <c r="P46" s="559">
        <f t="shared" si="17"/>
        <v>5.1463699114705825</v>
      </c>
      <c r="S46" s="559">
        <f t="shared" si="5"/>
        <v>5.3633321637326805</v>
      </c>
      <c r="T46" s="559">
        <f t="shared" si="6"/>
        <v>5.2827271987633226</v>
      </c>
      <c r="U46" s="559">
        <f t="shared" si="7"/>
        <v>5.0623684386691759</v>
      </c>
      <c r="V46" s="559">
        <f t="shared" si="8"/>
        <v>4.8756057283629772</v>
      </c>
      <c r="W46" s="559">
        <f t="shared" si="9"/>
        <v>4.6681094241368815</v>
      </c>
      <c r="X46" s="559">
        <f t="shared" si="10"/>
        <v>4.6697902110675766</v>
      </c>
      <c r="Y46" s="559">
        <f t="shared" si="11"/>
        <v>5.3493396722441426</v>
      </c>
      <c r="Z46" s="559">
        <f t="shared" si="12"/>
        <v>5.4670165107273325</v>
      </c>
      <c r="AA46" s="559">
        <f t="shared" si="13"/>
        <v>4.9917352380492748</v>
      </c>
      <c r="AB46" s="559">
        <f t="shared" si="14"/>
        <v>5.0079560384804322</v>
      </c>
      <c r="AC46" s="559">
        <f t="shared" si="15"/>
        <v>5.1463699114705825</v>
      </c>
      <c r="AD46" s="650">
        <f>+IFERROR(RANK(S46,(S$6:S$8,S$33:S$49),0),"")</f>
        <v>7</v>
      </c>
      <c r="AE46" s="650">
        <f>+IFERROR(RANK(T46,(T$6:T$8,T$33:T$49),0),"")</f>
        <v>7</v>
      </c>
      <c r="AF46" s="650">
        <f>+IFERROR(RANK(U46,(U$6:U$8,U$33:U$49),0),"")</f>
        <v>7</v>
      </c>
      <c r="AG46" s="650">
        <f>+IFERROR(RANK(V46,(V$6:V$8,V$33:V$49),0),"")</f>
        <v>7</v>
      </c>
      <c r="AH46" s="650">
        <f>+IFERROR(RANK(W46,(W$6:W$8,W$33:W$49),0),"")</f>
        <v>7</v>
      </c>
      <c r="AI46" s="650">
        <f>+IFERROR(RANK(X46,(X$6:X$8,X$33:X$49),0),"")</f>
        <v>7</v>
      </c>
      <c r="AJ46" s="650">
        <f>+IFERROR(RANK(Y46,(Y$6:Y$8,Y$33:Y$49),0),"")</f>
        <v>7</v>
      </c>
      <c r="AK46" s="650">
        <f>+IFERROR(RANK(Z46,(Z$6:Z$8,Z$33:Z$49),0),"")</f>
        <v>7</v>
      </c>
      <c r="AL46" s="650">
        <f>+IFERROR(RANK(AA46,(AA$6:AA$8,AA$33:AA$49),0),"")</f>
        <v>7</v>
      </c>
      <c r="AM46" s="650">
        <f>+IFERROR(RANK(AB46,(AB$6:AB$8,AB$33:AB$49),0),"")</f>
        <v>7</v>
      </c>
      <c r="AN46" s="650">
        <f>+IFERROR(RANK(AC46,(AC$6:AC$8,AC$33:AC$49),0),"")</f>
        <v>7</v>
      </c>
    </row>
    <row r="47" spans="1:40" ht="12.75" customHeight="1">
      <c r="A47" s="201" t="s">
        <v>94</v>
      </c>
      <c r="B47" s="307" t="s">
        <v>164</v>
      </c>
      <c r="C47" s="5">
        <v>1357</v>
      </c>
      <c r="D47" s="5">
        <v>1580</v>
      </c>
      <c r="E47" s="5">
        <v>1556</v>
      </c>
      <c r="F47" s="5">
        <v>1738</v>
      </c>
      <c r="G47" s="5">
        <v>2069</v>
      </c>
      <c r="H47" s="5">
        <v>2363</v>
      </c>
      <c r="I47" s="5">
        <v>2178</v>
      </c>
      <c r="J47" s="5">
        <v>2347</v>
      </c>
      <c r="K47" s="5">
        <v>3016</v>
      </c>
      <c r="L47" s="5">
        <v>3744</v>
      </c>
      <c r="M47" s="5">
        <v>4642</v>
      </c>
      <c r="O47" s="559">
        <f t="shared" si="16"/>
        <v>1.1613278675897953</v>
      </c>
      <c r="P47" s="559">
        <f t="shared" si="17"/>
        <v>0.88758867282357212</v>
      </c>
      <c r="S47" s="559">
        <f t="shared" si="5"/>
        <v>1.1613278675897953</v>
      </c>
      <c r="T47" s="559">
        <f t="shared" si="6"/>
        <v>1.2854934504922302</v>
      </c>
      <c r="U47" s="559">
        <f t="shared" si="7"/>
        <v>1.1573678064309783</v>
      </c>
      <c r="V47" s="559">
        <f t="shared" si="8"/>
        <v>1.1762635696689137</v>
      </c>
      <c r="W47" s="559">
        <f t="shared" si="9"/>
        <v>1.1660410960448158</v>
      </c>
      <c r="X47" s="559">
        <f t="shared" si="10"/>
        <v>1.079084125635897</v>
      </c>
      <c r="Y47" s="559">
        <f t="shared" si="11"/>
        <v>0.9623244243947916</v>
      </c>
      <c r="Z47" s="559">
        <f t="shared" si="12"/>
        <v>0.99005306718187114</v>
      </c>
      <c r="AA47" s="559">
        <f t="shared" si="13"/>
        <v>0.90972708187543738</v>
      </c>
      <c r="AB47" s="559">
        <f t="shared" si="14"/>
        <v>0.87998251316800757</v>
      </c>
      <c r="AC47" s="559">
        <f t="shared" si="15"/>
        <v>0.88758867282357212</v>
      </c>
      <c r="AD47" s="650">
        <f>+IFERROR(RANK(S47,(S$6:S$8,S$33:S$49),0),"")</f>
        <v>14</v>
      </c>
      <c r="AE47" s="650">
        <f>+IFERROR(RANK(T47,(T$6:T$8,T$33:T$49),0),"")</f>
        <v>14</v>
      </c>
      <c r="AF47" s="650">
        <f>+IFERROR(RANK(U47,(U$6:U$8,U$33:U$49),0),"")</f>
        <v>14</v>
      </c>
      <c r="AG47" s="650">
        <f>+IFERROR(RANK(V47,(V$6:V$8,V$33:V$49),0),"")</f>
        <v>14</v>
      </c>
      <c r="AH47" s="650">
        <f>+IFERROR(RANK(W47,(W$6:W$8,W$33:W$49),0),"")</f>
        <v>13</v>
      </c>
      <c r="AI47" s="650">
        <f>+IFERROR(RANK(X47,(X$6:X$8,X$33:X$49),0),"")</f>
        <v>13</v>
      </c>
      <c r="AJ47" s="650">
        <f>+IFERROR(RANK(Y47,(Y$6:Y$8,Y$33:Y$49),0),"")</f>
        <v>14</v>
      </c>
      <c r="AK47" s="650">
        <f>+IFERROR(RANK(Z47,(Z$6:Z$8,Z$33:Z$49),0),"")</f>
        <v>14</v>
      </c>
      <c r="AL47" s="650">
        <f>+IFERROR(RANK(AA47,(AA$6:AA$8,AA$33:AA$49),0),"")</f>
        <v>12</v>
      </c>
      <c r="AM47" s="650">
        <f>+IFERROR(RANK(AB47,(AB$6:AB$8,AB$33:AB$49),0),"")</f>
        <v>14</v>
      </c>
      <c r="AN47" s="650">
        <f>+IFERROR(RANK(AC47,(AC$6:AC$8,AC$33:AC$49),0),"")</f>
        <v>13</v>
      </c>
    </row>
    <row r="48" spans="1:40" ht="12.75" customHeight="1">
      <c r="A48" s="201" t="s">
        <v>95</v>
      </c>
      <c r="B48" s="307" t="s">
        <v>103</v>
      </c>
      <c r="C48" s="5">
        <v>3061</v>
      </c>
      <c r="D48" s="5">
        <v>3074</v>
      </c>
      <c r="E48" s="5">
        <v>3180</v>
      </c>
      <c r="F48" s="5">
        <v>3326</v>
      </c>
      <c r="G48" s="5">
        <v>3658</v>
      </c>
      <c r="H48" s="5">
        <v>3877</v>
      </c>
      <c r="I48" s="5">
        <v>3691</v>
      </c>
      <c r="J48" s="5">
        <v>3507</v>
      </c>
      <c r="K48" s="5">
        <v>4459</v>
      </c>
      <c r="L48" s="5">
        <v>5364</v>
      </c>
      <c r="M48" s="5">
        <v>6581</v>
      </c>
      <c r="O48" s="559">
        <f t="shared" si="16"/>
        <v>2.6196201935831711</v>
      </c>
      <c r="P48" s="559">
        <f t="shared" si="17"/>
        <v>1.2583414596837417</v>
      </c>
      <c r="S48" s="559">
        <f t="shared" si="5"/>
        <v>2.6196201935831716</v>
      </c>
      <c r="T48" s="559">
        <f t="shared" si="6"/>
        <v>2.5010170043120983</v>
      </c>
      <c r="U48" s="559">
        <f t="shared" si="7"/>
        <v>2.3653146686699942</v>
      </c>
      <c r="V48" s="559">
        <f t="shared" si="8"/>
        <v>2.2510084192858497</v>
      </c>
      <c r="W48" s="559">
        <f t="shared" si="9"/>
        <v>2.0615651664243284</v>
      </c>
      <c r="X48" s="559">
        <f t="shared" si="10"/>
        <v>1.7704651523869541</v>
      </c>
      <c r="Y48" s="559">
        <f t="shared" si="11"/>
        <v>1.6308261939582993</v>
      </c>
      <c r="Z48" s="559">
        <f t="shared" si="12"/>
        <v>1.4793847919074656</v>
      </c>
      <c r="AA48" s="559">
        <f t="shared" si="13"/>
        <v>1.3449844357037717</v>
      </c>
      <c r="AB48" s="559">
        <f t="shared" si="14"/>
        <v>1.2607441775195494</v>
      </c>
      <c r="AC48" s="559">
        <f t="shared" si="15"/>
        <v>1.2583414596837417</v>
      </c>
      <c r="AD48" s="650">
        <f>+IFERROR(RANK(S48,(S$6:S$8,S$33:S$49),0),"")</f>
        <v>9</v>
      </c>
      <c r="AE48" s="650">
        <f>+IFERROR(RANK(T48,(T$6:T$8,T$33:T$49),0),"")</f>
        <v>10</v>
      </c>
      <c r="AF48" s="650">
        <f>+IFERROR(RANK(U48,(U$6:U$8,U$33:U$49),0),"")</f>
        <v>10</v>
      </c>
      <c r="AG48" s="650">
        <f>+IFERROR(RANK(V48,(V$6:V$8,V$33:V$49),0),"")</f>
        <v>10</v>
      </c>
      <c r="AH48" s="650">
        <f>+IFERROR(RANK(W48,(W$6:W$8,W$33:W$49),0),"")</f>
        <v>11</v>
      </c>
      <c r="AI48" s="650">
        <f>+IFERROR(RANK(X48,(X$6:X$8,X$33:X$49),0),"")</f>
        <v>11</v>
      </c>
      <c r="AJ48" s="650">
        <f>+IFERROR(RANK(Y48,(Y$6:Y$8,Y$33:Y$49),0),"")</f>
        <v>11</v>
      </c>
      <c r="AK48" s="650">
        <f>+IFERROR(RANK(Z48,(Z$6:Z$8,Z$33:Z$49),0),"")</f>
        <v>11</v>
      </c>
      <c r="AL48" s="650">
        <f>+IFERROR(RANK(AA48,(AA$6:AA$8,AA$33:AA$49),0),"")</f>
        <v>11</v>
      </c>
      <c r="AM48" s="650">
        <f>+IFERROR(RANK(AB48,(AB$6:AB$8,AB$33:AB$49),0),"")</f>
        <v>11</v>
      </c>
      <c r="AN48" s="650">
        <f>+IFERROR(RANK(AC48,(AC$6:AC$8,AC$33:AC$49),0),"")</f>
        <v>11</v>
      </c>
    </row>
    <row r="49" spans="1:40" ht="12.75" customHeight="1">
      <c r="A49" s="34" t="s">
        <v>96</v>
      </c>
      <c r="B49" s="35" t="s">
        <v>165</v>
      </c>
      <c r="C49" s="699">
        <v>17</v>
      </c>
      <c r="D49" s="699">
        <v>15</v>
      </c>
      <c r="E49" s="699">
        <v>15</v>
      </c>
      <c r="F49" s="699">
        <v>13</v>
      </c>
      <c r="G49" s="699">
        <v>11</v>
      </c>
      <c r="H49" s="699">
        <v>9</v>
      </c>
      <c r="I49" s="699">
        <v>14</v>
      </c>
      <c r="J49" s="699">
        <v>32</v>
      </c>
      <c r="K49" s="699">
        <v>35</v>
      </c>
      <c r="L49" s="699">
        <v>39</v>
      </c>
      <c r="M49" s="699">
        <v>41</v>
      </c>
      <c r="O49" s="559">
        <f t="shared" si="16"/>
        <v>1.4548691045708563E-2</v>
      </c>
      <c r="P49" s="559">
        <f t="shared" si="17"/>
        <v>7.8395380408803218E-3</v>
      </c>
      <c r="S49" s="559">
        <f t="shared" si="5"/>
        <v>1.4548691045708564E-2</v>
      </c>
      <c r="T49" s="559">
        <f t="shared" si="6"/>
        <v>1.22040517451794E-2</v>
      </c>
      <c r="U49" s="559">
        <f t="shared" si="7"/>
        <v>1.1157144663537708E-2</v>
      </c>
      <c r="V49" s="559">
        <f t="shared" si="8"/>
        <v>8.7982890711713908E-3</v>
      </c>
      <c r="W49" s="559">
        <f t="shared" si="9"/>
        <v>6.1993485048298562E-3</v>
      </c>
      <c r="X49" s="559">
        <f t="shared" si="10"/>
        <v>4.1099268433021892E-3</v>
      </c>
      <c r="Y49" s="559">
        <f t="shared" si="11"/>
        <v>6.1857401017112405E-3</v>
      </c>
      <c r="Z49" s="559">
        <f t="shared" si="12"/>
        <v>1.3498806199326746E-2</v>
      </c>
      <c r="AA49" s="559">
        <f t="shared" si="13"/>
        <v>1.0557177674283921E-2</v>
      </c>
      <c r="AB49" s="559">
        <f t="shared" si="14"/>
        <v>9.1664845121667456E-3</v>
      </c>
      <c r="AC49" s="559">
        <f t="shared" si="15"/>
        <v>7.8395380408803235E-3</v>
      </c>
      <c r="AD49" s="650">
        <f>+IFERROR(RANK(S49,(S$6:S$8,S$33:S$49),0),"")</f>
        <v>20</v>
      </c>
      <c r="AE49" s="650">
        <f>+IFERROR(RANK(T49,(T$6:T$8,T$33:T$49),0),"")</f>
        <v>20</v>
      </c>
      <c r="AF49" s="650">
        <f>+IFERROR(RANK(U49,(U$6:U$8,U$33:U$49),0),"")</f>
        <v>20</v>
      </c>
      <c r="AG49" s="650">
        <f>+IFERROR(RANK(V49,(V$6:V$8,V$33:V$49),0),"")</f>
        <v>20</v>
      </c>
      <c r="AH49" s="650">
        <f>+IFERROR(RANK(W49,(W$6:W$8,W$33:W$49),0),"")</f>
        <v>20</v>
      </c>
      <c r="AI49" s="650">
        <f>+IFERROR(RANK(X49,(X$6:X$8,X$33:X$49),0),"")</f>
        <v>20</v>
      </c>
      <c r="AJ49" s="650">
        <f>+IFERROR(RANK(Y49,(Y$6:Y$8,Y$33:Y$49),0),"")</f>
        <v>20</v>
      </c>
      <c r="AK49" s="650">
        <f>+IFERROR(RANK(Z49,(Z$6:Z$8,Z$33:Z$49),0),"")</f>
        <v>20</v>
      </c>
      <c r="AL49" s="650">
        <f>+IFERROR(RANK(AA49,(AA$6:AA$8,AA$33:AA$49),0),"")</f>
        <v>20</v>
      </c>
      <c r="AM49" s="650">
        <f>+IFERROR(RANK(AB49,(AB$6:AB$8,AB$33:AB$49),0),"")</f>
        <v>20</v>
      </c>
      <c r="AN49" s="650">
        <f>+IFERROR(RANK(AC49,(AC$6:AC$8,AC$33:AC$49),0),"")</f>
        <v>20</v>
      </c>
    </row>
    <row r="50" spans="1:40" ht="15" customHeight="1">
      <c r="A50" s="19" t="s">
        <v>769</v>
      </c>
      <c r="B50" s="8"/>
      <c r="C50" s="177"/>
      <c r="D50" s="5"/>
      <c r="E50" s="5"/>
      <c r="F50" s="5"/>
      <c r="G50" s="5"/>
      <c r="H50" s="5"/>
      <c r="I50" s="5"/>
      <c r="J50" s="5"/>
      <c r="K50" s="5"/>
      <c r="L50" s="5"/>
      <c r="M50" s="5"/>
      <c r="T50" s="697"/>
      <c r="U50" s="680"/>
      <c r="V50" s="680"/>
      <c r="W50" s="680"/>
      <c r="X50" s="680"/>
      <c r="Y50" s="680"/>
      <c r="Z50" s="680"/>
      <c r="AA50" s="680"/>
      <c r="AB50" s="680"/>
      <c r="AC50" s="680"/>
      <c r="AD50" s="680"/>
    </row>
    <row r="51" spans="1:40" ht="21" customHeight="1">
      <c r="B51" s="670"/>
      <c r="T51" s="697"/>
      <c r="U51" s="680"/>
      <c r="V51" s="680"/>
      <c r="W51" s="680"/>
      <c r="X51" s="680"/>
      <c r="Y51" s="680"/>
      <c r="Z51" s="680"/>
      <c r="AA51" s="680"/>
      <c r="AB51" s="680"/>
      <c r="AC51" s="680"/>
      <c r="AD51" s="680"/>
    </row>
    <row r="52" spans="1:40">
      <c r="T52" s="697"/>
      <c r="U52" s="680"/>
      <c r="V52" s="680"/>
      <c r="W52" s="680"/>
      <c r="X52" s="680"/>
      <c r="Y52" s="680"/>
      <c r="Z52" s="680"/>
      <c r="AA52" s="680"/>
      <c r="AB52" s="680"/>
      <c r="AC52" s="680"/>
      <c r="AD52" s="680"/>
    </row>
    <row r="53" spans="1:40">
      <c r="T53" s="697"/>
      <c r="U53" s="680"/>
      <c r="V53" s="680"/>
      <c r="W53" s="680"/>
      <c r="X53" s="680"/>
      <c r="Y53" s="680"/>
      <c r="Z53" s="680"/>
      <c r="AA53" s="680"/>
      <c r="AB53" s="680"/>
      <c r="AC53" s="680"/>
      <c r="AD53" s="680"/>
    </row>
    <row r="54" spans="1:40">
      <c r="T54" s="697"/>
      <c r="U54" s="680"/>
      <c r="V54" s="680"/>
      <c r="W54" s="680"/>
      <c r="X54" s="680"/>
      <c r="Y54" s="680"/>
      <c r="Z54" s="680"/>
      <c r="AA54" s="680"/>
      <c r="AB54" s="680"/>
      <c r="AC54" s="680"/>
      <c r="AD54" s="680"/>
    </row>
    <row r="55" spans="1:40">
      <c r="T55" s="697"/>
      <c r="U55" s="680"/>
      <c r="V55" s="680"/>
      <c r="W55" s="680"/>
      <c r="X55" s="680"/>
      <c r="Y55" s="680"/>
      <c r="Z55" s="680"/>
      <c r="AA55" s="680"/>
      <c r="AB55" s="680"/>
      <c r="AC55" s="680"/>
      <c r="AD55" s="680"/>
    </row>
    <row r="56" spans="1:40">
      <c r="T56" s="697"/>
      <c r="U56" s="680"/>
      <c r="V56" s="680"/>
      <c r="W56" s="680"/>
      <c r="X56" s="680"/>
      <c r="Y56" s="680"/>
      <c r="Z56" s="680"/>
      <c r="AA56" s="680"/>
      <c r="AB56" s="680"/>
      <c r="AC56" s="680"/>
      <c r="AD56" s="680"/>
    </row>
    <row r="57" spans="1:40">
      <c r="T57" s="697"/>
      <c r="U57" s="680"/>
      <c r="V57" s="680"/>
      <c r="W57" s="680"/>
      <c r="X57" s="680"/>
      <c r="Y57" s="680"/>
      <c r="Z57" s="680"/>
      <c r="AA57" s="680"/>
      <c r="AB57" s="680"/>
      <c r="AC57" s="680"/>
      <c r="AD57" s="680"/>
    </row>
    <row r="58" spans="1:40">
      <c r="T58" s="697"/>
      <c r="U58" s="680"/>
      <c r="V58" s="680"/>
      <c r="W58" s="680"/>
      <c r="X58" s="680"/>
      <c r="Y58" s="680"/>
      <c r="Z58" s="680"/>
      <c r="AA58" s="680"/>
      <c r="AB58" s="680"/>
      <c r="AC58" s="680"/>
      <c r="AD58" s="680"/>
    </row>
    <row r="59" spans="1:40">
      <c r="T59" s="697"/>
      <c r="U59" s="680"/>
      <c r="V59" s="680"/>
      <c r="W59" s="680"/>
      <c r="X59" s="680"/>
      <c r="Y59" s="680"/>
      <c r="Z59" s="680"/>
      <c r="AA59" s="680"/>
      <c r="AB59" s="680"/>
      <c r="AC59" s="680"/>
      <c r="AD59" s="680"/>
    </row>
    <row r="61" spans="1:40">
      <c r="T61" s="700"/>
    </row>
    <row r="62" spans="1:40" ht="12.75">
      <c r="U62" s="688"/>
      <c r="V62" s="688"/>
      <c r="W62" s="688"/>
      <c r="X62" s="688"/>
      <c r="Y62" s="688"/>
      <c r="Z62" s="688"/>
      <c r="AA62" s="688"/>
      <c r="AB62" s="688"/>
      <c r="AC62" s="688"/>
      <c r="AD62" s="688"/>
    </row>
    <row r="63" spans="1:40">
      <c r="T63" s="696"/>
      <c r="U63" s="701"/>
      <c r="V63" s="701"/>
      <c r="W63" s="701"/>
      <c r="X63" s="701"/>
      <c r="Y63" s="701"/>
      <c r="Z63" s="701"/>
      <c r="AA63" s="701"/>
      <c r="AB63" s="701"/>
      <c r="AC63" s="701"/>
      <c r="AD63" s="701"/>
    </row>
  </sheetData>
  <mergeCells count="1">
    <mergeCell ref="A1:M1"/>
  </mergeCells>
  <conditionalFormatting sqref="A1 A2:B5 N5:N1048576 O7:R7 N1:O3 AB1:XFD3 O50:S59 AE50:XFD59 C2:E3 A51:E1048576 A50:C50 M4:N4 C4:C49 D5:M49 O64:XFD1048576 AE62:XFD63 O62:S63 O60:XFD61 Q46:R49 AO4:XFD49">
    <cfRule type="cellIs" dxfId="2020" priority="42" operator="equal">
      <formula>0</formula>
    </cfRule>
  </conditionalFormatting>
  <conditionalFormatting sqref="C4:E4 M4">
    <cfRule type="cellIs" dxfId="2019" priority="40" operator="equal">
      <formula>0</formula>
    </cfRule>
  </conditionalFormatting>
  <conditionalFormatting sqref="D50:E50">
    <cfRule type="cellIs" dxfId="2018" priority="39" operator="equal">
      <formula>0</formula>
    </cfRule>
  </conditionalFormatting>
  <conditionalFormatting sqref="H2:H3 H51:H1048576">
    <cfRule type="cellIs" dxfId="2017" priority="38" operator="equal">
      <formula>0</formula>
    </cfRule>
  </conditionalFormatting>
  <conditionalFormatting sqref="H4">
    <cfRule type="cellIs" dxfId="2016" priority="37" operator="equal">
      <formula>0</formula>
    </cfRule>
  </conditionalFormatting>
  <conditionalFormatting sqref="H50">
    <cfRule type="cellIs" dxfId="2015" priority="36" operator="equal">
      <formula>0</formula>
    </cfRule>
  </conditionalFormatting>
  <conditionalFormatting sqref="F2:F3 F51:F1048576">
    <cfRule type="cellIs" dxfId="2014" priority="35" operator="equal">
      <formula>0</formula>
    </cfRule>
  </conditionalFormatting>
  <conditionalFormatting sqref="F4">
    <cfRule type="cellIs" dxfId="2013" priority="34" operator="equal">
      <formula>0</formula>
    </cfRule>
  </conditionalFormatting>
  <conditionalFormatting sqref="F50">
    <cfRule type="cellIs" dxfId="2012" priority="33" operator="equal">
      <formula>0</formula>
    </cfRule>
  </conditionalFormatting>
  <conditionalFormatting sqref="G2:G3 G51:G1048576">
    <cfRule type="cellIs" dxfId="2011" priority="32" operator="equal">
      <formula>0</formula>
    </cfRule>
  </conditionalFormatting>
  <conditionalFormatting sqref="G4">
    <cfRule type="cellIs" dxfId="2010" priority="31" operator="equal">
      <formula>0</formula>
    </cfRule>
  </conditionalFormatting>
  <conditionalFormatting sqref="G50">
    <cfRule type="cellIs" dxfId="2009" priority="30" operator="equal">
      <formula>0</formula>
    </cfRule>
  </conditionalFormatting>
  <conditionalFormatting sqref="I50">
    <cfRule type="cellIs" dxfId="2008" priority="27" operator="equal">
      <formula>0</formula>
    </cfRule>
  </conditionalFormatting>
  <conditionalFormatting sqref="I2:I3 I51:I1048576">
    <cfRule type="cellIs" dxfId="2007" priority="29" operator="equal">
      <formula>0</formula>
    </cfRule>
  </conditionalFormatting>
  <conditionalFormatting sqref="I4">
    <cfRule type="cellIs" dxfId="2006" priority="28" operator="equal">
      <formula>0</formula>
    </cfRule>
  </conditionalFormatting>
  <conditionalFormatting sqref="J50">
    <cfRule type="cellIs" dxfId="2005" priority="24" operator="equal">
      <formula>0</formula>
    </cfRule>
  </conditionalFormatting>
  <conditionalFormatting sqref="J2:J3 J51:J1048576">
    <cfRule type="cellIs" dxfId="2004" priority="26" operator="equal">
      <formula>0</formula>
    </cfRule>
  </conditionalFormatting>
  <conditionalFormatting sqref="J4">
    <cfRule type="cellIs" dxfId="2003" priority="25" operator="equal">
      <formula>0</formula>
    </cfRule>
  </conditionalFormatting>
  <conditionalFormatting sqref="K50">
    <cfRule type="cellIs" dxfId="2002" priority="21" operator="equal">
      <formula>0</formula>
    </cfRule>
  </conditionalFormatting>
  <conditionalFormatting sqref="K2:K3 K51:K1048576">
    <cfRule type="cellIs" dxfId="2001" priority="23" operator="equal">
      <formula>0</formula>
    </cfRule>
  </conditionalFormatting>
  <conditionalFormatting sqref="K4">
    <cfRule type="cellIs" dxfId="2000" priority="22" operator="equal">
      <formula>0</formula>
    </cfRule>
  </conditionalFormatting>
  <conditionalFormatting sqref="L50">
    <cfRule type="cellIs" dxfId="1999" priority="18" operator="equal">
      <formula>0</formula>
    </cfRule>
  </conditionalFormatting>
  <conditionalFormatting sqref="L2:L3 L51:L1048576">
    <cfRule type="cellIs" dxfId="1998" priority="20" operator="equal">
      <formula>0</formula>
    </cfRule>
  </conditionalFormatting>
  <conditionalFormatting sqref="L4">
    <cfRule type="cellIs" dxfId="1997" priority="19" operator="equal">
      <formula>0</formula>
    </cfRule>
  </conditionalFormatting>
  <conditionalFormatting sqref="M50">
    <cfRule type="cellIs" dxfId="1996" priority="16" operator="equal">
      <formula>0</formula>
    </cfRule>
  </conditionalFormatting>
  <conditionalFormatting sqref="M2:M3 M51:M1048576">
    <cfRule type="cellIs" dxfId="1995" priority="17" operator="equal">
      <formula>0</formula>
    </cfRule>
  </conditionalFormatting>
  <conditionalFormatting sqref="G4">
    <cfRule type="cellIs" dxfId="1994" priority="15" operator="equal">
      <formula>0</formula>
    </cfRule>
  </conditionalFormatting>
  <conditionalFormatting sqref="E4">
    <cfRule type="cellIs" dxfId="1993" priority="14" operator="equal">
      <formula>0</formula>
    </cfRule>
  </conditionalFormatting>
  <conditionalFormatting sqref="F4">
    <cfRule type="cellIs" dxfId="1992" priority="13" operator="equal">
      <formula>0</formula>
    </cfRule>
  </conditionalFormatting>
  <conditionalFormatting sqref="H4">
    <cfRule type="cellIs" dxfId="1991" priority="12" operator="equal">
      <formula>0</formula>
    </cfRule>
  </conditionalFormatting>
  <conditionalFormatting sqref="I4">
    <cfRule type="cellIs" dxfId="1990" priority="11" operator="equal">
      <formula>0</formula>
    </cfRule>
  </conditionalFormatting>
  <conditionalFormatting sqref="J4">
    <cfRule type="cellIs" dxfId="1989" priority="10" operator="equal">
      <formula>0</formula>
    </cfRule>
  </conditionalFormatting>
  <conditionalFormatting sqref="K4">
    <cfRule type="cellIs" dxfId="1988" priority="9" operator="equal">
      <formula>0</formula>
    </cfRule>
  </conditionalFormatting>
  <conditionalFormatting sqref="L4">
    <cfRule type="cellIs" dxfId="1987" priority="8" operator="equal">
      <formula>0</formula>
    </cfRule>
  </conditionalFormatting>
  <conditionalFormatting sqref="O4:R6">
    <cfRule type="cellIs" dxfId="1986" priority="7" operator="equal">
      <formula>0</formula>
    </cfRule>
  </conditionalFormatting>
  <conditionalFormatting sqref="S6:AC49">
    <cfRule type="expression" dxfId="1985" priority="1">
      <formula>AD6=1</formula>
    </cfRule>
    <cfRule type="expression" dxfId="1984" priority="2">
      <formula>AD6=2</formula>
    </cfRule>
    <cfRule type="expression" dxfId="1983" priority="3">
      <formula>AD6=3</formula>
    </cfRule>
  </conditionalFormatting>
  <conditionalFormatting sqref="AD6:AN49">
    <cfRule type="cellIs" dxfId="1982" priority="4" operator="equal">
      <formula>1</formula>
    </cfRule>
    <cfRule type="cellIs" dxfId="1981" priority="5" operator="equal">
      <formula>2</formula>
    </cfRule>
    <cfRule type="cellIs" dxfId="1980" priority="6" operator="equal">
      <formula>3</formula>
    </cfRule>
  </conditionalFormatting>
  <printOptions horizontalCentered="1"/>
  <pageMargins left="0.19685039370078741" right="0.19685039370078741" top="1.5748031496062993" bottom="0.39370078740157483" header="0.51181102362204722" footer="0"/>
  <pageSetup paperSize="9" scale="85" fitToWidth="0" fitToHeight="0" orientation="portrait" r:id="rId1"/>
  <headerFooter>
    <oddHeader>&amp;C&amp;G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21">
    <tabColor indexed="25"/>
    <pageSetUpPr fitToPage="1"/>
  </sheetPr>
  <dimension ref="A1:L38"/>
  <sheetViews>
    <sheetView showGridLines="0" workbookViewId="0">
      <selection activeCell="Y70" sqref="Y70"/>
    </sheetView>
  </sheetViews>
  <sheetFormatPr defaultColWidth="9.140625" defaultRowHeight="11.25"/>
  <cols>
    <col min="1" max="1" width="17.140625" style="6" customWidth="1"/>
    <col min="2" max="12" width="7.5703125" style="27" customWidth="1"/>
    <col min="13" max="16384" width="9.140625" style="6"/>
  </cols>
  <sheetData>
    <row r="1" spans="1:12" s="21" customFormat="1" ht="28.5" customHeight="1">
      <c r="A1" s="984" t="s">
        <v>572</v>
      </c>
      <c r="B1" s="984"/>
      <c r="C1" s="984"/>
      <c r="D1" s="984"/>
      <c r="E1" s="984"/>
      <c r="F1" s="984"/>
      <c r="G1" s="984"/>
      <c r="H1" s="984"/>
      <c r="I1" s="984"/>
      <c r="J1" s="984"/>
      <c r="K1" s="984"/>
      <c r="L1" s="984"/>
    </row>
    <row r="2" spans="1:12" ht="15" customHeight="1">
      <c r="A2" s="22"/>
      <c r="B2" s="22"/>
      <c r="C2" s="22"/>
      <c r="D2" s="22"/>
      <c r="E2" s="22"/>
      <c r="F2" s="22"/>
      <c r="G2" s="22"/>
      <c r="H2" s="22"/>
      <c r="I2" s="22"/>
      <c r="J2" s="22"/>
      <c r="K2" s="22"/>
      <c r="L2" s="22"/>
    </row>
    <row r="3" spans="1:12" ht="15" customHeight="1">
      <c r="A3" s="23" t="s">
        <v>13</v>
      </c>
      <c r="B3" s="22"/>
      <c r="C3" s="22"/>
      <c r="D3" s="22"/>
      <c r="E3" s="22"/>
      <c r="F3" s="22"/>
      <c r="G3" s="22"/>
      <c r="H3" s="22"/>
      <c r="I3" s="22"/>
      <c r="J3" s="22"/>
      <c r="K3" s="22"/>
      <c r="L3" s="22"/>
    </row>
    <row r="4" spans="1:12" ht="28.5" customHeight="1" thickBot="1">
      <c r="A4" s="24"/>
      <c r="B4" s="24">
        <v>2014</v>
      </c>
      <c r="C4" s="24">
        <v>2015</v>
      </c>
      <c r="D4" s="24">
        <v>2016</v>
      </c>
      <c r="E4" s="24">
        <v>2017</v>
      </c>
      <c r="F4" s="24">
        <v>2018</v>
      </c>
      <c r="G4" s="24">
        <v>2019</v>
      </c>
      <c r="H4" s="24">
        <v>2020</v>
      </c>
      <c r="I4" s="24">
        <v>2021</v>
      </c>
      <c r="J4" s="24">
        <v>2022</v>
      </c>
      <c r="K4" s="24">
        <v>2023</v>
      </c>
      <c r="L4" s="24">
        <v>2024</v>
      </c>
    </row>
    <row r="5" spans="1:12" ht="20.25" customHeight="1" thickTop="1">
      <c r="A5" s="52" t="s">
        <v>11</v>
      </c>
      <c r="B5" s="338">
        <v>2636881</v>
      </c>
      <c r="C5" s="338">
        <v>2716011</v>
      </c>
      <c r="D5" s="338">
        <v>2819978</v>
      </c>
      <c r="E5" s="338">
        <v>2946903</v>
      </c>
      <c r="F5" s="338">
        <v>3060489</v>
      </c>
      <c r="G5" s="338">
        <v>3110949</v>
      </c>
      <c r="H5" s="338">
        <v>3085566</v>
      </c>
      <c r="I5" s="338">
        <v>3102345</v>
      </c>
      <c r="J5" s="338">
        <v>3337082</v>
      </c>
      <c r="K5" s="338">
        <v>3489583</v>
      </c>
      <c r="L5" s="338">
        <v>3544955</v>
      </c>
    </row>
    <row r="6" spans="1:12" ht="20.25" customHeight="1">
      <c r="A6" s="367" t="s">
        <v>31</v>
      </c>
      <c r="B6" s="339">
        <v>440000</v>
      </c>
      <c r="C6" s="339">
        <v>442201</v>
      </c>
      <c r="D6" s="339">
        <v>443972</v>
      </c>
      <c r="E6" s="339">
        <v>441732</v>
      </c>
      <c r="F6" s="339">
        <v>443568</v>
      </c>
      <c r="G6" s="339">
        <v>428189</v>
      </c>
      <c r="H6" s="339">
        <v>434306</v>
      </c>
      <c r="I6" s="339">
        <v>422611</v>
      </c>
      <c r="J6" s="339">
        <v>439476</v>
      </c>
      <c r="K6" s="339">
        <v>445496</v>
      </c>
      <c r="L6" s="339">
        <v>438972</v>
      </c>
    </row>
    <row r="7" spans="1:12" ht="15" customHeight="1">
      <c r="A7" s="367" t="s">
        <v>32</v>
      </c>
      <c r="B7" s="339">
        <v>366496</v>
      </c>
      <c r="C7" s="339">
        <v>374250</v>
      </c>
      <c r="D7" s="339">
        <v>383819</v>
      </c>
      <c r="E7" s="339">
        <v>392855</v>
      </c>
      <c r="F7" s="339">
        <v>402718</v>
      </c>
      <c r="G7" s="339">
        <v>401539</v>
      </c>
      <c r="H7" s="339">
        <v>400218</v>
      </c>
      <c r="I7" s="339">
        <v>395345</v>
      </c>
      <c r="J7" s="339">
        <v>416222</v>
      </c>
      <c r="K7" s="339">
        <v>429423</v>
      </c>
      <c r="L7" s="339">
        <v>428851</v>
      </c>
    </row>
    <row r="8" spans="1:12" ht="15" customHeight="1">
      <c r="A8" s="367" t="s">
        <v>33</v>
      </c>
      <c r="B8" s="339">
        <v>343075</v>
      </c>
      <c r="C8" s="339">
        <v>354765</v>
      </c>
      <c r="D8" s="339">
        <v>364657</v>
      </c>
      <c r="E8" s="339">
        <v>381988</v>
      </c>
      <c r="F8" s="339">
        <v>399851</v>
      </c>
      <c r="G8" s="339">
        <v>407191</v>
      </c>
      <c r="H8" s="339">
        <v>398520</v>
      </c>
      <c r="I8" s="339">
        <v>398074</v>
      </c>
      <c r="J8" s="339">
        <v>427979</v>
      </c>
      <c r="K8" s="339">
        <v>446989</v>
      </c>
      <c r="L8" s="339">
        <v>455731</v>
      </c>
    </row>
    <row r="9" spans="1:12" ht="15" customHeight="1">
      <c r="A9" s="367" t="s">
        <v>34</v>
      </c>
      <c r="B9" s="339">
        <v>437782</v>
      </c>
      <c r="C9" s="339">
        <v>451655</v>
      </c>
      <c r="D9" s="339">
        <v>470861</v>
      </c>
      <c r="E9" s="339">
        <v>494402</v>
      </c>
      <c r="F9" s="339">
        <v>512473</v>
      </c>
      <c r="G9" s="339">
        <v>524721</v>
      </c>
      <c r="H9" s="339">
        <v>522136</v>
      </c>
      <c r="I9" s="339">
        <v>530301</v>
      </c>
      <c r="J9" s="339">
        <v>571642</v>
      </c>
      <c r="K9" s="339">
        <v>603862</v>
      </c>
      <c r="L9" s="339">
        <v>608073</v>
      </c>
    </row>
    <row r="10" spans="1:12" ht="15" customHeight="1">
      <c r="A10" s="367" t="s">
        <v>35</v>
      </c>
      <c r="B10" s="339">
        <v>287661</v>
      </c>
      <c r="C10" s="339">
        <v>305556</v>
      </c>
      <c r="D10" s="339">
        <v>318649</v>
      </c>
      <c r="E10" s="339">
        <v>331933</v>
      </c>
      <c r="F10" s="339">
        <v>352106</v>
      </c>
      <c r="G10" s="339">
        <v>362627</v>
      </c>
      <c r="H10" s="339">
        <v>360979</v>
      </c>
      <c r="I10" s="339">
        <v>366071</v>
      </c>
      <c r="J10" s="339">
        <v>399965</v>
      </c>
      <c r="K10" s="339">
        <v>417966</v>
      </c>
      <c r="L10" s="339">
        <v>426689</v>
      </c>
    </row>
    <row r="11" spans="1:12" ht="15" customHeight="1">
      <c r="A11" s="367" t="s">
        <v>36</v>
      </c>
      <c r="B11" s="339">
        <v>150315</v>
      </c>
      <c r="C11" s="339">
        <v>144040</v>
      </c>
      <c r="D11" s="339">
        <v>152532</v>
      </c>
      <c r="E11" s="339">
        <v>156785</v>
      </c>
      <c r="F11" s="339">
        <v>163360</v>
      </c>
      <c r="G11" s="339">
        <v>169304</v>
      </c>
      <c r="H11" s="339">
        <v>163901</v>
      </c>
      <c r="I11" s="339">
        <v>171466</v>
      </c>
      <c r="J11" s="339">
        <v>182709</v>
      </c>
      <c r="K11" s="339">
        <v>196392</v>
      </c>
      <c r="L11" s="339">
        <v>208779</v>
      </c>
    </row>
    <row r="12" spans="1:12" ht="15" customHeight="1">
      <c r="A12" s="367" t="s">
        <v>37</v>
      </c>
      <c r="B12" s="339">
        <v>89947</v>
      </c>
      <c r="C12" s="339">
        <v>96507</v>
      </c>
      <c r="D12" s="339">
        <v>97931</v>
      </c>
      <c r="E12" s="339">
        <v>105143</v>
      </c>
      <c r="F12" s="339">
        <v>111328</v>
      </c>
      <c r="G12" s="339">
        <v>112650</v>
      </c>
      <c r="H12" s="339">
        <v>109208</v>
      </c>
      <c r="I12" s="339">
        <v>111350</v>
      </c>
      <c r="J12" s="339">
        <v>125073</v>
      </c>
      <c r="K12" s="339">
        <v>132764</v>
      </c>
      <c r="L12" s="339">
        <v>132110</v>
      </c>
    </row>
    <row r="13" spans="1:12" ht="15" customHeight="1">
      <c r="A13" s="367" t="s">
        <v>38</v>
      </c>
      <c r="B13" s="339">
        <v>65966</v>
      </c>
      <c r="C13" s="339">
        <v>68211</v>
      </c>
      <c r="D13" s="339">
        <v>73317</v>
      </c>
      <c r="E13" s="339">
        <v>80619</v>
      </c>
      <c r="F13" s="339">
        <v>84370</v>
      </c>
      <c r="G13" s="339">
        <v>83653</v>
      </c>
      <c r="H13" s="339">
        <v>83401</v>
      </c>
      <c r="I13" s="339">
        <v>87562</v>
      </c>
      <c r="J13" s="339">
        <v>98100</v>
      </c>
      <c r="K13" s="339">
        <v>99780</v>
      </c>
      <c r="L13" s="339">
        <v>97977</v>
      </c>
    </row>
    <row r="14" spans="1:12" ht="15" customHeight="1">
      <c r="A14" s="367" t="s">
        <v>39</v>
      </c>
      <c r="B14" s="339">
        <v>159298</v>
      </c>
      <c r="C14" s="339">
        <v>173995</v>
      </c>
      <c r="D14" s="339">
        <v>187705</v>
      </c>
      <c r="E14" s="339">
        <v>202606</v>
      </c>
      <c r="F14" s="339">
        <v>211154</v>
      </c>
      <c r="G14" s="339">
        <v>218703</v>
      </c>
      <c r="H14" s="339">
        <v>207042</v>
      </c>
      <c r="I14" s="339">
        <v>213250</v>
      </c>
      <c r="J14" s="339">
        <v>226720</v>
      </c>
      <c r="K14" s="339">
        <v>242637</v>
      </c>
      <c r="L14" s="339">
        <v>255756</v>
      </c>
    </row>
    <row r="15" spans="1:12" ht="15" customHeight="1">
      <c r="A15" s="367" t="s">
        <v>40</v>
      </c>
      <c r="B15" s="339">
        <v>122567</v>
      </c>
      <c r="C15" s="339">
        <v>128426</v>
      </c>
      <c r="D15" s="339">
        <v>120158</v>
      </c>
      <c r="E15" s="339">
        <v>135824</v>
      </c>
      <c r="F15" s="339">
        <v>143642</v>
      </c>
      <c r="G15" s="339">
        <v>150837</v>
      </c>
      <c r="H15" s="339">
        <v>161206</v>
      </c>
      <c r="I15" s="339">
        <v>156680</v>
      </c>
      <c r="J15" s="339">
        <v>182180</v>
      </c>
      <c r="K15" s="339">
        <v>196005</v>
      </c>
      <c r="L15" s="339">
        <v>192255</v>
      </c>
    </row>
    <row r="16" spans="1:12" ht="15" customHeight="1">
      <c r="A16" s="26" t="s">
        <v>71</v>
      </c>
      <c r="B16" s="340">
        <v>173774</v>
      </c>
      <c r="C16" s="340">
        <v>176405</v>
      </c>
      <c r="D16" s="340">
        <v>206377</v>
      </c>
      <c r="E16" s="340">
        <v>223016</v>
      </c>
      <c r="F16" s="340">
        <v>235919</v>
      </c>
      <c r="G16" s="340">
        <v>251535</v>
      </c>
      <c r="H16" s="340">
        <v>244649</v>
      </c>
      <c r="I16" s="340">
        <v>249635</v>
      </c>
      <c r="J16" s="340">
        <v>267016</v>
      </c>
      <c r="K16" s="340">
        <v>278269</v>
      </c>
      <c r="L16" s="340">
        <v>299762</v>
      </c>
    </row>
    <row r="17" spans="1:12" ht="15" customHeight="1">
      <c r="A17" s="167" t="s">
        <v>769</v>
      </c>
      <c r="B17" s="315"/>
      <c r="C17" s="315"/>
      <c r="D17" s="315"/>
      <c r="E17" s="307"/>
      <c r="F17" s="307"/>
      <c r="G17" s="307"/>
      <c r="H17" s="307"/>
      <c r="I17" s="307"/>
      <c r="J17" s="307"/>
      <c r="K17" s="307"/>
      <c r="L17" s="307"/>
    </row>
    <row r="18" spans="1:12" s="2" customFormat="1" ht="15" customHeight="1">
      <c r="A18" s="19"/>
      <c r="B18" s="25"/>
      <c r="C18" s="25"/>
      <c r="D18" s="25"/>
      <c r="E18" s="25"/>
      <c r="F18" s="25"/>
      <c r="G18" s="25"/>
      <c r="H18" s="25"/>
      <c r="I18" s="25"/>
      <c r="J18" s="25"/>
      <c r="K18" s="25"/>
      <c r="L18" s="25"/>
    </row>
    <row r="19" spans="1:12">
      <c r="A19" s="162"/>
      <c r="B19" s="162"/>
      <c r="C19" s="162"/>
      <c r="D19" s="162"/>
      <c r="E19" s="162"/>
      <c r="F19" s="162"/>
      <c r="G19" s="162"/>
      <c r="H19" s="162"/>
      <c r="I19" s="162"/>
      <c r="J19" s="162"/>
      <c r="K19" s="162"/>
      <c r="L19" s="162"/>
    </row>
    <row r="20" spans="1:12">
      <c r="B20" s="6"/>
      <c r="C20" s="6"/>
      <c r="D20" s="6"/>
      <c r="E20" s="6"/>
      <c r="F20" s="6"/>
      <c r="G20" s="6"/>
      <c r="H20" s="6"/>
      <c r="I20" s="6"/>
      <c r="J20" s="6"/>
      <c r="K20" s="6"/>
      <c r="L20" s="6"/>
    </row>
    <row r="21" spans="1:12">
      <c r="A21" s="987" t="s">
        <v>758</v>
      </c>
      <c r="B21" s="556">
        <f>SUM(B6:B9)</f>
        <v>1587353</v>
      </c>
      <c r="C21" s="556">
        <f t="shared" ref="C21:L21" si="0">SUM(C6:C9)</f>
        <v>1622871</v>
      </c>
      <c r="D21" s="556">
        <f t="shared" si="0"/>
        <v>1663309</v>
      </c>
      <c r="E21" s="556">
        <f t="shared" si="0"/>
        <v>1710977</v>
      </c>
      <c r="F21" s="556">
        <f t="shared" si="0"/>
        <v>1758610</v>
      </c>
      <c r="G21" s="556">
        <f t="shared" si="0"/>
        <v>1761640</v>
      </c>
      <c r="H21" s="556">
        <f t="shared" si="0"/>
        <v>1755180</v>
      </c>
      <c r="I21" s="556">
        <f t="shared" si="0"/>
        <v>1746331</v>
      </c>
      <c r="J21" s="556">
        <f t="shared" si="0"/>
        <v>1855319</v>
      </c>
      <c r="K21" s="556">
        <f t="shared" si="0"/>
        <v>1925770</v>
      </c>
      <c r="L21" s="556">
        <f t="shared" si="0"/>
        <v>1931627</v>
      </c>
    </row>
    <row r="22" spans="1:12">
      <c r="A22" s="987"/>
      <c r="B22" s="557">
        <f>+B21/B5*100</f>
        <v>60.198128015636655</v>
      </c>
      <c r="C22" s="557">
        <f t="shared" ref="C22:L22" si="1">+C21/C5*100</f>
        <v>59.75200394991036</v>
      </c>
      <c r="D22" s="557">
        <f t="shared" si="1"/>
        <v>58.983048803926842</v>
      </c>
      <c r="E22" s="557">
        <f t="shared" si="1"/>
        <v>58.060173680640318</v>
      </c>
      <c r="F22" s="557">
        <f t="shared" si="1"/>
        <v>57.4617324224985</v>
      </c>
      <c r="G22" s="557">
        <f t="shared" si="1"/>
        <v>56.627093533195172</v>
      </c>
      <c r="H22" s="557">
        <f t="shared" si="1"/>
        <v>56.883566904742921</v>
      </c>
      <c r="I22" s="557">
        <f t="shared" si="1"/>
        <v>56.290676891190373</v>
      </c>
      <c r="J22" s="557">
        <f t="shared" si="1"/>
        <v>55.597045562560346</v>
      </c>
      <c r="K22" s="557">
        <f t="shared" si="1"/>
        <v>55.186250047641792</v>
      </c>
      <c r="L22" s="557">
        <f t="shared" si="1"/>
        <v>54.489464605333495</v>
      </c>
    </row>
    <row r="23" spans="1:12">
      <c r="B23" s="6"/>
      <c r="C23" s="6"/>
      <c r="D23" s="6"/>
      <c r="E23" s="6"/>
      <c r="F23" s="6"/>
      <c r="G23" s="6"/>
      <c r="H23" s="6"/>
      <c r="I23" s="6"/>
      <c r="J23" s="6"/>
      <c r="K23" s="6"/>
      <c r="L23" s="6"/>
    </row>
    <row r="24" spans="1:12">
      <c r="A24" s="987" t="s">
        <v>753</v>
      </c>
      <c r="B24" s="556">
        <f>+B6+B7</f>
        <v>806496</v>
      </c>
      <c r="C24" s="556">
        <f t="shared" ref="C24:L24" si="2">+C6+C7</f>
        <v>816451</v>
      </c>
      <c r="D24" s="556">
        <f t="shared" si="2"/>
        <v>827791</v>
      </c>
      <c r="E24" s="556">
        <f t="shared" si="2"/>
        <v>834587</v>
      </c>
      <c r="F24" s="556">
        <f t="shared" si="2"/>
        <v>846286</v>
      </c>
      <c r="G24" s="556">
        <f t="shared" si="2"/>
        <v>829728</v>
      </c>
      <c r="H24" s="556">
        <f t="shared" si="2"/>
        <v>834524</v>
      </c>
      <c r="I24" s="556">
        <f t="shared" si="2"/>
        <v>817956</v>
      </c>
      <c r="J24" s="556">
        <f t="shared" si="2"/>
        <v>855698</v>
      </c>
      <c r="K24" s="556">
        <f t="shared" si="2"/>
        <v>874919</v>
      </c>
      <c r="L24" s="556">
        <f t="shared" si="2"/>
        <v>867823</v>
      </c>
    </row>
    <row r="25" spans="1:12">
      <c r="A25" s="987"/>
      <c r="B25" s="557">
        <f>+B24/B5*100</f>
        <v>30.585225499368384</v>
      </c>
      <c r="C25" s="557">
        <f t="shared" ref="C25:L25" si="3">+C24/C5*100</f>
        <v>30.06066617550518</v>
      </c>
      <c r="D25" s="557">
        <f t="shared" si="3"/>
        <v>29.354519787033801</v>
      </c>
      <c r="E25" s="557">
        <f t="shared" si="3"/>
        <v>28.3208168032677</v>
      </c>
      <c r="F25" s="557">
        <f t="shared" si="3"/>
        <v>27.651986332903011</v>
      </c>
      <c r="G25" s="557">
        <f t="shared" si="3"/>
        <v>26.671218332412394</v>
      </c>
      <c r="H25" s="557">
        <f t="shared" si="3"/>
        <v>27.04605897264878</v>
      </c>
      <c r="I25" s="557">
        <f t="shared" si="3"/>
        <v>26.365733018087926</v>
      </c>
      <c r="J25" s="557">
        <f t="shared" si="3"/>
        <v>25.64210289108868</v>
      </c>
      <c r="K25" s="557">
        <f t="shared" si="3"/>
        <v>25.072308066608535</v>
      </c>
      <c r="L25" s="557">
        <f t="shared" si="3"/>
        <v>24.480508215195961</v>
      </c>
    </row>
    <row r="26" spans="1:12">
      <c r="B26" s="6"/>
      <c r="C26" s="6"/>
      <c r="D26" s="6"/>
      <c r="E26" s="6"/>
      <c r="F26" s="6"/>
      <c r="G26" s="6"/>
      <c r="H26" s="6"/>
      <c r="I26" s="6"/>
      <c r="J26" s="6"/>
      <c r="K26" s="6"/>
      <c r="L26" s="6"/>
    </row>
    <row r="27" spans="1:12">
      <c r="B27" s="6"/>
      <c r="C27" s="6"/>
      <c r="D27" s="6"/>
      <c r="E27" s="6"/>
      <c r="F27" s="6"/>
      <c r="G27" s="6"/>
      <c r="H27" s="6"/>
      <c r="I27" s="6"/>
      <c r="J27" s="6"/>
      <c r="K27" s="6"/>
      <c r="L27" s="6"/>
    </row>
    <row r="28" spans="1:12">
      <c r="A28" s="987" t="s">
        <v>755</v>
      </c>
      <c r="B28" s="556">
        <f>+B8+B9</f>
        <v>780857</v>
      </c>
      <c r="C28" s="556">
        <f t="shared" ref="C28:L28" si="4">+C8+C9</f>
        <v>806420</v>
      </c>
      <c r="D28" s="556">
        <f t="shared" si="4"/>
        <v>835518</v>
      </c>
      <c r="E28" s="556">
        <f t="shared" si="4"/>
        <v>876390</v>
      </c>
      <c r="F28" s="556">
        <f t="shared" si="4"/>
        <v>912324</v>
      </c>
      <c r="G28" s="556">
        <f t="shared" si="4"/>
        <v>931912</v>
      </c>
      <c r="H28" s="556">
        <f t="shared" si="4"/>
        <v>920656</v>
      </c>
      <c r="I28" s="556">
        <f t="shared" si="4"/>
        <v>928375</v>
      </c>
      <c r="J28" s="556">
        <f t="shared" si="4"/>
        <v>999621</v>
      </c>
      <c r="K28" s="556">
        <f t="shared" si="4"/>
        <v>1050851</v>
      </c>
      <c r="L28" s="556">
        <f t="shared" si="4"/>
        <v>1063804</v>
      </c>
    </row>
    <row r="29" spans="1:12">
      <c r="A29" s="987"/>
      <c r="B29" s="557">
        <f>+B28/B5*100</f>
        <v>29.612902516268274</v>
      </c>
      <c r="C29" s="557">
        <f t="shared" ref="C29:L29" si="5">+C28/C5*100</f>
        <v>29.691337774405184</v>
      </c>
      <c r="D29" s="557">
        <f t="shared" si="5"/>
        <v>29.62852901689304</v>
      </c>
      <c r="E29" s="557">
        <f t="shared" si="5"/>
        <v>29.739356877372618</v>
      </c>
      <c r="F29" s="557">
        <f t="shared" si="5"/>
        <v>29.809746089595485</v>
      </c>
      <c r="G29" s="557">
        <f t="shared" si="5"/>
        <v>29.955875200782785</v>
      </c>
      <c r="H29" s="557">
        <f t="shared" si="5"/>
        <v>29.837507932094141</v>
      </c>
      <c r="I29" s="557">
        <f t="shared" si="5"/>
        <v>29.924943873102443</v>
      </c>
      <c r="J29" s="557">
        <f t="shared" si="5"/>
        <v>29.954942671471663</v>
      </c>
      <c r="K29" s="557">
        <f t="shared" si="5"/>
        <v>30.113941981033264</v>
      </c>
      <c r="L29" s="557">
        <f t="shared" si="5"/>
        <v>30.008956390137531</v>
      </c>
    </row>
    <row r="30" spans="1:12">
      <c r="B30" s="6"/>
      <c r="C30" s="6"/>
      <c r="D30" s="6"/>
      <c r="E30" s="6"/>
      <c r="F30" s="6"/>
      <c r="G30" s="6"/>
      <c r="H30" s="6"/>
      <c r="I30" s="6"/>
      <c r="J30" s="6"/>
      <c r="K30" s="6"/>
      <c r="L30" s="6"/>
    </row>
    <row r="31" spans="1:12">
      <c r="B31" s="6"/>
      <c r="C31" s="6"/>
      <c r="D31" s="6"/>
      <c r="E31" s="6"/>
      <c r="F31" s="6"/>
      <c r="G31" s="6"/>
      <c r="H31" s="6"/>
      <c r="I31" s="6"/>
      <c r="J31" s="6"/>
      <c r="K31" s="6"/>
      <c r="L31" s="6"/>
    </row>
    <row r="32" spans="1:12">
      <c r="A32" s="987" t="s">
        <v>756</v>
      </c>
      <c r="B32" s="556">
        <f>+SUM(B10:B13)</f>
        <v>593889</v>
      </c>
      <c r="C32" s="556">
        <f t="shared" ref="C32:L32" si="6">+SUM(C10:C13)</f>
        <v>614314</v>
      </c>
      <c r="D32" s="556">
        <f t="shared" si="6"/>
        <v>642429</v>
      </c>
      <c r="E32" s="556">
        <f t="shared" si="6"/>
        <v>674480</v>
      </c>
      <c r="F32" s="556">
        <f t="shared" si="6"/>
        <v>711164</v>
      </c>
      <c r="G32" s="556">
        <f t="shared" si="6"/>
        <v>728234</v>
      </c>
      <c r="H32" s="556">
        <f t="shared" si="6"/>
        <v>717489</v>
      </c>
      <c r="I32" s="556">
        <f t="shared" si="6"/>
        <v>736449</v>
      </c>
      <c r="J32" s="556">
        <f t="shared" si="6"/>
        <v>805847</v>
      </c>
      <c r="K32" s="556">
        <f t="shared" si="6"/>
        <v>846902</v>
      </c>
      <c r="L32" s="556">
        <f t="shared" si="6"/>
        <v>865555</v>
      </c>
    </row>
    <row r="33" spans="1:12">
      <c r="A33" s="987"/>
      <c r="B33" s="557">
        <f>+B32/B$5*100</f>
        <v>22.522404310243807</v>
      </c>
      <c r="C33" s="557">
        <f t="shared" ref="C33:L33" si="7">+C32/C$5*100</f>
        <v>22.618244182368922</v>
      </c>
      <c r="D33" s="557">
        <f t="shared" si="7"/>
        <v>22.781347939593854</v>
      </c>
      <c r="E33" s="557">
        <f t="shared" si="7"/>
        <v>22.887757079211635</v>
      </c>
      <c r="F33" s="557">
        <f t="shared" si="7"/>
        <v>23.236940240595537</v>
      </c>
      <c r="G33" s="557">
        <f t="shared" si="7"/>
        <v>23.408741191192782</v>
      </c>
      <c r="H33" s="557">
        <f t="shared" si="7"/>
        <v>23.253075772807971</v>
      </c>
      <c r="I33" s="557">
        <f t="shared" si="7"/>
        <v>23.738462356701142</v>
      </c>
      <c r="J33" s="557">
        <f t="shared" si="7"/>
        <v>24.148252874816979</v>
      </c>
      <c r="K33" s="557">
        <f t="shared" si="7"/>
        <v>24.269432766035369</v>
      </c>
      <c r="L33" s="557">
        <f t="shared" si="7"/>
        <v>24.416529970056036</v>
      </c>
    </row>
    <row r="34" spans="1:12">
      <c r="B34" s="6"/>
      <c r="C34" s="6"/>
      <c r="D34" s="6"/>
      <c r="E34" s="6"/>
      <c r="F34" s="6"/>
      <c r="G34" s="6"/>
      <c r="H34" s="6"/>
      <c r="I34" s="6"/>
      <c r="J34" s="6"/>
      <c r="K34" s="6"/>
      <c r="L34" s="6"/>
    </row>
    <row r="35" spans="1:12">
      <c r="B35" s="6"/>
      <c r="C35" s="6"/>
      <c r="D35" s="6"/>
      <c r="E35" s="6"/>
      <c r="F35" s="6"/>
      <c r="G35" s="6"/>
      <c r="H35" s="6"/>
      <c r="I35" s="6"/>
      <c r="J35" s="6"/>
      <c r="K35" s="6"/>
      <c r="L35" s="6"/>
    </row>
    <row r="36" spans="1:12">
      <c r="A36" s="987" t="s">
        <v>757</v>
      </c>
      <c r="B36" s="556">
        <f>+SUM(B14:B16)</f>
        <v>455639</v>
      </c>
      <c r="C36" s="556">
        <f t="shared" ref="C36:L36" si="8">+SUM(C14:C16)</f>
        <v>478826</v>
      </c>
      <c r="D36" s="556">
        <f t="shared" si="8"/>
        <v>514240</v>
      </c>
      <c r="E36" s="556">
        <f t="shared" si="8"/>
        <v>561446</v>
      </c>
      <c r="F36" s="556">
        <f t="shared" si="8"/>
        <v>590715</v>
      </c>
      <c r="G36" s="556">
        <f t="shared" si="8"/>
        <v>621075</v>
      </c>
      <c r="H36" s="556">
        <f t="shared" si="8"/>
        <v>612897</v>
      </c>
      <c r="I36" s="556">
        <f t="shared" si="8"/>
        <v>619565</v>
      </c>
      <c r="J36" s="556">
        <f t="shared" si="8"/>
        <v>675916</v>
      </c>
      <c r="K36" s="556">
        <f t="shared" si="8"/>
        <v>716911</v>
      </c>
      <c r="L36" s="556">
        <f t="shared" si="8"/>
        <v>747773</v>
      </c>
    </row>
    <row r="37" spans="1:12">
      <c r="A37" s="987"/>
      <c r="B37" s="557">
        <f>+B36/B$5*100</f>
        <v>17.279467674119537</v>
      </c>
      <c r="C37" s="557">
        <f t="shared" ref="C37:L37" si="9">+C36/C$5*100</f>
        <v>17.629751867720714</v>
      </c>
      <c r="D37" s="557">
        <f t="shared" si="9"/>
        <v>18.235603256479305</v>
      </c>
      <c r="E37" s="557">
        <f t="shared" si="9"/>
        <v>19.052069240148047</v>
      </c>
      <c r="F37" s="557">
        <f t="shared" si="9"/>
        <v>19.301327336905967</v>
      </c>
      <c r="G37" s="557">
        <f t="shared" si="9"/>
        <v>19.964165275612039</v>
      </c>
      <c r="H37" s="557">
        <f t="shared" si="9"/>
        <v>19.863357322449108</v>
      </c>
      <c r="I37" s="557">
        <f t="shared" si="9"/>
        <v>19.970860752108486</v>
      </c>
      <c r="J37" s="557">
        <f t="shared" si="9"/>
        <v>20.254701562622675</v>
      </c>
      <c r="K37" s="557">
        <f t="shared" si="9"/>
        <v>20.544317186322836</v>
      </c>
      <c r="L37" s="557">
        <f t="shared" si="9"/>
        <v>21.094005424610469</v>
      </c>
    </row>
    <row r="38" spans="1:12">
      <c r="B38" s="6"/>
      <c r="C38" s="6"/>
      <c r="D38" s="6"/>
      <c r="E38" s="6"/>
      <c r="F38" s="6"/>
      <c r="G38" s="6"/>
      <c r="H38" s="6"/>
      <c r="I38" s="6"/>
      <c r="J38" s="6"/>
      <c r="K38" s="6"/>
      <c r="L38" s="6"/>
    </row>
  </sheetData>
  <mergeCells count="6">
    <mergeCell ref="A36:A37"/>
    <mergeCell ref="A1:L1"/>
    <mergeCell ref="A21:A22"/>
    <mergeCell ref="A24:A25"/>
    <mergeCell ref="A28:A29"/>
    <mergeCell ref="A32:A33"/>
  </mergeCells>
  <phoneticPr fontId="24" type="noConversion"/>
  <conditionalFormatting sqref="A1 A2:F3 A19:F19 A4:D4 A5:I16 M1:XFD1048576 A39:F1048576 B18:F18">
    <cfRule type="cellIs" dxfId="1979" priority="37" operator="equal">
      <formula>0</formula>
    </cfRule>
  </conditionalFormatting>
  <conditionalFormatting sqref="M5:N5">
    <cfRule type="containsText" dxfId="1978" priority="35" operator="containsText" text="FALSO">
      <formula>NOT(ISERROR(SEARCH("FALSO",M5)))</formula>
    </cfRule>
  </conditionalFormatting>
  <conditionalFormatting sqref="A20:F20 A21 A23:A24 A26:A28 A30:F31 A32 A34:F34 A35:L35 A36 A38:F38">
    <cfRule type="cellIs" dxfId="1977" priority="12" operator="equal">
      <formula>0</formula>
    </cfRule>
  </conditionalFormatting>
  <conditionalFormatting sqref="B22:L22">
    <cfRule type="expression" dxfId="1976" priority="10">
      <formula>B22=MAX($B22:$L22)</formula>
    </cfRule>
    <cfRule type="expression" dxfId="1975" priority="11">
      <formula>B22=MIN($B22:$L22)</formula>
    </cfRule>
  </conditionalFormatting>
  <conditionalFormatting sqref="B25:L25">
    <cfRule type="expression" dxfId="1974" priority="8">
      <formula>B25=MAX($B25:$L25)</formula>
    </cfRule>
    <cfRule type="expression" dxfId="1973" priority="9">
      <formula>B25=MIN($B25:$L25)</formula>
    </cfRule>
  </conditionalFormatting>
  <conditionalFormatting sqref="B29:L29">
    <cfRule type="expression" dxfId="1972" priority="6">
      <formula>B29=MAX($B29:$L29)</formula>
    </cfRule>
    <cfRule type="expression" dxfId="1971" priority="7">
      <formula>B29=MIN($B29:$L29)</formula>
    </cfRule>
  </conditionalFormatting>
  <conditionalFormatting sqref="B33:L33">
    <cfRule type="expression" dxfId="1970" priority="4">
      <formula>B33=MAX($B33:$L33)</formula>
    </cfRule>
    <cfRule type="expression" dxfId="1969" priority="5">
      <formula>B33=MIN($B33:$L33)</formula>
    </cfRule>
  </conditionalFormatting>
  <conditionalFormatting sqref="B37:L37">
    <cfRule type="expression" dxfId="1968" priority="2">
      <formula>B37=MAX($B37:$L37)</formula>
    </cfRule>
    <cfRule type="expression" dxfId="1967" priority="3">
      <formula>B37=MIN($B37:$L37)</formula>
    </cfRule>
  </conditionalFormatting>
  <conditionalFormatting sqref="A17:A18">
    <cfRule type="cellIs" dxfId="1966"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31">
    <tabColor indexed="25"/>
    <pageSetUpPr fitToPage="1"/>
  </sheetPr>
  <dimension ref="A1:AK24"/>
  <sheetViews>
    <sheetView showGridLines="0" workbookViewId="0">
      <selection activeCell="Y70" sqref="Y70"/>
    </sheetView>
  </sheetViews>
  <sheetFormatPr defaultColWidth="9.140625" defaultRowHeight="17.45" customHeight="1"/>
  <cols>
    <col min="1" max="1" width="17.140625" style="2" customWidth="1"/>
    <col min="2" max="12" width="7.5703125" style="2" customWidth="1"/>
    <col min="13" max="14" width="5.85546875" style="2" bestFit="1" customWidth="1"/>
    <col min="15" max="16384" width="9.140625" style="2"/>
  </cols>
  <sheetData>
    <row r="1" spans="1:37" s="1" customFormat="1" ht="28.5" customHeight="1">
      <c r="A1" s="978" t="s">
        <v>573</v>
      </c>
      <c r="B1" s="978"/>
      <c r="C1" s="978"/>
      <c r="D1" s="978"/>
      <c r="E1" s="978"/>
      <c r="F1" s="978"/>
      <c r="G1" s="978"/>
      <c r="H1" s="978"/>
      <c r="I1" s="978"/>
      <c r="J1" s="978"/>
      <c r="K1" s="978"/>
      <c r="L1" s="978"/>
    </row>
    <row r="2" spans="1:37" ht="15" customHeight="1">
      <c r="A2" s="9"/>
      <c r="B2" s="8"/>
      <c r="C2" s="140"/>
      <c r="D2" s="140"/>
      <c r="E2" s="140"/>
      <c r="F2" s="140"/>
      <c r="G2" s="140"/>
      <c r="H2" s="140"/>
      <c r="I2" s="140"/>
      <c r="J2" s="140"/>
      <c r="K2" s="140"/>
      <c r="L2" s="140"/>
    </row>
    <row r="3" spans="1:37" ht="15" customHeight="1">
      <c r="A3" s="11" t="s">
        <v>13</v>
      </c>
      <c r="B3" s="8"/>
      <c r="C3" s="140"/>
      <c r="D3" s="140"/>
      <c r="E3" s="140"/>
      <c r="F3" s="140"/>
      <c r="G3" s="140"/>
      <c r="H3" s="140"/>
      <c r="I3" s="140"/>
      <c r="J3" s="140"/>
      <c r="K3" s="140"/>
      <c r="L3" s="140"/>
    </row>
    <row r="4" spans="1:37" ht="28.5" customHeight="1" thickBot="1">
      <c r="A4" s="13"/>
      <c r="B4" s="14">
        <v>2014</v>
      </c>
      <c r="C4" s="14">
        <v>2015</v>
      </c>
      <c r="D4" s="14">
        <v>2016</v>
      </c>
      <c r="E4" s="14">
        <v>2017</v>
      </c>
      <c r="F4" s="14">
        <v>2018</v>
      </c>
      <c r="G4" s="14">
        <v>2019</v>
      </c>
      <c r="H4" s="14">
        <v>2020</v>
      </c>
      <c r="I4" s="14">
        <v>2021</v>
      </c>
      <c r="J4" s="14">
        <v>2022</v>
      </c>
      <c r="K4" s="14">
        <v>2023</v>
      </c>
      <c r="L4" s="14">
        <v>2024</v>
      </c>
      <c r="O4" s="378"/>
      <c r="P4" s="560">
        <f>+B4</f>
        <v>2014</v>
      </c>
      <c r="Q4" s="560">
        <f t="shared" ref="Q4:W4" si="0">+C4</f>
        <v>2015</v>
      </c>
      <c r="R4" s="560">
        <f t="shared" si="0"/>
        <v>2016</v>
      </c>
      <c r="S4" s="560">
        <f t="shared" si="0"/>
        <v>2017</v>
      </c>
      <c r="T4" s="560">
        <f t="shared" si="0"/>
        <v>2018</v>
      </c>
      <c r="U4" s="560">
        <f t="shared" si="0"/>
        <v>2019</v>
      </c>
      <c r="V4" s="560">
        <f t="shared" si="0"/>
        <v>2020</v>
      </c>
      <c r="W4" s="560">
        <f t="shared" si="0"/>
        <v>2021</v>
      </c>
      <c r="X4" s="560">
        <f>+J4</f>
        <v>2022</v>
      </c>
      <c r="Y4" s="560">
        <f t="shared" ref="Y4:Z4" si="1">+K4</f>
        <v>2023</v>
      </c>
      <c r="Z4" s="560">
        <f t="shared" si="1"/>
        <v>2024</v>
      </c>
      <c r="AA4" s="560">
        <f>+B4</f>
        <v>2014</v>
      </c>
      <c r="AB4" s="560">
        <f t="shared" ref="AB4:AJ4" si="2">+C4</f>
        <v>2015</v>
      </c>
      <c r="AC4" s="560">
        <f t="shared" si="2"/>
        <v>2016</v>
      </c>
      <c r="AD4" s="560">
        <f t="shared" si="2"/>
        <v>2017</v>
      </c>
      <c r="AE4" s="560">
        <f t="shared" si="2"/>
        <v>2018</v>
      </c>
      <c r="AF4" s="560">
        <f t="shared" si="2"/>
        <v>2019</v>
      </c>
      <c r="AG4" s="560">
        <f t="shared" si="2"/>
        <v>2020</v>
      </c>
      <c r="AH4" s="560">
        <f t="shared" si="2"/>
        <v>2021</v>
      </c>
      <c r="AI4" s="560">
        <f t="shared" si="2"/>
        <v>2022</v>
      </c>
      <c r="AJ4" s="560">
        <f t="shared" si="2"/>
        <v>2023</v>
      </c>
      <c r="AK4" s="560">
        <f>+L4</f>
        <v>2024</v>
      </c>
    </row>
    <row r="5" spans="1:37" ht="20.25" customHeight="1" thickTop="1">
      <c r="A5" s="15" t="s">
        <v>11</v>
      </c>
      <c r="B5" s="328">
        <v>2636881</v>
      </c>
      <c r="C5" s="328">
        <v>2716011</v>
      </c>
      <c r="D5" s="328">
        <v>2819978</v>
      </c>
      <c r="E5" s="328">
        <v>2946903</v>
      </c>
      <c r="F5" s="328">
        <v>3060489</v>
      </c>
      <c r="G5" s="328">
        <v>3110949</v>
      </c>
      <c r="H5" s="328">
        <v>3085566</v>
      </c>
      <c r="I5" s="328">
        <v>3102345</v>
      </c>
      <c r="J5" s="328">
        <v>3337082</v>
      </c>
      <c r="K5" s="328">
        <v>3489583</v>
      </c>
      <c r="L5" s="328">
        <v>3544955</v>
      </c>
    </row>
    <row r="6" spans="1:37" ht="21" customHeight="1">
      <c r="A6" s="15" t="s">
        <v>14</v>
      </c>
      <c r="B6" s="329">
        <v>203446</v>
      </c>
      <c r="C6" s="329">
        <v>208145</v>
      </c>
      <c r="D6" s="329">
        <v>216490</v>
      </c>
      <c r="E6" s="329">
        <v>226181</v>
      </c>
      <c r="F6" s="329">
        <v>234445</v>
      </c>
      <c r="G6" s="329">
        <v>236315</v>
      </c>
      <c r="H6" s="329">
        <v>234063</v>
      </c>
      <c r="I6" s="329">
        <v>234211</v>
      </c>
      <c r="J6" s="329">
        <v>250317</v>
      </c>
      <c r="K6" s="329">
        <v>255866</v>
      </c>
      <c r="L6" s="329">
        <v>252468</v>
      </c>
      <c r="N6" s="559">
        <f>+(L6/B6-1)*100</f>
        <v>24.095828868594115</v>
      </c>
      <c r="O6" s="419">
        <f t="shared" ref="O6:O10" si="3">+L6-B6</f>
        <v>49022</v>
      </c>
      <c r="P6" s="559">
        <f>B6*100/B$5</f>
        <v>7.7154031600212525</v>
      </c>
      <c r="Q6" s="559">
        <f t="shared" ref="Q6:Z21" si="4">C6*100/C$5</f>
        <v>7.6636287555536411</v>
      </c>
      <c r="R6" s="559">
        <f t="shared" si="4"/>
        <v>7.6770102461792256</v>
      </c>
      <c r="S6" s="559">
        <f t="shared" si="4"/>
        <v>7.675210212212618</v>
      </c>
      <c r="T6" s="559">
        <f t="shared" si="4"/>
        <v>7.6603771488804568</v>
      </c>
      <c r="U6" s="559">
        <f t="shared" si="4"/>
        <v>7.5962351038220168</v>
      </c>
      <c r="V6" s="559">
        <f t="shared" si="4"/>
        <v>7.5857395369277469</v>
      </c>
      <c r="W6" s="559">
        <f t="shared" si="4"/>
        <v>7.5494827299994034</v>
      </c>
      <c r="X6" s="559">
        <f t="shared" si="4"/>
        <v>7.501074291851384</v>
      </c>
      <c r="Y6" s="559">
        <f t="shared" si="4"/>
        <v>7.3322801033819802</v>
      </c>
      <c r="Z6" s="559">
        <f t="shared" si="4"/>
        <v>7.1218957645442611</v>
      </c>
      <c r="AA6" s="2">
        <f>+RANK(B6,B$6:B$23,0)</f>
        <v>4</v>
      </c>
      <c r="AB6" s="2">
        <f t="shared" ref="AB6:AK21" si="5">+RANK(C6,C$6:C$23,0)</f>
        <v>4</v>
      </c>
      <c r="AC6" s="2">
        <f t="shared" si="5"/>
        <v>4</v>
      </c>
      <c r="AD6" s="2">
        <f t="shared" si="5"/>
        <v>4</v>
      </c>
      <c r="AE6" s="2">
        <f t="shared" si="5"/>
        <v>4</v>
      </c>
      <c r="AF6" s="2">
        <f t="shared" si="5"/>
        <v>4</v>
      </c>
      <c r="AG6" s="2">
        <f t="shared" si="5"/>
        <v>4</v>
      </c>
      <c r="AH6" s="2">
        <f t="shared" si="5"/>
        <v>4</v>
      </c>
      <c r="AI6" s="2">
        <f t="shared" si="5"/>
        <v>4</v>
      </c>
      <c r="AJ6" s="2">
        <f t="shared" si="5"/>
        <v>4</v>
      </c>
      <c r="AK6" s="2">
        <f>+RANK(L6,L$6:L$23,0)</f>
        <v>4</v>
      </c>
    </row>
    <row r="7" spans="1:37" ht="15" customHeight="1">
      <c r="A7" s="15" t="s">
        <v>15</v>
      </c>
      <c r="B7" s="329">
        <v>30159</v>
      </c>
      <c r="C7" s="329">
        <v>32039</v>
      </c>
      <c r="D7" s="329">
        <v>33160</v>
      </c>
      <c r="E7" s="329">
        <v>35441</v>
      </c>
      <c r="F7" s="329">
        <v>36806</v>
      </c>
      <c r="G7" s="329">
        <v>38732</v>
      </c>
      <c r="H7" s="329">
        <v>41050</v>
      </c>
      <c r="I7" s="329">
        <v>41359</v>
      </c>
      <c r="J7" s="329">
        <v>45331</v>
      </c>
      <c r="K7" s="329">
        <v>47376</v>
      </c>
      <c r="L7" s="329">
        <v>47842</v>
      </c>
      <c r="N7" s="559">
        <f t="shared" ref="N7:N23" si="6">+(L7/B7-1)*100</f>
        <v>58.632580655857282</v>
      </c>
      <c r="O7" s="419">
        <f t="shared" si="3"/>
        <v>17683</v>
      </c>
      <c r="P7" s="559">
        <f t="shared" ref="P7:Z23" si="7">B7*100/B$5</f>
        <v>1.1437376203173371</v>
      </c>
      <c r="Q7" s="559">
        <f t="shared" si="4"/>
        <v>1.179634397651556</v>
      </c>
      <c r="R7" s="559">
        <f t="shared" si="4"/>
        <v>1.1758956984770803</v>
      </c>
      <c r="S7" s="559">
        <f t="shared" si="4"/>
        <v>1.2026524117013693</v>
      </c>
      <c r="T7" s="559">
        <f t="shared" si="4"/>
        <v>1.2026182743999407</v>
      </c>
      <c r="U7" s="559">
        <f t="shared" si="4"/>
        <v>1.2450220173972637</v>
      </c>
      <c r="V7" s="559">
        <f t="shared" si="4"/>
        <v>1.330388006608836</v>
      </c>
      <c r="W7" s="559">
        <f t="shared" si="4"/>
        <v>1.3331528247180762</v>
      </c>
      <c r="X7" s="559">
        <f t="shared" si="4"/>
        <v>1.3584023407276178</v>
      </c>
      <c r="Y7" s="559">
        <f t="shared" si="4"/>
        <v>1.3576407267000097</v>
      </c>
      <c r="Z7" s="559">
        <f t="shared" si="4"/>
        <v>1.3495798959366199</v>
      </c>
      <c r="AA7" s="2">
        <f t="shared" ref="AA7:AK23" si="8">+RANK(B7,B$6:B$23,0)</f>
        <v>15</v>
      </c>
      <c r="AB7" s="2">
        <f t="shared" si="5"/>
        <v>15</v>
      </c>
      <c r="AC7" s="2">
        <f t="shared" si="5"/>
        <v>14</v>
      </c>
      <c r="AD7" s="2">
        <f t="shared" si="5"/>
        <v>14</v>
      </c>
      <c r="AE7" s="2">
        <f t="shared" si="5"/>
        <v>14</v>
      </c>
      <c r="AF7" s="2">
        <f t="shared" si="5"/>
        <v>14</v>
      </c>
      <c r="AG7" s="2">
        <f t="shared" si="5"/>
        <v>12</v>
      </c>
      <c r="AH7" s="2">
        <f t="shared" si="5"/>
        <v>12</v>
      </c>
      <c r="AI7" s="2">
        <f t="shared" si="5"/>
        <v>12</v>
      </c>
      <c r="AJ7" s="2">
        <f t="shared" si="5"/>
        <v>12</v>
      </c>
      <c r="AK7" s="2">
        <f t="shared" si="5"/>
        <v>12</v>
      </c>
    </row>
    <row r="8" spans="1:37" ht="15" customHeight="1">
      <c r="A8" s="15" t="s">
        <v>65</v>
      </c>
      <c r="B8" s="329">
        <v>240842</v>
      </c>
      <c r="C8" s="329">
        <v>249721</v>
      </c>
      <c r="D8" s="329">
        <v>261360</v>
      </c>
      <c r="E8" s="329">
        <v>273109</v>
      </c>
      <c r="F8" s="329">
        <v>282974</v>
      </c>
      <c r="G8" s="329">
        <v>279950</v>
      </c>
      <c r="H8" s="329">
        <v>281810</v>
      </c>
      <c r="I8" s="329">
        <v>284569</v>
      </c>
      <c r="J8" s="329">
        <v>304660</v>
      </c>
      <c r="K8" s="329">
        <v>312788</v>
      </c>
      <c r="L8" s="329">
        <v>312404</v>
      </c>
      <c r="N8" s="559">
        <f t="shared" si="6"/>
        <v>29.713255993555943</v>
      </c>
      <c r="O8" s="419">
        <f t="shared" si="3"/>
        <v>71562</v>
      </c>
      <c r="P8" s="559">
        <f t="shared" si="7"/>
        <v>9.133593817847677</v>
      </c>
      <c r="Q8" s="559">
        <f t="shared" si="4"/>
        <v>9.1944031154512995</v>
      </c>
      <c r="R8" s="559">
        <f t="shared" si="4"/>
        <v>9.2681574111571088</v>
      </c>
      <c r="S8" s="559">
        <f t="shared" si="4"/>
        <v>9.2676616773609446</v>
      </c>
      <c r="T8" s="559">
        <f t="shared" si="4"/>
        <v>9.2460387866122051</v>
      </c>
      <c r="U8" s="559">
        <f t="shared" si="4"/>
        <v>8.9988617621182474</v>
      </c>
      <c r="V8" s="559">
        <f t="shared" si="4"/>
        <v>9.1331703810581271</v>
      </c>
      <c r="W8" s="559">
        <f t="shared" si="4"/>
        <v>9.1727064526994901</v>
      </c>
      <c r="X8" s="559">
        <f t="shared" si="4"/>
        <v>9.1295329272699917</v>
      </c>
      <c r="Y8" s="559">
        <f t="shared" si="4"/>
        <v>8.9634778711381848</v>
      </c>
      <c r="Z8" s="559">
        <f t="shared" si="4"/>
        <v>8.8126365496882197</v>
      </c>
      <c r="AA8" s="2">
        <f t="shared" si="8"/>
        <v>3</v>
      </c>
      <c r="AB8" s="2">
        <f t="shared" si="5"/>
        <v>3</v>
      </c>
      <c r="AC8" s="2">
        <f t="shared" si="5"/>
        <v>3</v>
      </c>
      <c r="AD8" s="2">
        <f t="shared" si="5"/>
        <v>3</v>
      </c>
      <c r="AE8" s="2">
        <f t="shared" si="5"/>
        <v>3</v>
      </c>
      <c r="AF8" s="2">
        <f t="shared" si="5"/>
        <v>3</v>
      </c>
      <c r="AG8" s="2">
        <f t="shared" si="5"/>
        <v>3</v>
      </c>
      <c r="AH8" s="2">
        <f t="shared" si="5"/>
        <v>3</v>
      </c>
      <c r="AI8" s="2">
        <f t="shared" si="5"/>
        <v>3</v>
      </c>
      <c r="AJ8" s="2">
        <f t="shared" si="5"/>
        <v>3</v>
      </c>
      <c r="AK8" s="2">
        <f t="shared" si="5"/>
        <v>3</v>
      </c>
    </row>
    <row r="9" spans="1:37" ht="15" customHeight="1">
      <c r="A9" s="15" t="s">
        <v>16</v>
      </c>
      <c r="B9" s="329">
        <v>19925</v>
      </c>
      <c r="C9" s="329">
        <v>20381</v>
      </c>
      <c r="D9" s="329">
        <v>20798</v>
      </c>
      <c r="E9" s="329">
        <v>21150</v>
      </c>
      <c r="F9" s="329">
        <v>21768</v>
      </c>
      <c r="G9" s="329">
        <v>21436</v>
      </c>
      <c r="H9" s="329">
        <v>22299</v>
      </c>
      <c r="I9" s="329">
        <v>22605</v>
      </c>
      <c r="J9" s="329">
        <v>23249</v>
      </c>
      <c r="K9" s="329">
        <v>24160</v>
      </c>
      <c r="L9" s="329">
        <v>24098</v>
      </c>
      <c r="N9" s="559">
        <f t="shared" si="6"/>
        <v>20.943538268506899</v>
      </c>
      <c r="O9" s="419">
        <f t="shared" si="3"/>
        <v>4173</v>
      </c>
      <c r="P9" s="559">
        <f t="shared" si="7"/>
        <v>0.75562757667107461</v>
      </c>
      <c r="Q9" s="559">
        <f t="shared" si="4"/>
        <v>0.75040196818054128</v>
      </c>
      <c r="R9" s="559">
        <f t="shared" si="4"/>
        <v>0.73752348422576341</v>
      </c>
      <c r="S9" s="559">
        <f t="shared" si="4"/>
        <v>0.717702618647441</v>
      </c>
      <c r="T9" s="559">
        <f t="shared" si="4"/>
        <v>0.71125888706020512</v>
      </c>
      <c r="U9" s="559">
        <f t="shared" si="4"/>
        <v>0.68905019015097968</v>
      </c>
      <c r="V9" s="559">
        <f t="shared" si="4"/>
        <v>0.72268750692741623</v>
      </c>
      <c r="W9" s="559">
        <f t="shared" si="4"/>
        <v>0.72864236569433771</v>
      </c>
      <c r="X9" s="559">
        <f t="shared" si="4"/>
        <v>0.69668650635495322</v>
      </c>
      <c r="Y9" s="559">
        <f t="shared" si="4"/>
        <v>0.69234633479129171</v>
      </c>
      <c r="Z9" s="559">
        <f t="shared" si="4"/>
        <v>0.67978295916309239</v>
      </c>
      <c r="AA9" s="2">
        <f t="shared" si="8"/>
        <v>18</v>
      </c>
      <c r="AB9" s="2">
        <f t="shared" si="5"/>
        <v>18</v>
      </c>
      <c r="AC9" s="2">
        <f t="shared" si="5"/>
        <v>18</v>
      </c>
      <c r="AD9" s="2">
        <f t="shared" si="5"/>
        <v>18</v>
      </c>
      <c r="AE9" s="2">
        <f t="shared" si="5"/>
        <v>18</v>
      </c>
      <c r="AF9" s="2">
        <f t="shared" si="5"/>
        <v>18</v>
      </c>
      <c r="AG9" s="2">
        <f t="shared" si="5"/>
        <v>18</v>
      </c>
      <c r="AH9" s="2">
        <f t="shared" si="5"/>
        <v>17</v>
      </c>
      <c r="AI9" s="2">
        <f t="shared" si="5"/>
        <v>17</v>
      </c>
      <c r="AJ9" s="2">
        <f t="shared" si="5"/>
        <v>18</v>
      </c>
      <c r="AK9" s="2">
        <f t="shared" si="5"/>
        <v>17</v>
      </c>
    </row>
    <row r="10" spans="1:37" ht="15" customHeight="1">
      <c r="A10" s="15" t="s">
        <v>17</v>
      </c>
      <c r="B10" s="329">
        <v>38714</v>
      </c>
      <c r="C10" s="329">
        <v>38487</v>
      </c>
      <c r="D10" s="329">
        <v>38942</v>
      </c>
      <c r="E10" s="329">
        <v>39544</v>
      </c>
      <c r="F10" s="329">
        <v>41834</v>
      </c>
      <c r="G10" s="329">
        <v>40763</v>
      </c>
      <c r="H10" s="329">
        <v>40114</v>
      </c>
      <c r="I10" s="329">
        <v>40323</v>
      </c>
      <c r="J10" s="329">
        <v>42765</v>
      </c>
      <c r="K10" s="329">
        <v>45470</v>
      </c>
      <c r="L10" s="329">
        <v>44890</v>
      </c>
      <c r="M10" s="176"/>
      <c r="N10" s="559">
        <f t="shared" si="6"/>
        <v>15.952885261145845</v>
      </c>
      <c r="O10" s="419">
        <f t="shared" si="3"/>
        <v>6176</v>
      </c>
      <c r="P10" s="559">
        <f t="shared" si="7"/>
        <v>1.4681739524840143</v>
      </c>
      <c r="Q10" s="559">
        <f t="shared" si="4"/>
        <v>1.4170413890076292</v>
      </c>
      <c r="R10" s="559">
        <f t="shared" si="4"/>
        <v>1.3809327590498932</v>
      </c>
      <c r="S10" s="559">
        <f t="shared" si="4"/>
        <v>1.3418833263259768</v>
      </c>
      <c r="T10" s="559">
        <f t="shared" si="4"/>
        <v>1.3669057461078933</v>
      </c>
      <c r="U10" s="559">
        <f t="shared" si="4"/>
        <v>1.3103075620976108</v>
      </c>
      <c r="V10" s="559">
        <f t="shared" si="4"/>
        <v>1.3000532155202644</v>
      </c>
      <c r="W10" s="559">
        <f t="shared" si="4"/>
        <v>1.2997587308955001</v>
      </c>
      <c r="X10" s="559">
        <f t="shared" si="4"/>
        <v>1.2815088151864413</v>
      </c>
      <c r="Y10" s="559">
        <f t="shared" si="4"/>
        <v>1.3030210199900676</v>
      </c>
      <c r="Z10" s="559">
        <f t="shared" si="4"/>
        <v>1.266306624484655</v>
      </c>
      <c r="AA10" s="2">
        <f t="shared" si="8"/>
        <v>12</v>
      </c>
      <c r="AB10" s="2">
        <f t="shared" si="5"/>
        <v>12</v>
      </c>
      <c r="AC10" s="2">
        <f t="shared" si="5"/>
        <v>12</v>
      </c>
      <c r="AD10" s="2">
        <f t="shared" si="5"/>
        <v>12</v>
      </c>
      <c r="AE10" s="2">
        <f t="shared" si="5"/>
        <v>12</v>
      </c>
      <c r="AF10" s="2">
        <f t="shared" si="5"/>
        <v>13</v>
      </c>
      <c r="AG10" s="2">
        <f t="shared" si="5"/>
        <v>14</v>
      </c>
      <c r="AH10" s="2">
        <f t="shared" si="5"/>
        <v>14</v>
      </c>
      <c r="AI10" s="2">
        <f t="shared" si="5"/>
        <v>14</v>
      </c>
      <c r="AJ10" s="2">
        <f t="shared" si="5"/>
        <v>13</v>
      </c>
      <c r="AK10" s="2">
        <f t="shared" si="5"/>
        <v>13</v>
      </c>
    </row>
    <row r="11" spans="1:37" ht="15" customHeight="1">
      <c r="A11" s="15" t="s">
        <v>18</v>
      </c>
      <c r="B11" s="329">
        <v>91625</v>
      </c>
      <c r="C11" s="329">
        <v>94165</v>
      </c>
      <c r="D11" s="329">
        <v>95440</v>
      </c>
      <c r="E11" s="329">
        <v>99946</v>
      </c>
      <c r="F11" s="329">
        <v>100811</v>
      </c>
      <c r="G11" s="329">
        <v>101713</v>
      </c>
      <c r="H11" s="329">
        <v>102994</v>
      </c>
      <c r="I11" s="329">
        <v>102989</v>
      </c>
      <c r="J11" s="329">
        <v>109304</v>
      </c>
      <c r="K11" s="329">
        <v>112151</v>
      </c>
      <c r="L11" s="329">
        <v>114805</v>
      </c>
      <c r="M11" s="176"/>
      <c r="N11" s="559">
        <f t="shared" si="6"/>
        <v>25.298772169167805</v>
      </c>
      <c r="O11" s="419">
        <f t="shared" ref="O11:O23" si="9">+L11-B11</f>
        <v>23180</v>
      </c>
      <c r="P11" s="559">
        <f t="shared" si="7"/>
        <v>3.4747491449178023</v>
      </c>
      <c r="Q11" s="559">
        <f t="shared" si="4"/>
        <v>3.4670330863902983</v>
      </c>
      <c r="R11" s="559">
        <f t="shared" si="4"/>
        <v>3.3844235664249864</v>
      </c>
      <c r="S11" s="559">
        <f t="shared" si="4"/>
        <v>3.391560563751165</v>
      </c>
      <c r="T11" s="559">
        <f t="shared" si="4"/>
        <v>3.2939507379376303</v>
      </c>
      <c r="U11" s="559">
        <f t="shared" si="4"/>
        <v>3.2695167937500744</v>
      </c>
      <c r="V11" s="559">
        <f t="shared" si="4"/>
        <v>3.3379289245473927</v>
      </c>
      <c r="W11" s="559">
        <f t="shared" si="4"/>
        <v>3.319714602985806</v>
      </c>
      <c r="X11" s="559">
        <f t="shared" si="4"/>
        <v>3.2754364441748809</v>
      </c>
      <c r="Y11" s="559">
        <f t="shared" si="4"/>
        <v>3.2138797099825394</v>
      </c>
      <c r="Z11" s="559">
        <f t="shared" si="4"/>
        <v>3.2385460464237203</v>
      </c>
      <c r="AA11" s="2">
        <f t="shared" si="8"/>
        <v>9</v>
      </c>
      <c r="AB11" s="2">
        <f t="shared" si="5"/>
        <v>9</v>
      </c>
      <c r="AC11" s="2">
        <f t="shared" si="5"/>
        <v>9</v>
      </c>
      <c r="AD11" s="2">
        <f t="shared" si="5"/>
        <v>9</v>
      </c>
      <c r="AE11" s="2">
        <f t="shared" si="5"/>
        <v>9</v>
      </c>
      <c r="AF11" s="2">
        <f t="shared" si="5"/>
        <v>9</v>
      </c>
      <c r="AG11" s="2">
        <f t="shared" si="5"/>
        <v>9</v>
      </c>
      <c r="AH11" s="2">
        <f t="shared" si="5"/>
        <v>9</v>
      </c>
      <c r="AI11" s="2">
        <f t="shared" si="5"/>
        <v>9</v>
      </c>
      <c r="AJ11" s="2">
        <f t="shared" si="5"/>
        <v>9</v>
      </c>
      <c r="AK11" s="2">
        <f t="shared" si="5"/>
        <v>9</v>
      </c>
    </row>
    <row r="12" spans="1:37" ht="15" customHeight="1">
      <c r="A12" s="15" t="s">
        <v>19</v>
      </c>
      <c r="B12" s="329">
        <v>35478</v>
      </c>
      <c r="C12" s="329">
        <v>36817</v>
      </c>
      <c r="D12" s="329">
        <v>38198</v>
      </c>
      <c r="E12" s="329">
        <v>39029</v>
      </c>
      <c r="F12" s="329">
        <v>40741</v>
      </c>
      <c r="G12" s="329">
        <v>40944</v>
      </c>
      <c r="H12" s="329">
        <v>40465</v>
      </c>
      <c r="I12" s="329">
        <v>40725</v>
      </c>
      <c r="J12" s="329">
        <v>43523</v>
      </c>
      <c r="K12" s="329">
        <v>45228</v>
      </c>
      <c r="L12" s="329">
        <v>44873</v>
      </c>
      <c r="M12" s="176"/>
      <c r="N12" s="559">
        <f t="shared" si="6"/>
        <v>26.481199616663844</v>
      </c>
      <c r="O12" s="419">
        <f t="shared" si="9"/>
        <v>9395</v>
      </c>
      <c r="P12" s="559">
        <f t="shared" si="7"/>
        <v>1.3454532077860168</v>
      </c>
      <c r="Q12" s="559">
        <f t="shared" si="4"/>
        <v>1.3555541564448745</v>
      </c>
      <c r="R12" s="559">
        <f t="shared" si="4"/>
        <v>1.3545495745002265</v>
      </c>
      <c r="S12" s="559">
        <f t="shared" si="4"/>
        <v>1.3244073523967366</v>
      </c>
      <c r="T12" s="559">
        <f t="shared" si="4"/>
        <v>1.3311924989764707</v>
      </c>
      <c r="U12" s="559">
        <f t="shared" si="4"/>
        <v>1.3161257224081784</v>
      </c>
      <c r="V12" s="559">
        <f t="shared" si="4"/>
        <v>1.3114287621784788</v>
      </c>
      <c r="W12" s="559">
        <f t="shared" si="4"/>
        <v>1.312716670776461</v>
      </c>
      <c r="X12" s="559">
        <f t="shared" si="4"/>
        <v>1.3042232705099845</v>
      </c>
      <c r="Y12" s="559">
        <f t="shared" si="4"/>
        <v>1.2960860939544925</v>
      </c>
      <c r="Z12" s="559">
        <f t="shared" si="4"/>
        <v>1.2658270697371334</v>
      </c>
      <c r="AA12" s="2">
        <f t="shared" si="8"/>
        <v>13</v>
      </c>
      <c r="AB12" s="2">
        <f t="shared" si="5"/>
        <v>13</v>
      </c>
      <c r="AC12" s="2">
        <f t="shared" si="5"/>
        <v>13</v>
      </c>
      <c r="AD12" s="2">
        <f t="shared" si="5"/>
        <v>13</v>
      </c>
      <c r="AE12" s="2">
        <f t="shared" si="5"/>
        <v>13</v>
      </c>
      <c r="AF12" s="2">
        <f t="shared" si="5"/>
        <v>12</v>
      </c>
      <c r="AG12" s="2">
        <f t="shared" si="5"/>
        <v>13</v>
      </c>
      <c r="AH12" s="2">
        <f t="shared" si="5"/>
        <v>13</v>
      </c>
      <c r="AI12" s="2">
        <f t="shared" si="5"/>
        <v>13</v>
      </c>
      <c r="AJ12" s="2">
        <f t="shared" si="5"/>
        <v>14</v>
      </c>
      <c r="AK12" s="2">
        <f t="shared" si="5"/>
        <v>14</v>
      </c>
    </row>
    <row r="13" spans="1:37" ht="15" customHeight="1">
      <c r="A13" s="15" t="s">
        <v>20</v>
      </c>
      <c r="B13" s="329">
        <v>119459</v>
      </c>
      <c r="C13" s="329">
        <v>126980</v>
      </c>
      <c r="D13" s="329">
        <v>135848</v>
      </c>
      <c r="E13" s="329">
        <v>145770</v>
      </c>
      <c r="F13" s="329">
        <v>154417</v>
      </c>
      <c r="G13" s="329">
        <v>160288</v>
      </c>
      <c r="H13" s="329">
        <v>144668</v>
      </c>
      <c r="I13" s="329">
        <v>148406</v>
      </c>
      <c r="J13" s="329">
        <v>165503</v>
      </c>
      <c r="K13" s="329">
        <v>178434</v>
      </c>
      <c r="L13" s="329">
        <v>184099</v>
      </c>
      <c r="M13" s="176"/>
      <c r="N13" s="559">
        <f t="shared" si="6"/>
        <v>54.110615357570381</v>
      </c>
      <c r="O13" s="419">
        <f t="shared" si="9"/>
        <v>64640</v>
      </c>
      <c r="P13" s="559">
        <f t="shared" si="7"/>
        <v>4.5303144131267201</v>
      </c>
      <c r="Q13" s="559">
        <f t="shared" si="4"/>
        <v>4.6752387968973617</v>
      </c>
      <c r="R13" s="559">
        <f t="shared" si="4"/>
        <v>4.8173425466439808</v>
      </c>
      <c r="S13" s="559">
        <f t="shared" si="4"/>
        <v>4.9465489702239944</v>
      </c>
      <c r="T13" s="559">
        <f t="shared" si="4"/>
        <v>5.0455008987125911</v>
      </c>
      <c r="U13" s="559">
        <f t="shared" si="4"/>
        <v>5.1523827616589024</v>
      </c>
      <c r="V13" s="559">
        <f t="shared" si="4"/>
        <v>4.688540125215277</v>
      </c>
      <c r="W13" s="559">
        <f t="shared" si="4"/>
        <v>4.7836717064027372</v>
      </c>
      <c r="X13" s="559">
        <f t="shared" si="4"/>
        <v>4.959512532206281</v>
      </c>
      <c r="Y13" s="559">
        <f t="shared" si="4"/>
        <v>5.1133330257512144</v>
      </c>
      <c r="Z13" s="559">
        <f t="shared" si="4"/>
        <v>5.193267615526854</v>
      </c>
      <c r="AA13" s="2">
        <f t="shared" si="8"/>
        <v>7</v>
      </c>
      <c r="AB13" s="2">
        <f t="shared" si="5"/>
        <v>7</v>
      </c>
      <c r="AC13" s="2">
        <f t="shared" si="5"/>
        <v>6</v>
      </c>
      <c r="AD13" s="2">
        <f t="shared" si="5"/>
        <v>6</v>
      </c>
      <c r="AE13" s="2">
        <f t="shared" si="5"/>
        <v>6</v>
      </c>
      <c r="AF13" s="2">
        <f t="shared" si="5"/>
        <v>6</v>
      </c>
      <c r="AG13" s="2">
        <f t="shared" si="5"/>
        <v>7</v>
      </c>
      <c r="AH13" s="2">
        <f t="shared" si="5"/>
        <v>7</v>
      </c>
      <c r="AI13" s="2">
        <f t="shared" si="5"/>
        <v>6</v>
      </c>
      <c r="AJ13" s="2">
        <f t="shared" si="5"/>
        <v>6</v>
      </c>
      <c r="AK13" s="2">
        <f t="shared" si="5"/>
        <v>6</v>
      </c>
    </row>
    <row r="14" spans="1:37" ht="15" customHeight="1">
      <c r="A14" s="15" t="s">
        <v>21</v>
      </c>
      <c r="B14" s="329">
        <v>28347</v>
      </c>
      <c r="C14" s="329">
        <v>28671</v>
      </c>
      <c r="D14" s="329">
        <v>28979</v>
      </c>
      <c r="E14" s="329">
        <v>29930</v>
      </c>
      <c r="F14" s="329">
        <v>30579</v>
      </c>
      <c r="G14" s="329">
        <v>30148</v>
      </c>
      <c r="H14" s="329">
        <v>30772</v>
      </c>
      <c r="I14" s="329">
        <v>30792</v>
      </c>
      <c r="J14" s="329">
        <v>31779</v>
      </c>
      <c r="K14" s="329">
        <v>32928</v>
      </c>
      <c r="L14" s="329">
        <v>33014</v>
      </c>
      <c r="M14" s="176"/>
      <c r="N14" s="559">
        <f t="shared" si="6"/>
        <v>16.46382333227503</v>
      </c>
      <c r="O14" s="419">
        <f t="shared" si="9"/>
        <v>4667</v>
      </c>
      <c r="P14" s="559">
        <f t="shared" si="7"/>
        <v>1.0750200710612272</v>
      </c>
      <c r="Q14" s="559">
        <f t="shared" si="4"/>
        <v>1.0556290088663116</v>
      </c>
      <c r="R14" s="559">
        <f t="shared" si="4"/>
        <v>1.027632130463429</v>
      </c>
      <c r="S14" s="559">
        <f t="shared" si="4"/>
        <v>1.0156425236935183</v>
      </c>
      <c r="T14" s="559">
        <f t="shared" si="4"/>
        <v>0.99915405675367563</v>
      </c>
      <c r="U14" s="559">
        <f t="shared" si="4"/>
        <v>0.969093353828687</v>
      </c>
      <c r="V14" s="559">
        <f t="shared" si="4"/>
        <v>0.99728866600163468</v>
      </c>
      <c r="W14" s="559">
        <f t="shared" si="4"/>
        <v>0.99253951446405864</v>
      </c>
      <c r="X14" s="559">
        <f t="shared" si="4"/>
        <v>0.95229904449456138</v>
      </c>
      <c r="Y14" s="559">
        <f t="shared" si="4"/>
        <v>0.9436084483446876</v>
      </c>
      <c r="Z14" s="559">
        <f t="shared" si="4"/>
        <v>0.93129531968670975</v>
      </c>
      <c r="AA14" s="2">
        <f t="shared" si="8"/>
        <v>16</v>
      </c>
      <c r="AB14" s="2">
        <f t="shared" si="5"/>
        <v>16</v>
      </c>
      <c r="AC14" s="2">
        <f t="shared" si="5"/>
        <v>16</v>
      </c>
      <c r="AD14" s="2">
        <f t="shared" si="5"/>
        <v>16</v>
      </c>
      <c r="AE14" s="2">
        <f t="shared" si="5"/>
        <v>16</v>
      </c>
      <c r="AF14" s="2">
        <f t="shared" si="5"/>
        <v>16</v>
      </c>
      <c r="AG14" s="2">
        <f t="shared" si="5"/>
        <v>16</v>
      </c>
      <c r="AH14" s="2">
        <f t="shared" si="5"/>
        <v>16</v>
      </c>
      <c r="AI14" s="2">
        <f t="shared" si="5"/>
        <v>16</v>
      </c>
      <c r="AJ14" s="2">
        <f t="shared" si="5"/>
        <v>16</v>
      </c>
      <c r="AK14" s="2">
        <f t="shared" si="5"/>
        <v>16</v>
      </c>
    </row>
    <row r="15" spans="1:37" ht="15" customHeight="1">
      <c r="A15" s="15" t="s">
        <v>22</v>
      </c>
      <c r="B15" s="329">
        <v>128192</v>
      </c>
      <c r="C15" s="329">
        <v>131409</v>
      </c>
      <c r="D15" s="329">
        <v>135744</v>
      </c>
      <c r="E15" s="329">
        <v>142737</v>
      </c>
      <c r="F15" s="329">
        <v>150327</v>
      </c>
      <c r="G15" s="329">
        <v>152235</v>
      </c>
      <c r="H15" s="329">
        <v>151214</v>
      </c>
      <c r="I15" s="329">
        <v>150268</v>
      </c>
      <c r="J15" s="329">
        <v>157094</v>
      </c>
      <c r="K15" s="329">
        <v>163957</v>
      </c>
      <c r="L15" s="329">
        <v>165799</v>
      </c>
      <c r="M15" s="176"/>
      <c r="N15" s="559">
        <f t="shared" si="6"/>
        <v>29.336464053919119</v>
      </c>
      <c r="O15" s="419">
        <f t="shared" si="9"/>
        <v>37607</v>
      </c>
      <c r="P15" s="559">
        <f t="shared" si="7"/>
        <v>4.8615011447236336</v>
      </c>
      <c r="Q15" s="559">
        <f t="shared" si="4"/>
        <v>4.8383088286461282</v>
      </c>
      <c r="R15" s="559">
        <f t="shared" si="4"/>
        <v>4.8136545746101564</v>
      </c>
      <c r="S15" s="559">
        <f t="shared" si="4"/>
        <v>4.8436273606562548</v>
      </c>
      <c r="T15" s="559">
        <f t="shared" si="4"/>
        <v>4.9118621239939104</v>
      </c>
      <c r="U15" s="559">
        <f t="shared" si="4"/>
        <v>4.8935228446367978</v>
      </c>
      <c r="V15" s="559">
        <f t="shared" si="4"/>
        <v>4.9006892090462495</v>
      </c>
      <c r="W15" s="559">
        <f t="shared" si="4"/>
        <v>4.8436908209757457</v>
      </c>
      <c r="X15" s="559">
        <f t="shared" si="4"/>
        <v>4.7075259163544674</v>
      </c>
      <c r="Y15" s="559">
        <f t="shared" si="4"/>
        <v>4.6984697025403896</v>
      </c>
      <c r="Z15" s="559">
        <f t="shared" si="4"/>
        <v>4.6770410343713813</v>
      </c>
      <c r="AA15" s="2">
        <f t="shared" si="8"/>
        <v>6</v>
      </c>
      <c r="AB15" s="2">
        <f t="shared" si="5"/>
        <v>6</v>
      </c>
      <c r="AC15" s="2">
        <f t="shared" si="5"/>
        <v>7</v>
      </c>
      <c r="AD15" s="2">
        <f t="shared" si="5"/>
        <v>7</v>
      </c>
      <c r="AE15" s="2">
        <f t="shared" si="5"/>
        <v>7</v>
      </c>
      <c r="AF15" s="2">
        <f t="shared" si="5"/>
        <v>7</v>
      </c>
      <c r="AG15" s="2">
        <f t="shared" si="5"/>
        <v>6</v>
      </c>
      <c r="AH15" s="2">
        <f t="shared" si="5"/>
        <v>6</v>
      </c>
      <c r="AI15" s="2">
        <f t="shared" si="5"/>
        <v>7</v>
      </c>
      <c r="AJ15" s="2">
        <f t="shared" si="5"/>
        <v>7</v>
      </c>
      <c r="AK15" s="2">
        <f t="shared" si="5"/>
        <v>7</v>
      </c>
    </row>
    <row r="16" spans="1:37" ht="15" customHeight="1">
      <c r="A16" s="15" t="s">
        <v>23</v>
      </c>
      <c r="B16" s="329">
        <v>764524</v>
      </c>
      <c r="C16" s="329">
        <v>780947</v>
      </c>
      <c r="D16" s="329">
        <v>817508</v>
      </c>
      <c r="E16" s="329">
        <v>847011</v>
      </c>
      <c r="F16" s="329">
        <v>886123</v>
      </c>
      <c r="G16" s="329">
        <v>905022</v>
      </c>
      <c r="H16" s="329">
        <v>895425</v>
      </c>
      <c r="I16" s="329">
        <v>900307</v>
      </c>
      <c r="J16" s="329">
        <v>981424</v>
      </c>
      <c r="K16" s="329">
        <v>1039751</v>
      </c>
      <c r="L16" s="329">
        <v>1068615</v>
      </c>
      <c r="M16" s="176"/>
      <c r="N16" s="559">
        <f t="shared" si="6"/>
        <v>39.775206533738647</v>
      </c>
      <c r="O16" s="419">
        <f t="shared" si="9"/>
        <v>304091</v>
      </c>
      <c r="P16" s="559">
        <f t="shared" si="7"/>
        <v>28.993496483155667</v>
      </c>
      <c r="Q16" s="559">
        <f t="shared" si="4"/>
        <v>28.753454974961443</v>
      </c>
      <c r="R16" s="559">
        <f t="shared" si="4"/>
        <v>28.989871552189413</v>
      </c>
      <c r="S16" s="559">
        <f t="shared" si="4"/>
        <v>28.74241194908689</v>
      </c>
      <c r="T16" s="559">
        <f t="shared" si="4"/>
        <v>28.953641068469778</v>
      </c>
      <c r="U16" s="559">
        <f t="shared" si="4"/>
        <v>29.091508732544312</v>
      </c>
      <c r="V16" s="559">
        <f t="shared" si="4"/>
        <v>29.019797340261075</v>
      </c>
      <c r="W16" s="559">
        <f t="shared" si="4"/>
        <v>29.020208906488477</v>
      </c>
      <c r="X16" s="559">
        <f t="shared" si="4"/>
        <v>29.409645912207132</v>
      </c>
      <c r="Y16" s="559">
        <f t="shared" si="4"/>
        <v>29.795852398409782</v>
      </c>
      <c r="Z16" s="559">
        <f t="shared" si="4"/>
        <v>30.144670383686112</v>
      </c>
      <c r="AA16" s="2">
        <f t="shared" si="8"/>
        <v>1</v>
      </c>
      <c r="AB16" s="2">
        <f t="shared" si="5"/>
        <v>1</v>
      </c>
      <c r="AC16" s="2">
        <f t="shared" si="5"/>
        <v>1</v>
      </c>
      <c r="AD16" s="2">
        <f t="shared" si="5"/>
        <v>1</v>
      </c>
      <c r="AE16" s="2">
        <f t="shared" si="5"/>
        <v>1</v>
      </c>
      <c r="AF16" s="2">
        <f t="shared" si="5"/>
        <v>1</v>
      </c>
      <c r="AG16" s="2">
        <f t="shared" si="5"/>
        <v>1</v>
      </c>
      <c r="AH16" s="2">
        <f t="shared" si="5"/>
        <v>1</v>
      </c>
      <c r="AI16" s="2">
        <f t="shared" si="5"/>
        <v>1</v>
      </c>
      <c r="AJ16" s="2">
        <f t="shared" si="5"/>
        <v>1</v>
      </c>
      <c r="AK16" s="2">
        <f t="shared" si="5"/>
        <v>1</v>
      </c>
    </row>
    <row r="17" spans="1:37" ht="15" customHeight="1">
      <c r="A17" s="15" t="s">
        <v>24</v>
      </c>
      <c r="B17" s="329">
        <v>20497</v>
      </c>
      <c r="C17" s="329">
        <v>20704</v>
      </c>
      <c r="D17" s="329">
        <v>21614</v>
      </c>
      <c r="E17" s="329">
        <v>22068</v>
      </c>
      <c r="F17" s="329">
        <v>22056</v>
      </c>
      <c r="G17" s="329">
        <v>22201</v>
      </c>
      <c r="H17" s="329">
        <v>22475</v>
      </c>
      <c r="I17" s="329">
        <v>21854</v>
      </c>
      <c r="J17" s="329">
        <v>23056</v>
      </c>
      <c r="K17" s="329">
        <v>24444</v>
      </c>
      <c r="L17" s="329">
        <v>23830</v>
      </c>
      <c r="M17" s="176"/>
      <c r="N17" s="559">
        <f t="shared" si="6"/>
        <v>16.260916231643652</v>
      </c>
      <c r="O17" s="419">
        <f t="shared" si="9"/>
        <v>3333</v>
      </c>
      <c r="P17" s="559">
        <f t="shared" si="7"/>
        <v>0.77731987146936099</v>
      </c>
      <c r="Q17" s="559">
        <f t="shared" si="4"/>
        <v>0.76229440896962497</v>
      </c>
      <c r="R17" s="559">
        <f t="shared" si="4"/>
        <v>0.76645988018346245</v>
      </c>
      <c r="S17" s="559">
        <f t="shared" si="4"/>
        <v>0.74885396635043633</v>
      </c>
      <c r="T17" s="559">
        <f t="shared" si="4"/>
        <v>0.72066914796949111</v>
      </c>
      <c r="U17" s="559">
        <f t="shared" si="4"/>
        <v>0.71364075720945597</v>
      </c>
      <c r="V17" s="559">
        <f t="shared" si="4"/>
        <v>0.72839148473894255</v>
      </c>
      <c r="W17" s="559">
        <f t="shared" si="4"/>
        <v>0.70443487104109959</v>
      </c>
      <c r="X17" s="559">
        <f t="shared" si="4"/>
        <v>0.69090301047442049</v>
      </c>
      <c r="Y17" s="559">
        <f t="shared" si="4"/>
        <v>0.70048484303138803</v>
      </c>
      <c r="Z17" s="559">
        <f t="shared" si="4"/>
        <v>0.67222291961393021</v>
      </c>
      <c r="AA17" s="2">
        <f t="shared" si="8"/>
        <v>17</v>
      </c>
      <c r="AB17" s="2">
        <f t="shared" si="5"/>
        <v>17</v>
      </c>
      <c r="AC17" s="2">
        <f t="shared" si="5"/>
        <v>17</v>
      </c>
      <c r="AD17" s="2">
        <f t="shared" si="5"/>
        <v>17</v>
      </c>
      <c r="AE17" s="2">
        <f t="shared" si="5"/>
        <v>17</v>
      </c>
      <c r="AF17" s="2">
        <f t="shared" si="5"/>
        <v>17</v>
      </c>
      <c r="AG17" s="2">
        <f t="shared" si="5"/>
        <v>17</v>
      </c>
      <c r="AH17" s="2">
        <f t="shared" si="5"/>
        <v>18</v>
      </c>
      <c r="AI17" s="2">
        <f t="shared" si="5"/>
        <v>18</v>
      </c>
      <c r="AJ17" s="2">
        <f t="shared" si="5"/>
        <v>17</v>
      </c>
      <c r="AK17" s="2">
        <f t="shared" si="5"/>
        <v>18</v>
      </c>
    </row>
    <row r="18" spans="1:37" ht="15" customHeight="1">
      <c r="A18" s="15" t="s">
        <v>25</v>
      </c>
      <c r="B18" s="329">
        <v>511719</v>
      </c>
      <c r="C18" s="329">
        <v>532550</v>
      </c>
      <c r="D18" s="329">
        <v>551277</v>
      </c>
      <c r="E18" s="329">
        <v>580272</v>
      </c>
      <c r="F18" s="329">
        <v>593048</v>
      </c>
      <c r="G18" s="329">
        <v>607009</v>
      </c>
      <c r="H18" s="329">
        <v>599969</v>
      </c>
      <c r="I18" s="329">
        <v>603391</v>
      </c>
      <c r="J18" s="329">
        <v>647496</v>
      </c>
      <c r="K18" s="329">
        <v>675046</v>
      </c>
      <c r="L18" s="329">
        <v>685481</v>
      </c>
      <c r="M18" s="176"/>
      <c r="N18" s="559">
        <f t="shared" si="6"/>
        <v>33.956526922002105</v>
      </c>
      <c r="O18" s="419">
        <f t="shared" si="9"/>
        <v>173762</v>
      </c>
      <c r="P18" s="559">
        <f t="shared" si="7"/>
        <v>19.40622273056691</v>
      </c>
      <c r="Q18" s="559">
        <f t="shared" si="4"/>
        <v>19.607799821134744</v>
      </c>
      <c r="R18" s="559">
        <f t="shared" si="4"/>
        <v>19.548982297025013</v>
      </c>
      <c r="S18" s="559">
        <f t="shared" si="4"/>
        <v>19.690909405569169</v>
      </c>
      <c r="T18" s="559">
        <f t="shared" si="4"/>
        <v>19.377556985174593</v>
      </c>
      <c r="U18" s="559">
        <f t="shared" si="4"/>
        <v>19.512020287057101</v>
      </c>
      <c r="V18" s="559">
        <f t="shared" si="4"/>
        <v>19.444374225020628</v>
      </c>
      <c r="W18" s="559">
        <f t="shared" si="4"/>
        <v>19.449513190828227</v>
      </c>
      <c r="X18" s="559">
        <f t="shared" si="4"/>
        <v>19.403059319489302</v>
      </c>
      <c r="Y18" s="559">
        <f t="shared" si="4"/>
        <v>19.344603638887513</v>
      </c>
      <c r="Z18" s="559">
        <f t="shared" si="4"/>
        <v>19.33680399328059</v>
      </c>
      <c r="AA18" s="2">
        <f t="shared" si="8"/>
        <v>2</v>
      </c>
      <c r="AB18" s="2">
        <f t="shared" si="5"/>
        <v>2</v>
      </c>
      <c r="AC18" s="2">
        <f t="shared" si="5"/>
        <v>2</v>
      </c>
      <c r="AD18" s="2">
        <f t="shared" si="5"/>
        <v>2</v>
      </c>
      <c r="AE18" s="2">
        <f t="shared" si="5"/>
        <v>2</v>
      </c>
      <c r="AF18" s="2">
        <f t="shared" si="5"/>
        <v>2</v>
      </c>
      <c r="AG18" s="2">
        <f t="shared" si="5"/>
        <v>2</v>
      </c>
      <c r="AH18" s="2">
        <f t="shared" si="5"/>
        <v>2</v>
      </c>
      <c r="AI18" s="2">
        <f t="shared" si="5"/>
        <v>2</v>
      </c>
      <c r="AJ18" s="2">
        <f t="shared" si="5"/>
        <v>2</v>
      </c>
      <c r="AK18" s="2">
        <f t="shared" si="5"/>
        <v>2</v>
      </c>
    </row>
    <row r="19" spans="1:37" ht="15" customHeight="1">
      <c r="A19" s="15" t="s">
        <v>26</v>
      </c>
      <c r="B19" s="329">
        <v>97672</v>
      </c>
      <c r="C19" s="329">
        <v>99795</v>
      </c>
      <c r="D19" s="329">
        <v>101230</v>
      </c>
      <c r="E19" s="329">
        <v>104902</v>
      </c>
      <c r="F19" s="329">
        <v>107738</v>
      </c>
      <c r="G19" s="329">
        <v>110106</v>
      </c>
      <c r="H19" s="329">
        <v>110997</v>
      </c>
      <c r="I19" s="329">
        <v>110211</v>
      </c>
      <c r="J19" s="329">
        <v>116005</v>
      </c>
      <c r="K19" s="329">
        <v>120066</v>
      </c>
      <c r="L19" s="329">
        <v>122205</v>
      </c>
      <c r="M19" s="176"/>
      <c r="N19" s="559">
        <f t="shared" si="6"/>
        <v>25.117741010729787</v>
      </c>
      <c r="O19" s="419">
        <f t="shared" si="9"/>
        <v>24533</v>
      </c>
      <c r="P19" s="559">
        <f t="shared" si="7"/>
        <v>3.7040731075843012</v>
      </c>
      <c r="Q19" s="559">
        <f t="shared" si="4"/>
        <v>3.6743223794012616</v>
      </c>
      <c r="R19" s="559">
        <f t="shared" si="4"/>
        <v>3.5897443171542474</v>
      </c>
      <c r="S19" s="559">
        <f t="shared" si="4"/>
        <v>3.5597371206313881</v>
      </c>
      <c r="T19" s="559">
        <f t="shared" si="4"/>
        <v>3.5202871175161876</v>
      </c>
      <c r="U19" s="559">
        <f t="shared" si="4"/>
        <v>3.5393058516870575</v>
      </c>
      <c r="V19" s="559">
        <f t="shared" si="4"/>
        <v>3.5972978701476488</v>
      </c>
      <c r="W19" s="559">
        <f t="shared" si="4"/>
        <v>3.5525062493049613</v>
      </c>
      <c r="X19" s="559">
        <f t="shared" si="4"/>
        <v>3.4762406197989741</v>
      </c>
      <c r="Y19" s="559">
        <f t="shared" si="4"/>
        <v>3.4406976420964912</v>
      </c>
      <c r="Z19" s="559">
        <f t="shared" si="4"/>
        <v>3.44729340710954</v>
      </c>
      <c r="AA19" s="2">
        <f t="shared" si="8"/>
        <v>8</v>
      </c>
      <c r="AB19" s="2">
        <f t="shared" si="5"/>
        <v>8</v>
      </c>
      <c r="AC19" s="2">
        <f t="shared" si="5"/>
        <v>8</v>
      </c>
      <c r="AD19" s="2">
        <f t="shared" si="5"/>
        <v>8</v>
      </c>
      <c r="AE19" s="2">
        <f t="shared" si="5"/>
        <v>8</v>
      </c>
      <c r="AF19" s="2">
        <f t="shared" si="5"/>
        <v>8</v>
      </c>
      <c r="AG19" s="2">
        <f t="shared" si="5"/>
        <v>8</v>
      </c>
      <c r="AH19" s="2">
        <f t="shared" si="5"/>
        <v>8</v>
      </c>
      <c r="AI19" s="2">
        <f t="shared" si="5"/>
        <v>8</v>
      </c>
      <c r="AJ19" s="2">
        <f t="shared" si="5"/>
        <v>8</v>
      </c>
      <c r="AK19" s="2">
        <f t="shared" si="5"/>
        <v>8</v>
      </c>
    </row>
    <row r="20" spans="1:37" ht="15" customHeight="1">
      <c r="A20" s="15" t="s">
        <v>27</v>
      </c>
      <c r="B20" s="329">
        <v>145403</v>
      </c>
      <c r="C20" s="329">
        <v>148477</v>
      </c>
      <c r="D20" s="329">
        <v>152690</v>
      </c>
      <c r="E20" s="329">
        <v>161083</v>
      </c>
      <c r="F20" s="329">
        <v>170243</v>
      </c>
      <c r="G20" s="329">
        <v>173740</v>
      </c>
      <c r="H20" s="329">
        <v>174949</v>
      </c>
      <c r="I20" s="329">
        <v>176465</v>
      </c>
      <c r="J20" s="329">
        <v>189206</v>
      </c>
      <c r="K20" s="329">
        <v>195528</v>
      </c>
      <c r="L20" s="329">
        <v>198848</v>
      </c>
      <c r="M20" s="176"/>
      <c r="N20" s="559">
        <f t="shared" si="6"/>
        <v>36.756463071601011</v>
      </c>
      <c r="O20" s="419">
        <f t="shared" si="9"/>
        <v>53445</v>
      </c>
      <c r="P20" s="559">
        <f t="shared" si="7"/>
        <v>5.5142040918797628</v>
      </c>
      <c r="Q20" s="559">
        <f t="shared" si="4"/>
        <v>5.4667304366587617</v>
      </c>
      <c r="R20" s="559">
        <f t="shared" si="4"/>
        <v>5.4145812485061944</v>
      </c>
      <c r="S20" s="559">
        <f t="shared" si="4"/>
        <v>5.4661792396967259</v>
      </c>
      <c r="T20" s="559">
        <f t="shared" si="4"/>
        <v>5.5626078054846788</v>
      </c>
      <c r="U20" s="559">
        <f t="shared" si="4"/>
        <v>5.5847910075028553</v>
      </c>
      <c r="V20" s="559">
        <f t="shared" si="4"/>
        <v>5.6699159894813462</v>
      </c>
      <c r="W20" s="559">
        <f t="shared" si="4"/>
        <v>5.6881165698850387</v>
      </c>
      <c r="X20" s="559">
        <f t="shared" si="4"/>
        <v>5.6698037387154407</v>
      </c>
      <c r="Y20" s="559">
        <f t="shared" si="4"/>
        <v>5.6031909829913777</v>
      </c>
      <c r="Z20" s="559">
        <f t="shared" si="4"/>
        <v>5.609323672655929</v>
      </c>
      <c r="AA20" s="2">
        <f t="shared" si="8"/>
        <v>5</v>
      </c>
      <c r="AB20" s="2">
        <f t="shared" si="5"/>
        <v>5</v>
      </c>
      <c r="AC20" s="2">
        <f t="shared" si="5"/>
        <v>5</v>
      </c>
      <c r="AD20" s="2">
        <f t="shared" si="5"/>
        <v>5</v>
      </c>
      <c r="AE20" s="2">
        <f t="shared" si="5"/>
        <v>5</v>
      </c>
      <c r="AF20" s="2">
        <f t="shared" si="5"/>
        <v>5</v>
      </c>
      <c r="AG20" s="2">
        <f t="shared" si="5"/>
        <v>5</v>
      </c>
      <c r="AH20" s="2">
        <f t="shared" si="5"/>
        <v>5</v>
      </c>
      <c r="AI20" s="2">
        <f t="shared" si="5"/>
        <v>5</v>
      </c>
      <c r="AJ20" s="2">
        <f t="shared" si="5"/>
        <v>5</v>
      </c>
      <c r="AK20" s="2">
        <f t="shared" si="5"/>
        <v>5</v>
      </c>
    </row>
    <row r="21" spans="1:37" ht="15" customHeight="1">
      <c r="A21" s="15" t="s">
        <v>28</v>
      </c>
      <c r="B21" s="329">
        <v>54568</v>
      </c>
      <c r="C21" s="329">
        <v>56865</v>
      </c>
      <c r="D21" s="329">
        <v>57001</v>
      </c>
      <c r="E21" s="329">
        <v>59646</v>
      </c>
      <c r="F21" s="329">
        <v>62987</v>
      </c>
      <c r="G21" s="329">
        <v>63449</v>
      </c>
      <c r="H21" s="329">
        <v>64864</v>
      </c>
      <c r="I21" s="329">
        <v>65112</v>
      </c>
      <c r="J21" s="329">
        <v>68558</v>
      </c>
      <c r="K21" s="329">
        <v>72633</v>
      </c>
      <c r="L21" s="329">
        <v>73222</v>
      </c>
      <c r="M21" s="176"/>
      <c r="N21" s="559">
        <f t="shared" si="6"/>
        <v>34.18487025362851</v>
      </c>
      <c r="O21" s="419">
        <f t="shared" si="9"/>
        <v>18654</v>
      </c>
      <c r="P21" s="559">
        <f t="shared" si="7"/>
        <v>2.0694145848826699</v>
      </c>
      <c r="Q21" s="559">
        <f t="shared" si="4"/>
        <v>2.0936954968149983</v>
      </c>
      <c r="R21" s="559">
        <f t="shared" si="4"/>
        <v>2.0213278259617629</v>
      </c>
      <c r="S21" s="559">
        <f t="shared" si="4"/>
        <v>2.024023186375663</v>
      </c>
      <c r="T21" s="559">
        <f t="shared" si="4"/>
        <v>2.058069805184727</v>
      </c>
      <c r="U21" s="559">
        <f t="shared" si="4"/>
        <v>2.0395384173768196</v>
      </c>
      <c r="V21" s="559">
        <f t="shared" si="4"/>
        <v>2.1021750952661522</v>
      </c>
      <c r="W21" s="559">
        <f t="shared" si="4"/>
        <v>2.0987994565401333</v>
      </c>
      <c r="X21" s="559">
        <f t="shared" si="4"/>
        <v>2.0544295884847901</v>
      </c>
      <c r="Y21" s="559">
        <f t="shared" si="4"/>
        <v>2.0814234824046314</v>
      </c>
      <c r="Z21" s="559">
        <f t="shared" si="4"/>
        <v>2.0655269248833905</v>
      </c>
      <c r="AA21" s="2">
        <f t="shared" si="8"/>
        <v>11</v>
      </c>
      <c r="AB21" s="2">
        <f t="shared" si="5"/>
        <v>11</v>
      </c>
      <c r="AC21" s="2">
        <f t="shared" si="5"/>
        <v>11</v>
      </c>
      <c r="AD21" s="2">
        <f t="shared" si="5"/>
        <v>11</v>
      </c>
      <c r="AE21" s="2">
        <f t="shared" si="5"/>
        <v>11</v>
      </c>
      <c r="AF21" s="2">
        <f t="shared" si="5"/>
        <v>11</v>
      </c>
      <c r="AG21" s="2">
        <f t="shared" si="5"/>
        <v>11</v>
      </c>
      <c r="AH21" s="2">
        <f t="shared" si="5"/>
        <v>11</v>
      </c>
      <c r="AI21" s="2">
        <f t="shared" si="5"/>
        <v>11</v>
      </c>
      <c r="AJ21" s="2">
        <f t="shared" si="5"/>
        <v>11</v>
      </c>
      <c r="AK21" s="2">
        <f t="shared" si="5"/>
        <v>11</v>
      </c>
    </row>
    <row r="22" spans="1:37" ht="15" customHeight="1">
      <c r="A22" s="15" t="s">
        <v>29</v>
      </c>
      <c r="B22" s="329">
        <v>31502</v>
      </c>
      <c r="C22" s="329">
        <v>32630</v>
      </c>
      <c r="D22" s="329">
        <v>33121</v>
      </c>
      <c r="E22" s="329">
        <v>34749</v>
      </c>
      <c r="F22" s="329">
        <v>35689</v>
      </c>
      <c r="G22" s="329">
        <v>36501</v>
      </c>
      <c r="H22" s="329">
        <v>36381</v>
      </c>
      <c r="I22" s="329">
        <v>36810</v>
      </c>
      <c r="J22" s="329">
        <v>38651</v>
      </c>
      <c r="K22" s="329">
        <v>40275</v>
      </c>
      <c r="L22" s="329">
        <v>41070</v>
      </c>
      <c r="M22" s="176"/>
      <c r="N22" s="559">
        <f t="shared" si="6"/>
        <v>30.37267475080947</v>
      </c>
      <c r="O22" s="419">
        <f t="shared" si="9"/>
        <v>9568</v>
      </c>
      <c r="P22" s="559">
        <f t="shared" si="7"/>
        <v>1.1946690047825441</v>
      </c>
      <c r="Q22" s="559">
        <f t="shared" si="7"/>
        <v>1.2013942506123871</v>
      </c>
      <c r="R22" s="559">
        <f t="shared" si="7"/>
        <v>1.1745127089643961</v>
      </c>
      <c r="S22" s="559">
        <f t="shared" si="7"/>
        <v>1.1791701321692638</v>
      </c>
      <c r="T22" s="559">
        <f t="shared" si="7"/>
        <v>1.1661208388594111</v>
      </c>
      <c r="U22" s="559">
        <f t="shared" si="7"/>
        <v>1.1733075662763999</v>
      </c>
      <c r="V22" s="559">
        <f t="shared" si="7"/>
        <v>1.1790705497791978</v>
      </c>
      <c r="W22" s="559">
        <f t="shared" si="7"/>
        <v>1.1865218085029228</v>
      </c>
      <c r="X22" s="559">
        <f t="shared" si="7"/>
        <v>1.1582274574014064</v>
      </c>
      <c r="Y22" s="559">
        <f t="shared" si="7"/>
        <v>1.1541493639784468</v>
      </c>
      <c r="Z22" s="559">
        <f t="shared" si="7"/>
        <v>1.1585478518062993</v>
      </c>
      <c r="AA22" s="2">
        <f t="shared" si="8"/>
        <v>14</v>
      </c>
      <c r="AB22" s="2">
        <f t="shared" si="8"/>
        <v>14</v>
      </c>
      <c r="AC22" s="2">
        <f t="shared" si="8"/>
        <v>15</v>
      </c>
      <c r="AD22" s="2">
        <f t="shared" si="8"/>
        <v>15</v>
      </c>
      <c r="AE22" s="2">
        <f t="shared" si="8"/>
        <v>15</v>
      </c>
      <c r="AF22" s="2">
        <f t="shared" si="8"/>
        <v>15</v>
      </c>
      <c r="AG22" s="2">
        <f t="shared" si="8"/>
        <v>15</v>
      </c>
      <c r="AH22" s="2">
        <f t="shared" si="8"/>
        <v>15</v>
      </c>
      <c r="AI22" s="2">
        <f t="shared" si="8"/>
        <v>15</v>
      </c>
      <c r="AJ22" s="2">
        <f t="shared" si="8"/>
        <v>15</v>
      </c>
      <c r="AK22" s="2">
        <f t="shared" si="8"/>
        <v>15</v>
      </c>
    </row>
    <row r="23" spans="1:37" s="18" customFormat="1" ht="15" customHeight="1">
      <c r="A23" s="17" t="s">
        <v>30</v>
      </c>
      <c r="B23" s="330">
        <v>74809</v>
      </c>
      <c r="C23" s="330">
        <v>77228</v>
      </c>
      <c r="D23" s="330">
        <v>80578</v>
      </c>
      <c r="E23" s="330">
        <v>84335</v>
      </c>
      <c r="F23" s="330">
        <v>87903</v>
      </c>
      <c r="G23" s="330">
        <v>90397</v>
      </c>
      <c r="H23" s="330">
        <v>91057</v>
      </c>
      <c r="I23" s="330">
        <v>91948</v>
      </c>
      <c r="J23" s="330">
        <v>99161</v>
      </c>
      <c r="K23" s="330">
        <v>103482</v>
      </c>
      <c r="L23" s="330">
        <v>107392</v>
      </c>
      <c r="M23" s="176"/>
      <c r="N23" s="559">
        <f t="shared" si="6"/>
        <v>43.554919862583375</v>
      </c>
      <c r="O23" s="419">
        <f t="shared" si="9"/>
        <v>32583</v>
      </c>
      <c r="P23" s="559">
        <f t="shared" si="7"/>
        <v>2.8370260167220289</v>
      </c>
      <c r="Q23" s="559">
        <f t="shared" si="7"/>
        <v>2.8434347283571384</v>
      </c>
      <c r="R23" s="559">
        <f t="shared" si="7"/>
        <v>2.8573981782836602</v>
      </c>
      <c r="S23" s="559">
        <f t="shared" si="7"/>
        <v>2.8618179831504462</v>
      </c>
      <c r="T23" s="559">
        <f t="shared" si="7"/>
        <v>2.8721880719061561</v>
      </c>
      <c r="U23" s="559">
        <f t="shared" si="7"/>
        <v>2.9057692684772394</v>
      </c>
      <c r="V23" s="559">
        <f t="shared" si="7"/>
        <v>2.9510631112735881</v>
      </c>
      <c r="W23" s="559">
        <f t="shared" si="7"/>
        <v>2.9638225277975208</v>
      </c>
      <c r="X23" s="559">
        <f t="shared" si="7"/>
        <v>2.9714882642979705</v>
      </c>
      <c r="Y23" s="559">
        <f t="shared" si="7"/>
        <v>2.9654546116255149</v>
      </c>
      <c r="Z23" s="559">
        <f t="shared" si="7"/>
        <v>3.0294319674015608</v>
      </c>
      <c r="AA23" s="2">
        <f t="shared" si="8"/>
        <v>10</v>
      </c>
      <c r="AB23" s="2">
        <f t="shared" si="8"/>
        <v>10</v>
      </c>
      <c r="AC23" s="2">
        <f t="shared" si="8"/>
        <v>10</v>
      </c>
      <c r="AD23" s="2">
        <f t="shared" si="8"/>
        <v>10</v>
      </c>
      <c r="AE23" s="2">
        <f t="shared" si="8"/>
        <v>10</v>
      </c>
      <c r="AF23" s="2">
        <f t="shared" si="8"/>
        <v>10</v>
      </c>
      <c r="AG23" s="2">
        <f t="shared" si="8"/>
        <v>10</v>
      </c>
      <c r="AH23" s="2">
        <f t="shared" si="8"/>
        <v>10</v>
      </c>
      <c r="AI23" s="2">
        <f t="shared" si="8"/>
        <v>10</v>
      </c>
      <c r="AJ23" s="2">
        <f t="shared" si="8"/>
        <v>10</v>
      </c>
      <c r="AK23" s="2">
        <f t="shared" si="8"/>
        <v>10</v>
      </c>
    </row>
    <row r="24" spans="1:37" ht="15" customHeight="1">
      <c r="A24" s="19" t="s">
        <v>769</v>
      </c>
      <c r="B24" s="16"/>
      <c r="D24" s="16"/>
      <c r="E24" s="16"/>
      <c r="F24" s="16"/>
      <c r="G24" s="16"/>
      <c r="H24" s="16"/>
      <c r="I24" s="16"/>
      <c r="J24" s="16"/>
      <c r="K24" s="16"/>
      <c r="L24" s="16"/>
    </row>
  </sheetData>
  <mergeCells count="1">
    <mergeCell ref="A1:L1"/>
  </mergeCells>
  <phoneticPr fontId="24" type="noConversion"/>
  <conditionalFormatting sqref="A1 A2:F3 A25:F1048576 A4:D4 A5:I23 M1:XFD3 M24:XFD1048576 M4:M23 AL4:XFD23 B24:F24">
    <cfRule type="cellIs" dxfId="1965" priority="56" operator="equal">
      <formula>0</formula>
    </cfRule>
    <cfRule type="cellIs" priority="57" operator="equal">
      <formula>0</formula>
    </cfRule>
  </conditionalFormatting>
  <conditionalFormatting sqref="M5">
    <cfRule type="cellIs" dxfId="1964" priority="55" operator="equal">
      <formula>0</formula>
    </cfRule>
  </conditionalFormatting>
  <conditionalFormatting sqref="M5">
    <cfRule type="containsText" dxfId="1963" priority="54" operator="containsText" text="FALSO">
      <formula>NOT(ISERROR(SEARCH("FALSO",M5)))</formula>
    </cfRule>
  </conditionalFormatting>
  <conditionalFormatting sqref="A24">
    <cfRule type="cellIs" dxfId="1962"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7B371-FCF8-42A7-BD1C-1350BD76F1E5}">
  <sheetPr>
    <tabColor indexed="25"/>
    <pageSetUpPr fitToPage="1"/>
  </sheetPr>
  <dimension ref="A1:AK34"/>
  <sheetViews>
    <sheetView showGridLines="0" topLeftCell="J1" workbookViewId="0">
      <selection activeCell="Y70" sqref="Y70"/>
    </sheetView>
  </sheetViews>
  <sheetFormatPr defaultColWidth="9.140625" defaultRowHeight="17.45" customHeight="1"/>
  <cols>
    <col min="1" max="1" width="24.42578125" style="2" customWidth="1"/>
    <col min="2" max="12" width="7.5703125" style="2" customWidth="1"/>
    <col min="13" max="14" width="5.85546875" style="2" bestFit="1" customWidth="1"/>
    <col min="15" max="16384" width="9.140625" style="2"/>
  </cols>
  <sheetData>
    <row r="1" spans="1:37" s="1" customFormat="1" ht="28.5" customHeight="1">
      <c r="A1" s="988" t="s">
        <v>574</v>
      </c>
      <c r="B1" s="988"/>
      <c r="C1" s="988"/>
      <c r="D1" s="988"/>
      <c r="E1" s="988"/>
      <c r="F1" s="988"/>
      <c r="G1" s="988"/>
      <c r="H1" s="988"/>
      <c r="I1" s="988"/>
      <c r="J1" s="988"/>
      <c r="K1" s="988"/>
      <c r="L1" s="988"/>
    </row>
    <row r="2" spans="1:37" ht="15" customHeight="1">
      <c r="A2" s="9"/>
      <c r="B2" s="172"/>
      <c r="C2" s="172"/>
      <c r="D2" s="172"/>
      <c r="E2" s="172"/>
      <c r="F2" s="172"/>
      <c r="G2" s="172"/>
      <c r="H2" s="172"/>
      <c r="I2" s="172"/>
      <c r="J2" s="172"/>
      <c r="K2" s="172"/>
      <c r="L2" s="172"/>
    </row>
    <row r="3" spans="1:37" ht="15" customHeight="1">
      <c r="A3" s="11" t="s">
        <v>41</v>
      </c>
      <c r="B3" s="172"/>
      <c r="C3" s="172"/>
      <c r="D3" s="172"/>
      <c r="E3" s="172"/>
      <c r="F3" s="172"/>
      <c r="G3" s="172"/>
      <c r="H3" s="172"/>
      <c r="I3" s="172"/>
      <c r="J3" s="172"/>
      <c r="K3" s="172"/>
      <c r="L3" s="172"/>
    </row>
    <row r="4" spans="1:37" ht="20.25" customHeight="1" thickBot="1">
      <c r="A4" s="13"/>
      <c r="B4" s="14">
        <v>2014</v>
      </c>
      <c r="C4" s="14">
        <v>2015</v>
      </c>
      <c r="D4" s="14">
        <v>2016</v>
      </c>
      <c r="E4" s="14">
        <v>2017</v>
      </c>
      <c r="F4" s="14">
        <v>2018</v>
      </c>
      <c r="G4" s="14">
        <v>2019</v>
      </c>
      <c r="H4" s="14">
        <v>2020</v>
      </c>
      <c r="I4" s="14">
        <v>2021</v>
      </c>
      <c r="J4" s="14">
        <v>2022</v>
      </c>
      <c r="K4" s="14">
        <v>2023</v>
      </c>
      <c r="L4" s="14">
        <v>2024</v>
      </c>
      <c r="O4" s="649"/>
      <c r="P4" s="560">
        <f>+B4</f>
        <v>2014</v>
      </c>
      <c r="Q4" s="560">
        <f t="shared" ref="Q4:W4" si="0">+C4</f>
        <v>2015</v>
      </c>
      <c r="R4" s="560">
        <f t="shared" si="0"/>
        <v>2016</v>
      </c>
      <c r="S4" s="560">
        <f t="shared" si="0"/>
        <v>2017</v>
      </c>
      <c r="T4" s="560">
        <f t="shared" si="0"/>
        <v>2018</v>
      </c>
      <c r="U4" s="560">
        <f t="shared" si="0"/>
        <v>2019</v>
      </c>
      <c r="V4" s="560">
        <f t="shared" si="0"/>
        <v>2020</v>
      </c>
      <c r="W4" s="560">
        <f t="shared" si="0"/>
        <v>2021</v>
      </c>
      <c r="X4" s="560">
        <f>+J4</f>
        <v>2022</v>
      </c>
      <c r="Y4" s="560">
        <f t="shared" ref="Y4:Z4" si="1">+K4</f>
        <v>2023</v>
      </c>
      <c r="Z4" s="560">
        <f t="shared" si="1"/>
        <v>2024</v>
      </c>
      <c r="AA4" s="560">
        <f>+B4</f>
        <v>2014</v>
      </c>
      <c r="AB4" s="560">
        <f t="shared" ref="AB4:AJ4" si="2">+C4</f>
        <v>2015</v>
      </c>
      <c r="AC4" s="560">
        <f t="shared" si="2"/>
        <v>2016</v>
      </c>
      <c r="AD4" s="560">
        <f t="shared" si="2"/>
        <v>2017</v>
      </c>
      <c r="AE4" s="560">
        <f t="shared" si="2"/>
        <v>2018</v>
      </c>
      <c r="AF4" s="560">
        <f t="shared" si="2"/>
        <v>2019</v>
      </c>
      <c r="AG4" s="560">
        <f t="shared" si="2"/>
        <v>2020</v>
      </c>
      <c r="AH4" s="560">
        <f t="shared" si="2"/>
        <v>2021</v>
      </c>
      <c r="AI4" s="560">
        <f t="shared" si="2"/>
        <v>2022</v>
      </c>
      <c r="AJ4" s="560">
        <f t="shared" si="2"/>
        <v>2023</v>
      </c>
      <c r="AK4" s="560">
        <f>+L4</f>
        <v>2024</v>
      </c>
    </row>
    <row r="5" spans="1:37" ht="21" customHeight="1" thickTop="1">
      <c r="A5" s="113" t="s">
        <v>11</v>
      </c>
      <c r="B5" s="328">
        <v>2636881</v>
      </c>
      <c r="C5" s="328">
        <v>2716011</v>
      </c>
      <c r="D5" s="328">
        <v>2819978</v>
      </c>
      <c r="E5" s="328">
        <v>2946903</v>
      </c>
      <c r="F5" s="328">
        <v>3060489</v>
      </c>
      <c r="G5" s="328">
        <v>3110949</v>
      </c>
      <c r="H5" s="328">
        <v>3085566</v>
      </c>
      <c r="I5" s="328">
        <v>3102345</v>
      </c>
      <c r="J5" s="328">
        <v>3337082</v>
      </c>
      <c r="K5" s="328">
        <v>3489582.9999999995</v>
      </c>
      <c r="L5" s="328">
        <v>3544955.0000000019</v>
      </c>
    </row>
    <row r="6" spans="1:37" ht="15" customHeight="1">
      <c r="A6" s="15" t="s">
        <v>496</v>
      </c>
      <c r="B6" s="328">
        <v>966786.99999999988</v>
      </c>
      <c r="C6" s="328">
        <v>1002830.9999999999</v>
      </c>
      <c r="D6" s="328">
        <v>1038348.9999999998</v>
      </c>
      <c r="E6" s="328">
        <v>1090049.0000000002</v>
      </c>
      <c r="F6" s="328">
        <v>1119718.0000000005</v>
      </c>
      <c r="G6" s="328">
        <v>1132969.9999999998</v>
      </c>
      <c r="H6" s="328">
        <v>1127589.9999999998</v>
      </c>
      <c r="I6" s="328">
        <v>1137435.9999999998</v>
      </c>
      <c r="J6" s="328">
        <v>1215310.0000000002</v>
      </c>
      <c r="K6" s="328">
        <v>1260100.0000000002</v>
      </c>
      <c r="L6" s="328">
        <v>1269596.0000000002</v>
      </c>
      <c r="N6" s="559">
        <f>+(L6/B6-1)*100</f>
        <v>31.321170019869982</v>
      </c>
      <c r="O6" s="419">
        <f t="shared" ref="O6:O33" si="3">+L6-B6</f>
        <v>302809.00000000035</v>
      </c>
      <c r="P6" s="559">
        <f>B6*100/B$5</f>
        <v>36.664036033480457</v>
      </c>
      <c r="Q6" s="559">
        <f t="shared" ref="Q6:Z21" si="4">C6*100/C$5</f>
        <v>36.922935879125667</v>
      </c>
      <c r="R6" s="559">
        <f t="shared" si="4"/>
        <v>36.821173782206799</v>
      </c>
      <c r="S6" s="559">
        <f t="shared" si="4"/>
        <v>36.989646418630009</v>
      </c>
      <c r="T6" s="559">
        <f t="shared" si="4"/>
        <v>36.586244877861034</v>
      </c>
      <c r="U6" s="559">
        <f t="shared" si="4"/>
        <v>36.418790536264005</v>
      </c>
      <c r="V6" s="559">
        <f t="shared" si="4"/>
        <v>36.544024661925874</v>
      </c>
      <c r="W6" s="559">
        <f t="shared" si="4"/>
        <v>36.663749518509377</v>
      </c>
      <c r="X6" s="559">
        <f t="shared" si="4"/>
        <v>36.418343930415865</v>
      </c>
      <c r="Y6" s="559">
        <f t="shared" si="4"/>
        <v>36.110331807554097</v>
      </c>
      <c r="Z6" s="559">
        <f t="shared" si="4"/>
        <v>35.814164072604576</v>
      </c>
      <c r="AA6" s="2">
        <f>+IFERROR(RANK(B6,(B$6,B$15,B$22,B$26,B$27,B$28,B$33),0),"")</f>
        <v>1</v>
      </c>
      <c r="AB6" s="2">
        <f>+IFERROR(RANK(C6,(C$6,C$15,C$22,C$26,C$27,C$28,C$33),0),"")</f>
        <v>1</v>
      </c>
      <c r="AC6" s="2">
        <f>+IFERROR(RANK(D6,(D$6,D$15,D$22,D$26,D$27,D$28,D$33),0),"")</f>
        <v>1</v>
      </c>
      <c r="AD6" s="2">
        <f>+IFERROR(RANK(E6,(E$6,E$15,E$22,E$26,E$27,E$28,E$33),0),"")</f>
        <v>1</v>
      </c>
      <c r="AE6" s="2">
        <f>+IFERROR(RANK(F6,(F$6,F$15,F$22,F$26,F$27,F$28,F$33),0),"")</f>
        <v>1</v>
      </c>
      <c r="AF6" s="2">
        <f>+IFERROR(RANK(G6,(G$6,G$15,G$22,G$26,G$27,G$28,G$33),0),"")</f>
        <v>1</v>
      </c>
      <c r="AG6" s="2">
        <f>+IFERROR(RANK(H6,(H$6,H$15,H$22,H$26,H$27,H$28,H$33),0),"")</f>
        <v>1</v>
      </c>
      <c r="AH6" s="2">
        <f>+IFERROR(RANK(I6,(I$6,I$15,I$22,I$26,I$27,I$28,I$33),0),"")</f>
        <v>1</v>
      </c>
      <c r="AI6" s="2">
        <f>+IFERROR(RANK(J6,(J$6,J$15,J$22,J$26,J$27,J$28,J$33),0),"")</f>
        <v>1</v>
      </c>
      <c r="AJ6" s="2">
        <f>+IFERROR(RANK(K6,(K$6,K$15,K$22,K$26,K$27,K$28,K$33),0),"")</f>
        <v>1</v>
      </c>
      <c r="AK6" s="2">
        <f>+IFERROR(RANK(L6,(L$6,L$15,L$22,L$26,L$27,L$28,L$33),0),"")</f>
        <v>1</v>
      </c>
    </row>
    <row r="7" spans="1:37" ht="15" customHeight="1">
      <c r="A7" s="572" t="s">
        <v>497</v>
      </c>
      <c r="B7" s="646">
        <v>54568</v>
      </c>
      <c r="C7" s="646">
        <v>56865</v>
      </c>
      <c r="D7" s="646">
        <v>57001</v>
      </c>
      <c r="E7" s="646">
        <v>59646</v>
      </c>
      <c r="F7" s="646">
        <v>62987.000000000007</v>
      </c>
      <c r="G7" s="646">
        <v>63449</v>
      </c>
      <c r="H7" s="646">
        <v>64864</v>
      </c>
      <c r="I7" s="646">
        <v>65112</v>
      </c>
      <c r="J7" s="646">
        <v>68558</v>
      </c>
      <c r="K7" s="646">
        <v>72633</v>
      </c>
      <c r="L7" s="646">
        <v>73222</v>
      </c>
      <c r="N7" s="559">
        <f t="shared" ref="N7:N33" si="5">+(L7/B7-1)*100</f>
        <v>34.18487025362851</v>
      </c>
      <c r="O7" s="419">
        <f t="shared" si="3"/>
        <v>18654</v>
      </c>
      <c r="P7" s="559">
        <f t="shared" ref="P7:Z23" si="6">B7*100/B$5</f>
        <v>2.0694145848826699</v>
      </c>
      <c r="Q7" s="559">
        <f t="shared" si="4"/>
        <v>2.0936954968149983</v>
      </c>
      <c r="R7" s="559">
        <f t="shared" si="4"/>
        <v>2.0213278259617629</v>
      </c>
      <c r="S7" s="559">
        <f t="shared" si="4"/>
        <v>2.024023186375663</v>
      </c>
      <c r="T7" s="559">
        <f t="shared" si="4"/>
        <v>2.0580698051847275</v>
      </c>
      <c r="U7" s="559">
        <f t="shared" si="4"/>
        <v>2.0395384173768196</v>
      </c>
      <c r="V7" s="559">
        <f t="shared" si="4"/>
        <v>2.1021750952661522</v>
      </c>
      <c r="W7" s="559">
        <f t="shared" si="4"/>
        <v>2.0987994565401333</v>
      </c>
      <c r="X7" s="559">
        <f t="shared" si="4"/>
        <v>2.0544295884847901</v>
      </c>
      <c r="Y7" s="559">
        <f t="shared" si="4"/>
        <v>2.0814234824046314</v>
      </c>
      <c r="Z7" s="559">
        <f t="shared" si="4"/>
        <v>2.0655269248833896</v>
      </c>
      <c r="AA7" s="2" t="str">
        <f>+IFERROR(RANK(B7,(B$6,B$15,B$22,B$26,B$27,B$28,B$33),0),"")</f>
        <v/>
      </c>
      <c r="AB7" s="2" t="str">
        <f>+IFERROR(RANK(C7,(C$6,C$15,C$22,C$26,C$27,C$28,C$33),0),"")</f>
        <v/>
      </c>
      <c r="AC7" s="2" t="str">
        <f>+IFERROR(RANK(D7,(D$6,D$15,D$22,D$26,D$27,D$28,D$33),0),"")</f>
        <v/>
      </c>
      <c r="AD7" s="2" t="str">
        <f>+IFERROR(RANK(E7,(E$6,E$15,E$22,E$26,E$27,E$28,E$33),0),"")</f>
        <v/>
      </c>
      <c r="AE7" s="2" t="str">
        <f>+IFERROR(RANK(F7,(F$6,F$15,F$22,F$26,F$27,F$28,F$33),0),"")</f>
        <v/>
      </c>
      <c r="AF7" s="2" t="str">
        <f>+IFERROR(RANK(G7,(G$6,G$15,G$22,G$26,G$27,G$28,G$33),0),"")</f>
        <v/>
      </c>
      <c r="AG7" s="2" t="str">
        <f>+IFERROR(RANK(H7,(H$6,H$15,H$22,H$26,H$27,H$28,H$33),0),"")</f>
        <v/>
      </c>
      <c r="AH7" s="2" t="str">
        <f>+IFERROR(RANK(I7,(I$6,I$15,I$22,I$26,I$27,I$28,I$33),0),"")</f>
        <v/>
      </c>
      <c r="AI7" s="2" t="str">
        <f>+IFERROR(RANK(J7,(J$6,J$15,J$22,J$26,J$27,J$28,J$33),0),"")</f>
        <v/>
      </c>
      <c r="AJ7" s="2" t="str">
        <f>+IFERROR(RANK(K7,(K$6,K$15,K$22,K$26,K$27,K$28,K$33),0),"")</f>
        <v/>
      </c>
      <c r="AK7" s="2" t="str">
        <f>+IFERROR(RANK(L7,(L$6,L$15,L$22,L$26,L$27,L$28,L$33),0),"")</f>
        <v/>
      </c>
    </row>
    <row r="8" spans="1:37" ht="15" customHeight="1">
      <c r="A8" s="572" t="s">
        <v>498</v>
      </c>
      <c r="B8" s="646">
        <v>112832.00000000001</v>
      </c>
      <c r="C8" s="646">
        <v>116890</v>
      </c>
      <c r="D8" s="646">
        <v>122550</v>
      </c>
      <c r="E8" s="646">
        <v>129416</v>
      </c>
      <c r="F8" s="646">
        <v>135825</v>
      </c>
      <c r="G8" s="646">
        <v>139055</v>
      </c>
      <c r="H8" s="646">
        <v>138839</v>
      </c>
      <c r="I8" s="646">
        <v>141395</v>
      </c>
      <c r="J8" s="646">
        <v>153121</v>
      </c>
      <c r="K8" s="646">
        <v>160086</v>
      </c>
      <c r="L8" s="646">
        <v>160991</v>
      </c>
      <c r="N8" s="559">
        <f t="shared" si="5"/>
        <v>42.682040555870657</v>
      </c>
      <c r="O8" s="419">
        <f t="shared" si="3"/>
        <v>48158.999999999985</v>
      </c>
      <c r="P8" s="559">
        <f t="shared" si="6"/>
        <v>4.2789947669234989</v>
      </c>
      <c r="Q8" s="559">
        <f t="shared" si="4"/>
        <v>4.3037380923714963</v>
      </c>
      <c r="R8" s="559">
        <f t="shared" si="4"/>
        <v>4.3457785840882446</v>
      </c>
      <c r="S8" s="559">
        <f t="shared" si="4"/>
        <v>4.3915934796632259</v>
      </c>
      <c r="T8" s="559">
        <f t="shared" si="4"/>
        <v>4.4380162777909025</v>
      </c>
      <c r="U8" s="559">
        <f t="shared" si="4"/>
        <v>4.4698579115247465</v>
      </c>
      <c r="V8" s="559">
        <f t="shared" si="4"/>
        <v>4.4996282691733054</v>
      </c>
      <c r="W8" s="559">
        <f t="shared" si="4"/>
        <v>4.5576813668370217</v>
      </c>
      <c r="X8" s="559">
        <f t="shared" si="4"/>
        <v>4.588469806855211</v>
      </c>
      <c r="Y8" s="559">
        <f t="shared" si="4"/>
        <v>4.5875395426903447</v>
      </c>
      <c r="Z8" s="559">
        <f t="shared" si="4"/>
        <v>4.5414116681311869</v>
      </c>
      <c r="AA8" s="2" t="str">
        <f>+IFERROR(RANK(B8,(B$6,B$15,B$22,B$26,B$27,B$28,B$33),0),"")</f>
        <v/>
      </c>
      <c r="AB8" s="2" t="str">
        <f>+IFERROR(RANK(C8,(C$6,C$15,C$22,C$26,C$27,C$28,C$33),0),"")</f>
        <v/>
      </c>
      <c r="AC8" s="2" t="str">
        <f>+IFERROR(RANK(D8,(D$6,D$15,D$22,D$26,D$27,D$28,D$33),0),"")</f>
        <v/>
      </c>
      <c r="AD8" s="2" t="str">
        <f>+IFERROR(RANK(E8,(E$6,E$15,E$22,E$26,E$27,E$28,E$33),0),"")</f>
        <v/>
      </c>
      <c r="AE8" s="2" t="str">
        <f>+IFERROR(RANK(F8,(F$6,F$15,F$22,F$26,F$27,F$28,F$33),0),"")</f>
        <v/>
      </c>
      <c r="AF8" s="2" t="str">
        <f>+IFERROR(RANK(G8,(G$6,G$15,G$22,G$26,G$27,G$28,G$33),0),"")</f>
        <v/>
      </c>
      <c r="AG8" s="2" t="str">
        <f>+IFERROR(RANK(H8,(H$6,H$15,H$22,H$26,H$27,H$28,H$33),0),"")</f>
        <v/>
      </c>
      <c r="AH8" s="2" t="str">
        <f>+IFERROR(RANK(I8,(I$6,I$15,I$22,I$26,I$27,I$28,I$33),0),"")</f>
        <v/>
      </c>
      <c r="AI8" s="2" t="str">
        <f>+IFERROR(RANK(J8,(J$6,J$15,J$22,J$26,J$27,J$28,J$33),0),"")</f>
        <v/>
      </c>
      <c r="AJ8" s="2" t="str">
        <f>+IFERROR(RANK(K8,(K$6,K$15,K$22,K$26,K$27,K$28,K$33),0),"")</f>
        <v/>
      </c>
      <c r="AK8" s="2" t="str">
        <f>+IFERROR(RANK(L8,(L$6,L$15,L$22,L$26,L$27,L$28,L$33),0),"")</f>
        <v/>
      </c>
    </row>
    <row r="9" spans="1:37" ht="15" customHeight="1">
      <c r="A9" s="572" t="s">
        <v>499</v>
      </c>
      <c r="B9" s="646">
        <v>125966</v>
      </c>
      <c r="C9" s="646">
        <v>131033.00000000001</v>
      </c>
      <c r="D9" s="646">
        <v>136891</v>
      </c>
      <c r="E9" s="646">
        <v>141727</v>
      </c>
      <c r="F9" s="646">
        <v>145043</v>
      </c>
      <c r="G9" s="646">
        <v>138907.99999999997</v>
      </c>
      <c r="H9" s="646">
        <v>141053.99999999997</v>
      </c>
      <c r="I9" s="646">
        <v>141116.99999999997</v>
      </c>
      <c r="J9" s="646">
        <v>149246</v>
      </c>
      <c r="K9" s="646">
        <v>150333</v>
      </c>
      <c r="L9" s="646">
        <v>149150.00000000003</v>
      </c>
      <c r="M9" s="393"/>
      <c r="N9" s="559">
        <f t="shared" si="5"/>
        <v>18.40496641951006</v>
      </c>
      <c r="O9" s="419">
        <f t="shared" si="3"/>
        <v>23184.000000000029</v>
      </c>
      <c r="P9" s="559">
        <f t="shared" si="6"/>
        <v>4.7770832282533799</v>
      </c>
      <c r="Q9" s="559">
        <f t="shared" si="4"/>
        <v>4.8244649966439761</v>
      </c>
      <c r="R9" s="559">
        <f t="shared" si="4"/>
        <v>4.8543286507908929</v>
      </c>
      <c r="S9" s="559">
        <f t="shared" si="4"/>
        <v>4.8093540913969681</v>
      </c>
      <c r="T9" s="559">
        <f t="shared" si="4"/>
        <v>4.7392099759221482</v>
      </c>
      <c r="U9" s="559">
        <f t="shared" si="4"/>
        <v>4.4651326653056662</v>
      </c>
      <c r="V9" s="559">
        <f t="shared" si="4"/>
        <v>4.571414126289957</v>
      </c>
      <c r="W9" s="559">
        <f t="shared" si="4"/>
        <v>4.5487204034367537</v>
      </c>
      <c r="X9" s="559">
        <f t="shared" si="4"/>
        <v>4.4723503947460683</v>
      </c>
      <c r="Y9" s="559">
        <f t="shared" si="4"/>
        <v>4.3080505607690096</v>
      </c>
      <c r="Z9" s="559">
        <f t="shared" si="4"/>
        <v>4.2073876819310811</v>
      </c>
      <c r="AA9" s="2" t="str">
        <f>+IFERROR(RANK(B9,(B$6,B$15,B$22,B$26,B$27,B$28,B$33),0),"")</f>
        <v/>
      </c>
      <c r="AB9" s="2" t="str">
        <f>+IFERROR(RANK(C9,(C$6,C$15,C$22,C$26,C$27,C$28,C$33),0),"")</f>
        <v/>
      </c>
      <c r="AC9" s="2" t="str">
        <f>+IFERROR(RANK(D9,(D$6,D$15,D$22,D$26,D$27,D$28,D$33),0),"")</f>
        <v/>
      </c>
      <c r="AD9" s="2" t="str">
        <f>+IFERROR(RANK(E9,(E$6,E$15,E$22,E$26,E$27,E$28,E$33),0),"")</f>
        <v/>
      </c>
      <c r="AE9" s="2" t="str">
        <f>+IFERROR(RANK(F9,(F$6,F$15,F$22,F$26,F$27,F$28,F$33),0),"")</f>
        <v/>
      </c>
      <c r="AF9" s="2" t="str">
        <f>+IFERROR(RANK(G9,(G$6,G$15,G$22,G$26,G$27,G$28,G$33),0),"")</f>
        <v/>
      </c>
      <c r="AG9" s="2" t="str">
        <f>+IFERROR(RANK(H9,(H$6,H$15,H$22,H$26,H$27,H$28,H$33),0),"")</f>
        <v/>
      </c>
      <c r="AH9" s="2" t="str">
        <f>+IFERROR(RANK(I9,(I$6,I$15,I$22,I$26,I$27,I$28,I$33),0),"")</f>
        <v/>
      </c>
      <c r="AI9" s="2" t="str">
        <f>+IFERROR(RANK(J9,(J$6,J$15,J$22,J$26,J$27,J$28,J$33),0),"")</f>
        <v/>
      </c>
      <c r="AJ9" s="2" t="str">
        <f>+IFERROR(RANK(K9,(K$6,K$15,K$22,K$26,K$27,K$28,K$33),0),"")</f>
        <v/>
      </c>
      <c r="AK9" s="2" t="str">
        <f>+IFERROR(RANK(L9,(L$6,L$15,L$22,L$26,L$27,L$28,L$33),0),"")</f>
        <v/>
      </c>
    </row>
    <row r="10" spans="1:37" ht="15" customHeight="1">
      <c r="A10" s="572" t="s">
        <v>500</v>
      </c>
      <c r="B10" s="646">
        <v>501063.99999999994</v>
      </c>
      <c r="C10" s="646">
        <v>519452</v>
      </c>
      <c r="D10" s="646">
        <v>537773</v>
      </c>
      <c r="E10" s="646">
        <v>569098</v>
      </c>
      <c r="F10" s="646">
        <v>581232</v>
      </c>
      <c r="G10" s="646">
        <v>596772</v>
      </c>
      <c r="H10" s="646">
        <v>586860.00000000012</v>
      </c>
      <c r="I10" s="646">
        <v>588688</v>
      </c>
      <c r="J10" s="646">
        <v>633694</v>
      </c>
      <c r="K10" s="646">
        <v>658882.00000000012</v>
      </c>
      <c r="L10" s="646">
        <v>666772</v>
      </c>
      <c r="M10" s="393"/>
      <c r="N10" s="559">
        <f t="shared" si="5"/>
        <v>33.071224434403604</v>
      </c>
      <c r="O10" s="419">
        <f t="shared" si="3"/>
        <v>165708.00000000006</v>
      </c>
      <c r="P10" s="559">
        <f t="shared" si="6"/>
        <v>19.002146854560365</v>
      </c>
      <c r="Q10" s="559">
        <f t="shared" si="4"/>
        <v>19.125548460591656</v>
      </c>
      <c r="R10" s="559">
        <f t="shared" si="4"/>
        <v>19.070113312940741</v>
      </c>
      <c r="S10" s="559">
        <f t="shared" si="4"/>
        <v>19.311731672199596</v>
      </c>
      <c r="T10" s="559">
        <f t="shared" si="4"/>
        <v>18.991474891757495</v>
      </c>
      <c r="U10" s="559">
        <f t="shared" si="4"/>
        <v>19.182956711922955</v>
      </c>
      <c r="V10" s="559">
        <f t="shared" si="4"/>
        <v>19.019525104956436</v>
      </c>
      <c r="W10" s="559">
        <f t="shared" si="4"/>
        <v>18.975581374734272</v>
      </c>
      <c r="X10" s="559">
        <f t="shared" si="4"/>
        <v>18.989464448281463</v>
      </c>
      <c r="Y10" s="559">
        <f t="shared" si="4"/>
        <v>18.881396430461756</v>
      </c>
      <c r="Z10" s="559">
        <f t="shared" si="4"/>
        <v>18.809039889081799</v>
      </c>
      <c r="AA10" s="2" t="str">
        <f>+IFERROR(RANK(B10,(B$6,B$15,B$22,B$26,B$27,B$28,B$33),0),"")</f>
        <v/>
      </c>
      <c r="AB10" s="2" t="str">
        <f>+IFERROR(RANK(C10,(C$6,C$15,C$22,C$26,C$27,C$28,C$33),0),"")</f>
        <v/>
      </c>
      <c r="AC10" s="2" t="str">
        <f>+IFERROR(RANK(D10,(D$6,D$15,D$22,D$26,D$27,D$28,D$33),0),"")</f>
        <v/>
      </c>
      <c r="AD10" s="2" t="str">
        <f>+IFERROR(RANK(E10,(E$6,E$15,E$22,E$26,E$27,E$28,E$33),0),"")</f>
        <v/>
      </c>
      <c r="AE10" s="2" t="str">
        <f>+IFERROR(RANK(F10,(F$6,F$15,F$22,F$26,F$27,F$28,F$33),0),"")</f>
        <v/>
      </c>
      <c r="AF10" s="2" t="str">
        <f>+IFERROR(RANK(G10,(G$6,G$15,G$22,G$26,G$27,G$28,G$33),0),"")</f>
        <v/>
      </c>
      <c r="AG10" s="2" t="str">
        <f>+IFERROR(RANK(H10,(H$6,H$15,H$22,H$26,H$27,H$28,H$33),0),"")</f>
        <v/>
      </c>
      <c r="AH10" s="2" t="str">
        <f>+IFERROR(RANK(I10,(I$6,I$15,I$22,I$26,I$27,I$28,I$33),0),"")</f>
        <v/>
      </c>
      <c r="AI10" s="2" t="str">
        <f>+IFERROR(RANK(J10,(J$6,J$15,J$22,J$26,J$27,J$28,J$33),0),"")</f>
        <v/>
      </c>
      <c r="AJ10" s="2" t="str">
        <f>+IFERROR(RANK(K10,(K$6,K$15,K$22,K$26,K$27,K$28,K$33),0),"")</f>
        <v/>
      </c>
      <c r="AK10" s="2" t="str">
        <f>+IFERROR(RANK(L10,(L$6,L$15,L$22,L$26,L$27,L$28,L$33),0),"")</f>
        <v/>
      </c>
    </row>
    <row r="11" spans="1:37" ht="15" customHeight="1">
      <c r="A11" s="572" t="s">
        <v>501</v>
      </c>
      <c r="B11" s="646">
        <v>12481</v>
      </c>
      <c r="C11" s="646">
        <v>12990</v>
      </c>
      <c r="D11" s="646">
        <v>13302</v>
      </c>
      <c r="E11" s="646">
        <v>14461</v>
      </c>
      <c r="F11" s="646">
        <v>14799</v>
      </c>
      <c r="G11" s="646">
        <v>15061.000000000002</v>
      </c>
      <c r="H11" s="646">
        <v>14649</v>
      </c>
      <c r="I11" s="646">
        <v>14857.000000000002</v>
      </c>
      <c r="J11" s="646">
        <v>15757.000000000002</v>
      </c>
      <c r="K11" s="646">
        <v>16238</v>
      </c>
      <c r="L11" s="646">
        <v>17027</v>
      </c>
      <c r="M11" s="393"/>
      <c r="N11" s="559">
        <f t="shared" si="5"/>
        <v>36.423363512539055</v>
      </c>
      <c r="O11" s="419">
        <f t="shared" si="3"/>
        <v>4546</v>
      </c>
      <c r="P11" s="559">
        <f t="shared" si="6"/>
        <v>0.47332435555491509</v>
      </c>
      <c r="Q11" s="559">
        <f t="shared" si="4"/>
        <v>0.47827494071268489</v>
      </c>
      <c r="R11" s="559">
        <f t="shared" si="4"/>
        <v>0.47170580763396025</v>
      </c>
      <c r="S11" s="559">
        <f t="shared" si="4"/>
        <v>0.4907185611470754</v>
      </c>
      <c r="T11" s="559">
        <f t="shared" si="4"/>
        <v>0.48355017776570997</v>
      </c>
      <c r="U11" s="559">
        <f t="shared" si="4"/>
        <v>0.48412879799700997</v>
      </c>
      <c r="V11" s="559">
        <f t="shared" si="4"/>
        <v>0.47475892591505092</v>
      </c>
      <c r="W11" s="559">
        <f t="shared" si="4"/>
        <v>0.47889580301352697</v>
      </c>
      <c r="X11" s="559">
        <f t="shared" si="4"/>
        <v>0.47217898751064558</v>
      </c>
      <c r="Y11" s="559">
        <f t="shared" si="4"/>
        <v>0.46532780564325316</v>
      </c>
      <c r="Z11" s="559">
        <f t="shared" si="4"/>
        <v>0.48031639329695275</v>
      </c>
      <c r="AA11" s="2" t="str">
        <f>+IFERROR(RANK(B11,(B$6,B$15,B$22,B$26,B$27,B$28,B$33),0),"")</f>
        <v/>
      </c>
      <c r="AB11" s="2" t="str">
        <f>+IFERROR(RANK(C11,(C$6,C$15,C$22,C$26,C$27,C$28,C$33),0),"")</f>
        <v/>
      </c>
      <c r="AC11" s="2" t="str">
        <f>+IFERROR(RANK(D11,(D$6,D$15,D$22,D$26,D$27,D$28,D$33),0),"")</f>
        <v/>
      </c>
      <c r="AD11" s="2" t="str">
        <f>+IFERROR(RANK(E11,(E$6,E$15,E$22,E$26,E$27,E$28,E$33),0),"")</f>
        <v/>
      </c>
      <c r="AE11" s="2" t="str">
        <f>+IFERROR(RANK(F11,(F$6,F$15,F$22,F$26,F$27,F$28,F$33),0),"")</f>
        <v/>
      </c>
      <c r="AF11" s="2" t="str">
        <f>+IFERROR(RANK(G11,(G$6,G$15,G$22,G$26,G$27,G$28,G$33),0),"")</f>
        <v/>
      </c>
      <c r="AG11" s="2" t="str">
        <f>+IFERROR(RANK(H11,(H$6,H$15,H$22,H$26,H$27,H$28,H$33),0),"")</f>
        <v/>
      </c>
      <c r="AH11" s="2" t="str">
        <f>+IFERROR(RANK(I11,(I$6,I$15,I$22,I$26,I$27,I$28,I$33),0),"")</f>
        <v/>
      </c>
      <c r="AI11" s="2" t="str">
        <f>+IFERROR(RANK(J11,(J$6,J$15,J$22,J$26,J$27,J$28,J$33),0),"")</f>
        <v/>
      </c>
      <c r="AJ11" s="2" t="str">
        <f>+IFERROR(RANK(K11,(K$6,K$15,K$22,K$26,K$27,K$28,K$33),0),"")</f>
        <v/>
      </c>
      <c r="AK11" s="2" t="str">
        <f>+IFERROR(RANK(L11,(L$6,L$15,L$22,L$26,L$27,L$28,L$33),0),"")</f>
        <v/>
      </c>
    </row>
    <row r="12" spans="1:37" ht="15" customHeight="1">
      <c r="A12" s="572" t="s">
        <v>502</v>
      </c>
      <c r="B12" s="646">
        <v>109577</v>
      </c>
      <c r="C12" s="646">
        <v>113797.99999999999</v>
      </c>
      <c r="D12" s="646">
        <v>117764.99999999999</v>
      </c>
      <c r="E12" s="646">
        <v>121423</v>
      </c>
      <c r="F12" s="646">
        <v>124176</v>
      </c>
      <c r="G12" s="646">
        <v>123941</v>
      </c>
      <c r="H12" s="646">
        <v>124025</v>
      </c>
      <c r="I12" s="646">
        <v>127874.00000000001</v>
      </c>
      <c r="J12" s="646">
        <v>134241</v>
      </c>
      <c r="K12" s="646">
        <v>138339</v>
      </c>
      <c r="L12" s="646">
        <v>137932</v>
      </c>
      <c r="M12" s="393"/>
      <c r="N12" s="559">
        <f t="shared" si="5"/>
        <v>25.876780711280656</v>
      </c>
      <c r="O12" s="419">
        <f t="shared" si="3"/>
        <v>28355</v>
      </c>
      <c r="P12" s="559">
        <f t="shared" si="6"/>
        <v>4.155553473971711</v>
      </c>
      <c r="Q12" s="559">
        <f t="shared" si="4"/>
        <v>4.1898946653750659</v>
      </c>
      <c r="R12" s="559">
        <f t="shared" si="4"/>
        <v>4.176096409262767</v>
      </c>
      <c r="S12" s="559">
        <f t="shared" si="4"/>
        <v>4.1203595774954245</v>
      </c>
      <c r="T12" s="559">
        <f t="shared" si="4"/>
        <v>4.057390828720508</v>
      </c>
      <c r="U12" s="559">
        <f t="shared" si="4"/>
        <v>3.9840254533263</v>
      </c>
      <c r="V12" s="559">
        <f t="shared" si="4"/>
        <v>4.019521864059949</v>
      </c>
      <c r="W12" s="559">
        <f t="shared" si="4"/>
        <v>4.1218497620348487</v>
      </c>
      <c r="X12" s="559">
        <f t="shared" si="4"/>
        <v>4.0227060647595714</v>
      </c>
      <c r="Y12" s="559">
        <f t="shared" si="4"/>
        <v>3.9643418712207166</v>
      </c>
      <c r="Z12" s="559">
        <f t="shared" si="4"/>
        <v>3.8909379667724959</v>
      </c>
      <c r="AA12" s="2" t="str">
        <f>+IFERROR(RANK(B12,(B$6,B$15,B$22,B$26,B$27,B$28,B$33),0),"")</f>
        <v/>
      </c>
      <c r="AB12" s="2" t="str">
        <f>+IFERROR(RANK(C12,(C$6,C$15,C$22,C$26,C$27,C$28,C$33),0),"")</f>
        <v/>
      </c>
      <c r="AC12" s="2" t="str">
        <f>+IFERROR(RANK(D12,(D$6,D$15,D$22,D$26,D$27,D$28,D$33),0),"")</f>
        <v/>
      </c>
      <c r="AD12" s="2" t="str">
        <f>+IFERROR(RANK(E12,(E$6,E$15,E$22,E$26,E$27,E$28,E$33),0),"")</f>
        <v/>
      </c>
      <c r="AE12" s="2" t="str">
        <f>+IFERROR(RANK(F12,(F$6,F$15,F$22,F$26,F$27,F$28,F$33),0),"")</f>
        <v/>
      </c>
      <c r="AF12" s="2" t="str">
        <f>+IFERROR(RANK(G12,(G$6,G$15,G$22,G$26,G$27,G$28,G$33),0),"")</f>
        <v/>
      </c>
      <c r="AG12" s="2" t="str">
        <f>+IFERROR(RANK(H12,(H$6,H$15,H$22,H$26,H$27,H$28,H$33),0),"")</f>
        <v/>
      </c>
      <c r="AH12" s="2" t="str">
        <f>+IFERROR(RANK(I12,(I$6,I$15,I$22,I$26,I$27,I$28,I$33),0),"")</f>
        <v/>
      </c>
      <c r="AI12" s="2" t="str">
        <f>+IFERROR(RANK(J12,(J$6,J$15,J$22,J$26,J$27,J$28,J$33),0),"")</f>
        <v/>
      </c>
      <c r="AJ12" s="2" t="str">
        <f>+IFERROR(RANK(K12,(K$6,K$15,K$22,K$26,K$27,K$28,K$33),0),"")</f>
        <v/>
      </c>
      <c r="AK12" s="2" t="str">
        <f>+IFERROR(RANK(L12,(L$6,L$15,L$22,L$26,L$27,L$28,L$33),0),"")</f>
        <v/>
      </c>
    </row>
    <row r="13" spans="1:37" ht="15" customHeight="1">
      <c r="A13" s="572" t="s">
        <v>503</v>
      </c>
      <c r="B13" s="646">
        <v>32882.000000000007</v>
      </c>
      <c r="C13" s="646">
        <v>33847</v>
      </c>
      <c r="D13" s="646">
        <v>34594.999999999993</v>
      </c>
      <c r="E13" s="646">
        <v>35335</v>
      </c>
      <c r="F13" s="646">
        <v>36289.000000000007</v>
      </c>
      <c r="G13" s="646">
        <v>36417</v>
      </c>
      <c r="H13" s="646">
        <v>37413</v>
      </c>
      <c r="I13" s="646">
        <v>38175.000000000015</v>
      </c>
      <c r="J13" s="646">
        <v>40025.000000000007</v>
      </c>
      <c r="K13" s="646">
        <v>42126.999999999993</v>
      </c>
      <c r="L13" s="646">
        <v>42955</v>
      </c>
      <c r="M13" s="393"/>
      <c r="N13" s="559">
        <f t="shared" si="5"/>
        <v>30.63378140015811</v>
      </c>
      <c r="O13" s="419">
        <f t="shared" si="3"/>
        <v>10072.999999999993</v>
      </c>
      <c r="P13" s="559">
        <f t="shared" si="6"/>
        <v>1.2470035621630255</v>
      </c>
      <c r="Q13" s="559">
        <f t="shared" si="4"/>
        <v>1.2462026111087179</v>
      </c>
      <c r="R13" s="559">
        <f t="shared" si="4"/>
        <v>1.2267826202899452</v>
      </c>
      <c r="S13" s="559">
        <f t="shared" si="4"/>
        <v>1.1990554151256421</v>
      </c>
      <c r="T13" s="559">
        <f t="shared" si="4"/>
        <v>1.1857255490870906</v>
      </c>
      <c r="U13" s="559">
        <f t="shared" si="4"/>
        <v>1.1706074255797829</v>
      </c>
      <c r="V13" s="559">
        <f t="shared" si="4"/>
        <v>1.2125166014922384</v>
      </c>
      <c r="W13" s="559">
        <f t="shared" si="4"/>
        <v>1.2305207834718581</v>
      </c>
      <c r="X13" s="559">
        <f t="shared" si="4"/>
        <v>1.1994011534628159</v>
      </c>
      <c r="Y13" s="559">
        <f t="shared" si="4"/>
        <v>1.2072216078540041</v>
      </c>
      <c r="Z13" s="559">
        <f t="shared" si="4"/>
        <v>1.2117220105755919</v>
      </c>
      <c r="AA13" s="2" t="str">
        <f>+IFERROR(RANK(B13,(B$6,B$15,B$22,B$26,B$27,B$28,B$33),0),"")</f>
        <v/>
      </c>
      <c r="AB13" s="2" t="str">
        <f>+IFERROR(RANK(C13,(C$6,C$15,C$22,C$26,C$27,C$28,C$33),0),"")</f>
        <v/>
      </c>
      <c r="AC13" s="2" t="str">
        <f>+IFERROR(RANK(D13,(D$6,D$15,D$22,D$26,D$27,D$28,D$33),0),"")</f>
        <v/>
      </c>
      <c r="AD13" s="2" t="str">
        <f>+IFERROR(RANK(E13,(E$6,E$15,E$22,E$26,E$27,E$28,E$33),0),"")</f>
        <v/>
      </c>
      <c r="AE13" s="2" t="str">
        <f>+IFERROR(RANK(F13,(F$6,F$15,F$22,F$26,F$27,F$28,F$33),0),"")</f>
        <v/>
      </c>
      <c r="AF13" s="2" t="str">
        <f>+IFERROR(RANK(G13,(G$6,G$15,G$22,G$26,G$27,G$28,G$33),0),"")</f>
        <v/>
      </c>
      <c r="AG13" s="2" t="str">
        <f>+IFERROR(RANK(H13,(H$6,H$15,H$22,H$26,H$27,H$28,H$33),0),"")</f>
        <v/>
      </c>
      <c r="AH13" s="2" t="str">
        <f>+IFERROR(RANK(I13,(I$6,I$15,I$22,I$26,I$27,I$28,I$33),0),"")</f>
        <v/>
      </c>
      <c r="AI13" s="2" t="str">
        <f>+IFERROR(RANK(J13,(J$6,J$15,J$22,J$26,J$27,J$28,J$33),0),"")</f>
        <v/>
      </c>
      <c r="AJ13" s="2" t="str">
        <f>+IFERROR(RANK(K13,(K$6,K$15,K$22,K$26,K$27,K$28,K$33),0),"")</f>
        <v/>
      </c>
      <c r="AK13" s="2" t="str">
        <f>+IFERROR(RANK(L13,(L$6,L$15,L$22,L$26,L$27,L$28,L$33),0),"")</f>
        <v/>
      </c>
    </row>
    <row r="14" spans="1:37" ht="15" customHeight="1">
      <c r="A14" s="572" t="s">
        <v>504</v>
      </c>
      <c r="B14" s="646">
        <v>17417</v>
      </c>
      <c r="C14" s="646">
        <v>17956.000000000004</v>
      </c>
      <c r="D14" s="646">
        <v>18472</v>
      </c>
      <c r="E14" s="646">
        <v>18943</v>
      </c>
      <c r="F14" s="646">
        <v>19367.000000000004</v>
      </c>
      <c r="G14" s="646">
        <v>19367</v>
      </c>
      <c r="H14" s="646">
        <v>19886</v>
      </c>
      <c r="I14" s="646">
        <v>20217.999999999996</v>
      </c>
      <c r="J14" s="646">
        <v>20667.999999999996</v>
      </c>
      <c r="K14" s="646">
        <v>21461.999999999993</v>
      </c>
      <c r="L14" s="646">
        <v>21547</v>
      </c>
      <c r="M14" s="393"/>
      <c r="N14" s="559">
        <f t="shared" si="5"/>
        <v>23.712464833208923</v>
      </c>
      <c r="O14" s="419">
        <f t="shared" si="3"/>
        <v>4130</v>
      </c>
      <c r="P14" s="559">
        <f t="shared" si="6"/>
        <v>0.66051520717089618</v>
      </c>
      <c r="Q14" s="559">
        <f t="shared" si="4"/>
        <v>0.66111661550708023</v>
      </c>
      <c r="R14" s="559">
        <f t="shared" si="4"/>
        <v>0.65504057123849901</v>
      </c>
      <c r="S14" s="559">
        <f t="shared" si="4"/>
        <v>0.64281043522640546</v>
      </c>
      <c r="T14" s="559">
        <f t="shared" si="4"/>
        <v>0.63280737163244194</v>
      </c>
      <c r="U14" s="559">
        <f t="shared" si="4"/>
        <v>0.62254315323073439</v>
      </c>
      <c r="V14" s="559">
        <f t="shared" si="4"/>
        <v>0.64448467477279692</v>
      </c>
      <c r="W14" s="559">
        <f t="shared" si="4"/>
        <v>0.65170056844096946</v>
      </c>
      <c r="X14" s="559">
        <f t="shared" si="4"/>
        <v>0.61934348631528968</v>
      </c>
      <c r="Y14" s="559">
        <f t="shared" si="4"/>
        <v>0.61503050651037661</v>
      </c>
      <c r="Z14" s="559">
        <f t="shared" si="4"/>
        <v>0.60782153793207494</v>
      </c>
      <c r="AA14" s="2" t="str">
        <f>+IFERROR(RANK(B14,(B$6,B$15,B$22,B$26,B$27,B$28,B$33),0),"")</f>
        <v/>
      </c>
      <c r="AB14" s="2" t="str">
        <f>+IFERROR(RANK(C14,(C$6,C$15,C$22,C$26,C$27,C$28,C$33),0),"")</f>
        <v/>
      </c>
      <c r="AC14" s="2" t="str">
        <f>+IFERROR(RANK(D14,(D$6,D$15,D$22,D$26,D$27,D$28,D$33),0),"")</f>
        <v/>
      </c>
      <c r="AD14" s="2" t="str">
        <f>+IFERROR(RANK(E14,(E$6,E$15,E$22,E$26,E$27,E$28,E$33),0),"")</f>
        <v/>
      </c>
      <c r="AE14" s="2" t="str">
        <f>+IFERROR(RANK(F14,(F$6,F$15,F$22,F$26,F$27,F$28,F$33),0),"")</f>
        <v/>
      </c>
      <c r="AF14" s="2" t="str">
        <f>+IFERROR(RANK(G14,(G$6,G$15,G$22,G$26,G$27,G$28,G$33),0),"")</f>
        <v/>
      </c>
      <c r="AG14" s="2" t="str">
        <f>+IFERROR(RANK(H14,(H$6,H$15,H$22,H$26,H$27,H$28,H$33),0),"")</f>
        <v/>
      </c>
      <c r="AH14" s="2" t="str">
        <f>+IFERROR(RANK(I14,(I$6,I$15,I$22,I$26,I$27,I$28,I$33),0),"")</f>
        <v/>
      </c>
      <c r="AI14" s="2" t="str">
        <f>+IFERROR(RANK(J14,(J$6,J$15,J$22,J$26,J$27,J$28,J$33),0),"")</f>
        <v/>
      </c>
      <c r="AJ14" s="2" t="str">
        <f>+IFERROR(RANK(K14,(K$6,K$15,K$22,K$26,K$27,K$28,K$33),0),"")</f>
        <v/>
      </c>
      <c r="AK14" s="2" t="str">
        <f>+IFERROR(RANK(L14,(L$6,L$15,L$22,L$26,L$27,L$28,L$33),0),"")</f>
        <v/>
      </c>
    </row>
    <row r="15" spans="1:37" ht="15" customHeight="1">
      <c r="A15" s="15" t="s">
        <v>505</v>
      </c>
      <c r="B15" s="647">
        <v>416808.00000000023</v>
      </c>
      <c r="C15" s="647">
        <v>426185</v>
      </c>
      <c r="D15" s="647">
        <v>438938.99999999994</v>
      </c>
      <c r="E15" s="647">
        <v>455651.00000000006</v>
      </c>
      <c r="F15" s="647">
        <v>471228.00000000006</v>
      </c>
      <c r="G15" s="647">
        <v>474235.00000000012</v>
      </c>
      <c r="H15" s="647">
        <v>476406.00000000023</v>
      </c>
      <c r="I15" s="647">
        <v>477289.00000000006</v>
      </c>
      <c r="J15" s="647">
        <v>506309.99999999988</v>
      </c>
      <c r="K15" s="647">
        <v>524218.00000000012</v>
      </c>
      <c r="L15" s="647">
        <v>530374</v>
      </c>
      <c r="M15" s="393"/>
      <c r="N15" s="559">
        <f t="shared" si="5"/>
        <v>27.24659795397395</v>
      </c>
      <c r="O15" s="419">
        <f t="shared" si="3"/>
        <v>113565.99999999977</v>
      </c>
      <c r="P15" s="559">
        <f t="shared" si="6"/>
        <v>15.806856661335882</v>
      </c>
      <c r="Q15" s="559">
        <f t="shared" si="4"/>
        <v>15.691578568717137</v>
      </c>
      <c r="R15" s="559">
        <f t="shared" si="4"/>
        <v>15.565334197642674</v>
      </c>
      <c r="S15" s="559">
        <f t="shared" si="4"/>
        <v>15.462029120062658</v>
      </c>
      <c r="T15" s="559">
        <f t="shared" si="4"/>
        <v>15.397147318614772</v>
      </c>
      <c r="U15" s="559">
        <f t="shared" si="4"/>
        <v>15.244062181668685</v>
      </c>
      <c r="V15" s="559">
        <f t="shared" si="4"/>
        <v>15.439825302715944</v>
      </c>
      <c r="W15" s="559">
        <f t="shared" si="4"/>
        <v>15.384781512049758</v>
      </c>
      <c r="X15" s="559">
        <f t="shared" si="4"/>
        <v>15.172237301930245</v>
      </c>
      <c r="Y15" s="559">
        <f t="shared" si="4"/>
        <v>15.022368002136652</v>
      </c>
      <c r="Z15" s="559">
        <f t="shared" si="4"/>
        <v>14.961374685997416</v>
      </c>
      <c r="AA15" s="2">
        <f>+IFERROR(RANK(B15,(B$6,B$15,B$22,B$26,B$27,B$28,B$33),0),"")</f>
        <v>3</v>
      </c>
      <c r="AB15" s="2">
        <f>+IFERROR(RANK(C15,(C$6,C$15,C$22,C$26,C$27,C$28,C$33),0),"")</f>
        <v>3</v>
      </c>
      <c r="AC15" s="2">
        <f>+IFERROR(RANK(D15,(D$6,D$15,D$22,D$26,D$27,D$28,D$33),0),"")</f>
        <v>3</v>
      </c>
      <c r="AD15" s="2">
        <f>+IFERROR(RANK(E15,(E$6,E$15,E$22,E$26,E$27,E$28,E$33),0),"")</f>
        <v>3</v>
      </c>
      <c r="AE15" s="2">
        <f>+IFERROR(RANK(F15,(F$6,F$15,F$22,F$26,F$27,F$28,F$33),0),"")</f>
        <v>3</v>
      </c>
      <c r="AF15" s="2">
        <f>+IFERROR(RANK(G15,(G$6,G$15,G$22,G$26,G$27,G$28,G$33),0),"")</f>
        <v>3</v>
      </c>
      <c r="AG15" s="2">
        <f>+IFERROR(RANK(H15,(H$6,H$15,H$22,H$26,H$27,H$28,H$33),0),"")</f>
        <v>3</v>
      </c>
      <c r="AH15" s="2">
        <f>+IFERROR(RANK(I15,(I$6,I$15,I$22,I$26,I$27,I$28,I$33),0),"")</f>
        <v>3</v>
      </c>
      <c r="AI15" s="2">
        <f>+IFERROR(RANK(J15,(J$6,J$15,J$22,J$26,J$27,J$28,J$33),0),"")</f>
        <v>3</v>
      </c>
      <c r="AJ15" s="2">
        <f>+IFERROR(RANK(K15,(K$6,K$15,K$22,K$26,K$27,K$28,K$33),0),"")</f>
        <v>3</v>
      </c>
      <c r="AK15" s="2">
        <f>+IFERROR(RANK(L15,(L$6,L$15,L$22,L$26,L$27,L$28,L$33),0),"")</f>
        <v>3</v>
      </c>
    </row>
    <row r="16" spans="1:37" ht="15" customHeight="1">
      <c r="A16" s="572" t="s">
        <v>506</v>
      </c>
      <c r="B16" s="646">
        <v>105834</v>
      </c>
      <c r="C16" s="646">
        <v>108508</v>
      </c>
      <c r="D16" s="646">
        <v>114017</v>
      </c>
      <c r="E16" s="646">
        <v>118713.00000000001</v>
      </c>
      <c r="F16" s="646">
        <v>125109.00000000001</v>
      </c>
      <c r="G16" s="646">
        <v>126163.00000000001</v>
      </c>
      <c r="H16" s="646">
        <v>127075</v>
      </c>
      <c r="I16" s="646">
        <v>124894</v>
      </c>
      <c r="J16" s="646">
        <v>135023</v>
      </c>
      <c r="K16" s="646">
        <v>139483</v>
      </c>
      <c r="L16" s="646">
        <v>139173</v>
      </c>
      <c r="M16" s="393"/>
      <c r="N16" s="559">
        <f t="shared" si="5"/>
        <v>31.501218889959759</v>
      </c>
      <c r="O16" s="419">
        <f t="shared" si="3"/>
        <v>33339</v>
      </c>
      <c r="P16" s="559">
        <f t="shared" si="6"/>
        <v>4.0136054679752329</v>
      </c>
      <c r="Q16" s="559">
        <f t="shared" si="4"/>
        <v>3.9951237310894543</v>
      </c>
      <c r="R16" s="559">
        <f t="shared" si="4"/>
        <v>4.0431875709668654</v>
      </c>
      <c r="S16" s="559">
        <f t="shared" si="4"/>
        <v>4.0283986273046661</v>
      </c>
      <c r="T16" s="559">
        <f t="shared" si="4"/>
        <v>4.08787615312455</v>
      </c>
      <c r="U16" s="559">
        <f t="shared" si="4"/>
        <v>4.0554506036582412</v>
      </c>
      <c r="V16" s="559">
        <f t="shared" si="4"/>
        <v>4.1183692068165128</v>
      </c>
      <c r="W16" s="559">
        <f t="shared" si="4"/>
        <v>4.0257933917729973</v>
      </c>
      <c r="X16" s="559">
        <f t="shared" si="4"/>
        <v>4.0461397112806941</v>
      </c>
      <c r="Y16" s="559">
        <f t="shared" si="4"/>
        <v>3.9971251579343439</v>
      </c>
      <c r="Z16" s="559">
        <f t="shared" si="4"/>
        <v>3.9259454633415638</v>
      </c>
      <c r="AA16" s="2" t="str">
        <f>+IFERROR(RANK(B16,(B$6,B$15,B$22,B$26,B$27,B$28,B$33),0),"")</f>
        <v/>
      </c>
      <c r="AB16" s="2" t="str">
        <f>+IFERROR(RANK(C16,(C$6,C$15,C$22,C$26,C$27,C$28,C$33),0),"")</f>
        <v/>
      </c>
      <c r="AC16" s="2" t="str">
        <f>+IFERROR(RANK(D16,(D$6,D$15,D$22,D$26,D$27,D$28,D$33),0),"")</f>
        <v/>
      </c>
      <c r="AD16" s="2" t="str">
        <f>+IFERROR(RANK(E16,(E$6,E$15,E$22,E$26,E$27,E$28,E$33),0),"")</f>
        <v/>
      </c>
      <c r="AE16" s="2" t="str">
        <f>+IFERROR(RANK(F16,(F$6,F$15,F$22,F$26,F$27,F$28,F$33),0),"")</f>
        <v/>
      </c>
      <c r="AF16" s="2" t="str">
        <f>+IFERROR(RANK(G16,(G$6,G$15,G$22,G$26,G$27,G$28,G$33),0),"")</f>
        <v/>
      </c>
      <c r="AG16" s="2" t="str">
        <f>+IFERROR(RANK(H16,(H$6,H$15,H$22,H$26,H$27,H$28,H$33),0),"")</f>
        <v/>
      </c>
      <c r="AH16" s="2" t="str">
        <f>+IFERROR(RANK(I16,(I$6,I$15,I$22,I$26,I$27,I$28,I$33),0),"")</f>
        <v/>
      </c>
      <c r="AI16" s="2" t="str">
        <f>+IFERROR(RANK(J16,(J$6,J$15,J$22,J$26,J$27,J$28,J$33),0),"")</f>
        <v/>
      </c>
      <c r="AJ16" s="2" t="str">
        <f>+IFERROR(RANK(K16,(K$6,K$15,K$22,K$26,K$27,K$28,K$33),0),"")</f>
        <v/>
      </c>
      <c r="AK16" s="2" t="str">
        <f>+IFERROR(RANK(L16,(L$6,L$15,L$22,L$26,L$27,L$28,L$33),0),"")</f>
        <v/>
      </c>
    </row>
    <row r="17" spans="1:37" ht="15" customHeight="1">
      <c r="A17" s="572" t="s">
        <v>507</v>
      </c>
      <c r="B17" s="646">
        <v>98821</v>
      </c>
      <c r="C17" s="646">
        <v>101551</v>
      </c>
      <c r="D17" s="646">
        <v>103167.00000000001</v>
      </c>
      <c r="E17" s="646">
        <v>107820.00000000001</v>
      </c>
      <c r="F17" s="646">
        <v>109081.99999999999</v>
      </c>
      <c r="G17" s="646">
        <v>110360.99999999999</v>
      </c>
      <c r="H17" s="646">
        <v>111631.00000000001</v>
      </c>
      <c r="I17" s="646">
        <v>111741.99999999999</v>
      </c>
      <c r="J17" s="646">
        <v>119330.00000000001</v>
      </c>
      <c r="K17" s="646">
        <v>122152</v>
      </c>
      <c r="L17" s="646">
        <v>125294.99999999997</v>
      </c>
      <c r="M17" s="393"/>
      <c r="N17" s="559">
        <f t="shared" si="5"/>
        <v>26.789852359316303</v>
      </c>
      <c r="O17" s="419">
        <f t="shared" si="3"/>
        <v>26473.999999999971</v>
      </c>
      <c r="P17" s="559">
        <f t="shared" si="6"/>
        <v>3.7476473151423972</v>
      </c>
      <c r="Q17" s="559">
        <f t="shared" si="4"/>
        <v>3.7389760203474873</v>
      </c>
      <c r="R17" s="559">
        <f t="shared" si="4"/>
        <v>3.6584327962842269</v>
      </c>
      <c r="S17" s="559">
        <f t="shared" si="4"/>
        <v>3.6587563282537641</v>
      </c>
      <c r="T17" s="559">
        <f t="shared" si="4"/>
        <v>3.5642016684261888</v>
      </c>
      <c r="U17" s="559">
        <f t="shared" si="4"/>
        <v>3.5475027073732157</v>
      </c>
      <c r="V17" s="559">
        <f t="shared" si="4"/>
        <v>3.6178451538550793</v>
      </c>
      <c r="W17" s="559">
        <f t="shared" si="4"/>
        <v>3.6018560153690187</v>
      </c>
      <c r="X17" s="559">
        <f t="shared" si="4"/>
        <v>3.5758785669635933</v>
      </c>
      <c r="Y17" s="559">
        <f t="shared" si="4"/>
        <v>3.5004755582543821</v>
      </c>
      <c r="Z17" s="559">
        <f t="shared" si="4"/>
        <v>3.5344595347472647</v>
      </c>
      <c r="AA17" s="2" t="str">
        <f>+IFERROR(RANK(B17,(B$6,B$15,B$22,B$26,B$27,B$28,B$33),0),"")</f>
        <v/>
      </c>
      <c r="AB17" s="2" t="str">
        <f>+IFERROR(RANK(C17,(C$6,C$15,C$22,C$26,C$27,C$28,C$33),0),"")</f>
        <v/>
      </c>
      <c r="AC17" s="2" t="str">
        <f>+IFERROR(RANK(D17,(D$6,D$15,D$22,D$26,D$27,D$28,D$33),0),"")</f>
        <v/>
      </c>
      <c r="AD17" s="2" t="str">
        <f>+IFERROR(RANK(E17,(E$6,E$15,E$22,E$26,E$27,E$28,E$33),0),"")</f>
        <v/>
      </c>
      <c r="AE17" s="2" t="str">
        <f>+IFERROR(RANK(F17,(F$6,F$15,F$22,F$26,F$27,F$28,F$33),0),"")</f>
        <v/>
      </c>
      <c r="AF17" s="2" t="str">
        <f>+IFERROR(RANK(G17,(G$6,G$15,G$22,G$26,G$27,G$28,G$33),0),"")</f>
        <v/>
      </c>
      <c r="AG17" s="2" t="str">
        <f>+IFERROR(RANK(H17,(H$6,H$15,H$22,H$26,H$27,H$28,H$33),0),"")</f>
        <v/>
      </c>
      <c r="AH17" s="2" t="str">
        <f>+IFERROR(RANK(I17,(I$6,I$15,I$22,I$26,I$27,I$28,I$33),0),"")</f>
        <v/>
      </c>
      <c r="AI17" s="2" t="str">
        <f>+IFERROR(RANK(J17,(J$6,J$15,J$22,J$26,J$27,J$28,J$33),0),"")</f>
        <v/>
      </c>
      <c r="AJ17" s="2" t="str">
        <f>+IFERROR(RANK(K17,(K$6,K$15,K$22,K$26,K$27,K$28,K$33),0),"")</f>
        <v/>
      </c>
      <c r="AK17" s="2" t="str">
        <f>+IFERROR(RANK(L17,(L$6,L$15,L$22,L$26,L$27,L$28,L$33),0),"")</f>
        <v/>
      </c>
    </row>
    <row r="18" spans="1:37" ht="15" customHeight="1">
      <c r="A18" s="572" t="s">
        <v>508</v>
      </c>
      <c r="B18" s="646">
        <v>88098.000000000015</v>
      </c>
      <c r="C18" s="646">
        <v>90173</v>
      </c>
      <c r="D18" s="646">
        <v>93302</v>
      </c>
      <c r="E18" s="646">
        <v>96838</v>
      </c>
      <c r="F18" s="646">
        <v>98908</v>
      </c>
      <c r="G18" s="646">
        <v>99524.000000000015</v>
      </c>
      <c r="H18" s="646">
        <v>99673</v>
      </c>
      <c r="I18" s="646">
        <v>101975</v>
      </c>
      <c r="J18" s="646">
        <v>105680</v>
      </c>
      <c r="K18" s="646">
        <v>109519</v>
      </c>
      <c r="L18" s="646">
        <v>111125.99999999999</v>
      </c>
      <c r="M18" s="393"/>
      <c r="N18" s="559">
        <f t="shared" si="5"/>
        <v>26.139072396649144</v>
      </c>
      <c r="O18" s="419">
        <f t="shared" si="3"/>
        <v>23027.999999999971</v>
      </c>
      <c r="P18" s="559">
        <f t="shared" si="6"/>
        <v>3.340992634859139</v>
      </c>
      <c r="Q18" s="559">
        <f t="shared" si="4"/>
        <v>3.320052827473821</v>
      </c>
      <c r="R18" s="559">
        <f t="shared" si="4"/>
        <v>3.3086073721142504</v>
      </c>
      <c r="S18" s="559">
        <f t="shared" si="4"/>
        <v>3.286093909436449</v>
      </c>
      <c r="T18" s="559">
        <f t="shared" si="4"/>
        <v>3.2317711319988409</v>
      </c>
      <c r="U18" s="559">
        <f t="shared" si="4"/>
        <v>3.1991524129775195</v>
      </c>
      <c r="V18" s="559">
        <f t="shared" si="4"/>
        <v>3.2302987523196718</v>
      </c>
      <c r="W18" s="559">
        <f t="shared" si="4"/>
        <v>3.28702965015174</v>
      </c>
      <c r="X18" s="559">
        <f t="shared" si="4"/>
        <v>3.1668385733404212</v>
      </c>
      <c r="Y18" s="559">
        <f t="shared" si="4"/>
        <v>3.1384552251658726</v>
      </c>
      <c r="Z18" s="559">
        <f t="shared" si="4"/>
        <v>3.1347647572395116</v>
      </c>
      <c r="AA18" s="2" t="str">
        <f>+IFERROR(RANK(B18,(B$6,B$15,B$22,B$26,B$27,B$28,B$33),0),"")</f>
        <v/>
      </c>
      <c r="AB18" s="2" t="str">
        <f>+IFERROR(RANK(C18,(C$6,C$15,C$22,C$26,C$27,C$28,C$33),0),"")</f>
        <v/>
      </c>
      <c r="AC18" s="2" t="str">
        <f>+IFERROR(RANK(D18,(D$6,D$15,D$22,D$26,D$27,D$28,D$33),0),"")</f>
        <v/>
      </c>
      <c r="AD18" s="2" t="str">
        <f>+IFERROR(RANK(E18,(E$6,E$15,E$22,E$26,E$27,E$28,E$33),0),"")</f>
        <v/>
      </c>
      <c r="AE18" s="2" t="str">
        <f>+IFERROR(RANK(F18,(F$6,F$15,F$22,F$26,F$27,F$28,F$33),0),"")</f>
        <v/>
      </c>
      <c r="AF18" s="2" t="str">
        <f>+IFERROR(RANK(G18,(G$6,G$15,G$22,G$26,G$27,G$28,G$33),0),"")</f>
        <v/>
      </c>
      <c r="AG18" s="2" t="str">
        <f>+IFERROR(RANK(H18,(H$6,H$15,H$22,H$26,H$27,H$28,H$33),0),"")</f>
        <v/>
      </c>
      <c r="AH18" s="2" t="str">
        <f>+IFERROR(RANK(I18,(I$6,I$15,I$22,I$26,I$27,I$28,I$33),0),"")</f>
        <v/>
      </c>
      <c r="AI18" s="2" t="str">
        <f>+IFERROR(RANK(J18,(J$6,J$15,J$22,J$26,J$27,J$28,J$33),0),"")</f>
        <v/>
      </c>
      <c r="AJ18" s="2" t="str">
        <f>+IFERROR(RANK(K18,(K$6,K$15,K$22,K$26,K$27,K$28,K$33),0),"")</f>
        <v/>
      </c>
      <c r="AK18" s="2" t="str">
        <f>+IFERROR(RANK(L18,(L$6,L$15,L$22,L$26,L$27,L$28,L$33),0),"")</f>
        <v/>
      </c>
    </row>
    <row r="19" spans="1:37" ht="15" customHeight="1">
      <c r="A19" s="572" t="s">
        <v>509</v>
      </c>
      <c r="B19" s="646">
        <v>59194.999999999985</v>
      </c>
      <c r="C19" s="646">
        <v>60825.999999999993</v>
      </c>
      <c r="D19" s="646">
        <v>62720.000000000015</v>
      </c>
      <c r="E19" s="646">
        <v>65047.999999999993</v>
      </c>
      <c r="F19" s="646">
        <v>68123</v>
      </c>
      <c r="G19" s="646">
        <v>69618</v>
      </c>
      <c r="H19" s="646">
        <v>69458</v>
      </c>
      <c r="I19" s="646">
        <v>69853</v>
      </c>
      <c r="J19" s="646">
        <v>74206</v>
      </c>
      <c r="K19" s="646">
        <v>77276</v>
      </c>
      <c r="L19" s="646">
        <v>79469</v>
      </c>
      <c r="M19" s="393"/>
      <c r="N19" s="559">
        <f t="shared" si="5"/>
        <v>34.249514317087623</v>
      </c>
      <c r="O19" s="419">
        <f t="shared" si="3"/>
        <v>20274.000000000015</v>
      </c>
      <c r="P19" s="559">
        <f t="shared" si="6"/>
        <v>2.2448870464764994</v>
      </c>
      <c r="Q19" s="559">
        <f t="shared" si="4"/>
        <v>2.2395343759653401</v>
      </c>
      <c r="R19" s="559">
        <f t="shared" si="4"/>
        <v>2.2241308265525483</v>
      </c>
      <c r="S19" s="559">
        <f t="shared" si="4"/>
        <v>2.2073342760179071</v>
      </c>
      <c r="T19" s="559">
        <f t="shared" si="4"/>
        <v>2.2258861247336617</v>
      </c>
      <c r="U19" s="559">
        <f t="shared" si="4"/>
        <v>2.2378380359176573</v>
      </c>
      <c r="V19" s="559">
        <f t="shared" si="4"/>
        <v>2.2510618797329243</v>
      </c>
      <c r="W19" s="559">
        <f t="shared" si="4"/>
        <v>2.2516193395641038</v>
      </c>
      <c r="X19" s="559">
        <f t="shared" si="4"/>
        <v>2.2236792503150955</v>
      </c>
      <c r="Y19" s="559">
        <f t="shared" si="4"/>
        <v>2.2144766294425442</v>
      </c>
      <c r="Z19" s="559">
        <f t="shared" si="4"/>
        <v>2.2417491900461348</v>
      </c>
      <c r="AA19" s="2" t="str">
        <f>+IFERROR(RANK(B19,(B$6,B$15,B$22,B$26,B$27,B$28,B$33),0),"")</f>
        <v/>
      </c>
      <c r="AB19" s="2" t="str">
        <f>+IFERROR(RANK(C19,(C$6,C$15,C$22,C$26,C$27,C$28,C$33),0),"")</f>
        <v/>
      </c>
      <c r="AC19" s="2" t="str">
        <f>+IFERROR(RANK(D19,(D$6,D$15,D$22,D$26,D$27,D$28,D$33),0),"")</f>
        <v/>
      </c>
      <c r="AD19" s="2" t="str">
        <f>+IFERROR(RANK(E19,(E$6,E$15,E$22,E$26,E$27,E$28,E$33),0),"")</f>
        <v/>
      </c>
      <c r="AE19" s="2" t="str">
        <f>+IFERROR(RANK(F19,(F$6,F$15,F$22,F$26,F$27,F$28,F$33),0),"")</f>
        <v/>
      </c>
      <c r="AF19" s="2" t="str">
        <f>+IFERROR(RANK(G19,(G$6,G$15,G$22,G$26,G$27,G$28,G$33),0),"")</f>
        <v/>
      </c>
      <c r="AG19" s="2" t="str">
        <f>+IFERROR(RANK(H19,(H$6,H$15,H$22,H$26,H$27,H$28,H$33),0),"")</f>
        <v/>
      </c>
      <c r="AH19" s="2" t="str">
        <f>+IFERROR(RANK(I19,(I$6,I$15,I$22,I$26,I$27,I$28,I$33),0),"")</f>
        <v/>
      </c>
      <c r="AI19" s="2" t="str">
        <f>+IFERROR(RANK(J19,(J$6,J$15,J$22,J$26,J$27,J$28,J$33),0),"")</f>
        <v/>
      </c>
      <c r="AJ19" s="2" t="str">
        <f>+IFERROR(RANK(K19,(K$6,K$15,K$22,K$26,K$27,K$28,K$33),0),"")</f>
        <v/>
      </c>
      <c r="AK19" s="2" t="str">
        <f>+IFERROR(RANK(L19,(L$6,L$15,L$22,L$26,L$27,L$28,L$33),0),"")</f>
        <v/>
      </c>
    </row>
    <row r="20" spans="1:37" ht="15" customHeight="1">
      <c r="A20" s="572" t="s">
        <v>510</v>
      </c>
      <c r="B20" s="646">
        <v>20702</v>
      </c>
      <c r="C20" s="646">
        <v>20362</v>
      </c>
      <c r="D20" s="646">
        <v>20449</v>
      </c>
      <c r="E20" s="646">
        <v>20492</v>
      </c>
      <c r="F20" s="646">
        <v>22102</v>
      </c>
      <c r="G20" s="646">
        <v>21918</v>
      </c>
      <c r="H20" s="646">
        <v>21929</v>
      </c>
      <c r="I20" s="646">
        <v>21615</v>
      </c>
      <c r="J20" s="646">
        <v>22628</v>
      </c>
      <c r="K20" s="646">
        <v>23604</v>
      </c>
      <c r="L20" s="646">
        <v>23660</v>
      </c>
      <c r="M20" s="393"/>
      <c r="N20" s="559">
        <f t="shared" si="5"/>
        <v>14.288474543522355</v>
      </c>
      <c r="O20" s="419">
        <f t="shared" si="3"/>
        <v>2958</v>
      </c>
      <c r="P20" s="559">
        <f t="shared" si="6"/>
        <v>0.78509420789182371</v>
      </c>
      <c r="Q20" s="559">
        <f t="shared" si="4"/>
        <v>0.74970241284000694</v>
      </c>
      <c r="R20" s="559">
        <f t="shared" si="4"/>
        <v>0.72514750115071824</v>
      </c>
      <c r="S20" s="559">
        <f t="shared" si="4"/>
        <v>0.69537409273396511</v>
      </c>
      <c r="T20" s="559">
        <f t="shared" si="4"/>
        <v>0.72217217575361325</v>
      </c>
      <c r="U20" s="559">
        <f t="shared" si="4"/>
        <v>0.70454385462442493</v>
      </c>
      <c r="V20" s="559">
        <f t="shared" si="4"/>
        <v>0.71069618993727568</v>
      </c>
      <c r="W20" s="559">
        <f t="shared" si="4"/>
        <v>0.69673102121137398</v>
      </c>
      <c r="X20" s="559">
        <f t="shared" si="4"/>
        <v>0.67807743411759136</v>
      </c>
      <c r="Y20" s="559">
        <f t="shared" si="4"/>
        <v>0.67641319894096241</v>
      </c>
      <c r="Z20" s="559">
        <f t="shared" si="4"/>
        <v>0.66742737213871506</v>
      </c>
      <c r="AA20" s="2" t="str">
        <f>+IFERROR(RANK(B20,(B$6,B$15,B$22,B$26,B$27,B$28,B$33),0),"")</f>
        <v/>
      </c>
      <c r="AB20" s="2" t="str">
        <f>+IFERROR(RANK(C20,(C$6,C$15,C$22,C$26,C$27,C$28,C$33),0),"")</f>
        <v/>
      </c>
      <c r="AC20" s="2" t="str">
        <f>+IFERROR(RANK(D20,(D$6,D$15,D$22,D$26,D$27,D$28,D$33),0),"")</f>
        <v/>
      </c>
      <c r="AD20" s="2" t="str">
        <f>+IFERROR(RANK(E20,(E$6,E$15,E$22,E$26,E$27,E$28,E$33),0),"")</f>
        <v/>
      </c>
      <c r="AE20" s="2" t="str">
        <f>+IFERROR(RANK(F20,(F$6,F$15,F$22,F$26,F$27,F$28,F$33),0),"")</f>
        <v/>
      </c>
      <c r="AF20" s="2" t="str">
        <f>+IFERROR(RANK(G20,(G$6,G$15,G$22,G$26,G$27,G$28,G$33),0),"")</f>
        <v/>
      </c>
      <c r="AG20" s="2" t="str">
        <f>+IFERROR(RANK(H20,(H$6,H$15,H$22,H$26,H$27,H$28,H$33),0),"")</f>
        <v/>
      </c>
      <c r="AH20" s="2" t="str">
        <f>+IFERROR(RANK(I20,(I$6,I$15,I$22,I$26,I$27,I$28,I$33),0),"")</f>
        <v/>
      </c>
      <c r="AI20" s="2" t="str">
        <f>+IFERROR(RANK(J20,(J$6,J$15,J$22,J$26,J$27,J$28,J$33),0),"")</f>
        <v/>
      </c>
      <c r="AJ20" s="2" t="str">
        <f>+IFERROR(RANK(K20,(K$6,K$15,K$22,K$26,K$27,K$28,K$33),0),"")</f>
        <v/>
      </c>
      <c r="AK20" s="2" t="str">
        <f>+IFERROR(RANK(L20,(L$6,L$15,L$22,L$26,L$27,L$28,L$33),0),"")</f>
        <v/>
      </c>
    </row>
    <row r="21" spans="1:37" ht="15" customHeight="1">
      <c r="A21" s="572" t="s">
        <v>511</v>
      </c>
      <c r="B21" s="646">
        <v>44158</v>
      </c>
      <c r="C21" s="646">
        <v>44765</v>
      </c>
      <c r="D21" s="646">
        <v>45284</v>
      </c>
      <c r="E21" s="646">
        <v>46740.000000000007</v>
      </c>
      <c r="F21" s="646">
        <v>47904</v>
      </c>
      <c r="G21" s="646">
        <v>46651</v>
      </c>
      <c r="H21" s="646">
        <v>46640</v>
      </c>
      <c r="I21" s="646">
        <v>47210</v>
      </c>
      <c r="J21" s="646">
        <v>49443</v>
      </c>
      <c r="K21" s="646">
        <v>52184</v>
      </c>
      <c r="L21" s="646">
        <v>51650.999999999993</v>
      </c>
      <c r="M21" s="393"/>
      <c r="N21" s="559">
        <f t="shared" si="5"/>
        <v>16.968612708908903</v>
      </c>
      <c r="O21" s="419">
        <f t="shared" si="3"/>
        <v>7492.9999999999927</v>
      </c>
      <c r="P21" s="559">
        <f t="shared" si="6"/>
        <v>1.6746299889907812</v>
      </c>
      <c r="Q21" s="559">
        <f t="shared" si="4"/>
        <v>1.6481892010010268</v>
      </c>
      <c r="R21" s="559">
        <f t="shared" si="4"/>
        <v>1.6058281305740683</v>
      </c>
      <c r="S21" s="559">
        <f t="shared" si="4"/>
        <v>1.5860718863159056</v>
      </c>
      <c r="T21" s="559">
        <f t="shared" si="4"/>
        <v>1.5652400645779154</v>
      </c>
      <c r="U21" s="559">
        <f t="shared" si="4"/>
        <v>1.4995745671176224</v>
      </c>
      <c r="V21" s="559">
        <f t="shared" si="4"/>
        <v>1.5115541200544731</v>
      </c>
      <c r="W21" s="559">
        <f t="shared" si="4"/>
        <v>1.5217520939805211</v>
      </c>
      <c r="X21" s="559">
        <f t="shared" si="4"/>
        <v>1.4816237659128544</v>
      </c>
      <c r="Y21" s="559">
        <f t="shared" si="4"/>
        <v>1.4954222323985418</v>
      </c>
      <c r="Z21" s="559">
        <f t="shared" si="4"/>
        <v>1.4570283684842251</v>
      </c>
      <c r="AA21" s="2" t="str">
        <f>+IFERROR(RANK(B21,(B$6,B$15,B$22,B$26,B$27,B$28,B$33),0),"")</f>
        <v/>
      </c>
      <c r="AB21" s="2" t="str">
        <f>+IFERROR(RANK(C21,(C$6,C$15,C$22,C$26,C$27,C$28,C$33),0),"")</f>
        <v/>
      </c>
      <c r="AC21" s="2" t="str">
        <f>+IFERROR(RANK(D21,(D$6,D$15,D$22,D$26,D$27,D$28,D$33),0),"")</f>
        <v/>
      </c>
      <c r="AD21" s="2" t="str">
        <f>+IFERROR(RANK(E21,(E$6,E$15,E$22,E$26,E$27,E$28,E$33),0),"")</f>
        <v/>
      </c>
      <c r="AE21" s="2" t="str">
        <f>+IFERROR(RANK(F21,(F$6,F$15,F$22,F$26,F$27,F$28,F$33),0),"")</f>
        <v/>
      </c>
      <c r="AF21" s="2" t="str">
        <f>+IFERROR(RANK(G21,(G$6,G$15,G$22,G$26,G$27,G$28,G$33),0),"")</f>
        <v/>
      </c>
      <c r="AG21" s="2" t="str">
        <f>+IFERROR(RANK(H21,(H$6,H$15,H$22,H$26,H$27,H$28,H$33),0),"")</f>
        <v/>
      </c>
      <c r="AH21" s="2" t="str">
        <f>+IFERROR(RANK(I21,(I$6,I$15,I$22,I$26,I$27,I$28,I$33),0),"")</f>
        <v/>
      </c>
      <c r="AI21" s="2" t="str">
        <f>+IFERROR(RANK(J21,(J$6,J$15,J$22,J$26,J$27,J$28,J$33),0),"")</f>
        <v/>
      </c>
      <c r="AJ21" s="2" t="str">
        <f>+IFERROR(RANK(K21,(K$6,K$15,K$22,K$26,K$27,K$28,K$33),0),"")</f>
        <v/>
      </c>
      <c r="AK21" s="2" t="str">
        <f>+IFERROR(RANK(L21,(L$6,L$15,L$22,L$26,L$27,L$28,L$33),0),"")</f>
        <v/>
      </c>
    </row>
    <row r="22" spans="1:37" s="18" customFormat="1" ht="15" customHeight="1">
      <c r="A22" s="15" t="s">
        <v>512</v>
      </c>
      <c r="B22" s="647">
        <v>187163.99999999997</v>
      </c>
      <c r="C22" s="647">
        <v>191426.99999999997</v>
      </c>
      <c r="D22" s="647">
        <v>195958</v>
      </c>
      <c r="E22" s="647">
        <v>207117.99999999994</v>
      </c>
      <c r="F22" s="647">
        <v>218361</v>
      </c>
      <c r="G22" s="647">
        <v>222503.00000000012</v>
      </c>
      <c r="H22" s="647">
        <v>222503</v>
      </c>
      <c r="I22" s="647">
        <v>220224.99999999991</v>
      </c>
      <c r="J22" s="647">
        <v>233662.99999999994</v>
      </c>
      <c r="K22" s="647">
        <v>244696.99999999994</v>
      </c>
      <c r="L22" s="647">
        <v>249048</v>
      </c>
      <c r="M22" s="393"/>
      <c r="N22" s="559">
        <f t="shared" si="5"/>
        <v>33.064050778995991</v>
      </c>
      <c r="O22" s="419">
        <f t="shared" si="3"/>
        <v>61884.000000000029</v>
      </c>
      <c r="P22" s="559">
        <f t="shared" si="6"/>
        <v>7.0979312301161848</v>
      </c>
      <c r="Q22" s="559">
        <f t="shared" si="6"/>
        <v>7.0480936932876919</v>
      </c>
      <c r="R22" s="559">
        <f t="shared" si="6"/>
        <v>6.9489194596553592</v>
      </c>
      <c r="S22" s="559">
        <f t="shared" si="6"/>
        <v>7.0283277053910469</v>
      </c>
      <c r="T22" s="559">
        <f t="shared" si="6"/>
        <v>7.134840216710467</v>
      </c>
      <c r="U22" s="559">
        <f t="shared" si="6"/>
        <v>7.1522548264211379</v>
      </c>
      <c r="V22" s="559">
        <f t="shared" si="6"/>
        <v>7.2110919033979499</v>
      </c>
      <c r="W22" s="559">
        <f t="shared" si="6"/>
        <v>7.0986624633946231</v>
      </c>
      <c r="X22" s="559">
        <f t="shared" si="6"/>
        <v>7.0020155333312131</v>
      </c>
      <c r="Y22" s="559">
        <f t="shared" si="6"/>
        <v>7.0122132071367824</v>
      </c>
      <c r="Z22" s="559">
        <f t="shared" si="6"/>
        <v>7.0254206329840541</v>
      </c>
      <c r="AA22" s="2">
        <f>+IFERROR(RANK(B22,(B$6,B$15,B$22,B$26,B$27,B$28,B$33),0),"")</f>
        <v>4</v>
      </c>
      <c r="AB22" s="2">
        <f>+IFERROR(RANK(C22,(C$6,C$15,C$22,C$26,C$27,C$28,C$33),0),"")</f>
        <v>4</v>
      </c>
      <c r="AC22" s="2">
        <f>+IFERROR(RANK(D22,(D$6,D$15,D$22,D$26,D$27,D$28,D$33),0),"")</f>
        <v>4</v>
      </c>
      <c r="AD22" s="2">
        <f>+IFERROR(RANK(E22,(E$6,E$15,E$22,E$26,E$27,E$28,E$33),0),"")</f>
        <v>4</v>
      </c>
      <c r="AE22" s="2">
        <f>+IFERROR(RANK(F22,(F$6,F$15,F$22,F$26,F$27,F$28,F$33),0),"")</f>
        <v>4</v>
      </c>
      <c r="AF22" s="2">
        <f>+IFERROR(RANK(G22,(G$6,G$15,G$22,G$26,G$27,G$28,G$33),0),"")</f>
        <v>4</v>
      </c>
      <c r="AG22" s="2">
        <f>+IFERROR(RANK(H22,(H$6,H$15,H$22,H$26,H$27,H$28,H$33),0),"")</f>
        <v>4</v>
      </c>
      <c r="AH22" s="2">
        <f>+IFERROR(RANK(I22,(I$6,I$15,I$22,I$26,I$27,I$28,I$33),0),"")</f>
        <v>4</v>
      </c>
      <c r="AI22" s="2">
        <f>+IFERROR(RANK(J22,(J$6,J$15,J$22,J$26,J$27,J$28,J$33),0),"")</f>
        <v>4</v>
      </c>
      <c r="AJ22" s="2">
        <f>+IFERROR(RANK(K22,(K$6,K$15,K$22,K$26,K$27,K$28,K$33),0),"")</f>
        <v>4</v>
      </c>
      <c r="AK22" s="2">
        <f>+IFERROR(RANK(L22,(L$6,L$15,L$22,L$26,L$27,L$28,L$33),0),"")</f>
        <v>4</v>
      </c>
    </row>
    <row r="23" spans="1:37" ht="15" customHeight="1">
      <c r="A23" s="572" t="s">
        <v>513</v>
      </c>
      <c r="B23" s="646">
        <v>83007</v>
      </c>
      <c r="C23" s="646">
        <v>85074</v>
      </c>
      <c r="D23" s="646">
        <v>87605.999999999985</v>
      </c>
      <c r="E23" s="646">
        <v>92480</v>
      </c>
      <c r="F23" s="646">
        <v>100447</v>
      </c>
      <c r="G23" s="646">
        <v>102230.00000000001</v>
      </c>
      <c r="H23" s="646">
        <v>101028.99999999999</v>
      </c>
      <c r="I23" s="646">
        <v>99264.999999999985</v>
      </c>
      <c r="J23" s="646">
        <v>105262</v>
      </c>
      <c r="K23" s="646">
        <v>111666</v>
      </c>
      <c r="L23" s="646">
        <v>112479</v>
      </c>
      <c r="N23" s="559">
        <f t="shared" si="5"/>
        <v>35.505439300299969</v>
      </c>
      <c r="O23" s="419">
        <f t="shared" si="3"/>
        <v>29472</v>
      </c>
      <c r="P23" s="559">
        <f t="shared" si="6"/>
        <v>3.1479236264359294</v>
      </c>
      <c r="Q23" s="559">
        <f t="shared" si="6"/>
        <v>3.1323142652956855</v>
      </c>
      <c r="R23" s="559">
        <f t="shared" si="6"/>
        <v>3.1066199807232531</v>
      </c>
      <c r="S23" s="559">
        <f t="shared" si="6"/>
        <v>3.1382098426721203</v>
      </c>
      <c r="T23" s="559">
        <f t="shared" si="6"/>
        <v>3.2820572137328381</v>
      </c>
      <c r="U23" s="559">
        <f t="shared" si="6"/>
        <v>3.2861355168471107</v>
      </c>
      <c r="V23" s="559">
        <f t="shared" si="6"/>
        <v>3.2742453086402943</v>
      </c>
      <c r="W23" s="559">
        <f t="shared" si="6"/>
        <v>3.1996763738397882</v>
      </c>
      <c r="X23" s="559">
        <f t="shared" si="6"/>
        <v>3.1543126599825837</v>
      </c>
      <c r="Y23" s="559">
        <f t="shared" si="6"/>
        <v>3.1999812011922346</v>
      </c>
      <c r="Z23" s="559">
        <f t="shared" si="6"/>
        <v>3.1729316733216626</v>
      </c>
      <c r="AA23" s="2" t="str">
        <f>+IFERROR(RANK(B23,(B$6,B$15,B$22,B$26,B$27,B$28,B$33),0),"")</f>
        <v/>
      </c>
      <c r="AB23" s="2" t="str">
        <f>+IFERROR(RANK(C23,(C$6,C$15,C$22,C$26,C$27,C$28,C$33),0),"")</f>
        <v/>
      </c>
      <c r="AC23" s="2" t="str">
        <f>+IFERROR(RANK(D23,(D$6,D$15,D$22,D$26,D$27,D$28,D$33),0),"")</f>
        <v/>
      </c>
      <c r="AD23" s="2" t="str">
        <f>+IFERROR(RANK(E23,(E$6,E$15,E$22,E$26,E$27,E$28,E$33),0),"")</f>
        <v/>
      </c>
      <c r="AE23" s="2" t="str">
        <f>+IFERROR(RANK(F23,(F$6,F$15,F$22,F$26,F$27,F$28,F$33),0),"")</f>
        <v/>
      </c>
      <c r="AF23" s="2" t="str">
        <f>+IFERROR(RANK(G23,(G$6,G$15,G$22,G$26,G$27,G$28,G$33),0),"")</f>
        <v/>
      </c>
      <c r="AG23" s="2" t="str">
        <f>+IFERROR(RANK(H23,(H$6,H$15,H$22,H$26,H$27,H$28,H$33),0),"")</f>
        <v/>
      </c>
      <c r="AH23" s="2" t="str">
        <f>+IFERROR(RANK(I23,(I$6,I$15,I$22,I$26,I$27,I$28,I$33),0),"")</f>
        <v/>
      </c>
      <c r="AI23" s="2" t="str">
        <f>+IFERROR(RANK(J23,(J$6,J$15,J$22,J$26,J$27,J$28,J$33),0),"")</f>
        <v/>
      </c>
      <c r="AJ23" s="2" t="str">
        <f>+IFERROR(RANK(K23,(K$6,K$15,K$22,K$26,K$27,K$28,K$33),0),"")</f>
        <v/>
      </c>
      <c r="AK23" s="2" t="str">
        <f>+IFERROR(RANK(L23,(L$6,L$15,L$22,L$26,L$27,L$28,L$33),0),"")</f>
        <v/>
      </c>
    </row>
    <row r="24" spans="1:37" ht="17.45" customHeight="1">
      <c r="A24" s="572" t="s">
        <v>514</v>
      </c>
      <c r="B24" s="646">
        <v>49897</v>
      </c>
      <c r="C24" s="646">
        <v>51350</v>
      </c>
      <c r="D24" s="646">
        <v>51114</v>
      </c>
      <c r="E24" s="646">
        <v>53556</v>
      </c>
      <c r="F24" s="646">
        <v>54546.999999999993</v>
      </c>
      <c r="G24" s="646">
        <v>55892</v>
      </c>
      <c r="H24" s="646">
        <v>55002</v>
      </c>
      <c r="I24" s="646">
        <v>54352.000000000007</v>
      </c>
      <c r="J24" s="646">
        <v>58043.999999999993</v>
      </c>
      <c r="K24" s="646">
        <v>59990</v>
      </c>
      <c r="L24" s="646">
        <v>59911.000000000007</v>
      </c>
      <c r="N24" s="559">
        <f t="shared" si="5"/>
        <v>20.069342846263318</v>
      </c>
      <c r="O24" s="419">
        <f t="shared" si="3"/>
        <v>10014.000000000007</v>
      </c>
      <c r="P24" s="559">
        <f t="shared" ref="P24:Z33" si="7">B24*100/B$5</f>
        <v>1.8922734852274334</v>
      </c>
      <c r="Q24" s="559">
        <f t="shared" si="7"/>
        <v>1.890640354549374</v>
      </c>
      <c r="R24" s="559">
        <f t="shared" si="7"/>
        <v>1.8125673320855695</v>
      </c>
      <c r="S24" s="559">
        <f t="shared" si="7"/>
        <v>1.8173655529211514</v>
      </c>
      <c r="T24" s="559">
        <f t="shared" si="7"/>
        <v>1.7822968813153712</v>
      </c>
      <c r="U24" s="559">
        <f t="shared" si="7"/>
        <v>1.7966221882775963</v>
      </c>
      <c r="V24" s="559">
        <f t="shared" si="7"/>
        <v>1.7825578840316494</v>
      </c>
      <c r="W24" s="559">
        <f t="shared" si="7"/>
        <v>1.751965045796003</v>
      </c>
      <c r="X24" s="559">
        <f t="shared" si="7"/>
        <v>1.7393639113453008</v>
      </c>
      <c r="Y24" s="559">
        <f t="shared" si="7"/>
        <v>1.7191165821245693</v>
      </c>
      <c r="Z24" s="559">
        <f t="shared" si="7"/>
        <v>1.6900355575740729</v>
      </c>
      <c r="AA24" s="2" t="str">
        <f>+IFERROR(RANK(B24,(B$6,B$15,B$22,B$26,B$27,B$28,B$33),0),"")</f>
        <v/>
      </c>
      <c r="AB24" s="2" t="str">
        <f>+IFERROR(RANK(C24,(C$6,C$15,C$22,C$26,C$27,C$28,C$33),0),"")</f>
        <v/>
      </c>
      <c r="AC24" s="2" t="str">
        <f>+IFERROR(RANK(D24,(D$6,D$15,D$22,D$26,D$27,D$28,D$33),0),"")</f>
        <v/>
      </c>
      <c r="AD24" s="2" t="str">
        <f>+IFERROR(RANK(E24,(E$6,E$15,E$22,E$26,E$27,E$28,E$33),0),"")</f>
        <v/>
      </c>
      <c r="AE24" s="2" t="str">
        <f>+IFERROR(RANK(F24,(F$6,F$15,F$22,F$26,F$27,F$28,F$33),0),"")</f>
        <v/>
      </c>
      <c r="AF24" s="2" t="str">
        <f>+IFERROR(RANK(G24,(G$6,G$15,G$22,G$26,G$27,G$28,G$33),0),"")</f>
        <v/>
      </c>
      <c r="AG24" s="2" t="str">
        <f>+IFERROR(RANK(H24,(H$6,H$15,H$22,H$26,H$27,H$28,H$33),0),"")</f>
        <v/>
      </c>
      <c r="AH24" s="2" t="str">
        <f>+IFERROR(RANK(I24,(I$6,I$15,I$22,I$26,I$27,I$28,I$33),0),"")</f>
        <v/>
      </c>
      <c r="AI24" s="2" t="str">
        <f>+IFERROR(RANK(J24,(J$6,J$15,J$22,J$26,J$27,J$28,J$33),0),"")</f>
        <v/>
      </c>
      <c r="AJ24" s="2" t="str">
        <f>+IFERROR(RANK(K24,(K$6,K$15,K$22,K$26,K$27,K$28,K$33),0),"")</f>
        <v/>
      </c>
      <c r="AK24" s="2" t="str">
        <f>+IFERROR(RANK(L24,(L$6,L$15,L$22,L$26,L$27,L$28,L$33),0),"")</f>
        <v/>
      </c>
    </row>
    <row r="25" spans="1:37" ht="17.45" customHeight="1">
      <c r="A25" s="572" t="s">
        <v>515</v>
      </c>
      <c r="B25" s="646">
        <v>54260</v>
      </c>
      <c r="C25" s="646">
        <v>55003</v>
      </c>
      <c r="D25" s="646">
        <v>57238.000000000007</v>
      </c>
      <c r="E25" s="646">
        <v>61082</v>
      </c>
      <c r="F25" s="646">
        <v>63366.999999999993</v>
      </c>
      <c r="G25" s="646">
        <v>64381</v>
      </c>
      <c r="H25" s="646">
        <v>66472</v>
      </c>
      <c r="I25" s="646">
        <v>66608</v>
      </c>
      <c r="J25" s="646">
        <v>70357</v>
      </c>
      <c r="K25" s="646">
        <v>73041</v>
      </c>
      <c r="L25" s="646">
        <v>76658</v>
      </c>
      <c r="N25" s="559">
        <f t="shared" si="5"/>
        <v>41.279026907482489</v>
      </c>
      <c r="O25" s="419">
        <f t="shared" si="3"/>
        <v>22398</v>
      </c>
      <c r="P25" s="559">
        <f t="shared" si="7"/>
        <v>2.0577341184528235</v>
      </c>
      <c r="Q25" s="559">
        <f t="shared" si="7"/>
        <v>2.0251390734426336</v>
      </c>
      <c r="R25" s="559">
        <f t="shared" si="7"/>
        <v>2.0297321468465359</v>
      </c>
      <c r="S25" s="559">
        <f t="shared" si="7"/>
        <v>2.0727523097977776</v>
      </c>
      <c r="T25" s="559">
        <f t="shared" si="7"/>
        <v>2.070486121662257</v>
      </c>
      <c r="U25" s="559">
        <f t="shared" si="7"/>
        <v>2.0694971212964277</v>
      </c>
      <c r="V25" s="559">
        <f t="shared" si="7"/>
        <v>2.1542887107260063</v>
      </c>
      <c r="W25" s="559">
        <f t="shared" si="7"/>
        <v>2.147021043758834</v>
      </c>
      <c r="X25" s="559">
        <f t="shared" si="7"/>
        <v>2.108338962003331</v>
      </c>
      <c r="Y25" s="559">
        <f t="shared" si="7"/>
        <v>2.0931154238199809</v>
      </c>
      <c r="Z25" s="559">
        <f t="shared" si="7"/>
        <v>2.1624534020883188</v>
      </c>
      <c r="AA25" s="2" t="str">
        <f>+IFERROR(RANK(B25,(B$6,B$15,B$22,B$26,B$27,B$28,B$33),0),"")</f>
        <v/>
      </c>
      <c r="AB25" s="2" t="str">
        <f>+IFERROR(RANK(C25,(C$6,C$15,C$22,C$26,C$27,C$28,C$33),0),"")</f>
        <v/>
      </c>
      <c r="AC25" s="2" t="str">
        <f>+IFERROR(RANK(D25,(D$6,D$15,D$22,D$26,D$27,D$28,D$33),0),"")</f>
        <v/>
      </c>
      <c r="AD25" s="2" t="str">
        <f>+IFERROR(RANK(E25,(E$6,E$15,E$22,E$26,E$27,E$28,E$33),0),"")</f>
        <v/>
      </c>
      <c r="AE25" s="2" t="str">
        <f>+IFERROR(RANK(F25,(F$6,F$15,F$22,F$26,F$27,F$28,F$33),0),"")</f>
        <v/>
      </c>
      <c r="AF25" s="2" t="str">
        <f>+IFERROR(RANK(G25,(G$6,G$15,G$22,G$26,G$27,G$28,G$33),0),"")</f>
        <v/>
      </c>
      <c r="AG25" s="2" t="str">
        <f>+IFERROR(RANK(H25,(H$6,H$15,H$22,H$26,H$27,H$28,H$33),0),"")</f>
        <v/>
      </c>
      <c r="AH25" s="2" t="str">
        <f>+IFERROR(RANK(I25,(I$6,I$15,I$22,I$26,I$27,I$28,I$33),0),"")</f>
        <v/>
      </c>
      <c r="AI25" s="2" t="str">
        <f>+IFERROR(RANK(J25,(J$6,J$15,J$22,J$26,J$27,J$28,J$33),0),"")</f>
        <v/>
      </c>
      <c r="AJ25" s="2" t="str">
        <f>+IFERROR(RANK(K25,(K$6,K$15,K$22,K$26,K$27,K$28,K$33),0),"")</f>
        <v/>
      </c>
      <c r="AK25" s="2" t="str">
        <f>+IFERROR(RANK(L25,(L$6,L$15,L$22,L$26,L$27,L$28,L$33),0),"")</f>
        <v/>
      </c>
    </row>
    <row r="26" spans="1:37" ht="17.45" customHeight="1">
      <c r="A26" s="15" t="s">
        <v>516</v>
      </c>
      <c r="B26" s="647">
        <v>715126</v>
      </c>
      <c r="C26" s="647">
        <v>730551</v>
      </c>
      <c r="D26" s="647">
        <v>765222</v>
      </c>
      <c r="E26" s="647">
        <v>790694</v>
      </c>
      <c r="F26" s="647">
        <v>826919</v>
      </c>
      <c r="G26" s="647">
        <v>845336</v>
      </c>
      <c r="H26" s="647">
        <v>835460</v>
      </c>
      <c r="I26" s="647">
        <v>838586</v>
      </c>
      <c r="J26" s="647">
        <v>915180</v>
      </c>
      <c r="K26" s="647">
        <v>969558</v>
      </c>
      <c r="L26" s="647">
        <v>996445</v>
      </c>
      <c r="N26" s="559">
        <f t="shared" si="5"/>
        <v>39.338382327030487</v>
      </c>
      <c r="O26" s="419">
        <f t="shared" si="3"/>
        <v>281319</v>
      </c>
      <c r="P26" s="559">
        <f t="shared" si="7"/>
        <v>27.120146870488277</v>
      </c>
      <c r="Q26" s="559">
        <f t="shared" si="7"/>
        <v>26.897939662247317</v>
      </c>
      <c r="R26" s="559">
        <f t="shared" si="7"/>
        <v>27.135743612184207</v>
      </c>
      <c r="S26" s="559">
        <f t="shared" si="7"/>
        <v>26.831354815547034</v>
      </c>
      <c r="T26" s="559">
        <f t="shared" si="7"/>
        <v>27.019178961270569</v>
      </c>
      <c r="U26" s="559">
        <f t="shared" si="7"/>
        <v>27.172930189469515</v>
      </c>
      <c r="V26" s="559">
        <f t="shared" si="7"/>
        <v>27.07639376373735</v>
      </c>
      <c r="W26" s="559">
        <f t="shared" si="7"/>
        <v>27.030713863222822</v>
      </c>
      <c r="X26" s="559">
        <f t="shared" si="7"/>
        <v>27.424558341688936</v>
      </c>
      <c r="Y26" s="559">
        <f t="shared" si="7"/>
        <v>27.784351310744011</v>
      </c>
      <c r="Z26" s="559">
        <f t="shared" si="7"/>
        <v>28.108819434943449</v>
      </c>
      <c r="AA26" s="2">
        <f>+IFERROR(RANK(B26,(B$6,B$15,B$22,B$26,B$27,B$28,B$33),0),"")</f>
        <v>2</v>
      </c>
      <c r="AB26" s="2">
        <f>+IFERROR(RANK(C26,(C$6,C$15,C$22,C$26,C$27,C$28,C$33),0),"")</f>
        <v>2</v>
      </c>
      <c r="AC26" s="2">
        <f>+IFERROR(RANK(D26,(D$6,D$15,D$22,D$26,D$27,D$28,D$33),0),"")</f>
        <v>2</v>
      </c>
      <c r="AD26" s="2">
        <f>+IFERROR(RANK(E26,(E$6,E$15,E$22,E$26,E$27,E$28,E$33),0),"")</f>
        <v>2</v>
      </c>
      <c r="AE26" s="2">
        <f>+IFERROR(RANK(F26,(F$6,F$15,F$22,F$26,F$27,F$28,F$33),0),"")</f>
        <v>2</v>
      </c>
      <c r="AF26" s="2">
        <f>+IFERROR(RANK(G26,(G$6,G$15,G$22,G$26,G$27,G$28,G$33),0),"")</f>
        <v>2</v>
      </c>
      <c r="AG26" s="2">
        <f>+IFERROR(RANK(H26,(H$6,H$15,H$22,H$26,H$27,H$28,H$33),0),"")</f>
        <v>2</v>
      </c>
      <c r="AH26" s="2">
        <f>+IFERROR(RANK(I26,(I$6,I$15,I$22,I$26,I$27,I$28,I$33),0),"")</f>
        <v>2</v>
      </c>
      <c r="AI26" s="2">
        <f>+IFERROR(RANK(J26,(J$6,J$15,J$22,J$26,J$27,J$28,J$33),0),"")</f>
        <v>2</v>
      </c>
      <c r="AJ26" s="2">
        <f>+IFERROR(RANK(K26,(K$6,K$15,K$22,K$26,K$27,K$28,K$33),0),"")</f>
        <v>2</v>
      </c>
      <c r="AK26" s="2">
        <f>+IFERROR(RANK(L26,(L$6,L$15,L$22,L$26,L$27,L$28,L$33),0),"")</f>
        <v>2</v>
      </c>
    </row>
    <row r="27" spans="1:37" ht="17.45" customHeight="1">
      <c r="A27" s="15" t="s">
        <v>517</v>
      </c>
      <c r="B27" s="647">
        <v>129592</v>
      </c>
      <c r="C27" s="647">
        <v>132359</v>
      </c>
      <c r="D27" s="647">
        <v>135968</v>
      </c>
      <c r="E27" s="647">
        <v>143619</v>
      </c>
      <c r="F27" s="647">
        <v>152137</v>
      </c>
      <c r="G27" s="647">
        <v>155943</v>
      </c>
      <c r="H27" s="647">
        <v>156000</v>
      </c>
      <c r="I27" s="647">
        <v>157437</v>
      </c>
      <c r="J27" s="647">
        <v>168606.00000000003</v>
      </c>
      <c r="K27" s="647">
        <v>173313</v>
      </c>
      <c r="L27" s="647">
        <v>177662</v>
      </c>
      <c r="N27" s="559">
        <f t="shared" si="5"/>
        <v>37.093339095005874</v>
      </c>
      <c r="O27" s="419">
        <f t="shared" si="3"/>
        <v>48070</v>
      </c>
      <c r="P27" s="559">
        <f t="shared" si="7"/>
        <v>4.914594173950209</v>
      </c>
      <c r="Q27" s="559">
        <f t="shared" si="7"/>
        <v>4.8732865956728455</v>
      </c>
      <c r="R27" s="559">
        <f t="shared" si="7"/>
        <v>4.8215978989907011</v>
      </c>
      <c r="S27" s="559">
        <f t="shared" si="7"/>
        <v>4.8735570868807017</v>
      </c>
      <c r="T27" s="559">
        <f t="shared" si="7"/>
        <v>4.9710029998474097</v>
      </c>
      <c r="U27" s="559">
        <f t="shared" si="7"/>
        <v>5.0127147696731766</v>
      </c>
      <c r="V27" s="559">
        <f t="shared" si="7"/>
        <v>5.0557985147619595</v>
      </c>
      <c r="W27" s="559">
        <f t="shared" si="7"/>
        <v>5.0747740821862175</v>
      </c>
      <c r="X27" s="559">
        <f t="shared" si="7"/>
        <v>5.0524979607932927</v>
      </c>
      <c r="Y27" s="559">
        <f t="shared" si="7"/>
        <v>4.9665819669570839</v>
      </c>
      <c r="Z27" s="559">
        <f t="shared" si="7"/>
        <v>5.0116856208329841</v>
      </c>
      <c r="AA27" s="2">
        <f>+IFERROR(RANK(B27,(B$6,B$15,B$22,B$26,B$27,B$28,B$33),0),"")</f>
        <v>5</v>
      </c>
      <c r="AB27" s="2">
        <f>+IFERROR(RANK(C27,(C$6,C$15,C$22,C$26,C$27,C$28,C$33),0),"")</f>
        <v>5</v>
      </c>
      <c r="AC27" s="2">
        <f>+IFERROR(RANK(D27,(D$6,D$15,D$22,D$26,D$27,D$28,D$33),0),"")</f>
        <v>5</v>
      </c>
      <c r="AD27" s="2">
        <f>+IFERROR(RANK(E27,(E$6,E$15,E$22,E$26,E$27,E$28,E$33),0),"")</f>
        <v>6</v>
      </c>
      <c r="AE27" s="2">
        <f>+IFERROR(RANK(F27,(F$6,F$15,F$22,F$26,F$27,F$28,F$33),0),"")</f>
        <v>6</v>
      </c>
      <c r="AF27" s="2">
        <f>+IFERROR(RANK(G27,(G$6,G$15,G$22,G$26,G$27,G$28,G$33),0),"")</f>
        <v>6</v>
      </c>
      <c r="AG27" s="2">
        <f>+IFERROR(RANK(H27,(H$6,H$15,H$22,H$26,H$27,H$28,H$33),0),"")</f>
        <v>5</v>
      </c>
      <c r="AH27" s="2">
        <f>+IFERROR(RANK(I27,(I$6,I$15,I$22,I$26,I$27,I$28,I$33),0),"")</f>
        <v>5</v>
      </c>
      <c r="AI27" s="2">
        <f>+IFERROR(RANK(J27,(J$6,J$15,J$22,J$26,J$27,J$28,J$33),0),"")</f>
        <v>5</v>
      </c>
      <c r="AJ27" s="2">
        <f>+IFERROR(RANK(K27,(K$6,K$15,K$22,K$26,K$27,K$28,K$33),0),"")</f>
        <v>6</v>
      </c>
      <c r="AK27" s="2">
        <f>+IFERROR(RANK(L27,(L$6,L$15,L$22,L$26,L$27,L$28,L$33),0),"")</f>
        <v>6</v>
      </c>
    </row>
    <row r="28" spans="1:37" ht="17.45" customHeight="1">
      <c r="A28" s="15" t="s">
        <v>518</v>
      </c>
      <c r="B28" s="647">
        <v>101944.99999999997</v>
      </c>
      <c r="C28" s="647">
        <v>105678.00000000003</v>
      </c>
      <c r="D28" s="647">
        <v>109694</v>
      </c>
      <c r="E28" s="647">
        <v>114002.00000000001</v>
      </c>
      <c r="F28" s="647">
        <v>117709.00000000001</v>
      </c>
      <c r="G28" s="647">
        <v>119673.99999999999</v>
      </c>
      <c r="H28" s="647">
        <v>122938.99999999997</v>
      </c>
      <c r="I28" s="647">
        <v>122965.99999999997</v>
      </c>
      <c r="J28" s="647">
        <v>132510.00000000003</v>
      </c>
      <c r="K28" s="647">
        <v>139263</v>
      </c>
      <c r="L28" s="647">
        <v>137731</v>
      </c>
      <c r="N28" s="559">
        <f t="shared" si="5"/>
        <v>35.10324194418564</v>
      </c>
      <c r="O28" s="419">
        <f t="shared" si="3"/>
        <v>35786.000000000029</v>
      </c>
      <c r="P28" s="559">
        <f t="shared" si="7"/>
        <v>3.8661206175022675</v>
      </c>
      <c r="Q28" s="559">
        <f t="shared" si="7"/>
        <v>3.8909268040519733</v>
      </c>
      <c r="R28" s="559">
        <f t="shared" si="7"/>
        <v>3.889888502676262</v>
      </c>
      <c r="S28" s="559">
        <f t="shared" si="7"/>
        <v>3.8685358832645669</v>
      </c>
      <c r="T28" s="559">
        <f t="shared" si="7"/>
        <v>3.8460847269831722</v>
      </c>
      <c r="U28" s="559">
        <f t="shared" si="7"/>
        <v>3.8468647348445759</v>
      </c>
      <c r="V28" s="559">
        <f t="shared" si="7"/>
        <v>3.984325728245643</v>
      </c>
      <c r="W28" s="559">
        <f t="shared" si="7"/>
        <v>3.9636468542344567</v>
      </c>
      <c r="X28" s="559">
        <f t="shared" si="7"/>
        <v>3.9708343996341724</v>
      </c>
      <c r="Y28" s="559">
        <f t="shared" si="7"/>
        <v>3.9908206797201848</v>
      </c>
      <c r="Z28" s="559">
        <f t="shared" si="7"/>
        <v>3.885267937110624</v>
      </c>
      <c r="AA28" s="2">
        <f>+IFERROR(RANK(B28,(B$6,B$15,B$22,B$26,B$27,B$28,B$33),0),"")</f>
        <v>7</v>
      </c>
      <c r="AB28" s="2">
        <f>+IFERROR(RANK(C28,(C$6,C$15,C$22,C$26,C$27,C$28,C$33),0),"")</f>
        <v>7</v>
      </c>
      <c r="AC28" s="2">
        <f>+IFERROR(RANK(D28,(D$6,D$15,D$22,D$26,D$27,D$28,D$33),0),"")</f>
        <v>7</v>
      </c>
      <c r="AD28" s="2">
        <f>+IFERROR(RANK(E28,(E$6,E$15,E$22,E$26,E$27,E$28,E$33),0),"")</f>
        <v>7</v>
      </c>
      <c r="AE28" s="2">
        <f>+IFERROR(RANK(F28,(F$6,F$15,F$22,F$26,F$27,F$28,F$33),0),"")</f>
        <v>7</v>
      </c>
      <c r="AF28" s="2">
        <f>+IFERROR(RANK(G28,(G$6,G$15,G$22,G$26,G$27,G$28,G$33),0),"")</f>
        <v>7</v>
      </c>
      <c r="AG28" s="2">
        <f>+IFERROR(RANK(H28,(H$6,H$15,H$22,H$26,H$27,H$28,H$33),0),"")</f>
        <v>7</v>
      </c>
      <c r="AH28" s="2">
        <f>+IFERROR(RANK(I28,(I$6,I$15,I$22,I$26,I$27,I$28,I$33),0),"")</f>
        <v>7</v>
      </c>
      <c r="AI28" s="2">
        <f>+IFERROR(RANK(J28,(J$6,J$15,J$22,J$26,J$27,J$28,J$33),0),"")</f>
        <v>7</v>
      </c>
      <c r="AJ28" s="2">
        <f>+IFERROR(RANK(K28,(K$6,K$15,K$22,K$26,K$27,K$28,K$33),0),"")</f>
        <v>7</v>
      </c>
      <c r="AK28" s="2">
        <f>+IFERROR(RANK(L28,(L$6,L$15,L$22,L$26,L$27,L$28,L$33),0),"")</f>
        <v>7</v>
      </c>
    </row>
    <row r="29" spans="1:37" ht="17.45" customHeight="1">
      <c r="A29" s="572" t="s">
        <v>519</v>
      </c>
      <c r="B29" s="646">
        <v>21990</v>
      </c>
      <c r="C29" s="646">
        <v>23369</v>
      </c>
      <c r="D29" s="646">
        <v>24792</v>
      </c>
      <c r="E29" s="646">
        <v>26345</v>
      </c>
      <c r="F29" s="646">
        <v>27966</v>
      </c>
      <c r="G29" s="646">
        <v>29548</v>
      </c>
      <c r="H29" s="646">
        <v>33057</v>
      </c>
      <c r="I29" s="646">
        <v>33366</v>
      </c>
      <c r="J29" s="646">
        <v>35947</v>
      </c>
      <c r="K29" s="646">
        <v>37881</v>
      </c>
      <c r="L29" s="646">
        <v>36011</v>
      </c>
      <c r="N29" s="559">
        <f t="shared" si="5"/>
        <v>63.760800363801721</v>
      </c>
      <c r="O29" s="419">
        <f t="shared" si="3"/>
        <v>14021</v>
      </c>
      <c r="P29" s="559">
        <f t="shared" si="7"/>
        <v>0.83393979478027258</v>
      </c>
      <c r="Q29" s="559">
        <f t="shared" si="7"/>
        <v>0.86041625015509882</v>
      </c>
      <c r="R29" s="559">
        <f t="shared" si="7"/>
        <v>0.87915579483244199</v>
      </c>
      <c r="S29" s="559">
        <f t="shared" si="7"/>
        <v>0.89398938478803003</v>
      </c>
      <c r="T29" s="559">
        <f t="shared" si="7"/>
        <v>0.91377554371213232</v>
      </c>
      <c r="U29" s="559">
        <f t="shared" si="7"/>
        <v>0.94980663456713688</v>
      </c>
      <c r="V29" s="559">
        <f t="shared" si="7"/>
        <v>1.0713431506569622</v>
      </c>
      <c r="W29" s="559">
        <f t="shared" si="7"/>
        <v>1.0755090101197642</v>
      </c>
      <c r="X29" s="559">
        <f t="shared" si="7"/>
        <v>1.0771985824741497</v>
      </c>
      <c r="Y29" s="559">
        <f t="shared" si="7"/>
        <v>1.0855451783207335</v>
      </c>
      <c r="Z29" s="559">
        <f t="shared" si="7"/>
        <v>1.0158380007644661</v>
      </c>
      <c r="AA29" s="2" t="str">
        <f>+IFERROR(RANK(B29,(B$6,B$15,B$22,B$26,B$27,B$28,B$33),0),"")</f>
        <v/>
      </c>
      <c r="AB29" s="2" t="str">
        <f>+IFERROR(RANK(C29,(C$6,C$15,C$22,C$26,C$27,C$28,C$33),0),"")</f>
        <v/>
      </c>
      <c r="AC29" s="2" t="str">
        <f>+IFERROR(RANK(D29,(D$6,D$15,D$22,D$26,D$27,D$28,D$33),0),"")</f>
        <v/>
      </c>
      <c r="AD29" s="2" t="str">
        <f>+IFERROR(RANK(E29,(E$6,E$15,E$22,E$26,E$27,E$28,E$33),0),"")</f>
        <v/>
      </c>
      <c r="AE29" s="2" t="str">
        <f>+IFERROR(RANK(F29,(F$6,F$15,F$22,F$26,F$27,F$28,F$33),0),"")</f>
        <v/>
      </c>
      <c r="AF29" s="2" t="str">
        <f>+IFERROR(RANK(G29,(G$6,G$15,G$22,G$26,G$27,G$28,G$33),0),"")</f>
        <v/>
      </c>
      <c r="AG29" s="2" t="str">
        <f>+IFERROR(RANK(H29,(H$6,H$15,H$22,H$26,H$27,H$28,H$33),0),"")</f>
        <v/>
      </c>
      <c r="AH29" s="2" t="str">
        <f>+IFERROR(RANK(I29,(I$6,I$15,I$22,I$26,I$27,I$28,I$33),0),"")</f>
        <v/>
      </c>
      <c r="AI29" s="2" t="str">
        <f>+IFERROR(RANK(J29,(J$6,J$15,J$22,J$26,J$27,J$28,J$33),0),"")</f>
        <v/>
      </c>
      <c r="AJ29" s="2" t="str">
        <f>+IFERROR(RANK(K29,(K$6,K$15,K$22,K$26,K$27,K$28,K$33),0),"")</f>
        <v/>
      </c>
      <c r="AK29" s="2" t="str">
        <f>+IFERROR(RANK(L29,(L$6,L$15,L$22,L$26,L$27,L$28,L$33),0),"")</f>
        <v/>
      </c>
    </row>
    <row r="30" spans="1:37" ht="17.45" customHeight="1">
      <c r="A30" s="572" t="s">
        <v>520</v>
      </c>
      <c r="B30" s="646">
        <v>23979.999999999996</v>
      </c>
      <c r="C30" s="646">
        <v>24788</v>
      </c>
      <c r="D30" s="646">
        <v>25090</v>
      </c>
      <c r="E30" s="646">
        <v>26560</v>
      </c>
      <c r="F30" s="646">
        <v>26946.000000000004</v>
      </c>
      <c r="G30" s="646">
        <v>26981</v>
      </c>
      <c r="H30" s="646">
        <v>26942</v>
      </c>
      <c r="I30" s="646">
        <v>27020.999999999993</v>
      </c>
      <c r="J30" s="646">
        <v>29984</v>
      </c>
      <c r="K30" s="646">
        <v>31710.000000000004</v>
      </c>
      <c r="L30" s="646">
        <v>33016.999999999993</v>
      </c>
      <c r="N30" s="559">
        <f t="shared" si="5"/>
        <v>37.685571309424517</v>
      </c>
      <c r="O30" s="419">
        <f t="shared" si="3"/>
        <v>9036.9999999999964</v>
      </c>
      <c r="P30" s="559">
        <f t="shared" si="7"/>
        <v>0.90940774346661812</v>
      </c>
      <c r="Q30" s="559">
        <f t="shared" si="7"/>
        <v>0.91266198848237357</v>
      </c>
      <c r="R30" s="559">
        <f t="shared" si="7"/>
        <v>0.88972325316013101</v>
      </c>
      <c r="S30" s="559">
        <f t="shared" si="7"/>
        <v>0.90128517972936328</v>
      </c>
      <c r="T30" s="559">
        <f t="shared" si="7"/>
        <v>0.88044753632507766</v>
      </c>
      <c r="U30" s="559">
        <f t="shared" si="7"/>
        <v>0.86729162065980514</v>
      </c>
      <c r="V30" s="559">
        <f t="shared" si="7"/>
        <v>0.87316233067126092</v>
      </c>
      <c r="W30" s="559">
        <f t="shared" si="7"/>
        <v>0.87098630229713303</v>
      </c>
      <c r="X30" s="559">
        <f t="shared" si="7"/>
        <v>0.89850953617561691</v>
      </c>
      <c r="Y30" s="559">
        <f t="shared" si="7"/>
        <v>0.90870456441357061</v>
      </c>
      <c r="Z30" s="559">
        <f t="shared" si="7"/>
        <v>0.93137994699509508</v>
      </c>
      <c r="AA30" s="2" t="str">
        <f>+IFERROR(RANK(B30,(B$6,B$15,B$22,B$26,B$27,B$28,B$33),0),"")</f>
        <v/>
      </c>
      <c r="AB30" s="2" t="str">
        <f>+IFERROR(RANK(C30,(C$6,C$15,C$22,C$26,C$27,C$28,C$33),0),"")</f>
        <v/>
      </c>
      <c r="AC30" s="2" t="str">
        <f>+IFERROR(RANK(D30,(D$6,D$15,D$22,D$26,D$27,D$28,D$33),0),"")</f>
        <v/>
      </c>
      <c r="AD30" s="2" t="str">
        <f>+IFERROR(RANK(E30,(E$6,E$15,E$22,E$26,E$27,E$28,E$33),0),"")</f>
        <v/>
      </c>
      <c r="AE30" s="2" t="str">
        <f>+IFERROR(RANK(F30,(F$6,F$15,F$22,F$26,F$27,F$28,F$33),0),"")</f>
        <v/>
      </c>
      <c r="AF30" s="2" t="str">
        <f>+IFERROR(RANK(G30,(G$6,G$15,G$22,G$26,G$27,G$28,G$33),0),"")</f>
        <v/>
      </c>
      <c r="AG30" s="2" t="str">
        <f>+IFERROR(RANK(H30,(H$6,H$15,H$22,H$26,H$27,H$28,H$33),0),"")</f>
        <v/>
      </c>
      <c r="AH30" s="2" t="str">
        <f>+IFERROR(RANK(I30,(I$6,I$15,I$22,I$26,I$27,I$28,I$33),0),"")</f>
        <v/>
      </c>
      <c r="AI30" s="2" t="str">
        <f>+IFERROR(RANK(J30,(J$6,J$15,J$22,J$26,J$27,J$28,J$33),0),"")</f>
        <v/>
      </c>
      <c r="AJ30" s="2" t="str">
        <f>+IFERROR(RANK(K30,(K$6,K$15,K$22,K$26,K$27,K$28,K$33),0),"")</f>
        <v/>
      </c>
      <c r="AK30" s="2" t="str">
        <f>+IFERROR(RANK(L30,(L$6,L$15,L$22,L$26,L$27,L$28,L$33),0),"")</f>
        <v/>
      </c>
    </row>
    <row r="31" spans="1:37" ht="17.45" customHeight="1">
      <c r="A31" s="572" t="s">
        <v>521</v>
      </c>
      <c r="B31" s="646">
        <v>20497.000000000004</v>
      </c>
      <c r="C31" s="646">
        <v>20703.999999999996</v>
      </c>
      <c r="D31" s="646">
        <v>21614.000000000004</v>
      </c>
      <c r="E31" s="646">
        <v>22068</v>
      </c>
      <c r="F31" s="646">
        <v>22055.999999999996</v>
      </c>
      <c r="G31" s="646">
        <v>22201.000000000004</v>
      </c>
      <c r="H31" s="646">
        <v>22475</v>
      </c>
      <c r="I31" s="646">
        <v>21854</v>
      </c>
      <c r="J31" s="646">
        <v>23056</v>
      </c>
      <c r="K31" s="646">
        <v>24444.000000000004</v>
      </c>
      <c r="L31" s="646">
        <v>23829.999999999996</v>
      </c>
      <c r="N31" s="559">
        <f t="shared" si="5"/>
        <v>16.260916231643606</v>
      </c>
      <c r="O31" s="419">
        <f t="shared" si="3"/>
        <v>3332.9999999999927</v>
      </c>
      <c r="P31" s="559">
        <f t="shared" si="7"/>
        <v>0.7773198714693611</v>
      </c>
      <c r="Q31" s="559">
        <f t="shared" si="7"/>
        <v>0.76229440896962475</v>
      </c>
      <c r="R31" s="559">
        <f t="shared" si="7"/>
        <v>0.76645988018346256</v>
      </c>
      <c r="S31" s="559">
        <f t="shared" si="7"/>
        <v>0.74885396635043633</v>
      </c>
      <c r="T31" s="559">
        <f t="shared" si="7"/>
        <v>0.720669147969491</v>
      </c>
      <c r="U31" s="559">
        <f t="shared" si="7"/>
        <v>0.71364075720945619</v>
      </c>
      <c r="V31" s="559">
        <f t="shared" si="7"/>
        <v>0.72839148473894255</v>
      </c>
      <c r="W31" s="559">
        <f t="shared" si="7"/>
        <v>0.70443487104109959</v>
      </c>
      <c r="X31" s="559">
        <f t="shared" si="7"/>
        <v>0.69090301047442049</v>
      </c>
      <c r="Y31" s="559">
        <f t="shared" si="7"/>
        <v>0.70048484303138825</v>
      </c>
      <c r="Z31" s="559">
        <f t="shared" si="7"/>
        <v>0.67222291961392977</v>
      </c>
      <c r="AA31" s="2" t="str">
        <f>+IFERROR(RANK(B31,(B$6,B$15,B$22,B$26,B$27,B$28,B$33),0),"")</f>
        <v/>
      </c>
      <c r="AB31" s="2" t="str">
        <f>+IFERROR(RANK(C31,(C$6,C$15,C$22,C$26,C$27,C$28,C$33),0),"")</f>
        <v/>
      </c>
      <c r="AC31" s="2" t="str">
        <f>+IFERROR(RANK(D31,(D$6,D$15,D$22,D$26,D$27,D$28,D$33),0),"")</f>
        <v/>
      </c>
      <c r="AD31" s="2" t="str">
        <f>+IFERROR(RANK(E31,(E$6,E$15,E$22,E$26,E$27,E$28,E$33),0),"")</f>
        <v/>
      </c>
      <c r="AE31" s="2" t="str">
        <f>+IFERROR(RANK(F31,(F$6,F$15,F$22,F$26,F$27,F$28,F$33),0),"")</f>
        <v/>
      </c>
      <c r="AF31" s="2" t="str">
        <f>+IFERROR(RANK(G31,(G$6,G$15,G$22,G$26,G$27,G$28,G$33),0),"")</f>
        <v/>
      </c>
      <c r="AG31" s="2" t="str">
        <f>+IFERROR(RANK(H31,(H$6,H$15,H$22,H$26,H$27,H$28,H$33),0),"")</f>
        <v/>
      </c>
      <c r="AH31" s="2" t="str">
        <f>+IFERROR(RANK(I31,(I$6,I$15,I$22,I$26,I$27,I$28,I$33),0),"")</f>
        <v/>
      </c>
      <c r="AI31" s="2" t="str">
        <f>+IFERROR(RANK(J31,(J$6,J$15,J$22,J$26,J$27,J$28,J$33),0),"")</f>
        <v/>
      </c>
      <c r="AJ31" s="2" t="str">
        <f>+IFERROR(RANK(K31,(K$6,K$15,K$22,K$26,K$27,K$28,K$33),0),"")</f>
        <v/>
      </c>
      <c r="AK31" s="2" t="str">
        <f>+IFERROR(RANK(L31,(L$6,L$15,L$22,L$26,L$27,L$28,L$33),0),"")</f>
        <v/>
      </c>
    </row>
    <row r="32" spans="1:37" ht="17.45" customHeight="1">
      <c r="A32" s="572" t="s">
        <v>522</v>
      </c>
      <c r="B32" s="646">
        <v>35478</v>
      </c>
      <c r="C32" s="646">
        <v>36817</v>
      </c>
      <c r="D32" s="646">
        <v>38198</v>
      </c>
      <c r="E32" s="646">
        <v>39028.999999999993</v>
      </c>
      <c r="F32" s="646">
        <v>40741</v>
      </c>
      <c r="G32" s="646">
        <v>40943.999999999993</v>
      </c>
      <c r="H32" s="646">
        <v>40465</v>
      </c>
      <c r="I32" s="646">
        <v>40724.999999999993</v>
      </c>
      <c r="J32" s="646">
        <v>43523</v>
      </c>
      <c r="K32" s="646">
        <v>45228</v>
      </c>
      <c r="L32" s="646">
        <v>44873</v>
      </c>
      <c r="N32" s="559">
        <f t="shared" si="5"/>
        <v>26.481199616663844</v>
      </c>
      <c r="O32" s="419">
        <f t="shared" si="3"/>
        <v>9395</v>
      </c>
      <c r="P32" s="559">
        <f t="shared" si="7"/>
        <v>1.3454532077860168</v>
      </c>
      <c r="Q32" s="559">
        <f t="shared" si="7"/>
        <v>1.3555541564448745</v>
      </c>
      <c r="R32" s="559">
        <f t="shared" si="7"/>
        <v>1.3545495745002265</v>
      </c>
      <c r="S32" s="559">
        <f t="shared" si="7"/>
        <v>1.3244073523967361</v>
      </c>
      <c r="T32" s="559">
        <f t="shared" si="7"/>
        <v>1.3311924989764707</v>
      </c>
      <c r="U32" s="559">
        <f t="shared" si="7"/>
        <v>1.3161257224081779</v>
      </c>
      <c r="V32" s="559">
        <f t="shared" si="7"/>
        <v>1.3114287621784788</v>
      </c>
      <c r="W32" s="559">
        <f t="shared" si="7"/>
        <v>1.3127166707764608</v>
      </c>
      <c r="X32" s="559">
        <f t="shared" si="7"/>
        <v>1.3042232705099845</v>
      </c>
      <c r="Y32" s="559">
        <f t="shared" si="7"/>
        <v>1.2960860939544927</v>
      </c>
      <c r="Z32" s="559">
        <f t="shared" si="7"/>
        <v>1.2658270697371328</v>
      </c>
      <c r="AA32" s="2" t="str">
        <f>+IFERROR(RANK(B32,(B$6,B$15,B$22,B$26,B$27,B$28,B$33),0),"")</f>
        <v/>
      </c>
      <c r="AB32" s="2" t="str">
        <f>+IFERROR(RANK(C32,(C$6,C$15,C$22,C$26,C$27,C$28,C$33),0),"")</f>
        <v/>
      </c>
      <c r="AC32" s="2" t="str">
        <f>+IFERROR(RANK(D32,(D$6,D$15,D$22,D$26,D$27,D$28,D$33),0),"")</f>
        <v/>
      </c>
      <c r="AD32" s="2" t="str">
        <f>+IFERROR(RANK(E32,(E$6,E$15,E$22,E$26,E$27,E$28,E$33),0),"")</f>
        <v/>
      </c>
      <c r="AE32" s="2" t="str">
        <f>+IFERROR(RANK(F32,(F$6,F$15,F$22,F$26,F$27,F$28,F$33),0),"")</f>
        <v/>
      </c>
      <c r="AF32" s="2" t="str">
        <f>+IFERROR(RANK(G32,(G$6,G$15,G$22,G$26,G$27,G$28,G$33),0),"")</f>
        <v/>
      </c>
      <c r="AG32" s="2" t="str">
        <f>+IFERROR(RANK(H32,(H$6,H$15,H$22,H$26,H$27,H$28,H$33),0),"")</f>
        <v/>
      </c>
      <c r="AH32" s="2" t="str">
        <f>+IFERROR(RANK(I32,(I$6,I$15,I$22,I$26,I$27,I$28,I$33),0),"")</f>
        <v/>
      </c>
      <c r="AI32" s="2" t="str">
        <f>+IFERROR(RANK(J32,(J$6,J$15,J$22,J$26,J$27,J$28,J$33),0),"")</f>
        <v/>
      </c>
      <c r="AJ32" s="2" t="str">
        <f>+IFERROR(RANK(K32,(K$6,K$15,K$22,K$26,K$27,K$28,K$33),0),"")</f>
        <v/>
      </c>
      <c r="AK32" s="2" t="str">
        <f>+IFERROR(RANK(L32,(L$6,L$15,L$22,L$26,L$27,L$28,L$33),0),"")</f>
        <v/>
      </c>
    </row>
    <row r="33" spans="1:37" ht="17.45" customHeight="1">
      <c r="A33" s="17" t="s">
        <v>523</v>
      </c>
      <c r="B33" s="648">
        <v>119459</v>
      </c>
      <c r="C33" s="648">
        <v>126979.99999999999</v>
      </c>
      <c r="D33" s="648">
        <v>135848.00000000003</v>
      </c>
      <c r="E33" s="648">
        <v>145770.00000000003</v>
      </c>
      <c r="F33" s="648">
        <v>154417</v>
      </c>
      <c r="G33" s="648">
        <v>160288</v>
      </c>
      <c r="H33" s="648">
        <v>144667.99999999997</v>
      </c>
      <c r="I33" s="648">
        <v>148406</v>
      </c>
      <c r="J33" s="648">
        <v>165503</v>
      </c>
      <c r="K33" s="648">
        <v>178434</v>
      </c>
      <c r="L33" s="648">
        <v>184098.99999999997</v>
      </c>
      <c r="N33" s="559">
        <f t="shared" si="5"/>
        <v>54.11061535757036</v>
      </c>
      <c r="O33" s="419">
        <f t="shared" si="3"/>
        <v>64639.999999999971</v>
      </c>
      <c r="P33" s="559">
        <f t="shared" si="7"/>
        <v>4.5303144131267201</v>
      </c>
      <c r="Q33" s="559">
        <f t="shared" si="7"/>
        <v>4.6752387968973608</v>
      </c>
      <c r="R33" s="559">
        <f t="shared" si="7"/>
        <v>4.8173425466439825</v>
      </c>
      <c r="S33" s="559">
        <f t="shared" si="7"/>
        <v>4.9465489702239953</v>
      </c>
      <c r="T33" s="559">
        <f t="shared" si="7"/>
        <v>5.0455008987125911</v>
      </c>
      <c r="U33" s="559">
        <f t="shared" si="7"/>
        <v>5.1523827616589024</v>
      </c>
      <c r="V33" s="559">
        <f t="shared" si="7"/>
        <v>4.6885401252152752</v>
      </c>
      <c r="W33" s="559">
        <f t="shared" si="7"/>
        <v>4.7836717064027372</v>
      </c>
      <c r="X33" s="559">
        <f t="shared" si="7"/>
        <v>4.959512532206281</v>
      </c>
      <c r="Y33" s="559">
        <f t="shared" si="7"/>
        <v>5.1133330257512153</v>
      </c>
      <c r="Z33" s="559">
        <f t="shared" si="7"/>
        <v>5.1932676155268505</v>
      </c>
      <c r="AA33" s="2">
        <f>+IFERROR(RANK(B33,(B$6,B$15,B$22,B$26,B$27,B$28,B$33),0),"")</f>
        <v>6</v>
      </c>
      <c r="AB33" s="2">
        <f>+IFERROR(RANK(C33,(C$6,C$15,C$22,C$26,C$27,C$28,C$33),0),"")</f>
        <v>6</v>
      </c>
      <c r="AC33" s="2">
        <f>+IFERROR(RANK(D33,(D$6,D$15,D$22,D$26,D$27,D$28,D$33),0),"")</f>
        <v>6</v>
      </c>
      <c r="AD33" s="2">
        <f>+IFERROR(RANK(E33,(E$6,E$15,E$22,E$26,E$27,E$28,E$33),0),"")</f>
        <v>5</v>
      </c>
      <c r="AE33" s="2">
        <f>+IFERROR(RANK(F33,(F$6,F$15,F$22,F$26,F$27,F$28,F$33),0),"")</f>
        <v>5</v>
      </c>
      <c r="AF33" s="2">
        <f>+IFERROR(RANK(G33,(G$6,G$15,G$22,G$26,G$27,G$28,G$33),0),"")</f>
        <v>5</v>
      </c>
      <c r="AG33" s="2">
        <f>+IFERROR(RANK(H33,(H$6,H$15,H$22,H$26,H$27,H$28,H$33),0),"")</f>
        <v>6</v>
      </c>
      <c r="AH33" s="2">
        <f>+IFERROR(RANK(I33,(I$6,I$15,I$22,I$26,I$27,I$28,I$33),0),"")</f>
        <v>6</v>
      </c>
      <c r="AI33" s="2">
        <f>+IFERROR(RANK(J33,(J$6,J$15,J$22,J$26,J$27,J$28,J$33),0),"")</f>
        <v>6</v>
      </c>
      <c r="AJ33" s="2">
        <f>+IFERROR(RANK(K33,(K$6,K$15,K$22,K$26,K$27,K$28,K$33),0),"")</f>
        <v>5</v>
      </c>
      <c r="AK33" s="2">
        <f>+IFERROR(RANK(L33,(L$6,L$15,L$22,L$26,L$27,L$28,L$33),0),"")</f>
        <v>5</v>
      </c>
    </row>
    <row r="34" spans="1:37" ht="17.45" customHeight="1">
      <c r="A34" s="19" t="s">
        <v>769</v>
      </c>
      <c r="C34" s="16"/>
      <c r="D34" s="16"/>
      <c r="E34" s="16"/>
      <c r="F34" s="16"/>
      <c r="G34" s="16"/>
      <c r="H34" s="16"/>
      <c r="I34" s="16"/>
      <c r="J34" s="16"/>
      <c r="K34" s="16"/>
      <c r="L34" s="16"/>
    </row>
  </sheetData>
  <mergeCells count="1">
    <mergeCell ref="A1:L1"/>
  </mergeCells>
  <conditionalFormatting sqref="A1 A35:E1048576 M1:M1048576 AL1:XFD1048576">
    <cfRule type="cellIs" dxfId="1961" priority="35" operator="equal">
      <formula>0</formula>
    </cfRule>
    <cfRule type="cellIs" priority="36" operator="equal">
      <formula>0</formula>
    </cfRule>
  </conditionalFormatting>
  <conditionalFormatting sqref="M4">
    <cfRule type="cellIs" dxfId="1960" priority="34" operator="equal">
      <formula>0</formula>
    </cfRule>
  </conditionalFormatting>
  <conditionalFormatting sqref="M4">
    <cfRule type="containsText" dxfId="1959" priority="33" operator="containsText" text="FALSO">
      <formula>NOT(ISERROR(SEARCH("FALSO",M4)))</formula>
    </cfRule>
  </conditionalFormatting>
  <conditionalFormatting sqref="H35:H1048576">
    <cfRule type="cellIs" dxfId="1958" priority="31" operator="equal">
      <formula>0</formula>
    </cfRule>
    <cfRule type="cellIs" priority="32" operator="equal">
      <formula>0</formula>
    </cfRule>
  </conditionalFormatting>
  <conditionalFormatting sqref="F35:F1048576">
    <cfRule type="cellIs" dxfId="1957" priority="29" operator="equal">
      <formula>0</formula>
    </cfRule>
    <cfRule type="cellIs" priority="30" operator="equal">
      <formula>0</formula>
    </cfRule>
  </conditionalFormatting>
  <conditionalFormatting sqref="G35:G1048576">
    <cfRule type="cellIs" dxfId="1956" priority="27" operator="equal">
      <formula>0</formula>
    </cfRule>
    <cfRule type="cellIs" priority="28" operator="equal">
      <formula>0</formula>
    </cfRule>
  </conditionalFormatting>
  <conditionalFormatting sqref="I35:I1048576">
    <cfRule type="cellIs" dxfId="1955" priority="25" operator="equal">
      <formula>0</formula>
    </cfRule>
    <cfRule type="cellIs" priority="26" operator="equal">
      <formula>0</formula>
    </cfRule>
  </conditionalFormatting>
  <conditionalFormatting sqref="K35:K1048576">
    <cfRule type="cellIs" dxfId="1954" priority="21" operator="equal">
      <formula>0</formula>
    </cfRule>
    <cfRule type="cellIs" priority="22" operator="equal">
      <formula>0</formula>
    </cfRule>
  </conditionalFormatting>
  <conditionalFormatting sqref="J35:J1048576">
    <cfRule type="cellIs" dxfId="1953" priority="23" operator="equal">
      <formula>0</formula>
    </cfRule>
    <cfRule type="cellIs" priority="24" operator="equal">
      <formula>0</formula>
    </cfRule>
  </conditionalFormatting>
  <conditionalFormatting sqref="L35:L1048576">
    <cfRule type="cellIs" dxfId="1952" priority="19" operator="equal">
      <formula>0</formula>
    </cfRule>
    <cfRule type="cellIs" priority="20" operator="equal">
      <formula>0</formula>
    </cfRule>
  </conditionalFormatting>
  <conditionalFormatting sqref="C34:D34 B5:L6">
    <cfRule type="cellIs" dxfId="1951" priority="18" operator="equal">
      <formula>0</formula>
    </cfRule>
  </conditionalFormatting>
  <conditionalFormatting sqref="E34">
    <cfRule type="cellIs" dxfId="1950" priority="17" operator="equal">
      <formula>0</formula>
    </cfRule>
  </conditionalFormatting>
  <conditionalFormatting sqref="H34">
    <cfRule type="cellIs" dxfId="1949" priority="16" operator="equal">
      <formula>0</formula>
    </cfRule>
  </conditionalFormatting>
  <conditionalFormatting sqref="F34">
    <cfRule type="cellIs" dxfId="1948" priority="15" operator="equal">
      <formula>0</formula>
    </cfRule>
  </conditionalFormatting>
  <conditionalFormatting sqref="G34">
    <cfRule type="cellIs" dxfId="1947" priority="14" operator="equal">
      <formula>0</formula>
    </cfRule>
  </conditionalFormatting>
  <conditionalFormatting sqref="I34">
    <cfRule type="cellIs" dxfId="1946" priority="13" operator="equal">
      <formula>0</formula>
    </cfRule>
  </conditionalFormatting>
  <conditionalFormatting sqref="J34">
    <cfRule type="cellIs" dxfId="1945" priority="12" operator="equal">
      <formula>0</formula>
    </cfRule>
  </conditionalFormatting>
  <conditionalFormatting sqref="K34">
    <cfRule type="cellIs" dxfId="1944" priority="11" operator="equal">
      <formula>0</formula>
    </cfRule>
  </conditionalFormatting>
  <conditionalFormatting sqref="L34">
    <cfRule type="cellIs" dxfId="1943" priority="10" operator="equal">
      <formula>0</formula>
    </cfRule>
  </conditionalFormatting>
  <conditionalFormatting sqref="B7:L14">
    <cfRule type="expression" dxfId="1942" priority="8">
      <formula>B7=MAX(B$7:B$14)</formula>
    </cfRule>
    <cfRule type="expression" dxfId="1941" priority="9">
      <formula>B7=MIN(B$7:B$14)</formula>
    </cfRule>
  </conditionalFormatting>
  <conditionalFormatting sqref="B16:L21">
    <cfRule type="expression" dxfId="1940" priority="6">
      <formula>B16=MAX(B$16:B$21)</formula>
    </cfRule>
    <cfRule type="expression" dxfId="1939" priority="7">
      <formula>B16=MIN(B$16:B$21)</formula>
    </cfRule>
  </conditionalFormatting>
  <conditionalFormatting sqref="B23:L25">
    <cfRule type="expression" dxfId="1938" priority="4">
      <formula>B23=MAX(B$23:B$25)</formula>
    </cfRule>
    <cfRule type="expression" dxfId="1937" priority="5">
      <formula>B23=MIN(B$23:B$25)</formula>
    </cfRule>
  </conditionalFormatting>
  <conditionalFormatting sqref="B29:L32">
    <cfRule type="expression" dxfId="1936" priority="2">
      <formula>B29=MAX(B$29:B$32)</formula>
    </cfRule>
    <cfRule type="expression" dxfId="1935" priority="3">
      <formula>B29=MIN(B$29:B$32)</formula>
    </cfRule>
  </conditionalFormatting>
  <conditionalFormatting sqref="A34">
    <cfRule type="cellIs" dxfId="1934"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93" orientation="portrait" r:id="rId1"/>
  <headerFooter>
    <oddHeader xml:space="preserve">&amp;C&amp;G
</oddHead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77A13-6875-4B67-B2EF-7E2303504E95}">
  <sheetPr>
    <tabColor rgb="FFDBA9B3"/>
  </sheetPr>
  <dimension ref="A1:AK56"/>
  <sheetViews>
    <sheetView showGridLines="0" topLeftCell="A18" workbookViewId="0">
      <selection activeCell="Y70" sqref="Y70"/>
    </sheetView>
  </sheetViews>
  <sheetFormatPr defaultColWidth="9.140625" defaultRowHeight="11.25"/>
  <cols>
    <col min="1" max="1" width="23.5703125" style="2" customWidth="1"/>
    <col min="2" max="12" width="8.140625" style="2" customWidth="1"/>
    <col min="13" max="14" width="5.85546875" style="2" bestFit="1" customWidth="1"/>
    <col min="15" max="15" width="7.140625" style="677" customWidth="1"/>
    <col min="16" max="16" width="13" style="677" customWidth="1"/>
    <col min="17" max="17" width="7.28515625" style="677" bestFit="1" customWidth="1"/>
    <col min="18" max="18" width="5.85546875" style="677" bestFit="1" customWidth="1"/>
    <col min="19" max="19" width="6.7109375" style="677" bestFit="1" customWidth="1"/>
    <col min="20" max="20" width="5.85546875" style="677" bestFit="1" customWidth="1"/>
    <col min="21" max="21" width="11.5703125" style="677" customWidth="1"/>
    <col min="22" max="23" width="5.85546875" style="677" bestFit="1" customWidth="1"/>
    <col min="24" max="33" width="9.140625" style="677"/>
    <col min="34" max="16384" width="9.140625" style="2"/>
  </cols>
  <sheetData>
    <row r="1" spans="1:37" s="1" customFormat="1" ht="29.25" customHeight="1">
      <c r="A1" s="982" t="s">
        <v>778</v>
      </c>
      <c r="B1" s="982"/>
      <c r="C1" s="982"/>
      <c r="D1" s="982"/>
      <c r="E1" s="982"/>
      <c r="F1" s="982"/>
      <c r="G1" s="982"/>
      <c r="H1" s="982"/>
      <c r="I1" s="982"/>
      <c r="J1" s="982"/>
      <c r="K1" s="982"/>
      <c r="L1" s="982"/>
      <c r="O1" s="690"/>
      <c r="P1" s="675"/>
      <c r="Q1" s="673"/>
      <c r="R1" s="673"/>
      <c r="S1" s="673"/>
      <c r="T1" s="673"/>
      <c r="U1" s="691"/>
      <c r="V1" s="673"/>
      <c r="W1" s="673"/>
      <c r="X1" s="673"/>
      <c r="Y1" s="673"/>
      <c r="Z1" s="673"/>
      <c r="AA1" s="673"/>
      <c r="AB1" s="673"/>
      <c r="AC1" s="673"/>
      <c r="AD1" s="673"/>
      <c r="AE1" s="673"/>
      <c r="AF1" s="673"/>
      <c r="AG1" s="673"/>
    </row>
    <row r="2" spans="1:37" ht="15" customHeight="1">
      <c r="A2" s="9"/>
      <c r="B2" s="172"/>
      <c r="C2" s="172"/>
      <c r="D2" s="172"/>
      <c r="E2" s="172"/>
      <c r="F2" s="172"/>
      <c r="G2" s="172"/>
      <c r="H2" s="172"/>
      <c r="I2" s="172"/>
      <c r="J2" s="172"/>
      <c r="K2" s="172"/>
      <c r="L2" s="172"/>
      <c r="O2" s="692"/>
    </row>
    <row r="3" spans="1:37" ht="15" customHeight="1">
      <c r="A3" s="11" t="s">
        <v>41</v>
      </c>
      <c r="B3" s="172"/>
      <c r="C3" s="172"/>
      <c r="D3" s="172"/>
      <c r="E3" s="172"/>
      <c r="F3" s="172"/>
      <c r="G3" s="172"/>
      <c r="H3" s="172"/>
      <c r="I3" s="172"/>
      <c r="J3" s="172"/>
      <c r="K3" s="172"/>
      <c r="L3" s="172"/>
      <c r="O3" s="692"/>
      <c r="Q3" s="678"/>
      <c r="R3" s="678"/>
      <c r="S3" s="678"/>
      <c r="T3" s="678"/>
      <c r="U3" s="678"/>
      <c r="V3" s="678"/>
      <c r="W3" s="678"/>
      <c r="X3" s="678"/>
      <c r="Y3" s="678"/>
      <c r="Z3" s="678"/>
      <c r="AA3" s="678"/>
    </row>
    <row r="4" spans="1:37" ht="28.5" customHeight="1" thickBot="1">
      <c r="A4" s="13"/>
      <c r="B4" s="14">
        <v>2014</v>
      </c>
      <c r="C4" s="14">
        <v>2015</v>
      </c>
      <c r="D4" s="14">
        <v>2016</v>
      </c>
      <c r="E4" s="14">
        <v>2017</v>
      </c>
      <c r="F4" s="14">
        <v>2018</v>
      </c>
      <c r="G4" s="14">
        <v>2019</v>
      </c>
      <c r="H4" s="14">
        <v>2020</v>
      </c>
      <c r="I4" s="14">
        <v>2021</v>
      </c>
      <c r="J4" s="14">
        <v>2022</v>
      </c>
      <c r="K4" s="14">
        <v>2023</v>
      </c>
      <c r="L4" s="14">
        <v>2024</v>
      </c>
      <c r="O4" s="649"/>
      <c r="P4" s="560">
        <f>+B4</f>
        <v>2014</v>
      </c>
      <c r="Q4" s="560">
        <f t="shared" ref="Q4:W4" si="0">+C4</f>
        <v>2015</v>
      </c>
      <c r="R4" s="560">
        <f t="shared" si="0"/>
        <v>2016</v>
      </c>
      <c r="S4" s="560">
        <f t="shared" si="0"/>
        <v>2017</v>
      </c>
      <c r="T4" s="560">
        <f t="shared" si="0"/>
        <v>2018</v>
      </c>
      <c r="U4" s="560">
        <f t="shared" si="0"/>
        <v>2019</v>
      </c>
      <c r="V4" s="560">
        <f t="shared" si="0"/>
        <v>2020</v>
      </c>
      <c r="W4" s="560">
        <f t="shared" si="0"/>
        <v>2021</v>
      </c>
      <c r="X4" s="560">
        <f>+J4</f>
        <v>2022</v>
      </c>
      <c r="Y4" s="560">
        <f t="shared" ref="Y4:Z4" si="1">+K4</f>
        <v>2023</v>
      </c>
      <c r="Z4" s="560">
        <f t="shared" si="1"/>
        <v>2024</v>
      </c>
      <c r="AA4" s="560">
        <f>+B4</f>
        <v>2014</v>
      </c>
      <c r="AB4" s="560">
        <f t="shared" ref="AB4:AJ4" si="2">+C4</f>
        <v>2015</v>
      </c>
      <c r="AC4" s="560">
        <f t="shared" si="2"/>
        <v>2016</v>
      </c>
      <c r="AD4" s="560">
        <f t="shared" si="2"/>
        <v>2017</v>
      </c>
      <c r="AE4" s="560">
        <f t="shared" si="2"/>
        <v>2018</v>
      </c>
      <c r="AF4" s="560">
        <f t="shared" si="2"/>
        <v>2019</v>
      </c>
      <c r="AG4" s="560">
        <f t="shared" si="2"/>
        <v>2020</v>
      </c>
      <c r="AH4" s="560">
        <f t="shared" si="2"/>
        <v>2021</v>
      </c>
      <c r="AI4" s="560">
        <f t="shared" si="2"/>
        <v>2022</v>
      </c>
      <c r="AJ4" s="560">
        <f t="shared" si="2"/>
        <v>2023</v>
      </c>
      <c r="AK4" s="560">
        <f>+L4</f>
        <v>2024</v>
      </c>
    </row>
    <row r="5" spans="1:37" ht="20.25" customHeight="1" thickTop="1">
      <c r="A5" s="113" t="s">
        <v>11</v>
      </c>
      <c r="B5" s="328">
        <v>2636881.0000000028</v>
      </c>
      <c r="C5" s="328">
        <v>2716011</v>
      </c>
      <c r="D5" s="328">
        <v>2819978.0000000009</v>
      </c>
      <c r="E5" s="328">
        <v>2946903.0000000019</v>
      </c>
      <c r="F5" s="328">
        <v>3060488.9999999981</v>
      </c>
      <c r="G5" s="328">
        <v>3110949.0000000005</v>
      </c>
      <c r="H5" s="328">
        <v>3085566.0000000009</v>
      </c>
      <c r="I5" s="328">
        <v>3102345.0000000005</v>
      </c>
      <c r="J5" s="328">
        <v>3337082</v>
      </c>
      <c r="K5" s="328">
        <v>3489582.9999999995</v>
      </c>
      <c r="L5" s="328">
        <v>3544955.0000000019</v>
      </c>
      <c r="O5" s="2"/>
      <c r="P5" s="2"/>
      <c r="Q5" s="2"/>
      <c r="R5" s="2"/>
      <c r="S5" s="2"/>
      <c r="T5" s="2"/>
      <c r="U5" s="2"/>
      <c r="V5" s="2"/>
      <c r="W5" s="2"/>
      <c r="X5" s="2"/>
      <c r="Y5" s="2"/>
      <c r="Z5" s="2"/>
      <c r="AA5" s="2"/>
      <c r="AB5" s="2"/>
      <c r="AC5" s="2"/>
      <c r="AD5" s="2"/>
      <c r="AE5" s="2"/>
      <c r="AF5" s="2"/>
      <c r="AG5" s="2"/>
    </row>
    <row r="6" spans="1:37" ht="20.100000000000001" customHeight="1">
      <c r="A6" s="15" t="s">
        <v>496</v>
      </c>
      <c r="B6" s="328">
        <v>966786.99999999988</v>
      </c>
      <c r="C6" s="328">
        <v>1002831</v>
      </c>
      <c r="D6" s="328">
        <v>1038349</v>
      </c>
      <c r="E6" s="328">
        <v>1090049</v>
      </c>
      <c r="F6" s="328">
        <v>1119718</v>
      </c>
      <c r="G6" s="328">
        <v>1132970</v>
      </c>
      <c r="H6" s="328">
        <v>1127590</v>
      </c>
      <c r="I6" s="328">
        <v>1137436</v>
      </c>
      <c r="J6" s="328">
        <v>1215310</v>
      </c>
      <c r="K6" s="328">
        <v>1260100.0000000002</v>
      </c>
      <c r="L6" s="328">
        <v>1269596.0000000002</v>
      </c>
      <c r="N6" s="559">
        <f>+(L6/B6-1)*100</f>
        <v>31.321170019869982</v>
      </c>
      <c r="O6" s="419">
        <f t="shared" ref="O6" si="3">+L6-B6</f>
        <v>302809.00000000035</v>
      </c>
      <c r="P6" s="559">
        <f>B6*100/B$5</f>
        <v>36.664036033480421</v>
      </c>
      <c r="Q6" s="559">
        <f t="shared" ref="Q6:Z6" si="4">C6*100/C$5</f>
        <v>36.922935879125674</v>
      </c>
      <c r="R6" s="559">
        <f t="shared" si="4"/>
        <v>36.821173782206799</v>
      </c>
      <c r="S6" s="559">
        <f t="shared" si="4"/>
        <v>36.989646418629974</v>
      </c>
      <c r="T6" s="559">
        <f t="shared" si="4"/>
        <v>36.586244877861041</v>
      </c>
      <c r="U6" s="559">
        <f t="shared" si="4"/>
        <v>36.418790536264012</v>
      </c>
      <c r="V6" s="559">
        <f t="shared" si="4"/>
        <v>36.544024661925874</v>
      </c>
      <c r="W6" s="559">
        <f t="shared" si="4"/>
        <v>36.663749518509377</v>
      </c>
      <c r="X6" s="559">
        <f t="shared" si="4"/>
        <v>36.418343930415851</v>
      </c>
      <c r="Y6" s="559">
        <f t="shared" si="4"/>
        <v>36.110331807554097</v>
      </c>
      <c r="Z6" s="559">
        <f t="shared" si="4"/>
        <v>35.814164072604576</v>
      </c>
      <c r="AA6" s="2">
        <f>+IFERROR(RANK(B6,(B$6,B$15,B$22,B$26,B$27,B$28,B$33),0),"")</f>
        <v>1</v>
      </c>
      <c r="AB6" s="2">
        <f>+IFERROR(RANK(C6,(C$6,C$15,C$22,C$26,C$27,C$28,C$33),0),"")</f>
        <v>1</v>
      </c>
      <c r="AC6" s="2">
        <f>+IFERROR(RANK(D6,(D$6,D$15,D$22,D$26,D$27,D$28,D$33),0),"")</f>
        <v>1</v>
      </c>
      <c r="AD6" s="2">
        <f>+IFERROR(RANK(E6,(E$6,E$15,E$22,E$26,E$27,E$28,E$33),0),"")</f>
        <v>1</v>
      </c>
      <c r="AE6" s="2">
        <f>+IFERROR(RANK(F6,(F$6,F$15,F$22,F$26,F$27,F$28,F$33),0),"")</f>
        <v>1</v>
      </c>
      <c r="AF6" s="2">
        <f>+IFERROR(RANK(G6,(G$6,G$15,G$22,G$26,G$27,G$28,G$33),0),"")</f>
        <v>1</v>
      </c>
      <c r="AG6" s="2">
        <f>+IFERROR(RANK(H6,(H$6,H$15,H$22,H$26,H$27,H$28,H$33),0),"")</f>
        <v>1</v>
      </c>
      <c r="AH6" s="2">
        <f>+IFERROR(RANK(I6,(I$6,I$15,I$22,I$26,I$27,I$28,I$33),0),"")</f>
        <v>1</v>
      </c>
      <c r="AI6" s="2">
        <f>+IFERROR(RANK(J6,(J$6,J$15,J$22,J$26,J$27,J$28,J$33),0),"")</f>
        <v>1</v>
      </c>
      <c r="AJ6" s="2">
        <f>+IFERROR(RANK(K6,(K$6,K$15,K$22,K$26,K$27,K$28,K$33),0),"")</f>
        <v>1</v>
      </c>
      <c r="AK6" s="2">
        <f>+IFERROR(RANK(L6,(L$6,L$15,L$22,L$26,L$27,L$28,L$33),0),"")</f>
        <v>1</v>
      </c>
    </row>
    <row r="7" spans="1:37" ht="18" customHeight="1">
      <c r="A7" s="572" t="s">
        <v>497</v>
      </c>
      <c r="B7" s="646">
        <v>54568</v>
      </c>
      <c r="C7" s="646">
        <v>56865</v>
      </c>
      <c r="D7" s="646">
        <v>57001</v>
      </c>
      <c r="E7" s="646">
        <v>59646</v>
      </c>
      <c r="F7" s="646">
        <v>62987</v>
      </c>
      <c r="G7" s="646">
        <v>63449</v>
      </c>
      <c r="H7" s="646">
        <v>64864</v>
      </c>
      <c r="I7" s="646">
        <v>65112</v>
      </c>
      <c r="J7" s="646">
        <v>68558</v>
      </c>
      <c r="K7" s="646">
        <v>72633</v>
      </c>
      <c r="L7" s="646">
        <v>73222</v>
      </c>
      <c r="N7" s="559">
        <f t="shared" ref="N7:N31" si="5">+(L7/B7-1)*100</f>
        <v>34.18487025362851</v>
      </c>
      <c r="O7" s="419">
        <f t="shared" ref="O7:O31" si="6">+L7-B7</f>
        <v>18654</v>
      </c>
      <c r="P7" s="559">
        <f t="shared" ref="P7:P31" si="7">B7*100/B$5</f>
        <v>2.0694145848826677</v>
      </c>
      <c r="Q7" s="559">
        <f t="shared" ref="Q7:Q31" si="8">C7*100/C$5</f>
        <v>2.0936954968149983</v>
      </c>
      <c r="R7" s="559">
        <f t="shared" ref="R7:R31" si="9">D7*100/D$5</f>
        <v>2.021327825961762</v>
      </c>
      <c r="S7" s="559">
        <f t="shared" ref="S7:S31" si="10">E7*100/E$5</f>
        <v>2.0240231863756617</v>
      </c>
      <c r="T7" s="559">
        <f t="shared" ref="T7:T31" si="11">F7*100/F$5</f>
        <v>2.0580698051847284</v>
      </c>
      <c r="U7" s="559">
        <f t="shared" ref="U7:U31" si="12">G7*100/G$5</f>
        <v>2.0395384173768196</v>
      </c>
      <c r="V7" s="559">
        <f t="shared" ref="V7:V31" si="13">H7*100/H$5</f>
        <v>2.1021750952661513</v>
      </c>
      <c r="W7" s="559">
        <f t="shared" ref="W7:W31" si="14">I7*100/I$5</f>
        <v>2.0987994565401329</v>
      </c>
      <c r="X7" s="559">
        <f t="shared" ref="X7:X31" si="15">J7*100/J$5</f>
        <v>2.0544295884847901</v>
      </c>
      <c r="Y7" s="559">
        <f t="shared" ref="Y7:Y31" si="16">K7*100/K$5</f>
        <v>2.0814234824046314</v>
      </c>
      <c r="Z7" s="559">
        <f t="shared" ref="Z7:Z31" si="17">L7*100/L$5</f>
        <v>2.0655269248833896</v>
      </c>
      <c r="AA7" s="2" t="str">
        <f>+IFERROR(RANK(B7,(B$6,B$15,B$22,B$26,B$27,B$28,B$33),0),"")</f>
        <v/>
      </c>
      <c r="AB7" s="2" t="str">
        <f>+IFERROR(RANK(C7,(C$6,C$15,C$22,C$26,C$27,C$28,C$33),0),"")</f>
        <v/>
      </c>
      <c r="AC7" s="2" t="str">
        <f>+IFERROR(RANK(D7,(D$6,D$15,D$22,D$26,D$27,D$28,D$33),0),"")</f>
        <v/>
      </c>
      <c r="AD7" s="2" t="str">
        <f>+IFERROR(RANK(E7,(E$6,E$15,E$22,E$26,E$27,E$28,E$33),0),"")</f>
        <v/>
      </c>
      <c r="AE7" s="2" t="str">
        <f>+IFERROR(RANK(F7,(F$6,F$15,F$22,F$26,F$27,F$28,F$33),0),"")</f>
        <v/>
      </c>
      <c r="AF7" s="2" t="str">
        <f>+IFERROR(RANK(G7,(G$6,G$15,G$22,G$26,G$27,G$28,G$33),0),"")</f>
        <v/>
      </c>
      <c r="AG7" s="2" t="str">
        <f>+IFERROR(RANK(H7,(H$6,H$15,H$22,H$26,H$27,H$28,H$33),0),"")</f>
        <v/>
      </c>
      <c r="AH7" s="2" t="str">
        <f>+IFERROR(RANK(I7,(I$6,I$15,I$22,I$26,I$27,I$28,I$33),0),"")</f>
        <v/>
      </c>
      <c r="AI7" s="2" t="str">
        <f>+IFERROR(RANK(J7,(J$6,J$15,J$22,J$26,J$27,J$28,J$33),0),"")</f>
        <v/>
      </c>
      <c r="AJ7" s="2" t="str">
        <f>+IFERROR(RANK(K7,(K$6,K$15,K$22,K$26,K$27,K$28,K$33),0),"")</f>
        <v/>
      </c>
      <c r="AK7" s="2" t="str">
        <f>+IFERROR(RANK(L7,(L$6,L$15,L$22,L$26,L$27,L$28,L$33),0),"")</f>
        <v/>
      </c>
    </row>
    <row r="8" spans="1:37" ht="18" customHeight="1">
      <c r="A8" s="572" t="s">
        <v>498</v>
      </c>
      <c r="B8" s="646">
        <v>112832.00000000001</v>
      </c>
      <c r="C8" s="646">
        <v>116890</v>
      </c>
      <c r="D8" s="646">
        <v>122550</v>
      </c>
      <c r="E8" s="646">
        <v>129416</v>
      </c>
      <c r="F8" s="646">
        <v>135825</v>
      </c>
      <c r="G8" s="646">
        <v>139055</v>
      </c>
      <c r="H8" s="646">
        <v>138839</v>
      </c>
      <c r="I8" s="646">
        <v>141395</v>
      </c>
      <c r="J8" s="646">
        <v>153121</v>
      </c>
      <c r="K8" s="646">
        <v>160086</v>
      </c>
      <c r="L8" s="646">
        <v>160991</v>
      </c>
      <c r="N8" s="559">
        <f t="shared" si="5"/>
        <v>42.682040555870657</v>
      </c>
      <c r="O8" s="419">
        <f t="shared" si="6"/>
        <v>48158.999999999985</v>
      </c>
      <c r="P8" s="559">
        <f t="shared" si="7"/>
        <v>4.2789947669234945</v>
      </c>
      <c r="Q8" s="559">
        <f t="shared" si="8"/>
        <v>4.3037380923714963</v>
      </c>
      <c r="R8" s="559">
        <f t="shared" si="9"/>
        <v>4.3457785840882428</v>
      </c>
      <c r="S8" s="559">
        <f t="shared" si="10"/>
        <v>4.3915934796632232</v>
      </c>
      <c r="T8" s="559">
        <f t="shared" si="11"/>
        <v>4.4380162777909051</v>
      </c>
      <c r="U8" s="559">
        <f t="shared" si="12"/>
        <v>4.4698579115247465</v>
      </c>
      <c r="V8" s="559">
        <f t="shared" si="13"/>
        <v>4.4996282691733045</v>
      </c>
      <c r="W8" s="559">
        <f t="shared" si="14"/>
        <v>4.5576813668370209</v>
      </c>
      <c r="X8" s="559">
        <f t="shared" si="15"/>
        <v>4.588469806855211</v>
      </c>
      <c r="Y8" s="559">
        <f t="shared" si="16"/>
        <v>4.5875395426903447</v>
      </c>
      <c r="Z8" s="559">
        <f t="shared" si="17"/>
        <v>4.5414116681311869</v>
      </c>
      <c r="AA8" s="2" t="str">
        <f>+IFERROR(RANK(B8,(B$6,B$15,B$22,B$26,B$27,B$28,B$33),0),"")</f>
        <v/>
      </c>
      <c r="AB8" s="2" t="str">
        <f>+IFERROR(RANK(C8,(C$6,C$15,C$22,C$26,C$27,C$28,C$33),0),"")</f>
        <v/>
      </c>
      <c r="AC8" s="2" t="str">
        <f>+IFERROR(RANK(D8,(D$6,D$15,D$22,D$26,D$27,D$28,D$33),0),"")</f>
        <v/>
      </c>
      <c r="AD8" s="2" t="str">
        <f>+IFERROR(RANK(E8,(E$6,E$15,E$22,E$26,E$27,E$28,E$33),0),"")</f>
        <v/>
      </c>
      <c r="AE8" s="2" t="str">
        <f>+IFERROR(RANK(F8,(F$6,F$15,F$22,F$26,F$27,F$28,F$33),0),"")</f>
        <v/>
      </c>
      <c r="AF8" s="2" t="str">
        <f>+IFERROR(RANK(G8,(G$6,G$15,G$22,G$26,G$27,G$28,G$33),0),"")</f>
        <v/>
      </c>
      <c r="AG8" s="2" t="str">
        <f>+IFERROR(RANK(H8,(H$6,H$15,H$22,H$26,H$27,H$28,H$33),0),"")</f>
        <v/>
      </c>
      <c r="AH8" s="2" t="str">
        <f>+IFERROR(RANK(I8,(I$6,I$15,I$22,I$26,I$27,I$28,I$33),0),"")</f>
        <v/>
      </c>
      <c r="AI8" s="2" t="str">
        <f>+IFERROR(RANK(J8,(J$6,J$15,J$22,J$26,J$27,J$28,J$33),0),"")</f>
        <v/>
      </c>
      <c r="AJ8" s="2" t="str">
        <f>+IFERROR(RANK(K8,(K$6,K$15,K$22,K$26,K$27,K$28,K$33),0),"")</f>
        <v/>
      </c>
      <c r="AK8" s="2" t="str">
        <f>+IFERROR(RANK(L8,(L$6,L$15,L$22,L$26,L$27,L$28,L$33),0),"")</f>
        <v/>
      </c>
    </row>
    <row r="9" spans="1:37" ht="18" customHeight="1">
      <c r="A9" s="572" t="s">
        <v>499</v>
      </c>
      <c r="B9" s="646">
        <v>125966</v>
      </c>
      <c r="C9" s="646">
        <v>131033</v>
      </c>
      <c r="D9" s="646">
        <v>136891</v>
      </c>
      <c r="E9" s="646">
        <v>141727</v>
      </c>
      <c r="F9" s="646">
        <v>145043</v>
      </c>
      <c r="G9" s="646">
        <v>138908</v>
      </c>
      <c r="H9" s="646">
        <v>141054</v>
      </c>
      <c r="I9" s="646">
        <v>141117</v>
      </c>
      <c r="J9" s="646">
        <v>149246</v>
      </c>
      <c r="K9" s="646">
        <v>150333</v>
      </c>
      <c r="L9" s="646">
        <v>149150.00000000003</v>
      </c>
      <c r="N9" s="559">
        <f t="shared" si="5"/>
        <v>18.40496641951006</v>
      </c>
      <c r="O9" s="419">
        <f t="shared" si="6"/>
        <v>23184.000000000029</v>
      </c>
      <c r="P9" s="559">
        <f t="shared" si="7"/>
        <v>4.7770832282533746</v>
      </c>
      <c r="Q9" s="559">
        <f t="shared" si="8"/>
        <v>4.8244649966439752</v>
      </c>
      <c r="R9" s="559">
        <f t="shared" si="9"/>
        <v>4.8543286507908912</v>
      </c>
      <c r="S9" s="559">
        <f t="shared" si="10"/>
        <v>4.8093540913969655</v>
      </c>
      <c r="T9" s="559">
        <f t="shared" si="11"/>
        <v>4.7392099759221509</v>
      </c>
      <c r="U9" s="559">
        <f t="shared" si="12"/>
        <v>4.4651326653056662</v>
      </c>
      <c r="V9" s="559">
        <f t="shared" si="13"/>
        <v>4.5714141262899561</v>
      </c>
      <c r="W9" s="559">
        <f t="shared" si="14"/>
        <v>4.5487204034367545</v>
      </c>
      <c r="X9" s="559">
        <f t="shared" si="15"/>
        <v>4.4723503947460683</v>
      </c>
      <c r="Y9" s="559">
        <f t="shared" si="16"/>
        <v>4.3080505607690096</v>
      </c>
      <c r="Z9" s="559">
        <f t="shared" si="17"/>
        <v>4.2073876819310811</v>
      </c>
      <c r="AA9" s="2" t="str">
        <f>+IFERROR(RANK(B9,(B$6,B$15,B$22,B$26,B$27,B$28,B$33),0),"")</f>
        <v/>
      </c>
      <c r="AB9" s="2" t="str">
        <f>+IFERROR(RANK(C9,(C$6,C$15,C$22,C$26,C$27,C$28,C$33),0),"")</f>
        <v/>
      </c>
      <c r="AC9" s="2" t="str">
        <f>+IFERROR(RANK(D9,(D$6,D$15,D$22,D$26,D$27,D$28,D$33),0),"")</f>
        <v/>
      </c>
      <c r="AD9" s="2" t="str">
        <f>+IFERROR(RANK(E9,(E$6,E$15,E$22,E$26,E$27,E$28,E$33),0),"")</f>
        <v/>
      </c>
      <c r="AE9" s="2" t="str">
        <f>+IFERROR(RANK(F9,(F$6,F$15,F$22,F$26,F$27,F$28,F$33),0),"")</f>
        <v/>
      </c>
      <c r="AF9" s="2" t="str">
        <f>+IFERROR(RANK(G9,(G$6,G$15,G$22,G$26,G$27,G$28,G$33),0),"")</f>
        <v/>
      </c>
      <c r="AG9" s="2" t="str">
        <f>+IFERROR(RANK(H9,(H$6,H$15,H$22,H$26,H$27,H$28,H$33),0),"")</f>
        <v/>
      </c>
      <c r="AH9" s="2" t="str">
        <f>+IFERROR(RANK(I9,(I$6,I$15,I$22,I$26,I$27,I$28,I$33),0),"")</f>
        <v/>
      </c>
      <c r="AI9" s="2" t="str">
        <f>+IFERROR(RANK(J9,(J$6,J$15,J$22,J$26,J$27,J$28,J$33),0),"")</f>
        <v/>
      </c>
      <c r="AJ9" s="2" t="str">
        <f>+IFERROR(RANK(K9,(K$6,K$15,K$22,K$26,K$27,K$28,K$33),0),"")</f>
        <v/>
      </c>
      <c r="AK9" s="2" t="str">
        <f>+IFERROR(RANK(L9,(L$6,L$15,L$22,L$26,L$27,L$28,L$33),0),"")</f>
        <v/>
      </c>
    </row>
    <row r="10" spans="1:37" ht="18" customHeight="1">
      <c r="A10" s="572" t="s">
        <v>500</v>
      </c>
      <c r="B10" s="646">
        <v>501063.99999999994</v>
      </c>
      <c r="C10" s="646">
        <v>519452</v>
      </c>
      <c r="D10" s="646">
        <v>537773</v>
      </c>
      <c r="E10" s="646">
        <v>569098</v>
      </c>
      <c r="F10" s="646">
        <v>581232</v>
      </c>
      <c r="G10" s="646">
        <v>596772</v>
      </c>
      <c r="H10" s="646">
        <v>586860</v>
      </c>
      <c r="I10" s="646">
        <v>588688</v>
      </c>
      <c r="J10" s="646">
        <v>633694</v>
      </c>
      <c r="K10" s="646">
        <v>658882.00000000012</v>
      </c>
      <c r="L10" s="646">
        <v>666772</v>
      </c>
      <c r="N10" s="559">
        <f t="shared" si="5"/>
        <v>33.071224434403604</v>
      </c>
      <c r="O10" s="419">
        <f t="shared" si="6"/>
        <v>165708.00000000006</v>
      </c>
      <c r="P10" s="559">
        <f t="shared" si="7"/>
        <v>19.002146854560348</v>
      </c>
      <c r="Q10" s="559">
        <f t="shared" si="8"/>
        <v>19.125548460591656</v>
      </c>
      <c r="R10" s="559">
        <f t="shared" si="9"/>
        <v>19.070113312940734</v>
      </c>
      <c r="S10" s="559">
        <f t="shared" si="10"/>
        <v>19.311731672199581</v>
      </c>
      <c r="T10" s="559">
        <f t="shared" si="11"/>
        <v>18.991474891757505</v>
      </c>
      <c r="U10" s="559">
        <f t="shared" si="12"/>
        <v>19.182956711922952</v>
      </c>
      <c r="V10" s="559">
        <f t="shared" si="13"/>
        <v>19.019525104956426</v>
      </c>
      <c r="W10" s="559">
        <f t="shared" si="14"/>
        <v>18.975581374734272</v>
      </c>
      <c r="X10" s="559">
        <f t="shared" si="15"/>
        <v>18.989464448281463</v>
      </c>
      <c r="Y10" s="559">
        <f t="shared" si="16"/>
        <v>18.881396430461756</v>
      </c>
      <c r="Z10" s="559">
        <f t="shared" si="17"/>
        <v>18.809039889081799</v>
      </c>
      <c r="AA10" s="2" t="str">
        <f>+IFERROR(RANK(B10,(B$6,B$15,B$22,B$26,B$27,B$28,B$33),0),"")</f>
        <v/>
      </c>
      <c r="AB10" s="2" t="str">
        <f>+IFERROR(RANK(C10,(C$6,C$15,C$22,C$26,C$27,C$28,C$33),0),"")</f>
        <v/>
      </c>
      <c r="AC10" s="2" t="str">
        <f>+IFERROR(RANK(D10,(D$6,D$15,D$22,D$26,D$27,D$28,D$33),0),"")</f>
        <v/>
      </c>
      <c r="AD10" s="2" t="str">
        <f>+IFERROR(RANK(E10,(E$6,E$15,E$22,E$26,E$27,E$28,E$33),0),"")</f>
        <v/>
      </c>
      <c r="AE10" s="2" t="str">
        <f>+IFERROR(RANK(F10,(F$6,F$15,F$22,F$26,F$27,F$28,F$33),0),"")</f>
        <v/>
      </c>
      <c r="AF10" s="2" t="str">
        <f>+IFERROR(RANK(G10,(G$6,G$15,G$22,G$26,G$27,G$28,G$33),0),"")</f>
        <v/>
      </c>
      <c r="AG10" s="2" t="str">
        <f>+IFERROR(RANK(H10,(H$6,H$15,H$22,H$26,H$27,H$28,H$33),0),"")</f>
        <v/>
      </c>
      <c r="AH10" s="2" t="str">
        <f>+IFERROR(RANK(I10,(I$6,I$15,I$22,I$26,I$27,I$28,I$33),0),"")</f>
        <v/>
      </c>
      <c r="AI10" s="2" t="str">
        <f>+IFERROR(RANK(J10,(J$6,J$15,J$22,J$26,J$27,J$28,J$33),0),"")</f>
        <v/>
      </c>
      <c r="AJ10" s="2" t="str">
        <f>+IFERROR(RANK(K10,(K$6,K$15,K$22,K$26,K$27,K$28,K$33),0),"")</f>
        <v/>
      </c>
      <c r="AK10" s="2" t="str">
        <f>+IFERROR(RANK(L10,(L$6,L$15,L$22,L$26,L$27,L$28,L$33),0),"")</f>
        <v/>
      </c>
    </row>
    <row r="11" spans="1:37" ht="18" customHeight="1">
      <c r="A11" s="572" t="s">
        <v>771</v>
      </c>
      <c r="B11" s="646">
        <v>12481</v>
      </c>
      <c r="C11" s="646">
        <v>12990</v>
      </c>
      <c r="D11" s="646">
        <v>13302</v>
      </c>
      <c r="E11" s="646">
        <v>14461</v>
      </c>
      <c r="F11" s="646">
        <v>14799</v>
      </c>
      <c r="G11" s="646">
        <v>15061</v>
      </c>
      <c r="H11" s="646">
        <v>14649</v>
      </c>
      <c r="I11" s="646">
        <v>14857</v>
      </c>
      <c r="J11" s="646">
        <v>15757</v>
      </c>
      <c r="K11" s="646">
        <v>16238</v>
      </c>
      <c r="L11" s="646">
        <v>17027</v>
      </c>
      <c r="N11" s="559">
        <f t="shared" si="5"/>
        <v>36.423363512539055</v>
      </c>
      <c r="O11" s="419">
        <f t="shared" si="6"/>
        <v>4546</v>
      </c>
      <c r="P11" s="559">
        <f t="shared" si="7"/>
        <v>0.47332435555491459</v>
      </c>
      <c r="Q11" s="559">
        <f t="shared" si="8"/>
        <v>0.47827494071268489</v>
      </c>
      <c r="R11" s="559">
        <f t="shared" si="9"/>
        <v>0.47170580763396008</v>
      </c>
      <c r="S11" s="559">
        <f t="shared" si="10"/>
        <v>0.49071856114707513</v>
      </c>
      <c r="T11" s="559">
        <f t="shared" si="11"/>
        <v>0.4835501777657103</v>
      </c>
      <c r="U11" s="559">
        <f t="shared" si="12"/>
        <v>0.48412879799700986</v>
      </c>
      <c r="V11" s="559">
        <f t="shared" si="13"/>
        <v>0.47475892591505076</v>
      </c>
      <c r="W11" s="559">
        <f t="shared" si="14"/>
        <v>0.4788958030135268</v>
      </c>
      <c r="X11" s="559">
        <f t="shared" si="15"/>
        <v>0.47217898751064552</v>
      </c>
      <c r="Y11" s="559">
        <f t="shared" si="16"/>
        <v>0.46532780564325316</v>
      </c>
      <c r="Z11" s="559">
        <f t="shared" si="17"/>
        <v>0.48031639329695275</v>
      </c>
      <c r="AA11" s="2" t="str">
        <f>+IFERROR(RANK(B11,(B$6,B$15,B$22,B$26,B$27,B$28,B$33),0),"")</f>
        <v/>
      </c>
      <c r="AB11" s="2" t="str">
        <f>+IFERROR(RANK(C11,(C$6,C$15,C$22,C$26,C$27,C$28,C$33),0),"")</f>
        <v/>
      </c>
      <c r="AC11" s="2" t="str">
        <f>+IFERROR(RANK(D11,(D$6,D$15,D$22,D$26,D$27,D$28,D$33),0),"")</f>
        <v/>
      </c>
      <c r="AD11" s="2" t="str">
        <f>+IFERROR(RANK(E11,(E$6,E$15,E$22,E$26,E$27,E$28,E$33),0),"")</f>
        <v/>
      </c>
      <c r="AE11" s="2" t="str">
        <f>+IFERROR(RANK(F11,(F$6,F$15,F$22,F$26,F$27,F$28,F$33),0),"")</f>
        <v/>
      </c>
      <c r="AF11" s="2" t="str">
        <f>+IFERROR(RANK(G11,(G$6,G$15,G$22,G$26,G$27,G$28,G$33),0),"")</f>
        <v/>
      </c>
      <c r="AG11" s="2" t="str">
        <f>+IFERROR(RANK(H11,(H$6,H$15,H$22,H$26,H$27,H$28,H$33),0),"")</f>
        <v/>
      </c>
      <c r="AH11" s="2" t="str">
        <f>+IFERROR(RANK(I11,(I$6,I$15,I$22,I$26,I$27,I$28,I$33),0),"")</f>
        <v/>
      </c>
      <c r="AI11" s="2" t="str">
        <f>+IFERROR(RANK(J11,(J$6,J$15,J$22,J$26,J$27,J$28,J$33),0),"")</f>
        <v/>
      </c>
      <c r="AJ11" s="2" t="str">
        <f>+IFERROR(RANK(K11,(K$6,K$15,K$22,K$26,K$27,K$28,K$33),0),"")</f>
        <v/>
      </c>
      <c r="AK11" s="2" t="str">
        <f>+IFERROR(RANK(L11,(L$6,L$15,L$22,L$26,L$27,L$28,L$33),0),"")</f>
        <v/>
      </c>
    </row>
    <row r="12" spans="1:37" ht="18" customHeight="1">
      <c r="A12" s="572" t="s">
        <v>502</v>
      </c>
      <c r="B12" s="646">
        <v>109577</v>
      </c>
      <c r="C12" s="646">
        <v>113798</v>
      </c>
      <c r="D12" s="646">
        <v>117765</v>
      </c>
      <c r="E12" s="646">
        <v>121423</v>
      </c>
      <c r="F12" s="646">
        <v>124176</v>
      </c>
      <c r="G12" s="646">
        <v>123941</v>
      </c>
      <c r="H12" s="646">
        <v>124025</v>
      </c>
      <c r="I12" s="646">
        <v>127874</v>
      </c>
      <c r="J12" s="646">
        <v>134241</v>
      </c>
      <c r="K12" s="646">
        <v>138339</v>
      </c>
      <c r="L12" s="646">
        <v>137932</v>
      </c>
      <c r="N12" s="559">
        <f t="shared" si="5"/>
        <v>25.876780711280656</v>
      </c>
      <c r="O12" s="419">
        <f t="shared" si="6"/>
        <v>28355</v>
      </c>
      <c r="P12" s="559">
        <f t="shared" si="7"/>
        <v>4.1555534739717066</v>
      </c>
      <c r="Q12" s="559">
        <f t="shared" si="8"/>
        <v>4.1898946653750668</v>
      </c>
      <c r="R12" s="559">
        <f t="shared" si="9"/>
        <v>4.1760964092627662</v>
      </c>
      <c r="S12" s="559">
        <f t="shared" si="10"/>
        <v>4.1203595774954218</v>
      </c>
      <c r="T12" s="559">
        <f t="shared" si="11"/>
        <v>4.0573908287205107</v>
      </c>
      <c r="U12" s="559">
        <f t="shared" si="12"/>
        <v>3.9840254533262995</v>
      </c>
      <c r="V12" s="559">
        <f t="shared" si="13"/>
        <v>4.0195218640599473</v>
      </c>
      <c r="W12" s="559">
        <f t="shared" si="14"/>
        <v>4.1218497620348469</v>
      </c>
      <c r="X12" s="559">
        <f t="shared" si="15"/>
        <v>4.0227060647595714</v>
      </c>
      <c r="Y12" s="559">
        <f t="shared" si="16"/>
        <v>3.9643418712207166</v>
      </c>
      <c r="Z12" s="559">
        <f t="shared" si="17"/>
        <v>3.8909379667724959</v>
      </c>
      <c r="AA12" s="2" t="str">
        <f>+IFERROR(RANK(B12,(B$6,B$15,B$22,B$26,B$27,B$28,B$33),0),"")</f>
        <v/>
      </c>
      <c r="AB12" s="2" t="str">
        <f>+IFERROR(RANK(C12,(C$6,C$15,C$22,C$26,C$27,C$28,C$33),0),"")</f>
        <v/>
      </c>
      <c r="AC12" s="2" t="str">
        <f>+IFERROR(RANK(D12,(D$6,D$15,D$22,D$26,D$27,D$28,D$33),0),"")</f>
        <v/>
      </c>
      <c r="AD12" s="2" t="str">
        <f>+IFERROR(RANK(E12,(E$6,E$15,E$22,E$26,E$27,E$28,E$33),0),"")</f>
        <v/>
      </c>
      <c r="AE12" s="2" t="str">
        <f>+IFERROR(RANK(F12,(F$6,F$15,F$22,F$26,F$27,F$28,F$33),0),"")</f>
        <v/>
      </c>
      <c r="AF12" s="2" t="str">
        <f>+IFERROR(RANK(G12,(G$6,G$15,G$22,G$26,G$27,G$28,G$33),0),"")</f>
        <v/>
      </c>
      <c r="AG12" s="2" t="str">
        <f>+IFERROR(RANK(H12,(H$6,H$15,H$22,H$26,H$27,H$28,H$33),0),"")</f>
        <v/>
      </c>
      <c r="AH12" s="2" t="str">
        <f>+IFERROR(RANK(I12,(I$6,I$15,I$22,I$26,I$27,I$28,I$33),0),"")</f>
        <v/>
      </c>
      <c r="AI12" s="2" t="str">
        <f>+IFERROR(RANK(J12,(J$6,J$15,J$22,J$26,J$27,J$28,J$33),0),"")</f>
        <v/>
      </c>
      <c r="AJ12" s="2" t="str">
        <f>+IFERROR(RANK(K12,(K$6,K$15,K$22,K$26,K$27,K$28,K$33),0),"")</f>
        <v/>
      </c>
      <c r="AK12" s="2" t="str">
        <f>+IFERROR(RANK(L12,(L$6,L$15,L$22,L$26,L$27,L$28,L$33),0),"")</f>
        <v/>
      </c>
    </row>
    <row r="13" spans="1:37" ht="18" customHeight="1">
      <c r="A13" s="572" t="s">
        <v>503</v>
      </c>
      <c r="B13" s="646">
        <v>32882.000000000007</v>
      </c>
      <c r="C13" s="646">
        <v>33847</v>
      </c>
      <c r="D13" s="646">
        <v>34595</v>
      </c>
      <c r="E13" s="646">
        <v>35335</v>
      </c>
      <c r="F13" s="646">
        <v>36289</v>
      </c>
      <c r="G13" s="646">
        <v>36417</v>
      </c>
      <c r="H13" s="646">
        <v>37413</v>
      </c>
      <c r="I13" s="646">
        <v>38175</v>
      </c>
      <c r="J13" s="646">
        <v>40025</v>
      </c>
      <c r="K13" s="646">
        <v>42126.999999999993</v>
      </c>
      <c r="L13" s="646">
        <v>42955</v>
      </c>
      <c r="N13" s="559">
        <f t="shared" si="5"/>
        <v>30.63378140015811</v>
      </c>
      <c r="O13" s="419">
        <f t="shared" si="6"/>
        <v>10072.999999999993</v>
      </c>
      <c r="P13" s="559">
        <f t="shared" si="7"/>
        <v>1.2470035621630242</v>
      </c>
      <c r="Q13" s="559">
        <f t="shared" si="8"/>
        <v>1.2462026111087179</v>
      </c>
      <c r="R13" s="559">
        <f t="shared" si="9"/>
        <v>1.2267826202899452</v>
      </c>
      <c r="S13" s="559">
        <f t="shared" si="10"/>
        <v>1.1990554151256414</v>
      </c>
      <c r="T13" s="559">
        <f t="shared" si="11"/>
        <v>1.185725549087091</v>
      </c>
      <c r="U13" s="559">
        <f t="shared" si="12"/>
        <v>1.1706074255797827</v>
      </c>
      <c r="V13" s="559">
        <f t="shared" si="13"/>
        <v>1.2125166014922379</v>
      </c>
      <c r="W13" s="559">
        <f t="shared" si="14"/>
        <v>1.2305207834718574</v>
      </c>
      <c r="X13" s="559">
        <f t="shared" si="15"/>
        <v>1.1994011534628157</v>
      </c>
      <c r="Y13" s="559">
        <f t="shared" si="16"/>
        <v>1.2072216078540041</v>
      </c>
      <c r="Z13" s="559">
        <f t="shared" si="17"/>
        <v>1.2117220105755919</v>
      </c>
      <c r="AA13" s="2" t="str">
        <f>+IFERROR(RANK(B13,(B$6,B$15,B$22,B$26,B$27,B$28,B$33),0),"")</f>
        <v/>
      </c>
      <c r="AB13" s="2" t="str">
        <f>+IFERROR(RANK(C13,(C$6,C$15,C$22,C$26,C$27,C$28,C$33),0),"")</f>
        <v/>
      </c>
      <c r="AC13" s="2" t="str">
        <f>+IFERROR(RANK(D13,(D$6,D$15,D$22,D$26,D$27,D$28,D$33),0),"")</f>
        <v/>
      </c>
      <c r="AD13" s="2" t="str">
        <f>+IFERROR(RANK(E13,(E$6,E$15,E$22,E$26,E$27,E$28,E$33),0),"")</f>
        <v/>
      </c>
      <c r="AE13" s="2" t="str">
        <f>+IFERROR(RANK(F13,(F$6,F$15,F$22,F$26,F$27,F$28,F$33),0),"")</f>
        <v/>
      </c>
      <c r="AF13" s="2" t="str">
        <f>+IFERROR(RANK(G13,(G$6,G$15,G$22,G$26,G$27,G$28,G$33),0),"")</f>
        <v/>
      </c>
      <c r="AG13" s="2" t="str">
        <f>+IFERROR(RANK(H13,(H$6,H$15,H$22,H$26,H$27,H$28,H$33),0),"")</f>
        <v/>
      </c>
      <c r="AH13" s="2" t="str">
        <f>+IFERROR(RANK(I13,(I$6,I$15,I$22,I$26,I$27,I$28,I$33),0),"")</f>
        <v/>
      </c>
      <c r="AI13" s="2" t="str">
        <f>+IFERROR(RANK(J13,(J$6,J$15,J$22,J$26,J$27,J$28,J$33),0),"")</f>
        <v/>
      </c>
      <c r="AJ13" s="2" t="str">
        <f>+IFERROR(RANK(K13,(K$6,K$15,K$22,K$26,K$27,K$28,K$33),0),"")</f>
        <v/>
      </c>
      <c r="AK13" s="2" t="str">
        <f>+IFERROR(RANK(L13,(L$6,L$15,L$22,L$26,L$27,L$28,L$33),0),"")</f>
        <v/>
      </c>
    </row>
    <row r="14" spans="1:37" ht="18" customHeight="1">
      <c r="A14" s="572" t="s">
        <v>504</v>
      </c>
      <c r="B14" s="646">
        <v>17417</v>
      </c>
      <c r="C14" s="646">
        <v>17956</v>
      </c>
      <c r="D14" s="646">
        <v>18472</v>
      </c>
      <c r="E14" s="646">
        <v>18943</v>
      </c>
      <c r="F14" s="646">
        <v>19367</v>
      </c>
      <c r="G14" s="646">
        <v>19367</v>
      </c>
      <c r="H14" s="646">
        <v>19886</v>
      </c>
      <c r="I14" s="646">
        <v>20218</v>
      </c>
      <c r="J14" s="646">
        <v>20668</v>
      </c>
      <c r="K14" s="646">
        <v>21461.999999999993</v>
      </c>
      <c r="L14" s="646">
        <v>21547</v>
      </c>
      <c r="N14" s="559">
        <f t="shared" si="5"/>
        <v>23.712464833208923</v>
      </c>
      <c r="O14" s="419">
        <f t="shared" si="6"/>
        <v>4130</v>
      </c>
      <c r="P14" s="559">
        <f t="shared" si="7"/>
        <v>0.66051520717089551</v>
      </c>
      <c r="Q14" s="559">
        <f t="shared" si="8"/>
        <v>0.66111661550708001</v>
      </c>
      <c r="R14" s="559">
        <f t="shared" si="9"/>
        <v>0.65504057123849879</v>
      </c>
      <c r="S14" s="559">
        <f t="shared" si="10"/>
        <v>0.64281043522640513</v>
      </c>
      <c r="T14" s="559">
        <f t="shared" si="11"/>
        <v>0.63280737163244216</v>
      </c>
      <c r="U14" s="559">
        <f t="shared" si="12"/>
        <v>0.62254315323073428</v>
      </c>
      <c r="V14" s="559">
        <f t="shared" si="13"/>
        <v>0.64448467477279681</v>
      </c>
      <c r="W14" s="559">
        <f t="shared" si="14"/>
        <v>0.65170056844096957</v>
      </c>
      <c r="X14" s="559">
        <f t="shared" si="15"/>
        <v>0.61934348631528979</v>
      </c>
      <c r="Y14" s="559">
        <f t="shared" si="16"/>
        <v>0.61503050651037661</v>
      </c>
      <c r="Z14" s="559">
        <f t="shared" si="17"/>
        <v>0.60782153793207494</v>
      </c>
      <c r="AA14" s="2" t="str">
        <f>+IFERROR(RANK(B14,(B$6,B$15,B$22,B$26,B$27,B$28,B$33),0),"")</f>
        <v/>
      </c>
      <c r="AB14" s="2" t="str">
        <f>+IFERROR(RANK(C14,(C$6,C$15,C$22,C$26,C$27,C$28,C$33),0),"")</f>
        <v/>
      </c>
      <c r="AC14" s="2" t="str">
        <f>+IFERROR(RANK(D14,(D$6,D$15,D$22,D$26,D$27,D$28,D$33),0),"")</f>
        <v/>
      </c>
      <c r="AD14" s="2" t="str">
        <f>+IFERROR(RANK(E14,(E$6,E$15,E$22,E$26,E$27,E$28,E$33),0),"")</f>
        <v/>
      </c>
      <c r="AE14" s="2" t="str">
        <f>+IFERROR(RANK(F14,(F$6,F$15,F$22,F$26,F$27,F$28,F$33),0),"")</f>
        <v/>
      </c>
      <c r="AF14" s="2" t="str">
        <f>+IFERROR(RANK(G14,(G$6,G$15,G$22,G$26,G$27,G$28,G$33),0),"")</f>
        <v/>
      </c>
      <c r="AG14" s="2" t="str">
        <f>+IFERROR(RANK(H14,(H$6,H$15,H$22,H$26,H$27,H$28,H$33),0),"")</f>
        <v/>
      </c>
      <c r="AH14" s="2" t="str">
        <f>+IFERROR(RANK(I14,(I$6,I$15,I$22,I$26,I$27,I$28,I$33),0),"")</f>
        <v/>
      </c>
      <c r="AI14" s="2" t="str">
        <f>+IFERROR(RANK(J14,(J$6,J$15,J$22,J$26,J$27,J$28,J$33),0),"")</f>
        <v/>
      </c>
      <c r="AJ14" s="2" t="str">
        <f>+IFERROR(RANK(K14,(K$6,K$15,K$22,K$26,K$27,K$28,K$33),0),"")</f>
        <v/>
      </c>
      <c r="AK14" s="2" t="str">
        <f>+IFERROR(RANK(L14,(L$6,L$15,L$22,L$26,L$27,L$28,L$33),0),"")</f>
        <v/>
      </c>
    </row>
    <row r="15" spans="1:37" ht="20.100000000000001" customHeight="1">
      <c r="A15" s="15" t="s">
        <v>505</v>
      </c>
      <c r="B15" s="328">
        <v>549712</v>
      </c>
      <c r="C15" s="328">
        <v>562609</v>
      </c>
      <c r="D15" s="328">
        <v>577659</v>
      </c>
      <c r="E15" s="328">
        <v>601687</v>
      </c>
      <c r="F15" s="328">
        <v>626222</v>
      </c>
      <c r="G15" s="328">
        <v>632357</v>
      </c>
      <c r="H15" s="328">
        <v>632437</v>
      </c>
      <c r="I15" s="328">
        <v>630906</v>
      </c>
      <c r="J15" s="328">
        <v>669616</v>
      </c>
      <c r="K15" s="328">
        <v>695874.00000000047</v>
      </c>
      <c r="L15" s="328">
        <v>702764.00000000035</v>
      </c>
      <c r="N15" s="559">
        <f t="shared" si="5"/>
        <v>27.84221556014792</v>
      </c>
      <c r="O15" s="419">
        <f t="shared" si="6"/>
        <v>153052.00000000035</v>
      </c>
      <c r="P15" s="559">
        <f t="shared" si="7"/>
        <v>20.847053772999214</v>
      </c>
      <c r="Q15" s="559">
        <f t="shared" si="8"/>
        <v>20.714533188562196</v>
      </c>
      <c r="R15" s="559">
        <f t="shared" si="9"/>
        <v>20.484521510451493</v>
      </c>
      <c r="S15" s="559">
        <f t="shared" si="10"/>
        <v>20.417604515655913</v>
      </c>
      <c r="T15" s="559">
        <f t="shared" si="11"/>
        <v>20.461501413662994</v>
      </c>
      <c r="U15" s="559">
        <f t="shared" si="12"/>
        <v>20.326819886793384</v>
      </c>
      <c r="V15" s="559">
        <f t="shared" si="13"/>
        <v>20.496628495387874</v>
      </c>
      <c r="W15" s="559">
        <f t="shared" si="14"/>
        <v>20.336422931685544</v>
      </c>
      <c r="X15" s="559">
        <f t="shared" si="15"/>
        <v>20.065913873258133</v>
      </c>
      <c r="Y15" s="559">
        <f t="shared" si="16"/>
        <v>19.941465785453463</v>
      </c>
      <c r="Z15" s="559">
        <f t="shared" si="17"/>
        <v>19.824341916893161</v>
      </c>
      <c r="AA15" s="2">
        <f>+IFERROR(RANK(B15,(B$6,B$15,B$22,B$26,B$27,B$28,B$33),0),"")</f>
        <v>2</v>
      </c>
      <c r="AB15" s="2">
        <f>+IFERROR(RANK(C15,(C$6,C$15,C$22,C$26,C$27,C$28,C$33),0),"")</f>
        <v>2</v>
      </c>
      <c r="AC15" s="2">
        <f>+IFERROR(RANK(D15,(D$6,D$15,D$22,D$26,D$27,D$28,D$33),0),"")</f>
        <v>2</v>
      </c>
      <c r="AD15" s="2">
        <f>+IFERROR(RANK(E15,(E$6,E$15,E$22,E$26,E$27,E$28,E$33),0),"")</f>
        <v>2</v>
      </c>
      <c r="AE15" s="2">
        <f>+IFERROR(RANK(F15,(F$6,F$15,F$22,F$26,F$27,F$28,F$33),0),"")</f>
        <v>2</v>
      </c>
      <c r="AF15" s="2">
        <f>+IFERROR(RANK(G15,(G$6,G$15,G$22,G$26,G$27,G$28,G$33),0),"")</f>
        <v>2</v>
      </c>
      <c r="AG15" s="2">
        <f>+IFERROR(RANK(H15,(H$6,H$15,H$22,H$26,H$27,H$28,H$33),0),"")</f>
        <v>2</v>
      </c>
      <c r="AH15" s="2">
        <f>+IFERROR(RANK(I15,(I$6,I$15,I$22,I$26,I$27,I$28,I$33),0),"")</f>
        <v>2</v>
      </c>
      <c r="AI15" s="2">
        <f>+IFERROR(RANK(J15,(J$6,J$15,J$22,J$26,J$27,J$28,J$33),0),"")</f>
        <v>2</v>
      </c>
      <c r="AJ15" s="2">
        <f>+IFERROR(RANK(K15,(K$6,K$15,K$22,K$26,K$27,K$28,K$33),0),"")</f>
        <v>2</v>
      </c>
      <c r="AK15" s="2">
        <f>+IFERROR(RANK(L15,(L$6,L$15,L$22,L$26,L$27,L$28,L$33),0),"")</f>
        <v>2</v>
      </c>
    </row>
    <row r="16" spans="1:37" ht="18" customHeight="1">
      <c r="A16" s="572" t="s">
        <v>513</v>
      </c>
      <c r="B16" s="646">
        <v>83007</v>
      </c>
      <c r="C16" s="646">
        <v>85074</v>
      </c>
      <c r="D16" s="646">
        <v>87606</v>
      </c>
      <c r="E16" s="646">
        <v>92480</v>
      </c>
      <c r="F16" s="646">
        <v>100447</v>
      </c>
      <c r="G16" s="646">
        <v>102230</v>
      </c>
      <c r="H16" s="646">
        <v>101029</v>
      </c>
      <c r="I16" s="646">
        <v>99265</v>
      </c>
      <c r="J16" s="646">
        <v>105262</v>
      </c>
      <c r="K16" s="646">
        <v>111666</v>
      </c>
      <c r="L16" s="646">
        <v>112479</v>
      </c>
      <c r="N16" s="559">
        <f t="shared" si="5"/>
        <v>35.505439300299969</v>
      </c>
      <c r="O16" s="419">
        <f t="shared" si="6"/>
        <v>29472</v>
      </c>
      <c r="P16" s="559">
        <f t="shared" si="7"/>
        <v>3.1479236264359263</v>
      </c>
      <c r="Q16" s="559">
        <f t="shared" si="8"/>
        <v>3.1323142652956855</v>
      </c>
      <c r="R16" s="559">
        <f t="shared" si="9"/>
        <v>3.1066199807232526</v>
      </c>
      <c r="S16" s="559">
        <f t="shared" si="10"/>
        <v>3.1382098426721186</v>
      </c>
      <c r="T16" s="559">
        <f t="shared" si="11"/>
        <v>3.2820572137328403</v>
      </c>
      <c r="U16" s="559">
        <f t="shared" si="12"/>
        <v>3.2861355168471094</v>
      </c>
      <c r="V16" s="559">
        <f t="shared" si="13"/>
        <v>3.2742453086402938</v>
      </c>
      <c r="W16" s="559">
        <f t="shared" si="14"/>
        <v>3.1996763738397886</v>
      </c>
      <c r="X16" s="559">
        <f t="shared" si="15"/>
        <v>3.1543126599825837</v>
      </c>
      <c r="Y16" s="559">
        <f t="shared" si="16"/>
        <v>3.1999812011922346</v>
      </c>
      <c r="Z16" s="559">
        <f t="shared" si="17"/>
        <v>3.1729316733216626</v>
      </c>
      <c r="AA16" s="2" t="str">
        <f>+IFERROR(RANK(B16,(B$6,B$15,B$22,B$26,B$27,B$28,B$33),0),"")</f>
        <v/>
      </c>
      <c r="AB16" s="2" t="str">
        <f>+IFERROR(RANK(C16,(C$6,C$15,C$22,C$26,C$27,C$28,C$33),0),"")</f>
        <v/>
      </c>
      <c r="AC16" s="2" t="str">
        <f>+IFERROR(RANK(D16,(D$6,D$15,D$22,D$26,D$27,D$28,D$33),0),"")</f>
        <v/>
      </c>
      <c r="AD16" s="2" t="str">
        <f>+IFERROR(RANK(E16,(E$6,E$15,E$22,E$26,E$27,E$28,E$33),0),"")</f>
        <v/>
      </c>
      <c r="AE16" s="2" t="str">
        <f>+IFERROR(RANK(F16,(F$6,F$15,F$22,F$26,F$27,F$28,F$33),0),"")</f>
        <v/>
      </c>
      <c r="AF16" s="2" t="str">
        <f>+IFERROR(RANK(G16,(G$6,G$15,G$22,G$26,G$27,G$28,G$33),0),"")</f>
        <v/>
      </c>
      <c r="AG16" s="2" t="str">
        <f>+IFERROR(RANK(H16,(H$6,H$15,H$22,H$26,H$27,H$28,H$33),0),"")</f>
        <v/>
      </c>
      <c r="AH16" s="2" t="str">
        <f>+IFERROR(RANK(I16,(I$6,I$15,I$22,I$26,I$27,I$28,I$33),0),"")</f>
        <v/>
      </c>
      <c r="AI16" s="2" t="str">
        <f>+IFERROR(RANK(J16,(J$6,J$15,J$22,J$26,J$27,J$28,J$33),0),"")</f>
        <v/>
      </c>
      <c r="AJ16" s="2" t="str">
        <f>+IFERROR(RANK(K16,(K$6,K$15,K$22,K$26,K$27,K$28,K$33),0),"")</f>
        <v/>
      </c>
      <c r="AK16" s="2" t="str">
        <f>+IFERROR(RANK(L16,(L$6,L$15,L$22,L$26,L$27,L$28,L$33),0),"")</f>
        <v/>
      </c>
    </row>
    <row r="17" spans="1:37" ht="18" customHeight="1">
      <c r="A17" s="572" t="s">
        <v>506</v>
      </c>
      <c r="B17" s="646">
        <v>105834</v>
      </c>
      <c r="C17" s="646">
        <v>108508</v>
      </c>
      <c r="D17" s="646">
        <v>114017</v>
      </c>
      <c r="E17" s="646">
        <v>118713</v>
      </c>
      <c r="F17" s="646">
        <v>125109</v>
      </c>
      <c r="G17" s="646">
        <v>126163</v>
      </c>
      <c r="H17" s="646">
        <v>127075</v>
      </c>
      <c r="I17" s="646">
        <v>124894</v>
      </c>
      <c r="J17" s="646">
        <v>135023</v>
      </c>
      <c r="K17" s="646">
        <v>139483</v>
      </c>
      <c r="L17" s="646">
        <v>139173</v>
      </c>
      <c r="N17" s="559">
        <f t="shared" si="5"/>
        <v>31.501218889959759</v>
      </c>
      <c r="O17" s="419">
        <f t="shared" si="6"/>
        <v>33339</v>
      </c>
      <c r="P17" s="559">
        <f t="shared" si="7"/>
        <v>4.0136054679752284</v>
      </c>
      <c r="Q17" s="559">
        <f t="shared" si="8"/>
        <v>3.9951237310894543</v>
      </c>
      <c r="R17" s="559">
        <f t="shared" si="9"/>
        <v>4.0431875709668645</v>
      </c>
      <c r="S17" s="559">
        <f t="shared" si="10"/>
        <v>4.0283986273046626</v>
      </c>
      <c r="T17" s="559">
        <f t="shared" si="11"/>
        <v>4.0878761531245518</v>
      </c>
      <c r="U17" s="559">
        <f t="shared" si="12"/>
        <v>4.0554506036582403</v>
      </c>
      <c r="V17" s="559">
        <f t="shared" si="13"/>
        <v>4.1183692068165119</v>
      </c>
      <c r="W17" s="559">
        <f t="shared" si="14"/>
        <v>4.0257933917729973</v>
      </c>
      <c r="X17" s="559">
        <f t="shared" si="15"/>
        <v>4.0461397112806941</v>
      </c>
      <c r="Y17" s="559">
        <f t="shared" si="16"/>
        <v>3.9971251579343439</v>
      </c>
      <c r="Z17" s="559">
        <f t="shared" si="17"/>
        <v>3.9259454633415638</v>
      </c>
      <c r="AA17" s="2" t="str">
        <f>+IFERROR(RANK(B17,(B$6,B$15,B$22,B$26,B$27,B$28,B$33),0),"")</f>
        <v/>
      </c>
      <c r="AB17" s="2" t="str">
        <f>+IFERROR(RANK(C17,(C$6,C$15,C$22,C$26,C$27,C$28,C$33),0),"")</f>
        <v/>
      </c>
      <c r="AC17" s="2" t="str">
        <f>+IFERROR(RANK(D17,(D$6,D$15,D$22,D$26,D$27,D$28,D$33),0),"")</f>
        <v/>
      </c>
      <c r="AD17" s="2" t="str">
        <f>+IFERROR(RANK(E17,(E$6,E$15,E$22,E$26,E$27,E$28,E$33),0),"")</f>
        <v/>
      </c>
      <c r="AE17" s="2" t="str">
        <f>+IFERROR(RANK(F17,(F$6,F$15,F$22,F$26,F$27,F$28,F$33),0),"")</f>
        <v/>
      </c>
      <c r="AF17" s="2" t="str">
        <f>+IFERROR(RANK(G17,(G$6,G$15,G$22,G$26,G$27,G$28,G$33),0),"")</f>
        <v/>
      </c>
      <c r="AG17" s="2" t="str">
        <f>+IFERROR(RANK(H17,(H$6,H$15,H$22,H$26,H$27,H$28,H$33),0),"")</f>
        <v/>
      </c>
      <c r="AH17" s="2" t="str">
        <f>+IFERROR(RANK(I17,(I$6,I$15,I$22,I$26,I$27,I$28,I$33),0),"")</f>
        <v/>
      </c>
      <c r="AI17" s="2" t="str">
        <f>+IFERROR(RANK(J17,(J$6,J$15,J$22,J$26,J$27,J$28,J$33),0),"")</f>
        <v/>
      </c>
      <c r="AJ17" s="2" t="str">
        <f>+IFERROR(RANK(K17,(K$6,K$15,K$22,K$26,K$27,K$28,K$33),0),"")</f>
        <v/>
      </c>
      <c r="AK17" s="2" t="str">
        <f>+IFERROR(RANK(L17,(L$6,L$15,L$22,L$26,L$27,L$28,L$33),0),"")</f>
        <v/>
      </c>
    </row>
    <row r="18" spans="1:37" ht="18" customHeight="1">
      <c r="A18" s="572" t="s">
        <v>507</v>
      </c>
      <c r="B18" s="646">
        <v>98821</v>
      </c>
      <c r="C18" s="646">
        <v>101551</v>
      </c>
      <c r="D18" s="646">
        <v>103167</v>
      </c>
      <c r="E18" s="646">
        <v>107820</v>
      </c>
      <c r="F18" s="646">
        <v>109082</v>
      </c>
      <c r="G18" s="646">
        <v>110361</v>
      </c>
      <c r="H18" s="646">
        <v>111631</v>
      </c>
      <c r="I18" s="646">
        <v>111742</v>
      </c>
      <c r="J18" s="646">
        <v>119330</v>
      </c>
      <c r="K18" s="646">
        <v>122152</v>
      </c>
      <c r="L18" s="646">
        <v>125294.99999999997</v>
      </c>
      <c r="N18" s="559">
        <f t="shared" si="5"/>
        <v>26.789852359316303</v>
      </c>
      <c r="O18" s="419">
        <f t="shared" si="6"/>
        <v>26473.999999999971</v>
      </c>
      <c r="P18" s="559">
        <f t="shared" si="7"/>
        <v>3.7476473151423932</v>
      </c>
      <c r="Q18" s="559">
        <f t="shared" si="8"/>
        <v>3.7389760203474873</v>
      </c>
      <c r="R18" s="559">
        <f t="shared" si="9"/>
        <v>3.6584327962842251</v>
      </c>
      <c r="S18" s="559">
        <f t="shared" si="10"/>
        <v>3.658756328253761</v>
      </c>
      <c r="T18" s="559">
        <f t="shared" si="11"/>
        <v>3.5642016684261915</v>
      </c>
      <c r="U18" s="559">
        <f t="shared" si="12"/>
        <v>3.5475027073732157</v>
      </c>
      <c r="V18" s="559">
        <f t="shared" si="13"/>
        <v>3.6178451538550775</v>
      </c>
      <c r="W18" s="559">
        <f t="shared" si="14"/>
        <v>3.6018560153690187</v>
      </c>
      <c r="X18" s="559">
        <f t="shared" si="15"/>
        <v>3.5758785669635929</v>
      </c>
      <c r="Y18" s="559">
        <f t="shared" si="16"/>
        <v>3.5004755582543821</v>
      </c>
      <c r="Z18" s="559">
        <f t="shared" si="17"/>
        <v>3.5344595347472647</v>
      </c>
      <c r="AA18" s="2" t="str">
        <f>+IFERROR(RANK(B18,(B$6,B$15,B$22,B$26,B$27,B$28,B$33),0),"")</f>
        <v/>
      </c>
      <c r="AB18" s="2" t="str">
        <f>+IFERROR(RANK(C18,(C$6,C$15,C$22,C$26,C$27,C$28,C$33),0),"")</f>
        <v/>
      </c>
      <c r="AC18" s="2" t="str">
        <f>+IFERROR(RANK(D18,(D$6,D$15,D$22,D$26,D$27,D$28,D$33),0),"")</f>
        <v/>
      </c>
      <c r="AD18" s="2" t="str">
        <f>+IFERROR(RANK(E18,(E$6,E$15,E$22,E$26,E$27,E$28,E$33),0),"")</f>
        <v/>
      </c>
      <c r="AE18" s="2" t="str">
        <f>+IFERROR(RANK(F18,(F$6,F$15,F$22,F$26,F$27,F$28,F$33),0),"")</f>
        <v/>
      </c>
      <c r="AF18" s="2" t="str">
        <f>+IFERROR(RANK(G18,(G$6,G$15,G$22,G$26,G$27,G$28,G$33),0),"")</f>
        <v/>
      </c>
      <c r="AG18" s="2" t="str">
        <f>+IFERROR(RANK(H18,(H$6,H$15,H$22,H$26,H$27,H$28,H$33),0),"")</f>
        <v/>
      </c>
      <c r="AH18" s="2" t="str">
        <f>+IFERROR(RANK(I18,(I$6,I$15,I$22,I$26,I$27,I$28,I$33),0),"")</f>
        <v/>
      </c>
      <c r="AI18" s="2" t="str">
        <f>+IFERROR(RANK(J18,(J$6,J$15,J$22,J$26,J$27,J$28,J$33),0),"")</f>
        <v/>
      </c>
      <c r="AJ18" s="2" t="str">
        <f>+IFERROR(RANK(K18,(K$6,K$15,K$22,K$26,K$27,K$28,K$33),0),"")</f>
        <v/>
      </c>
      <c r="AK18" s="2" t="str">
        <f>+IFERROR(RANK(L18,(L$6,L$15,L$22,L$26,L$27,L$28,L$33),0),"")</f>
        <v/>
      </c>
    </row>
    <row r="19" spans="1:37" ht="18" customHeight="1">
      <c r="A19" s="572" t="s">
        <v>508</v>
      </c>
      <c r="B19" s="646">
        <v>88098.000000000015</v>
      </c>
      <c r="C19" s="646">
        <v>90173</v>
      </c>
      <c r="D19" s="646">
        <v>93302</v>
      </c>
      <c r="E19" s="646">
        <v>96838</v>
      </c>
      <c r="F19" s="646">
        <v>98908</v>
      </c>
      <c r="G19" s="646">
        <v>99524</v>
      </c>
      <c r="H19" s="646">
        <v>99673</v>
      </c>
      <c r="I19" s="646">
        <v>101975</v>
      </c>
      <c r="J19" s="646">
        <v>105680</v>
      </c>
      <c r="K19" s="646">
        <v>109519</v>
      </c>
      <c r="L19" s="646">
        <v>111125.99999999999</v>
      </c>
      <c r="N19" s="559">
        <f t="shared" si="5"/>
        <v>26.139072396649144</v>
      </c>
      <c r="O19" s="419">
        <f t="shared" si="6"/>
        <v>23027.999999999971</v>
      </c>
      <c r="P19" s="559">
        <f t="shared" si="7"/>
        <v>3.3409926348591359</v>
      </c>
      <c r="Q19" s="559">
        <f t="shared" si="8"/>
        <v>3.320052827473821</v>
      </c>
      <c r="R19" s="559">
        <f t="shared" si="9"/>
        <v>3.3086073721142495</v>
      </c>
      <c r="S19" s="559">
        <f t="shared" si="10"/>
        <v>3.2860939094364467</v>
      </c>
      <c r="T19" s="559">
        <f t="shared" si="11"/>
        <v>3.2317711319988427</v>
      </c>
      <c r="U19" s="559">
        <f t="shared" si="12"/>
        <v>3.1991524129775186</v>
      </c>
      <c r="V19" s="559">
        <f t="shared" si="13"/>
        <v>3.2302987523196709</v>
      </c>
      <c r="W19" s="559">
        <f t="shared" si="14"/>
        <v>3.2870296501517395</v>
      </c>
      <c r="X19" s="559">
        <f t="shared" si="15"/>
        <v>3.1668385733404212</v>
      </c>
      <c r="Y19" s="559">
        <f t="shared" si="16"/>
        <v>3.1384552251658726</v>
      </c>
      <c r="Z19" s="559">
        <f t="shared" si="17"/>
        <v>3.1347647572395116</v>
      </c>
      <c r="AA19" s="2" t="str">
        <f>+IFERROR(RANK(B19,(B$6,B$15,B$22,B$26,B$27,B$28,B$33),0),"")</f>
        <v/>
      </c>
      <c r="AB19" s="2" t="str">
        <f>+IFERROR(RANK(C19,(C$6,C$15,C$22,C$26,C$27,C$28,C$33),0),"")</f>
        <v/>
      </c>
      <c r="AC19" s="2" t="str">
        <f>+IFERROR(RANK(D19,(D$6,D$15,D$22,D$26,D$27,D$28,D$33),0),"")</f>
        <v/>
      </c>
      <c r="AD19" s="2" t="str">
        <f>+IFERROR(RANK(E19,(E$6,E$15,E$22,E$26,E$27,E$28,E$33),0),"")</f>
        <v/>
      </c>
      <c r="AE19" s="2" t="str">
        <f>+IFERROR(RANK(F19,(F$6,F$15,F$22,F$26,F$27,F$28,F$33),0),"")</f>
        <v/>
      </c>
      <c r="AF19" s="2" t="str">
        <f>+IFERROR(RANK(G19,(G$6,G$15,G$22,G$26,G$27,G$28,G$33),0),"")</f>
        <v/>
      </c>
      <c r="AG19" s="2" t="str">
        <f>+IFERROR(RANK(H19,(H$6,H$15,H$22,H$26,H$27,H$28,H$33),0),"")</f>
        <v/>
      </c>
      <c r="AH19" s="2" t="str">
        <f>+IFERROR(RANK(I19,(I$6,I$15,I$22,I$26,I$27,I$28,I$33),0),"")</f>
        <v/>
      </c>
      <c r="AI19" s="2" t="str">
        <f>+IFERROR(RANK(J19,(J$6,J$15,J$22,J$26,J$27,J$28,J$33),0),"")</f>
        <v/>
      </c>
      <c r="AJ19" s="2" t="str">
        <f>+IFERROR(RANK(K19,(K$6,K$15,K$22,K$26,K$27,K$28,K$33),0),"")</f>
        <v/>
      </c>
      <c r="AK19" s="2" t="str">
        <f>+IFERROR(RANK(L19,(L$6,L$15,L$22,L$26,L$27,L$28,L$33),0),"")</f>
        <v/>
      </c>
    </row>
    <row r="20" spans="1:37" ht="18" customHeight="1">
      <c r="A20" s="572" t="s">
        <v>509</v>
      </c>
      <c r="B20" s="646">
        <v>59194.999999999985</v>
      </c>
      <c r="C20" s="646">
        <v>60826</v>
      </c>
      <c r="D20" s="646">
        <v>62720</v>
      </c>
      <c r="E20" s="646">
        <v>65048</v>
      </c>
      <c r="F20" s="646">
        <v>68123</v>
      </c>
      <c r="G20" s="646">
        <v>69618</v>
      </c>
      <c r="H20" s="646">
        <v>69458</v>
      </c>
      <c r="I20" s="646">
        <v>69853</v>
      </c>
      <c r="J20" s="646">
        <v>74206</v>
      </c>
      <c r="K20" s="646">
        <v>77276</v>
      </c>
      <c r="L20" s="646">
        <v>79469</v>
      </c>
      <c r="N20" s="559">
        <f t="shared" si="5"/>
        <v>34.249514317087623</v>
      </c>
      <c r="O20" s="419">
        <f t="shared" si="6"/>
        <v>20274.000000000015</v>
      </c>
      <c r="P20" s="559">
        <f t="shared" si="7"/>
        <v>2.2448870464764972</v>
      </c>
      <c r="Q20" s="559">
        <f t="shared" si="8"/>
        <v>2.2395343759653406</v>
      </c>
      <c r="R20" s="559">
        <f t="shared" si="9"/>
        <v>2.224130826552547</v>
      </c>
      <c r="S20" s="559">
        <f t="shared" si="10"/>
        <v>2.2073342760179062</v>
      </c>
      <c r="T20" s="559">
        <f t="shared" si="11"/>
        <v>2.225886124733663</v>
      </c>
      <c r="U20" s="559">
        <f t="shared" si="12"/>
        <v>2.2378380359176568</v>
      </c>
      <c r="V20" s="559">
        <f t="shared" si="13"/>
        <v>2.2510618797329234</v>
      </c>
      <c r="W20" s="559">
        <f t="shared" si="14"/>
        <v>2.2516193395641038</v>
      </c>
      <c r="X20" s="559">
        <f t="shared" si="15"/>
        <v>2.2236792503150955</v>
      </c>
      <c r="Y20" s="559">
        <f t="shared" si="16"/>
        <v>2.2144766294425442</v>
      </c>
      <c r="Z20" s="559">
        <f t="shared" si="17"/>
        <v>2.2417491900461348</v>
      </c>
      <c r="AA20" s="2" t="str">
        <f>+IFERROR(RANK(B20,(B$6,B$15,B$22,B$26,B$27,B$28,B$33),0),"")</f>
        <v/>
      </c>
      <c r="AB20" s="2" t="str">
        <f>+IFERROR(RANK(C20,(C$6,C$15,C$22,C$26,C$27,C$28,C$33),0),"")</f>
        <v/>
      </c>
      <c r="AC20" s="2" t="str">
        <f>+IFERROR(RANK(D20,(D$6,D$15,D$22,D$26,D$27,D$28,D$33),0),"")</f>
        <v/>
      </c>
      <c r="AD20" s="2" t="str">
        <f>+IFERROR(RANK(E20,(E$6,E$15,E$22,E$26,E$27,E$28,E$33),0),"")</f>
        <v/>
      </c>
      <c r="AE20" s="2" t="str">
        <f>+IFERROR(RANK(F20,(F$6,F$15,F$22,F$26,F$27,F$28,F$33),0),"")</f>
        <v/>
      </c>
      <c r="AF20" s="2" t="str">
        <f>+IFERROR(RANK(G20,(G$6,G$15,G$22,G$26,G$27,G$28,G$33),0),"")</f>
        <v/>
      </c>
      <c r="AG20" s="2" t="str">
        <f>+IFERROR(RANK(H20,(H$6,H$15,H$22,H$26,H$27,H$28,H$33),0),"")</f>
        <v/>
      </c>
      <c r="AH20" s="2" t="str">
        <f>+IFERROR(RANK(I20,(I$6,I$15,I$22,I$26,I$27,I$28,I$33),0),"")</f>
        <v/>
      </c>
      <c r="AI20" s="2" t="str">
        <f>+IFERROR(RANK(J20,(J$6,J$15,J$22,J$26,J$27,J$28,J$33),0),"")</f>
        <v/>
      </c>
      <c r="AJ20" s="2" t="str">
        <f>+IFERROR(RANK(K20,(K$6,K$15,K$22,K$26,K$27,K$28,K$33),0),"")</f>
        <v/>
      </c>
      <c r="AK20" s="2" t="str">
        <f>+IFERROR(RANK(L20,(L$6,L$15,L$22,L$26,L$27,L$28,L$33),0),"")</f>
        <v/>
      </c>
    </row>
    <row r="21" spans="1:37" ht="18" customHeight="1">
      <c r="A21" s="572" t="s">
        <v>510</v>
      </c>
      <c r="B21" s="646">
        <v>17187</v>
      </c>
      <c r="C21" s="646">
        <v>16988</v>
      </c>
      <c r="D21" s="646">
        <v>16801</v>
      </c>
      <c r="E21" s="646">
        <v>17104</v>
      </c>
      <c r="F21" s="646">
        <v>18166</v>
      </c>
      <c r="G21" s="646">
        <v>18026</v>
      </c>
      <c r="H21" s="646">
        <v>17878</v>
      </c>
      <c r="I21" s="646">
        <v>17848</v>
      </c>
      <c r="J21" s="646">
        <v>18605</v>
      </c>
      <c r="K21" s="646">
        <v>19444</v>
      </c>
      <c r="L21" s="646">
        <v>19323</v>
      </c>
      <c r="N21" s="559">
        <f t="shared" si="5"/>
        <v>12.427997905393617</v>
      </c>
      <c r="O21" s="419">
        <f t="shared" si="6"/>
        <v>2136</v>
      </c>
      <c r="P21" s="559">
        <f t="shared" si="7"/>
        <v>0.65179278094081539</v>
      </c>
      <c r="Q21" s="559">
        <f t="shared" si="8"/>
        <v>0.62547611184196239</v>
      </c>
      <c r="R21" s="559">
        <f t="shared" si="9"/>
        <v>0.59578478981041672</v>
      </c>
      <c r="S21" s="559">
        <f t="shared" si="10"/>
        <v>0.58040593803053542</v>
      </c>
      <c r="T21" s="559">
        <f t="shared" si="11"/>
        <v>0.59356527666003733</v>
      </c>
      <c r="U21" s="559">
        <f t="shared" si="12"/>
        <v>0.57943733568116984</v>
      </c>
      <c r="V21" s="559">
        <f t="shared" si="13"/>
        <v>0.57940747337765564</v>
      </c>
      <c r="W21" s="559">
        <f t="shared" si="14"/>
        <v>0.5753067437696322</v>
      </c>
      <c r="X21" s="559">
        <f t="shared" si="15"/>
        <v>0.55752300962337753</v>
      </c>
      <c r="Y21" s="559">
        <f t="shared" si="16"/>
        <v>0.55720124725504461</v>
      </c>
      <c r="Z21" s="559">
        <f t="shared" si="17"/>
        <v>0.54508449331514763</v>
      </c>
      <c r="AA21" s="2" t="str">
        <f>+IFERROR(RANK(B21,(B$6,B$15,B$22,B$26,B$27,B$28,B$33),0),"")</f>
        <v/>
      </c>
      <c r="AB21" s="2" t="str">
        <f>+IFERROR(RANK(C21,(C$6,C$15,C$22,C$26,C$27,C$28,C$33),0),"")</f>
        <v/>
      </c>
      <c r="AC21" s="2" t="str">
        <f>+IFERROR(RANK(D21,(D$6,D$15,D$22,D$26,D$27,D$28,D$33),0),"")</f>
        <v/>
      </c>
      <c r="AD21" s="2" t="str">
        <f>+IFERROR(RANK(E21,(E$6,E$15,E$22,E$26,E$27,E$28,E$33),0),"")</f>
        <v/>
      </c>
      <c r="AE21" s="2" t="str">
        <f>+IFERROR(RANK(F21,(F$6,F$15,F$22,F$26,F$27,F$28,F$33),0),"")</f>
        <v/>
      </c>
      <c r="AF21" s="2" t="str">
        <f>+IFERROR(RANK(G21,(G$6,G$15,G$22,G$26,G$27,G$28,G$33),0),"")</f>
        <v/>
      </c>
      <c r="AG21" s="2" t="str">
        <f>+IFERROR(RANK(H21,(H$6,H$15,H$22,H$26,H$27,H$28,H$33),0),"")</f>
        <v/>
      </c>
      <c r="AH21" s="2" t="str">
        <f>+IFERROR(RANK(I21,(I$6,I$15,I$22,I$26,I$27,I$28,I$33),0),"")</f>
        <v/>
      </c>
      <c r="AI21" s="2" t="str">
        <f>+IFERROR(RANK(J21,(J$6,J$15,J$22,J$26,J$27,J$28,J$33),0),"")</f>
        <v/>
      </c>
      <c r="AJ21" s="2" t="str">
        <f>+IFERROR(RANK(K21,(K$6,K$15,K$22,K$26,K$27,K$28,K$33),0),"")</f>
        <v/>
      </c>
      <c r="AK21" s="2" t="str">
        <f>+IFERROR(RANK(L21,(L$6,L$15,L$22,L$26,L$27,L$28,L$33),0),"")</f>
        <v/>
      </c>
    </row>
    <row r="22" spans="1:37" ht="18" customHeight="1">
      <c r="A22" s="572" t="s">
        <v>514</v>
      </c>
      <c r="B22" s="646">
        <v>53412</v>
      </c>
      <c r="C22" s="646">
        <v>54724</v>
      </c>
      <c r="D22" s="646">
        <v>54762</v>
      </c>
      <c r="E22" s="646">
        <v>56944</v>
      </c>
      <c r="F22" s="646">
        <v>58483</v>
      </c>
      <c r="G22" s="646">
        <v>59784</v>
      </c>
      <c r="H22" s="646">
        <v>59053</v>
      </c>
      <c r="I22" s="646">
        <v>58119</v>
      </c>
      <c r="J22" s="646">
        <v>62067</v>
      </c>
      <c r="K22" s="646">
        <v>64150</v>
      </c>
      <c r="L22" s="646">
        <v>64247.999999999993</v>
      </c>
      <c r="N22" s="559">
        <f t="shared" si="5"/>
        <v>20.287575825657143</v>
      </c>
      <c r="O22" s="419">
        <f t="shared" si="6"/>
        <v>10835.999999999993</v>
      </c>
      <c r="P22" s="559">
        <f t="shared" si="7"/>
        <v>2.0255749121784388</v>
      </c>
      <c r="Q22" s="559">
        <f t="shared" si="8"/>
        <v>2.0148666555474186</v>
      </c>
      <c r="R22" s="559">
        <f t="shared" si="9"/>
        <v>1.9419300434258702</v>
      </c>
      <c r="S22" s="559">
        <f t="shared" si="10"/>
        <v>1.9323337076245797</v>
      </c>
      <c r="T22" s="559">
        <f t="shared" si="11"/>
        <v>1.9109037804089488</v>
      </c>
      <c r="U22" s="559">
        <f t="shared" si="12"/>
        <v>1.9217287072208509</v>
      </c>
      <c r="V22" s="559">
        <f t="shared" si="13"/>
        <v>1.9138466005912687</v>
      </c>
      <c r="W22" s="559">
        <f t="shared" si="14"/>
        <v>1.8733893232377441</v>
      </c>
      <c r="X22" s="559">
        <f t="shared" si="15"/>
        <v>1.8599183358395148</v>
      </c>
      <c r="Y22" s="559">
        <f t="shared" si="16"/>
        <v>1.8383285338104871</v>
      </c>
      <c r="Z22" s="559">
        <f t="shared" si="17"/>
        <v>1.8123784363976398</v>
      </c>
      <c r="AA22" s="2">
        <f>+IFERROR(RANK(B22,(B$6,B$15,B$22,B$26,B$27,B$28,B$33),0),"")</f>
        <v>4</v>
      </c>
      <c r="AB22" s="2">
        <f>+IFERROR(RANK(C22,(C$6,C$15,C$22,C$26,C$27,C$28,C$33),0),"")</f>
        <v>4</v>
      </c>
      <c r="AC22" s="2">
        <f>+IFERROR(RANK(D22,(D$6,D$15,D$22,D$26,D$27,D$28,D$33),0),"")</f>
        <v>4</v>
      </c>
      <c r="AD22" s="2">
        <f>+IFERROR(RANK(E22,(E$6,E$15,E$22,E$26,E$27,E$28,E$33),0),"")</f>
        <v>4</v>
      </c>
      <c r="AE22" s="2">
        <f>+IFERROR(RANK(F22,(F$6,F$15,F$22,F$26,F$27,F$28,F$33),0),"")</f>
        <v>4</v>
      </c>
      <c r="AF22" s="2">
        <f>+IFERROR(RANK(G22,(G$6,G$15,G$22,G$26,G$27,G$28,G$33),0),"")</f>
        <v>4</v>
      </c>
      <c r="AG22" s="2">
        <f>+IFERROR(RANK(H22,(H$6,H$15,H$22,H$26,H$27,H$28,H$33),0),"")</f>
        <v>4</v>
      </c>
      <c r="AH22" s="2">
        <f>+IFERROR(RANK(I22,(I$6,I$15,I$22,I$26,I$27,I$28,I$33),0),"")</f>
        <v>4</v>
      </c>
      <c r="AI22" s="2">
        <f>+IFERROR(RANK(J22,(J$6,J$15,J$22,J$26,J$27,J$28,J$33),0),"")</f>
        <v>4</v>
      </c>
      <c r="AJ22" s="2">
        <f>+IFERROR(RANK(K22,(K$6,K$15,K$22,K$26,K$27,K$28,K$33),0),"")</f>
        <v>4</v>
      </c>
      <c r="AK22" s="2">
        <f>+IFERROR(RANK(L22,(L$6,L$15,L$22,L$26,L$27,L$28,L$33),0),"")</f>
        <v>4</v>
      </c>
    </row>
    <row r="23" spans="1:37" ht="18" customHeight="1">
      <c r="A23" s="572" t="s">
        <v>511</v>
      </c>
      <c r="B23" s="646">
        <v>44158</v>
      </c>
      <c r="C23" s="646">
        <v>44765</v>
      </c>
      <c r="D23" s="646">
        <v>45284</v>
      </c>
      <c r="E23" s="646">
        <v>46740</v>
      </c>
      <c r="F23" s="646">
        <v>47904</v>
      </c>
      <c r="G23" s="646">
        <v>46651</v>
      </c>
      <c r="H23" s="646">
        <v>46640</v>
      </c>
      <c r="I23" s="646">
        <v>47210</v>
      </c>
      <c r="J23" s="646">
        <v>49443</v>
      </c>
      <c r="K23" s="646">
        <v>52184</v>
      </c>
      <c r="L23" s="646">
        <v>51650.999999999993</v>
      </c>
      <c r="N23" s="559">
        <f t="shared" si="5"/>
        <v>16.968612708908903</v>
      </c>
      <c r="O23" s="419">
        <f t="shared" si="6"/>
        <v>7492.9999999999927</v>
      </c>
      <c r="P23" s="559">
        <f t="shared" si="7"/>
        <v>1.6746299889907794</v>
      </c>
      <c r="Q23" s="559">
        <f t="shared" si="8"/>
        <v>1.6481892010010268</v>
      </c>
      <c r="R23" s="559">
        <f t="shared" si="9"/>
        <v>1.6058281305740678</v>
      </c>
      <c r="S23" s="559">
        <f t="shared" si="10"/>
        <v>1.5860718863159042</v>
      </c>
      <c r="T23" s="559">
        <f t="shared" si="11"/>
        <v>1.5652400645779165</v>
      </c>
      <c r="U23" s="559">
        <f t="shared" si="12"/>
        <v>1.4995745671176222</v>
      </c>
      <c r="V23" s="559">
        <f t="shared" si="13"/>
        <v>1.5115541200544724</v>
      </c>
      <c r="W23" s="559">
        <f t="shared" si="14"/>
        <v>1.5217520939805209</v>
      </c>
      <c r="X23" s="559">
        <f t="shared" si="15"/>
        <v>1.4816237659128544</v>
      </c>
      <c r="Y23" s="559">
        <f t="shared" si="16"/>
        <v>1.4954222323985418</v>
      </c>
      <c r="Z23" s="559">
        <f t="shared" si="17"/>
        <v>1.4570283684842251</v>
      </c>
      <c r="AA23" s="2" t="str">
        <f>+IFERROR(RANK(B23,(B$6,B$15,B$22,B$26,B$27,B$28,B$33),0),"")</f>
        <v/>
      </c>
      <c r="AB23" s="2" t="str">
        <f>+IFERROR(RANK(C23,(C$6,C$15,C$22,C$26,C$27,C$28,C$33),0),"")</f>
        <v/>
      </c>
      <c r="AC23" s="2" t="str">
        <f>+IFERROR(RANK(D23,(D$6,D$15,D$22,D$26,D$27,D$28,D$33),0),"")</f>
        <v/>
      </c>
      <c r="AD23" s="2" t="str">
        <f>+IFERROR(RANK(E23,(E$6,E$15,E$22,E$26,E$27,E$28,E$33),0),"")</f>
        <v/>
      </c>
      <c r="AE23" s="2" t="str">
        <f>+IFERROR(RANK(F23,(F$6,F$15,F$22,F$26,F$27,F$28,F$33),0),"")</f>
        <v/>
      </c>
      <c r="AF23" s="2" t="str">
        <f>+IFERROR(RANK(G23,(G$6,G$15,G$22,G$26,G$27,G$28,G$33),0),"")</f>
        <v/>
      </c>
      <c r="AG23" s="2" t="str">
        <f>+IFERROR(RANK(H23,(H$6,H$15,H$22,H$26,H$27,H$28,H$33),0),"")</f>
        <v/>
      </c>
      <c r="AH23" s="2" t="str">
        <f>+IFERROR(RANK(I23,(I$6,I$15,I$22,I$26,I$27,I$28,I$33),0),"")</f>
        <v/>
      </c>
      <c r="AI23" s="2" t="str">
        <f>+IFERROR(RANK(J23,(J$6,J$15,J$22,J$26,J$27,J$28,J$33),0),"")</f>
        <v/>
      </c>
      <c r="AJ23" s="2" t="str">
        <f>+IFERROR(RANK(K23,(K$6,K$15,K$22,K$26,K$27,K$28,K$33),0),"")</f>
        <v/>
      </c>
      <c r="AK23" s="2" t="str">
        <f>+IFERROR(RANK(L23,(L$6,L$15,L$22,L$26,L$27,L$28,L$33),0),"")</f>
        <v/>
      </c>
    </row>
    <row r="24" spans="1:37" ht="20.100000000000001" customHeight="1">
      <c r="A24" s="15" t="s">
        <v>772</v>
      </c>
      <c r="B24" s="328">
        <v>844718</v>
      </c>
      <c r="C24" s="328">
        <v>862910</v>
      </c>
      <c r="D24" s="328">
        <v>901190</v>
      </c>
      <c r="E24" s="328">
        <v>934313</v>
      </c>
      <c r="F24" s="328">
        <v>979056</v>
      </c>
      <c r="G24" s="328">
        <v>1001279</v>
      </c>
      <c r="H24" s="328">
        <v>991460</v>
      </c>
      <c r="I24" s="328">
        <v>996023</v>
      </c>
      <c r="J24" s="328">
        <v>1083786</v>
      </c>
      <c r="K24" s="328">
        <v>1142871</v>
      </c>
      <c r="L24" s="328">
        <v>1174107</v>
      </c>
      <c r="N24" s="559">
        <f t="shared" si="5"/>
        <v>38.993960114499757</v>
      </c>
      <c r="O24" s="419">
        <f t="shared" si="6"/>
        <v>329389</v>
      </c>
      <c r="P24" s="559">
        <f t="shared" si="7"/>
        <v>32.034741044438455</v>
      </c>
      <c r="Q24" s="559">
        <f t="shared" si="8"/>
        <v>31.771226257920162</v>
      </c>
      <c r="R24" s="559">
        <f t="shared" si="9"/>
        <v>31.957341511174899</v>
      </c>
      <c r="S24" s="559">
        <f t="shared" si="10"/>
        <v>31.704911902427714</v>
      </c>
      <c r="T24" s="559">
        <f t="shared" si="11"/>
        <v>31.990181961117997</v>
      </c>
      <c r="U24" s="559">
        <f t="shared" si="12"/>
        <v>32.185644959142685</v>
      </c>
      <c r="V24" s="559">
        <f t="shared" si="13"/>
        <v>32.132192278499296</v>
      </c>
      <c r="W24" s="559">
        <f t="shared" si="14"/>
        <v>32.105487945409031</v>
      </c>
      <c r="X24" s="559">
        <f t="shared" si="15"/>
        <v>32.477056302482225</v>
      </c>
      <c r="Y24" s="559">
        <f t="shared" si="16"/>
        <v>32.750933277701094</v>
      </c>
      <c r="Z24" s="559">
        <f t="shared" si="17"/>
        <v>33.120505055776434</v>
      </c>
      <c r="AA24" s="2" t="str">
        <f>+IFERROR(RANK(B24,(B$6,B$15,B$22,B$26,B$27,B$28,B$33),0),"")</f>
        <v/>
      </c>
      <c r="AB24" s="2" t="str">
        <f>+IFERROR(RANK(C24,(C$6,C$15,C$22,C$26,C$27,C$28,C$33),0),"")</f>
        <v/>
      </c>
      <c r="AC24" s="2" t="str">
        <f>+IFERROR(RANK(D24,(D$6,D$15,D$22,D$26,D$27,D$28,D$33),0),"")</f>
        <v/>
      </c>
      <c r="AD24" s="2" t="str">
        <f>+IFERROR(RANK(E24,(E$6,E$15,E$22,E$26,E$27,E$28,E$33),0),"")</f>
        <v/>
      </c>
      <c r="AE24" s="2" t="str">
        <f>+IFERROR(RANK(F24,(F$6,F$15,F$22,F$26,F$27,F$28,F$33),0),"")</f>
        <v/>
      </c>
      <c r="AF24" s="2" t="str">
        <f>+IFERROR(RANK(G24,(G$6,G$15,G$22,G$26,G$27,G$28,G$33),0),"")</f>
        <v/>
      </c>
      <c r="AG24" s="2" t="str">
        <f>+IFERROR(RANK(H24,(H$6,H$15,H$22,H$26,H$27,H$28,H$33),0),"")</f>
        <v/>
      </c>
      <c r="AH24" s="2" t="str">
        <f>+IFERROR(RANK(I24,(I$6,I$15,I$22,I$26,I$27,I$28,I$33),0),"")</f>
        <v/>
      </c>
      <c r="AI24" s="2" t="str">
        <f>+IFERROR(RANK(J24,(J$6,J$15,J$22,J$26,J$27,J$28,J$33),0),"")</f>
        <v/>
      </c>
      <c r="AJ24" s="2" t="str">
        <f>+IFERROR(RANK(K24,(K$6,K$15,K$22,K$26,K$27,K$28,K$33),0),"")</f>
        <v/>
      </c>
      <c r="AK24" s="2" t="str">
        <f>+IFERROR(RANK(L24,(L$6,L$15,L$22,L$26,L$27,L$28,L$33),0),"")</f>
        <v/>
      </c>
    </row>
    <row r="25" spans="1:37" ht="20.100000000000001" customHeight="1">
      <c r="A25" s="15" t="s">
        <v>518</v>
      </c>
      <c r="B25" s="328">
        <v>156204.99999999997</v>
      </c>
      <c r="C25" s="328">
        <v>160681</v>
      </c>
      <c r="D25" s="328">
        <v>166932</v>
      </c>
      <c r="E25" s="328">
        <v>175084</v>
      </c>
      <c r="F25" s="328">
        <v>181076</v>
      </c>
      <c r="G25" s="328">
        <v>184055</v>
      </c>
      <c r="H25" s="328">
        <v>189411</v>
      </c>
      <c r="I25" s="328">
        <v>189574</v>
      </c>
      <c r="J25" s="328">
        <v>202867</v>
      </c>
      <c r="K25" s="328">
        <v>212303.99999999997</v>
      </c>
      <c r="L25" s="328">
        <v>214388.99999999997</v>
      </c>
      <c r="N25" s="559">
        <f t="shared" si="5"/>
        <v>37.248487564418568</v>
      </c>
      <c r="O25" s="419">
        <f t="shared" si="6"/>
        <v>58184</v>
      </c>
      <c r="P25" s="559">
        <f t="shared" si="7"/>
        <v>5.9238547359550848</v>
      </c>
      <c r="Q25" s="559">
        <f t="shared" si="8"/>
        <v>5.9160658774946056</v>
      </c>
      <c r="R25" s="559">
        <f t="shared" si="9"/>
        <v>5.9196206495227957</v>
      </c>
      <c r="S25" s="559">
        <f t="shared" si="10"/>
        <v>5.9412881930623396</v>
      </c>
      <c r="T25" s="559">
        <f t="shared" si="11"/>
        <v>5.9165708486454323</v>
      </c>
      <c r="U25" s="559">
        <f t="shared" si="12"/>
        <v>5.9163618561410027</v>
      </c>
      <c r="V25" s="559">
        <f t="shared" si="13"/>
        <v>6.1386144389716488</v>
      </c>
      <c r="W25" s="559">
        <f t="shared" si="14"/>
        <v>6.1106678979932916</v>
      </c>
      <c r="X25" s="559">
        <f t="shared" si="15"/>
        <v>6.0791733616375021</v>
      </c>
      <c r="Y25" s="559">
        <f t="shared" si="16"/>
        <v>6.0839361035401645</v>
      </c>
      <c r="Z25" s="559">
        <f t="shared" si="17"/>
        <v>6.0477213391989419</v>
      </c>
      <c r="AA25" s="2" t="str">
        <f>+IFERROR(RANK(B25,(B$6,B$15,B$22,B$26,B$27,B$28,B$33),0),"")</f>
        <v/>
      </c>
      <c r="AB25" s="2" t="str">
        <f>+IFERROR(RANK(C25,(C$6,C$15,C$22,C$26,C$27,C$28,C$33),0),"")</f>
        <v/>
      </c>
      <c r="AC25" s="2" t="str">
        <f>+IFERROR(RANK(D25,(D$6,D$15,D$22,D$26,D$27,D$28,D$33),0),"")</f>
        <v/>
      </c>
      <c r="AD25" s="2" t="str">
        <f>+IFERROR(RANK(E25,(E$6,E$15,E$22,E$26,E$27,E$28,E$33),0),"")</f>
        <v/>
      </c>
      <c r="AE25" s="2" t="str">
        <f>+IFERROR(RANK(F25,(F$6,F$15,F$22,F$26,F$27,F$28,F$33),0),"")</f>
        <v/>
      </c>
      <c r="AF25" s="2" t="str">
        <f>+IFERROR(RANK(G25,(G$6,G$15,G$22,G$26,G$27,G$28,G$33),0),"")</f>
        <v/>
      </c>
      <c r="AG25" s="2" t="str">
        <f>+IFERROR(RANK(H25,(H$6,H$15,H$22,H$26,H$27,H$28,H$33),0),"")</f>
        <v/>
      </c>
      <c r="AH25" s="2" t="str">
        <f>+IFERROR(RANK(I25,(I$6,I$15,I$22,I$26,I$27,I$28,I$33),0),"")</f>
        <v/>
      </c>
      <c r="AI25" s="2" t="str">
        <f>+IFERROR(RANK(J25,(J$6,J$15,J$22,J$26,J$27,J$28,J$33),0),"")</f>
        <v/>
      </c>
      <c r="AJ25" s="2" t="str">
        <f>+IFERROR(RANK(K25,(K$6,K$15,K$22,K$26,K$27,K$28,K$33),0),"")</f>
        <v/>
      </c>
      <c r="AK25" s="2" t="str">
        <f>+IFERROR(RANK(L25,(L$6,L$15,L$22,L$26,L$27,L$28,L$33),0),"")</f>
        <v/>
      </c>
    </row>
    <row r="26" spans="1:37" ht="18" customHeight="1">
      <c r="A26" s="572" t="s">
        <v>519</v>
      </c>
      <c r="B26" s="646">
        <v>21990</v>
      </c>
      <c r="C26" s="646">
        <v>23369</v>
      </c>
      <c r="D26" s="646">
        <v>24792</v>
      </c>
      <c r="E26" s="646">
        <v>26345</v>
      </c>
      <c r="F26" s="646">
        <v>27966</v>
      </c>
      <c r="G26" s="646">
        <v>29548</v>
      </c>
      <c r="H26" s="646">
        <v>33057</v>
      </c>
      <c r="I26" s="646">
        <v>33366</v>
      </c>
      <c r="J26" s="646">
        <v>35947</v>
      </c>
      <c r="K26" s="646">
        <v>37881</v>
      </c>
      <c r="L26" s="646">
        <v>36011</v>
      </c>
      <c r="N26" s="559">
        <f t="shared" si="5"/>
        <v>63.760800363801721</v>
      </c>
      <c r="O26" s="419">
        <f t="shared" si="6"/>
        <v>14021</v>
      </c>
      <c r="P26" s="559">
        <f t="shared" si="7"/>
        <v>0.83393979478027169</v>
      </c>
      <c r="Q26" s="559">
        <f t="shared" si="8"/>
        <v>0.86041625015509882</v>
      </c>
      <c r="R26" s="559">
        <f t="shared" si="9"/>
        <v>0.87915579483244166</v>
      </c>
      <c r="S26" s="559">
        <f t="shared" si="10"/>
        <v>0.89398938478802947</v>
      </c>
      <c r="T26" s="559">
        <f t="shared" si="11"/>
        <v>0.91377554371213288</v>
      </c>
      <c r="U26" s="559">
        <f t="shared" si="12"/>
        <v>0.94980663456713676</v>
      </c>
      <c r="V26" s="559">
        <f t="shared" si="13"/>
        <v>1.0713431506569617</v>
      </c>
      <c r="W26" s="559">
        <f t="shared" si="14"/>
        <v>1.0755090101197642</v>
      </c>
      <c r="X26" s="559">
        <f t="shared" si="15"/>
        <v>1.0771985824741497</v>
      </c>
      <c r="Y26" s="559">
        <f t="shared" si="16"/>
        <v>1.0855451783207335</v>
      </c>
      <c r="Z26" s="559">
        <f t="shared" si="17"/>
        <v>1.0158380007644661</v>
      </c>
      <c r="AA26" s="2">
        <f>+IFERROR(RANK(B26,(B$6,B$15,B$22,B$26,B$27,B$28,B$33),0),"")</f>
        <v>6</v>
      </c>
      <c r="AB26" s="2">
        <f>+IFERROR(RANK(C26,(C$6,C$15,C$22,C$26,C$27,C$28,C$33),0),"")</f>
        <v>6</v>
      </c>
      <c r="AC26" s="2">
        <f>+IFERROR(RANK(D26,(D$6,D$15,D$22,D$26,D$27,D$28,D$33),0),"")</f>
        <v>6</v>
      </c>
      <c r="AD26" s="2">
        <f>+IFERROR(RANK(E26,(E$6,E$15,E$22,E$26,E$27,E$28,E$33),0),"")</f>
        <v>6</v>
      </c>
      <c r="AE26" s="2">
        <f>+IFERROR(RANK(F26,(F$6,F$15,F$22,F$26,F$27,F$28,F$33),0),"")</f>
        <v>5</v>
      </c>
      <c r="AF26" s="2">
        <f>+IFERROR(RANK(G26,(G$6,G$15,G$22,G$26,G$27,G$28,G$33),0),"")</f>
        <v>5</v>
      </c>
      <c r="AG26" s="2">
        <f>+IFERROR(RANK(H26,(H$6,H$15,H$22,H$26,H$27,H$28,H$33),0),"")</f>
        <v>5</v>
      </c>
      <c r="AH26" s="2">
        <f>+IFERROR(RANK(I26,(I$6,I$15,I$22,I$26,I$27,I$28,I$33),0),"")</f>
        <v>5</v>
      </c>
      <c r="AI26" s="2">
        <f>+IFERROR(RANK(J26,(J$6,J$15,J$22,J$26,J$27,J$28,J$33),0),"")</f>
        <v>5</v>
      </c>
      <c r="AJ26" s="2">
        <f>+IFERROR(RANK(K26,(K$6,K$15,K$22,K$26,K$27,K$28,K$33),0),"")</f>
        <v>5</v>
      </c>
      <c r="AK26" s="2">
        <f>+IFERROR(RANK(L26,(L$6,L$15,L$22,L$26,L$27,L$28,L$33),0),"")</f>
        <v>5</v>
      </c>
    </row>
    <row r="27" spans="1:37" ht="18" customHeight="1">
      <c r="A27" s="572" t="s">
        <v>520</v>
      </c>
      <c r="B27" s="646">
        <v>23979.999999999996</v>
      </c>
      <c r="C27" s="646">
        <v>24788</v>
      </c>
      <c r="D27" s="646">
        <v>25090</v>
      </c>
      <c r="E27" s="646">
        <v>26560</v>
      </c>
      <c r="F27" s="646">
        <v>26946</v>
      </c>
      <c r="G27" s="646">
        <v>26981</v>
      </c>
      <c r="H27" s="646">
        <v>26942</v>
      </c>
      <c r="I27" s="646">
        <v>27021</v>
      </c>
      <c r="J27" s="646">
        <v>29984</v>
      </c>
      <c r="K27" s="646">
        <v>31710.000000000004</v>
      </c>
      <c r="L27" s="646">
        <v>33016.999999999993</v>
      </c>
      <c r="N27" s="559">
        <f t="shared" si="5"/>
        <v>37.685571309424517</v>
      </c>
      <c r="O27" s="419">
        <f t="shared" si="6"/>
        <v>9036.9999999999964</v>
      </c>
      <c r="P27" s="559">
        <f t="shared" si="7"/>
        <v>0.90940774346661724</v>
      </c>
      <c r="Q27" s="559">
        <f t="shared" si="8"/>
        <v>0.91266198848237357</v>
      </c>
      <c r="R27" s="559">
        <f t="shared" si="9"/>
        <v>0.88972325316013079</v>
      </c>
      <c r="S27" s="559">
        <f t="shared" si="10"/>
        <v>0.90128517972936273</v>
      </c>
      <c r="T27" s="559">
        <f t="shared" si="11"/>
        <v>0.880447536325078</v>
      </c>
      <c r="U27" s="559">
        <f t="shared" si="12"/>
        <v>0.86729162065980492</v>
      </c>
      <c r="V27" s="559">
        <f t="shared" si="13"/>
        <v>0.8731623306712607</v>
      </c>
      <c r="W27" s="559">
        <f t="shared" si="14"/>
        <v>0.87098630229713314</v>
      </c>
      <c r="X27" s="559">
        <f t="shared" si="15"/>
        <v>0.89850953617561691</v>
      </c>
      <c r="Y27" s="559">
        <f t="shared" si="16"/>
        <v>0.90870456441357061</v>
      </c>
      <c r="Z27" s="559">
        <f t="shared" si="17"/>
        <v>0.93137994699509508</v>
      </c>
      <c r="AA27" s="2">
        <f>+IFERROR(RANK(B27,(B$6,B$15,B$22,B$26,B$27,B$28,B$33),0),"")</f>
        <v>5</v>
      </c>
      <c r="AB27" s="2">
        <f>+IFERROR(RANK(C27,(C$6,C$15,C$22,C$26,C$27,C$28,C$33),0),"")</f>
        <v>5</v>
      </c>
      <c r="AC27" s="2">
        <f>+IFERROR(RANK(D27,(D$6,D$15,D$22,D$26,D$27,D$28,D$33),0),"")</f>
        <v>5</v>
      </c>
      <c r="AD27" s="2">
        <f>+IFERROR(RANK(E27,(E$6,E$15,E$22,E$26,E$27,E$28,E$33),0),"")</f>
        <v>5</v>
      </c>
      <c r="AE27" s="2">
        <f>+IFERROR(RANK(F27,(F$6,F$15,F$22,F$26,F$27,F$28,F$33),0),"")</f>
        <v>6</v>
      </c>
      <c r="AF27" s="2">
        <f>+IFERROR(RANK(G27,(G$6,G$15,G$22,G$26,G$27,G$28,G$33),0),"")</f>
        <v>6</v>
      </c>
      <c r="AG27" s="2">
        <f>+IFERROR(RANK(H27,(H$6,H$15,H$22,H$26,H$27,H$28,H$33),0),"")</f>
        <v>6</v>
      </c>
      <c r="AH27" s="2">
        <f>+IFERROR(RANK(I27,(I$6,I$15,I$22,I$26,I$27,I$28,I$33),0),"")</f>
        <v>6</v>
      </c>
      <c r="AI27" s="2">
        <f>+IFERROR(RANK(J27,(J$6,J$15,J$22,J$26,J$27,J$28,J$33),0),"")</f>
        <v>6</v>
      </c>
      <c r="AJ27" s="2">
        <f>+IFERROR(RANK(K27,(K$6,K$15,K$22,K$26,K$27,K$28,K$33),0),"")</f>
        <v>6</v>
      </c>
      <c r="AK27" s="2">
        <f>+IFERROR(RANK(L27,(L$6,L$15,L$22,L$26,L$27,L$28,L$33),0),"")</f>
        <v>6</v>
      </c>
    </row>
    <row r="28" spans="1:37" ht="18" customHeight="1">
      <c r="A28" s="572" t="s">
        <v>515</v>
      </c>
      <c r="B28" s="646">
        <v>54260</v>
      </c>
      <c r="C28" s="646">
        <v>55003</v>
      </c>
      <c r="D28" s="646">
        <v>57238</v>
      </c>
      <c r="E28" s="646">
        <v>61082</v>
      </c>
      <c r="F28" s="646">
        <v>63367</v>
      </c>
      <c r="G28" s="646">
        <v>64381</v>
      </c>
      <c r="H28" s="646">
        <v>66472</v>
      </c>
      <c r="I28" s="646">
        <v>66608</v>
      </c>
      <c r="J28" s="646">
        <v>70357</v>
      </c>
      <c r="K28" s="646">
        <v>73041</v>
      </c>
      <c r="L28" s="646">
        <v>76658</v>
      </c>
      <c r="N28" s="559">
        <f t="shared" si="5"/>
        <v>41.279026907482489</v>
      </c>
      <c r="O28" s="419">
        <f t="shared" si="6"/>
        <v>22398</v>
      </c>
      <c r="P28" s="559">
        <f t="shared" si="7"/>
        <v>2.0577341184528213</v>
      </c>
      <c r="Q28" s="559">
        <f t="shared" si="8"/>
        <v>2.0251390734426336</v>
      </c>
      <c r="R28" s="559">
        <f t="shared" si="9"/>
        <v>2.029732146846535</v>
      </c>
      <c r="S28" s="559">
        <f t="shared" si="10"/>
        <v>2.0727523097977762</v>
      </c>
      <c r="T28" s="559">
        <f t="shared" si="11"/>
        <v>2.0704861216622583</v>
      </c>
      <c r="U28" s="559">
        <f t="shared" si="12"/>
        <v>2.0694971212964273</v>
      </c>
      <c r="V28" s="559">
        <f t="shared" si="13"/>
        <v>2.1542887107260054</v>
      </c>
      <c r="W28" s="559">
        <f t="shared" si="14"/>
        <v>2.1470210437588335</v>
      </c>
      <c r="X28" s="559">
        <f t="shared" si="15"/>
        <v>2.108338962003331</v>
      </c>
      <c r="Y28" s="559">
        <f t="shared" si="16"/>
        <v>2.0931154238199809</v>
      </c>
      <c r="Z28" s="559">
        <f t="shared" si="17"/>
        <v>2.1624534020883188</v>
      </c>
      <c r="AA28" s="2">
        <f>+IFERROR(RANK(B28,(B$6,B$15,B$22,B$26,B$27,B$28,B$33),0),"")</f>
        <v>3</v>
      </c>
      <c r="AB28" s="2">
        <f>+IFERROR(RANK(C28,(C$6,C$15,C$22,C$26,C$27,C$28,C$33),0),"")</f>
        <v>3</v>
      </c>
      <c r="AC28" s="2">
        <f>+IFERROR(RANK(D28,(D$6,D$15,D$22,D$26,D$27,D$28,D$33),0),"")</f>
        <v>3</v>
      </c>
      <c r="AD28" s="2">
        <f>+IFERROR(RANK(E28,(E$6,E$15,E$22,E$26,E$27,E$28,E$33),0),"")</f>
        <v>3</v>
      </c>
      <c r="AE28" s="2">
        <f>+IFERROR(RANK(F28,(F$6,F$15,F$22,F$26,F$27,F$28,F$33),0),"")</f>
        <v>3</v>
      </c>
      <c r="AF28" s="2">
        <f>+IFERROR(RANK(G28,(G$6,G$15,G$22,G$26,G$27,G$28,G$33),0),"")</f>
        <v>3</v>
      </c>
      <c r="AG28" s="2">
        <f>+IFERROR(RANK(H28,(H$6,H$15,H$22,H$26,H$27,H$28,H$33),0),"")</f>
        <v>3</v>
      </c>
      <c r="AH28" s="2">
        <f>+IFERROR(RANK(I28,(I$6,I$15,I$22,I$26,I$27,I$28,I$33),0),"")</f>
        <v>3</v>
      </c>
      <c r="AI28" s="2">
        <f>+IFERROR(RANK(J28,(J$6,J$15,J$22,J$26,J$27,J$28,J$33),0),"")</f>
        <v>3</v>
      </c>
      <c r="AJ28" s="2">
        <f>+IFERROR(RANK(K28,(K$6,K$15,K$22,K$26,K$27,K$28,K$33),0),"")</f>
        <v>3</v>
      </c>
      <c r="AK28" s="2">
        <f>+IFERROR(RANK(L28,(L$6,L$15,L$22,L$26,L$27,L$28,L$33),0),"")</f>
        <v>3</v>
      </c>
    </row>
    <row r="29" spans="1:37" ht="18" customHeight="1">
      <c r="A29" s="572" t="s">
        <v>521</v>
      </c>
      <c r="B29" s="646">
        <v>20497.000000000004</v>
      </c>
      <c r="C29" s="646">
        <v>20704</v>
      </c>
      <c r="D29" s="646">
        <v>21614</v>
      </c>
      <c r="E29" s="646">
        <v>22068</v>
      </c>
      <c r="F29" s="646">
        <v>22056</v>
      </c>
      <c r="G29" s="646">
        <v>22201</v>
      </c>
      <c r="H29" s="646">
        <v>22475</v>
      </c>
      <c r="I29" s="646">
        <v>21854</v>
      </c>
      <c r="J29" s="646">
        <v>23056</v>
      </c>
      <c r="K29" s="646">
        <v>24444.000000000004</v>
      </c>
      <c r="L29" s="646">
        <v>23829.999999999996</v>
      </c>
      <c r="N29" s="559">
        <f t="shared" si="5"/>
        <v>16.260916231643606</v>
      </c>
      <c r="O29" s="419">
        <f t="shared" si="6"/>
        <v>3332.9999999999927</v>
      </c>
      <c r="P29" s="559">
        <f t="shared" si="7"/>
        <v>0.77731987146936032</v>
      </c>
      <c r="Q29" s="559">
        <f t="shared" si="8"/>
        <v>0.76229440896962497</v>
      </c>
      <c r="R29" s="559">
        <f t="shared" si="9"/>
        <v>0.76645988018346212</v>
      </c>
      <c r="S29" s="559">
        <f t="shared" si="10"/>
        <v>0.74885396635043588</v>
      </c>
      <c r="T29" s="559">
        <f t="shared" si="11"/>
        <v>0.72066914796949155</v>
      </c>
      <c r="U29" s="559">
        <f t="shared" si="12"/>
        <v>0.71364075720945597</v>
      </c>
      <c r="V29" s="559">
        <f t="shared" si="13"/>
        <v>0.72839148473894233</v>
      </c>
      <c r="W29" s="559">
        <f t="shared" si="14"/>
        <v>0.70443487104109948</v>
      </c>
      <c r="X29" s="559">
        <f t="shared" si="15"/>
        <v>0.69090301047442049</v>
      </c>
      <c r="Y29" s="559">
        <f t="shared" si="16"/>
        <v>0.70048484303138825</v>
      </c>
      <c r="Z29" s="559">
        <f t="shared" si="17"/>
        <v>0.67222291961392977</v>
      </c>
      <c r="AA29" s="2" t="str">
        <f>+IFERROR(RANK(B29,(B$6,B$15,B$22,B$26,B$27,B$28,B$33),0),"")</f>
        <v/>
      </c>
      <c r="AB29" s="2" t="str">
        <f>+IFERROR(RANK(C29,(C$6,C$15,C$22,C$26,C$27,C$28,C$33),0),"")</f>
        <v/>
      </c>
      <c r="AC29" s="2" t="str">
        <f>+IFERROR(RANK(D29,(D$6,D$15,D$22,D$26,D$27,D$28,D$33),0),"")</f>
        <v/>
      </c>
      <c r="AD29" s="2" t="str">
        <f>+IFERROR(RANK(E29,(E$6,E$15,E$22,E$26,E$27,E$28,E$33),0),"")</f>
        <v/>
      </c>
      <c r="AE29" s="2" t="str">
        <f>+IFERROR(RANK(F29,(F$6,F$15,F$22,F$26,F$27,F$28,F$33),0),"")</f>
        <v/>
      </c>
      <c r="AF29" s="2" t="str">
        <f>+IFERROR(RANK(G29,(G$6,G$15,G$22,G$26,G$27,G$28,G$33),0),"")</f>
        <v/>
      </c>
      <c r="AG29" s="2" t="str">
        <f>+IFERROR(RANK(H29,(H$6,H$15,H$22,H$26,H$27,H$28,H$33),0),"")</f>
        <v/>
      </c>
      <c r="AH29" s="2" t="str">
        <f>+IFERROR(RANK(I29,(I$6,I$15,I$22,I$26,I$27,I$28,I$33),0),"")</f>
        <v/>
      </c>
      <c r="AI29" s="2" t="str">
        <f>+IFERROR(RANK(J29,(J$6,J$15,J$22,J$26,J$27,J$28,J$33),0),"")</f>
        <v/>
      </c>
      <c r="AJ29" s="2" t="str">
        <f>+IFERROR(RANK(K29,(K$6,K$15,K$22,K$26,K$27,K$28,K$33),0),"")</f>
        <v/>
      </c>
      <c r="AK29" s="2" t="str">
        <f>+IFERROR(RANK(L29,(L$6,L$15,L$22,L$26,L$27,L$28,L$33),0),"")</f>
        <v/>
      </c>
    </row>
    <row r="30" spans="1:37" ht="18" customHeight="1">
      <c r="A30" s="572" t="s">
        <v>522</v>
      </c>
      <c r="B30" s="646">
        <v>35478</v>
      </c>
      <c r="C30" s="646">
        <v>36817</v>
      </c>
      <c r="D30" s="646">
        <v>38198</v>
      </c>
      <c r="E30" s="646">
        <v>39029</v>
      </c>
      <c r="F30" s="646">
        <v>40741</v>
      </c>
      <c r="G30" s="646">
        <v>40944</v>
      </c>
      <c r="H30" s="646">
        <v>40465</v>
      </c>
      <c r="I30" s="646">
        <v>40725</v>
      </c>
      <c r="J30" s="646">
        <v>43523</v>
      </c>
      <c r="K30" s="646">
        <v>45228</v>
      </c>
      <c r="L30" s="646">
        <v>44873</v>
      </c>
      <c r="N30" s="559">
        <f t="shared" si="5"/>
        <v>26.481199616663844</v>
      </c>
      <c r="O30" s="419">
        <f t="shared" si="6"/>
        <v>9395</v>
      </c>
      <c r="P30" s="559">
        <f t="shared" si="7"/>
        <v>1.3454532077860155</v>
      </c>
      <c r="Q30" s="559">
        <f t="shared" si="8"/>
        <v>1.3555541564448745</v>
      </c>
      <c r="R30" s="559">
        <f t="shared" si="9"/>
        <v>1.3545495745002261</v>
      </c>
      <c r="S30" s="559">
        <f t="shared" si="10"/>
        <v>1.3244073523967357</v>
      </c>
      <c r="T30" s="559">
        <f t="shared" si="11"/>
        <v>1.3311924989764716</v>
      </c>
      <c r="U30" s="559">
        <f t="shared" si="12"/>
        <v>1.3161257224081782</v>
      </c>
      <c r="V30" s="559">
        <f t="shared" si="13"/>
        <v>1.3114287621784784</v>
      </c>
      <c r="W30" s="559">
        <f t="shared" si="14"/>
        <v>1.3127166707764608</v>
      </c>
      <c r="X30" s="559">
        <f t="shared" si="15"/>
        <v>1.3042232705099845</v>
      </c>
      <c r="Y30" s="559">
        <f t="shared" si="16"/>
        <v>1.2960860939544927</v>
      </c>
      <c r="Z30" s="559">
        <f t="shared" si="17"/>
        <v>1.2658270697371328</v>
      </c>
      <c r="AA30" s="2" t="str">
        <f>+IFERROR(RANK(B30,(B$6,B$15,B$22,B$26,B$27,B$28,B$33),0),"")</f>
        <v/>
      </c>
      <c r="AB30" s="2" t="str">
        <f>+IFERROR(RANK(C30,(C$6,C$15,C$22,C$26,C$27,C$28,C$33),0),"")</f>
        <v/>
      </c>
      <c r="AC30" s="2" t="str">
        <f>+IFERROR(RANK(D30,(D$6,D$15,D$22,D$26,D$27,D$28,D$33),0),"")</f>
        <v/>
      </c>
      <c r="AD30" s="2" t="str">
        <f>+IFERROR(RANK(E30,(E$6,E$15,E$22,E$26,E$27,E$28,E$33),0),"")</f>
        <v/>
      </c>
      <c r="AE30" s="2" t="str">
        <f>+IFERROR(RANK(F30,(F$6,F$15,F$22,F$26,F$27,F$28,F$33),0),"")</f>
        <v/>
      </c>
      <c r="AF30" s="2" t="str">
        <f>+IFERROR(RANK(G30,(G$6,G$15,G$22,G$26,G$27,G$28,G$33),0),"")</f>
        <v/>
      </c>
      <c r="AG30" s="2" t="str">
        <f>+IFERROR(RANK(H30,(H$6,H$15,H$22,H$26,H$27,H$28,H$33),0),"")</f>
        <v/>
      </c>
      <c r="AH30" s="2" t="str">
        <f>+IFERROR(RANK(I30,(I$6,I$15,I$22,I$26,I$27,I$28,I$33),0),"")</f>
        <v/>
      </c>
      <c r="AI30" s="2" t="str">
        <f>+IFERROR(RANK(J30,(J$6,J$15,J$22,J$26,J$27,J$28,J$33),0),"")</f>
        <v/>
      </c>
      <c r="AJ30" s="2" t="str">
        <f>+IFERROR(RANK(K30,(K$6,K$15,K$22,K$26,K$27,K$28,K$33),0),"")</f>
        <v/>
      </c>
      <c r="AK30" s="2" t="str">
        <f>+IFERROR(RANK(L30,(L$6,L$15,L$22,L$26,L$27,L$28,L$33),0),"")</f>
        <v/>
      </c>
    </row>
    <row r="31" spans="1:37" s="18" customFormat="1" ht="20.100000000000001" customHeight="1">
      <c r="A31" s="17" t="s">
        <v>523</v>
      </c>
      <c r="B31" s="689">
        <v>119459</v>
      </c>
      <c r="C31" s="689">
        <v>126980</v>
      </c>
      <c r="D31" s="689">
        <v>135848</v>
      </c>
      <c r="E31" s="689">
        <v>145770</v>
      </c>
      <c r="F31" s="689">
        <v>154417</v>
      </c>
      <c r="G31" s="689">
        <v>160288</v>
      </c>
      <c r="H31" s="689">
        <v>144668</v>
      </c>
      <c r="I31" s="689">
        <v>148406</v>
      </c>
      <c r="J31" s="689">
        <v>165503</v>
      </c>
      <c r="K31" s="689">
        <v>178434</v>
      </c>
      <c r="L31" s="689">
        <v>184098.99999999997</v>
      </c>
      <c r="N31" s="559">
        <f t="shared" si="5"/>
        <v>54.11061535757036</v>
      </c>
      <c r="O31" s="419">
        <f t="shared" si="6"/>
        <v>64639.999999999971</v>
      </c>
      <c r="P31" s="559">
        <f t="shared" si="7"/>
        <v>4.5303144131267157</v>
      </c>
      <c r="Q31" s="559">
        <f t="shared" si="8"/>
        <v>4.6752387968973617</v>
      </c>
      <c r="R31" s="559">
        <f t="shared" si="9"/>
        <v>4.817342546643979</v>
      </c>
      <c r="S31" s="559">
        <f t="shared" si="10"/>
        <v>4.9465489702239918</v>
      </c>
      <c r="T31" s="559">
        <f t="shared" si="11"/>
        <v>5.0455008987125947</v>
      </c>
      <c r="U31" s="559">
        <f t="shared" si="12"/>
        <v>5.1523827616589015</v>
      </c>
      <c r="V31" s="559">
        <f t="shared" si="13"/>
        <v>4.6885401252152752</v>
      </c>
      <c r="W31" s="559">
        <f t="shared" si="14"/>
        <v>4.7836717064027363</v>
      </c>
      <c r="X31" s="559">
        <f t="shared" si="15"/>
        <v>4.959512532206281</v>
      </c>
      <c r="Y31" s="559">
        <f t="shared" si="16"/>
        <v>5.1133330257512153</v>
      </c>
      <c r="Z31" s="559">
        <f t="shared" si="17"/>
        <v>5.1932676155268505</v>
      </c>
      <c r="AA31" s="2" t="str">
        <f>+IFERROR(RANK(B31,(B$6,B$15,B$22,B$26,B$27,B$28,B$33),0),"")</f>
        <v/>
      </c>
      <c r="AB31" s="2" t="str">
        <f>+IFERROR(RANK(C31,(C$6,C$15,C$22,C$26,C$27,C$28,C$33),0),"")</f>
        <v/>
      </c>
      <c r="AC31" s="2" t="str">
        <f>+IFERROR(RANK(D31,(D$6,D$15,D$22,D$26,D$27,D$28,D$33),0),"")</f>
        <v/>
      </c>
      <c r="AD31" s="2" t="str">
        <f>+IFERROR(RANK(E31,(E$6,E$15,E$22,E$26,E$27,E$28,E$33),0),"")</f>
        <v/>
      </c>
      <c r="AE31" s="2" t="str">
        <f>+IFERROR(RANK(F31,(F$6,F$15,F$22,F$26,F$27,F$28,F$33),0),"")</f>
        <v/>
      </c>
      <c r="AF31" s="2" t="str">
        <f>+IFERROR(RANK(G31,(G$6,G$15,G$22,G$26,G$27,G$28,G$33),0),"")</f>
        <v/>
      </c>
      <c r="AG31" s="2" t="str">
        <f>+IFERROR(RANK(H31,(H$6,H$15,H$22,H$26,H$27,H$28,H$33),0),"")</f>
        <v/>
      </c>
      <c r="AH31" s="2" t="str">
        <f>+IFERROR(RANK(I31,(I$6,I$15,I$22,I$26,I$27,I$28,I$33),0),"")</f>
        <v/>
      </c>
      <c r="AI31" s="2" t="str">
        <f>+IFERROR(RANK(J31,(J$6,J$15,J$22,J$26,J$27,J$28,J$33),0),"")</f>
        <v/>
      </c>
      <c r="AJ31" s="2" t="str">
        <f>+IFERROR(RANK(K31,(K$6,K$15,K$22,K$26,K$27,K$28,K$33),0),"")</f>
        <v/>
      </c>
      <c r="AK31" s="2" t="str">
        <f>+IFERROR(RANK(L31,(L$6,L$15,L$22,L$26,L$27,L$28,L$33),0),"")</f>
        <v/>
      </c>
    </row>
    <row r="32" spans="1:37" ht="15" customHeight="1">
      <c r="A32" s="19" t="s">
        <v>769</v>
      </c>
      <c r="B32" s="16"/>
      <c r="C32" s="16"/>
      <c r="D32" s="16"/>
      <c r="E32" s="16"/>
      <c r="F32" s="16"/>
      <c r="G32" s="16"/>
      <c r="H32" s="16"/>
      <c r="I32" s="16"/>
      <c r="J32" s="16"/>
      <c r="K32" s="16"/>
      <c r="L32" s="16"/>
      <c r="P32" s="682"/>
      <c r="Q32" s="681"/>
      <c r="U32" s="682"/>
      <c r="V32" s="678"/>
      <c r="W32" s="678"/>
      <c r="X32" s="678"/>
      <c r="Y32" s="678"/>
      <c r="Z32" s="678"/>
      <c r="AA32" s="678"/>
      <c r="AB32" s="678"/>
      <c r="AC32" s="678"/>
      <c r="AD32" s="678"/>
      <c r="AE32" s="678"/>
    </row>
    <row r="33" spans="16:31">
      <c r="P33" s="682"/>
      <c r="Q33" s="681"/>
      <c r="U33" s="682"/>
      <c r="V33" s="678"/>
      <c r="W33" s="678"/>
      <c r="X33" s="678"/>
      <c r="Y33" s="678"/>
      <c r="Z33" s="678"/>
      <c r="AA33" s="678"/>
      <c r="AB33" s="678"/>
      <c r="AC33" s="678"/>
      <c r="AD33" s="678"/>
      <c r="AE33" s="678"/>
    </row>
    <row r="34" spans="16:31">
      <c r="P34" s="682"/>
      <c r="Q34" s="681"/>
      <c r="U34" s="682"/>
      <c r="V34" s="678"/>
      <c r="W34" s="678"/>
      <c r="X34" s="678"/>
      <c r="Y34" s="678"/>
      <c r="Z34" s="678"/>
      <c r="AA34" s="678"/>
      <c r="AB34" s="678"/>
      <c r="AC34" s="678"/>
      <c r="AD34" s="678"/>
      <c r="AE34" s="678"/>
    </row>
    <row r="35" spans="16:31">
      <c r="P35" s="682"/>
      <c r="Q35" s="681"/>
      <c r="U35" s="682"/>
      <c r="V35" s="678"/>
      <c r="W35" s="678"/>
      <c r="X35" s="678"/>
      <c r="Y35" s="678"/>
      <c r="Z35" s="678"/>
      <c r="AA35" s="678"/>
      <c r="AB35" s="678"/>
      <c r="AC35" s="678"/>
      <c r="AD35" s="678"/>
      <c r="AE35" s="678"/>
    </row>
    <row r="36" spans="16:31">
      <c r="P36" s="682"/>
      <c r="Q36" s="681"/>
      <c r="U36" s="682"/>
      <c r="V36" s="678"/>
      <c r="W36" s="678"/>
      <c r="X36" s="678"/>
      <c r="Y36" s="678"/>
      <c r="Z36" s="678"/>
      <c r="AA36" s="678"/>
      <c r="AB36" s="678"/>
      <c r="AC36" s="678"/>
      <c r="AD36" s="678"/>
      <c r="AE36" s="678"/>
    </row>
    <row r="37" spans="16:31">
      <c r="P37" s="682"/>
      <c r="Q37" s="681"/>
      <c r="U37" s="682"/>
      <c r="V37" s="678"/>
      <c r="W37" s="678"/>
      <c r="X37" s="678"/>
      <c r="Y37" s="678"/>
      <c r="Z37" s="678"/>
      <c r="AA37" s="678"/>
      <c r="AB37" s="678"/>
      <c r="AC37" s="678"/>
      <c r="AD37" s="678"/>
      <c r="AE37" s="678"/>
    </row>
    <row r="38" spans="16:31">
      <c r="P38" s="682"/>
      <c r="Q38" s="681"/>
      <c r="U38" s="682"/>
      <c r="V38" s="678"/>
      <c r="W38" s="678"/>
      <c r="X38" s="678"/>
      <c r="Y38" s="678"/>
      <c r="Z38" s="678"/>
      <c r="AA38" s="678"/>
      <c r="AB38" s="678"/>
      <c r="AC38" s="678"/>
      <c r="AD38" s="678"/>
      <c r="AE38" s="678"/>
    </row>
    <row r="39" spans="16:31">
      <c r="P39" s="685"/>
      <c r="Q39" s="681"/>
      <c r="U39" s="685"/>
      <c r="V39" s="678"/>
      <c r="W39" s="678"/>
      <c r="X39" s="678"/>
      <c r="Y39" s="678"/>
      <c r="Z39" s="678"/>
      <c r="AA39" s="678"/>
      <c r="AB39" s="678"/>
      <c r="AC39" s="678"/>
      <c r="AD39" s="678"/>
      <c r="AE39" s="678"/>
    </row>
    <row r="40" spans="16:31">
      <c r="P40" s="685"/>
      <c r="Q40" s="681"/>
      <c r="U40" s="685"/>
      <c r="V40" s="678"/>
      <c r="W40" s="678"/>
      <c r="X40" s="678"/>
      <c r="Y40" s="678"/>
      <c r="Z40" s="678"/>
      <c r="AA40" s="678"/>
      <c r="AB40" s="678"/>
      <c r="AC40" s="678"/>
      <c r="AD40" s="678"/>
      <c r="AE40" s="678"/>
    </row>
    <row r="41" spans="16:31">
      <c r="P41" s="682"/>
      <c r="Q41" s="681"/>
      <c r="U41" s="682"/>
      <c r="V41" s="678"/>
      <c r="W41" s="678"/>
      <c r="X41" s="678"/>
      <c r="Y41" s="678"/>
      <c r="Z41" s="678"/>
      <c r="AA41" s="678"/>
      <c r="AB41" s="678"/>
      <c r="AC41" s="678"/>
      <c r="AD41" s="678"/>
      <c r="AE41" s="678"/>
    </row>
    <row r="42" spans="16:31">
      <c r="P42" s="682"/>
      <c r="Q42" s="681"/>
      <c r="U42" s="682"/>
      <c r="V42" s="678"/>
      <c r="W42" s="678"/>
      <c r="X42" s="678"/>
      <c r="Y42" s="678"/>
      <c r="Z42" s="678"/>
      <c r="AA42" s="678"/>
      <c r="AB42" s="678"/>
      <c r="AC42" s="678"/>
      <c r="AD42" s="678"/>
      <c r="AE42" s="678"/>
    </row>
    <row r="43" spans="16:31">
      <c r="P43" s="682"/>
      <c r="Q43" s="681"/>
      <c r="U43" s="682"/>
      <c r="V43" s="678"/>
      <c r="W43" s="678"/>
      <c r="X43" s="678"/>
      <c r="Y43" s="678"/>
      <c r="Z43" s="678"/>
      <c r="AA43" s="678"/>
      <c r="AB43" s="678"/>
      <c r="AC43" s="678"/>
      <c r="AD43" s="678"/>
      <c r="AE43" s="678"/>
    </row>
    <row r="44" spans="16:31">
      <c r="P44" s="682"/>
      <c r="Q44" s="681"/>
      <c r="U44" s="682"/>
      <c r="V44" s="678"/>
      <c r="W44" s="678"/>
      <c r="X44" s="678"/>
      <c r="Y44" s="678"/>
      <c r="Z44" s="678"/>
      <c r="AA44" s="678"/>
      <c r="AB44" s="678"/>
      <c r="AC44" s="678"/>
      <c r="AD44" s="678"/>
      <c r="AE44" s="678"/>
    </row>
    <row r="45" spans="16:31">
      <c r="P45" s="682"/>
      <c r="Q45" s="681"/>
      <c r="U45" s="682"/>
      <c r="V45" s="678"/>
      <c r="W45" s="678"/>
      <c r="X45" s="678"/>
      <c r="Y45" s="678"/>
      <c r="Z45" s="678"/>
      <c r="AA45" s="678"/>
      <c r="AB45" s="678"/>
      <c r="AC45" s="678"/>
      <c r="AD45" s="678"/>
      <c r="AE45" s="678"/>
    </row>
    <row r="46" spans="16:31">
      <c r="P46" s="685"/>
      <c r="Q46" s="687"/>
      <c r="U46" s="685"/>
    </row>
    <row r="47" spans="16:31">
      <c r="P47" s="679"/>
      <c r="Q47" s="687"/>
    </row>
    <row r="48" spans="16:31" ht="12.75">
      <c r="Q48" s="688"/>
      <c r="R48" s="688"/>
      <c r="S48" s="688"/>
      <c r="T48" s="675"/>
      <c r="U48" s="675"/>
      <c r="V48" s="675"/>
      <c r="W48" s="675"/>
      <c r="X48" s="675"/>
      <c r="Y48" s="675"/>
      <c r="Z48" s="675"/>
      <c r="AA48" s="675"/>
    </row>
    <row r="49" spans="7:31">
      <c r="P49" s="685"/>
      <c r="Q49" s="678"/>
      <c r="R49" s="678"/>
      <c r="S49" s="678"/>
      <c r="T49" s="678"/>
      <c r="U49" s="678"/>
      <c r="V49" s="678"/>
      <c r="W49" s="687"/>
      <c r="X49" s="687"/>
      <c r="Y49" s="687"/>
      <c r="Z49" s="687"/>
      <c r="AA49" s="687"/>
    </row>
    <row r="50" spans="7:31" ht="12.75">
      <c r="G50" s="419"/>
      <c r="H50" s="419"/>
      <c r="P50" s="685"/>
      <c r="Q50" s="678"/>
      <c r="V50" s="688"/>
      <c r="W50" s="688"/>
      <c r="X50" s="688"/>
      <c r="Y50" s="688"/>
      <c r="Z50" s="688"/>
      <c r="AA50" s="688"/>
      <c r="AB50" s="688"/>
      <c r="AC50" s="688"/>
      <c r="AD50" s="688"/>
      <c r="AE50" s="688"/>
    </row>
    <row r="51" spans="7:31">
      <c r="P51" s="685"/>
      <c r="U51" s="685"/>
      <c r="V51" s="681"/>
      <c r="W51" s="681"/>
      <c r="X51" s="681"/>
      <c r="Y51" s="681"/>
      <c r="Z51" s="681"/>
      <c r="AA51" s="681"/>
      <c r="AB51" s="681"/>
      <c r="AC51" s="681"/>
      <c r="AD51" s="681"/>
      <c r="AE51" s="681"/>
    </row>
    <row r="52" spans="7:31">
      <c r="P52" s="685"/>
      <c r="U52" s="685"/>
      <c r="V52" s="681"/>
      <c r="W52" s="681"/>
      <c r="X52" s="681"/>
      <c r="Y52" s="681"/>
      <c r="Z52" s="681"/>
      <c r="AA52" s="681"/>
      <c r="AB52" s="681"/>
      <c r="AC52" s="681"/>
      <c r="AD52" s="681"/>
      <c r="AE52" s="681"/>
    </row>
    <row r="53" spans="7:31">
      <c r="P53" s="685"/>
      <c r="U53" s="685"/>
      <c r="V53" s="681"/>
      <c r="W53" s="681"/>
      <c r="X53" s="681"/>
      <c r="Y53" s="681"/>
      <c r="Z53" s="681"/>
      <c r="AA53" s="681"/>
      <c r="AB53" s="681"/>
      <c r="AC53" s="681"/>
      <c r="AD53" s="681"/>
      <c r="AE53" s="681"/>
    </row>
    <row r="54" spans="7:31">
      <c r="P54" s="685"/>
      <c r="U54" s="685"/>
      <c r="V54" s="681"/>
      <c r="W54" s="681"/>
      <c r="X54" s="681"/>
      <c r="Y54" s="681"/>
      <c r="Z54" s="681"/>
      <c r="AA54" s="681"/>
      <c r="AB54" s="681"/>
      <c r="AC54" s="681"/>
      <c r="AD54" s="681"/>
      <c r="AE54" s="681"/>
    </row>
    <row r="55" spans="7:31">
      <c r="P55" s="685"/>
      <c r="Q55" s="678"/>
      <c r="R55" s="678"/>
      <c r="S55" s="678"/>
      <c r="T55" s="678"/>
      <c r="U55" s="685"/>
      <c r="V55" s="681"/>
      <c r="W55" s="681"/>
      <c r="X55" s="681"/>
      <c r="Y55" s="681"/>
      <c r="Z55" s="681"/>
      <c r="AA55" s="681"/>
      <c r="AB55" s="681"/>
      <c r="AC55" s="681"/>
      <c r="AD55" s="681"/>
      <c r="AE55" s="681"/>
    </row>
    <row r="56" spans="7:31">
      <c r="U56" s="679"/>
      <c r="V56" s="681"/>
      <c r="W56" s="681"/>
      <c r="X56" s="681"/>
      <c r="Y56" s="681"/>
      <c r="Z56" s="681"/>
      <c r="AA56" s="681"/>
      <c r="AB56" s="681"/>
      <c r="AC56" s="681"/>
      <c r="AD56" s="681"/>
      <c r="AE56" s="681"/>
    </row>
  </sheetData>
  <mergeCells count="1">
    <mergeCell ref="A1:L1"/>
  </mergeCells>
  <conditionalFormatting sqref="B32">
    <cfRule type="cellIs" dxfId="1933" priority="132" operator="equal">
      <formula>0</formula>
    </cfRule>
  </conditionalFormatting>
  <conditionalFormatting sqref="C32">
    <cfRule type="cellIs" dxfId="1932" priority="131" operator="equal">
      <formula>0</formula>
    </cfRule>
  </conditionalFormatting>
  <conditionalFormatting sqref="F32">
    <cfRule type="cellIs" dxfId="1931" priority="130" operator="equal">
      <formula>0</formula>
    </cfRule>
  </conditionalFormatting>
  <conditionalFormatting sqref="D32">
    <cfRule type="cellIs" dxfId="1930" priority="129" operator="equal">
      <formula>0</formula>
    </cfRule>
  </conditionalFormatting>
  <conditionalFormatting sqref="E32">
    <cfRule type="cellIs" dxfId="1929" priority="128" operator="equal">
      <formula>0</formula>
    </cfRule>
  </conditionalFormatting>
  <conditionalFormatting sqref="G32">
    <cfRule type="cellIs" dxfId="1928" priority="127" operator="equal">
      <formula>0</formula>
    </cfRule>
  </conditionalFormatting>
  <conditionalFormatting sqref="H32">
    <cfRule type="cellIs" dxfId="1927" priority="126" operator="equal">
      <formula>0</formula>
    </cfRule>
  </conditionalFormatting>
  <conditionalFormatting sqref="I32">
    <cfRule type="cellIs" dxfId="1926" priority="125" operator="equal">
      <formula>0</formula>
    </cfRule>
  </conditionalFormatting>
  <conditionalFormatting sqref="J32">
    <cfRule type="cellIs" dxfId="1925" priority="124" operator="equal">
      <formula>0</formula>
    </cfRule>
  </conditionalFormatting>
  <conditionalFormatting sqref="K32">
    <cfRule type="cellIs" dxfId="1924" priority="123" operator="equal">
      <formula>0</formula>
    </cfRule>
  </conditionalFormatting>
  <conditionalFormatting sqref="L32">
    <cfRule type="cellIs" dxfId="1923" priority="122" operator="equal">
      <formula>0</formula>
    </cfRule>
  </conditionalFormatting>
  <conditionalFormatting sqref="B5:B6">
    <cfRule type="cellIs" dxfId="1922" priority="121" operator="equal">
      <formula>0</formula>
    </cfRule>
  </conditionalFormatting>
  <conditionalFormatting sqref="B7:B14">
    <cfRule type="expression" dxfId="1921" priority="119">
      <formula>B7=MAX(B$7:B$14)</formula>
    </cfRule>
    <cfRule type="expression" dxfId="1920" priority="120">
      <formula>B7=MIN(B$7:B$14)</formula>
    </cfRule>
  </conditionalFormatting>
  <conditionalFormatting sqref="B16:B23">
    <cfRule type="expression" dxfId="1919" priority="117">
      <formula>B16=MAX(B$16:B$23)</formula>
    </cfRule>
    <cfRule type="expression" dxfId="1918" priority="118">
      <formula>B16=MIN(B$16:B$23)</formula>
    </cfRule>
  </conditionalFormatting>
  <conditionalFormatting sqref="B26:B30">
    <cfRule type="expression" dxfId="1917" priority="115">
      <formula>B26=MAX(B$26:B$30)</formula>
    </cfRule>
    <cfRule type="expression" dxfId="1916" priority="116">
      <formula>B26=MIN(B$26:B$30)</formula>
    </cfRule>
  </conditionalFormatting>
  <conditionalFormatting sqref="B15">
    <cfRule type="cellIs" dxfId="1915" priority="114" operator="equal">
      <formula>0</formula>
    </cfRule>
  </conditionalFormatting>
  <conditionalFormatting sqref="B24">
    <cfRule type="cellIs" dxfId="1914" priority="113" operator="equal">
      <formula>0</formula>
    </cfRule>
  </conditionalFormatting>
  <conditionalFormatting sqref="B25">
    <cfRule type="cellIs" dxfId="1913" priority="112" operator="equal">
      <formula>0</formula>
    </cfRule>
  </conditionalFormatting>
  <conditionalFormatting sqref="B31">
    <cfRule type="cellIs" dxfId="1912" priority="111" operator="equal">
      <formula>0</formula>
    </cfRule>
  </conditionalFormatting>
  <conditionalFormatting sqref="C5:C6">
    <cfRule type="cellIs" dxfId="1911" priority="110" operator="equal">
      <formula>0</formula>
    </cfRule>
  </conditionalFormatting>
  <conditionalFormatting sqref="C7:C14">
    <cfRule type="expression" dxfId="1910" priority="108">
      <formula>C7=MAX(C$7:C$14)</formula>
    </cfRule>
    <cfRule type="expression" dxfId="1909" priority="109">
      <formula>C7=MIN(C$7:C$14)</formula>
    </cfRule>
  </conditionalFormatting>
  <conditionalFormatting sqref="C16:C23">
    <cfRule type="expression" dxfId="1908" priority="106">
      <formula>C16=MAX(C$16:C$23)</formula>
    </cfRule>
    <cfRule type="expression" dxfId="1907" priority="107">
      <formula>C16=MIN(C$16:C$23)</formula>
    </cfRule>
  </conditionalFormatting>
  <conditionalFormatting sqref="C26:C30">
    <cfRule type="expression" dxfId="1906" priority="104">
      <formula>C26=MAX(C$26:C$30)</formula>
    </cfRule>
    <cfRule type="expression" dxfId="1905" priority="105">
      <formula>C26=MIN(C$26:C$30)</formula>
    </cfRule>
  </conditionalFormatting>
  <conditionalFormatting sqref="C15">
    <cfRule type="cellIs" dxfId="1904" priority="103" operator="equal">
      <formula>0</formula>
    </cfRule>
  </conditionalFormatting>
  <conditionalFormatting sqref="C24">
    <cfRule type="cellIs" dxfId="1903" priority="102" operator="equal">
      <formula>0</formula>
    </cfRule>
  </conditionalFormatting>
  <conditionalFormatting sqref="C25">
    <cfRule type="cellIs" dxfId="1902" priority="101" operator="equal">
      <formula>0</formula>
    </cfRule>
  </conditionalFormatting>
  <conditionalFormatting sqref="C31">
    <cfRule type="cellIs" dxfId="1901" priority="100" operator="equal">
      <formula>0</formula>
    </cfRule>
  </conditionalFormatting>
  <conditionalFormatting sqref="D5:D6">
    <cfRule type="cellIs" dxfId="1900" priority="99" operator="equal">
      <formula>0</formula>
    </cfRule>
  </conditionalFormatting>
  <conditionalFormatting sqref="D7:D14">
    <cfRule type="expression" dxfId="1899" priority="97">
      <formula>D7=MAX(D$7:D$14)</formula>
    </cfRule>
    <cfRule type="expression" dxfId="1898" priority="98">
      <formula>D7=MIN(D$7:D$14)</formula>
    </cfRule>
  </conditionalFormatting>
  <conditionalFormatting sqref="D16:D23">
    <cfRule type="expression" dxfId="1897" priority="95">
      <formula>D16=MAX(D$16:D$23)</formula>
    </cfRule>
    <cfRule type="expression" dxfId="1896" priority="96">
      <formula>D16=MIN(D$16:D$23)</formula>
    </cfRule>
  </conditionalFormatting>
  <conditionalFormatting sqref="D26:D30">
    <cfRule type="expression" dxfId="1895" priority="93">
      <formula>D26=MAX(D$26:D$30)</formula>
    </cfRule>
    <cfRule type="expression" dxfId="1894" priority="94">
      <formula>D26=MIN(D$26:D$30)</formula>
    </cfRule>
  </conditionalFormatting>
  <conditionalFormatting sqref="D15">
    <cfRule type="cellIs" dxfId="1893" priority="92" operator="equal">
      <formula>0</formula>
    </cfRule>
  </conditionalFormatting>
  <conditionalFormatting sqref="D24">
    <cfRule type="cellIs" dxfId="1892" priority="91" operator="equal">
      <formula>0</formula>
    </cfRule>
  </conditionalFormatting>
  <conditionalFormatting sqref="D25">
    <cfRule type="cellIs" dxfId="1891" priority="90" operator="equal">
      <formula>0</formula>
    </cfRule>
  </conditionalFormatting>
  <conditionalFormatting sqref="D31">
    <cfRule type="cellIs" dxfId="1890" priority="89" operator="equal">
      <formula>0</formula>
    </cfRule>
  </conditionalFormatting>
  <conditionalFormatting sqref="E5:E6">
    <cfRule type="cellIs" dxfId="1889" priority="88" operator="equal">
      <formula>0</formula>
    </cfRule>
  </conditionalFormatting>
  <conditionalFormatting sqref="E7:E14">
    <cfRule type="expression" dxfId="1888" priority="86">
      <formula>E7=MAX(E$7:E$14)</formula>
    </cfRule>
    <cfRule type="expression" dxfId="1887" priority="87">
      <formula>E7=MIN(E$7:E$14)</formula>
    </cfRule>
  </conditionalFormatting>
  <conditionalFormatting sqref="E16:E23">
    <cfRule type="expression" dxfId="1886" priority="84">
      <formula>E16=MAX(E$16:E$23)</formula>
    </cfRule>
    <cfRule type="expression" dxfId="1885" priority="85">
      <formula>E16=MIN(E$16:E$23)</formula>
    </cfRule>
  </conditionalFormatting>
  <conditionalFormatting sqref="E26:E30">
    <cfRule type="expression" dxfId="1884" priority="82">
      <formula>E26=MAX(E$26:E$30)</formula>
    </cfRule>
    <cfRule type="expression" dxfId="1883" priority="83">
      <formula>E26=MIN(E$26:E$30)</formula>
    </cfRule>
  </conditionalFormatting>
  <conditionalFormatting sqref="E15">
    <cfRule type="cellIs" dxfId="1882" priority="81" operator="equal">
      <formula>0</formula>
    </cfRule>
  </conditionalFormatting>
  <conditionalFormatting sqref="E24">
    <cfRule type="cellIs" dxfId="1881" priority="80" operator="equal">
      <formula>0</formula>
    </cfRule>
  </conditionalFormatting>
  <conditionalFormatting sqref="E25">
    <cfRule type="cellIs" dxfId="1880" priority="79" operator="equal">
      <formula>0</formula>
    </cfRule>
  </conditionalFormatting>
  <conditionalFormatting sqref="E31">
    <cfRule type="cellIs" dxfId="1879" priority="78" operator="equal">
      <formula>0</formula>
    </cfRule>
  </conditionalFormatting>
  <conditionalFormatting sqref="F5:F6">
    <cfRule type="cellIs" dxfId="1878" priority="77" operator="equal">
      <formula>0</formula>
    </cfRule>
  </conditionalFormatting>
  <conditionalFormatting sqref="F7:F14">
    <cfRule type="expression" dxfId="1877" priority="75">
      <formula>F7=MAX(F$7:F$14)</formula>
    </cfRule>
    <cfRule type="expression" dxfId="1876" priority="76">
      <formula>F7=MIN(F$7:F$14)</formula>
    </cfRule>
  </conditionalFormatting>
  <conditionalFormatting sqref="F16:F23">
    <cfRule type="expression" dxfId="1875" priority="73">
      <formula>F16=MAX(F$16:F$23)</formula>
    </cfRule>
    <cfRule type="expression" dxfId="1874" priority="74">
      <formula>F16=MIN(F$16:F$23)</formula>
    </cfRule>
  </conditionalFormatting>
  <conditionalFormatting sqref="F26:F30">
    <cfRule type="expression" dxfId="1873" priority="71">
      <formula>F26=MAX(F$26:F$30)</formula>
    </cfRule>
    <cfRule type="expression" dxfId="1872" priority="72">
      <formula>F26=MIN(F$26:F$30)</formula>
    </cfRule>
  </conditionalFormatting>
  <conditionalFormatting sqref="F15">
    <cfRule type="cellIs" dxfId="1871" priority="70" operator="equal">
      <formula>0</formula>
    </cfRule>
  </conditionalFormatting>
  <conditionalFormatting sqref="F24">
    <cfRule type="cellIs" dxfId="1870" priority="69" operator="equal">
      <formula>0</formula>
    </cfRule>
  </conditionalFormatting>
  <conditionalFormatting sqref="F25">
    <cfRule type="cellIs" dxfId="1869" priority="68" operator="equal">
      <formula>0</formula>
    </cfRule>
  </conditionalFormatting>
  <conditionalFormatting sqref="F31">
    <cfRule type="cellIs" dxfId="1868" priority="67" operator="equal">
      <formula>0</formula>
    </cfRule>
  </conditionalFormatting>
  <conditionalFormatting sqref="G5:G6">
    <cfRule type="cellIs" dxfId="1867" priority="66" operator="equal">
      <formula>0</formula>
    </cfRule>
  </conditionalFormatting>
  <conditionalFormatting sqref="G7:G14">
    <cfRule type="expression" dxfId="1866" priority="64">
      <formula>G7=MAX(G$7:G$14)</formula>
    </cfRule>
    <cfRule type="expression" dxfId="1865" priority="65">
      <formula>G7=MIN(G$7:G$14)</formula>
    </cfRule>
  </conditionalFormatting>
  <conditionalFormatting sqref="G16:G23">
    <cfRule type="expression" dxfId="1864" priority="62">
      <formula>G16=MAX(G$16:G$23)</formula>
    </cfRule>
    <cfRule type="expression" dxfId="1863" priority="63">
      <formula>G16=MIN(G$16:G$23)</formula>
    </cfRule>
  </conditionalFormatting>
  <conditionalFormatting sqref="G26:G30">
    <cfRule type="expression" dxfId="1862" priority="60">
      <formula>G26=MAX(G$26:G$30)</formula>
    </cfRule>
    <cfRule type="expression" dxfId="1861" priority="61">
      <formula>G26=MIN(G$26:G$30)</formula>
    </cfRule>
  </conditionalFormatting>
  <conditionalFormatting sqref="G15">
    <cfRule type="cellIs" dxfId="1860" priority="59" operator="equal">
      <formula>0</formula>
    </cfRule>
  </conditionalFormatting>
  <conditionalFormatting sqref="G24">
    <cfRule type="cellIs" dxfId="1859" priority="58" operator="equal">
      <formula>0</formula>
    </cfRule>
  </conditionalFormatting>
  <conditionalFormatting sqref="G25">
    <cfRule type="cellIs" dxfId="1858" priority="57" operator="equal">
      <formula>0</formula>
    </cfRule>
  </conditionalFormatting>
  <conditionalFormatting sqref="G31">
    <cfRule type="cellIs" dxfId="1857" priority="56" operator="equal">
      <formula>0</formula>
    </cfRule>
  </conditionalFormatting>
  <conditionalFormatting sqref="H5:H6">
    <cfRule type="cellIs" dxfId="1856" priority="55" operator="equal">
      <formula>0</formula>
    </cfRule>
  </conditionalFormatting>
  <conditionalFormatting sqref="H7:H14">
    <cfRule type="expression" dxfId="1855" priority="53">
      <formula>H7=MAX(H$7:H$14)</formula>
    </cfRule>
    <cfRule type="expression" dxfId="1854" priority="54">
      <formula>H7=MIN(H$7:H$14)</formula>
    </cfRule>
  </conditionalFormatting>
  <conditionalFormatting sqref="H16:H23">
    <cfRule type="expression" dxfId="1853" priority="51">
      <formula>H16=MAX(H$16:H$23)</formula>
    </cfRule>
    <cfRule type="expression" dxfId="1852" priority="52">
      <formula>H16=MIN(H$16:H$23)</formula>
    </cfRule>
  </conditionalFormatting>
  <conditionalFormatting sqref="H26:H30">
    <cfRule type="expression" dxfId="1851" priority="49">
      <formula>H26=MAX(H$26:H$30)</formula>
    </cfRule>
    <cfRule type="expression" dxfId="1850" priority="50">
      <formula>H26=MIN(H$26:H$30)</formula>
    </cfRule>
  </conditionalFormatting>
  <conditionalFormatting sqref="H15">
    <cfRule type="cellIs" dxfId="1849" priority="48" operator="equal">
      <formula>0</formula>
    </cfRule>
  </conditionalFormatting>
  <conditionalFormatting sqref="H24">
    <cfRule type="cellIs" dxfId="1848" priority="47" operator="equal">
      <formula>0</formula>
    </cfRule>
  </conditionalFormatting>
  <conditionalFormatting sqref="H25">
    <cfRule type="cellIs" dxfId="1847" priority="46" operator="equal">
      <formula>0</formula>
    </cfRule>
  </conditionalFormatting>
  <conditionalFormatting sqref="H31">
    <cfRule type="cellIs" dxfId="1846" priority="45" operator="equal">
      <formula>0</formula>
    </cfRule>
  </conditionalFormatting>
  <conditionalFormatting sqref="I5:I6">
    <cfRule type="cellIs" dxfId="1845" priority="44" operator="equal">
      <formula>0</formula>
    </cfRule>
  </conditionalFormatting>
  <conditionalFormatting sqref="I7:I14">
    <cfRule type="expression" dxfId="1844" priority="42">
      <formula>I7=MAX(I$7:I$14)</formula>
    </cfRule>
    <cfRule type="expression" dxfId="1843" priority="43">
      <formula>I7=MIN(I$7:I$14)</formula>
    </cfRule>
  </conditionalFormatting>
  <conditionalFormatting sqref="I16:I23">
    <cfRule type="expression" dxfId="1842" priority="40">
      <formula>I16=MAX(I$16:I$23)</formula>
    </cfRule>
    <cfRule type="expression" dxfId="1841" priority="41">
      <formula>I16=MIN(I$16:I$23)</formula>
    </cfRule>
  </conditionalFormatting>
  <conditionalFormatting sqref="I26:I30">
    <cfRule type="expression" dxfId="1840" priority="38">
      <formula>I26=MAX(I$26:I$30)</formula>
    </cfRule>
    <cfRule type="expression" dxfId="1839" priority="39">
      <formula>I26=MIN(I$26:I$30)</formula>
    </cfRule>
  </conditionalFormatting>
  <conditionalFormatting sqref="I15">
    <cfRule type="cellIs" dxfId="1838" priority="37" operator="equal">
      <formula>0</formula>
    </cfRule>
  </conditionalFormatting>
  <conditionalFormatting sqref="I24">
    <cfRule type="cellIs" dxfId="1837" priority="36" operator="equal">
      <formula>0</formula>
    </cfRule>
  </conditionalFormatting>
  <conditionalFormatting sqref="I25">
    <cfRule type="cellIs" dxfId="1836" priority="35" operator="equal">
      <formula>0</formula>
    </cfRule>
  </conditionalFormatting>
  <conditionalFormatting sqref="I31">
    <cfRule type="cellIs" dxfId="1835" priority="34" operator="equal">
      <formula>0</formula>
    </cfRule>
  </conditionalFormatting>
  <conditionalFormatting sqref="J5:J6">
    <cfRule type="cellIs" dxfId="1834" priority="33" operator="equal">
      <formula>0</formula>
    </cfRule>
  </conditionalFormatting>
  <conditionalFormatting sqref="J7:J14">
    <cfRule type="expression" dxfId="1833" priority="31">
      <formula>J7=MAX(J$7:J$14)</formula>
    </cfRule>
    <cfRule type="expression" dxfId="1832" priority="32">
      <formula>J7=MIN(J$7:J$14)</formula>
    </cfRule>
  </conditionalFormatting>
  <conditionalFormatting sqref="J16:J23">
    <cfRule type="expression" dxfId="1831" priority="29">
      <formula>J16=MAX(J$16:J$23)</formula>
    </cfRule>
    <cfRule type="expression" dxfId="1830" priority="30">
      <formula>J16=MIN(J$16:J$23)</formula>
    </cfRule>
  </conditionalFormatting>
  <conditionalFormatting sqref="J26:J30">
    <cfRule type="expression" dxfId="1829" priority="27">
      <formula>J26=MAX(J$26:J$30)</formula>
    </cfRule>
    <cfRule type="expression" dxfId="1828" priority="28">
      <formula>J26=MIN(J$26:J$30)</formula>
    </cfRule>
  </conditionalFormatting>
  <conditionalFormatting sqref="J15">
    <cfRule type="cellIs" dxfId="1827" priority="26" operator="equal">
      <formula>0</formula>
    </cfRule>
  </conditionalFormatting>
  <conditionalFormatting sqref="J24">
    <cfRule type="cellIs" dxfId="1826" priority="25" operator="equal">
      <formula>0</formula>
    </cfRule>
  </conditionalFormatting>
  <conditionalFormatting sqref="J25">
    <cfRule type="cellIs" dxfId="1825" priority="24" operator="equal">
      <formula>0</formula>
    </cfRule>
  </conditionalFormatting>
  <conditionalFormatting sqref="J31">
    <cfRule type="cellIs" dxfId="1824" priority="23" operator="equal">
      <formula>0</formula>
    </cfRule>
  </conditionalFormatting>
  <conditionalFormatting sqref="K5:K6">
    <cfRule type="cellIs" dxfId="1823" priority="22" operator="equal">
      <formula>0</formula>
    </cfRule>
  </conditionalFormatting>
  <conditionalFormatting sqref="K7:K14">
    <cfRule type="expression" dxfId="1822" priority="20">
      <formula>K7=MAX(K$7:K$14)</formula>
    </cfRule>
    <cfRule type="expression" dxfId="1821" priority="21">
      <formula>K7=MIN(K$7:K$14)</formula>
    </cfRule>
  </conditionalFormatting>
  <conditionalFormatting sqref="K16:K23">
    <cfRule type="expression" dxfId="1820" priority="18">
      <formula>K16=MAX(K$16:K$23)</formula>
    </cfRule>
    <cfRule type="expression" dxfId="1819" priority="19">
      <formula>K16=MIN(K$16:K$23)</formula>
    </cfRule>
  </conditionalFormatting>
  <conditionalFormatting sqref="K26:K30">
    <cfRule type="expression" dxfId="1818" priority="16">
      <formula>K26=MAX(K$26:K$30)</formula>
    </cfRule>
    <cfRule type="expression" dxfId="1817" priority="17">
      <formula>K26=MIN(K$26:K$30)</formula>
    </cfRule>
  </conditionalFormatting>
  <conditionalFormatting sqref="K15">
    <cfRule type="cellIs" dxfId="1816" priority="15" operator="equal">
      <formula>0</formula>
    </cfRule>
  </conditionalFormatting>
  <conditionalFormatting sqref="K24">
    <cfRule type="cellIs" dxfId="1815" priority="14" operator="equal">
      <formula>0</formula>
    </cfRule>
  </conditionalFormatting>
  <conditionalFormatting sqref="K25">
    <cfRule type="cellIs" dxfId="1814" priority="13" operator="equal">
      <formula>0</formula>
    </cfRule>
  </conditionalFormatting>
  <conditionalFormatting sqref="K31">
    <cfRule type="cellIs" dxfId="1813" priority="12" operator="equal">
      <formula>0</formula>
    </cfRule>
  </conditionalFormatting>
  <conditionalFormatting sqref="L5:L6">
    <cfRule type="cellIs" dxfId="1812" priority="11" operator="equal">
      <formula>0</formula>
    </cfRule>
  </conditionalFormatting>
  <conditionalFormatting sqref="L7:L14">
    <cfRule type="expression" dxfId="1811" priority="9">
      <formula>L7=MAX(L$7:L$14)</formula>
    </cfRule>
    <cfRule type="expression" dxfId="1810" priority="10">
      <formula>L7=MIN(L$7:L$14)</formula>
    </cfRule>
  </conditionalFormatting>
  <conditionalFormatting sqref="L16:L23">
    <cfRule type="expression" dxfId="1809" priority="7">
      <formula>L16=MAX(L$16:L$23)</formula>
    </cfRule>
    <cfRule type="expression" dxfId="1808" priority="8">
      <formula>L16=MIN(L$16:L$23)</formula>
    </cfRule>
  </conditionalFormatting>
  <conditionalFormatting sqref="L26:L30">
    <cfRule type="expression" dxfId="1807" priority="5">
      <formula>L26=MAX(L$26:L$30)</formula>
    </cfRule>
    <cfRule type="expression" dxfId="1806" priority="6">
      <formula>L26=MIN(L$26:L$30)</formula>
    </cfRule>
  </conditionalFormatting>
  <conditionalFormatting sqref="L15">
    <cfRule type="cellIs" dxfId="1805" priority="4" operator="equal">
      <formula>0</formula>
    </cfRule>
  </conditionalFormatting>
  <conditionalFormatting sqref="L24">
    <cfRule type="cellIs" dxfId="1804" priority="3" operator="equal">
      <formula>0</formula>
    </cfRule>
  </conditionalFormatting>
  <conditionalFormatting sqref="L25">
    <cfRule type="cellIs" dxfId="1803" priority="2" operator="equal">
      <formula>0</formula>
    </cfRule>
  </conditionalFormatting>
  <conditionalFormatting sqref="L31">
    <cfRule type="cellIs" dxfId="1802" priority="1" operator="equal">
      <formula>0</formula>
    </cfRule>
  </conditionalFormatting>
  <printOptions horizontalCentered="1"/>
  <pageMargins left="0.19685039370078741" right="0.19685039370078741" top="1.5748031496062993" bottom="0.39370078740157483" header="0.51181102362204722" footer="0"/>
  <pageSetup paperSize="9" scale="85" fitToWidth="0" fitToHeight="0" orientation="portrait" r:id="rId1"/>
  <headerFooter>
    <oddHeader>&amp;C&amp;G</oddHeader>
  </headerFooter>
  <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91436-4C8E-482A-BE5E-9CCB7C607029}">
  <sheetPr codeName="Folha5">
    <tabColor rgb="FFFFFF00"/>
  </sheetPr>
  <dimension ref="A1:AB55"/>
  <sheetViews>
    <sheetView showGridLines="0" showRowColHeaders="0" zoomScaleNormal="100" zoomScaleSheetLayoutView="90" workbookViewId="0"/>
  </sheetViews>
  <sheetFormatPr defaultColWidth="0" defaultRowHeight="15" zeroHeight="1"/>
  <cols>
    <col min="1" max="11" width="8.42578125" style="894" customWidth="1"/>
    <col min="12" max="12" width="7" style="894" customWidth="1"/>
    <col min="13" max="23" width="8.7109375" style="894" customWidth="1"/>
    <col min="24" max="28" width="0" style="894" hidden="1" customWidth="1"/>
    <col min="29" max="16384" width="8.7109375" style="894" hidden="1"/>
  </cols>
  <sheetData>
    <row r="1" spans="1:28">
      <c r="A1" s="912"/>
      <c r="B1" s="912"/>
      <c r="C1" s="912"/>
      <c r="D1" s="912"/>
      <c r="E1" s="912"/>
      <c r="F1" s="912"/>
      <c r="G1" s="912"/>
      <c r="H1" s="912"/>
      <c r="I1" s="912"/>
      <c r="J1" s="912"/>
      <c r="K1" s="912"/>
      <c r="L1" s="912"/>
      <c r="M1" s="912"/>
      <c r="N1" s="912"/>
      <c r="O1" s="912"/>
      <c r="P1" s="912"/>
      <c r="Q1" s="912"/>
      <c r="R1" s="912"/>
      <c r="S1" s="912"/>
      <c r="T1" s="912"/>
      <c r="U1" s="912"/>
      <c r="V1" s="912"/>
      <c r="W1" s="912"/>
    </row>
    <row r="2" spans="1:28" ht="18.75" customHeight="1">
      <c r="A2" s="912"/>
      <c r="B2" s="912"/>
      <c r="C2" s="912"/>
      <c r="D2" s="912"/>
      <c r="E2" s="912"/>
      <c r="F2" s="912"/>
      <c r="G2" s="912"/>
      <c r="H2" s="912"/>
      <c r="I2" s="912"/>
      <c r="J2" s="912"/>
      <c r="K2" s="912"/>
      <c r="L2" s="912"/>
      <c r="M2" s="912"/>
      <c r="N2" s="912"/>
      <c r="O2" s="912"/>
      <c r="P2" s="912"/>
      <c r="Q2" s="912"/>
      <c r="R2" s="912"/>
      <c r="S2" s="912"/>
      <c r="T2" s="912"/>
      <c r="U2" s="912"/>
      <c r="V2" s="912"/>
      <c r="W2" s="912"/>
    </row>
    <row r="3" spans="1:28">
      <c r="A3" s="912"/>
      <c r="B3" s="912"/>
      <c r="C3" s="912"/>
      <c r="D3" s="912"/>
      <c r="E3" s="912"/>
      <c r="F3" s="912"/>
      <c r="G3" s="912"/>
      <c r="H3" s="912"/>
      <c r="I3" s="912"/>
      <c r="J3" s="912"/>
      <c r="K3" s="912"/>
      <c r="L3" s="912"/>
      <c r="M3" s="912"/>
      <c r="N3" s="912"/>
      <c r="O3" s="912"/>
      <c r="P3" s="912"/>
      <c r="Q3" s="912"/>
      <c r="R3" s="912"/>
      <c r="S3" s="912"/>
      <c r="T3" s="912"/>
      <c r="U3" s="912"/>
      <c r="V3" s="912"/>
      <c r="W3" s="912"/>
    </row>
    <row r="4" spans="1:28">
      <c r="A4" s="912"/>
      <c r="B4" s="912"/>
      <c r="C4" s="912"/>
      <c r="D4" s="912"/>
      <c r="E4" s="912"/>
      <c r="F4" s="912"/>
      <c r="G4" s="912"/>
      <c r="H4" s="912"/>
      <c r="I4" s="912"/>
      <c r="J4" s="912"/>
      <c r="K4" s="912"/>
      <c r="L4" s="912"/>
      <c r="M4" s="912"/>
      <c r="N4" s="912"/>
      <c r="O4" s="912"/>
      <c r="P4" s="912"/>
      <c r="Q4" s="912"/>
      <c r="R4" s="912"/>
      <c r="S4" s="912"/>
      <c r="T4" s="912"/>
      <c r="U4" s="912"/>
      <c r="V4" s="912"/>
      <c r="W4" s="912"/>
    </row>
    <row r="5" spans="1:28">
      <c r="A5" s="912"/>
      <c r="B5" s="912"/>
      <c r="C5" s="912"/>
      <c r="D5" s="912"/>
      <c r="E5" s="912"/>
      <c r="F5" s="912"/>
      <c r="G5" s="912"/>
      <c r="H5" s="912"/>
      <c r="I5" s="912"/>
      <c r="J5" s="912"/>
      <c r="K5" s="912"/>
      <c r="L5" s="912"/>
      <c r="M5" s="912"/>
      <c r="N5" s="912"/>
      <c r="O5" s="912"/>
      <c r="P5" s="912"/>
      <c r="Q5" s="912"/>
      <c r="R5" s="912"/>
      <c r="S5" s="912"/>
      <c r="T5" s="912"/>
      <c r="U5" s="912"/>
      <c r="V5" s="912"/>
      <c r="W5" s="912"/>
    </row>
    <row r="6" spans="1:28">
      <c r="A6" s="912"/>
      <c r="B6" s="912"/>
      <c r="C6" s="912"/>
      <c r="D6" s="912"/>
      <c r="E6" s="912"/>
      <c r="F6" s="912"/>
      <c r="G6" s="913"/>
      <c r="H6" s="912"/>
      <c r="I6" s="912"/>
      <c r="J6" s="912"/>
      <c r="K6" s="912"/>
      <c r="L6" s="937"/>
      <c r="M6" s="937"/>
      <c r="N6" s="937"/>
      <c r="O6" s="937"/>
      <c r="P6" s="937"/>
      <c r="Q6" s="937"/>
      <c r="R6" s="912"/>
      <c r="S6" s="912"/>
      <c r="T6" s="912"/>
      <c r="U6" s="912"/>
      <c r="V6" s="912"/>
      <c r="W6" s="912"/>
    </row>
    <row r="7" spans="1:28">
      <c r="A7" s="915"/>
      <c r="B7" s="915"/>
      <c r="C7" s="915"/>
      <c r="D7" s="915"/>
      <c r="E7" s="915"/>
      <c r="F7" s="915"/>
      <c r="G7" s="912"/>
      <c r="H7" s="912"/>
      <c r="I7" s="912"/>
      <c r="J7" s="912"/>
      <c r="K7" s="912"/>
      <c r="L7" s="912"/>
      <c r="M7" s="912"/>
      <c r="N7" s="912"/>
      <c r="O7" s="912"/>
      <c r="P7" s="912"/>
      <c r="Q7" s="912"/>
      <c r="R7" s="912"/>
      <c r="S7" s="912"/>
      <c r="T7" s="912"/>
      <c r="U7" s="912"/>
      <c r="V7" s="912"/>
      <c r="W7" s="912"/>
    </row>
    <row r="8" spans="1:28">
      <c r="A8" s="926"/>
      <c r="B8" s="926"/>
      <c r="C8" s="926"/>
      <c r="D8" s="926"/>
      <c r="E8" s="926"/>
      <c r="F8" s="926"/>
      <c r="G8" s="912"/>
      <c r="H8" s="912"/>
      <c r="I8" s="912"/>
      <c r="J8" s="912"/>
      <c r="K8" s="912"/>
      <c r="L8" s="912"/>
      <c r="M8" s="912"/>
      <c r="N8" s="912"/>
      <c r="O8" s="912"/>
      <c r="P8" s="912"/>
      <c r="Q8" s="912"/>
      <c r="R8" s="912"/>
      <c r="S8" s="912"/>
      <c r="T8" s="912"/>
      <c r="U8" s="912"/>
      <c r="V8" s="912"/>
      <c r="W8" s="912"/>
    </row>
    <row r="9" spans="1:28" ht="15" customHeight="1">
      <c r="A9" s="912"/>
      <c r="B9" s="912"/>
      <c r="C9" s="912"/>
      <c r="D9" s="912"/>
      <c r="E9" s="912"/>
      <c r="F9" s="916"/>
      <c r="G9" s="916"/>
      <c r="H9" s="912"/>
      <c r="I9" s="912"/>
      <c r="J9" s="912"/>
      <c r="K9" s="912"/>
      <c r="L9" s="912"/>
      <c r="M9" s="912"/>
      <c r="N9" s="912"/>
      <c r="O9" s="912"/>
      <c r="P9" s="912"/>
      <c r="Q9" s="912"/>
      <c r="R9" s="912"/>
      <c r="S9" s="912"/>
      <c r="T9" s="912"/>
      <c r="U9" s="912"/>
      <c r="V9" s="912"/>
      <c r="W9" s="912"/>
    </row>
    <row r="10" spans="1:28" ht="15" customHeight="1">
      <c r="A10" s="912"/>
      <c r="B10" s="912"/>
      <c r="C10" s="912"/>
      <c r="D10" s="912"/>
      <c r="E10" s="912"/>
      <c r="F10" s="916"/>
      <c r="G10" s="916"/>
      <c r="H10" s="912"/>
      <c r="I10" s="912"/>
      <c r="J10" s="912"/>
      <c r="K10" s="912"/>
      <c r="L10" s="912"/>
      <c r="M10" s="912"/>
      <c r="N10" s="912"/>
      <c r="O10" s="912"/>
      <c r="P10" s="912"/>
      <c r="Q10" s="912"/>
      <c r="R10" s="912"/>
      <c r="S10" s="912"/>
      <c r="T10" s="912"/>
      <c r="U10" s="912"/>
      <c r="V10" s="912"/>
      <c r="W10" s="912"/>
    </row>
    <row r="11" spans="1:28">
      <c r="A11" s="912"/>
      <c r="B11" s="912"/>
      <c r="C11" s="912"/>
      <c r="D11" s="912"/>
      <c r="E11" s="912"/>
      <c r="F11" s="916"/>
      <c r="G11" s="916"/>
      <c r="H11" s="912"/>
      <c r="I11" s="912"/>
      <c r="J11" s="912"/>
      <c r="K11" s="912"/>
      <c r="L11" s="912"/>
      <c r="M11" s="912"/>
      <c r="N11" s="912"/>
      <c r="O11" s="912"/>
      <c r="P11" s="912"/>
      <c r="Q11" s="912"/>
      <c r="R11" s="912"/>
      <c r="S11" s="912"/>
      <c r="T11" s="912"/>
      <c r="U11" s="912"/>
      <c r="V11" s="912"/>
      <c r="W11" s="912"/>
    </row>
    <row r="12" spans="1:28" ht="15" customHeight="1">
      <c r="A12" s="912"/>
      <c r="B12" s="912"/>
      <c r="C12" s="912"/>
      <c r="D12" s="912"/>
      <c r="E12" s="912"/>
      <c r="F12" s="916"/>
      <c r="G12" s="916"/>
      <c r="H12" s="912"/>
      <c r="I12" s="912"/>
      <c r="J12" s="912"/>
      <c r="K12" s="912"/>
      <c r="L12" s="912"/>
      <c r="M12" s="912"/>
      <c r="N12" s="912"/>
      <c r="O12" s="912"/>
      <c r="P12" s="912"/>
      <c r="Q12" s="912"/>
      <c r="R12" s="912"/>
      <c r="S12" s="912"/>
      <c r="T12" s="912"/>
      <c r="U12" s="912"/>
      <c r="V12" s="912"/>
      <c r="W12" s="912"/>
      <c r="AB12" s="900"/>
    </row>
    <row r="13" spans="1:28" ht="15" customHeight="1">
      <c r="A13" s="912"/>
      <c r="B13" s="912"/>
      <c r="C13" s="912"/>
      <c r="D13" s="912"/>
      <c r="E13" s="912"/>
      <c r="F13" s="916"/>
      <c r="G13" s="916"/>
      <c r="H13" s="912"/>
      <c r="I13" s="912"/>
      <c r="J13" s="912"/>
      <c r="K13" s="912"/>
      <c r="L13" s="912"/>
      <c r="M13" s="912"/>
      <c r="N13" s="912"/>
      <c r="O13" s="912"/>
      <c r="P13" s="912"/>
      <c r="Q13" s="912"/>
      <c r="R13" s="912"/>
      <c r="S13" s="912"/>
      <c r="T13" s="912"/>
      <c r="U13" s="912"/>
      <c r="V13" s="912"/>
      <c r="W13" s="912"/>
    </row>
    <row r="14" spans="1:28">
      <c r="A14" s="912"/>
      <c r="B14" s="912"/>
      <c r="C14" s="912"/>
      <c r="D14" s="912"/>
      <c r="E14" s="912"/>
      <c r="F14" s="916"/>
      <c r="G14" s="916"/>
      <c r="H14" s="912"/>
      <c r="I14" s="912"/>
      <c r="J14" s="912"/>
      <c r="K14" s="912"/>
      <c r="L14" s="912"/>
      <c r="M14" s="912"/>
      <c r="N14" s="912"/>
      <c r="O14" s="912"/>
      <c r="P14" s="912"/>
      <c r="Q14" s="912"/>
      <c r="R14" s="912"/>
      <c r="S14" s="912"/>
      <c r="T14" s="912"/>
      <c r="U14" s="912"/>
      <c r="V14" s="912"/>
      <c r="W14" s="912"/>
    </row>
    <row r="15" spans="1:28">
      <c r="A15" s="912"/>
      <c r="B15" s="912"/>
      <c r="C15" s="912"/>
      <c r="D15" s="912"/>
      <c r="E15" s="912"/>
      <c r="F15" s="912"/>
      <c r="G15" s="912"/>
      <c r="H15" s="912"/>
      <c r="I15" s="912"/>
      <c r="J15" s="912"/>
      <c r="K15" s="912"/>
      <c r="L15" s="912"/>
      <c r="M15" s="912"/>
      <c r="N15" s="912"/>
      <c r="O15" s="912"/>
      <c r="P15" s="912"/>
      <c r="Q15" s="912"/>
      <c r="R15" s="912"/>
      <c r="S15" s="912"/>
      <c r="T15" s="912"/>
      <c r="U15" s="912"/>
      <c r="V15" s="912"/>
      <c r="W15" s="912"/>
    </row>
    <row r="16" spans="1:28">
      <c r="A16" s="912"/>
      <c r="B16" s="912"/>
      <c r="C16" s="912"/>
      <c r="D16" s="912"/>
      <c r="E16" s="912"/>
      <c r="F16" s="912"/>
      <c r="G16" s="912"/>
      <c r="H16" s="912"/>
      <c r="I16" s="912"/>
      <c r="J16" s="912"/>
      <c r="K16" s="912"/>
      <c r="L16" s="912"/>
      <c r="M16" s="912"/>
      <c r="N16" s="912"/>
      <c r="O16" s="912"/>
      <c r="P16" s="912"/>
      <c r="Q16" s="912"/>
      <c r="R16" s="912"/>
      <c r="S16" s="912"/>
      <c r="T16" s="912"/>
      <c r="U16" s="912"/>
      <c r="V16" s="912"/>
      <c r="W16" s="912"/>
    </row>
    <row r="17" spans="1:25">
      <c r="A17" s="912"/>
      <c r="B17" s="912"/>
      <c r="C17" s="912"/>
      <c r="D17" s="912"/>
      <c r="E17" s="912"/>
      <c r="F17" s="912"/>
      <c r="G17" s="912"/>
      <c r="H17" s="912"/>
      <c r="I17" s="912"/>
      <c r="J17" s="912"/>
      <c r="K17" s="912"/>
      <c r="L17" s="912"/>
      <c r="M17" s="912"/>
      <c r="N17" s="912"/>
      <c r="O17" s="912"/>
      <c r="P17" s="912"/>
      <c r="Q17" s="912"/>
      <c r="R17" s="912"/>
      <c r="S17" s="912"/>
      <c r="T17" s="912"/>
      <c r="U17" s="912"/>
      <c r="V17" s="912"/>
      <c r="W17" s="912"/>
    </row>
    <row r="18" spans="1:25">
      <c r="A18" s="912"/>
      <c r="B18" s="912"/>
      <c r="C18" s="912"/>
      <c r="D18" s="912"/>
      <c r="E18" s="912"/>
      <c r="F18" s="912"/>
      <c r="G18" s="912"/>
      <c r="H18" s="912"/>
      <c r="I18" s="912"/>
      <c r="J18" s="912"/>
      <c r="K18" s="912"/>
      <c r="L18" s="912"/>
      <c r="M18" s="912"/>
      <c r="N18" s="912"/>
      <c r="O18" s="912"/>
      <c r="P18" s="912"/>
      <c r="Q18" s="912"/>
      <c r="R18" s="912"/>
      <c r="S18" s="912"/>
      <c r="T18" s="912"/>
      <c r="U18" s="912"/>
      <c r="V18" s="912"/>
      <c r="W18" s="912"/>
    </row>
    <row r="19" spans="1:25">
      <c r="A19" s="912"/>
      <c r="B19" s="912"/>
      <c r="C19" s="912"/>
      <c r="D19" s="912"/>
      <c r="E19" s="912"/>
      <c r="F19" s="912"/>
      <c r="G19" s="912"/>
      <c r="H19" s="912"/>
      <c r="I19" s="912"/>
      <c r="J19" s="912"/>
      <c r="K19" s="912"/>
      <c r="L19" s="912"/>
      <c r="M19" s="912"/>
      <c r="N19" s="912"/>
      <c r="O19" s="912"/>
      <c r="P19" s="912"/>
      <c r="Q19" s="912"/>
      <c r="R19" s="912"/>
      <c r="S19" s="912"/>
      <c r="T19" s="912"/>
      <c r="U19" s="912"/>
      <c r="V19" s="912"/>
      <c r="W19" s="912"/>
    </row>
    <row r="20" spans="1:25">
      <c r="A20" s="912"/>
      <c r="B20" s="912"/>
      <c r="C20" s="912"/>
      <c r="D20" s="912"/>
      <c r="E20" s="912"/>
      <c r="F20" s="912"/>
      <c r="G20" s="912"/>
      <c r="H20" s="912"/>
      <c r="I20" s="912"/>
      <c r="J20" s="912"/>
      <c r="K20" s="912"/>
      <c r="L20" s="912"/>
      <c r="M20" s="912"/>
      <c r="N20" s="912"/>
      <c r="O20" s="912"/>
      <c r="P20" s="912"/>
      <c r="Q20" s="912"/>
      <c r="R20" s="912"/>
      <c r="S20" s="912"/>
      <c r="T20" s="912"/>
      <c r="U20" s="912"/>
      <c r="V20" s="912"/>
      <c r="W20" s="912"/>
    </row>
    <row r="21" spans="1:25">
      <c r="A21" s="912"/>
      <c r="B21" s="912"/>
      <c r="C21" s="912"/>
      <c r="D21" s="912"/>
      <c r="E21" s="912"/>
      <c r="F21" s="912"/>
      <c r="G21" s="912"/>
      <c r="H21" s="912"/>
      <c r="I21" s="912"/>
      <c r="J21" s="912"/>
      <c r="K21" s="912"/>
      <c r="L21" s="912"/>
      <c r="M21" s="912"/>
      <c r="N21" s="912"/>
      <c r="O21" s="912"/>
      <c r="P21" s="912"/>
      <c r="Q21" s="912"/>
      <c r="R21" s="912"/>
      <c r="S21" s="912"/>
      <c r="T21" s="912"/>
      <c r="U21" s="912"/>
      <c r="V21" s="912"/>
      <c r="W21" s="912"/>
    </row>
    <row r="22" spans="1:25">
      <c r="A22" s="912"/>
      <c r="B22" s="912"/>
      <c r="C22" s="912"/>
      <c r="D22" s="912"/>
      <c r="E22" s="912"/>
      <c r="F22" s="912"/>
      <c r="G22" s="912"/>
      <c r="H22" s="912"/>
      <c r="I22" s="912"/>
      <c r="J22" s="912"/>
      <c r="K22" s="912"/>
      <c r="L22" s="912"/>
      <c r="M22" s="912"/>
      <c r="N22" s="912"/>
      <c r="O22" s="912"/>
      <c r="P22" s="912"/>
      <c r="Q22" s="912"/>
      <c r="R22" s="912"/>
      <c r="S22" s="912"/>
      <c r="T22" s="912"/>
      <c r="U22" s="912"/>
      <c r="V22" s="912"/>
      <c r="W22" s="912"/>
    </row>
    <row r="23" spans="1:25">
      <c r="A23" s="912"/>
      <c r="B23" s="912"/>
      <c r="C23" s="912"/>
      <c r="D23" s="912"/>
      <c r="E23" s="912"/>
      <c r="F23" s="912"/>
      <c r="G23" s="912"/>
      <c r="H23" s="912"/>
      <c r="I23" s="912"/>
      <c r="J23" s="912"/>
      <c r="K23" s="912"/>
      <c r="L23" s="912"/>
      <c r="M23" s="912"/>
      <c r="N23" s="912"/>
      <c r="O23" s="912"/>
      <c r="P23" s="912"/>
      <c r="Q23" s="912"/>
      <c r="R23" s="912"/>
      <c r="S23" s="912"/>
      <c r="T23" s="912"/>
      <c r="U23" s="912"/>
      <c r="V23" s="912"/>
      <c r="W23" s="912"/>
    </row>
    <row r="24" spans="1:25">
      <c r="A24" s="912"/>
      <c r="B24" s="912"/>
      <c r="C24" s="912"/>
      <c r="D24" s="912"/>
      <c r="E24" s="912"/>
      <c r="F24" s="912"/>
      <c r="G24" s="912"/>
      <c r="H24" s="912"/>
      <c r="I24" s="912"/>
      <c r="J24" s="912"/>
      <c r="K24" s="912"/>
      <c r="L24" s="912"/>
      <c r="M24" s="912"/>
      <c r="N24" s="912"/>
      <c r="O24" s="912"/>
      <c r="P24" s="912"/>
      <c r="Q24" s="912"/>
      <c r="R24" s="912"/>
      <c r="S24" s="912"/>
      <c r="T24" s="912"/>
      <c r="U24" s="912"/>
      <c r="V24" s="912"/>
      <c r="W24" s="912"/>
    </row>
    <row r="25" spans="1:25">
      <c r="A25" s="912"/>
      <c r="B25" s="912"/>
      <c r="C25" s="912"/>
      <c r="D25" s="912"/>
      <c r="E25" s="912"/>
      <c r="F25" s="912"/>
      <c r="G25" s="912"/>
      <c r="H25" s="912"/>
      <c r="I25" s="912"/>
      <c r="J25" s="912"/>
      <c r="K25" s="912"/>
      <c r="L25" s="912"/>
      <c r="M25" s="912"/>
      <c r="N25" s="912"/>
      <c r="O25" s="912"/>
      <c r="P25" s="912"/>
      <c r="Q25" s="912"/>
      <c r="R25" s="912"/>
      <c r="S25" s="912"/>
      <c r="T25" s="912"/>
      <c r="U25" s="912"/>
      <c r="V25" s="912"/>
      <c r="W25" s="912"/>
    </row>
    <row r="26" spans="1:25">
      <c r="A26" s="912"/>
      <c r="B26" s="912"/>
      <c r="C26" s="912"/>
      <c r="D26" s="912"/>
      <c r="E26" s="912"/>
      <c r="F26" s="912"/>
      <c r="G26" s="912"/>
      <c r="H26" s="912"/>
      <c r="I26" s="912"/>
      <c r="J26" s="912"/>
      <c r="K26" s="912"/>
      <c r="L26" s="912"/>
      <c r="M26" s="912"/>
      <c r="N26" s="912"/>
      <c r="O26" s="912"/>
      <c r="P26" s="912"/>
      <c r="Q26" s="912"/>
      <c r="R26" s="912"/>
      <c r="S26" s="912"/>
      <c r="T26" s="912"/>
      <c r="U26" s="912"/>
      <c r="V26" s="912"/>
      <c r="W26" s="912"/>
    </row>
    <row r="27" spans="1:25" ht="10.5" customHeight="1">
      <c r="A27" s="912"/>
      <c r="B27" s="912"/>
      <c r="C27" s="912"/>
      <c r="D27" s="912"/>
      <c r="E27" s="912"/>
      <c r="F27" s="912"/>
      <c r="G27" s="912"/>
      <c r="H27" s="912"/>
      <c r="I27" s="912"/>
      <c r="J27" s="912"/>
      <c r="K27" s="912"/>
      <c r="L27" s="912"/>
      <c r="M27" s="912"/>
      <c r="N27" s="912"/>
      <c r="O27" s="912"/>
      <c r="P27" s="912"/>
      <c r="Q27" s="912"/>
      <c r="R27" s="912"/>
      <c r="S27" s="912"/>
      <c r="T27" s="912"/>
      <c r="U27" s="912"/>
      <c r="V27" s="912"/>
      <c r="W27" s="912"/>
    </row>
    <row r="28" spans="1:25">
      <c r="A28" s="912"/>
      <c r="B28" s="912"/>
      <c r="C28" s="912"/>
      <c r="D28" s="912"/>
      <c r="E28" s="912"/>
      <c r="F28" s="912"/>
      <c r="G28" s="912"/>
      <c r="H28" s="912"/>
      <c r="I28" s="912"/>
      <c r="J28" s="912"/>
      <c r="K28" s="912"/>
      <c r="L28" s="912"/>
      <c r="M28" s="912"/>
      <c r="N28" s="912"/>
      <c r="O28" s="912"/>
      <c r="P28" s="912"/>
      <c r="Q28" s="912"/>
      <c r="R28" s="912"/>
      <c r="S28" s="912"/>
      <c r="T28" s="912"/>
      <c r="U28" s="912"/>
      <c r="V28" s="912"/>
      <c r="W28" s="912"/>
    </row>
    <row r="29" spans="1:25">
      <c r="A29" s="912"/>
      <c r="B29" s="912"/>
      <c r="C29" s="912"/>
      <c r="D29" s="912"/>
      <c r="E29" s="912"/>
      <c r="F29" s="912"/>
      <c r="G29" s="912"/>
      <c r="H29" s="912"/>
      <c r="I29" s="912"/>
      <c r="J29" s="912"/>
      <c r="K29" s="912"/>
      <c r="L29" s="912"/>
      <c r="M29" s="912"/>
      <c r="N29" s="912"/>
      <c r="O29" s="912"/>
      <c r="P29" s="912"/>
      <c r="Q29" s="912"/>
      <c r="R29" s="912"/>
      <c r="S29" s="912"/>
      <c r="T29" s="912"/>
      <c r="U29" s="912"/>
      <c r="V29" s="912"/>
      <c r="W29" s="912"/>
    </row>
    <row r="30" spans="1:25">
      <c r="A30" s="925"/>
      <c r="B30" s="925"/>
      <c r="C30" s="925"/>
      <c r="D30" s="925"/>
      <c r="E30" s="925"/>
      <c r="F30" s="925"/>
      <c r="G30" s="925"/>
      <c r="H30" s="912"/>
      <c r="I30" s="925"/>
      <c r="J30" s="925"/>
      <c r="K30" s="925"/>
      <c r="L30" s="925"/>
      <c r="M30" s="925"/>
      <c r="N30" s="925"/>
      <c r="O30" s="925"/>
      <c r="P30" s="912"/>
      <c r="Q30" s="925"/>
      <c r="R30" s="925"/>
      <c r="S30" s="925"/>
      <c r="T30" s="925"/>
      <c r="U30" s="925"/>
      <c r="V30" s="925"/>
      <c r="W30" s="925"/>
    </row>
    <row r="31" spans="1:25">
      <c r="A31" s="925"/>
      <c r="B31" s="925"/>
      <c r="C31" s="925"/>
      <c r="D31" s="925"/>
      <c r="E31" s="925"/>
      <c r="F31" s="925"/>
      <c r="G31" s="925"/>
      <c r="H31" s="912"/>
      <c r="I31" s="925"/>
      <c r="J31" s="925"/>
      <c r="K31" s="925"/>
      <c r="L31" s="925"/>
      <c r="M31" s="925"/>
      <c r="N31" s="925"/>
      <c r="O31" s="925"/>
      <c r="P31" s="912"/>
      <c r="Q31" s="925"/>
      <c r="R31" s="925"/>
      <c r="S31" s="925"/>
      <c r="T31" s="925"/>
      <c r="U31" s="925"/>
      <c r="V31" s="925"/>
      <c r="W31" s="925"/>
    </row>
    <row r="32" spans="1:25">
      <c r="A32" s="925"/>
      <c r="B32" s="925"/>
      <c r="C32" s="925"/>
      <c r="D32" s="925"/>
      <c r="E32" s="925"/>
      <c r="F32" s="925"/>
      <c r="G32" s="925"/>
      <c r="H32" s="912"/>
      <c r="I32" s="925"/>
      <c r="J32" s="925"/>
      <c r="K32" s="925"/>
      <c r="L32" s="925"/>
      <c r="M32" s="925"/>
      <c r="N32" s="925"/>
      <c r="O32" s="925"/>
      <c r="P32" s="917"/>
      <c r="Q32" s="917"/>
      <c r="R32" s="917"/>
      <c r="S32" s="917"/>
      <c r="T32" s="917"/>
      <c r="U32" s="917"/>
      <c r="V32" s="917"/>
      <c r="W32" s="917"/>
      <c r="X32" s="895"/>
      <c r="Y32" s="895"/>
    </row>
    <row r="33" spans="1:25">
      <c r="A33" s="912"/>
      <c r="B33" s="912"/>
      <c r="C33" s="912"/>
      <c r="D33" s="912"/>
      <c r="E33" s="912"/>
      <c r="F33" s="912"/>
      <c r="G33" s="912"/>
      <c r="H33" s="912"/>
      <c r="I33" s="912"/>
      <c r="J33" s="912"/>
      <c r="K33" s="912"/>
      <c r="L33" s="912"/>
      <c r="M33" s="912"/>
      <c r="N33" s="912"/>
      <c r="O33" s="912"/>
      <c r="P33" s="918"/>
      <c r="Q33" s="918"/>
      <c r="R33" s="918"/>
      <c r="S33" s="918"/>
      <c r="T33" s="918"/>
      <c r="U33" s="918"/>
      <c r="V33" s="912"/>
      <c r="W33" s="919"/>
      <c r="X33" s="896"/>
      <c r="Y33" s="896"/>
    </row>
    <row r="34" spans="1:25">
      <c r="A34" s="912"/>
      <c r="B34" s="912"/>
      <c r="C34" s="912"/>
      <c r="D34" s="912"/>
      <c r="E34" s="912"/>
      <c r="F34" s="912"/>
      <c r="G34" s="912"/>
      <c r="H34" s="912"/>
      <c r="I34" s="912"/>
      <c r="J34" s="912"/>
      <c r="K34" s="912"/>
      <c r="L34" s="912"/>
      <c r="M34" s="912"/>
      <c r="N34" s="912"/>
      <c r="O34" s="912"/>
      <c r="P34" s="912"/>
      <c r="Q34" s="912"/>
      <c r="R34" s="912"/>
      <c r="S34" s="912"/>
      <c r="T34" s="912"/>
      <c r="U34" s="912"/>
      <c r="V34" s="912"/>
      <c r="W34" s="912"/>
    </row>
    <row r="35" spans="1:25">
      <c r="A35" s="912"/>
      <c r="B35" s="912"/>
      <c r="C35" s="912"/>
      <c r="D35" s="912"/>
      <c r="E35" s="912"/>
      <c r="F35" s="912"/>
      <c r="G35" s="912"/>
      <c r="H35" s="927"/>
      <c r="I35" s="912"/>
      <c r="J35" s="912"/>
      <c r="K35" s="912"/>
      <c r="L35" s="912"/>
      <c r="M35" s="912"/>
      <c r="N35" s="912"/>
      <c r="O35" s="912"/>
      <c r="P35" s="920"/>
      <c r="Q35" s="912"/>
      <c r="R35" s="912"/>
      <c r="S35" s="912"/>
      <c r="T35" s="912"/>
      <c r="U35" s="912"/>
      <c r="V35" s="912"/>
      <c r="W35" s="912"/>
    </row>
    <row r="36" spans="1:25">
      <c r="A36" s="912"/>
      <c r="B36" s="912"/>
      <c r="C36" s="912"/>
      <c r="D36" s="912"/>
      <c r="E36" s="912"/>
      <c r="F36" s="912"/>
      <c r="G36" s="912"/>
      <c r="H36" s="912"/>
      <c r="I36" s="912"/>
      <c r="J36" s="912"/>
      <c r="K36" s="912"/>
      <c r="L36" s="912"/>
      <c r="M36" s="912"/>
      <c r="N36" s="912"/>
      <c r="O36" s="912"/>
      <c r="P36" s="919"/>
      <c r="Q36" s="912"/>
      <c r="R36" s="912"/>
      <c r="S36" s="912"/>
      <c r="T36" s="912"/>
      <c r="U36" s="912"/>
      <c r="V36" s="912"/>
      <c r="W36" s="912"/>
    </row>
    <row r="37" spans="1:25">
      <c r="A37" s="912"/>
      <c r="B37" s="912"/>
      <c r="C37" s="912"/>
      <c r="D37" s="912"/>
      <c r="E37" s="912"/>
      <c r="F37" s="912"/>
      <c r="G37" s="912"/>
      <c r="H37" s="912"/>
      <c r="I37" s="912"/>
      <c r="J37" s="912"/>
      <c r="K37" s="912"/>
      <c r="L37" s="912"/>
      <c r="M37" s="912"/>
      <c r="N37" s="912"/>
      <c r="O37" s="912"/>
      <c r="P37" s="919"/>
      <c r="Q37" s="912"/>
      <c r="R37" s="912"/>
      <c r="S37" s="912"/>
      <c r="T37" s="912"/>
      <c r="U37" s="912"/>
      <c r="V37" s="912"/>
      <c r="W37" s="912"/>
    </row>
    <row r="38" spans="1:25">
      <c r="A38" s="912"/>
      <c r="B38" s="912"/>
      <c r="C38" s="912"/>
      <c r="D38" s="912"/>
      <c r="E38" s="912"/>
      <c r="F38" s="912"/>
      <c r="G38" s="912"/>
      <c r="H38" s="912"/>
      <c r="I38" s="912"/>
      <c r="J38" s="912"/>
      <c r="K38" s="912"/>
      <c r="L38" s="912"/>
      <c r="M38" s="912"/>
      <c r="N38" s="912"/>
      <c r="O38" s="912"/>
      <c r="P38" s="919"/>
      <c r="Q38" s="912"/>
      <c r="R38" s="912"/>
      <c r="S38" s="912"/>
      <c r="T38" s="912"/>
      <c r="U38" s="912"/>
      <c r="V38" s="912"/>
      <c r="W38" s="912"/>
    </row>
    <row r="39" spans="1:25">
      <c r="A39" s="912"/>
      <c r="B39" s="912"/>
      <c r="C39" s="912"/>
      <c r="D39" s="912"/>
      <c r="E39" s="912"/>
      <c r="F39" s="912"/>
      <c r="G39" s="912"/>
      <c r="H39" s="921"/>
      <c r="I39" s="912"/>
      <c r="J39" s="920"/>
      <c r="K39" s="912"/>
      <c r="L39" s="912"/>
      <c r="M39" s="919"/>
      <c r="N39" s="919"/>
      <c r="O39" s="919"/>
      <c r="P39" s="919"/>
      <c r="Q39" s="912"/>
      <c r="R39" s="912"/>
      <c r="S39" s="912"/>
      <c r="T39" s="912"/>
      <c r="U39" s="912"/>
      <c r="V39" s="912"/>
      <c r="W39" s="912"/>
    </row>
    <row r="40" spans="1:25">
      <c r="A40" s="912"/>
      <c r="B40" s="912"/>
      <c r="C40" s="912"/>
      <c r="D40" s="912"/>
      <c r="E40" s="912"/>
      <c r="F40" s="912"/>
      <c r="G40" s="912"/>
      <c r="H40" s="921"/>
      <c r="I40" s="912"/>
      <c r="J40" s="920"/>
      <c r="K40" s="912"/>
      <c r="L40" s="912"/>
      <c r="M40" s="919"/>
      <c r="N40" s="919"/>
      <c r="O40" s="919"/>
      <c r="P40" s="919"/>
      <c r="Q40" s="912"/>
      <c r="R40" s="912"/>
      <c r="S40" s="912"/>
      <c r="T40" s="912"/>
      <c r="U40" s="912"/>
      <c r="V40" s="912"/>
      <c r="W40" s="912"/>
    </row>
    <row r="41" spans="1:25">
      <c r="A41" s="912"/>
      <c r="B41" s="912"/>
      <c r="C41" s="912"/>
      <c r="D41" s="912"/>
      <c r="E41" s="912"/>
      <c r="F41" s="912"/>
      <c r="G41" s="912"/>
      <c r="H41" s="912"/>
      <c r="I41" s="912"/>
      <c r="J41" s="920"/>
      <c r="K41" s="912"/>
      <c r="L41" s="912"/>
      <c r="M41" s="922"/>
      <c r="N41" s="921"/>
      <c r="O41" s="919"/>
      <c r="P41" s="919"/>
      <c r="Q41" s="912"/>
      <c r="R41" s="912"/>
      <c r="S41" s="912"/>
      <c r="T41" s="912"/>
      <c r="U41" s="912"/>
      <c r="V41" s="912"/>
      <c r="W41" s="912"/>
    </row>
    <row r="42" spans="1:25">
      <c r="A42" s="912"/>
      <c r="B42" s="912"/>
      <c r="C42" s="912"/>
      <c r="D42" s="912"/>
      <c r="E42" s="912"/>
      <c r="F42" s="912"/>
      <c r="G42" s="912"/>
      <c r="H42" s="921"/>
      <c r="I42" s="912"/>
      <c r="J42" s="920"/>
      <c r="K42" s="912"/>
      <c r="L42" s="912"/>
      <c r="M42" s="919"/>
      <c r="N42" s="919"/>
      <c r="O42" s="919"/>
      <c r="P42" s="919"/>
      <c r="Q42" s="912"/>
      <c r="R42" s="912"/>
      <c r="S42" s="912"/>
      <c r="T42" s="912"/>
      <c r="U42" s="912"/>
      <c r="V42" s="912"/>
      <c r="W42" s="912"/>
    </row>
    <row r="43" spans="1:25">
      <c r="A43" s="912"/>
      <c r="B43" s="912"/>
      <c r="C43" s="912"/>
      <c r="D43" s="912"/>
      <c r="E43" s="912"/>
      <c r="F43" s="912"/>
      <c r="G43" s="912"/>
      <c r="H43" s="920"/>
      <c r="I43" s="920"/>
      <c r="J43" s="920"/>
      <c r="K43" s="912"/>
      <c r="L43" s="919"/>
      <c r="M43" s="919"/>
      <c r="N43" s="919"/>
      <c r="O43" s="919"/>
      <c r="P43" s="919"/>
      <c r="Q43" s="912"/>
      <c r="R43" s="912"/>
      <c r="S43" s="912"/>
      <c r="T43" s="912"/>
      <c r="U43" s="912"/>
      <c r="V43" s="912"/>
      <c r="W43" s="912"/>
    </row>
    <row r="44" spans="1:25">
      <c r="A44" s="912"/>
      <c r="B44" s="912"/>
      <c r="C44" s="912"/>
      <c r="D44" s="912"/>
      <c r="E44" s="912"/>
      <c r="F44" s="912"/>
      <c r="G44" s="919"/>
      <c r="H44" s="919"/>
      <c r="I44" s="919"/>
      <c r="J44" s="919"/>
      <c r="K44" s="919"/>
      <c r="L44" s="919"/>
      <c r="M44" s="919"/>
      <c r="N44" s="919"/>
      <c r="O44" s="919"/>
      <c r="P44" s="919"/>
      <c r="Q44" s="912"/>
      <c r="R44" s="912"/>
      <c r="S44" s="912"/>
      <c r="T44" s="912"/>
      <c r="U44" s="912"/>
      <c r="V44" s="912"/>
      <c r="W44" s="912"/>
    </row>
    <row r="45" spans="1:25">
      <c r="A45" s="912"/>
      <c r="B45" s="912"/>
      <c r="C45" s="912"/>
      <c r="D45" s="912"/>
      <c r="E45" s="912"/>
      <c r="F45" s="912"/>
      <c r="G45" s="919"/>
      <c r="H45" s="919"/>
      <c r="I45" s="919"/>
      <c r="J45" s="919"/>
      <c r="K45" s="919"/>
      <c r="L45" s="919"/>
      <c r="M45" s="919"/>
      <c r="N45" s="919"/>
      <c r="O45" s="919"/>
      <c r="P45" s="919"/>
      <c r="Q45" s="912"/>
      <c r="R45" s="912"/>
      <c r="S45" s="912"/>
      <c r="T45" s="912"/>
      <c r="U45" s="912"/>
      <c r="V45" s="912"/>
      <c r="W45" s="912"/>
    </row>
    <row r="46" spans="1:25">
      <c r="A46" s="912"/>
      <c r="B46" s="912"/>
      <c r="C46" s="912"/>
      <c r="D46" s="912"/>
      <c r="E46" s="912"/>
      <c r="F46" s="912"/>
      <c r="G46" s="919"/>
      <c r="H46" s="919"/>
      <c r="I46" s="919"/>
      <c r="J46" s="919"/>
      <c r="K46" s="919"/>
      <c r="L46" s="919"/>
      <c r="M46" s="919"/>
      <c r="N46" s="919"/>
      <c r="O46" s="919"/>
      <c r="P46" s="919"/>
      <c r="Q46" s="912"/>
      <c r="R46" s="912"/>
      <c r="S46" s="912"/>
      <c r="T46" s="912"/>
      <c r="U46" s="912"/>
      <c r="V46" s="912"/>
      <c r="W46" s="912"/>
    </row>
    <row r="47" spans="1:25">
      <c r="A47" s="912"/>
      <c r="B47" s="912"/>
      <c r="C47" s="912"/>
      <c r="D47" s="912"/>
      <c r="E47" s="912"/>
      <c r="F47" s="912"/>
      <c r="G47" s="919"/>
      <c r="H47" s="919"/>
      <c r="I47" s="919"/>
      <c r="J47" s="919"/>
      <c r="K47" s="919"/>
      <c r="L47" s="919"/>
      <c r="M47" s="919"/>
      <c r="N47" s="919"/>
      <c r="O47" s="919"/>
      <c r="P47" s="919"/>
      <c r="Q47" s="912"/>
      <c r="R47" s="912"/>
      <c r="S47" s="912"/>
      <c r="T47" s="912"/>
      <c r="U47" s="912"/>
      <c r="V47" s="912"/>
      <c r="W47" s="912"/>
    </row>
    <row r="48" spans="1:25">
      <c r="A48" s="912"/>
      <c r="B48" s="912"/>
      <c r="C48" s="912"/>
      <c r="D48" s="912"/>
      <c r="E48" s="912"/>
      <c r="F48" s="912"/>
      <c r="G48" s="919"/>
      <c r="H48" s="919"/>
      <c r="I48" s="919"/>
      <c r="J48" s="919"/>
      <c r="K48" s="919"/>
      <c r="L48" s="919"/>
      <c r="M48" s="919"/>
      <c r="N48" s="919"/>
      <c r="O48" s="919"/>
      <c r="P48" s="919"/>
      <c r="Q48" s="912"/>
      <c r="R48" s="912"/>
      <c r="S48" s="912"/>
      <c r="T48" s="912"/>
      <c r="U48" s="912"/>
      <c r="V48" s="912"/>
      <c r="W48" s="912"/>
    </row>
    <row r="49" spans="1:25">
      <c r="A49" s="912"/>
      <c r="B49" s="912"/>
      <c r="C49" s="912"/>
      <c r="D49" s="912"/>
      <c r="E49" s="912"/>
      <c r="F49" s="912"/>
      <c r="G49" s="919"/>
      <c r="H49" s="919"/>
      <c r="I49" s="919"/>
      <c r="J49" s="919"/>
      <c r="K49" s="919"/>
      <c r="L49" s="919"/>
      <c r="M49" s="923"/>
      <c r="N49" s="919"/>
      <c r="O49" s="919"/>
      <c r="P49" s="924"/>
      <c r="Q49" s="924"/>
      <c r="R49" s="912"/>
      <c r="S49" s="912"/>
      <c r="T49" s="912"/>
      <c r="U49" s="912"/>
      <c r="V49" s="912"/>
      <c r="W49" s="912"/>
    </row>
    <row r="50" spans="1:25">
      <c r="A50" s="912"/>
      <c r="B50" s="912"/>
      <c r="C50" s="912"/>
      <c r="D50" s="912"/>
      <c r="E50" s="912"/>
      <c r="F50" s="912"/>
      <c r="G50" s="919"/>
      <c r="H50" s="919"/>
      <c r="I50" s="919"/>
      <c r="J50" s="919"/>
      <c r="K50" s="919"/>
      <c r="L50" s="919"/>
      <c r="M50" s="919"/>
      <c r="N50" s="919"/>
      <c r="O50" s="919"/>
      <c r="P50" s="919"/>
      <c r="Q50" s="912"/>
      <c r="R50" s="912"/>
      <c r="S50" s="912"/>
      <c r="T50" s="912"/>
      <c r="U50" s="912"/>
      <c r="V50" s="912"/>
      <c r="W50" s="912"/>
    </row>
    <row r="51" spans="1:25">
      <c r="A51" s="912"/>
      <c r="B51" s="912"/>
      <c r="C51" s="912"/>
      <c r="D51" s="912"/>
      <c r="E51" s="912"/>
      <c r="F51" s="912"/>
      <c r="G51" s="919"/>
      <c r="H51" s="919"/>
      <c r="I51" s="919"/>
      <c r="J51" s="919"/>
      <c r="K51" s="919"/>
      <c r="L51" s="919"/>
      <c r="M51" s="919"/>
      <c r="N51" s="919"/>
      <c r="O51" s="919"/>
      <c r="P51" s="919"/>
      <c r="Q51" s="912"/>
      <c r="R51" s="912"/>
      <c r="S51" s="912"/>
      <c r="T51" s="912"/>
      <c r="U51" s="912"/>
      <c r="V51" s="912"/>
      <c r="W51" s="912"/>
    </row>
    <row r="52" spans="1:25">
      <c r="A52" s="912"/>
      <c r="B52" s="912"/>
      <c r="C52" s="912"/>
      <c r="D52" s="912"/>
      <c r="E52" s="912"/>
      <c r="F52" s="912"/>
      <c r="G52" s="919"/>
      <c r="H52" s="919"/>
      <c r="I52" s="919"/>
      <c r="J52" s="919"/>
      <c r="K52" s="919"/>
      <c r="L52" s="919"/>
      <c r="M52" s="919"/>
      <c r="N52" s="919"/>
      <c r="O52" s="919"/>
      <c r="P52" s="919"/>
      <c r="Q52" s="912"/>
      <c r="R52" s="912"/>
      <c r="S52" s="912"/>
      <c r="T52" s="912"/>
      <c r="U52" s="912"/>
      <c r="V52" s="912"/>
      <c r="W52" s="912"/>
    </row>
    <row r="53" spans="1:25">
      <c r="A53" s="912"/>
      <c r="B53" s="912"/>
      <c r="C53" s="912"/>
      <c r="D53" s="912"/>
      <c r="E53" s="912"/>
      <c r="F53" s="912"/>
      <c r="G53" s="919"/>
      <c r="H53" s="919"/>
      <c r="I53" s="919"/>
      <c r="J53" s="919"/>
      <c r="K53" s="919"/>
      <c r="L53" s="925"/>
      <c r="M53" s="925"/>
      <c r="N53" s="925"/>
      <c r="O53" s="925"/>
      <c r="P53" s="919"/>
      <c r="Q53" s="919"/>
      <c r="R53" s="919"/>
      <c r="S53" s="919"/>
      <c r="T53" s="919"/>
      <c r="U53" s="919"/>
      <c r="V53" s="919"/>
      <c r="W53" s="919"/>
      <c r="X53" s="896"/>
      <c r="Y53" s="896"/>
    </row>
    <row r="54" spans="1:25">
      <c r="A54" s="912"/>
      <c r="B54" s="912"/>
      <c r="C54" s="912"/>
      <c r="D54" s="912"/>
      <c r="E54" s="912"/>
      <c r="F54" s="912"/>
      <c r="G54" s="919"/>
      <c r="H54" s="919"/>
      <c r="I54" s="919"/>
      <c r="J54" s="919"/>
      <c r="K54" s="919"/>
      <c r="L54" s="919"/>
      <c r="M54" s="919"/>
      <c r="N54" s="919"/>
      <c r="O54" s="919"/>
      <c r="P54" s="919"/>
      <c r="Q54" s="919"/>
      <c r="R54" s="919"/>
      <c r="S54" s="919"/>
      <c r="T54" s="919"/>
      <c r="U54" s="919"/>
      <c r="V54" s="919"/>
      <c r="W54" s="919"/>
      <c r="X54" s="896"/>
      <c r="Y54" s="896"/>
    </row>
    <row r="55" spans="1:25" ht="6.75" customHeight="1">
      <c r="A55" s="912"/>
      <c r="B55" s="912"/>
      <c r="C55" s="912"/>
      <c r="D55" s="912"/>
      <c r="E55" s="912"/>
      <c r="F55" s="912"/>
      <c r="G55" s="919"/>
      <c r="H55" s="919"/>
      <c r="I55" s="919"/>
      <c r="J55" s="919"/>
      <c r="K55" s="919"/>
      <c r="L55" s="919"/>
      <c r="M55" s="919"/>
      <c r="N55" s="919"/>
      <c r="O55" s="919"/>
      <c r="P55" s="912"/>
      <c r="Q55" s="912"/>
      <c r="R55" s="912"/>
      <c r="S55" s="912"/>
      <c r="T55" s="912"/>
      <c r="U55" s="912"/>
      <c r="V55" s="912"/>
      <c r="W55" s="912"/>
    </row>
  </sheetData>
  <sheetProtection algorithmName="SHA-512" hashValue="3+X+fauE23t+Ku+ZUfBcgkUrtz8Ih9NjuwQ9aaA9GWTI1BXXBj3IYSKnVlWnGrRi3FaWhqBsr7Y73nUy8nnkug==" saltValue="zQFxNhutAAcwtWZ9KHrxWQ==" spinCount="100000" sheet="1" objects="1" scenarios="1"/>
  <mergeCells count="1">
    <mergeCell ref="L6:Q6"/>
  </mergeCells>
  <printOptions horizontalCentered="1" verticalCentered="1"/>
  <pageMargins left="0" right="0" top="0" bottom="0" header="0" footer="0"/>
  <pageSetup paperSize="9" scale="75" fitToWidth="0" fitToHeight="0"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32100" r:id="rId4" name="Drop Down 4">
              <controlPr defaultSize="0" autoLine="0" autoPict="0">
                <anchor moveWithCells="1">
                  <from>
                    <xdr:col>2</xdr:col>
                    <xdr:colOff>428625</xdr:colOff>
                    <xdr:row>2</xdr:row>
                    <xdr:rowOff>161925</xdr:rowOff>
                  </from>
                  <to>
                    <xdr:col>4</xdr:col>
                    <xdr:colOff>371475</xdr:colOff>
                    <xdr:row>3</xdr:row>
                    <xdr:rowOff>171450</xdr:rowOff>
                  </to>
                </anchor>
              </controlPr>
            </control>
          </mc:Choice>
        </mc:AlternateContent>
        <mc:AlternateContent xmlns:mc="http://schemas.openxmlformats.org/markup-compatibility/2006">
          <mc:Choice Requires="x14">
            <control shapeId="132106" r:id="rId5" name="Drop Down 10">
              <controlPr defaultSize="0" autoLine="0" autoPict="0">
                <anchor moveWithCells="1">
                  <from>
                    <xdr:col>3</xdr:col>
                    <xdr:colOff>0</xdr:colOff>
                    <xdr:row>26</xdr:row>
                    <xdr:rowOff>38100</xdr:rowOff>
                  </from>
                  <to>
                    <xdr:col>4</xdr:col>
                    <xdr:colOff>180975</xdr:colOff>
                    <xdr:row>27</xdr:row>
                    <xdr:rowOff>104775</xdr:rowOff>
                  </to>
                </anchor>
              </controlPr>
            </control>
          </mc:Choice>
        </mc:AlternateContent>
        <mc:AlternateContent xmlns:mc="http://schemas.openxmlformats.org/markup-compatibility/2006">
          <mc:Choice Requires="x14">
            <control shapeId="132107" r:id="rId6" name="Drop Down 11">
              <controlPr defaultSize="0" autoLine="0" autoPict="0">
                <anchor moveWithCells="1">
                  <from>
                    <xdr:col>10</xdr:col>
                    <xdr:colOff>476250</xdr:colOff>
                    <xdr:row>26</xdr:row>
                    <xdr:rowOff>19050</xdr:rowOff>
                  </from>
                  <to>
                    <xdr:col>12</xdr:col>
                    <xdr:colOff>180975</xdr:colOff>
                    <xdr:row>27</xdr:row>
                    <xdr:rowOff>123825</xdr:rowOff>
                  </to>
                </anchor>
              </controlPr>
            </control>
          </mc:Choice>
        </mc:AlternateContent>
        <mc:AlternateContent xmlns:mc="http://schemas.openxmlformats.org/markup-compatibility/2006">
          <mc:Choice Requires="x14">
            <control shapeId="132108" r:id="rId7" name="Drop Down 12">
              <controlPr defaultSize="0" autoLine="0" autoPict="0">
                <anchor moveWithCells="1">
                  <from>
                    <xdr:col>18</xdr:col>
                    <xdr:colOff>371475</xdr:colOff>
                    <xdr:row>26</xdr:row>
                    <xdr:rowOff>38100</xdr:rowOff>
                  </from>
                  <to>
                    <xdr:col>19</xdr:col>
                    <xdr:colOff>523875</xdr:colOff>
                    <xdr:row>27</xdr:row>
                    <xdr:rowOff>133350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5">
    <tabColor indexed="25"/>
    <pageSetUpPr fitToPage="1"/>
  </sheetPr>
  <dimension ref="A1:AO330"/>
  <sheetViews>
    <sheetView showGridLines="0" topLeftCell="H10" workbookViewId="0">
      <selection activeCell="Y70" sqref="Y70"/>
    </sheetView>
  </sheetViews>
  <sheetFormatPr defaultColWidth="9.140625" defaultRowHeight="11.25"/>
  <cols>
    <col min="1" max="1" width="2" style="59" customWidth="1"/>
    <col min="2" max="2" width="28.42578125" style="59" customWidth="1"/>
    <col min="3" max="3" width="7.5703125" style="141" customWidth="1"/>
    <col min="4" max="4" width="7.5703125" style="171" customWidth="1"/>
    <col min="5" max="5" width="7.5703125" style="195" customWidth="1"/>
    <col min="6" max="13" width="7.5703125" style="204" customWidth="1"/>
    <col min="14" max="14" width="5.85546875" style="59" bestFit="1" customWidth="1"/>
    <col min="15" max="41" width="9.140625" style="651"/>
    <col min="42" max="16384" width="9.140625" style="59"/>
  </cols>
  <sheetData>
    <row r="1" spans="1:41" s="126" customFormat="1" ht="28.5" customHeight="1">
      <c r="A1" s="978" t="s">
        <v>576</v>
      </c>
      <c r="B1" s="978"/>
      <c r="C1" s="978"/>
      <c r="D1" s="978"/>
      <c r="E1" s="978"/>
      <c r="F1" s="978"/>
      <c r="G1" s="978"/>
      <c r="H1" s="978"/>
      <c r="I1" s="978"/>
      <c r="J1" s="978"/>
      <c r="K1" s="978"/>
      <c r="L1" s="978"/>
      <c r="M1" s="978"/>
      <c r="O1" s="1"/>
      <c r="P1" s="1"/>
      <c r="Q1" s="1"/>
      <c r="R1" s="1"/>
      <c r="S1" s="1"/>
      <c r="T1" s="1"/>
      <c r="U1" s="1"/>
      <c r="V1" s="1"/>
      <c r="W1" s="1"/>
      <c r="X1" s="1"/>
      <c r="Y1" s="1"/>
      <c r="Z1" s="1"/>
      <c r="AA1" s="1"/>
      <c r="AB1" s="1"/>
      <c r="AC1" s="1"/>
      <c r="AD1" s="1"/>
      <c r="AE1" s="1"/>
      <c r="AF1" s="1"/>
      <c r="AG1" s="1"/>
      <c r="AH1" s="1"/>
      <c r="AI1" s="1"/>
      <c r="AJ1" s="1"/>
      <c r="AK1" s="1"/>
      <c r="AL1" s="1"/>
      <c r="AM1" s="1"/>
      <c r="AN1" s="1"/>
      <c r="AO1" s="1"/>
    </row>
    <row r="2" spans="1:41" s="115" customFormat="1" ht="15.75" customHeight="1">
      <c r="A2" s="3"/>
      <c r="B2" s="3"/>
      <c r="C2" s="3"/>
      <c r="D2" s="3"/>
      <c r="E2" s="3"/>
      <c r="F2" s="3"/>
      <c r="G2" s="3"/>
      <c r="H2" s="3"/>
      <c r="I2" s="3"/>
      <c r="J2" s="3"/>
      <c r="K2" s="3"/>
      <c r="L2" s="3"/>
      <c r="M2" s="3"/>
      <c r="O2" s="2"/>
      <c r="P2" s="2"/>
      <c r="Q2" s="2"/>
      <c r="R2" s="2"/>
      <c r="S2" s="2"/>
      <c r="T2" s="2"/>
      <c r="U2" s="2"/>
      <c r="V2" s="2"/>
      <c r="W2" s="2"/>
      <c r="X2" s="2"/>
      <c r="Y2" s="2"/>
      <c r="Z2" s="2"/>
      <c r="AA2" s="2"/>
      <c r="AB2" s="2"/>
      <c r="AC2" s="2"/>
      <c r="AD2" s="2"/>
      <c r="AE2" s="2"/>
      <c r="AF2" s="2"/>
      <c r="AG2" s="2"/>
      <c r="AH2" s="2"/>
      <c r="AI2" s="2"/>
      <c r="AJ2" s="2"/>
      <c r="AK2" s="2"/>
      <c r="AL2" s="2"/>
      <c r="AM2" s="2"/>
      <c r="AN2" s="2"/>
      <c r="AO2" s="2"/>
    </row>
    <row r="3" spans="1:41" s="115" customFormat="1" ht="15.75" customHeight="1">
      <c r="A3" s="28" t="s">
        <v>41</v>
      </c>
      <c r="B3" s="19"/>
      <c r="C3" s="95"/>
      <c r="D3" s="95"/>
      <c r="E3" s="95"/>
      <c r="F3" s="95"/>
      <c r="G3" s="95"/>
      <c r="H3" s="95"/>
      <c r="I3" s="95"/>
      <c r="J3" s="95"/>
      <c r="K3" s="95"/>
      <c r="L3" s="95"/>
      <c r="M3" s="95"/>
      <c r="O3" s="2"/>
      <c r="P3" s="2"/>
      <c r="Q3" s="2"/>
      <c r="R3" s="2"/>
      <c r="S3" s="2"/>
      <c r="T3" s="2"/>
      <c r="U3" s="2"/>
      <c r="V3" s="2"/>
      <c r="W3" s="2"/>
      <c r="X3" s="2"/>
      <c r="Y3" s="2"/>
      <c r="Z3" s="2"/>
      <c r="AA3" s="2"/>
      <c r="AB3" s="2"/>
      <c r="AC3" s="2"/>
      <c r="AD3" s="2"/>
      <c r="AE3" s="2"/>
      <c r="AF3" s="2"/>
      <c r="AG3" s="2"/>
      <c r="AH3" s="2"/>
      <c r="AI3" s="2"/>
      <c r="AJ3" s="2"/>
      <c r="AK3" s="2"/>
      <c r="AL3" s="2"/>
      <c r="AM3" s="2"/>
      <c r="AN3" s="2"/>
      <c r="AO3" s="2"/>
    </row>
    <row r="4" spans="1:41" s="115" customFormat="1" ht="28.5" customHeight="1" thickBot="1">
      <c r="A4" s="104" t="s">
        <v>1</v>
      </c>
      <c r="B4" s="30"/>
      <c r="C4" s="4">
        <v>2014</v>
      </c>
      <c r="D4" s="4">
        <v>2015</v>
      </c>
      <c r="E4" s="4">
        <v>2016</v>
      </c>
      <c r="F4" s="4">
        <v>2017</v>
      </c>
      <c r="G4" s="4">
        <v>2018</v>
      </c>
      <c r="H4" s="4">
        <v>2019</v>
      </c>
      <c r="I4" s="4">
        <v>2020</v>
      </c>
      <c r="J4" s="4">
        <v>2021</v>
      </c>
      <c r="K4" s="4">
        <v>2022</v>
      </c>
      <c r="L4" s="4">
        <v>2023</v>
      </c>
      <c r="M4" s="4">
        <v>2024</v>
      </c>
      <c r="O4" s="2"/>
      <c r="P4" s="2"/>
      <c r="Q4" s="2"/>
      <c r="R4" s="2"/>
      <c r="S4" s="560">
        <f>+C4</f>
        <v>2014</v>
      </c>
      <c r="T4" s="560">
        <f t="shared" ref="T4:AA4" si="0">+D4</f>
        <v>2015</v>
      </c>
      <c r="U4" s="560">
        <f t="shared" si="0"/>
        <v>2016</v>
      </c>
      <c r="V4" s="560">
        <f t="shared" si="0"/>
        <v>2017</v>
      </c>
      <c r="W4" s="560">
        <f t="shared" si="0"/>
        <v>2018</v>
      </c>
      <c r="X4" s="560">
        <f t="shared" si="0"/>
        <v>2019</v>
      </c>
      <c r="Y4" s="560">
        <f t="shared" si="0"/>
        <v>2020</v>
      </c>
      <c r="Z4" s="560">
        <f t="shared" si="0"/>
        <v>2021</v>
      </c>
      <c r="AA4" s="560">
        <f t="shared" si="0"/>
        <v>2022</v>
      </c>
      <c r="AB4" s="560">
        <f>+L4</f>
        <v>2023</v>
      </c>
      <c r="AC4" s="560">
        <f t="shared" ref="AC4" si="1">+M4</f>
        <v>2024</v>
      </c>
      <c r="AD4" s="560">
        <f>+C4</f>
        <v>2014</v>
      </c>
      <c r="AE4" s="560">
        <f t="shared" ref="AE4:AN4" si="2">+D4</f>
        <v>2015</v>
      </c>
      <c r="AF4" s="560">
        <f t="shared" si="2"/>
        <v>2016</v>
      </c>
      <c r="AG4" s="560">
        <f t="shared" si="2"/>
        <v>2017</v>
      </c>
      <c r="AH4" s="560">
        <f t="shared" si="2"/>
        <v>2018</v>
      </c>
      <c r="AI4" s="560">
        <f t="shared" si="2"/>
        <v>2019</v>
      </c>
      <c r="AJ4" s="560">
        <f t="shared" si="2"/>
        <v>2020</v>
      </c>
      <c r="AK4" s="560">
        <f t="shared" si="2"/>
        <v>2021</v>
      </c>
      <c r="AL4" s="560">
        <f t="shared" si="2"/>
        <v>2022</v>
      </c>
      <c r="AM4" s="560">
        <f t="shared" si="2"/>
        <v>2023</v>
      </c>
      <c r="AN4" s="560">
        <f t="shared" si="2"/>
        <v>2024</v>
      </c>
      <c r="AO4" s="560"/>
    </row>
    <row r="5" spans="1:41" s="115" customFormat="1" ht="16.5" customHeight="1" thickTop="1">
      <c r="A5" s="32" t="s">
        <v>42</v>
      </c>
      <c r="B5" s="201"/>
      <c r="C5" s="335">
        <v>2458163</v>
      </c>
      <c r="D5" s="335">
        <v>2537653</v>
      </c>
      <c r="E5" s="335">
        <v>2641919</v>
      </c>
      <c r="F5" s="335">
        <v>2767521</v>
      </c>
      <c r="G5" s="335">
        <v>2877918</v>
      </c>
      <c r="H5" s="335">
        <v>2930482</v>
      </c>
      <c r="I5" s="335">
        <v>2902825</v>
      </c>
      <c r="J5" s="335">
        <v>2922343</v>
      </c>
      <c r="K5" s="335">
        <v>3148147</v>
      </c>
      <c r="L5" s="335">
        <v>3296134</v>
      </c>
      <c r="M5" s="335">
        <v>3354136</v>
      </c>
      <c r="O5" s="419">
        <f>+M5-19518</f>
        <v>3334618</v>
      </c>
      <c r="P5" s="2">
        <f>+(M5/L5-1)*100</f>
        <v>1.7596978763606108</v>
      </c>
      <c r="Q5" s="419">
        <f>+M5-L5</f>
        <v>58002</v>
      </c>
      <c r="R5" s="2"/>
      <c r="S5" s="559">
        <f>C5*100/C$5</f>
        <v>100</v>
      </c>
      <c r="T5" s="559">
        <f t="shared" ref="T5:AC20" si="3">D5*100/D$5</f>
        <v>100</v>
      </c>
      <c r="U5" s="559">
        <f t="shared" si="3"/>
        <v>100</v>
      </c>
      <c r="V5" s="559">
        <f t="shared" si="3"/>
        <v>100</v>
      </c>
      <c r="W5" s="559">
        <f t="shared" si="3"/>
        <v>100</v>
      </c>
      <c r="X5" s="559">
        <f t="shared" si="3"/>
        <v>100</v>
      </c>
      <c r="Y5" s="559">
        <f t="shared" si="3"/>
        <v>100</v>
      </c>
      <c r="Z5" s="559">
        <f t="shared" si="3"/>
        <v>100</v>
      </c>
      <c r="AA5" s="559">
        <f t="shared" si="3"/>
        <v>100</v>
      </c>
      <c r="AB5" s="559">
        <f t="shared" si="3"/>
        <v>100</v>
      </c>
      <c r="AC5" s="559">
        <f t="shared" si="3"/>
        <v>100</v>
      </c>
      <c r="AD5" s="650" t="str">
        <f>+IFERROR(RANK(S5,(S$6:S$8,S$33:S$49),0),"")</f>
        <v/>
      </c>
      <c r="AE5" s="650" t="str">
        <f>+IFERROR(RANK(T5,(T$6:T$8,T$33:T$49),0),"")</f>
        <v/>
      </c>
      <c r="AF5" s="650" t="str">
        <f>+IFERROR(RANK(U5,(U$6:U$8,U$33:U$49),0),"")</f>
        <v/>
      </c>
      <c r="AG5" s="650" t="str">
        <f>+IFERROR(RANK(V5,(V$6:V$8,V$33:V$49),0),"")</f>
        <v/>
      </c>
      <c r="AH5" s="650" t="str">
        <f>+IFERROR(RANK(W5,(W$6:W$8,W$33:W$49),0),"")</f>
        <v/>
      </c>
      <c r="AI5" s="650" t="str">
        <f>+IFERROR(RANK(X5,(X$6:X$8,X$33:X$49),0),"")</f>
        <v/>
      </c>
      <c r="AJ5" s="650" t="str">
        <f>+IFERROR(RANK(Y5,(Y$6:Y$8,Y$33:Y$49),0),"")</f>
        <v/>
      </c>
      <c r="AK5" s="650" t="str">
        <f>+IFERROR(RANK(Z5,(Z$6:Z$8,Z$33:Z$49),0),"")</f>
        <v/>
      </c>
      <c r="AL5" s="650" t="str">
        <f>+IFERROR(RANK(AA5,(AA$6:AA$8,AA$33:AA$49),0),"")</f>
        <v/>
      </c>
      <c r="AM5" s="650" t="str">
        <f>+IFERROR(RANK(AB5,(AB$6:AB$8,AB$33:AB$49),0),"")</f>
        <v/>
      </c>
      <c r="AN5" s="650" t="str">
        <f>+IFERROR(RANK(AC5,(AC$6:AC$8,AC$33:AC$49),0),"")</f>
        <v/>
      </c>
      <c r="AO5" s="2"/>
    </row>
    <row r="6" spans="1:41" s="115" customFormat="1" ht="16.5" customHeight="1">
      <c r="A6" s="201" t="s">
        <v>72</v>
      </c>
      <c r="B6" s="307" t="s">
        <v>169</v>
      </c>
      <c r="C6" s="335">
        <v>54661</v>
      </c>
      <c r="D6" s="335">
        <v>57045</v>
      </c>
      <c r="E6" s="335">
        <v>60375</v>
      </c>
      <c r="F6" s="335">
        <v>61737</v>
      </c>
      <c r="G6" s="335">
        <v>65121</v>
      </c>
      <c r="H6" s="335">
        <v>66106</v>
      </c>
      <c r="I6" s="335">
        <v>69923</v>
      </c>
      <c r="J6" s="335">
        <v>68486</v>
      </c>
      <c r="K6" s="335">
        <v>74274</v>
      </c>
      <c r="L6" s="335">
        <v>78184</v>
      </c>
      <c r="M6" s="335">
        <v>80117</v>
      </c>
      <c r="O6" s="2"/>
      <c r="P6" s="2"/>
      <c r="Q6" s="2"/>
      <c r="R6" s="2"/>
      <c r="S6" s="559">
        <f t="shared" ref="S6:AC21" si="4">C6*100/C$5</f>
        <v>2.2236523778122117</v>
      </c>
      <c r="T6" s="559">
        <f t="shared" si="3"/>
        <v>2.2479432767206551</v>
      </c>
      <c r="U6" s="559">
        <f t="shared" si="3"/>
        <v>2.2852706687828053</v>
      </c>
      <c r="V6" s="559">
        <f t="shared" si="3"/>
        <v>2.2307689806147812</v>
      </c>
      <c r="W6" s="559">
        <f t="shared" si="3"/>
        <v>2.2627816358909461</v>
      </c>
      <c r="X6" s="559">
        <f t="shared" si="3"/>
        <v>2.2558063827042787</v>
      </c>
      <c r="Y6" s="559">
        <f t="shared" si="3"/>
        <v>2.4087914359287934</v>
      </c>
      <c r="Z6" s="559">
        <f t="shared" si="3"/>
        <v>2.3435305164383511</v>
      </c>
      <c r="AA6" s="559">
        <f t="shared" si="3"/>
        <v>2.3592926251537811</v>
      </c>
      <c r="AB6" s="559">
        <f t="shared" si="3"/>
        <v>2.3719909445429099</v>
      </c>
      <c r="AC6" s="559">
        <f t="shared" si="3"/>
        <v>2.3886032051175028</v>
      </c>
      <c r="AD6" s="650">
        <f>+IFERROR(RANK(S6,(S$6:S$8,S$33:S$49),0),"")</f>
        <v>12</v>
      </c>
      <c r="AE6" s="650">
        <f>+IFERROR(RANK(T6,(T$6:T$8,T$33:T$49),0),"")</f>
        <v>12</v>
      </c>
      <c r="AF6" s="650">
        <f>+IFERROR(RANK(U6,(U$6:U$8,U$33:U$49),0),"")</f>
        <v>12</v>
      </c>
      <c r="AG6" s="650">
        <f>+IFERROR(RANK(V6,(V$6:V$8,V$33:V$49),0),"")</f>
        <v>11</v>
      </c>
      <c r="AH6" s="650">
        <f>+IFERROR(RANK(W6,(W$6:W$8,W$33:W$49),0),"")</f>
        <v>11</v>
      </c>
      <c r="AI6" s="650">
        <f>+IFERROR(RANK(X6,(X$6:X$8,X$33:X$49),0),"")</f>
        <v>11</v>
      </c>
      <c r="AJ6" s="650">
        <f>+IFERROR(RANK(Y6,(Y$6:Y$8,Y$33:Y$49),0),"")</f>
        <v>11</v>
      </c>
      <c r="AK6" s="650">
        <f>+IFERROR(RANK(Z6,(Z$6:Z$8,Z$33:Z$49),0),"")</f>
        <v>11</v>
      </c>
      <c r="AL6" s="650">
        <f>+IFERROR(RANK(AA6,(AA$6:AA$8,AA$33:AA$49),0),"")</f>
        <v>11</v>
      </c>
      <c r="AM6" s="650">
        <f>+IFERROR(RANK(AB6,(AB$6:AB$8,AB$33:AB$49),0),"")</f>
        <v>11</v>
      </c>
      <c r="AN6" s="650">
        <f>+IFERROR(RANK(AC6,(AC$6:AC$8,AC$33:AC$49),0),"")</f>
        <v>11</v>
      </c>
      <c r="AO6" s="2"/>
    </row>
    <row r="7" spans="1:41" s="115" customFormat="1" ht="12.75" customHeight="1">
      <c r="A7" s="201" t="s">
        <v>73</v>
      </c>
      <c r="B7" s="307" t="s">
        <v>101</v>
      </c>
      <c r="C7" s="335">
        <v>8158</v>
      </c>
      <c r="D7" s="335">
        <v>8132</v>
      </c>
      <c r="E7" s="335">
        <v>8049</v>
      </c>
      <c r="F7" s="335">
        <v>8407</v>
      </c>
      <c r="G7" s="335">
        <v>8338</v>
      </c>
      <c r="H7" s="335">
        <v>8161</v>
      </c>
      <c r="I7" s="335">
        <v>8029</v>
      </c>
      <c r="J7" s="335">
        <v>8140</v>
      </c>
      <c r="K7" s="335">
        <v>8518</v>
      </c>
      <c r="L7" s="335">
        <v>9125</v>
      </c>
      <c r="M7" s="335">
        <v>9139</v>
      </c>
      <c r="O7" s="2"/>
      <c r="P7" s="2"/>
      <c r="Q7" s="2"/>
      <c r="R7" s="2"/>
      <c r="S7" s="559">
        <f t="shared" si="4"/>
        <v>0.33187384237741763</v>
      </c>
      <c r="T7" s="559">
        <f t="shared" si="3"/>
        <v>0.32045358447352729</v>
      </c>
      <c r="U7" s="559">
        <f t="shared" si="3"/>
        <v>0.30466490456369028</v>
      </c>
      <c r="V7" s="559">
        <f t="shared" si="3"/>
        <v>0.30377366603541583</v>
      </c>
      <c r="W7" s="559">
        <f t="shared" si="3"/>
        <v>0.28972333471627754</v>
      </c>
      <c r="X7" s="559">
        <f t="shared" si="3"/>
        <v>0.27848661073502584</v>
      </c>
      <c r="Y7" s="559">
        <f t="shared" si="3"/>
        <v>0.27659262959358555</v>
      </c>
      <c r="Z7" s="559">
        <f t="shared" si="3"/>
        <v>0.2785436206495952</v>
      </c>
      <c r="AA7" s="559">
        <f t="shared" si="3"/>
        <v>0.27057186338503253</v>
      </c>
      <c r="AB7" s="559">
        <f t="shared" si="3"/>
        <v>0.27683947315248714</v>
      </c>
      <c r="AC7" s="559">
        <f t="shared" si="3"/>
        <v>0.27246957189571325</v>
      </c>
      <c r="AD7" s="650">
        <f>+IFERROR(RANK(S7,(S$6:S$8,S$33:S$49),0),"")</f>
        <v>18</v>
      </c>
      <c r="AE7" s="650">
        <f>+IFERROR(RANK(T7,(T$6:T$8,T$33:T$49),0),"")</f>
        <v>18</v>
      </c>
      <c r="AF7" s="650">
        <f>+IFERROR(RANK(U7,(U$6:U$8,U$33:U$49),0),"")</f>
        <v>18</v>
      </c>
      <c r="AG7" s="650">
        <f>+IFERROR(RANK(V7,(V$6:V$8,V$33:V$49),0),"")</f>
        <v>18</v>
      </c>
      <c r="AH7" s="650">
        <f>+IFERROR(RANK(W7,(W$6:W$8,W$33:W$49),0),"")</f>
        <v>18</v>
      </c>
      <c r="AI7" s="650">
        <f>+IFERROR(RANK(X7,(X$6:X$8,X$33:X$49),0),"")</f>
        <v>18</v>
      </c>
      <c r="AJ7" s="650">
        <f>+IFERROR(RANK(Y7,(Y$6:Y$8,Y$33:Y$49),0),"")</f>
        <v>18</v>
      </c>
      <c r="AK7" s="650">
        <f>+IFERROR(RANK(Z7,(Z$6:Z$8,Z$33:Z$49),0),"")</f>
        <v>18</v>
      </c>
      <c r="AL7" s="650">
        <f>+IFERROR(RANK(AA7,(AA$6:AA$8,AA$33:AA$49),0),"")</f>
        <v>18</v>
      </c>
      <c r="AM7" s="650">
        <f>+IFERROR(RANK(AB7,(AB$6:AB$8,AB$33:AB$49),0),"")</f>
        <v>18</v>
      </c>
      <c r="AN7" s="650">
        <f>+IFERROR(RANK(AC7,(AC$6:AC$8,AC$33:AC$49),0),"")</f>
        <v>18</v>
      </c>
      <c r="AO7" s="2"/>
    </row>
    <row r="8" spans="1:41" s="115" customFormat="1" ht="12.75" customHeight="1">
      <c r="A8" s="201" t="s">
        <v>74</v>
      </c>
      <c r="B8" s="307" t="s">
        <v>100</v>
      </c>
      <c r="C8" s="335">
        <v>557477</v>
      </c>
      <c r="D8" s="335">
        <v>572207</v>
      </c>
      <c r="E8" s="335">
        <v>589603</v>
      </c>
      <c r="F8" s="335">
        <v>613379</v>
      </c>
      <c r="G8" s="335">
        <v>633595</v>
      </c>
      <c r="H8" s="335">
        <v>625633</v>
      </c>
      <c r="I8" s="335">
        <v>614674</v>
      </c>
      <c r="J8" s="335">
        <v>612054</v>
      </c>
      <c r="K8" s="335">
        <v>642354</v>
      </c>
      <c r="L8" s="335">
        <v>650876</v>
      </c>
      <c r="M8" s="335">
        <v>641915</v>
      </c>
      <c r="O8" s="559">
        <f>+C8/$C$5*100</f>
        <v>22.67860186651577</v>
      </c>
      <c r="P8" s="559">
        <f>+M8/$M$5*100</f>
        <v>19.138013485440066</v>
      </c>
      <c r="Q8" s="2"/>
      <c r="R8" s="2"/>
      <c r="S8" s="559">
        <f t="shared" si="4"/>
        <v>22.67860186651577</v>
      </c>
      <c r="T8" s="559">
        <f t="shared" si="3"/>
        <v>22.54866997182042</v>
      </c>
      <c r="U8" s="559">
        <f t="shared" si="3"/>
        <v>22.317224714308047</v>
      </c>
      <c r="V8" s="559">
        <f t="shared" si="3"/>
        <v>22.163481324983621</v>
      </c>
      <c r="W8" s="559">
        <f t="shared" si="3"/>
        <v>22.015741935663211</v>
      </c>
      <c r="X8" s="559">
        <f t="shared" si="3"/>
        <v>21.349150071558196</v>
      </c>
      <c r="Y8" s="559">
        <f t="shared" si="3"/>
        <v>21.175027774667779</v>
      </c>
      <c r="Z8" s="559">
        <f t="shared" si="3"/>
        <v>20.94394805811638</v>
      </c>
      <c r="AA8" s="559">
        <f t="shared" si="3"/>
        <v>20.404193323882271</v>
      </c>
      <c r="AB8" s="559">
        <f t="shared" si="3"/>
        <v>19.746648649599805</v>
      </c>
      <c r="AC8" s="559">
        <f t="shared" si="3"/>
        <v>19.138013485440066</v>
      </c>
      <c r="AD8" s="650">
        <f>+IFERROR(RANK(S8,(S$6:S$8,S$33:S$49),0),"")</f>
        <v>1</v>
      </c>
      <c r="AE8" s="650">
        <f>+IFERROR(RANK(T8,(T$6:T$8,T$33:T$49),0),"")</f>
        <v>1</v>
      </c>
      <c r="AF8" s="650">
        <f>+IFERROR(RANK(U8,(U$6:U$8,U$33:U$49),0),"")</f>
        <v>1</v>
      </c>
      <c r="AG8" s="650">
        <f>+IFERROR(RANK(V8,(V$6:V$8,V$33:V$49),0),"")</f>
        <v>1</v>
      </c>
      <c r="AH8" s="650">
        <f>+IFERROR(RANK(W8,(W$6:W$8,W$33:W$49),0),"")</f>
        <v>1</v>
      </c>
      <c r="AI8" s="650">
        <f>+IFERROR(RANK(X8,(X$6:X$8,X$33:X$49),0),"")</f>
        <v>1</v>
      </c>
      <c r="AJ8" s="650">
        <f>+IFERROR(RANK(Y8,(Y$6:Y$8,Y$33:Y$49),0),"")</f>
        <v>1</v>
      </c>
      <c r="AK8" s="650">
        <f>+IFERROR(RANK(Z8,(Z$6:Z$8,Z$33:Z$49),0),"")</f>
        <v>1</v>
      </c>
      <c r="AL8" s="650">
        <f>+IFERROR(RANK(AA8,(AA$6:AA$8,AA$33:AA$49),0),"")</f>
        <v>1</v>
      </c>
      <c r="AM8" s="650">
        <f>+IFERROR(RANK(AB8,(AB$6:AB$8,AB$33:AB$49),0),"")</f>
        <v>1</v>
      </c>
      <c r="AN8" s="650">
        <f>+IFERROR(RANK(AC8,(AC$6:AC$8,AC$33:AC$49),0),"")</f>
        <v>1</v>
      </c>
      <c r="AO8" s="2"/>
    </row>
    <row r="9" spans="1:41" s="115" customFormat="1" ht="12.75" customHeight="1">
      <c r="A9" s="103"/>
      <c r="B9" s="102" t="s">
        <v>87</v>
      </c>
      <c r="C9" s="336">
        <v>70623</v>
      </c>
      <c r="D9" s="336">
        <v>72014</v>
      </c>
      <c r="E9" s="336">
        <v>73877</v>
      </c>
      <c r="F9" s="336">
        <v>75799</v>
      </c>
      <c r="G9" s="336">
        <v>76198</v>
      </c>
      <c r="H9" s="336">
        <v>76999</v>
      </c>
      <c r="I9" s="336">
        <v>75224</v>
      </c>
      <c r="J9" s="336">
        <v>74493</v>
      </c>
      <c r="K9" s="336">
        <v>77930</v>
      </c>
      <c r="L9" s="336">
        <v>79233</v>
      </c>
      <c r="M9" s="336">
        <v>79997</v>
      </c>
      <c r="O9" s="559">
        <f t="shared" ref="O9:O49" si="5">+C9/$C$5*100</f>
        <v>2.8729990647487575</v>
      </c>
      <c r="P9" s="559">
        <f t="shared" ref="P9:P49" si="6">+M9/$M$5*100</f>
        <v>2.3850255326558019</v>
      </c>
      <c r="Q9" s="2"/>
      <c r="R9" s="2"/>
      <c r="S9" s="559">
        <f t="shared" si="4"/>
        <v>2.8729990647487575</v>
      </c>
      <c r="T9" s="559">
        <f t="shared" si="3"/>
        <v>2.8378190398766105</v>
      </c>
      <c r="U9" s="559">
        <f t="shared" si="3"/>
        <v>2.7963385705617774</v>
      </c>
      <c r="V9" s="559">
        <f t="shared" si="3"/>
        <v>2.7388771395049938</v>
      </c>
      <c r="W9" s="559">
        <f t="shared" si="3"/>
        <v>2.6476779393992462</v>
      </c>
      <c r="X9" s="559">
        <f t="shared" si="3"/>
        <v>2.6275199779421952</v>
      </c>
      <c r="Y9" s="559">
        <f t="shared" si="3"/>
        <v>2.5914066469732071</v>
      </c>
      <c r="Z9" s="559">
        <f t="shared" si="3"/>
        <v>2.5490847583599874</v>
      </c>
      <c r="AA9" s="559">
        <f t="shared" si="3"/>
        <v>2.4754244322136163</v>
      </c>
      <c r="AB9" s="559">
        <f t="shared" si="3"/>
        <v>2.4038161069907957</v>
      </c>
      <c r="AC9" s="559">
        <f t="shared" si="3"/>
        <v>2.3850255326558019</v>
      </c>
      <c r="AD9" s="650" t="str">
        <f>+IFERROR(RANK(S9,(S$6:S$8,S$33:S$49),0),"")</f>
        <v/>
      </c>
      <c r="AE9" s="650" t="str">
        <f>+IFERROR(RANK(T9,(T$6:T$8,T$33:T$49),0),"")</f>
        <v/>
      </c>
      <c r="AF9" s="650" t="str">
        <f>+IFERROR(RANK(U9,(U$6:U$8,U$33:U$49),0),"")</f>
        <v/>
      </c>
      <c r="AG9" s="650" t="str">
        <f>+IFERROR(RANK(V9,(V$6:V$8,V$33:V$49),0),"")</f>
        <v/>
      </c>
      <c r="AH9" s="650" t="str">
        <f>+IFERROR(RANK(W9,(W$6:W$8,W$33:W$49),0),"")</f>
        <v/>
      </c>
      <c r="AI9" s="650" t="str">
        <f>+IFERROR(RANK(X9,(X$6:X$8,X$33:X$49),0),"")</f>
        <v/>
      </c>
      <c r="AJ9" s="650" t="str">
        <f>+IFERROR(RANK(Y9,(Y$6:Y$8,Y$33:Y$49),0),"")</f>
        <v/>
      </c>
      <c r="AK9" s="650" t="str">
        <f>+IFERROR(RANK(Z9,(Z$6:Z$8,Z$33:Z$49),0),"")</f>
        <v/>
      </c>
      <c r="AL9" s="650" t="str">
        <f>+IFERROR(RANK(AA9,(AA$6:AA$8,AA$33:AA$49),0),"")</f>
        <v/>
      </c>
      <c r="AM9" s="650" t="str">
        <f>+IFERROR(RANK(AB9,(AB$6:AB$8,AB$33:AB$49),0),"")</f>
        <v/>
      </c>
      <c r="AN9" s="650" t="str">
        <f>+IFERROR(RANK(AC9,(AC$6:AC$8,AC$33:AC$49),0),"")</f>
        <v/>
      </c>
      <c r="AO9" s="2"/>
    </row>
    <row r="10" spans="1:41" s="115" customFormat="1" ht="12.75" customHeight="1">
      <c r="A10" s="103"/>
      <c r="B10" s="102" t="s">
        <v>88</v>
      </c>
      <c r="C10" s="336">
        <v>11508</v>
      </c>
      <c r="D10" s="336">
        <v>11582</v>
      </c>
      <c r="E10" s="336">
        <v>11909</v>
      </c>
      <c r="F10" s="336">
        <v>12094</v>
      </c>
      <c r="G10" s="336">
        <v>12893</v>
      </c>
      <c r="H10" s="336">
        <v>13412</v>
      </c>
      <c r="I10" s="336">
        <v>12638</v>
      </c>
      <c r="J10" s="336">
        <v>12483</v>
      </c>
      <c r="K10" s="336">
        <v>13403</v>
      </c>
      <c r="L10" s="336">
        <v>13757</v>
      </c>
      <c r="M10" s="336">
        <v>14299</v>
      </c>
      <c r="O10" s="559">
        <f t="shared" si="5"/>
        <v>0.4681544714488014</v>
      </c>
      <c r="P10" s="559">
        <f t="shared" si="6"/>
        <v>0.42630948774885691</v>
      </c>
      <c r="Q10" s="2"/>
      <c r="R10" s="2"/>
      <c r="S10" s="559">
        <f t="shared" si="4"/>
        <v>0.4681544714488014</v>
      </c>
      <c r="T10" s="559">
        <f t="shared" si="3"/>
        <v>0.45640597827993029</v>
      </c>
      <c r="U10" s="559">
        <f t="shared" si="3"/>
        <v>0.45077082226972137</v>
      </c>
      <c r="V10" s="559">
        <f t="shared" si="3"/>
        <v>0.43699758737151406</v>
      </c>
      <c r="W10" s="559">
        <f t="shared" si="3"/>
        <v>0.44799747595310219</v>
      </c>
      <c r="X10" s="559">
        <f t="shared" si="3"/>
        <v>0.4576721508611894</v>
      </c>
      <c r="Y10" s="559">
        <f t="shared" si="3"/>
        <v>0.43536899399722684</v>
      </c>
      <c r="Z10" s="559">
        <f t="shared" si="3"/>
        <v>0.4271572501927392</v>
      </c>
      <c r="AA10" s="559">
        <f t="shared" si="3"/>
        <v>0.42574250821197357</v>
      </c>
      <c r="AB10" s="559">
        <f t="shared" si="3"/>
        <v>0.41736774051054965</v>
      </c>
      <c r="AC10" s="559">
        <f t="shared" si="3"/>
        <v>0.42630948774885691</v>
      </c>
      <c r="AD10" s="650" t="str">
        <f>+IFERROR(RANK(S10,(S$6:S$8,S$33:S$49),0),"")</f>
        <v/>
      </c>
      <c r="AE10" s="650" t="str">
        <f>+IFERROR(RANK(T10,(T$6:T$8,T$33:T$49),0),"")</f>
        <v/>
      </c>
      <c r="AF10" s="650" t="str">
        <f>+IFERROR(RANK(U10,(U$6:U$8,U$33:U$49),0),"")</f>
        <v/>
      </c>
      <c r="AG10" s="650" t="str">
        <f>+IFERROR(RANK(V10,(V$6:V$8,V$33:V$49),0),"")</f>
        <v/>
      </c>
      <c r="AH10" s="650" t="str">
        <f>+IFERROR(RANK(W10,(W$6:W$8,W$33:W$49),0),"")</f>
        <v/>
      </c>
      <c r="AI10" s="650" t="str">
        <f>+IFERROR(RANK(X10,(X$6:X$8,X$33:X$49),0),"")</f>
        <v/>
      </c>
      <c r="AJ10" s="650" t="str">
        <f>+IFERROR(RANK(Y10,(Y$6:Y$8,Y$33:Y$49),0),"")</f>
        <v/>
      </c>
      <c r="AK10" s="650" t="str">
        <f>+IFERROR(RANK(Z10,(Z$6:Z$8,Z$33:Z$49),0),"")</f>
        <v/>
      </c>
      <c r="AL10" s="650" t="str">
        <f>+IFERROR(RANK(AA10,(AA$6:AA$8,AA$33:AA$49),0),"")</f>
        <v/>
      </c>
      <c r="AM10" s="650" t="str">
        <f>+IFERROR(RANK(AB10,(AB$6:AB$8,AB$33:AB$49),0),"")</f>
        <v/>
      </c>
      <c r="AN10" s="650" t="str">
        <f>+IFERROR(RANK(AC10,(AC$6:AC$8,AC$33:AC$49),0),"")</f>
        <v/>
      </c>
      <c r="AO10" s="2"/>
    </row>
    <row r="11" spans="1:41" s="115" customFormat="1" ht="12.75" customHeight="1">
      <c r="A11" s="103"/>
      <c r="B11" s="102" t="s">
        <v>89</v>
      </c>
      <c r="C11" s="336">
        <v>448</v>
      </c>
      <c r="D11" s="336">
        <v>517</v>
      </c>
      <c r="E11" s="336">
        <v>482</v>
      </c>
      <c r="F11" s="336">
        <v>495</v>
      </c>
      <c r="G11" s="336">
        <v>484</v>
      </c>
      <c r="H11" s="336">
        <v>488</v>
      </c>
      <c r="I11" s="336">
        <v>487</v>
      </c>
      <c r="J11" s="336">
        <v>465</v>
      </c>
      <c r="K11" s="336">
        <v>471</v>
      </c>
      <c r="L11" s="336">
        <v>455</v>
      </c>
      <c r="M11" s="336">
        <v>468</v>
      </c>
      <c r="O11" s="559">
        <f t="shared" si="5"/>
        <v>1.8224991589247744E-2</v>
      </c>
      <c r="P11" s="559">
        <f t="shared" si="6"/>
        <v>1.3952922600633964E-2</v>
      </c>
      <c r="Q11" s="2"/>
      <c r="R11" s="2"/>
      <c r="S11" s="559">
        <f t="shared" si="4"/>
        <v>1.8224991589247744E-2</v>
      </c>
      <c r="T11" s="559">
        <f t="shared" si="3"/>
        <v>2.037315582548126E-2</v>
      </c>
      <c r="U11" s="559">
        <f t="shared" si="3"/>
        <v>1.8244314076245334E-2</v>
      </c>
      <c r="V11" s="559">
        <f t="shared" si="3"/>
        <v>1.7886043141136055E-2</v>
      </c>
      <c r="W11" s="559">
        <f t="shared" si="3"/>
        <v>1.6817713360839329E-2</v>
      </c>
      <c r="X11" s="559">
        <f t="shared" si="3"/>
        <v>1.6652550672551478E-2</v>
      </c>
      <c r="Y11" s="559">
        <f t="shared" si="3"/>
        <v>1.6776760569445281E-2</v>
      </c>
      <c r="Z11" s="559">
        <f t="shared" si="3"/>
        <v>1.5911889877403166E-2</v>
      </c>
      <c r="AA11" s="559">
        <f t="shared" si="3"/>
        <v>1.4961181927019292E-2</v>
      </c>
      <c r="AB11" s="559">
        <f t="shared" si="3"/>
        <v>1.3804050442124016E-2</v>
      </c>
      <c r="AC11" s="559">
        <f t="shared" si="3"/>
        <v>1.3952922600633964E-2</v>
      </c>
      <c r="AD11" s="650" t="str">
        <f>+IFERROR(RANK(S11,(S$6:S$8,S$33:S$49),0),"")</f>
        <v/>
      </c>
      <c r="AE11" s="650" t="str">
        <f>+IFERROR(RANK(T11,(T$6:T$8,T$33:T$49),0),"")</f>
        <v/>
      </c>
      <c r="AF11" s="650" t="str">
        <f>+IFERROR(RANK(U11,(U$6:U$8,U$33:U$49),0),"")</f>
        <v/>
      </c>
      <c r="AG11" s="650" t="str">
        <f>+IFERROR(RANK(V11,(V$6:V$8,V$33:V$49),0),"")</f>
        <v/>
      </c>
      <c r="AH11" s="650" t="str">
        <f>+IFERROR(RANK(W11,(W$6:W$8,W$33:W$49),0),"")</f>
        <v/>
      </c>
      <c r="AI11" s="650" t="str">
        <f>+IFERROR(RANK(X11,(X$6:X$8,X$33:X$49),0),"")</f>
        <v/>
      </c>
      <c r="AJ11" s="650" t="str">
        <f>+IFERROR(RANK(Y11,(Y$6:Y$8,Y$33:Y$49),0),"")</f>
        <v/>
      </c>
      <c r="AK11" s="650" t="str">
        <f>+IFERROR(RANK(Z11,(Z$6:Z$8,Z$33:Z$49),0),"")</f>
        <v/>
      </c>
      <c r="AL11" s="650" t="str">
        <f>+IFERROR(RANK(AA11,(AA$6:AA$8,AA$33:AA$49),0),"")</f>
        <v/>
      </c>
      <c r="AM11" s="650" t="str">
        <f>+IFERROR(RANK(AB11,(AB$6:AB$8,AB$33:AB$49),0),"")</f>
        <v/>
      </c>
      <c r="AN11" s="650" t="str">
        <f>+IFERROR(RANK(AC11,(AC$6:AC$8,AC$33:AC$49),0),"")</f>
        <v/>
      </c>
      <c r="AO11" s="2"/>
    </row>
    <row r="12" spans="1:41" s="115" customFormat="1" ht="12.75" customHeight="1">
      <c r="A12" s="103"/>
      <c r="B12" s="102" t="s">
        <v>0</v>
      </c>
      <c r="C12" s="336">
        <v>40612</v>
      </c>
      <c r="D12" s="336">
        <v>41676</v>
      </c>
      <c r="E12" s="336">
        <v>40854</v>
      </c>
      <c r="F12" s="336">
        <v>41361</v>
      </c>
      <c r="G12" s="336">
        <v>41962</v>
      </c>
      <c r="H12" s="336">
        <v>40293</v>
      </c>
      <c r="I12" s="336">
        <v>38891</v>
      </c>
      <c r="J12" s="336">
        <v>39175</v>
      </c>
      <c r="K12" s="336">
        <v>41534</v>
      </c>
      <c r="L12" s="336">
        <v>41044</v>
      </c>
      <c r="M12" s="336">
        <v>39752</v>
      </c>
      <c r="O12" s="559">
        <f t="shared" si="5"/>
        <v>1.652128032193146</v>
      </c>
      <c r="P12" s="559">
        <f t="shared" si="6"/>
        <v>1.1851636308128233</v>
      </c>
      <c r="Q12" s="2"/>
      <c r="R12" s="2"/>
      <c r="S12" s="559">
        <f t="shared" si="4"/>
        <v>1.652128032193146</v>
      </c>
      <c r="T12" s="559">
        <f t="shared" si="3"/>
        <v>1.6423049171813482</v>
      </c>
      <c r="U12" s="559">
        <f t="shared" si="3"/>
        <v>1.5463759486948692</v>
      </c>
      <c r="V12" s="559">
        <f t="shared" si="3"/>
        <v>1.4945144047687442</v>
      </c>
      <c r="W12" s="559">
        <f t="shared" si="3"/>
        <v>1.4580679505114462</v>
      </c>
      <c r="X12" s="559">
        <f t="shared" si="3"/>
        <v>1.3749615251006491</v>
      </c>
      <c r="Y12" s="559">
        <f t="shared" si="3"/>
        <v>1.339763850731615</v>
      </c>
      <c r="Z12" s="559">
        <f t="shared" si="3"/>
        <v>1.3405339482736969</v>
      </c>
      <c r="AA12" s="559">
        <f t="shared" si="3"/>
        <v>1.319315775279871</v>
      </c>
      <c r="AB12" s="559">
        <f t="shared" si="3"/>
        <v>1.2452163655967869</v>
      </c>
      <c r="AC12" s="559">
        <f t="shared" si="3"/>
        <v>1.1851636308128233</v>
      </c>
      <c r="AD12" s="650" t="str">
        <f>+IFERROR(RANK(S12,(S$6:S$8,S$33:S$49),0),"")</f>
        <v/>
      </c>
      <c r="AE12" s="650" t="str">
        <f>+IFERROR(RANK(T12,(T$6:T$8,T$33:T$49),0),"")</f>
        <v/>
      </c>
      <c r="AF12" s="650" t="str">
        <f>+IFERROR(RANK(U12,(U$6:U$8,U$33:U$49),0),"")</f>
        <v/>
      </c>
      <c r="AG12" s="650" t="str">
        <f>+IFERROR(RANK(V12,(V$6:V$8,V$33:V$49),0),"")</f>
        <v/>
      </c>
      <c r="AH12" s="650" t="str">
        <f>+IFERROR(RANK(W12,(W$6:W$8,W$33:W$49),0),"")</f>
        <v/>
      </c>
      <c r="AI12" s="650" t="str">
        <f>+IFERROR(RANK(X12,(X$6:X$8,X$33:X$49),0),"")</f>
        <v/>
      </c>
      <c r="AJ12" s="650" t="str">
        <f>+IFERROR(RANK(Y12,(Y$6:Y$8,Y$33:Y$49),0),"")</f>
        <v/>
      </c>
      <c r="AK12" s="650" t="str">
        <f>+IFERROR(RANK(Z12,(Z$6:Z$8,Z$33:Z$49),0),"")</f>
        <v/>
      </c>
      <c r="AL12" s="650" t="str">
        <f>+IFERROR(RANK(AA12,(AA$6:AA$8,AA$33:AA$49),0),"")</f>
        <v/>
      </c>
      <c r="AM12" s="650" t="str">
        <f>+IFERROR(RANK(AB12,(AB$6:AB$8,AB$33:AB$49),0),"")</f>
        <v/>
      </c>
      <c r="AN12" s="650" t="str">
        <f>+IFERROR(RANK(AC12,(AC$6:AC$8,AC$33:AC$49),0),"")</f>
        <v/>
      </c>
      <c r="AO12" s="2"/>
    </row>
    <row r="13" spans="1:41" s="115" customFormat="1" ht="12.75" customHeight="1">
      <c r="A13" s="103"/>
      <c r="B13" s="102" t="s">
        <v>90</v>
      </c>
      <c r="C13" s="336">
        <v>74266</v>
      </c>
      <c r="D13" s="336">
        <v>75891</v>
      </c>
      <c r="E13" s="336">
        <v>76992</v>
      </c>
      <c r="F13" s="336">
        <v>77738</v>
      </c>
      <c r="G13" s="336">
        <v>76638</v>
      </c>
      <c r="H13" s="336">
        <v>70646</v>
      </c>
      <c r="I13" s="336">
        <v>67487</v>
      </c>
      <c r="J13" s="336">
        <v>64748</v>
      </c>
      <c r="K13" s="336">
        <v>67285</v>
      </c>
      <c r="L13" s="336">
        <v>64632</v>
      </c>
      <c r="M13" s="336">
        <v>59513</v>
      </c>
      <c r="O13" s="559">
        <f t="shared" si="5"/>
        <v>3.0211991637657878</v>
      </c>
      <c r="P13" s="559">
        <f t="shared" si="6"/>
        <v>1.774316843443438</v>
      </c>
      <c r="Q13" s="2"/>
      <c r="R13" s="2"/>
      <c r="S13" s="559">
        <f t="shared" si="4"/>
        <v>3.0211991637657878</v>
      </c>
      <c r="T13" s="559">
        <f t="shared" si="3"/>
        <v>2.9905980053222407</v>
      </c>
      <c r="U13" s="559">
        <f t="shared" si="3"/>
        <v>2.9142452891250641</v>
      </c>
      <c r="V13" s="559">
        <f t="shared" si="3"/>
        <v>2.8089398418295652</v>
      </c>
      <c r="W13" s="559">
        <f t="shared" si="3"/>
        <v>2.6629667697272819</v>
      </c>
      <c r="X13" s="559">
        <f t="shared" si="3"/>
        <v>2.4107297024858028</v>
      </c>
      <c r="Y13" s="559">
        <f t="shared" si="3"/>
        <v>2.3248731838812193</v>
      </c>
      <c r="Z13" s="559">
        <f t="shared" si="3"/>
        <v>2.2156194532948392</v>
      </c>
      <c r="AA13" s="559">
        <f t="shared" si="3"/>
        <v>2.1372890147759938</v>
      </c>
      <c r="AB13" s="559">
        <f t="shared" si="3"/>
        <v>1.9608426113744162</v>
      </c>
      <c r="AC13" s="559">
        <f t="shared" si="3"/>
        <v>1.7743168434434382</v>
      </c>
      <c r="AD13" s="650" t="str">
        <f>+IFERROR(RANK(S13,(S$6:S$8,S$33:S$49),0),"")</f>
        <v/>
      </c>
      <c r="AE13" s="650" t="str">
        <f>+IFERROR(RANK(T13,(T$6:T$8,T$33:T$49),0),"")</f>
        <v/>
      </c>
      <c r="AF13" s="650" t="str">
        <f>+IFERROR(RANK(U13,(U$6:U$8,U$33:U$49),0),"")</f>
        <v/>
      </c>
      <c r="AG13" s="650" t="str">
        <f>+IFERROR(RANK(V13,(V$6:V$8,V$33:V$49),0),"")</f>
        <v/>
      </c>
      <c r="AH13" s="650" t="str">
        <f>+IFERROR(RANK(W13,(W$6:W$8,W$33:W$49),0),"")</f>
        <v/>
      </c>
      <c r="AI13" s="650" t="str">
        <f>+IFERROR(RANK(X13,(X$6:X$8,X$33:X$49),0),"")</f>
        <v/>
      </c>
      <c r="AJ13" s="650" t="str">
        <f>+IFERROR(RANK(Y13,(Y$6:Y$8,Y$33:Y$49),0),"")</f>
        <v/>
      </c>
      <c r="AK13" s="650" t="str">
        <f>+IFERROR(RANK(Z13,(Z$6:Z$8,Z$33:Z$49),0),"")</f>
        <v/>
      </c>
      <c r="AL13" s="650" t="str">
        <f>+IFERROR(RANK(AA13,(AA$6:AA$8,AA$33:AA$49),0),"")</f>
        <v/>
      </c>
      <c r="AM13" s="650" t="str">
        <f>+IFERROR(RANK(AB13,(AB$6:AB$8,AB$33:AB$49),0),"")</f>
        <v/>
      </c>
      <c r="AN13" s="650" t="str">
        <f>+IFERROR(RANK(AC13,(AC$6:AC$8,AC$33:AC$49),0),"")</f>
        <v/>
      </c>
      <c r="AO13" s="2"/>
    </row>
    <row r="14" spans="1:41" s="115" customFormat="1" ht="12.75" customHeight="1">
      <c r="A14" s="103"/>
      <c r="B14" s="102" t="s">
        <v>143</v>
      </c>
      <c r="C14" s="336">
        <v>45762</v>
      </c>
      <c r="D14" s="336">
        <v>45788</v>
      </c>
      <c r="E14" s="336">
        <v>47395</v>
      </c>
      <c r="F14" s="336">
        <v>47716</v>
      </c>
      <c r="G14" s="336">
        <v>46464</v>
      </c>
      <c r="H14" s="336">
        <v>42722</v>
      </c>
      <c r="I14" s="336">
        <v>40782</v>
      </c>
      <c r="J14" s="336">
        <v>40694</v>
      </c>
      <c r="K14" s="336">
        <v>42801</v>
      </c>
      <c r="L14" s="336">
        <v>39748</v>
      </c>
      <c r="M14" s="336">
        <v>36521</v>
      </c>
      <c r="O14" s="559">
        <f t="shared" si="5"/>
        <v>1.8616340738999</v>
      </c>
      <c r="P14" s="559">
        <f t="shared" si="6"/>
        <v>1.0888347997815235</v>
      </c>
      <c r="Q14" s="2"/>
      <c r="R14" s="2"/>
      <c r="S14" s="559">
        <f t="shared" si="4"/>
        <v>1.8616340738999</v>
      </c>
      <c r="T14" s="559">
        <f t="shared" si="3"/>
        <v>1.8043444080021973</v>
      </c>
      <c r="U14" s="559">
        <f t="shared" si="3"/>
        <v>1.7939611320407627</v>
      </c>
      <c r="V14" s="559">
        <f t="shared" si="3"/>
        <v>1.7241422919645415</v>
      </c>
      <c r="W14" s="559">
        <f t="shared" si="3"/>
        <v>1.6145004826405756</v>
      </c>
      <c r="X14" s="559">
        <f t="shared" si="3"/>
        <v>1.457848913591689</v>
      </c>
      <c r="Y14" s="559">
        <f t="shared" si="3"/>
        <v>1.4049072885895637</v>
      </c>
      <c r="Z14" s="559">
        <f t="shared" si="3"/>
        <v>1.3925127885398805</v>
      </c>
      <c r="AA14" s="559">
        <f t="shared" si="3"/>
        <v>1.3595616723107276</v>
      </c>
      <c r="AB14" s="559">
        <f t="shared" si="3"/>
        <v>1.2058975757660337</v>
      </c>
      <c r="AC14" s="559">
        <f t="shared" si="3"/>
        <v>1.0888347997815235</v>
      </c>
      <c r="AD14" s="650" t="str">
        <f>+IFERROR(RANK(S14,(S$6:S$8,S$33:S$49),0),"")</f>
        <v/>
      </c>
      <c r="AE14" s="650" t="str">
        <f>+IFERROR(RANK(T14,(T$6:T$8,T$33:T$49),0),"")</f>
        <v/>
      </c>
      <c r="AF14" s="650" t="str">
        <f>+IFERROR(RANK(U14,(U$6:U$8,U$33:U$49),0),"")</f>
        <v/>
      </c>
      <c r="AG14" s="650" t="str">
        <f>+IFERROR(RANK(V14,(V$6:V$8,V$33:V$49),0),"")</f>
        <v/>
      </c>
      <c r="AH14" s="650" t="str">
        <f>+IFERROR(RANK(W14,(W$6:W$8,W$33:W$49),0),"")</f>
        <v/>
      </c>
      <c r="AI14" s="650" t="str">
        <f>+IFERROR(RANK(X14,(X$6:X$8,X$33:X$49),0),"")</f>
        <v/>
      </c>
      <c r="AJ14" s="650" t="str">
        <f>+IFERROR(RANK(Y14,(Y$6:Y$8,Y$33:Y$49),0),"")</f>
        <v/>
      </c>
      <c r="AK14" s="650" t="str">
        <f>+IFERROR(RANK(Z14,(Z$6:Z$8,Z$33:Z$49),0),"")</f>
        <v/>
      </c>
      <c r="AL14" s="650" t="str">
        <f>+IFERROR(RANK(AA14,(AA$6:AA$8,AA$33:AA$49),0),"")</f>
        <v/>
      </c>
      <c r="AM14" s="650" t="str">
        <f>+IFERROR(RANK(AB14,(AB$6:AB$8,AB$33:AB$49),0),"")</f>
        <v/>
      </c>
      <c r="AN14" s="650" t="str">
        <f>+IFERROR(RANK(AC14,(AC$6:AC$8,AC$33:AC$49),0),"")</f>
        <v/>
      </c>
      <c r="AO14" s="2"/>
    </row>
    <row r="15" spans="1:41" s="115" customFormat="1" ht="12.75" customHeight="1">
      <c r="A15" s="103"/>
      <c r="B15" s="102" t="s">
        <v>144</v>
      </c>
      <c r="C15" s="336">
        <v>22246</v>
      </c>
      <c r="D15" s="336">
        <v>22725</v>
      </c>
      <c r="E15" s="336">
        <v>22715</v>
      </c>
      <c r="F15" s="336">
        <v>23200</v>
      </c>
      <c r="G15" s="336">
        <v>23991</v>
      </c>
      <c r="H15" s="336">
        <v>24017</v>
      </c>
      <c r="I15" s="336">
        <v>23028</v>
      </c>
      <c r="J15" s="336">
        <v>22977</v>
      </c>
      <c r="K15" s="336">
        <v>24179</v>
      </c>
      <c r="L15" s="336">
        <v>24713</v>
      </c>
      <c r="M15" s="336">
        <v>23617</v>
      </c>
      <c r="O15" s="559">
        <f t="shared" si="5"/>
        <v>0.90498473860358331</v>
      </c>
      <c r="P15" s="559">
        <f t="shared" si="6"/>
        <v>0.70411575439994079</v>
      </c>
      <c r="Q15" s="2"/>
      <c r="R15" s="2"/>
      <c r="S15" s="559">
        <f t="shared" si="4"/>
        <v>0.90498473860358319</v>
      </c>
      <c r="T15" s="559">
        <f t="shared" si="3"/>
        <v>0.89551250702913288</v>
      </c>
      <c r="U15" s="559">
        <f t="shared" si="3"/>
        <v>0.8597916892985743</v>
      </c>
      <c r="V15" s="559">
        <f t="shared" si="3"/>
        <v>0.83829535530173027</v>
      </c>
      <c r="W15" s="559">
        <f t="shared" si="3"/>
        <v>0.83362347363614941</v>
      </c>
      <c r="X15" s="559">
        <f t="shared" si="3"/>
        <v>0.81955801127596073</v>
      </c>
      <c r="Y15" s="559">
        <f t="shared" si="3"/>
        <v>0.79329618561229143</v>
      </c>
      <c r="Z15" s="559">
        <f t="shared" si="3"/>
        <v>0.78625267465181192</v>
      </c>
      <c r="AA15" s="559">
        <f t="shared" si="3"/>
        <v>0.76803910363779071</v>
      </c>
      <c r="AB15" s="559">
        <f t="shared" si="3"/>
        <v>0.74975713972793578</v>
      </c>
      <c r="AC15" s="559">
        <f t="shared" si="3"/>
        <v>0.7041157543999409</v>
      </c>
      <c r="AD15" s="650" t="str">
        <f>+IFERROR(RANK(S15,(S$6:S$8,S$33:S$49),0),"")</f>
        <v/>
      </c>
      <c r="AE15" s="650" t="str">
        <f>+IFERROR(RANK(T15,(T$6:T$8,T$33:T$49),0),"")</f>
        <v/>
      </c>
      <c r="AF15" s="650" t="str">
        <f>+IFERROR(RANK(U15,(U$6:U$8,U$33:U$49),0),"")</f>
        <v/>
      </c>
      <c r="AG15" s="650" t="str">
        <f>+IFERROR(RANK(V15,(V$6:V$8,V$33:V$49),0),"")</f>
        <v/>
      </c>
      <c r="AH15" s="650" t="str">
        <f>+IFERROR(RANK(W15,(W$6:W$8,W$33:W$49),0),"")</f>
        <v/>
      </c>
      <c r="AI15" s="650" t="str">
        <f>+IFERROR(RANK(X15,(X$6:X$8,X$33:X$49),0),"")</f>
        <v/>
      </c>
      <c r="AJ15" s="650" t="str">
        <f>+IFERROR(RANK(Y15,(Y$6:Y$8,Y$33:Y$49),0),"")</f>
        <v/>
      </c>
      <c r="AK15" s="650" t="str">
        <f>+IFERROR(RANK(Z15,(Z$6:Z$8,Z$33:Z$49),0),"")</f>
        <v/>
      </c>
      <c r="AL15" s="650" t="str">
        <f>+IFERROR(RANK(AA15,(AA$6:AA$8,AA$33:AA$49),0),"")</f>
        <v/>
      </c>
      <c r="AM15" s="650" t="str">
        <f>+IFERROR(RANK(AB15,(AB$6:AB$8,AB$33:AB$49),0),"")</f>
        <v/>
      </c>
      <c r="AN15" s="650" t="str">
        <f>+IFERROR(RANK(AC15,(AC$6:AC$8,AC$33:AC$49),0),"")</f>
        <v/>
      </c>
      <c r="AO15" s="2"/>
    </row>
    <row r="16" spans="1:41" s="115" customFormat="1" ht="12.75" customHeight="1">
      <c r="A16" s="103"/>
      <c r="B16" s="102" t="s">
        <v>145</v>
      </c>
      <c r="C16" s="336">
        <v>10591</v>
      </c>
      <c r="D16" s="336">
        <v>10302</v>
      </c>
      <c r="E16" s="336">
        <v>10853</v>
      </c>
      <c r="F16" s="336">
        <v>11304</v>
      </c>
      <c r="G16" s="336">
        <v>12594</v>
      </c>
      <c r="H16" s="336">
        <v>12492</v>
      </c>
      <c r="I16" s="336">
        <v>12851</v>
      </c>
      <c r="J16" s="336">
        <v>12963</v>
      </c>
      <c r="K16" s="336">
        <v>13511</v>
      </c>
      <c r="L16" s="336">
        <v>13700</v>
      </c>
      <c r="M16" s="336">
        <v>13885</v>
      </c>
      <c r="O16" s="559">
        <f t="shared" si="5"/>
        <v>0.43085019178955991</v>
      </c>
      <c r="P16" s="559">
        <f t="shared" si="6"/>
        <v>0.41396651775598842</v>
      </c>
      <c r="Q16" s="2"/>
      <c r="R16" s="2"/>
      <c r="S16" s="559">
        <f t="shared" si="4"/>
        <v>0.43085019178955991</v>
      </c>
      <c r="T16" s="559">
        <f t="shared" si="3"/>
        <v>0.40596566985320687</v>
      </c>
      <c r="U16" s="559">
        <f t="shared" si="3"/>
        <v>0.4107998769076569</v>
      </c>
      <c r="V16" s="559">
        <f t="shared" si="3"/>
        <v>0.40845218518667065</v>
      </c>
      <c r="W16" s="559">
        <f t="shared" si="3"/>
        <v>0.4376080207983688</v>
      </c>
      <c r="X16" s="559">
        <f t="shared" si="3"/>
        <v>0.42627799795392018</v>
      </c>
      <c r="Y16" s="559">
        <f t="shared" si="3"/>
        <v>0.44270667367133743</v>
      </c>
      <c r="Z16" s="559">
        <f t="shared" si="3"/>
        <v>0.44358242684038118</v>
      </c>
      <c r="AA16" s="559">
        <f t="shared" si="3"/>
        <v>0.42917309769842388</v>
      </c>
      <c r="AB16" s="559">
        <f t="shared" si="3"/>
        <v>0.41563844188373411</v>
      </c>
      <c r="AC16" s="559">
        <f t="shared" si="3"/>
        <v>0.41396651775598842</v>
      </c>
      <c r="AD16" s="650" t="str">
        <f>+IFERROR(RANK(S16,(S$6:S$8,S$33:S$49),0),"")</f>
        <v/>
      </c>
      <c r="AE16" s="650" t="str">
        <f>+IFERROR(RANK(T16,(T$6:T$8,T$33:T$49),0),"")</f>
        <v/>
      </c>
      <c r="AF16" s="650" t="str">
        <f>+IFERROR(RANK(U16,(U$6:U$8,U$33:U$49),0),"")</f>
        <v/>
      </c>
      <c r="AG16" s="650" t="str">
        <f>+IFERROR(RANK(V16,(V$6:V$8,V$33:V$49),0),"")</f>
        <v/>
      </c>
      <c r="AH16" s="650" t="str">
        <f>+IFERROR(RANK(W16,(W$6:W$8,W$33:W$49),0),"")</f>
        <v/>
      </c>
      <c r="AI16" s="650" t="str">
        <f>+IFERROR(RANK(X16,(X$6:X$8,X$33:X$49),0),"")</f>
        <v/>
      </c>
      <c r="AJ16" s="650" t="str">
        <f>+IFERROR(RANK(Y16,(Y$6:Y$8,Y$33:Y$49),0),"")</f>
        <v/>
      </c>
      <c r="AK16" s="650" t="str">
        <f>+IFERROR(RANK(Z16,(Z$6:Z$8,Z$33:Z$49),0),"")</f>
        <v/>
      </c>
      <c r="AL16" s="650" t="str">
        <f>+IFERROR(RANK(AA16,(AA$6:AA$8,AA$33:AA$49),0),"")</f>
        <v/>
      </c>
      <c r="AM16" s="650" t="str">
        <f>+IFERROR(RANK(AB16,(AB$6:AB$8,AB$33:AB$49),0),"")</f>
        <v/>
      </c>
      <c r="AN16" s="650" t="str">
        <f>+IFERROR(RANK(AC16,(AC$6:AC$8,AC$33:AC$49),0),"")</f>
        <v/>
      </c>
      <c r="AO16" s="2"/>
    </row>
    <row r="17" spans="1:41" s="115" customFormat="1" ht="12.75" customHeight="1">
      <c r="A17" s="103"/>
      <c r="B17" s="102" t="s">
        <v>146</v>
      </c>
      <c r="C17" s="336">
        <v>11721</v>
      </c>
      <c r="D17" s="336">
        <v>11701</v>
      </c>
      <c r="E17" s="336">
        <v>11810</v>
      </c>
      <c r="F17" s="336">
        <v>11876</v>
      </c>
      <c r="G17" s="336">
        <v>11703</v>
      </c>
      <c r="H17" s="336">
        <v>11157</v>
      </c>
      <c r="I17" s="336">
        <v>10757</v>
      </c>
      <c r="J17" s="336">
        <v>10533</v>
      </c>
      <c r="K17" s="336">
        <v>11057</v>
      </c>
      <c r="L17" s="336">
        <v>10724</v>
      </c>
      <c r="M17" s="336">
        <v>10216</v>
      </c>
      <c r="O17" s="559">
        <f t="shared" si="5"/>
        <v>0.47681947861065355</v>
      </c>
      <c r="P17" s="559">
        <f t="shared" si="6"/>
        <v>0.30457918223947983</v>
      </c>
      <c r="Q17" s="2"/>
      <c r="R17" s="2"/>
      <c r="S17" s="559">
        <f t="shared" si="4"/>
        <v>0.47681947861065355</v>
      </c>
      <c r="T17" s="559">
        <f t="shared" si="3"/>
        <v>0.46109535070397728</v>
      </c>
      <c r="U17" s="559">
        <f t="shared" si="3"/>
        <v>0.44702354614202783</v>
      </c>
      <c r="V17" s="559">
        <f t="shared" si="3"/>
        <v>0.42912050170531679</v>
      </c>
      <c r="W17" s="559">
        <f t="shared" si="3"/>
        <v>0.40664813938409644</v>
      </c>
      <c r="X17" s="559">
        <f t="shared" si="3"/>
        <v>0.38072235215913286</v>
      </c>
      <c r="Y17" s="559">
        <f t="shared" si="3"/>
        <v>0.37057004814275751</v>
      </c>
      <c r="Z17" s="559">
        <f t="shared" si="3"/>
        <v>0.36042997006169364</v>
      </c>
      <c r="AA17" s="559">
        <f t="shared" si="3"/>
        <v>0.35122248103408132</v>
      </c>
      <c r="AB17" s="559">
        <f t="shared" si="3"/>
        <v>0.32535085042052297</v>
      </c>
      <c r="AC17" s="559">
        <f t="shared" si="3"/>
        <v>0.30457918223947983</v>
      </c>
      <c r="AD17" s="650" t="str">
        <f>+IFERROR(RANK(S17,(S$6:S$8,S$33:S$49),0),"")</f>
        <v/>
      </c>
      <c r="AE17" s="650" t="str">
        <f>+IFERROR(RANK(T17,(T$6:T$8,T$33:T$49),0),"")</f>
        <v/>
      </c>
      <c r="AF17" s="650" t="str">
        <f>+IFERROR(RANK(U17,(U$6:U$8,U$33:U$49),0),"")</f>
        <v/>
      </c>
      <c r="AG17" s="650" t="str">
        <f>+IFERROR(RANK(V17,(V$6:V$8,V$33:V$49),0),"")</f>
        <v/>
      </c>
      <c r="AH17" s="650" t="str">
        <f>+IFERROR(RANK(W17,(W$6:W$8,W$33:W$49),0),"")</f>
        <v/>
      </c>
      <c r="AI17" s="650" t="str">
        <f>+IFERROR(RANK(X17,(X$6:X$8,X$33:X$49),0),"")</f>
        <v/>
      </c>
      <c r="AJ17" s="650" t="str">
        <f>+IFERROR(RANK(Y17,(Y$6:Y$8,Y$33:Y$49),0),"")</f>
        <v/>
      </c>
      <c r="AK17" s="650" t="str">
        <f>+IFERROR(RANK(Z17,(Z$6:Z$8,Z$33:Z$49),0),"")</f>
        <v/>
      </c>
      <c r="AL17" s="650" t="str">
        <f>+IFERROR(RANK(AA17,(AA$6:AA$8,AA$33:AA$49),0),"")</f>
        <v/>
      </c>
      <c r="AM17" s="650" t="str">
        <f>+IFERROR(RANK(AB17,(AB$6:AB$8,AB$33:AB$49),0),"")</f>
        <v/>
      </c>
      <c r="AN17" s="650" t="str">
        <f>+IFERROR(RANK(AC17,(AC$6:AC$8,AC$33:AC$49),0),"")</f>
        <v/>
      </c>
      <c r="AO17" s="2"/>
    </row>
    <row r="18" spans="1:41" s="115" customFormat="1" ht="12.75" customHeight="1">
      <c r="A18" s="103"/>
      <c r="B18" s="102" t="s">
        <v>147</v>
      </c>
      <c r="C18" s="336">
        <v>1979</v>
      </c>
      <c r="D18" s="336">
        <v>1851</v>
      </c>
      <c r="E18" s="336">
        <v>1849</v>
      </c>
      <c r="F18" s="336">
        <v>1816</v>
      </c>
      <c r="G18" s="336">
        <v>1811</v>
      </c>
      <c r="H18" s="336">
        <v>1732</v>
      </c>
      <c r="I18" s="336">
        <v>1593</v>
      </c>
      <c r="J18" s="336">
        <v>1314</v>
      </c>
      <c r="K18" s="336">
        <v>1444</v>
      </c>
      <c r="L18" s="336">
        <v>1501</v>
      </c>
      <c r="M18" s="336">
        <v>1366</v>
      </c>
      <c r="O18" s="559">
        <f t="shared" si="5"/>
        <v>8.0507273114110017E-2</v>
      </c>
      <c r="P18" s="559">
        <f t="shared" si="6"/>
        <v>4.0725838189029903E-2</v>
      </c>
      <c r="Q18" s="2"/>
      <c r="R18" s="2"/>
      <c r="S18" s="559">
        <f t="shared" si="4"/>
        <v>8.0507273114110003E-2</v>
      </c>
      <c r="T18" s="559">
        <f t="shared" si="3"/>
        <v>7.2941414763957088E-2</v>
      </c>
      <c r="U18" s="559">
        <f t="shared" si="3"/>
        <v>6.9987005657629928E-2</v>
      </c>
      <c r="V18" s="559">
        <f t="shared" si="3"/>
        <v>6.5618291604652684E-2</v>
      </c>
      <c r="W18" s="559">
        <f t="shared" si="3"/>
        <v>6.292743573652898E-2</v>
      </c>
      <c r="X18" s="559">
        <f t="shared" si="3"/>
        <v>5.9102905255858935E-2</v>
      </c>
      <c r="Y18" s="559">
        <f t="shared" si="3"/>
        <v>5.4877576154263516E-2</v>
      </c>
      <c r="Z18" s="559">
        <f t="shared" si="3"/>
        <v>4.4963921072919917E-2</v>
      </c>
      <c r="AA18" s="559">
        <f t="shared" si="3"/>
        <v>4.5868252022538976E-2</v>
      </c>
      <c r="AB18" s="559">
        <f t="shared" si="3"/>
        <v>4.5538197172809117E-2</v>
      </c>
      <c r="AC18" s="559">
        <f t="shared" si="3"/>
        <v>4.0725838189029903E-2</v>
      </c>
      <c r="AD18" s="650" t="str">
        <f>+IFERROR(RANK(S18,(S$6:S$8,S$33:S$49),0),"")</f>
        <v/>
      </c>
      <c r="AE18" s="650" t="str">
        <f>+IFERROR(RANK(T18,(T$6:T$8,T$33:T$49),0),"")</f>
        <v/>
      </c>
      <c r="AF18" s="650" t="str">
        <f>+IFERROR(RANK(U18,(U$6:U$8,U$33:U$49),0),"")</f>
        <v/>
      </c>
      <c r="AG18" s="650" t="str">
        <f>+IFERROR(RANK(V18,(V$6:V$8,V$33:V$49),0),"")</f>
        <v/>
      </c>
      <c r="AH18" s="650" t="str">
        <f>+IFERROR(RANK(W18,(W$6:W$8,W$33:W$49),0),"")</f>
        <v/>
      </c>
      <c r="AI18" s="650" t="str">
        <f>+IFERROR(RANK(X18,(X$6:X$8,X$33:X$49),0),"")</f>
        <v/>
      </c>
      <c r="AJ18" s="650" t="str">
        <f>+IFERROR(RANK(Y18,(Y$6:Y$8,Y$33:Y$49),0),"")</f>
        <v/>
      </c>
      <c r="AK18" s="650" t="str">
        <f>+IFERROR(RANK(Z18,(Z$6:Z$8,Z$33:Z$49),0),"")</f>
        <v/>
      </c>
      <c r="AL18" s="650" t="str">
        <f>+IFERROR(RANK(AA18,(AA$6:AA$8,AA$33:AA$49),0),"")</f>
        <v/>
      </c>
      <c r="AM18" s="650" t="str">
        <f>+IFERROR(RANK(AB18,(AB$6:AB$8,AB$33:AB$49),0),"")</f>
        <v/>
      </c>
      <c r="AN18" s="650" t="str">
        <f>+IFERROR(RANK(AC18,(AC$6:AC$8,AC$33:AC$49),0),"")</f>
        <v/>
      </c>
      <c r="AO18" s="2"/>
    </row>
    <row r="19" spans="1:41" s="115" customFormat="1" ht="12.75" customHeight="1">
      <c r="A19" s="103"/>
      <c r="B19" s="102" t="s">
        <v>148</v>
      </c>
      <c r="C19" s="336">
        <v>10835</v>
      </c>
      <c r="D19" s="336">
        <v>10993</v>
      </c>
      <c r="E19" s="336">
        <v>11378</v>
      </c>
      <c r="F19" s="336">
        <v>11402</v>
      </c>
      <c r="G19" s="336">
        <v>11878</v>
      </c>
      <c r="H19" s="336">
        <v>11680</v>
      </c>
      <c r="I19" s="336">
        <v>11826</v>
      </c>
      <c r="J19" s="336">
        <v>12269</v>
      </c>
      <c r="K19" s="336">
        <v>12735</v>
      </c>
      <c r="L19" s="336">
        <v>12907</v>
      </c>
      <c r="M19" s="336">
        <v>12933</v>
      </c>
      <c r="O19" s="559">
        <f t="shared" si="5"/>
        <v>0.44077630328013234</v>
      </c>
      <c r="P19" s="559">
        <f t="shared" si="6"/>
        <v>0.38558364955982705</v>
      </c>
      <c r="Q19" s="2"/>
      <c r="R19" s="2"/>
      <c r="S19" s="559">
        <f t="shared" si="4"/>
        <v>0.44077630328013234</v>
      </c>
      <c r="T19" s="559">
        <f t="shared" si="3"/>
        <v>0.43319555510544588</v>
      </c>
      <c r="U19" s="559">
        <f t="shared" si="3"/>
        <v>0.43067179576663783</v>
      </c>
      <c r="V19" s="559">
        <f t="shared" si="3"/>
        <v>0.41199326039441075</v>
      </c>
      <c r="W19" s="559">
        <f t="shared" si="3"/>
        <v>0.41272892417365609</v>
      </c>
      <c r="X19" s="559">
        <f t="shared" si="3"/>
        <v>0.39856924560533047</v>
      </c>
      <c r="Y19" s="559">
        <f t="shared" si="3"/>
        <v>0.40739624331470203</v>
      </c>
      <c r="Z19" s="559">
        <f t="shared" si="3"/>
        <v>0.41983435893733212</v>
      </c>
      <c r="AA19" s="559">
        <f t="shared" si="3"/>
        <v>0.40452367694392921</v>
      </c>
      <c r="AB19" s="559">
        <f t="shared" si="3"/>
        <v>0.39157995397031797</v>
      </c>
      <c r="AC19" s="559">
        <f t="shared" si="3"/>
        <v>0.38558364955982705</v>
      </c>
      <c r="AD19" s="650" t="str">
        <f>+IFERROR(RANK(S19,(S$6:S$8,S$33:S$49),0),"")</f>
        <v/>
      </c>
      <c r="AE19" s="650" t="str">
        <f>+IFERROR(RANK(T19,(T$6:T$8,T$33:T$49),0),"")</f>
        <v/>
      </c>
      <c r="AF19" s="650" t="str">
        <f>+IFERROR(RANK(U19,(U$6:U$8,U$33:U$49),0),"")</f>
        <v/>
      </c>
      <c r="AG19" s="650" t="str">
        <f>+IFERROR(RANK(V19,(V$6:V$8,V$33:V$49),0),"")</f>
        <v/>
      </c>
      <c r="AH19" s="650" t="str">
        <f>+IFERROR(RANK(W19,(W$6:W$8,W$33:W$49),0),"")</f>
        <v/>
      </c>
      <c r="AI19" s="650" t="str">
        <f>+IFERROR(RANK(X19,(X$6:X$8,X$33:X$49),0),"")</f>
        <v/>
      </c>
      <c r="AJ19" s="650" t="str">
        <f>+IFERROR(RANK(Y19,(Y$6:Y$8,Y$33:Y$49),0),"")</f>
        <v/>
      </c>
      <c r="AK19" s="650" t="str">
        <f>+IFERROR(RANK(Z19,(Z$6:Z$8,Z$33:Z$49),0),"")</f>
        <v/>
      </c>
      <c r="AL19" s="650" t="str">
        <f>+IFERROR(RANK(AA19,(AA$6:AA$8,AA$33:AA$49),0),"")</f>
        <v/>
      </c>
      <c r="AM19" s="650" t="str">
        <f>+IFERROR(RANK(AB19,(AB$6:AB$8,AB$33:AB$49),0),"")</f>
        <v/>
      </c>
      <c r="AN19" s="650" t="str">
        <f>+IFERROR(RANK(AC19,(AC$6:AC$8,AC$33:AC$49),0),"")</f>
        <v/>
      </c>
      <c r="AO19" s="2"/>
    </row>
    <row r="20" spans="1:41" s="115" customFormat="1" ht="12.75" customHeight="1">
      <c r="A20" s="103"/>
      <c r="B20" s="102" t="s">
        <v>157</v>
      </c>
      <c r="C20" s="336">
        <v>6351</v>
      </c>
      <c r="D20" s="336">
        <v>6590</v>
      </c>
      <c r="E20" s="336">
        <v>6999</v>
      </c>
      <c r="F20" s="336">
        <v>7546</v>
      </c>
      <c r="G20" s="336">
        <v>8213</v>
      </c>
      <c r="H20" s="336">
        <v>8896</v>
      </c>
      <c r="I20" s="336">
        <v>9384</v>
      </c>
      <c r="J20" s="336">
        <v>9615</v>
      </c>
      <c r="K20" s="336">
        <v>10267</v>
      </c>
      <c r="L20" s="336">
        <v>10807</v>
      </c>
      <c r="M20" s="336">
        <v>11098</v>
      </c>
      <c r="O20" s="559">
        <f t="shared" si="5"/>
        <v>0.25836366424846519</v>
      </c>
      <c r="P20" s="559">
        <f t="shared" si="6"/>
        <v>0.33087507483298229</v>
      </c>
      <c r="Q20" s="2"/>
      <c r="R20" s="2"/>
      <c r="S20" s="559">
        <f t="shared" si="4"/>
        <v>0.25836366424846524</v>
      </c>
      <c r="T20" s="559">
        <f t="shared" si="3"/>
        <v>0.25968877541570895</v>
      </c>
      <c r="U20" s="559">
        <f t="shared" si="3"/>
        <v>0.26492106684572841</v>
      </c>
      <c r="V20" s="559">
        <f t="shared" si="3"/>
        <v>0.27266279099598523</v>
      </c>
      <c r="W20" s="559">
        <f t="shared" si="3"/>
        <v>0.2853799170094492</v>
      </c>
      <c r="X20" s="559">
        <f t="shared" si="3"/>
        <v>0.30356780898159413</v>
      </c>
      <c r="Y20" s="559">
        <f t="shared" si="3"/>
        <v>0.32327129606504007</v>
      </c>
      <c r="Z20" s="559">
        <f t="shared" si="3"/>
        <v>0.32901681972307839</v>
      </c>
      <c r="AA20" s="559">
        <f t="shared" si="3"/>
        <v>0.32612835423504682</v>
      </c>
      <c r="AB20" s="559">
        <f t="shared" si="3"/>
        <v>0.32786895192974558</v>
      </c>
      <c r="AC20" s="559">
        <f t="shared" si="3"/>
        <v>0.33087507483298234</v>
      </c>
      <c r="AD20" s="650" t="str">
        <f>+IFERROR(RANK(S20,(S$6:S$8,S$33:S$49),0),"")</f>
        <v/>
      </c>
      <c r="AE20" s="650" t="str">
        <f>+IFERROR(RANK(T20,(T$6:T$8,T$33:T$49),0),"")</f>
        <v/>
      </c>
      <c r="AF20" s="650" t="str">
        <f>+IFERROR(RANK(U20,(U$6:U$8,U$33:U$49),0),"")</f>
        <v/>
      </c>
      <c r="AG20" s="650" t="str">
        <f>+IFERROR(RANK(V20,(V$6:V$8,V$33:V$49),0),"")</f>
        <v/>
      </c>
      <c r="AH20" s="650" t="str">
        <f>+IFERROR(RANK(W20,(W$6:W$8,W$33:W$49),0),"")</f>
        <v/>
      </c>
      <c r="AI20" s="650" t="str">
        <f>+IFERROR(RANK(X20,(X$6:X$8,X$33:X$49),0),"")</f>
        <v/>
      </c>
      <c r="AJ20" s="650" t="str">
        <f>+IFERROR(RANK(Y20,(Y$6:Y$8,Y$33:Y$49),0),"")</f>
        <v/>
      </c>
      <c r="AK20" s="650" t="str">
        <f>+IFERROR(RANK(Z20,(Z$6:Z$8,Z$33:Z$49),0),"")</f>
        <v/>
      </c>
      <c r="AL20" s="650" t="str">
        <f>+IFERROR(RANK(AA20,(AA$6:AA$8,AA$33:AA$49),0),"")</f>
        <v/>
      </c>
      <c r="AM20" s="650" t="str">
        <f>+IFERROR(RANK(AB20,(AB$6:AB$8,AB$33:AB$49),0),"")</f>
        <v/>
      </c>
      <c r="AN20" s="650" t="str">
        <f>+IFERROR(RANK(AC20,(AC$6:AC$8,AC$33:AC$49),0),"")</f>
        <v/>
      </c>
      <c r="AO20" s="2"/>
    </row>
    <row r="21" spans="1:41" s="115" customFormat="1" ht="12.75" customHeight="1">
      <c r="A21" s="103"/>
      <c r="B21" s="102" t="s">
        <v>149</v>
      </c>
      <c r="C21" s="336">
        <v>22699</v>
      </c>
      <c r="D21" s="336">
        <v>23915</v>
      </c>
      <c r="E21" s="336">
        <v>24861</v>
      </c>
      <c r="F21" s="336">
        <v>26958</v>
      </c>
      <c r="G21" s="336">
        <v>27966</v>
      </c>
      <c r="H21" s="336">
        <v>29155</v>
      </c>
      <c r="I21" s="336">
        <v>29521</v>
      </c>
      <c r="J21" s="336">
        <v>29274</v>
      </c>
      <c r="K21" s="336">
        <v>27899</v>
      </c>
      <c r="L21" s="336">
        <v>27908</v>
      </c>
      <c r="M21" s="336">
        <v>29018</v>
      </c>
      <c r="O21" s="559">
        <f t="shared" si="5"/>
        <v>0.92341313411681814</v>
      </c>
      <c r="P21" s="559">
        <f t="shared" si="6"/>
        <v>0.86514082911366752</v>
      </c>
      <c r="Q21" s="2"/>
      <c r="R21" s="2"/>
      <c r="S21" s="559">
        <f t="shared" si="4"/>
        <v>0.92341313411681814</v>
      </c>
      <c r="T21" s="559">
        <f t="shared" si="4"/>
        <v>0.94240623126960221</v>
      </c>
      <c r="U21" s="559">
        <f t="shared" si="4"/>
        <v>0.94102052333928476</v>
      </c>
      <c r="V21" s="559">
        <f t="shared" si="4"/>
        <v>0.97408474949241575</v>
      </c>
      <c r="W21" s="559">
        <f t="shared" si="4"/>
        <v>0.97174415671329062</v>
      </c>
      <c r="X21" s="559">
        <f t="shared" si="4"/>
        <v>0.99488753044720968</v>
      </c>
      <c r="Y21" s="559">
        <f t="shared" si="4"/>
        <v>1.0169748434714458</v>
      </c>
      <c r="Z21" s="559">
        <f t="shared" si="4"/>
        <v>1.001730460798065</v>
      </c>
      <c r="AA21" s="559">
        <f t="shared" si="4"/>
        <v>0.8862038526155227</v>
      </c>
      <c r="AB21" s="559">
        <f t="shared" si="4"/>
        <v>0.84668887854680663</v>
      </c>
      <c r="AC21" s="559">
        <f t="shared" si="4"/>
        <v>0.86514082911366741</v>
      </c>
      <c r="AD21" s="650" t="str">
        <f>+IFERROR(RANK(S21,(S$6:S$8,S$33:S$49),0),"")</f>
        <v/>
      </c>
      <c r="AE21" s="650" t="str">
        <f>+IFERROR(RANK(T21,(T$6:T$8,T$33:T$49),0),"")</f>
        <v/>
      </c>
      <c r="AF21" s="650" t="str">
        <f>+IFERROR(RANK(U21,(U$6:U$8,U$33:U$49),0),"")</f>
        <v/>
      </c>
      <c r="AG21" s="650" t="str">
        <f>+IFERROR(RANK(V21,(V$6:V$8,V$33:V$49),0),"")</f>
        <v/>
      </c>
      <c r="AH21" s="650" t="str">
        <f>+IFERROR(RANK(W21,(W$6:W$8,W$33:W$49),0),"")</f>
        <v/>
      </c>
      <c r="AI21" s="650" t="str">
        <f>+IFERROR(RANK(X21,(X$6:X$8,X$33:X$49),0),"")</f>
        <v/>
      </c>
      <c r="AJ21" s="650" t="str">
        <f>+IFERROR(RANK(Y21,(Y$6:Y$8,Y$33:Y$49),0),"")</f>
        <v/>
      </c>
      <c r="AK21" s="650" t="str">
        <f>+IFERROR(RANK(Z21,(Z$6:Z$8,Z$33:Z$49),0),"")</f>
        <v/>
      </c>
      <c r="AL21" s="650" t="str">
        <f>+IFERROR(RANK(AA21,(AA$6:AA$8,AA$33:AA$49),0),"")</f>
        <v/>
      </c>
      <c r="AM21" s="650" t="str">
        <f>+IFERROR(RANK(AB21,(AB$6:AB$8,AB$33:AB$49),0),"")</f>
        <v/>
      </c>
      <c r="AN21" s="650" t="str">
        <f>+IFERROR(RANK(AC21,(AC$6:AC$8,AC$33:AC$49),0),"")</f>
        <v/>
      </c>
      <c r="AO21" s="2"/>
    </row>
    <row r="22" spans="1:41" s="115" customFormat="1" ht="12.75" customHeight="1">
      <c r="A22" s="103"/>
      <c r="B22" s="102" t="s">
        <v>156</v>
      </c>
      <c r="C22" s="336">
        <v>33339</v>
      </c>
      <c r="D22" s="336">
        <v>33839</v>
      </c>
      <c r="E22" s="336">
        <v>34814</v>
      </c>
      <c r="F22" s="336">
        <v>36196</v>
      </c>
      <c r="G22" s="336">
        <v>36786</v>
      </c>
      <c r="H22" s="336">
        <v>36794</v>
      </c>
      <c r="I22" s="336">
        <v>37208</v>
      </c>
      <c r="J22" s="336">
        <v>38721</v>
      </c>
      <c r="K22" s="336">
        <v>39310</v>
      </c>
      <c r="L22" s="336">
        <v>39620</v>
      </c>
      <c r="M22" s="336">
        <v>39150</v>
      </c>
      <c r="O22" s="559">
        <f t="shared" si="5"/>
        <v>1.3562566843614521</v>
      </c>
      <c r="P22" s="559">
        <f t="shared" si="6"/>
        <v>1.1672156406299568</v>
      </c>
      <c r="Q22" s="2"/>
      <c r="R22" s="2"/>
      <c r="S22" s="559">
        <f t="shared" ref="S22:AC45" si="7">C22*100/C$5</f>
        <v>1.3562566843614521</v>
      </c>
      <c r="T22" s="559">
        <f t="shared" si="7"/>
        <v>1.3334762475405424</v>
      </c>
      <c r="U22" s="559">
        <f t="shared" si="7"/>
        <v>1.3177542536315459</v>
      </c>
      <c r="V22" s="559">
        <f t="shared" si="7"/>
        <v>1.3078852879526479</v>
      </c>
      <c r="W22" s="559">
        <f t="shared" si="7"/>
        <v>1.2782157101070983</v>
      </c>
      <c r="X22" s="559">
        <f t="shared" si="7"/>
        <v>1.2555613718152849</v>
      </c>
      <c r="Y22" s="559">
        <f t="shared" si="7"/>
        <v>1.281785846546037</v>
      </c>
      <c r="Z22" s="559">
        <f t="shared" si="7"/>
        <v>1.3249984686944687</v>
      </c>
      <c r="AA22" s="559">
        <f t="shared" si="7"/>
        <v>1.2486710436329689</v>
      </c>
      <c r="AB22" s="559">
        <f t="shared" si="7"/>
        <v>1.2020142384987988</v>
      </c>
      <c r="AC22" s="559">
        <f t="shared" si="7"/>
        <v>1.1672156406299565</v>
      </c>
      <c r="AD22" s="650" t="str">
        <f>+IFERROR(RANK(S22,(S$6:S$8,S$33:S$49),0),"")</f>
        <v/>
      </c>
      <c r="AE22" s="650" t="str">
        <f>+IFERROR(RANK(T22,(T$6:T$8,T$33:T$49),0),"")</f>
        <v/>
      </c>
      <c r="AF22" s="650" t="str">
        <f>+IFERROR(RANK(U22,(U$6:U$8,U$33:U$49),0),"")</f>
        <v/>
      </c>
      <c r="AG22" s="650" t="str">
        <f>+IFERROR(RANK(V22,(V$6:V$8,V$33:V$49),0),"")</f>
        <v/>
      </c>
      <c r="AH22" s="650" t="str">
        <f>+IFERROR(RANK(W22,(W$6:W$8,W$33:W$49),0),"")</f>
        <v/>
      </c>
      <c r="AI22" s="650" t="str">
        <f>+IFERROR(RANK(X22,(X$6:X$8,X$33:X$49),0),"")</f>
        <v/>
      </c>
      <c r="AJ22" s="650" t="str">
        <f>+IFERROR(RANK(Y22,(Y$6:Y$8,Y$33:Y$49),0),"")</f>
        <v/>
      </c>
      <c r="AK22" s="650" t="str">
        <f>+IFERROR(RANK(Z22,(Z$6:Z$8,Z$33:Z$49),0),"")</f>
        <v/>
      </c>
      <c r="AL22" s="650" t="str">
        <f>+IFERROR(RANK(AA22,(AA$6:AA$8,AA$33:AA$49),0),"")</f>
        <v/>
      </c>
      <c r="AM22" s="650" t="str">
        <f>+IFERROR(RANK(AB22,(AB$6:AB$8,AB$33:AB$49),0),"")</f>
        <v/>
      </c>
      <c r="AN22" s="650" t="str">
        <f>+IFERROR(RANK(AC22,(AC$6:AC$8,AC$33:AC$49),0),"")</f>
        <v/>
      </c>
      <c r="AO22" s="2"/>
    </row>
    <row r="23" spans="1:41" s="115" customFormat="1" ht="12.75" customHeight="1">
      <c r="A23" s="103"/>
      <c r="B23" s="102" t="s">
        <v>91</v>
      </c>
      <c r="C23" s="336">
        <v>7725</v>
      </c>
      <c r="D23" s="336">
        <v>7969</v>
      </c>
      <c r="E23" s="336">
        <v>8160</v>
      </c>
      <c r="F23" s="336">
        <v>8615</v>
      </c>
      <c r="G23" s="336">
        <v>8591</v>
      </c>
      <c r="H23" s="336">
        <v>8821</v>
      </c>
      <c r="I23" s="336">
        <v>8702</v>
      </c>
      <c r="J23" s="336">
        <v>8981</v>
      </c>
      <c r="K23" s="336">
        <v>9228</v>
      </c>
      <c r="L23" s="336">
        <v>9028</v>
      </c>
      <c r="M23" s="336">
        <v>8170</v>
      </c>
      <c r="O23" s="559">
        <f t="shared" si="5"/>
        <v>0.31425906256013125</v>
      </c>
      <c r="P23" s="559">
        <f t="shared" si="6"/>
        <v>0.2435798667674775</v>
      </c>
      <c r="Q23" s="2"/>
      <c r="R23" s="2"/>
      <c r="S23" s="559">
        <f t="shared" si="7"/>
        <v>0.31425906256013131</v>
      </c>
      <c r="T23" s="559">
        <f t="shared" si="7"/>
        <v>0.31403032644731177</v>
      </c>
      <c r="U23" s="559">
        <f t="shared" si="7"/>
        <v>0.30886639597958909</v>
      </c>
      <c r="V23" s="559">
        <f t="shared" si="7"/>
        <v>0.31128941749674166</v>
      </c>
      <c r="W23" s="559">
        <f t="shared" si="7"/>
        <v>0.2985144121548981</v>
      </c>
      <c r="X23" s="559">
        <f t="shared" si="7"/>
        <v>0.30100850303806675</v>
      </c>
      <c r="Y23" s="559">
        <f t="shared" si="7"/>
        <v>0.29977694142774713</v>
      </c>
      <c r="Z23" s="559">
        <f t="shared" si="7"/>
        <v>0.3073218989009846</v>
      </c>
      <c r="AA23" s="559">
        <f t="shared" si="7"/>
        <v>0.29312481278669644</v>
      </c>
      <c r="AB23" s="559">
        <f t="shared" si="7"/>
        <v>0.27389663162966071</v>
      </c>
      <c r="AC23" s="559">
        <f t="shared" si="7"/>
        <v>0.24357986676747753</v>
      </c>
      <c r="AD23" s="650" t="str">
        <f>+IFERROR(RANK(S23,(S$6:S$8,S$33:S$49),0),"")</f>
        <v/>
      </c>
      <c r="AE23" s="650" t="str">
        <f>+IFERROR(RANK(T23,(T$6:T$8,T$33:T$49),0),"")</f>
        <v/>
      </c>
      <c r="AF23" s="650" t="str">
        <f>+IFERROR(RANK(U23,(U$6:U$8,U$33:U$49),0),"")</f>
        <v/>
      </c>
      <c r="AG23" s="650" t="str">
        <f>+IFERROR(RANK(V23,(V$6:V$8,V$33:V$49),0),"")</f>
        <v/>
      </c>
      <c r="AH23" s="650" t="str">
        <f>+IFERROR(RANK(W23,(W$6:W$8,W$33:W$49),0),"")</f>
        <v/>
      </c>
      <c r="AI23" s="650" t="str">
        <f>+IFERROR(RANK(X23,(X$6:X$8,X$33:X$49),0),"")</f>
        <v/>
      </c>
      <c r="AJ23" s="650" t="str">
        <f>+IFERROR(RANK(Y23,(Y$6:Y$8,Y$33:Y$49),0),"")</f>
        <v/>
      </c>
      <c r="AK23" s="650" t="str">
        <f>+IFERROR(RANK(Z23,(Z$6:Z$8,Z$33:Z$49),0),"")</f>
        <v/>
      </c>
      <c r="AL23" s="650" t="str">
        <f>+IFERROR(RANK(AA23,(AA$6:AA$8,AA$33:AA$49),0),"")</f>
        <v/>
      </c>
      <c r="AM23" s="650" t="str">
        <f>+IFERROR(RANK(AB23,(AB$6:AB$8,AB$33:AB$49),0),"")</f>
        <v/>
      </c>
      <c r="AN23" s="650" t="str">
        <f>+IFERROR(RANK(AC23,(AC$6:AC$8,AC$33:AC$49),0),"")</f>
        <v/>
      </c>
      <c r="AO23" s="2"/>
    </row>
    <row r="24" spans="1:41" s="115" customFormat="1" ht="12.75" customHeight="1">
      <c r="A24" s="103"/>
      <c r="B24" s="102" t="s">
        <v>154</v>
      </c>
      <c r="C24" s="336">
        <v>61966</v>
      </c>
      <c r="D24" s="336">
        <v>64158</v>
      </c>
      <c r="E24" s="336">
        <v>67563</v>
      </c>
      <c r="F24" s="336">
        <v>71045</v>
      </c>
      <c r="G24" s="336">
        <v>75036</v>
      </c>
      <c r="H24" s="336">
        <v>75489</v>
      </c>
      <c r="I24" s="336">
        <v>75937</v>
      </c>
      <c r="J24" s="336">
        <v>76878</v>
      </c>
      <c r="K24" s="336">
        <v>81148</v>
      </c>
      <c r="L24" s="336">
        <v>83214</v>
      </c>
      <c r="M24" s="336">
        <v>85459</v>
      </c>
      <c r="O24" s="559">
        <f t="shared" si="5"/>
        <v>2.5208255107574233</v>
      </c>
      <c r="P24" s="559">
        <f t="shared" si="6"/>
        <v>2.5478692575375597</v>
      </c>
      <c r="Q24" s="2"/>
      <c r="R24" s="2"/>
      <c r="S24" s="559">
        <f t="shared" si="7"/>
        <v>2.5208255107574233</v>
      </c>
      <c r="T24" s="559">
        <f t="shared" si="7"/>
        <v>2.5282416469075955</v>
      </c>
      <c r="U24" s="559">
        <f t="shared" si="7"/>
        <v>2.5573456264177667</v>
      </c>
      <c r="V24" s="559">
        <f t="shared" si="7"/>
        <v>2.5670988585091132</v>
      </c>
      <c r="W24" s="559">
        <f t="shared" si="7"/>
        <v>2.6073015283965701</v>
      </c>
      <c r="X24" s="559">
        <f t="shared" si="7"/>
        <v>2.5759926182791775</v>
      </c>
      <c r="Y24" s="559">
        <f t="shared" si="7"/>
        <v>2.615968926821286</v>
      </c>
      <c r="Z24" s="559">
        <f t="shared" si="7"/>
        <v>2.6306973548279582</v>
      </c>
      <c r="AA24" s="559">
        <f t="shared" si="7"/>
        <v>2.5776432930228479</v>
      </c>
      <c r="AB24" s="559">
        <f t="shared" si="7"/>
        <v>2.5245939637162809</v>
      </c>
      <c r="AC24" s="559">
        <f t="shared" si="7"/>
        <v>2.5478692575375597</v>
      </c>
      <c r="AD24" s="650" t="str">
        <f>+IFERROR(RANK(S24,(S$6:S$8,S$33:S$49),0),"")</f>
        <v/>
      </c>
      <c r="AE24" s="650" t="str">
        <f>+IFERROR(RANK(T24,(T$6:T$8,T$33:T$49),0),"")</f>
        <v/>
      </c>
      <c r="AF24" s="650" t="str">
        <f>+IFERROR(RANK(U24,(U$6:U$8,U$33:U$49),0),"")</f>
        <v/>
      </c>
      <c r="AG24" s="650" t="str">
        <f>+IFERROR(RANK(V24,(V$6:V$8,V$33:V$49),0),"")</f>
        <v/>
      </c>
      <c r="AH24" s="650" t="str">
        <f>+IFERROR(RANK(W24,(W$6:W$8,W$33:W$49),0),"")</f>
        <v/>
      </c>
      <c r="AI24" s="650" t="str">
        <f>+IFERROR(RANK(X24,(X$6:X$8,X$33:X$49),0),"")</f>
        <v/>
      </c>
      <c r="AJ24" s="650" t="str">
        <f>+IFERROR(RANK(Y24,(Y$6:Y$8,Y$33:Y$49),0),"")</f>
        <v/>
      </c>
      <c r="AK24" s="650" t="str">
        <f>+IFERROR(RANK(Z24,(Z$6:Z$8,Z$33:Z$49),0),"")</f>
        <v/>
      </c>
      <c r="AL24" s="650" t="str">
        <f>+IFERROR(RANK(AA24,(AA$6:AA$8,AA$33:AA$49),0),"")</f>
        <v/>
      </c>
      <c r="AM24" s="650" t="str">
        <f>+IFERROR(RANK(AB24,(AB$6:AB$8,AB$33:AB$49),0),"")</f>
        <v/>
      </c>
      <c r="AN24" s="650" t="str">
        <f>+IFERROR(RANK(AC24,(AC$6:AC$8,AC$33:AC$49),0),"")</f>
        <v/>
      </c>
      <c r="AO24" s="2"/>
    </row>
    <row r="25" spans="1:41" s="115" customFormat="1" ht="12.75" customHeight="1">
      <c r="A25" s="103"/>
      <c r="B25" s="102" t="s">
        <v>155</v>
      </c>
      <c r="C25" s="336">
        <v>9510</v>
      </c>
      <c r="D25" s="336">
        <v>9285</v>
      </c>
      <c r="E25" s="336">
        <v>9765</v>
      </c>
      <c r="F25" s="336">
        <v>10976</v>
      </c>
      <c r="G25" s="336">
        <v>12056</v>
      </c>
      <c r="H25" s="336">
        <v>12568</v>
      </c>
      <c r="I25" s="336">
        <v>12400</v>
      </c>
      <c r="J25" s="336">
        <v>12110</v>
      </c>
      <c r="K25" s="336">
        <v>12469</v>
      </c>
      <c r="L25" s="336">
        <v>13541</v>
      </c>
      <c r="M25" s="336">
        <v>13645</v>
      </c>
      <c r="O25" s="559">
        <f t="shared" si="5"/>
        <v>0.38687426342354025</v>
      </c>
      <c r="P25" s="559">
        <f t="shared" si="6"/>
        <v>0.40681117283258639</v>
      </c>
      <c r="Q25" s="2"/>
      <c r="R25" s="2"/>
      <c r="S25" s="559">
        <f t="shared" si="7"/>
        <v>0.38687426342354025</v>
      </c>
      <c r="T25" s="559">
        <f t="shared" si="7"/>
        <v>0.36588926854853676</v>
      </c>
      <c r="U25" s="559">
        <f t="shared" si="7"/>
        <v>0.36961769077704504</v>
      </c>
      <c r="V25" s="559">
        <f t="shared" si="7"/>
        <v>0.3966004232668876</v>
      </c>
      <c r="W25" s="559">
        <f t="shared" si="7"/>
        <v>0.41891395098817963</v>
      </c>
      <c r="X25" s="559">
        <f t="shared" si="7"/>
        <v>0.42887142797669464</v>
      </c>
      <c r="Y25" s="559">
        <f t="shared" si="7"/>
        <v>0.42717008431441783</v>
      </c>
      <c r="Z25" s="559">
        <f t="shared" si="7"/>
        <v>0.41439351917280071</v>
      </c>
      <c r="AA25" s="559">
        <f t="shared" si="7"/>
        <v>0.39607426209767205</v>
      </c>
      <c r="AB25" s="559">
        <f t="shared" si="7"/>
        <v>0.41081460887209076</v>
      </c>
      <c r="AC25" s="559">
        <f t="shared" si="7"/>
        <v>0.40681117283258639</v>
      </c>
      <c r="AD25" s="650" t="str">
        <f>+IFERROR(RANK(S25,(S$6:S$8,S$33:S$49),0),"")</f>
        <v/>
      </c>
      <c r="AE25" s="650" t="str">
        <f>+IFERROR(RANK(T25,(T$6:T$8,T$33:T$49),0),"")</f>
        <v/>
      </c>
      <c r="AF25" s="650" t="str">
        <f>+IFERROR(RANK(U25,(U$6:U$8,U$33:U$49),0),"")</f>
        <v/>
      </c>
      <c r="AG25" s="650" t="str">
        <f>+IFERROR(RANK(V25,(V$6:V$8,V$33:V$49),0),"")</f>
        <v/>
      </c>
      <c r="AH25" s="650" t="str">
        <f>+IFERROR(RANK(W25,(W$6:W$8,W$33:W$49),0),"")</f>
        <v/>
      </c>
      <c r="AI25" s="650" t="str">
        <f>+IFERROR(RANK(X25,(X$6:X$8,X$33:X$49),0),"")</f>
        <v/>
      </c>
      <c r="AJ25" s="650" t="str">
        <f>+IFERROR(RANK(Y25,(Y$6:Y$8,Y$33:Y$49),0),"")</f>
        <v/>
      </c>
      <c r="AK25" s="650" t="str">
        <f>+IFERROR(RANK(Z25,(Z$6:Z$8,Z$33:Z$49),0),"")</f>
        <v/>
      </c>
      <c r="AL25" s="650" t="str">
        <f>+IFERROR(RANK(AA25,(AA$6:AA$8,AA$33:AA$49),0),"")</f>
        <v/>
      </c>
      <c r="AM25" s="650" t="str">
        <f>+IFERROR(RANK(AB25,(AB$6:AB$8,AB$33:AB$49),0),"")</f>
        <v/>
      </c>
      <c r="AN25" s="650" t="str">
        <f>+IFERROR(RANK(AC25,(AC$6:AC$8,AC$33:AC$49),0),"")</f>
        <v/>
      </c>
      <c r="AO25" s="2"/>
    </row>
    <row r="26" spans="1:41" s="115" customFormat="1" ht="12.75" customHeight="1">
      <c r="A26" s="103"/>
      <c r="B26" s="102" t="s">
        <v>150</v>
      </c>
      <c r="C26" s="336">
        <v>15269</v>
      </c>
      <c r="D26" s="336">
        <v>17136</v>
      </c>
      <c r="E26" s="336">
        <v>16972</v>
      </c>
      <c r="F26" s="336">
        <v>18065</v>
      </c>
      <c r="G26" s="336">
        <v>18910</v>
      </c>
      <c r="H26" s="336">
        <v>17605</v>
      </c>
      <c r="I26" s="336">
        <v>18845</v>
      </c>
      <c r="J26" s="336">
        <v>17925</v>
      </c>
      <c r="K26" s="336">
        <v>20678</v>
      </c>
      <c r="L26" s="336">
        <v>21892</v>
      </c>
      <c r="M26" s="336">
        <v>21744</v>
      </c>
      <c r="O26" s="559">
        <f t="shared" si="5"/>
        <v>0.62115490307192811</v>
      </c>
      <c r="P26" s="559">
        <f t="shared" si="6"/>
        <v>0.64827425006022421</v>
      </c>
      <c r="Q26" s="2"/>
      <c r="R26" s="2"/>
      <c r="S26" s="559">
        <f t="shared" si="7"/>
        <v>0.62115490307192811</v>
      </c>
      <c r="T26" s="559">
        <f t="shared" si="7"/>
        <v>0.67526962906276</v>
      </c>
      <c r="U26" s="559">
        <f t="shared" si="7"/>
        <v>0.64241182261833163</v>
      </c>
      <c r="V26" s="559">
        <f t="shared" si="7"/>
        <v>0.65275024110024815</v>
      </c>
      <c r="W26" s="559">
        <f t="shared" si="7"/>
        <v>0.65707223068899112</v>
      </c>
      <c r="X26" s="559">
        <f t="shared" si="7"/>
        <v>0.60075441514399341</v>
      </c>
      <c r="Y26" s="559">
        <f t="shared" si="7"/>
        <v>0.64919518055687131</v>
      </c>
      <c r="Z26" s="559">
        <f t="shared" si="7"/>
        <v>0.61337769043538015</v>
      </c>
      <c r="AA26" s="559">
        <f t="shared" si="7"/>
        <v>0.65683082778536073</v>
      </c>
      <c r="AB26" s="559">
        <f t="shared" si="7"/>
        <v>0.66417202698676692</v>
      </c>
      <c r="AC26" s="559">
        <f t="shared" si="7"/>
        <v>0.6482742500602241</v>
      </c>
      <c r="AD26" s="650" t="str">
        <f>+IFERROR(RANK(S26,(S$6:S$8,S$33:S$49),0),"")</f>
        <v/>
      </c>
      <c r="AE26" s="650" t="str">
        <f>+IFERROR(RANK(T26,(T$6:T$8,T$33:T$49),0),"")</f>
        <v/>
      </c>
      <c r="AF26" s="650" t="str">
        <f>+IFERROR(RANK(U26,(U$6:U$8,U$33:U$49),0),"")</f>
        <v/>
      </c>
      <c r="AG26" s="650" t="str">
        <f>+IFERROR(RANK(V26,(V$6:V$8,V$33:V$49),0),"")</f>
        <v/>
      </c>
      <c r="AH26" s="650" t="str">
        <f>+IFERROR(RANK(W26,(W$6:W$8,W$33:W$49),0),"")</f>
        <v/>
      </c>
      <c r="AI26" s="650" t="str">
        <f>+IFERROR(RANK(X26,(X$6:X$8,X$33:X$49),0),"")</f>
        <v/>
      </c>
      <c r="AJ26" s="650" t="str">
        <f>+IFERROR(RANK(Y26,(Y$6:Y$8,Y$33:Y$49),0),"")</f>
        <v/>
      </c>
      <c r="AK26" s="650" t="str">
        <f>+IFERROR(RANK(Z26,(Z$6:Z$8,Z$33:Z$49),0),"")</f>
        <v/>
      </c>
      <c r="AL26" s="650" t="str">
        <f>+IFERROR(RANK(AA26,(AA$6:AA$8,AA$33:AA$49),0),"")</f>
        <v/>
      </c>
      <c r="AM26" s="650" t="str">
        <f>+IFERROR(RANK(AB26,(AB$6:AB$8,AB$33:AB$49),0),"")</f>
        <v/>
      </c>
      <c r="AN26" s="650" t="str">
        <f>+IFERROR(RANK(AC26,(AC$6:AC$8,AC$33:AC$49),0),"")</f>
        <v/>
      </c>
      <c r="AO26" s="2"/>
    </row>
    <row r="27" spans="1:41" s="115" customFormat="1" ht="12.75" customHeight="1">
      <c r="A27" s="103"/>
      <c r="B27" s="102" t="s">
        <v>158</v>
      </c>
      <c r="C27" s="336">
        <v>19494</v>
      </c>
      <c r="D27" s="336">
        <v>20424</v>
      </c>
      <c r="E27" s="336">
        <v>20500</v>
      </c>
      <c r="F27" s="336">
        <v>21382</v>
      </c>
      <c r="G27" s="336">
        <v>22319</v>
      </c>
      <c r="H27" s="336">
        <v>22588</v>
      </c>
      <c r="I27" s="336">
        <v>22718</v>
      </c>
      <c r="J27" s="336">
        <v>22915</v>
      </c>
      <c r="K27" s="336">
        <v>24036</v>
      </c>
      <c r="L27" s="336">
        <v>24415</v>
      </c>
      <c r="M27" s="336">
        <v>23758</v>
      </c>
      <c r="O27" s="559">
        <f t="shared" si="5"/>
        <v>0.79303121884106131</v>
      </c>
      <c r="P27" s="559">
        <f t="shared" si="6"/>
        <v>0.70831951954243955</v>
      </c>
      <c r="Q27" s="2"/>
      <c r="R27" s="2"/>
      <c r="S27" s="559">
        <f t="shared" si="7"/>
        <v>0.79303121884106142</v>
      </c>
      <c r="T27" s="559">
        <f t="shared" si="7"/>
        <v>0.80483817133390578</v>
      </c>
      <c r="U27" s="559">
        <f t="shared" si="7"/>
        <v>0.77595111735068334</v>
      </c>
      <c r="V27" s="559">
        <f t="shared" si="7"/>
        <v>0.77260479685610339</v>
      </c>
      <c r="W27" s="559">
        <f t="shared" si="7"/>
        <v>0.7755259183896136</v>
      </c>
      <c r="X27" s="559">
        <f t="shared" si="7"/>
        <v>0.77079470203195244</v>
      </c>
      <c r="Y27" s="559">
        <f t="shared" si="7"/>
        <v>0.78261693350443107</v>
      </c>
      <c r="Z27" s="559">
        <f t="shared" si="7"/>
        <v>0.78413108933482478</v>
      </c>
      <c r="AA27" s="559">
        <f t="shared" si="7"/>
        <v>0.76349674903999087</v>
      </c>
      <c r="AB27" s="559">
        <f t="shared" si="7"/>
        <v>0.74071624515265455</v>
      </c>
      <c r="AC27" s="559">
        <f t="shared" si="7"/>
        <v>0.70831951954243955</v>
      </c>
      <c r="AD27" s="650" t="str">
        <f>+IFERROR(RANK(S27,(S$6:S$8,S$33:S$49),0),"")</f>
        <v/>
      </c>
      <c r="AE27" s="650" t="str">
        <f>+IFERROR(RANK(T27,(T$6:T$8,T$33:T$49),0),"")</f>
        <v/>
      </c>
      <c r="AF27" s="650" t="str">
        <f>+IFERROR(RANK(U27,(U$6:U$8,U$33:U$49),0),"")</f>
        <v/>
      </c>
      <c r="AG27" s="650" t="str">
        <f>+IFERROR(RANK(V27,(V$6:V$8,V$33:V$49),0),"")</f>
        <v/>
      </c>
      <c r="AH27" s="650" t="str">
        <f>+IFERROR(RANK(W27,(W$6:W$8,W$33:W$49),0),"")</f>
        <v/>
      </c>
      <c r="AI27" s="650" t="str">
        <f>+IFERROR(RANK(X27,(X$6:X$8,X$33:X$49),0),"")</f>
        <v/>
      </c>
      <c r="AJ27" s="650" t="str">
        <f>+IFERROR(RANK(Y27,(Y$6:Y$8,Y$33:Y$49),0),"")</f>
        <v/>
      </c>
      <c r="AK27" s="650" t="str">
        <f>+IFERROR(RANK(Z27,(Z$6:Z$8,Z$33:Z$49),0),"")</f>
        <v/>
      </c>
      <c r="AL27" s="650" t="str">
        <f>+IFERROR(RANK(AA27,(AA$6:AA$8,AA$33:AA$49),0),"")</f>
        <v/>
      </c>
      <c r="AM27" s="650" t="str">
        <f>+IFERROR(RANK(AB27,(AB$6:AB$8,AB$33:AB$49),0),"")</f>
        <v/>
      </c>
      <c r="AN27" s="650" t="str">
        <f>+IFERROR(RANK(AC27,(AC$6:AC$8,AC$33:AC$49),0),"")</f>
        <v/>
      </c>
      <c r="AO27" s="2"/>
    </row>
    <row r="28" spans="1:41" s="115" customFormat="1" ht="12.75" customHeight="1">
      <c r="A28" s="103"/>
      <c r="B28" s="102" t="s">
        <v>151</v>
      </c>
      <c r="C28" s="336">
        <v>26984</v>
      </c>
      <c r="D28" s="336">
        <v>28071</v>
      </c>
      <c r="E28" s="336">
        <v>31454</v>
      </c>
      <c r="F28" s="336">
        <v>35253</v>
      </c>
      <c r="G28" s="336">
        <v>41183</v>
      </c>
      <c r="H28" s="336">
        <v>41297</v>
      </c>
      <c r="I28" s="336">
        <v>39566</v>
      </c>
      <c r="J28" s="336">
        <v>38960</v>
      </c>
      <c r="K28" s="336">
        <v>38860</v>
      </c>
      <c r="L28" s="336">
        <v>42535</v>
      </c>
      <c r="M28" s="336">
        <v>41068</v>
      </c>
      <c r="O28" s="559">
        <f t="shared" si="5"/>
        <v>1.0977302969737972</v>
      </c>
      <c r="P28" s="559">
        <f t="shared" si="6"/>
        <v>1.2243987721428111</v>
      </c>
      <c r="Q28" s="2"/>
      <c r="R28" s="2"/>
      <c r="S28" s="559">
        <f t="shared" si="7"/>
        <v>1.0977302969737972</v>
      </c>
      <c r="T28" s="559">
        <f t="shared" si="7"/>
        <v>1.1061796076926198</v>
      </c>
      <c r="U28" s="559">
        <f t="shared" si="7"/>
        <v>1.1905739729340681</v>
      </c>
      <c r="V28" s="559">
        <f t="shared" si="7"/>
        <v>1.2738114724332714</v>
      </c>
      <c r="W28" s="559">
        <f t="shared" si="7"/>
        <v>1.430999771362492</v>
      </c>
      <c r="X28" s="559">
        <f t="shared" si="7"/>
        <v>1.4092221006646688</v>
      </c>
      <c r="Y28" s="559">
        <f t="shared" si="7"/>
        <v>1.3630170609664722</v>
      </c>
      <c r="Z28" s="559">
        <f t="shared" si="7"/>
        <v>1.3331768379002737</v>
      </c>
      <c r="AA28" s="559">
        <f t="shared" si="7"/>
        <v>1.2343769207727593</v>
      </c>
      <c r="AB28" s="559">
        <f t="shared" si="7"/>
        <v>1.2904511770455933</v>
      </c>
      <c r="AC28" s="559">
        <f t="shared" si="7"/>
        <v>1.2243987721428111</v>
      </c>
      <c r="AD28" s="650" t="str">
        <f>+IFERROR(RANK(S28,(S$6:S$8,S$33:S$49),0),"")</f>
        <v/>
      </c>
      <c r="AE28" s="650" t="str">
        <f>+IFERROR(RANK(T28,(T$6:T$8,T$33:T$49),0),"")</f>
        <v/>
      </c>
      <c r="AF28" s="650" t="str">
        <f>+IFERROR(RANK(U28,(U$6:U$8,U$33:U$49),0),"")</f>
        <v/>
      </c>
      <c r="AG28" s="650" t="str">
        <f>+IFERROR(RANK(V28,(V$6:V$8,V$33:V$49),0),"")</f>
        <v/>
      </c>
      <c r="AH28" s="650" t="str">
        <f>+IFERROR(RANK(W28,(W$6:W$8,W$33:W$49),0),"")</f>
        <v/>
      </c>
      <c r="AI28" s="650" t="str">
        <f>+IFERROR(RANK(X28,(X$6:X$8,X$33:X$49),0),"")</f>
        <v/>
      </c>
      <c r="AJ28" s="650" t="str">
        <f>+IFERROR(RANK(Y28,(Y$6:Y$8,Y$33:Y$49),0),"")</f>
        <v/>
      </c>
      <c r="AK28" s="650" t="str">
        <f>+IFERROR(RANK(Z28,(Z$6:Z$8,Z$33:Z$49),0),"")</f>
        <v/>
      </c>
      <c r="AL28" s="650" t="str">
        <f>+IFERROR(RANK(AA28,(AA$6:AA$8,AA$33:AA$49),0),"")</f>
        <v/>
      </c>
      <c r="AM28" s="650" t="str">
        <f>+IFERROR(RANK(AB28,(AB$6:AB$8,AB$33:AB$49),0),"")</f>
        <v/>
      </c>
      <c r="AN28" s="650" t="str">
        <f>+IFERROR(RANK(AC28,(AC$6:AC$8,AC$33:AC$49),0),"")</f>
        <v/>
      </c>
      <c r="AO28" s="2"/>
    </row>
    <row r="29" spans="1:41" s="115" customFormat="1" ht="12.75" customHeight="1">
      <c r="A29" s="103"/>
      <c r="B29" s="102" t="s">
        <v>159</v>
      </c>
      <c r="C29" s="336">
        <v>3186</v>
      </c>
      <c r="D29" s="336">
        <v>3606</v>
      </c>
      <c r="E29" s="336">
        <v>4046</v>
      </c>
      <c r="F29" s="336">
        <v>4373</v>
      </c>
      <c r="G29" s="336">
        <v>5130</v>
      </c>
      <c r="H29" s="336">
        <v>5936</v>
      </c>
      <c r="I29" s="336">
        <v>5450</v>
      </c>
      <c r="J29" s="336">
        <v>6241</v>
      </c>
      <c r="K29" s="336">
        <v>7864</v>
      </c>
      <c r="L29" s="336">
        <v>7385</v>
      </c>
      <c r="M29" s="336">
        <v>7291</v>
      </c>
      <c r="O29" s="559">
        <f t="shared" si="5"/>
        <v>0.12960898036460561</v>
      </c>
      <c r="P29" s="559">
        <f t="shared" si="6"/>
        <v>0.21737341598551757</v>
      </c>
      <c r="Q29" s="2"/>
      <c r="R29" s="2"/>
      <c r="S29" s="559">
        <f t="shared" si="7"/>
        <v>0.12960898036460561</v>
      </c>
      <c r="T29" s="559">
        <f t="shared" si="7"/>
        <v>0.14209980639590991</v>
      </c>
      <c r="U29" s="559">
        <f t="shared" si="7"/>
        <v>0.15314625467321291</v>
      </c>
      <c r="V29" s="559">
        <f t="shared" si="7"/>
        <v>0.15801144779027873</v>
      </c>
      <c r="W29" s="559">
        <f t="shared" si="7"/>
        <v>0.17825386268823504</v>
      </c>
      <c r="X29" s="559">
        <f t="shared" si="7"/>
        <v>0.20256053441038027</v>
      </c>
      <c r="Y29" s="559">
        <f t="shared" si="7"/>
        <v>0.18774814189625624</v>
      </c>
      <c r="Z29" s="559">
        <f t="shared" si="7"/>
        <v>0.21356151553736163</v>
      </c>
      <c r="AA29" s="559">
        <f t="shared" si="7"/>
        <v>0.24979773816152803</v>
      </c>
      <c r="AB29" s="559">
        <f t="shared" si="7"/>
        <v>0.22405035717601288</v>
      </c>
      <c r="AC29" s="559">
        <f t="shared" si="7"/>
        <v>0.21737341598551757</v>
      </c>
      <c r="AD29" s="650" t="str">
        <f>+IFERROR(RANK(S29,(S$6:S$8,S$33:S$49),0),"")</f>
        <v/>
      </c>
      <c r="AE29" s="650" t="str">
        <f>+IFERROR(RANK(T29,(T$6:T$8,T$33:T$49),0),"")</f>
        <v/>
      </c>
      <c r="AF29" s="650" t="str">
        <f>+IFERROR(RANK(U29,(U$6:U$8,U$33:U$49),0),"")</f>
        <v/>
      </c>
      <c r="AG29" s="650" t="str">
        <f>+IFERROR(RANK(V29,(V$6:V$8,V$33:V$49),0),"")</f>
        <v/>
      </c>
      <c r="AH29" s="650" t="str">
        <f>+IFERROR(RANK(W29,(W$6:W$8,W$33:W$49),0),"")</f>
        <v/>
      </c>
      <c r="AI29" s="650" t="str">
        <f>+IFERROR(RANK(X29,(X$6:X$8,X$33:X$49),0),"")</f>
        <v/>
      </c>
      <c r="AJ29" s="650" t="str">
        <f>+IFERROR(RANK(Y29,(Y$6:Y$8,Y$33:Y$49),0),"")</f>
        <v/>
      </c>
      <c r="AK29" s="650" t="str">
        <f>+IFERROR(RANK(Z29,(Z$6:Z$8,Z$33:Z$49),0),"")</f>
        <v/>
      </c>
      <c r="AL29" s="650" t="str">
        <f>+IFERROR(RANK(AA29,(AA$6:AA$8,AA$33:AA$49),0),"")</f>
        <v/>
      </c>
      <c r="AM29" s="650" t="str">
        <f>+IFERROR(RANK(AB29,(AB$6:AB$8,AB$33:AB$49),0),"")</f>
        <v/>
      </c>
      <c r="AN29" s="650" t="str">
        <f>+IFERROR(RANK(AC29,(AC$6:AC$8,AC$33:AC$49),0),"")</f>
        <v/>
      </c>
      <c r="AO29" s="2"/>
    </row>
    <row r="30" spans="1:41" s="127" customFormat="1" ht="12.75" customHeight="1">
      <c r="A30" s="103"/>
      <c r="B30" s="102" t="s">
        <v>152</v>
      </c>
      <c r="C30" s="336">
        <v>24180</v>
      </c>
      <c r="D30" s="336">
        <v>24900</v>
      </c>
      <c r="E30" s="336">
        <v>26003</v>
      </c>
      <c r="F30" s="336">
        <v>27489</v>
      </c>
      <c r="G30" s="336">
        <v>28428</v>
      </c>
      <c r="H30" s="336">
        <v>28128</v>
      </c>
      <c r="I30" s="336">
        <v>28617</v>
      </c>
      <c r="J30" s="336">
        <v>27926</v>
      </c>
      <c r="K30" s="336">
        <v>30338</v>
      </c>
      <c r="L30" s="336">
        <v>31019</v>
      </c>
      <c r="M30" s="336">
        <v>30600</v>
      </c>
      <c r="O30" s="559">
        <f t="shared" si="5"/>
        <v>0.98366137640180895</v>
      </c>
      <c r="P30" s="559">
        <f t="shared" si="6"/>
        <v>0.91230647773375917</v>
      </c>
      <c r="Q30" s="2"/>
      <c r="R30" s="2"/>
      <c r="S30" s="559">
        <f t="shared" si="7"/>
        <v>0.98366137640180895</v>
      </c>
      <c r="T30" s="559">
        <f t="shared" si="7"/>
        <v>0.98122162486360431</v>
      </c>
      <c r="U30" s="559">
        <f t="shared" si="7"/>
        <v>0.98424667826682044</v>
      </c>
      <c r="V30" s="559">
        <f t="shared" si="7"/>
        <v>0.99327159577108903</v>
      </c>
      <c r="W30" s="559">
        <f t="shared" si="7"/>
        <v>0.98779742855772823</v>
      </c>
      <c r="X30" s="559">
        <f t="shared" si="7"/>
        <v>0.95984210106050816</v>
      </c>
      <c r="Y30" s="559">
        <f t="shared" si="7"/>
        <v>0.98583276635691097</v>
      </c>
      <c r="Z30" s="559">
        <f t="shared" si="7"/>
        <v>0.95560308971260388</v>
      </c>
      <c r="AA30" s="559">
        <f t="shared" si="7"/>
        <v>0.96367799851785829</v>
      </c>
      <c r="AB30" s="559">
        <f t="shared" si="7"/>
        <v>0.94107217728405457</v>
      </c>
      <c r="AC30" s="559">
        <f t="shared" si="7"/>
        <v>0.91230647773375917</v>
      </c>
      <c r="AD30" s="650" t="str">
        <f>+IFERROR(RANK(S30,(S$6:S$8,S$33:S$49),0),"")</f>
        <v/>
      </c>
      <c r="AE30" s="650" t="str">
        <f>+IFERROR(RANK(T30,(T$6:T$8,T$33:T$49),0),"")</f>
        <v/>
      </c>
      <c r="AF30" s="650" t="str">
        <f>+IFERROR(RANK(U30,(U$6:U$8,U$33:U$49),0),"")</f>
        <v/>
      </c>
      <c r="AG30" s="650" t="str">
        <f>+IFERROR(RANK(V30,(V$6:V$8,V$33:V$49),0),"")</f>
        <v/>
      </c>
      <c r="AH30" s="650" t="str">
        <f>+IFERROR(RANK(W30,(W$6:W$8,W$33:W$49),0),"")</f>
        <v/>
      </c>
      <c r="AI30" s="650" t="str">
        <f>+IFERROR(RANK(X30,(X$6:X$8,X$33:X$49),0),"")</f>
        <v/>
      </c>
      <c r="AJ30" s="650" t="str">
        <f>+IFERROR(RANK(Y30,(Y$6:Y$8,Y$33:Y$49),0),"")</f>
        <v/>
      </c>
      <c r="AK30" s="650" t="str">
        <f>+IFERROR(RANK(Z30,(Z$6:Z$8,Z$33:Z$49),0),"")</f>
        <v/>
      </c>
      <c r="AL30" s="650" t="str">
        <f>+IFERROR(RANK(AA30,(AA$6:AA$8,AA$33:AA$49),0),"")</f>
        <v/>
      </c>
      <c r="AM30" s="650" t="str">
        <f>+IFERROR(RANK(AB30,(AB$6:AB$8,AB$33:AB$49),0),"")</f>
        <v/>
      </c>
      <c r="AN30" s="650" t="str">
        <f>+IFERROR(RANK(AC30,(AC$6:AC$8,AC$33:AC$49),0),"")</f>
        <v/>
      </c>
      <c r="AO30" s="2"/>
    </row>
    <row r="31" spans="1:41" s="115" customFormat="1" ht="12.75" customHeight="1">
      <c r="A31" s="103"/>
      <c r="B31" s="102" t="s">
        <v>153</v>
      </c>
      <c r="C31" s="336">
        <v>9716</v>
      </c>
      <c r="D31" s="336">
        <v>10447</v>
      </c>
      <c r="E31" s="336">
        <v>10893</v>
      </c>
      <c r="F31" s="336">
        <v>11782</v>
      </c>
      <c r="G31" s="336">
        <v>11982</v>
      </c>
      <c r="H31" s="336">
        <v>11862</v>
      </c>
      <c r="I31" s="336">
        <v>12152</v>
      </c>
      <c r="J31" s="336">
        <v>10655</v>
      </c>
      <c r="K31" s="336">
        <v>13239</v>
      </c>
      <c r="L31" s="336">
        <v>14943</v>
      </c>
      <c r="M31" s="336">
        <v>14666</v>
      </c>
      <c r="O31" s="559">
        <f t="shared" si="5"/>
        <v>0.39525450509181037</v>
      </c>
      <c r="P31" s="559">
        <f t="shared" si="6"/>
        <v>0.43725120269422585</v>
      </c>
      <c r="Q31" s="2"/>
      <c r="R31" s="2"/>
      <c r="S31" s="559">
        <f t="shared" si="7"/>
        <v>0.39525450509181043</v>
      </c>
      <c r="T31" s="559">
        <f t="shared" si="7"/>
        <v>0.41167961104217166</v>
      </c>
      <c r="U31" s="559">
        <f t="shared" si="7"/>
        <v>0.41231392786834115</v>
      </c>
      <c r="V31" s="559">
        <f t="shared" si="7"/>
        <v>0.4257239601795253</v>
      </c>
      <c r="W31" s="559">
        <f t="shared" si="7"/>
        <v>0.41634264770573726</v>
      </c>
      <c r="X31" s="559">
        <f t="shared" si="7"/>
        <v>0.40477982802829021</v>
      </c>
      <c r="Y31" s="559">
        <f t="shared" si="7"/>
        <v>0.41862668262812952</v>
      </c>
      <c r="Z31" s="559">
        <f t="shared" si="7"/>
        <v>0.364604702459636</v>
      </c>
      <c r="AA31" s="559">
        <f t="shared" si="7"/>
        <v>0.42053309454736387</v>
      </c>
      <c r="AB31" s="559">
        <f t="shared" si="7"/>
        <v>0.45334928737727287</v>
      </c>
      <c r="AC31" s="559">
        <f t="shared" si="7"/>
        <v>0.43725120269422585</v>
      </c>
      <c r="AD31" s="650" t="str">
        <f>+IFERROR(RANK(S31,(S$6:S$8,S$33:S$49),0),"")</f>
        <v/>
      </c>
      <c r="AE31" s="650" t="str">
        <f>+IFERROR(RANK(T31,(T$6:T$8,T$33:T$49),0),"")</f>
        <v/>
      </c>
      <c r="AF31" s="650" t="str">
        <f>+IFERROR(RANK(U31,(U$6:U$8,U$33:U$49),0),"")</f>
        <v/>
      </c>
      <c r="AG31" s="650" t="str">
        <f>+IFERROR(RANK(V31,(V$6:V$8,V$33:V$49),0),"")</f>
        <v/>
      </c>
      <c r="AH31" s="650" t="str">
        <f>+IFERROR(RANK(W31,(W$6:W$8,W$33:W$49),0),"")</f>
        <v/>
      </c>
      <c r="AI31" s="650" t="str">
        <f>+IFERROR(RANK(X31,(X$6:X$8,X$33:X$49),0),"")</f>
        <v/>
      </c>
      <c r="AJ31" s="650" t="str">
        <f>+IFERROR(RANK(Y31,(Y$6:Y$8,Y$33:Y$49),0),"")</f>
        <v/>
      </c>
      <c r="AK31" s="650" t="str">
        <f>+IFERROR(RANK(Z31,(Z$6:Z$8,Z$33:Z$49),0),"")</f>
        <v/>
      </c>
      <c r="AL31" s="650" t="str">
        <f>+IFERROR(RANK(AA31,(AA$6:AA$8,AA$33:AA$49),0),"")</f>
        <v/>
      </c>
      <c r="AM31" s="650" t="str">
        <f>+IFERROR(RANK(AB31,(AB$6:AB$8,AB$33:AB$49),0),"")</f>
        <v/>
      </c>
      <c r="AN31" s="650" t="str">
        <f>+IFERROR(RANK(AC31,(AC$6:AC$8,AC$33:AC$49),0),"")</f>
        <v/>
      </c>
      <c r="AO31" s="2"/>
    </row>
    <row r="32" spans="1:41" s="115" customFormat="1" ht="12.75" customHeight="1">
      <c r="A32" s="103"/>
      <c r="B32" s="102" t="s">
        <v>160</v>
      </c>
      <c r="C32" s="336">
        <v>16467</v>
      </c>
      <c r="D32" s="336">
        <v>16827</v>
      </c>
      <c r="E32" s="336">
        <v>17459</v>
      </c>
      <c r="F32" s="336">
        <v>18898</v>
      </c>
      <c r="G32" s="336">
        <v>20379</v>
      </c>
      <c r="H32" s="336">
        <v>20856</v>
      </c>
      <c r="I32" s="336">
        <v>18610</v>
      </c>
      <c r="J32" s="336">
        <v>19739</v>
      </c>
      <c r="K32" s="336">
        <v>20668</v>
      </c>
      <c r="L32" s="336">
        <v>22155</v>
      </c>
      <c r="M32" s="336">
        <v>23681</v>
      </c>
      <c r="O32" s="559">
        <f t="shared" si="5"/>
        <v>0.66989048325924683</v>
      </c>
      <c r="P32" s="559">
        <f t="shared" si="6"/>
        <v>0.70602384637951476</v>
      </c>
      <c r="Q32" s="2"/>
      <c r="R32" s="2"/>
      <c r="S32" s="559">
        <f t="shared" si="7"/>
        <v>0.66989048325924683</v>
      </c>
      <c r="T32" s="559">
        <f t="shared" si="7"/>
        <v>0.66309302335662124</v>
      </c>
      <c r="U32" s="559">
        <f t="shared" si="7"/>
        <v>0.6608453930646625</v>
      </c>
      <c r="V32" s="559">
        <f t="shared" si="7"/>
        <v>0.68284938036603882</v>
      </c>
      <c r="W32" s="559">
        <f t="shared" si="7"/>
        <v>0.70811607557963774</v>
      </c>
      <c r="X32" s="559">
        <f t="shared" si="7"/>
        <v>0.71169179677609351</v>
      </c>
      <c r="Y32" s="559">
        <f t="shared" si="7"/>
        <v>0.6410996184751061</v>
      </c>
      <c r="Z32" s="559">
        <f t="shared" si="7"/>
        <v>0.67545117051626036</v>
      </c>
      <c r="AA32" s="559">
        <f t="shared" si="7"/>
        <v>0.65651318061068942</v>
      </c>
      <c r="AB32" s="559">
        <f t="shared" si="7"/>
        <v>0.67215107152803866</v>
      </c>
      <c r="AC32" s="559">
        <f t="shared" si="7"/>
        <v>0.70602384637951476</v>
      </c>
      <c r="AD32" s="650" t="str">
        <f>+IFERROR(RANK(S32,(S$6:S$8,S$33:S$49),0),"")</f>
        <v/>
      </c>
      <c r="AE32" s="650" t="str">
        <f>+IFERROR(RANK(T32,(T$6:T$8,T$33:T$49),0),"")</f>
        <v/>
      </c>
      <c r="AF32" s="650" t="str">
        <f>+IFERROR(RANK(U32,(U$6:U$8,U$33:U$49),0),"")</f>
        <v/>
      </c>
      <c r="AG32" s="650" t="str">
        <f>+IFERROR(RANK(V32,(V$6:V$8,V$33:V$49),0),"")</f>
        <v/>
      </c>
      <c r="AH32" s="650" t="str">
        <f>+IFERROR(RANK(W32,(W$6:W$8,W$33:W$49),0),"")</f>
        <v/>
      </c>
      <c r="AI32" s="650" t="str">
        <f>+IFERROR(RANK(X32,(X$6:X$8,X$33:X$49),0),"")</f>
        <v/>
      </c>
      <c r="AJ32" s="650" t="str">
        <f>+IFERROR(RANK(Y32,(Y$6:Y$8,Y$33:Y$49),0),"")</f>
        <v/>
      </c>
      <c r="AK32" s="650" t="str">
        <f>+IFERROR(RANK(Z32,(Z$6:Z$8,Z$33:Z$49),0),"")</f>
        <v/>
      </c>
      <c r="AL32" s="650" t="str">
        <f>+IFERROR(RANK(AA32,(AA$6:AA$8,AA$33:AA$49),0),"")</f>
        <v/>
      </c>
      <c r="AM32" s="650" t="str">
        <f>+IFERROR(RANK(AB32,(AB$6:AB$8,AB$33:AB$49),0),"")</f>
        <v/>
      </c>
      <c r="AN32" s="650" t="str">
        <f>+IFERROR(RANK(AC32,(AC$6:AC$8,AC$33:AC$49),0),"")</f>
        <v/>
      </c>
      <c r="AO32" s="2"/>
    </row>
    <row r="33" spans="1:41" s="115" customFormat="1" ht="16.5" customHeight="1">
      <c r="A33" s="201" t="s">
        <v>75</v>
      </c>
      <c r="B33" s="307" t="s">
        <v>161</v>
      </c>
      <c r="C33" s="335">
        <v>6277</v>
      </c>
      <c r="D33" s="335">
        <v>6611</v>
      </c>
      <c r="E33" s="335">
        <v>6390</v>
      </c>
      <c r="F33" s="335">
        <v>6505</v>
      </c>
      <c r="G33" s="335">
        <v>6748</v>
      </c>
      <c r="H33" s="335">
        <v>6736</v>
      </c>
      <c r="I33" s="335">
        <v>6671</v>
      </c>
      <c r="J33" s="335">
        <v>6574</v>
      </c>
      <c r="K33" s="335">
        <v>6551</v>
      </c>
      <c r="L33" s="335">
        <v>6954</v>
      </c>
      <c r="M33" s="335">
        <v>7070</v>
      </c>
      <c r="O33" s="559">
        <f t="shared" si="5"/>
        <v>0.25535328617345554</v>
      </c>
      <c r="P33" s="559">
        <f t="shared" si="6"/>
        <v>0.21078453586855153</v>
      </c>
      <c r="Q33" s="2"/>
      <c r="R33" s="2"/>
      <c r="S33" s="559">
        <f t="shared" si="7"/>
        <v>0.25535328617345554</v>
      </c>
      <c r="T33" s="559">
        <f t="shared" si="7"/>
        <v>0.26051631172583484</v>
      </c>
      <c r="U33" s="559">
        <f t="shared" si="7"/>
        <v>0.24186964096931057</v>
      </c>
      <c r="V33" s="559">
        <f t="shared" si="7"/>
        <v>0.23504790026886879</v>
      </c>
      <c r="W33" s="559">
        <f t="shared" si="7"/>
        <v>0.23447506148542105</v>
      </c>
      <c r="X33" s="559">
        <f t="shared" si="7"/>
        <v>0.22985979780800564</v>
      </c>
      <c r="Y33" s="559">
        <f t="shared" si="7"/>
        <v>0.22981061552108722</v>
      </c>
      <c r="Z33" s="559">
        <f t="shared" si="7"/>
        <v>0.22495648183666325</v>
      </c>
      <c r="AA33" s="559">
        <f t="shared" si="7"/>
        <v>0.20809066412718338</v>
      </c>
      <c r="AB33" s="559">
        <f t="shared" si="7"/>
        <v>0.21097443247149539</v>
      </c>
      <c r="AC33" s="559">
        <f t="shared" si="7"/>
        <v>0.21078453586855153</v>
      </c>
      <c r="AD33" s="650">
        <f>+IFERROR(RANK(S33,(S$6:S$8,S$33:S$49),0),"")</f>
        <v>19</v>
      </c>
      <c r="AE33" s="650">
        <f>+IFERROR(RANK(T33,(T$6:T$8,T$33:T$49),0),"")</f>
        <v>19</v>
      </c>
      <c r="AF33" s="650">
        <f>+IFERROR(RANK(U33,(U$6:U$8,U$33:U$49),0),"")</f>
        <v>19</v>
      </c>
      <c r="AG33" s="650">
        <f>+IFERROR(RANK(V33,(V$6:V$8,V$33:V$49),0),"")</f>
        <v>19</v>
      </c>
      <c r="AH33" s="650">
        <f>+IFERROR(RANK(W33,(W$6:W$8,W$33:W$49),0),"")</f>
        <v>19</v>
      </c>
      <c r="AI33" s="650">
        <f>+IFERROR(RANK(X33,(X$6:X$8,X$33:X$49),0),"")</f>
        <v>19</v>
      </c>
      <c r="AJ33" s="650">
        <f>+IFERROR(RANK(Y33,(Y$6:Y$8,Y$33:Y$49),0),"")</f>
        <v>19</v>
      </c>
      <c r="AK33" s="650">
        <f>+IFERROR(RANK(Z33,(Z$6:Z$8,Z$33:Z$49),0),"")</f>
        <v>19</v>
      </c>
      <c r="AL33" s="650">
        <f>+IFERROR(RANK(AA33,(AA$6:AA$8,AA$33:AA$49),0),"")</f>
        <v>19</v>
      </c>
      <c r="AM33" s="650">
        <f>+IFERROR(RANK(AB33,(AB$6:AB$8,AB$33:AB$49),0),"")</f>
        <v>19</v>
      </c>
      <c r="AN33" s="650">
        <f>+IFERROR(RANK(AC33,(AC$6:AC$8,AC$33:AC$49),0),"")</f>
        <v>19</v>
      </c>
      <c r="AO33" s="2"/>
    </row>
    <row r="34" spans="1:41" s="115" customFormat="1" ht="12.75" customHeight="1">
      <c r="A34" s="201" t="s">
        <v>76</v>
      </c>
      <c r="B34" s="307" t="s">
        <v>170</v>
      </c>
      <c r="C34" s="335">
        <v>20348</v>
      </c>
      <c r="D34" s="335">
        <v>20860</v>
      </c>
      <c r="E34" s="335">
        <v>22233</v>
      </c>
      <c r="F34" s="335">
        <v>23079</v>
      </c>
      <c r="G34" s="335">
        <v>23567</v>
      </c>
      <c r="H34" s="335">
        <v>24904</v>
      </c>
      <c r="I34" s="335">
        <v>25711</v>
      </c>
      <c r="J34" s="335">
        <v>27469</v>
      </c>
      <c r="K34" s="335">
        <v>28585</v>
      </c>
      <c r="L34" s="335">
        <v>29229</v>
      </c>
      <c r="M34" s="335">
        <v>30260</v>
      </c>
      <c r="O34" s="559">
        <f t="shared" si="5"/>
        <v>0.82777260905806493</v>
      </c>
      <c r="P34" s="559">
        <f t="shared" si="6"/>
        <v>0.90216973909227283</v>
      </c>
      <c r="Q34" s="2"/>
      <c r="R34" s="2"/>
      <c r="S34" s="559">
        <f t="shared" si="7"/>
        <v>0.82777260905806493</v>
      </c>
      <c r="T34" s="559">
        <f t="shared" si="7"/>
        <v>0.82201940139175844</v>
      </c>
      <c r="U34" s="559">
        <f t="shared" si="7"/>
        <v>0.84154737522232892</v>
      </c>
      <c r="V34" s="559">
        <f t="shared" si="7"/>
        <v>0.83392321142278591</v>
      </c>
      <c r="W34" s="559">
        <f t="shared" si="7"/>
        <v>0.81889060077458775</v>
      </c>
      <c r="X34" s="559">
        <f t="shared" si="7"/>
        <v>0.84982606956807782</v>
      </c>
      <c r="Y34" s="559">
        <f t="shared" si="7"/>
        <v>0.88572339014580626</v>
      </c>
      <c r="Z34" s="559">
        <f t="shared" si="7"/>
        <v>0.93996495277932812</v>
      </c>
      <c r="AA34" s="559">
        <f t="shared" si="7"/>
        <v>0.90799444879797542</v>
      </c>
      <c r="AB34" s="559">
        <f t="shared" si="7"/>
        <v>0.88676613268756665</v>
      </c>
      <c r="AC34" s="559">
        <f t="shared" si="7"/>
        <v>0.90216973909227294</v>
      </c>
      <c r="AD34" s="650">
        <f>+IFERROR(RANK(S34,(S$6:S$8,S$33:S$49),0),"")</f>
        <v>14</v>
      </c>
      <c r="AE34" s="650">
        <f>+IFERROR(RANK(T34,(T$6:T$8,T$33:T$49),0),"")</f>
        <v>15</v>
      </c>
      <c r="AF34" s="650">
        <f>+IFERROR(RANK(U34,(U$6:U$8,U$33:U$49),0),"")</f>
        <v>14</v>
      </c>
      <c r="AG34" s="650">
        <f>+IFERROR(RANK(V34,(V$6:V$8,V$33:V$49),0),"")</f>
        <v>15</v>
      </c>
      <c r="AH34" s="650">
        <f>+IFERROR(RANK(W34,(W$6:W$8,W$33:W$49),0),"")</f>
        <v>15</v>
      </c>
      <c r="AI34" s="650">
        <f>+IFERROR(RANK(X34,(X$6:X$8,X$33:X$49),0),"")</f>
        <v>15</v>
      </c>
      <c r="AJ34" s="650">
        <f>+IFERROR(RANK(Y34,(Y$6:Y$8,Y$33:Y$49),0),"")</f>
        <v>15</v>
      </c>
      <c r="AK34" s="650">
        <f>+IFERROR(RANK(Z34,(Z$6:Z$8,Z$33:Z$49),0),"")</f>
        <v>15</v>
      </c>
      <c r="AL34" s="650">
        <f>+IFERROR(RANK(AA34,(AA$6:AA$8,AA$33:AA$49),0),"")</f>
        <v>16</v>
      </c>
      <c r="AM34" s="650">
        <f>+IFERROR(RANK(AB34,(AB$6:AB$8,AB$33:AB$49),0),"")</f>
        <v>16</v>
      </c>
      <c r="AN34" s="650">
        <f>+IFERROR(RANK(AC34,(AC$6:AC$8,AC$33:AC$49),0),"")</f>
        <v>16</v>
      </c>
      <c r="AO34" s="2"/>
    </row>
    <row r="35" spans="1:41" s="115" customFormat="1" ht="12.75" customHeight="1">
      <c r="A35" s="201" t="s">
        <v>77</v>
      </c>
      <c r="B35" s="307" t="s">
        <v>78</v>
      </c>
      <c r="C35" s="335">
        <v>178366</v>
      </c>
      <c r="D35" s="335">
        <v>178864</v>
      </c>
      <c r="E35" s="335">
        <v>183547</v>
      </c>
      <c r="F35" s="335">
        <v>195420</v>
      </c>
      <c r="G35" s="335">
        <v>206868</v>
      </c>
      <c r="H35" s="335">
        <v>219984</v>
      </c>
      <c r="I35" s="335">
        <v>232381</v>
      </c>
      <c r="J35" s="335">
        <v>234450</v>
      </c>
      <c r="K35" s="335">
        <v>253501</v>
      </c>
      <c r="L35" s="335">
        <v>275564</v>
      </c>
      <c r="M35" s="335">
        <v>287512</v>
      </c>
      <c r="O35" s="559">
        <f t="shared" si="5"/>
        <v>7.2560688611780417</v>
      </c>
      <c r="P35" s="559">
        <f t="shared" si="6"/>
        <v>8.5718647067381895</v>
      </c>
      <c r="Q35" s="2"/>
      <c r="R35" s="2"/>
      <c r="S35" s="559">
        <f t="shared" si="7"/>
        <v>7.2560688611780426</v>
      </c>
      <c r="T35" s="559">
        <f t="shared" si="7"/>
        <v>7.0484025987792656</v>
      </c>
      <c r="U35" s="559">
        <f t="shared" si="7"/>
        <v>6.9474877920178475</v>
      </c>
      <c r="V35" s="559">
        <f t="shared" si="7"/>
        <v>7.0611930315975924</v>
      </c>
      <c r="W35" s="559">
        <f t="shared" si="7"/>
        <v>7.188113073409319</v>
      </c>
      <c r="X35" s="559">
        <f t="shared" si="7"/>
        <v>7.506751449079025</v>
      </c>
      <c r="Y35" s="559">
        <f t="shared" si="7"/>
        <v>8.0053396260539298</v>
      </c>
      <c r="Z35" s="559">
        <f t="shared" si="7"/>
        <v>8.0226722188326285</v>
      </c>
      <c r="AA35" s="559">
        <f t="shared" si="7"/>
        <v>8.0523876426354928</v>
      </c>
      <c r="AB35" s="559">
        <f t="shared" si="7"/>
        <v>8.3602183649087074</v>
      </c>
      <c r="AC35" s="559">
        <f t="shared" si="7"/>
        <v>8.5718647067381877</v>
      </c>
      <c r="AD35" s="650">
        <f>+IFERROR(RANK(S35,(S$6:S$8,S$33:S$49),0),"")</f>
        <v>5</v>
      </c>
      <c r="AE35" s="650">
        <f>+IFERROR(RANK(T35,(T$6:T$8,T$33:T$49),0),"")</f>
        <v>6</v>
      </c>
      <c r="AF35" s="650">
        <f>+IFERROR(RANK(U35,(U$6:U$8,U$33:U$49),0),"")</f>
        <v>6</v>
      </c>
      <c r="AG35" s="650">
        <f>+IFERROR(RANK(V35,(V$6:V$8,V$33:V$49),0),"")</f>
        <v>6</v>
      </c>
      <c r="AH35" s="650">
        <f>+IFERROR(RANK(W35,(W$6:W$8,W$33:W$49),0),"")</f>
        <v>6</v>
      </c>
      <c r="AI35" s="650">
        <f>+IFERROR(RANK(X35,(X$6:X$8,X$33:X$49),0),"")</f>
        <v>6</v>
      </c>
      <c r="AJ35" s="650">
        <f>+IFERROR(RANK(Y35,(Y$6:Y$8,Y$33:Y$49),0),"")</f>
        <v>5</v>
      </c>
      <c r="AK35" s="650">
        <f>+IFERROR(RANK(Z35,(Z$6:Z$8,Z$33:Z$49),0),"")</f>
        <v>5</v>
      </c>
      <c r="AL35" s="650">
        <f>+IFERROR(RANK(AA35,(AA$6:AA$8,AA$33:AA$49),0),"")</f>
        <v>6</v>
      </c>
      <c r="AM35" s="650">
        <f>+IFERROR(RANK(AB35,(AB$6:AB$8,AB$33:AB$49),0),"")</f>
        <v>6</v>
      </c>
      <c r="AN35" s="650">
        <f>+IFERROR(RANK(AC35,(AC$6:AC$8,AC$33:AC$49),0),"")</f>
        <v>6</v>
      </c>
      <c r="AO35" s="2"/>
    </row>
    <row r="36" spans="1:41" s="115" customFormat="1" ht="12.75" customHeight="1">
      <c r="A36" s="201" t="s">
        <v>79</v>
      </c>
      <c r="B36" s="307" t="s">
        <v>171</v>
      </c>
      <c r="C36" s="335">
        <v>463519</v>
      </c>
      <c r="D36" s="335">
        <v>478256</v>
      </c>
      <c r="E36" s="335">
        <v>492250</v>
      </c>
      <c r="F36" s="335">
        <v>507360</v>
      </c>
      <c r="G36" s="335">
        <v>522673</v>
      </c>
      <c r="H36" s="335">
        <v>538367</v>
      </c>
      <c r="I36" s="335">
        <v>525816</v>
      </c>
      <c r="J36" s="335">
        <v>533620</v>
      </c>
      <c r="K36" s="335">
        <v>559353</v>
      </c>
      <c r="L36" s="335">
        <v>577407</v>
      </c>
      <c r="M36" s="335">
        <v>583143</v>
      </c>
      <c r="O36" s="559">
        <f t="shared" si="5"/>
        <v>18.85631668851903</v>
      </c>
      <c r="P36" s="559">
        <f t="shared" si="6"/>
        <v>17.385788769447629</v>
      </c>
      <c r="Q36" s="2"/>
      <c r="R36" s="2"/>
      <c r="S36" s="559">
        <f t="shared" si="7"/>
        <v>18.85631668851903</v>
      </c>
      <c r="T36" s="559">
        <f t="shared" si="7"/>
        <v>18.846390739789875</v>
      </c>
      <c r="U36" s="559">
        <f t="shared" si="7"/>
        <v>18.632289634920678</v>
      </c>
      <c r="V36" s="559">
        <f t="shared" si="7"/>
        <v>18.332652218357151</v>
      </c>
      <c r="W36" s="559">
        <f t="shared" si="7"/>
        <v>18.161497304648709</v>
      </c>
      <c r="X36" s="559">
        <f t="shared" si="7"/>
        <v>18.371278171986724</v>
      </c>
      <c r="Y36" s="559">
        <f t="shared" si="7"/>
        <v>18.113940730150802</v>
      </c>
      <c r="Z36" s="559">
        <f t="shared" si="7"/>
        <v>18.260005755655651</v>
      </c>
      <c r="AA36" s="559">
        <f t="shared" si="7"/>
        <v>17.767690009392826</v>
      </c>
      <c r="AB36" s="559">
        <f t="shared" si="7"/>
        <v>17.517704073924179</v>
      </c>
      <c r="AC36" s="559">
        <f t="shared" si="7"/>
        <v>17.385788769447633</v>
      </c>
      <c r="AD36" s="650">
        <f>+IFERROR(RANK(S36,(S$6:S$8,S$33:S$49),0),"")</f>
        <v>2</v>
      </c>
      <c r="AE36" s="650">
        <f>+IFERROR(RANK(T36,(T$6:T$8,T$33:T$49),0),"")</f>
        <v>2</v>
      </c>
      <c r="AF36" s="650">
        <f>+IFERROR(RANK(U36,(U$6:U$8,U$33:U$49),0),"")</f>
        <v>2</v>
      </c>
      <c r="AG36" s="650">
        <f>+IFERROR(RANK(V36,(V$6:V$8,V$33:V$49),0),"")</f>
        <v>2</v>
      </c>
      <c r="AH36" s="650">
        <f>+IFERROR(RANK(W36,(W$6:W$8,W$33:W$49),0),"")</f>
        <v>2</v>
      </c>
      <c r="AI36" s="650">
        <f>+IFERROR(RANK(X36,(X$6:X$8,X$33:X$49),0),"")</f>
        <v>2</v>
      </c>
      <c r="AJ36" s="650">
        <f>+IFERROR(RANK(Y36,(Y$6:Y$8,Y$33:Y$49),0),"")</f>
        <v>2</v>
      </c>
      <c r="AK36" s="650">
        <f>+IFERROR(RANK(Z36,(Z$6:Z$8,Z$33:Z$49),0),"")</f>
        <v>2</v>
      </c>
      <c r="AL36" s="650">
        <f>+IFERROR(RANK(AA36,(AA$6:AA$8,AA$33:AA$49),0),"")</f>
        <v>2</v>
      </c>
      <c r="AM36" s="650">
        <f>+IFERROR(RANK(AB36,(AB$6:AB$8,AB$33:AB$49),0),"")</f>
        <v>2</v>
      </c>
      <c r="AN36" s="650">
        <f>+IFERROR(RANK(AC36,(AC$6:AC$8,AC$33:AC$49),0),"")</f>
        <v>2</v>
      </c>
      <c r="AO36" s="2"/>
    </row>
    <row r="37" spans="1:41" s="115" customFormat="1" ht="12.75" customHeight="1">
      <c r="A37" s="201" t="s">
        <v>52</v>
      </c>
      <c r="B37" s="307" t="s">
        <v>92</v>
      </c>
      <c r="C37" s="335">
        <v>122986</v>
      </c>
      <c r="D37" s="335">
        <v>127238</v>
      </c>
      <c r="E37" s="335">
        <v>132842</v>
      </c>
      <c r="F37" s="335">
        <v>140148</v>
      </c>
      <c r="G37" s="335">
        <v>145741</v>
      </c>
      <c r="H37" s="335">
        <v>147408</v>
      </c>
      <c r="I37" s="335">
        <v>146314</v>
      </c>
      <c r="J37" s="335">
        <v>142969</v>
      </c>
      <c r="K37" s="335">
        <v>149925</v>
      </c>
      <c r="L37" s="335">
        <v>159412</v>
      </c>
      <c r="M37" s="335">
        <v>163507</v>
      </c>
      <c r="O37" s="559">
        <f t="shared" si="5"/>
        <v>5.0031669990964796</v>
      </c>
      <c r="P37" s="559">
        <f t="shared" si="6"/>
        <v>4.8747874266279005</v>
      </c>
      <c r="Q37" s="2"/>
      <c r="R37" s="2"/>
      <c r="S37" s="559">
        <f t="shared" si="7"/>
        <v>5.0031669990964796</v>
      </c>
      <c r="T37" s="559">
        <f t="shared" si="7"/>
        <v>5.0140030965620594</v>
      </c>
      <c r="U37" s="559">
        <f t="shared" si="7"/>
        <v>5.0282389429804626</v>
      </c>
      <c r="V37" s="559">
        <f t="shared" si="7"/>
        <v>5.0640266144321942</v>
      </c>
      <c r="W37" s="559">
        <f t="shared" si="7"/>
        <v>5.0641123200869513</v>
      </c>
      <c r="X37" s="559">
        <f t="shared" si="7"/>
        <v>5.0301622736464511</v>
      </c>
      <c r="Y37" s="559">
        <f t="shared" si="7"/>
        <v>5.0404002997080433</v>
      </c>
      <c r="Z37" s="559">
        <f t="shared" si="7"/>
        <v>4.8922730836181794</v>
      </c>
      <c r="AA37" s="559">
        <f t="shared" si="7"/>
        <v>4.7623252662598032</v>
      </c>
      <c r="AB37" s="559">
        <f t="shared" si="7"/>
        <v>4.8363325034722493</v>
      </c>
      <c r="AC37" s="559">
        <f t="shared" si="7"/>
        <v>4.8747874266279005</v>
      </c>
      <c r="AD37" s="650">
        <f>+IFERROR(RANK(S37,(S$6:S$8,S$33:S$49),0),"")</f>
        <v>7</v>
      </c>
      <c r="AE37" s="650">
        <f>+IFERROR(RANK(T37,(T$6:T$8,T$33:T$49),0),"")</f>
        <v>7</v>
      </c>
      <c r="AF37" s="650">
        <f>+IFERROR(RANK(U37,(U$6:U$8,U$33:U$49),0),"")</f>
        <v>7</v>
      </c>
      <c r="AG37" s="650">
        <f>+IFERROR(RANK(V37,(V$6:V$8,V$33:V$49),0),"")</f>
        <v>7</v>
      </c>
      <c r="AH37" s="650">
        <f>+IFERROR(RANK(W37,(W$6:W$8,W$33:W$49),0),"")</f>
        <v>7</v>
      </c>
      <c r="AI37" s="650">
        <f>+IFERROR(RANK(X37,(X$6:X$8,X$33:X$49),0),"")</f>
        <v>7</v>
      </c>
      <c r="AJ37" s="650">
        <f>+IFERROR(RANK(Y37,(Y$6:Y$8,Y$33:Y$49),0),"")</f>
        <v>7</v>
      </c>
      <c r="AK37" s="650">
        <f>+IFERROR(RANK(Z37,(Z$6:Z$8,Z$33:Z$49),0),"")</f>
        <v>7</v>
      </c>
      <c r="AL37" s="650">
        <f>+IFERROR(RANK(AA37,(AA$6:AA$8,AA$33:AA$49),0),"")</f>
        <v>8</v>
      </c>
      <c r="AM37" s="650">
        <f>+IFERROR(RANK(AB37,(AB$6:AB$8,AB$33:AB$49),0),"")</f>
        <v>8</v>
      </c>
      <c r="AN37" s="650">
        <f>+IFERROR(RANK(AC37,(AC$6:AC$8,AC$33:AC$49),0),"")</f>
        <v>8</v>
      </c>
      <c r="AO37" s="2"/>
    </row>
    <row r="38" spans="1:41" s="115" customFormat="1" ht="12.75" customHeight="1">
      <c r="A38" s="201" t="s">
        <v>10</v>
      </c>
      <c r="B38" s="307" t="s">
        <v>162</v>
      </c>
      <c r="C38" s="335">
        <v>174663</v>
      </c>
      <c r="D38" s="335">
        <v>189219</v>
      </c>
      <c r="E38" s="335">
        <v>204110</v>
      </c>
      <c r="F38" s="335">
        <v>223805</v>
      </c>
      <c r="G38" s="335">
        <v>241853</v>
      </c>
      <c r="H38" s="335">
        <v>251350</v>
      </c>
      <c r="I38" s="335">
        <v>214079</v>
      </c>
      <c r="J38" s="335">
        <v>220649</v>
      </c>
      <c r="K38" s="335">
        <v>259660</v>
      </c>
      <c r="L38" s="335">
        <v>286812</v>
      </c>
      <c r="M38" s="335">
        <v>295279</v>
      </c>
      <c r="O38" s="559">
        <f t="shared" si="5"/>
        <v>7.1054279150731663</v>
      </c>
      <c r="P38" s="559">
        <f t="shared" si="6"/>
        <v>8.8034295568217864</v>
      </c>
      <c r="Q38" s="2"/>
      <c r="R38" s="2"/>
      <c r="S38" s="559">
        <f t="shared" si="7"/>
        <v>7.1054279150731663</v>
      </c>
      <c r="T38" s="559">
        <f t="shared" si="7"/>
        <v>7.4564568126532667</v>
      </c>
      <c r="U38" s="559">
        <f t="shared" si="7"/>
        <v>7.7258235396316088</v>
      </c>
      <c r="V38" s="559">
        <f t="shared" si="7"/>
        <v>8.0868401721251626</v>
      </c>
      <c r="W38" s="559">
        <f t="shared" si="7"/>
        <v>8.4037488211964337</v>
      </c>
      <c r="X38" s="559">
        <f t="shared" si="7"/>
        <v>8.5770873187414214</v>
      </c>
      <c r="Y38" s="559">
        <f t="shared" si="7"/>
        <v>7.374850361285989</v>
      </c>
      <c r="Z38" s="559">
        <f t="shared" si="7"/>
        <v>7.5504141710949053</v>
      </c>
      <c r="AA38" s="559">
        <f t="shared" si="7"/>
        <v>8.2480265375155604</v>
      </c>
      <c r="AB38" s="559">
        <f t="shared" si="7"/>
        <v>8.7014666272669743</v>
      </c>
      <c r="AC38" s="559">
        <f t="shared" si="7"/>
        <v>8.8034295568217864</v>
      </c>
      <c r="AD38" s="650">
        <f>+IFERROR(RANK(S38,(S$6:S$8,S$33:S$49),0),"")</f>
        <v>6</v>
      </c>
      <c r="AE38" s="650">
        <f>+IFERROR(RANK(T38,(T$6:T$8,T$33:T$49),0),"")</f>
        <v>5</v>
      </c>
      <c r="AF38" s="650">
        <f>+IFERROR(RANK(U38,(U$6:U$8,U$33:U$49),0),"")</f>
        <v>5</v>
      </c>
      <c r="AG38" s="650">
        <f>+IFERROR(RANK(V38,(V$6:V$8,V$33:V$49),0),"")</f>
        <v>5</v>
      </c>
      <c r="AH38" s="650">
        <f>+IFERROR(RANK(W38,(W$6:W$8,W$33:W$49),0),"")</f>
        <v>5</v>
      </c>
      <c r="AI38" s="650">
        <f>+IFERROR(RANK(X38,(X$6:X$8,X$33:X$49),0),"")</f>
        <v>5</v>
      </c>
      <c r="AJ38" s="650">
        <f>+IFERROR(RANK(Y38,(Y$6:Y$8,Y$33:Y$49),0),"")</f>
        <v>6</v>
      </c>
      <c r="AK38" s="650">
        <f>+IFERROR(RANK(Z38,(Z$6:Z$8,Z$33:Z$49),0),"")</f>
        <v>6</v>
      </c>
      <c r="AL38" s="650">
        <f>+IFERROR(RANK(AA38,(AA$6:AA$8,AA$33:AA$49),0),"")</f>
        <v>5</v>
      </c>
      <c r="AM38" s="650">
        <f>+IFERROR(RANK(AB38,(AB$6:AB$8,AB$33:AB$49),0),"")</f>
        <v>5</v>
      </c>
      <c r="AN38" s="650">
        <f>+IFERROR(RANK(AC38,(AC$6:AC$8,AC$33:AC$49),0),"")</f>
        <v>5</v>
      </c>
      <c r="AO38" s="2"/>
    </row>
    <row r="39" spans="1:41" s="115" customFormat="1" ht="12.75" customHeight="1">
      <c r="A39" s="201" t="s">
        <v>80</v>
      </c>
      <c r="B39" s="307" t="s">
        <v>168</v>
      </c>
      <c r="C39" s="335">
        <v>67783</v>
      </c>
      <c r="D39" s="335">
        <v>68812</v>
      </c>
      <c r="E39" s="335">
        <v>72936</v>
      </c>
      <c r="F39" s="335">
        <v>79205</v>
      </c>
      <c r="G39" s="335">
        <v>86973</v>
      </c>
      <c r="H39" s="335">
        <v>94794</v>
      </c>
      <c r="I39" s="335">
        <v>102655</v>
      </c>
      <c r="J39" s="335">
        <v>109224</v>
      </c>
      <c r="K39" s="335">
        <v>127560</v>
      </c>
      <c r="L39" s="335">
        <v>130681</v>
      </c>
      <c r="M39" s="335">
        <v>136793</v>
      </c>
      <c r="O39" s="559">
        <f t="shared" si="5"/>
        <v>2.7574656359240621</v>
      </c>
      <c r="P39" s="559">
        <f t="shared" si="6"/>
        <v>4.0783379087788925</v>
      </c>
      <c r="Q39" s="2"/>
      <c r="R39" s="2"/>
      <c r="S39" s="559">
        <f t="shared" si="7"/>
        <v>2.7574656359240621</v>
      </c>
      <c r="T39" s="559">
        <f t="shared" si="7"/>
        <v>2.7116394558278851</v>
      </c>
      <c r="U39" s="559">
        <f t="shared" si="7"/>
        <v>2.7607205217116801</v>
      </c>
      <c r="V39" s="559">
        <f t="shared" si="7"/>
        <v>2.8619475696842049</v>
      </c>
      <c r="W39" s="559">
        <f t="shared" si="7"/>
        <v>3.022080545727849</v>
      </c>
      <c r="X39" s="559">
        <f t="shared" si="7"/>
        <v>3.2347579681431244</v>
      </c>
      <c r="Y39" s="559">
        <f t="shared" si="7"/>
        <v>3.536382661717465</v>
      </c>
      <c r="Z39" s="559">
        <f t="shared" si="7"/>
        <v>3.7375489461709321</v>
      </c>
      <c r="AA39" s="559">
        <f t="shared" si="7"/>
        <v>4.0519073601073901</v>
      </c>
      <c r="AB39" s="559">
        <f t="shared" si="7"/>
        <v>3.9646749798400185</v>
      </c>
      <c r="AC39" s="559">
        <f t="shared" si="7"/>
        <v>4.0783379087788925</v>
      </c>
      <c r="AD39" s="650">
        <f>+IFERROR(RANK(S39,(S$6:S$8,S$33:S$49),0),"")</f>
        <v>10</v>
      </c>
      <c r="AE39" s="650">
        <f>+IFERROR(RANK(T39,(T$6:T$8,T$33:T$49),0),"")</f>
        <v>10</v>
      </c>
      <c r="AF39" s="650">
        <f>+IFERROR(RANK(U39,(U$6:U$8,U$33:U$49),0),"")</f>
        <v>10</v>
      </c>
      <c r="AG39" s="650">
        <f>+IFERROR(RANK(V39,(V$6:V$8,V$33:V$49),0),"")</f>
        <v>9</v>
      </c>
      <c r="AH39" s="650">
        <f>+IFERROR(RANK(W39,(W$6:W$8,W$33:W$49),0),"")</f>
        <v>9</v>
      </c>
      <c r="AI39" s="650">
        <f>+IFERROR(RANK(X39,(X$6:X$8,X$33:X$49),0),"")</f>
        <v>9</v>
      </c>
      <c r="AJ39" s="650">
        <f>+IFERROR(RANK(Y39,(Y$6:Y$8,Y$33:Y$49),0),"")</f>
        <v>9</v>
      </c>
      <c r="AK39" s="650">
        <f>+IFERROR(RANK(Z39,(Z$6:Z$8,Z$33:Z$49),0),"")</f>
        <v>9</v>
      </c>
      <c r="AL39" s="650">
        <f>+IFERROR(RANK(AA39,(AA$6:AA$8,AA$33:AA$49),0),"")</f>
        <v>9</v>
      </c>
      <c r="AM39" s="650">
        <f>+IFERROR(RANK(AB39,(AB$6:AB$8,AB$33:AB$49),0),"")</f>
        <v>9</v>
      </c>
      <c r="AN39" s="650">
        <f>+IFERROR(RANK(AC39,(AC$6:AC$8,AC$33:AC$49),0),"")</f>
        <v>9</v>
      </c>
      <c r="AO39" s="2"/>
    </row>
    <row r="40" spans="1:41" ht="12.75" customHeight="1">
      <c r="A40" s="201" t="s">
        <v>81</v>
      </c>
      <c r="B40" s="307" t="s">
        <v>163</v>
      </c>
      <c r="C40" s="335">
        <v>79315</v>
      </c>
      <c r="D40" s="335">
        <v>77783</v>
      </c>
      <c r="E40" s="335">
        <v>76080</v>
      </c>
      <c r="F40" s="335">
        <v>74708</v>
      </c>
      <c r="G40" s="335">
        <v>75395</v>
      </c>
      <c r="H40" s="335">
        <v>69033</v>
      </c>
      <c r="I40" s="335">
        <v>75376</v>
      </c>
      <c r="J40" s="335">
        <v>74155</v>
      </c>
      <c r="K40" s="335">
        <v>76725</v>
      </c>
      <c r="L40" s="335">
        <v>79929</v>
      </c>
      <c r="M40" s="335">
        <v>81427</v>
      </c>
      <c r="O40" s="559">
        <f t="shared" si="5"/>
        <v>3.2265964462080015</v>
      </c>
      <c r="P40" s="559">
        <f t="shared" si="6"/>
        <v>2.4276594628244057</v>
      </c>
      <c r="S40" s="559">
        <f t="shared" si="7"/>
        <v>3.2265964462080015</v>
      </c>
      <c r="T40" s="559">
        <f t="shared" si="7"/>
        <v>3.065155086215491</v>
      </c>
      <c r="U40" s="559">
        <f t="shared" si="7"/>
        <v>2.8797249272214627</v>
      </c>
      <c r="V40" s="559">
        <f t="shared" si="7"/>
        <v>2.6994555777535201</v>
      </c>
      <c r="W40" s="559">
        <f t="shared" si="7"/>
        <v>2.6197758240505808</v>
      </c>
      <c r="X40" s="559">
        <f t="shared" si="7"/>
        <v>2.3556875626603406</v>
      </c>
      <c r="Y40" s="559">
        <f t="shared" si="7"/>
        <v>2.5966429254260937</v>
      </c>
      <c r="Z40" s="559">
        <f t="shared" si="7"/>
        <v>2.537518696470606</v>
      </c>
      <c r="AA40" s="559">
        <f t="shared" si="7"/>
        <v>2.4371479476657223</v>
      </c>
      <c r="AB40" s="559">
        <f t="shared" si="7"/>
        <v>2.4249317533813857</v>
      </c>
      <c r="AC40" s="559">
        <f t="shared" si="7"/>
        <v>2.4276594628244053</v>
      </c>
      <c r="AD40" s="650">
        <f>+IFERROR(RANK(S40,(S$6:S$8,S$33:S$49),0),"")</f>
        <v>9</v>
      </c>
      <c r="AE40" s="650">
        <f>+IFERROR(RANK(T40,(T$6:T$8,T$33:T$49),0),"")</f>
        <v>9</v>
      </c>
      <c r="AF40" s="650">
        <f>+IFERROR(RANK(U40,(U$6:U$8,U$33:U$49),0),"")</f>
        <v>9</v>
      </c>
      <c r="AG40" s="650">
        <f>+IFERROR(RANK(V40,(V$6:V$8,V$33:V$49),0),"")</f>
        <v>10</v>
      </c>
      <c r="AH40" s="650">
        <f>+IFERROR(RANK(W40,(W$6:W$8,W$33:W$49),0),"")</f>
        <v>10</v>
      </c>
      <c r="AI40" s="650">
        <f>+IFERROR(RANK(X40,(X$6:X$8,X$33:X$49),0),"")</f>
        <v>10</v>
      </c>
      <c r="AJ40" s="650">
        <f>+IFERROR(RANK(Y40,(Y$6:Y$8,Y$33:Y$49),0),"")</f>
        <v>10</v>
      </c>
      <c r="AK40" s="650">
        <f>+IFERROR(RANK(Z40,(Z$6:Z$8,Z$33:Z$49),0),"")</f>
        <v>10</v>
      </c>
      <c r="AL40" s="650">
        <f>+IFERROR(RANK(AA40,(AA$6:AA$8,AA$33:AA$49),0),"")</f>
        <v>10</v>
      </c>
      <c r="AM40" s="650">
        <f>+IFERROR(RANK(AB40,(AB$6:AB$8,AB$33:AB$49),0),"")</f>
        <v>10</v>
      </c>
      <c r="AN40" s="650">
        <f>+IFERROR(RANK(AC40,(AC$6:AC$8,AC$33:AC$49),0),"")</f>
        <v>10</v>
      </c>
    </row>
    <row r="41" spans="1:41" ht="12.75" customHeight="1">
      <c r="A41" s="201" t="s">
        <v>82</v>
      </c>
      <c r="B41" s="307" t="s">
        <v>102</v>
      </c>
      <c r="C41" s="335">
        <v>16356</v>
      </c>
      <c r="D41" s="335">
        <v>17668</v>
      </c>
      <c r="E41" s="335">
        <v>18643</v>
      </c>
      <c r="F41" s="335">
        <v>20754</v>
      </c>
      <c r="G41" s="335">
        <v>23132</v>
      </c>
      <c r="H41" s="335">
        <v>24348</v>
      </c>
      <c r="I41" s="335">
        <v>24974</v>
      </c>
      <c r="J41" s="335">
        <v>26345</v>
      </c>
      <c r="K41" s="335">
        <v>28809</v>
      </c>
      <c r="L41" s="335">
        <v>31375</v>
      </c>
      <c r="M41" s="335">
        <v>32991</v>
      </c>
      <c r="O41" s="559">
        <f t="shared" si="5"/>
        <v>0.66537491614673239</v>
      </c>
      <c r="P41" s="559">
        <f t="shared" si="6"/>
        <v>0.98359160153315195</v>
      </c>
      <c r="S41" s="559">
        <f t="shared" si="7"/>
        <v>0.66537491614673239</v>
      </c>
      <c r="T41" s="559">
        <f t="shared" si="7"/>
        <v>0.69623388225261684</v>
      </c>
      <c r="U41" s="559">
        <f t="shared" si="7"/>
        <v>0.70566130150091655</v>
      </c>
      <c r="V41" s="559">
        <f t="shared" si="7"/>
        <v>0.74991300879017719</v>
      </c>
      <c r="W41" s="559">
        <f t="shared" si="7"/>
        <v>0.80377550715482515</v>
      </c>
      <c r="X41" s="559">
        <f t="shared" si="7"/>
        <v>0.83085308150672821</v>
      </c>
      <c r="Y41" s="559">
        <f t="shared" si="7"/>
        <v>0.86033432948937671</v>
      </c>
      <c r="Z41" s="559">
        <f t="shared" si="7"/>
        <v>0.90150266412943314</v>
      </c>
      <c r="AA41" s="559">
        <f t="shared" si="7"/>
        <v>0.91510974551061308</v>
      </c>
      <c r="AB41" s="559">
        <f t="shared" si="7"/>
        <v>0.95187270905855159</v>
      </c>
      <c r="AC41" s="559">
        <f t="shared" si="7"/>
        <v>0.98359160153315195</v>
      </c>
      <c r="AD41" s="650">
        <f>+IFERROR(RANK(S41,(S$6:S$8,S$33:S$49),0),"")</f>
        <v>16</v>
      </c>
      <c r="AE41" s="650">
        <f>+IFERROR(RANK(T41,(T$6:T$8,T$33:T$49),0),"")</f>
        <v>16</v>
      </c>
      <c r="AF41" s="650">
        <f>+IFERROR(RANK(U41,(U$6:U$8,U$33:U$49),0),"")</f>
        <v>16</v>
      </c>
      <c r="AG41" s="650">
        <f>+IFERROR(RANK(V41,(V$6:V$8,V$33:V$49),0),"")</f>
        <v>16</v>
      </c>
      <c r="AH41" s="650">
        <f>+IFERROR(RANK(W41,(W$6:W$8,W$33:W$49),0),"")</f>
        <v>16</v>
      </c>
      <c r="AI41" s="650">
        <f>+IFERROR(RANK(X41,(X$6:X$8,X$33:X$49),0),"")</f>
        <v>16</v>
      </c>
      <c r="AJ41" s="650">
        <f>+IFERROR(RANK(Y41,(Y$6:Y$8,Y$33:Y$49),0),"")</f>
        <v>16</v>
      </c>
      <c r="AK41" s="650">
        <f>+IFERROR(RANK(Z41,(Z$6:Z$8,Z$33:Z$49),0),"")</f>
        <v>16</v>
      </c>
      <c r="AL41" s="650">
        <f>+IFERROR(RANK(AA41,(AA$6:AA$8,AA$33:AA$49),0),"")</f>
        <v>15</v>
      </c>
      <c r="AM41" s="650">
        <f>+IFERROR(RANK(AB41,(AB$6:AB$8,AB$33:AB$49),0),"")</f>
        <v>15</v>
      </c>
      <c r="AN41" s="650">
        <f>+IFERROR(RANK(AC41,(AC$6:AC$8,AC$33:AC$49),0),"")</f>
        <v>15</v>
      </c>
    </row>
    <row r="42" spans="1:41" ht="12.75" customHeight="1">
      <c r="A42" s="201" t="s">
        <v>53</v>
      </c>
      <c r="B42" s="307" t="s">
        <v>172</v>
      </c>
      <c r="C42" s="335">
        <v>105085</v>
      </c>
      <c r="D42" s="335">
        <v>109770</v>
      </c>
      <c r="E42" s="335">
        <v>111974</v>
      </c>
      <c r="F42" s="335">
        <v>113617</v>
      </c>
      <c r="G42" s="335">
        <v>123636</v>
      </c>
      <c r="H42" s="335">
        <v>132611</v>
      </c>
      <c r="I42" s="335">
        <v>134408</v>
      </c>
      <c r="J42" s="335">
        <v>139839</v>
      </c>
      <c r="K42" s="335">
        <v>159252</v>
      </c>
      <c r="L42" s="335">
        <v>173417</v>
      </c>
      <c r="M42" s="335">
        <v>184737</v>
      </c>
      <c r="O42" s="559">
        <f t="shared" si="5"/>
        <v>4.2749402704377211</v>
      </c>
      <c r="P42" s="559">
        <f t="shared" si="6"/>
        <v>5.5077373129771718</v>
      </c>
      <c r="S42" s="559">
        <f t="shared" si="7"/>
        <v>4.2749402704377211</v>
      </c>
      <c r="T42" s="559">
        <f t="shared" si="7"/>
        <v>4.3256505125011184</v>
      </c>
      <c r="U42" s="559">
        <f t="shared" si="7"/>
        <v>4.2383585567914839</v>
      </c>
      <c r="V42" s="559">
        <f t="shared" si="7"/>
        <v>4.1053708354877889</v>
      </c>
      <c r="W42" s="559">
        <f t="shared" si="7"/>
        <v>4.296022332811428</v>
      </c>
      <c r="X42" s="559">
        <f t="shared" si="7"/>
        <v>4.525228273028123</v>
      </c>
      <c r="Y42" s="559">
        <f t="shared" si="7"/>
        <v>4.6302481203655059</v>
      </c>
      <c r="Z42" s="559">
        <f t="shared" si="7"/>
        <v>4.7851672442283473</v>
      </c>
      <c r="AA42" s="559">
        <f t="shared" si="7"/>
        <v>5.0585947860757452</v>
      </c>
      <c r="AB42" s="559">
        <f t="shared" si="7"/>
        <v>5.2612242099380673</v>
      </c>
      <c r="AC42" s="559">
        <f t="shared" si="7"/>
        <v>5.5077373129771718</v>
      </c>
      <c r="AD42" s="650">
        <f>+IFERROR(RANK(S42,(S$6:S$8,S$33:S$49),0),"")</f>
        <v>8</v>
      </c>
      <c r="AE42" s="650">
        <f>+IFERROR(RANK(T42,(T$6:T$8,T$33:T$49),0),"")</f>
        <v>8</v>
      </c>
      <c r="AF42" s="650">
        <f>+IFERROR(RANK(U42,(U$6:U$8,U$33:U$49),0),"")</f>
        <v>8</v>
      </c>
      <c r="AG42" s="650">
        <f>+IFERROR(RANK(V42,(V$6:V$8,V$33:V$49),0),"")</f>
        <v>8</v>
      </c>
      <c r="AH42" s="650">
        <f>+IFERROR(RANK(W42,(W$6:W$8,W$33:W$49),0),"")</f>
        <v>8</v>
      </c>
      <c r="AI42" s="650">
        <f>+IFERROR(RANK(X42,(X$6:X$8,X$33:X$49),0),"")</f>
        <v>8</v>
      </c>
      <c r="AJ42" s="650">
        <f>+IFERROR(RANK(Y42,(Y$6:Y$8,Y$33:Y$49),0),"")</f>
        <v>8</v>
      </c>
      <c r="AK42" s="650">
        <f>+IFERROR(RANK(Z42,(Z$6:Z$8,Z$33:Z$49),0),"")</f>
        <v>8</v>
      </c>
      <c r="AL42" s="650">
        <f>+IFERROR(RANK(AA42,(AA$6:AA$8,AA$33:AA$49),0),"")</f>
        <v>7</v>
      </c>
      <c r="AM42" s="650">
        <f>+IFERROR(RANK(AB42,(AB$6:AB$8,AB$33:AB$49),0),"")</f>
        <v>7</v>
      </c>
      <c r="AN42" s="650">
        <f>+IFERROR(RANK(AC42,(AC$6:AC$8,AC$33:AC$49),0),"")</f>
        <v>7</v>
      </c>
    </row>
    <row r="43" spans="1:41" ht="12.75" customHeight="1">
      <c r="A43" s="201" t="s">
        <v>84</v>
      </c>
      <c r="B43" s="307" t="s">
        <v>166</v>
      </c>
      <c r="C43" s="335">
        <v>238916</v>
      </c>
      <c r="D43" s="335">
        <v>246451</v>
      </c>
      <c r="E43" s="335">
        <v>268226</v>
      </c>
      <c r="F43" s="335">
        <v>294174</v>
      </c>
      <c r="G43" s="335">
        <v>293550</v>
      </c>
      <c r="H43" s="335">
        <v>293948</v>
      </c>
      <c r="I43" s="335">
        <v>285919</v>
      </c>
      <c r="J43" s="335">
        <v>275843</v>
      </c>
      <c r="K43" s="335">
        <v>307876</v>
      </c>
      <c r="L43" s="335">
        <v>323487</v>
      </c>
      <c r="M43" s="335">
        <v>325009</v>
      </c>
      <c r="O43" s="559">
        <f t="shared" si="5"/>
        <v>9.7192903806623079</v>
      </c>
      <c r="P43" s="559">
        <f t="shared" si="6"/>
        <v>9.6897979092082132</v>
      </c>
      <c r="S43" s="559">
        <f t="shared" si="7"/>
        <v>9.7192903806623079</v>
      </c>
      <c r="T43" s="559">
        <f t="shared" si="7"/>
        <v>9.7117691031831388</v>
      </c>
      <c r="U43" s="559">
        <f t="shared" si="7"/>
        <v>10.15269582451241</v>
      </c>
      <c r="V43" s="559">
        <f t="shared" si="7"/>
        <v>10.629512838384967</v>
      </c>
      <c r="W43" s="559">
        <f t="shared" si="7"/>
        <v>10.200082142715672</v>
      </c>
      <c r="X43" s="559">
        <f t="shared" si="7"/>
        <v>10.030704846506479</v>
      </c>
      <c r="Y43" s="559">
        <f t="shared" si="7"/>
        <v>9.8496809142817767</v>
      </c>
      <c r="Z43" s="559">
        <f t="shared" si="7"/>
        <v>9.4391041708656385</v>
      </c>
      <c r="AA43" s="559">
        <f t="shared" si="7"/>
        <v>9.779594154910809</v>
      </c>
      <c r="AB43" s="559">
        <f t="shared" si="7"/>
        <v>9.8141337700469702</v>
      </c>
      <c r="AC43" s="559">
        <f t="shared" si="7"/>
        <v>9.6897979092082132</v>
      </c>
      <c r="AD43" s="650">
        <f>+IFERROR(RANK(S43,(S$6:S$8,S$33:S$49),0),"")</f>
        <v>3</v>
      </c>
      <c r="AE43" s="650">
        <f>+IFERROR(RANK(T43,(T$6:T$8,T$33:T$49),0),"")</f>
        <v>3</v>
      </c>
      <c r="AF43" s="650">
        <f>+IFERROR(RANK(U43,(U$6:U$8,U$33:U$49),0),"")</f>
        <v>3</v>
      </c>
      <c r="AG43" s="650">
        <f>+IFERROR(RANK(V43,(V$6:V$8,V$33:V$49),0),"")</f>
        <v>3</v>
      </c>
      <c r="AH43" s="650">
        <f>+IFERROR(RANK(W43,(W$6:W$8,W$33:W$49),0),"")</f>
        <v>3</v>
      </c>
      <c r="AI43" s="650">
        <f>+IFERROR(RANK(X43,(X$6:X$8,X$33:X$49),0),"")</f>
        <v>3</v>
      </c>
      <c r="AJ43" s="650">
        <f>+IFERROR(RANK(Y43,(Y$6:Y$8,Y$33:Y$49),0),"")</f>
        <v>3</v>
      </c>
      <c r="AK43" s="650">
        <f>+IFERROR(RANK(Z43,(Z$6:Z$8,Z$33:Z$49),0),"")</f>
        <v>4</v>
      </c>
      <c r="AL43" s="650">
        <f>+IFERROR(RANK(AA43,(AA$6:AA$8,AA$33:AA$49),0),"")</f>
        <v>3</v>
      </c>
      <c r="AM43" s="650">
        <f>+IFERROR(RANK(AB43,(AB$6:AB$8,AB$33:AB$49),0),"")</f>
        <v>3</v>
      </c>
      <c r="AN43" s="650">
        <f>+IFERROR(RANK(AC43,(AC$6:AC$8,AC$33:AC$49),0),"")</f>
        <v>3</v>
      </c>
    </row>
    <row r="44" spans="1:41" ht="12.75" customHeight="1">
      <c r="A44" s="201" t="s">
        <v>85</v>
      </c>
      <c r="B44" s="307" t="s">
        <v>167</v>
      </c>
      <c r="C44" s="335">
        <v>10787</v>
      </c>
      <c r="D44" s="335">
        <v>10612</v>
      </c>
      <c r="E44" s="335">
        <v>10688</v>
      </c>
      <c r="F44" s="335">
        <v>11236</v>
      </c>
      <c r="G44" s="335">
        <v>11602</v>
      </c>
      <c r="H44" s="335">
        <v>11794</v>
      </c>
      <c r="I44" s="335">
        <v>12327</v>
      </c>
      <c r="J44" s="335">
        <v>11997</v>
      </c>
      <c r="K44" s="335">
        <v>13111</v>
      </c>
      <c r="L44" s="335">
        <v>14202</v>
      </c>
      <c r="M44" s="335">
        <v>14524</v>
      </c>
      <c r="O44" s="559">
        <f t="shared" si="5"/>
        <v>0.43882362560985583</v>
      </c>
      <c r="P44" s="559">
        <f t="shared" si="6"/>
        <v>0.43301762361454632</v>
      </c>
      <c r="S44" s="559">
        <f t="shared" si="7"/>
        <v>0.43882362560985583</v>
      </c>
      <c r="T44" s="559">
        <f t="shared" si="7"/>
        <v>0.41818168205030398</v>
      </c>
      <c r="U44" s="559">
        <f t="shared" si="7"/>
        <v>0.40455441669483433</v>
      </c>
      <c r="V44" s="559">
        <f t="shared" si="7"/>
        <v>0.40599511259354493</v>
      </c>
      <c r="W44" s="559">
        <f t="shared" si="7"/>
        <v>0.40313865787697911</v>
      </c>
      <c r="X44" s="559">
        <f t="shared" si="7"/>
        <v>0.40245939063949204</v>
      </c>
      <c r="Y44" s="559">
        <f t="shared" si="7"/>
        <v>0.42465529268901847</v>
      </c>
      <c r="Z44" s="559">
        <f t="shared" si="7"/>
        <v>0.41052675883700168</v>
      </c>
      <c r="AA44" s="559">
        <f t="shared" si="7"/>
        <v>0.41646721071157095</v>
      </c>
      <c r="AB44" s="559">
        <f t="shared" si="7"/>
        <v>0.43086840522867093</v>
      </c>
      <c r="AC44" s="559">
        <f t="shared" si="7"/>
        <v>0.43301762361454632</v>
      </c>
      <c r="AD44" s="650">
        <f>+IFERROR(RANK(S44,(S$6:S$8,S$33:S$49),0),"")</f>
        <v>17</v>
      </c>
      <c r="AE44" s="650">
        <f>+IFERROR(RANK(T44,(T$6:T$8,T$33:T$49),0),"")</f>
        <v>17</v>
      </c>
      <c r="AF44" s="650">
        <f>+IFERROR(RANK(U44,(U$6:U$8,U$33:U$49),0),"")</f>
        <v>17</v>
      </c>
      <c r="AG44" s="650">
        <f>+IFERROR(RANK(V44,(V$6:V$8,V$33:V$49),0),"")</f>
        <v>17</v>
      </c>
      <c r="AH44" s="650">
        <f>+IFERROR(RANK(W44,(W$6:W$8,W$33:W$49),0),"")</f>
        <v>17</v>
      </c>
      <c r="AI44" s="650">
        <f>+IFERROR(RANK(X44,(X$6:X$8,X$33:X$49),0),"")</f>
        <v>17</v>
      </c>
      <c r="AJ44" s="650">
        <f>+IFERROR(RANK(Y44,(Y$6:Y$8,Y$33:Y$49),0),"")</f>
        <v>17</v>
      </c>
      <c r="AK44" s="650">
        <f>+IFERROR(RANK(Z44,(Z$6:Z$8,Z$33:Z$49),0),"")</f>
        <v>17</v>
      </c>
      <c r="AL44" s="650">
        <f>+IFERROR(RANK(AA44,(AA$6:AA$8,AA$33:AA$49),0),"")</f>
        <v>17</v>
      </c>
      <c r="AM44" s="650">
        <f>+IFERROR(RANK(AB44,(AB$6:AB$8,AB$33:AB$49),0),"")</f>
        <v>17</v>
      </c>
      <c r="AN44" s="650">
        <f>+IFERROR(RANK(AC44,(AC$6:AC$8,AC$33:AC$49),0),"")</f>
        <v>17</v>
      </c>
    </row>
    <row r="45" spans="1:41" ht="12.75" customHeight="1">
      <c r="A45" s="201" t="s">
        <v>93</v>
      </c>
      <c r="B45" s="307" t="s">
        <v>83</v>
      </c>
      <c r="C45" s="335">
        <v>50957</v>
      </c>
      <c r="D45" s="335">
        <v>53876</v>
      </c>
      <c r="E45" s="335">
        <v>53906</v>
      </c>
      <c r="F45" s="335">
        <v>53502</v>
      </c>
      <c r="G45" s="335">
        <v>57690</v>
      </c>
      <c r="H45" s="335">
        <v>58269</v>
      </c>
      <c r="I45" s="335">
        <v>59807</v>
      </c>
      <c r="J45" s="335">
        <v>58921</v>
      </c>
      <c r="K45" s="335">
        <v>62076</v>
      </c>
      <c r="L45" s="335">
        <v>66613</v>
      </c>
      <c r="M45" s="335">
        <v>69990</v>
      </c>
      <c r="O45" s="559">
        <f t="shared" si="5"/>
        <v>2.0729707509225386</v>
      </c>
      <c r="P45" s="559">
        <f t="shared" si="6"/>
        <v>2.0866774632871179</v>
      </c>
      <c r="S45" s="559">
        <f t="shared" si="7"/>
        <v>2.0729707509225386</v>
      </c>
      <c r="T45" s="559">
        <f t="shared" si="7"/>
        <v>2.1230641068735561</v>
      </c>
      <c r="U45" s="559">
        <f t="shared" ref="U45:AC49" si="8">E45*100/E$5</f>
        <v>2.0404107771661431</v>
      </c>
      <c r="V45" s="559">
        <f t="shared" si="8"/>
        <v>1.9332102629031542</v>
      </c>
      <c r="W45" s="559">
        <f t="shared" si="8"/>
        <v>2.0045741400554151</v>
      </c>
      <c r="X45" s="559">
        <f t="shared" si="8"/>
        <v>1.9883759736452911</v>
      </c>
      <c r="Y45" s="559">
        <f t="shared" si="8"/>
        <v>2.0603033252090635</v>
      </c>
      <c r="Z45" s="559">
        <f t="shared" si="8"/>
        <v>2.0162246526160685</v>
      </c>
      <c r="AA45" s="559">
        <f t="shared" si="8"/>
        <v>1.9718266014897017</v>
      </c>
      <c r="AB45" s="559">
        <f t="shared" si="8"/>
        <v>2.0209433232993561</v>
      </c>
      <c r="AC45" s="559">
        <f t="shared" si="8"/>
        <v>2.0866774632871179</v>
      </c>
      <c r="AD45" s="650">
        <f>+IFERROR(RANK(S45,(S$6:S$8,S$33:S$49),0),"")</f>
        <v>13</v>
      </c>
      <c r="AE45" s="650">
        <f>+IFERROR(RANK(T45,(T$6:T$8,T$33:T$49),0),"")</f>
        <v>13</v>
      </c>
      <c r="AF45" s="650">
        <f>+IFERROR(RANK(U45,(U$6:U$8,U$33:U$49),0),"")</f>
        <v>13</v>
      </c>
      <c r="AG45" s="650">
        <f>+IFERROR(RANK(V45,(V$6:V$8,V$33:V$49),0),"")</f>
        <v>13</v>
      </c>
      <c r="AH45" s="650">
        <f>+IFERROR(RANK(W45,(W$6:W$8,W$33:W$49),0),"")</f>
        <v>13</v>
      </c>
      <c r="AI45" s="650">
        <f>+IFERROR(RANK(X45,(X$6:X$8,X$33:X$49),0),"")</f>
        <v>13</v>
      </c>
      <c r="AJ45" s="650">
        <f>+IFERROR(RANK(Y45,(Y$6:Y$8,Y$33:Y$49),0),"")</f>
        <v>12</v>
      </c>
      <c r="AK45" s="650">
        <f>+IFERROR(RANK(Z45,(Z$6:Z$8,Z$33:Z$49),0),"")</f>
        <v>12</v>
      </c>
      <c r="AL45" s="650">
        <f>+IFERROR(RANK(AA45,(AA$6:AA$8,AA$33:AA$49),0),"")</f>
        <v>12</v>
      </c>
      <c r="AM45" s="650">
        <f>+IFERROR(RANK(AB45,(AB$6:AB$8,AB$33:AB$49),0),"")</f>
        <v>12</v>
      </c>
      <c r="AN45" s="650">
        <f>+IFERROR(RANK(AC45,(AC$6:AC$8,AC$33:AC$49),0),"")</f>
        <v>12</v>
      </c>
    </row>
    <row r="46" spans="1:41" ht="12.75" customHeight="1">
      <c r="A46" s="201" t="s">
        <v>86</v>
      </c>
      <c r="B46" s="307" t="s">
        <v>138</v>
      </c>
      <c r="C46" s="335">
        <v>221126</v>
      </c>
      <c r="D46" s="335">
        <v>232717</v>
      </c>
      <c r="E46" s="335">
        <v>246800</v>
      </c>
      <c r="F46" s="335">
        <v>257306</v>
      </c>
      <c r="G46" s="335">
        <v>263021</v>
      </c>
      <c r="H46" s="335">
        <v>269760</v>
      </c>
      <c r="I46" s="335">
        <v>280115</v>
      </c>
      <c r="J46" s="335">
        <v>286750</v>
      </c>
      <c r="K46" s="335">
        <v>299622</v>
      </c>
      <c r="L46" s="335">
        <v>309289</v>
      </c>
      <c r="M46" s="335">
        <v>316504</v>
      </c>
      <c r="O46" s="559">
        <f t="shared" si="5"/>
        <v>8.9955792191160633</v>
      </c>
      <c r="P46" s="559">
        <f t="shared" si="6"/>
        <v>9.436230373485154</v>
      </c>
      <c r="S46" s="559">
        <f t="shared" ref="S46:T49" si="9">C46*100/C$5</f>
        <v>8.9955792191160633</v>
      </c>
      <c r="T46" s="559">
        <f t="shared" si="9"/>
        <v>9.1705603563607792</v>
      </c>
      <c r="U46" s="559">
        <f t="shared" si="8"/>
        <v>9.3416944274218849</v>
      </c>
      <c r="V46" s="559">
        <f t="shared" si="8"/>
        <v>9.297345891864957</v>
      </c>
      <c r="W46" s="559">
        <f t="shared" si="8"/>
        <v>9.1392805493415725</v>
      </c>
      <c r="X46" s="559">
        <f t="shared" si="8"/>
        <v>9.2053116176792766</v>
      </c>
      <c r="Y46" s="559">
        <f t="shared" si="8"/>
        <v>9.6497377554623505</v>
      </c>
      <c r="Z46" s="559">
        <f t="shared" si="8"/>
        <v>9.8123320910652865</v>
      </c>
      <c r="AA46" s="559">
        <f t="shared" si="8"/>
        <v>9.5174081769370993</v>
      </c>
      <c r="AB46" s="559">
        <f t="shared" si="8"/>
        <v>9.3833867191079001</v>
      </c>
      <c r="AC46" s="559">
        <f t="shared" si="8"/>
        <v>9.436230373485154</v>
      </c>
      <c r="AD46" s="650">
        <f>+IFERROR(RANK(S46,(S$6:S$8,S$33:S$49),0),"")</f>
        <v>4</v>
      </c>
      <c r="AE46" s="650">
        <f>+IFERROR(RANK(T46,(T$6:T$8,T$33:T$49),0),"")</f>
        <v>4</v>
      </c>
      <c r="AF46" s="650">
        <f>+IFERROR(RANK(U46,(U$6:U$8,U$33:U$49),0),"")</f>
        <v>4</v>
      </c>
      <c r="AG46" s="650">
        <f>+IFERROR(RANK(V46,(V$6:V$8,V$33:V$49),0),"")</f>
        <v>4</v>
      </c>
      <c r="AH46" s="650">
        <f>+IFERROR(RANK(W46,(W$6:W$8,W$33:W$49),0),"")</f>
        <v>4</v>
      </c>
      <c r="AI46" s="650">
        <f>+IFERROR(RANK(X46,(X$6:X$8,X$33:X$49),0),"")</f>
        <v>4</v>
      </c>
      <c r="AJ46" s="650">
        <f>+IFERROR(RANK(Y46,(Y$6:Y$8,Y$33:Y$49),0),"")</f>
        <v>4</v>
      </c>
      <c r="AK46" s="650">
        <f>+IFERROR(RANK(Z46,(Z$6:Z$8,Z$33:Z$49),0),"")</f>
        <v>3</v>
      </c>
      <c r="AL46" s="650">
        <f>+IFERROR(RANK(AA46,(AA$6:AA$8,AA$33:AA$49),0),"")</f>
        <v>4</v>
      </c>
      <c r="AM46" s="650">
        <f>+IFERROR(RANK(AB46,(AB$6:AB$8,AB$33:AB$49),0),"")</f>
        <v>4</v>
      </c>
      <c r="AN46" s="650">
        <f>+IFERROR(RANK(AC46,(AC$6:AC$8,AC$33:AC$49),0),"")</f>
        <v>4</v>
      </c>
    </row>
    <row r="47" spans="1:41" ht="12.75" customHeight="1">
      <c r="A47" s="201" t="s">
        <v>94</v>
      </c>
      <c r="B47" s="307" t="s">
        <v>164</v>
      </c>
      <c r="C47" s="335">
        <v>18760</v>
      </c>
      <c r="D47" s="335">
        <v>21039</v>
      </c>
      <c r="E47" s="335">
        <v>22077</v>
      </c>
      <c r="F47" s="335">
        <v>24123</v>
      </c>
      <c r="G47" s="335">
        <v>26529</v>
      </c>
      <c r="H47" s="335">
        <v>28069</v>
      </c>
      <c r="I47" s="335">
        <v>26263</v>
      </c>
      <c r="J47" s="335">
        <v>28680</v>
      </c>
      <c r="K47" s="335">
        <v>30827</v>
      </c>
      <c r="L47" s="335">
        <v>34107</v>
      </c>
      <c r="M47" s="335">
        <v>36494</v>
      </c>
      <c r="O47" s="559">
        <f t="shared" si="5"/>
        <v>0.7631715227997492</v>
      </c>
      <c r="P47" s="559">
        <f t="shared" si="6"/>
        <v>1.0880298234776407</v>
      </c>
      <c r="S47" s="559">
        <f t="shared" si="9"/>
        <v>0.7631715227997492</v>
      </c>
      <c r="T47" s="559">
        <f t="shared" si="9"/>
        <v>0.82907316327330804</v>
      </c>
      <c r="U47" s="559">
        <f t="shared" si="8"/>
        <v>0.83564257647566031</v>
      </c>
      <c r="V47" s="559">
        <f t="shared" si="8"/>
        <v>0.87164650241136377</v>
      </c>
      <c r="W47" s="559">
        <f t="shared" si="8"/>
        <v>0.92181222675559205</v>
      </c>
      <c r="X47" s="559">
        <f t="shared" si="8"/>
        <v>0.95782878038493324</v>
      </c>
      <c r="Y47" s="559">
        <f t="shared" si="8"/>
        <v>0.90473934873786743</v>
      </c>
      <c r="Z47" s="559">
        <f t="shared" si="8"/>
        <v>0.98140430469660822</v>
      </c>
      <c r="AA47" s="559">
        <f t="shared" si="8"/>
        <v>0.97921094535928599</v>
      </c>
      <c r="AB47" s="559">
        <f t="shared" si="8"/>
        <v>1.0347576888560963</v>
      </c>
      <c r="AC47" s="559">
        <f t="shared" si="8"/>
        <v>1.0880298234776407</v>
      </c>
      <c r="AD47" s="650">
        <f>+IFERROR(RANK(S47,(S$6:S$8,S$33:S$49),0),"")</f>
        <v>15</v>
      </c>
      <c r="AE47" s="650">
        <f>+IFERROR(RANK(T47,(T$6:T$8,T$33:T$49),0),"")</f>
        <v>14</v>
      </c>
      <c r="AF47" s="650">
        <f>+IFERROR(RANK(U47,(U$6:U$8,U$33:U$49),0),"")</f>
        <v>15</v>
      </c>
      <c r="AG47" s="650">
        <f>+IFERROR(RANK(V47,(V$6:V$8,V$33:V$49),0),"")</f>
        <v>14</v>
      </c>
      <c r="AH47" s="650">
        <f>+IFERROR(RANK(W47,(W$6:W$8,W$33:W$49),0),"")</f>
        <v>14</v>
      </c>
      <c r="AI47" s="650">
        <f>+IFERROR(RANK(X47,(X$6:X$8,X$33:X$49),0),"")</f>
        <v>14</v>
      </c>
      <c r="AJ47" s="650">
        <f>+IFERROR(RANK(Y47,(Y$6:Y$8,Y$33:Y$49),0),"")</f>
        <v>14</v>
      </c>
      <c r="AK47" s="650">
        <f>+IFERROR(RANK(Z47,(Z$6:Z$8,Z$33:Z$49),0),"")</f>
        <v>14</v>
      </c>
      <c r="AL47" s="650">
        <f>+IFERROR(RANK(AA47,(AA$6:AA$8,AA$33:AA$49),0),"")</f>
        <v>14</v>
      </c>
      <c r="AM47" s="650">
        <f>+IFERROR(RANK(AB47,(AB$6:AB$8,AB$33:AB$49),0),"")</f>
        <v>14</v>
      </c>
      <c r="AN47" s="650">
        <f>+IFERROR(RANK(AC47,(AC$6:AC$8,AC$33:AC$49),0),"")</f>
        <v>14</v>
      </c>
    </row>
    <row r="48" spans="1:41" ht="12.75" customHeight="1">
      <c r="A48" s="201" t="s">
        <v>95</v>
      </c>
      <c r="B48" s="307" t="s">
        <v>103</v>
      </c>
      <c r="C48" s="335">
        <v>62532</v>
      </c>
      <c r="D48" s="335">
        <v>60404</v>
      </c>
      <c r="E48" s="335">
        <v>61086</v>
      </c>
      <c r="F48" s="335">
        <v>58964</v>
      </c>
      <c r="G48" s="335">
        <v>61792</v>
      </c>
      <c r="H48" s="335">
        <v>59107</v>
      </c>
      <c r="I48" s="335">
        <v>57266</v>
      </c>
      <c r="J48" s="335">
        <v>56071</v>
      </c>
      <c r="K48" s="335">
        <v>59443</v>
      </c>
      <c r="L48" s="335">
        <v>59326</v>
      </c>
      <c r="M48" s="335">
        <v>57571</v>
      </c>
      <c r="O48" s="559">
        <f t="shared" si="5"/>
        <v>2.5438508349527678</v>
      </c>
      <c r="P48" s="559">
        <f t="shared" si="6"/>
        <v>1.7164181774382434</v>
      </c>
      <c r="S48" s="559">
        <f t="shared" si="9"/>
        <v>2.5438508349527678</v>
      </c>
      <c r="T48" s="559">
        <f t="shared" si="9"/>
        <v>2.3803096798498453</v>
      </c>
      <c r="U48" s="559">
        <f t="shared" si="8"/>
        <v>2.312182924608968</v>
      </c>
      <c r="V48" s="559">
        <f t="shared" si="8"/>
        <v>2.1305710056039322</v>
      </c>
      <c r="W48" s="559">
        <f t="shared" si="8"/>
        <v>2.147107735522694</v>
      </c>
      <c r="X48" s="559">
        <f t="shared" si="8"/>
        <v>2.0169719520543037</v>
      </c>
      <c r="Y48" s="559">
        <f t="shared" si="8"/>
        <v>1.9727679071249558</v>
      </c>
      <c r="Z48" s="559">
        <f t="shared" si="8"/>
        <v>1.9187001662706944</v>
      </c>
      <c r="AA48" s="559">
        <f t="shared" si="8"/>
        <v>1.8881901003987425</v>
      </c>
      <c r="AB48" s="559">
        <f t="shared" si="8"/>
        <v>1.7998661462185701</v>
      </c>
      <c r="AC48" s="559">
        <f t="shared" si="8"/>
        <v>1.7164181774382434</v>
      </c>
      <c r="AD48" s="650">
        <f>+IFERROR(RANK(S48,(S$6:S$8,S$33:S$49),0),"")</f>
        <v>11</v>
      </c>
      <c r="AE48" s="650">
        <f>+IFERROR(RANK(T48,(T$6:T$8,T$33:T$49),0),"")</f>
        <v>11</v>
      </c>
      <c r="AF48" s="650">
        <f>+IFERROR(RANK(U48,(U$6:U$8,U$33:U$49),0),"")</f>
        <v>11</v>
      </c>
      <c r="AG48" s="650">
        <f>+IFERROR(RANK(V48,(V$6:V$8,V$33:V$49),0),"")</f>
        <v>12</v>
      </c>
      <c r="AH48" s="650">
        <f>+IFERROR(RANK(W48,(W$6:W$8,W$33:W$49),0),"")</f>
        <v>12</v>
      </c>
      <c r="AI48" s="650">
        <f>+IFERROR(RANK(X48,(X$6:X$8,X$33:X$49),0),"")</f>
        <v>12</v>
      </c>
      <c r="AJ48" s="650">
        <f>+IFERROR(RANK(Y48,(Y$6:Y$8,Y$33:Y$49),0),"")</f>
        <v>13</v>
      </c>
      <c r="AK48" s="650">
        <f>+IFERROR(RANK(Z48,(Z$6:Z$8,Z$33:Z$49),0),"")</f>
        <v>13</v>
      </c>
      <c r="AL48" s="650">
        <f>+IFERROR(RANK(AA48,(AA$6:AA$8,AA$33:AA$49),0),"")</f>
        <v>13</v>
      </c>
      <c r="AM48" s="650">
        <f>+IFERROR(RANK(AB48,(AB$6:AB$8,AB$33:AB$49),0),"")</f>
        <v>13</v>
      </c>
      <c r="AN48" s="650">
        <f>+IFERROR(RANK(AC48,(AC$6:AC$8,AC$33:AC$49),0),"")</f>
        <v>13</v>
      </c>
    </row>
    <row r="49" spans="1:40" ht="12.75" customHeight="1">
      <c r="A49" s="34" t="s">
        <v>96</v>
      </c>
      <c r="B49" s="35" t="s">
        <v>165</v>
      </c>
      <c r="C49" s="337">
        <v>91</v>
      </c>
      <c r="D49" s="337">
        <v>89</v>
      </c>
      <c r="E49" s="337">
        <v>104</v>
      </c>
      <c r="F49" s="337">
        <v>92</v>
      </c>
      <c r="G49" s="337">
        <v>94</v>
      </c>
      <c r="H49" s="337">
        <v>100</v>
      </c>
      <c r="I49" s="337">
        <v>117</v>
      </c>
      <c r="J49" s="337">
        <v>107</v>
      </c>
      <c r="K49" s="337">
        <v>125</v>
      </c>
      <c r="L49" s="337">
        <v>145</v>
      </c>
      <c r="M49" s="337">
        <v>154</v>
      </c>
      <c r="O49" s="559">
        <f t="shared" si="5"/>
        <v>3.7019514165659477E-3</v>
      </c>
      <c r="P49" s="559">
        <f t="shared" si="6"/>
        <v>4.5913463258496377E-3</v>
      </c>
      <c r="S49" s="559">
        <f t="shared" si="9"/>
        <v>3.7019514165659477E-3</v>
      </c>
      <c r="T49" s="559">
        <f t="shared" si="9"/>
        <v>3.5071776952956138E-3</v>
      </c>
      <c r="U49" s="559">
        <f t="shared" si="8"/>
        <v>3.9365324977790762E-3</v>
      </c>
      <c r="V49" s="559">
        <f t="shared" si="8"/>
        <v>3.3242746848172063E-3</v>
      </c>
      <c r="W49" s="559">
        <f t="shared" si="8"/>
        <v>3.2662501155349111E-3</v>
      </c>
      <c r="X49" s="559">
        <f t="shared" si="8"/>
        <v>3.4124079247031718E-3</v>
      </c>
      <c r="Y49" s="559">
        <f t="shared" si="8"/>
        <v>4.03055644070862E-3</v>
      </c>
      <c r="Z49" s="559">
        <f t="shared" si="8"/>
        <v>3.6614456277035243E-3</v>
      </c>
      <c r="AA49" s="559">
        <f t="shared" si="8"/>
        <v>3.9705896833915318E-3</v>
      </c>
      <c r="AB49" s="559">
        <f t="shared" si="8"/>
        <v>4.3990929980395211E-3</v>
      </c>
      <c r="AC49" s="559">
        <f t="shared" si="8"/>
        <v>4.5913463258496377E-3</v>
      </c>
      <c r="AD49" s="650">
        <f>+IFERROR(RANK(S49,(S$6:S$8,S$33:S$49),0),"")</f>
        <v>20</v>
      </c>
      <c r="AE49" s="650">
        <f>+IFERROR(RANK(T49,(T$6:T$8,T$33:T$49),0),"")</f>
        <v>20</v>
      </c>
      <c r="AF49" s="650">
        <f>+IFERROR(RANK(U49,(U$6:U$8,U$33:U$49),0),"")</f>
        <v>20</v>
      </c>
      <c r="AG49" s="650">
        <f>+IFERROR(RANK(V49,(V$6:V$8,V$33:V$49),0),"")</f>
        <v>20</v>
      </c>
      <c r="AH49" s="650">
        <f>+IFERROR(RANK(W49,(W$6:W$8,W$33:W$49),0),"")</f>
        <v>20</v>
      </c>
      <c r="AI49" s="650">
        <f>+IFERROR(RANK(X49,(X$6:X$8,X$33:X$49),0),"")</f>
        <v>20</v>
      </c>
      <c r="AJ49" s="650">
        <f>+IFERROR(RANK(Y49,(Y$6:Y$8,Y$33:Y$49),0),"")</f>
        <v>20</v>
      </c>
      <c r="AK49" s="650">
        <f>+IFERROR(RANK(Z49,(Z$6:Z$8,Z$33:Z$49),0),"")</f>
        <v>20</v>
      </c>
      <c r="AL49" s="650">
        <f>+IFERROR(RANK(AA49,(AA$6:AA$8,AA$33:AA$49),0),"")</f>
        <v>20</v>
      </c>
      <c r="AM49" s="650">
        <f>+IFERROR(RANK(AB49,(AB$6:AB$8,AB$33:AB$49),0),"")</f>
        <v>20</v>
      </c>
      <c r="AN49" s="650">
        <f>+IFERROR(RANK(AC49,(AC$6:AC$8,AC$33:AC$49),0),"")</f>
        <v>20</v>
      </c>
    </row>
    <row r="50" spans="1:40" ht="15" customHeight="1">
      <c r="A50" s="19" t="s">
        <v>769</v>
      </c>
      <c r="C50" s="5"/>
      <c r="D50" s="5"/>
      <c r="E50" s="5"/>
      <c r="F50" s="5"/>
      <c r="G50" s="5"/>
      <c r="H50" s="5"/>
      <c r="I50" s="5"/>
      <c r="J50" s="5"/>
      <c r="K50" s="5"/>
      <c r="L50" s="5"/>
      <c r="M50" s="5"/>
      <c r="P50" s="559"/>
      <c r="Q50" s="559"/>
    </row>
    <row r="51" spans="1:40">
      <c r="B51" s="202"/>
      <c r="C51" s="132"/>
      <c r="D51" s="132"/>
      <c r="E51" s="132"/>
      <c r="F51" s="132"/>
      <c r="G51" s="132"/>
      <c r="H51" s="132"/>
      <c r="I51" s="132"/>
      <c r="J51" s="132"/>
      <c r="K51" s="132"/>
      <c r="L51" s="132"/>
      <c r="M51" s="132"/>
      <c r="O51" s="559"/>
      <c r="P51" s="559"/>
    </row>
    <row r="52" spans="1:40">
      <c r="C52" s="69"/>
      <c r="D52" s="69"/>
      <c r="E52" s="69"/>
      <c r="F52" s="69"/>
      <c r="G52" s="69"/>
      <c r="H52" s="69"/>
      <c r="I52" s="69"/>
      <c r="J52" s="69"/>
      <c r="K52" s="69"/>
      <c r="L52" s="69"/>
      <c r="M52" s="69"/>
      <c r="O52" s="559"/>
      <c r="P52" s="559"/>
    </row>
    <row r="53" spans="1:40">
      <c r="B53" s="62"/>
      <c r="C53" s="204"/>
      <c r="D53" s="204"/>
      <c r="E53" s="204"/>
      <c r="O53" s="559"/>
      <c r="P53" s="559"/>
    </row>
    <row r="54" spans="1:40">
      <c r="C54" s="204"/>
      <c r="D54" s="204"/>
      <c r="E54" s="204"/>
      <c r="O54" s="559"/>
      <c r="P54" s="559"/>
    </row>
    <row r="55" spans="1:40">
      <c r="C55" s="204"/>
      <c r="D55" s="204"/>
      <c r="E55" s="204"/>
      <c r="O55" s="559"/>
      <c r="P55" s="559"/>
    </row>
    <row r="56" spans="1:40">
      <c r="C56" s="204"/>
      <c r="D56" s="204"/>
      <c r="E56" s="204"/>
      <c r="O56" s="559"/>
      <c r="P56" s="559"/>
    </row>
    <row r="57" spans="1:40">
      <c r="C57" s="204"/>
      <c r="D57" s="204"/>
      <c r="E57" s="204"/>
      <c r="O57" s="559"/>
      <c r="P57" s="559"/>
    </row>
    <row r="58" spans="1:40">
      <c r="C58" s="204"/>
      <c r="D58" s="204"/>
      <c r="E58" s="204"/>
      <c r="O58" s="559"/>
      <c r="P58" s="559"/>
    </row>
    <row r="59" spans="1:40">
      <c r="C59" s="204"/>
      <c r="D59" s="204"/>
      <c r="E59" s="204"/>
      <c r="O59" s="559"/>
      <c r="P59" s="559"/>
    </row>
    <row r="60" spans="1:40">
      <c r="C60" s="204"/>
      <c r="D60" s="204"/>
      <c r="E60" s="204"/>
      <c r="O60" s="559"/>
      <c r="P60" s="559"/>
    </row>
    <row r="61" spans="1:40">
      <c r="C61" s="204"/>
      <c r="D61" s="204"/>
      <c r="E61" s="204"/>
      <c r="O61" s="559"/>
      <c r="P61" s="559"/>
    </row>
    <row r="62" spans="1:40">
      <c r="C62" s="204"/>
      <c r="D62" s="204"/>
      <c r="E62" s="204"/>
      <c r="O62" s="559"/>
      <c r="P62" s="559"/>
    </row>
    <row r="63" spans="1:40">
      <c r="C63" s="204"/>
      <c r="D63" s="204"/>
      <c r="E63" s="204"/>
      <c r="O63" s="559"/>
      <c r="P63" s="559"/>
    </row>
    <row r="64" spans="1:40">
      <c r="C64" s="204"/>
      <c r="D64" s="204"/>
      <c r="E64" s="204"/>
      <c r="O64" s="559"/>
      <c r="P64" s="559"/>
    </row>
    <row r="65" spans="3:16">
      <c r="C65" s="204"/>
      <c r="D65" s="204"/>
      <c r="E65" s="204"/>
      <c r="O65" s="559"/>
      <c r="P65" s="559"/>
    </row>
    <row r="66" spans="3:16">
      <c r="C66" s="204"/>
      <c r="D66" s="204"/>
      <c r="E66" s="204"/>
      <c r="O66" s="559"/>
      <c r="P66" s="559"/>
    </row>
    <row r="67" spans="3:16">
      <c r="C67" s="204"/>
      <c r="D67" s="204"/>
      <c r="E67" s="204"/>
      <c r="O67" s="559"/>
      <c r="P67" s="559"/>
    </row>
    <row r="68" spans="3:16">
      <c r="C68" s="204"/>
      <c r="D68" s="204"/>
      <c r="E68" s="204"/>
      <c r="O68" s="559"/>
      <c r="P68" s="559"/>
    </row>
    <row r="69" spans="3:16">
      <c r="C69" s="204"/>
      <c r="D69" s="204"/>
      <c r="E69" s="204"/>
      <c r="O69" s="559"/>
      <c r="P69" s="559"/>
    </row>
    <row r="70" spans="3:16">
      <c r="C70" s="204"/>
      <c r="D70" s="204"/>
      <c r="E70" s="204"/>
      <c r="O70" s="559"/>
      <c r="P70" s="559"/>
    </row>
    <row r="71" spans="3:16">
      <c r="C71" s="204"/>
      <c r="D71" s="204"/>
      <c r="E71" s="204"/>
      <c r="O71" s="559"/>
      <c r="P71" s="559"/>
    </row>
    <row r="72" spans="3:16">
      <c r="C72" s="204"/>
      <c r="D72" s="204"/>
      <c r="E72" s="204"/>
      <c r="O72" s="559"/>
      <c r="P72" s="559"/>
    </row>
    <row r="73" spans="3:16">
      <c r="C73" s="204"/>
      <c r="D73" s="204"/>
      <c r="E73" s="204"/>
      <c r="O73" s="559"/>
      <c r="P73" s="559"/>
    </row>
    <row r="74" spans="3:16">
      <c r="C74" s="204"/>
      <c r="D74" s="204"/>
      <c r="E74" s="204"/>
      <c r="O74" s="559"/>
      <c r="P74" s="559"/>
    </row>
    <row r="75" spans="3:16">
      <c r="C75" s="204"/>
      <c r="D75" s="204"/>
      <c r="E75" s="204"/>
      <c r="O75" s="559"/>
      <c r="P75" s="559"/>
    </row>
    <row r="76" spans="3:16">
      <c r="C76" s="204"/>
      <c r="D76" s="204"/>
      <c r="E76" s="204"/>
      <c r="O76" s="559"/>
      <c r="P76" s="559"/>
    </row>
    <row r="77" spans="3:16">
      <c r="C77" s="204"/>
      <c r="D77" s="204"/>
      <c r="E77" s="204"/>
      <c r="O77" s="559"/>
      <c r="P77" s="559"/>
    </row>
    <row r="78" spans="3:16">
      <c r="C78" s="204"/>
      <c r="D78" s="204"/>
      <c r="E78" s="204"/>
      <c r="O78" s="559"/>
      <c r="P78" s="559"/>
    </row>
    <row r="79" spans="3:16">
      <c r="C79" s="204"/>
      <c r="D79" s="204"/>
      <c r="E79" s="204"/>
      <c r="O79" s="559"/>
      <c r="P79" s="559"/>
    </row>
    <row r="80" spans="3:16">
      <c r="C80" s="204"/>
      <c r="D80" s="204"/>
      <c r="E80" s="204"/>
      <c r="O80" s="559"/>
      <c r="P80" s="559"/>
    </row>
    <row r="81" spans="3:16">
      <c r="C81" s="204"/>
      <c r="D81" s="204"/>
      <c r="E81" s="204"/>
      <c r="O81" s="559"/>
      <c r="P81" s="559"/>
    </row>
    <row r="82" spans="3:16">
      <c r="C82" s="204"/>
      <c r="D82" s="204"/>
      <c r="E82" s="204"/>
      <c r="O82" s="559"/>
      <c r="P82" s="559"/>
    </row>
    <row r="83" spans="3:16">
      <c r="C83" s="204"/>
      <c r="D83" s="204"/>
      <c r="E83" s="204"/>
      <c r="O83" s="559"/>
      <c r="P83" s="559"/>
    </row>
    <row r="84" spans="3:16">
      <c r="C84" s="204"/>
      <c r="D84" s="204"/>
      <c r="E84" s="204"/>
      <c r="O84" s="559"/>
      <c r="P84" s="559"/>
    </row>
    <row r="85" spans="3:16">
      <c r="C85" s="204"/>
      <c r="D85" s="204"/>
      <c r="E85" s="204"/>
      <c r="O85" s="559"/>
      <c r="P85" s="559"/>
    </row>
    <row r="86" spans="3:16">
      <c r="C86" s="204"/>
      <c r="D86" s="204"/>
      <c r="E86" s="204"/>
      <c r="O86" s="559"/>
      <c r="P86" s="559"/>
    </row>
    <row r="87" spans="3:16">
      <c r="C87" s="204"/>
      <c r="D87" s="204"/>
      <c r="E87" s="204"/>
      <c r="O87" s="559"/>
      <c r="P87" s="559"/>
    </row>
    <row r="88" spans="3:16">
      <c r="C88" s="204"/>
      <c r="D88" s="204"/>
      <c r="E88" s="204"/>
      <c r="O88" s="559"/>
      <c r="P88" s="559"/>
    </row>
    <row r="89" spans="3:16">
      <c r="C89" s="204"/>
      <c r="D89" s="204"/>
      <c r="E89" s="204"/>
      <c r="O89" s="559"/>
      <c r="P89" s="559"/>
    </row>
    <row r="90" spans="3:16">
      <c r="C90" s="204"/>
      <c r="D90" s="204"/>
      <c r="E90" s="204"/>
      <c r="O90" s="559"/>
      <c r="P90" s="559"/>
    </row>
    <row r="91" spans="3:16">
      <c r="C91" s="204"/>
      <c r="D91" s="204"/>
      <c r="E91" s="204"/>
      <c r="O91" s="559"/>
      <c r="P91" s="559"/>
    </row>
    <row r="92" spans="3:16">
      <c r="C92" s="204"/>
      <c r="D92" s="204"/>
      <c r="E92" s="204"/>
      <c r="O92" s="559"/>
      <c r="P92" s="559"/>
    </row>
    <row r="93" spans="3:16">
      <c r="C93" s="204"/>
      <c r="D93" s="204"/>
      <c r="E93" s="204"/>
      <c r="O93" s="559"/>
      <c r="P93" s="559"/>
    </row>
    <row r="94" spans="3:16">
      <c r="C94" s="204"/>
      <c r="D94" s="204"/>
      <c r="E94" s="204"/>
      <c r="O94" s="559"/>
      <c r="P94" s="559"/>
    </row>
    <row r="95" spans="3:16">
      <c r="C95" s="204"/>
      <c r="D95" s="204"/>
      <c r="E95" s="204"/>
      <c r="O95" s="559"/>
      <c r="P95" s="559"/>
    </row>
    <row r="96" spans="3:16">
      <c r="C96" s="204"/>
      <c r="D96" s="204"/>
      <c r="E96" s="204"/>
      <c r="O96" s="559"/>
      <c r="P96" s="559"/>
    </row>
    <row r="97" spans="3:16">
      <c r="C97" s="204"/>
      <c r="D97" s="204"/>
      <c r="E97" s="204"/>
      <c r="O97" s="559"/>
      <c r="P97" s="559"/>
    </row>
    <row r="98" spans="3:16">
      <c r="C98" s="204"/>
      <c r="D98" s="204"/>
      <c r="E98" s="204"/>
      <c r="O98" s="559"/>
      <c r="P98" s="559"/>
    </row>
    <row r="99" spans="3:16">
      <c r="C99" s="204"/>
      <c r="D99" s="204"/>
      <c r="E99" s="204"/>
      <c r="O99" s="559"/>
      <c r="P99" s="559"/>
    </row>
    <row r="100" spans="3:16">
      <c r="C100" s="204"/>
      <c r="D100" s="204"/>
      <c r="E100" s="204"/>
      <c r="O100" s="559"/>
      <c r="P100" s="559"/>
    </row>
    <row r="101" spans="3:16">
      <c r="C101" s="204"/>
      <c r="D101" s="204"/>
      <c r="E101" s="204"/>
      <c r="O101" s="559"/>
      <c r="P101" s="559"/>
    </row>
    <row r="102" spans="3:16">
      <c r="C102" s="204"/>
      <c r="D102" s="204"/>
      <c r="E102" s="204"/>
    </row>
    <row r="103" spans="3:16">
      <c r="C103" s="204"/>
      <c r="D103" s="204"/>
      <c r="E103" s="204"/>
    </row>
    <row r="104" spans="3:16">
      <c r="C104" s="204"/>
      <c r="D104" s="204"/>
      <c r="E104" s="204"/>
    </row>
    <row r="105" spans="3:16">
      <c r="C105" s="204"/>
      <c r="D105" s="204"/>
      <c r="E105" s="204"/>
    </row>
    <row r="106" spans="3:16">
      <c r="C106" s="204"/>
      <c r="D106" s="204"/>
      <c r="E106" s="204"/>
    </row>
    <row r="107" spans="3:16">
      <c r="C107" s="204"/>
      <c r="D107" s="204"/>
      <c r="E107" s="204"/>
    </row>
    <row r="108" spans="3:16">
      <c r="C108" s="204"/>
      <c r="D108" s="204"/>
      <c r="E108" s="204"/>
    </row>
    <row r="109" spans="3:16">
      <c r="C109" s="204"/>
      <c r="D109" s="204"/>
      <c r="E109" s="204"/>
    </row>
    <row r="110" spans="3:16">
      <c r="C110" s="204"/>
      <c r="D110" s="204"/>
      <c r="E110" s="204"/>
    </row>
    <row r="111" spans="3:16">
      <c r="C111" s="204"/>
      <c r="D111" s="204"/>
      <c r="E111" s="204"/>
    </row>
    <row r="112" spans="3:16">
      <c r="C112" s="204"/>
      <c r="D112" s="204"/>
      <c r="E112" s="204"/>
    </row>
    <row r="113" spans="3:5">
      <c r="C113" s="204"/>
      <c r="D113" s="204"/>
      <c r="E113" s="204"/>
    </row>
    <row r="114" spans="3:5">
      <c r="C114" s="204"/>
      <c r="D114" s="204"/>
      <c r="E114" s="204"/>
    </row>
    <row r="115" spans="3:5">
      <c r="C115" s="204"/>
      <c r="D115" s="204"/>
      <c r="E115" s="204"/>
    </row>
    <row r="116" spans="3:5">
      <c r="C116" s="204"/>
      <c r="D116" s="204"/>
      <c r="E116" s="204"/>
    </row>
    <row r="117" spans="3:5">
      <c r="C117" s="204"/>
      <c r="D117" s="204"/>
      <c r="E117" s="204"/>
    </row>
    <row r="118" spans="3:5">
      <c r="C118" s="204"/>
      <c r="D118" s="204"/>
      <c r="E118" s="204"/>
    </row>
    <row r="119" spans="3:5">
      <c r="C119" s="204"/>
      <c r="D119" s="204"/>
      <c r="E119" s="204"/>
    </row>
    <row r="120" spans="3:5">
      <c r="C120" s="204"/>
      <c r="D120" s="204"/>
      <c r="E120" s="204"/>
    </row>
    <row r="121" spans="3:5">
      <c r="C121" s="204"/>
      <c r="D121" s="204"/>
      <c r="E121" s="204"/>
    </row>
    <row r="122" spans="3:5">
      <c r="C122" s="204"/>
      <c r="D122" s="204"/>
      <c r="E122" s="204"/>
    </row>
    <row r="123" spans="3:5">
      <c r="C123" s="204"/>
      <c r="D123" s="204"/>
      <c r="E123" s="204"/>
    </row>
    <row r="124" spans="3:5">
      <c r="C124" s="204"/>
      <c r="D124" s="204"/>
      <c r="E124" s="204"/>
    </row>
    <row r="125" spans="3:5">
      <c r="C125" s="204"/>
      <c r="D125" s="204"/>
      <c r="E125" s="204"/>
    </row>
    <row r="126" spans="3:5">
      <c r="C126" s="204"/>
      <c r="D126" s="204"/>
      <c r="E126" s="204"/>
    </row>
    <row r="127" spans="3:5">
      <c r="C127" s="204"/>
      <c r="D127" s="204"/>
      <c r="E127" s="204"/>
    </row>
    <row r="128" spans="3:5">
      <c r="C128" s="204"/>
      <c r="D128" s="204"/>
      <c r="E128" s="204"/>
    </row>
    <row r="129" spans="3:5">
      <c r="C129" s="204"/>
      <c r="D129" s="204"/>
      <c r="E129" s="204"/>
    </row>
    <row r="130" spans="3:5">
      <c r="C130" s="204"/>
      <c r="D130" s="204"/>
      <c r="E130" s="204"/>
    </row>
    <row r="131" spans="3:5">
      <c r="C131" s="204"/>
      <c r="D131" s="204"/>
      <c r="E131" s="204"/>
    </row>
    <row r="132" spans="3:5">
      <c r="C132" s="204"/>
      <c r="D132" s="204"/>
      <c r="E132" s="204"/>
    </row>
    <row r="133" spans="3:5">
      <c r="C133" s="204"/>
      <c r="D133" s="204"/>
      <c r="E133" s="204"/>
    </row>
    <row r="134" spans="3:5">
      <c r="C134" s="204"/>
      <c r="D134" s="204"/>
      <c r="E134" s="204"/>
    </row>
    <row r="135" spans="3:5">
      <c r="C135" s="204"/>
      <c r="D135" s="204"/>
      <c r="E135" s="204"/>
    </row>
    <row r="136" spans="3:5">
      <c r="C136" s="204"/>
      <c r="D136" s="204"/>
      <c r="E136" s="204"/>
    </row>
    <row r="137" spans="3:5">
      <c r="C137" s="204"/>
      <c r="D137" s="204"/>
      <c r="E137" s="204"/>
    </row>
    <row r="138" spans="3:5">
      <c r="C138" s="204"/>
      <c r="D138" s="204"/>
      <c r="E138" s="204"/>
    </row>
    <row r="139" spans="3:5">
      <c r="C139" s="204"/>
      <c r="D139" s="204"/>
      <c r="E139" s="204"/>
    </row>
    <row r="140" spans="3:5">
      <c r="C140" s="204"/>
      <c r="D140" s="204"/>
      <c r="E140" s="204"/>
    </row>
    <row r="141" spans="3:5">
      <c r="C141" s="204"/>
      <c r="D141" s="204"/>
      <c r="E141" s="204"/>
    </row>
    <row r="142" spans="3:5">
      <c r="C142" s="204"/>
      <c r="D142" s="204"/>
      <c r="E142" s="204"/>
    </row>
    <row r="143" spans="3:5">
      <c r="C143" s="204"/>
      <c r="D143" s="204"/>
      <c r="E143" s="204"/>
    </row>
    <row r="144" spans="3:5">
      <c r="C144" s="204"/>
      <c r="D144" s="204"/>
      <c r="E144" s="204"/>
    </row>
    <row r="145" spans="3:5">
      <c r="C145" s="204"/>
      <c r="D145" s="204"/>
      <c r="E145" s="204"/>
    </row>
    <row r="146" spans="3:5">
      <c r="C146" s="204"/>
      <c r="D146" s="204"/>
      <c r="E146" s="204"/>
    </row>
    <row r="147" spans="3:5">
      <c r="C147" s="204"/>
      <c r="D147" s="204"/>
      <c r="E147" s="204"/>
    </row>
    <row r="148" spans="3:5">
      <c r="C148" s="204"/>
      <c r="D148" s="204"/>
      <c r="E148" s="204"/>
    </row>
    <row r="149" spans="3:5">
      <c r="C149" s="204"/>
      <c r="D149" s="204"/>
      <c r="E149" s="204"/>
    </row>
    <row r="150" spans="3:5">
      <c r="C150" s="204"/>
      <c r="D150" s="204"/>
      <c r="E150" s="204"/>
    </row>
    <row r="151" spans="3:5">
      <c r="C151" s="204"/>
      <c r="D151" s="204"/>
      <c r="E151" s="204"/>
    </row>
    <row r="152" spans="3:5">
      <c r="C152" s="204"/>
      <c r="D152" s="204"/>
      <c r="E152" s="204"/>
    </row>
    <row r="153" spans="3:5">
      <c r="C153" s="204"/>
      <c r="D153" s="204"/>
      <c r="E153" s="204"/>
    </row>
    <row r="154" spans="3:5">
      <c r="C154" s="204"/>
      <c r="D154" s="204"/>
      <c r="E154" s="204"/>
    </row>
    <row r="155" spans="3:5">
      <c r="C155" s="204"/>
      <c r="D155" s="204"/>
      <c r="E155" s="204"/>
    </row>
    <row r="156" spans="3:5">
      <c r="C156" s="204"/>
      <c r="D156" s="204"/>
      <c r="E156" s="204"/>
    </row>
    <row r="157" spans="3:5">
      <c r="C157" s="204"/>
      <c r="D157" s="204"/>
      <c r="E157" s="204"/>
    </row>
    <row r="158" spans="3:5">
      <c r="C158" s="204"/>
      <c r="D158" s="204"/>
      <c r="E158" s="204"/>
    </row>
    <row r="159" spans="3:5">
      <c r="C159" s="204"/>
      <c r="D159" s="204"/>
      <c r="E159" s="204"/>
    </row>
    <row r="160" spans="3:5">
      <c r="C160" s="204"/>
      <c r="D160" s="204"/>
      <c r="E160" s="204"/>
    </row>
    <row r="161" spans="3:5">
      <c r="C161" s="204"/>
      <c r="D161" s="204"/>
      <c r="E161" s="204"/>
    </row>
    <row r="162" spans="3:5">
      <c r="C162" s="204"/>
      <c r="D162" s="204"/>
      <c r="E162" s="204"/>
    </row>
    <row r="163" spans="3:5">
      <c r="C163" s="204"/>
      <c r="D163" s="204"/>
      <c r="E163" s="204"/>
    </row>
    <row r="164" spans="3:5">
      <c r="C164" s="204"/>
      <c r="D164" s="204"/>
      <c r="E164" s="204"/>
    </row>
    <row r="165" spans="3:5">
      <c r="C165" s="204"/>
      <c r="D165" s="204"/>
      <c r="E165" s="204"/>
    </row>
    <row r="166" spans="3:5">
      <c r="C166" s="204"/>
      <c r="D166" s="204"/>
      <c r="E166" s="204"/>
    </row>
    <row r="167" spans="3:5">
      <c r="C167" s="204"/>
      <c r="D167" s="204"/>
      <c r="E167" s="204"/>
    </row>
    <row r="168" spans="3:5">
      <c r="C168" s="204"/>
      <c r="D168" s="204"/>
      <c r="E168" s="204"/>
    </row>
    <row r="169" spans="3:5">
      <c r="C169" s="204"/>
      <c r="D169" s="204"/>
      <c r="E169" s="204"/>
    </row>
    <row r="170" spans="3:5">
      <c r="C170" s="204"/>
      <c r="D170" s="204"/>
      <c r="E170" s="204"/>
    </row>
    <row r="171" spans="3:5">
      <c r="C171" s="204"/>
      <c r="D171" s="204"/>
      <c r="E171" s="204"/>
    </row>
    <row r="172" spans="3:5">
      <c r="C172" s="204"/>
      <c r="D172" s="204"/>
      <c r="E172" s="204"/>
    </row>
    <row r="173" spans="3:5">
      <c r="C173" s="204"/>
      <c r="D173" s="204"/>
      <c r="E173" s="204"/>
    </row>
    <row r="174" spans="3:5">
      <c r="C174" s="204"/>
      <c r="D174" s="204"/>
      <c r="E174" s="204"/>
    </row>
    <row r="175" spans="3:5">
      <c r="C175" s="204"/>
      <c r="D175" s="204"/>
      <c r="E175" s="204"/>
    </row>
    <row r="176" spans="3:5">
      <c r="C176" s="204"/>
      <c r="D176" s="204"/>
      <c r="E176" s="204"/>
    </row>
    <row r="177" spans="3:5">
      <c r="C177" s="204"/>
      <c r="D177" s="204"/>
      <c r="E177" s="204"/>
    </row>
    <row r="178" spans="3:5">
      <c r="C178" s="204"/>
      <c r="D178" s="204"/>
      <c r="E178" s="204"/>
    </row>
    <row r="179" spans="3:5">
      <c r="C179" s="204"/>
      <c r="D179" s="204"/>
      <c r="E179" s="204"/>
    </row>
    <row r="180" spans="3:5">
      <c r="C180" s="204"/>
      <c r="D180" s="204"/>
      <c r="E180" s="204"/>
    </row>
    <row r="181" spans="3:5">
      <c r="C181" s="204"/>
      <c r="D181" s="204"/>
      <c r="E181" s="204"/>
    </row>
    <row r="182" spans="3:5">
      <c r="C182" s="204"/>
      <c r="D182" s="204"/>
      <c r="E182" s="204"/>
    </row>
    <row r="183" spans="3:5">
      <c r="C183" s="204"/>
      <c r="D183" s="204"/>
      <c r="E183" s="204"/>
    </row>
    <row r="184" spans="3:5">
      <c r="C184" s="204"/>
      <c r="D184" s="204"/>
      <c r="E184" s="204"/>
    </row>
    <row r="185" spans="3:5">
      <c r="C185" s="204"/>
      <c r="D185" s="204"/>
      <c r="E185" s="204"/>
    </row>
    <row r="186" spans="3:5">
      <c r="C186" s="204"/>
      <c r="D186" s="204"/>
      <c r="E186" s="204"/>
    </row>
    <row r="187" spans="3:5">
      <c r="C187" s="204"/>
      <c r="D187" s="204"/>
      <c r="E187" s="204"/>
    </row>
    <row r="188" spans="3:5">
      <c r="C188" s="204"/>
      <c r="D188" s="204"/>
      <c r="E188" s="204"/>
    </row>
    <row r="189" spans="3:5">
      <c r="C189" s="204"/>
      <c r="D189" s="204"/>
      <c r="E189" s="204"/>
    </row>
    <row r="190" spans="3:5">
      <c r="C190" s="204"/>
      <c r="D190" s="204"/>
      <c r="E190" s="204"/>
    </row>
    <row r="191" spans="3:5">
      <c r="C191" s="204"/>
      <c r="D191" s="204"/>
      <c r="E191" s="204"/>
    </row>
    <row r="192" spans="3:5">
      <c r="C192" s="204"/>
      <c r="D192" s="204"/>
      <c r="E192" s="204"/>
    </row>
    <row r="193" spans="3:5">
      <c r="C193" s="204"/>
      <c r="D193" s="204"/>
      <c r="E193" s="204"/>
    </row>
    <row r="194" spans="3:5">
      <c r="C194" s="204"/>
      <c r="D194" s="204"/>
      <c r="E194" s="204"/>
    </row>
    <row r="195" spans="3:5">
      <c r="C195" s="204"/>
      <c r="D195" s="204"/>
      <c r="E195" s="204"/>
    </row>
    <row r="196" spans="3:5">
      <c r="C196" s="204"/>
      <c r="D196" s="204"/>
      <c r="E196" s="204"/>
    </row>
    <row r="197" spans="3:5">
      <c r="C197" s="204"/>
      <c r="D197" s="204"/>
      <c r="E197" s="204"/>
    </row>
    <row r="198" spans="3:5">
      <c r="C198" s="204"/>
      <c r="D198" s="204"/>
      <c r="E198" s="204"/>
    </row>
    <row r="199" spans="3:5">
      <c r="C199" s="204"/>
      <c r="D199" s="204"/>
      <c r="E199" s="204"/>
    </row>
    <row r="200" spans="3:5">
      <c r="C200" s="204"/>
      <c r="D200" s="204"/>
      <c r="E200" s="204"/>
    </row>
    <row r="201" spans="3:5">
      <c r="C201" s="204"/>
      <c r="D201" s="204"/>
      <c r="E201" s="204"/>
    </row>
    <row r="202" spans="3:5">
      <c r="C202" s="204"/>
      <c r="D202" s="204"/>
      <c r="E202" s="204"/>
    </row>
    <row r="203" spans="3:5">
      <c r="C203" s="204"/>
      <c r="D203" s="204"/>
      <c r="E203" s="204"/>
    </row>
    <row r="204" spans="3:5">
      <c r="C204" s="204"/>
      <c r="D204" s="204"/>
      <c r="E204" s="204"/>
    </row>
    <row r="205" spans="3:5">
      <c r="C205" s="204"/>
      <c r="D205" s="204"/>
      <c r="E205" s="204"/>
    </row>
    <row r="206" spans="3:5">
      <c r="C206" s="204"/>
      <c r="D206" s="204"/>
      <c r="E206" s="204"/>
    </row>
    <row r="207" spans="3:5">
      <c r="C207" s="204"/>
      <c r="D207" s="204"/>
      <c r="E207" s="204"/>
    </row>
    <row r="208" spans="3:5">
      <c r="C208" s="204"/>
      <c r="D208" s="204"/>
      <c r="E208" s="204"/>
    </row>
    <row r="209" spans="3:5">
      <c r="C209" s="204"/>
      <c r="D209" s="204"/>
      <c r="E209" s="204"/>
    </row>
    <row r="210" spans="3:5">
      <c r="C210" s="204"/>
      <c r="D210" s="204"/>
      <c r="E210" s="204"/>
    </row>
    <row r="211" spans="3:5">
      <c r="C211" s="204"/>
      <c r="D211" s="204"/>
      <c r="E211" s="204"/>
    </row>
    <row r="212" spans="3:5">
      <c r="C212" s="204"/>
      <c r="D212" s="204"/>
      <c r="E212" s="204"/>
    </row>
    <row r="213" spans="3:5">
      <c r="C213" s="204"/>
      <c r="D213" s="204"/>
      <c r="E213" s="204"/>
    </row>
    <row r="214" spans="3:5">
      <c r="C214" s="204"/>
      <c r="D214" s="204"/>
      <c r="E214" s="204"/>
    </row>
    <row r="215" spans="3:5">
      <c r="C215" s="204"/>
      <c r="D215" s="204"/>
      <c r="E215" s="204"/>
    </row>
    <row r="216" spans="3:5">
      <c r="C216" s="204"/>
      <c r="D216" s="204"/>
      <c r="E216" s="204"/>
    </row>
    <row r="217" spans="3:5">
      <c r="C217" s="204"/>
      <c r="D217" s="204"/>
      <c r="E217" s="204"/>
    </row>
    <row r="218" spans="3:5">
      <c r="C218" s="204"/>
      <c r="D218" s="204"/>
      <c r="E218" s="204"/>
    </row>
    <row r="219" spans="3:5">
      <c r="C219" s="204"/>
      <c r="D219" s="204"/>
      <c r="E219" s="204"/>
    </row>
    <row r="220" spans="3:5">
      <c r="C220" s="204"/>
      <c r="D220" s="204"/>
      <c r="E220" s="204"/>
    </row>
    <row r="221" spans="3:5">
      <c r="C221" s="204"/>
      <c r="D221" s="204"/>
      <c r="E221" s="204"/>
    </row>
    <row r="222" spans="3:5">
      <c r="C222" s="204"/>
      <c r="D222" s="204"/>
      <c r="E222" s="204"/>
    </row>
    <row r="223" spans="3:5">
      <c r="C223" s="204"/>
      <c r="D223" s="204"/>
      <c r="E223" s="204"/>
    </row>
    <row r="224" spans="3:5">
      <c r="C224" s="204"/>
      <c r="D224" s="204"/>
      <c r="E224" s="204"/>
    </row>
    <row r="225" spans="3:5">
      <c r="C225" s="204"/>
      <c r="D225" s="204"/>
      <c r="E225" s="204"/>
    </row>
    <row r="226" spans="3:5">
      <c r="C226" s="204"/>
      <c r="D226" s="204"/>
      <c r="E226" s="204"/>
    </row>
    <row r="227" spans="3:5">
      <c r="C227" s="204"/>
      <c r="D227" s="204"/>
      <c r="E227" s="204"/>
    </row>
    <row r="228" spans="3:5">
      <c r="C228" s="204"/>
      <c r="D228" s="204"/>
      <c r="E228" s="204"/>
    </row>
    <row r="229" spans="3:5">
      <c r="C229" s="204"/>
      <c r="D229" s="204"/>
      <c r="E229" s="204"/>
    </row>
    <row r="230" spans="3:5">
      <c r="C230" s="204"/>
      <c r="D230" s="204"/>
      <c r="E230" s="204"/>
    </row>
    <row r="231" spans="3:5">
      <c r="C231" s="204"/>
      <c r="D231" s="204"/>
      <c r="E231" s="204"/>
    </row>
    <row r="232" spans="3:5">
      <c r="C232" s="204"/>
      <c r="D232" s="204"/>
      <c r="E232" s="204"/>
    </row>
    <row r="233" spans="3:5">
      <c r="C233" s="204"/>
      <c r="D233" s="204"/>
      <c r="E233" s="204"/>
    </row>
    <row r="234" spans="3:5">
      <c r="C234" s="204"/>
      <c r="D234" s="204"/>
      <c r="E234" s="204"/>
    </row>
    <row r="235" spans="3:5">
      <c r="C235" s="204"/>
      <c r="D235" s="204"/>
      <c r="E235" s="204"/>
    </row>
    <row r="236" spans="3:5">
      <c r="C236" s="204"/>
      <c r="D236" s="204"/>
      <c r="E236" s="204"/>
    </row>
    <row r="237" spans="3:5">
      <c r="C237" s="204"/>
      <c r="D237" s="204"/>
      <c r="E237" s="204"/>
    </row>
    <row r="238" spans="3:5">
      <c r="C238" s="204"/>
      <c r="D238" s="204"/>
      <c r="E238" s="204"/>
    </row>
    <row r="239" spans="3:5">
      <c r="C239" s="204"/>
      <c r="D239" s="204"/>
      <c r="E239" s="204"/>
    </row>
    <row r="240" spans="3:5">
      <c r="C240" s="204"/>
      <c r="D240" s="204"/>
      <c r="E240" s="204"/>
    </row>
    <row r="241" spans="3:5">
      <c r="C241" s="204"/>
      <c r="D241" s="204"/>
      <c r="E241" s="204"/>
    </row>
    <row r="242" spans="3:5">
      <c r="C242" s="204"/>
      <c r="D242" s="204"/>
      <c r="E242" s="204"/>
    </row>
    <row r="243" spans="3:5">
      <c r="C243" s="204"/>
      <c r="D243" s="204"/>
      <c r="E243" s="204"/>
    </row>
    <row r="244" spans="3:5">
      <c r="C244" s="204"/>
      <c r="D244" s="204"/>
      <c r="E244" s="204"/>
    </row>
    <row r="245" spans="3:5">
      <c r="C245" s="204"/>
      <c r="D245" s="204"/>
      <c r="E245" s="204"/>
    </row>
    <row r="246" spans="3:5">
      <c r="C246" s="204"/>
      <c r="D246" s="204"/>
      <c r="E246" s="204"/>
    </row>
    <row r="247" spans="3:5">
      <c r="C247" s="204"/>
      <c r="D247" s="204"/>
      <c r="E247" s="204"/>
    </row>
    <row r="248" spans="3:5">
      <c r="C248" s="204"/>
      <c r="D248" s="204"/>
      <c r="E248" s="204"/>
    </row>
    <row r="249" spans="3:5">
      <c r="C249" s="204"/>
      <c r="D249" s="204"/>
      <c r="E249" s="204"/>
    </row>
    <row r="250" spans="3:5">
      <c r="C250" s="204"/>
      <c r="D250" s="204"/>
      <c r="E250" s="204"/>
    </row>
    <row r="251" spans="3:5">
      <c r="C251" s="204"/>
      <c r="D251" s="204"/>
      <c r="E251" s="204"/>
    </row>
    <row r="252" spans="3:5">
      <c r="C252" s="204"/>
      <c r="D252" s="204"/>
      <c r="E252" s="204"/>
    </row>
    <row r="253" spans="3:5">
      <c r="C253" s="204"/>
      <c r="D253" s="204"/>
      <c r="E253" s="204"/>
    </row>
    <row r="254" spans="3:5">
      <c r="C254" s="204"/>
      <c r="D254" s="204"/>
      <c r="E254" s="204"/>
    </row>
    <row r="255" spans="3:5">
      <c r="C255" s="204"/>
      <c r="D255" s="204"/>
      <c r="E255" s="204"/>
    </row>
    <row r="256" spans="3:5">
      <c r="C256" s="204"/>
      <c r="D256" s="204"/>
      <c r="E256" s="204"/>
    </row>
    <row r="257" spans="3:5">
      <c r="C257" s="204"/>
      <c r="D257" s="204"/>
      <c r="E257" s="204"/>
    </row>
    <row r="258" spans="3:5">
      <c r="C258" s="204"/>
      <c r="D258" s="204"/>
      <c r="E258" s="204"/>
    </row>
    <row r="259" spans="3:5">
      <c r="C259" s="204"/>
      <c r="D259" s="204"/>
      <c r="E259" s="204"/>
    </row>
    <row r="260" spans="3:5">
      <c r="C260" s="204"/>
      <c r="D260" s="204"/>
      <c r="E260" s="204"/>
    </row>
    <row r="261" spans="3:5">
      <c r="C261" s="204"/>
      <c r="D261" s="204"/>
      <c r="E261" s="204"/>
    </row>
    <row r="262" spans="3:5">
      <c r="C262" s="204"/>
      <c r="D262" s="204"/>
      <c r="E262" s="204"/>
    </row>
    <row r="263" spans="3:5">
      <c r="C263" s="204"/>
      <c r="D263" s="204"/>
      <c r="E263" s="204"/>
    </row>
    <row r="264" spans="3:5">
      <c r="C264" s="204"/>
      <c r="D264" s="204"/>
      <c r="E264" s="204"/>
    </row>
    <row r="265" spans="3:5">
      <c r="C265" s="204"/>
      <c r="D265" s="204"/>
      <c r="E265" s="204"/>
    </row>
    <row r="266" spans="3:5">
      <c r="C266" s="204"/>
      <c r="D266" s="204"/>
      <c r="E266" s="204"/>
    </row>
    <row r="267" spans="3:5">
      <c r="C267" s="204"/>
      <c r="D267" s="204"/>
      <c r="E267" s="204"/>
    </row>
    <row r="268" spans="3:5">
      <c r="C268" s="204"/>
      <c r="D268" s="204"/>
      <c r="E268" s="204"/>
    </row>
    <row r="269" spans="3:5">
      <c r="C269" s="204"/>
      <c r="D269" s="204"/>
      <c r="E269" s="204"/>
    </row>
    <row r="270" spans="3:5">
      <c r="C270" s="204"/>
      <c r="D270" s="204"/>
      <c r="E270" s="204"/>
    </row>
    <row r="271" spans="3:5">
      <c r="C271" s="204"/>
      <c r="D271" s="204"/>
      <c r="E271" s="204"/>
    </row>
    <row r="272" spans="3:5">
      <c r="C272" s="204"/>
      <c r="D272" s="204"/>
      <c r="E272" s="204"/>
    </row>
    <row r="273" spans="3:5">
      <c r="C273" s="204"/>
      <c r="D273" s="204"/>
      <c r="E273" s="204"/>
    </row>
    <row r="274" spans="3:5">
      <c r="C274" s="204"/>
      <c r="D274" s="204"/>
      <c r="E274" s="204"/>
    </row>
    <row r="275" spans="3:5">
      <c r="C275" s="204"/>
      <c r="D275" s="204"/>
      <c r="E275" s="204"/>
    </row>
    <row r="276" spans="3:5">
      <c r="C276" s="204"/>
      <c r="D276" s="204"/>
      <c r="E276" s="204"/>
    </row>
    <row r="277" spans="3:5">
      <c r="C277" s="204"/>
      <c r="D277" s="204"/>
      <c r="E277" s="204"/>
    </row>
    <row r="278" spans="3:5">
      <c r="C278" s="204"/>
      <c r="D278" s="204"/>
      <c r="E278" s="204"/>
    </row>
    <row r="279" spans="3:5">
      <c r="C279" s="204"/>
      <c r="D279" s="204"/>
      <c r="E279" s="204"/>
    </row>
    <row r="280" spans="3:5">
      <c r="C280" s="204"/>
      <c r="D280" s="204"/>
      <c r="E280" s="204"/>
    </row>
    <row r="281" spans="3:5">
      <c r="C281" s="204"/>
      <c r="D281" s="204"/>
      <c r="E281" s="204"/>
    </row>
    <row r="282" spans="3:5">
      <c r="C282" s="204"/>
      <c r="D282" s="204"/>
      <c r="E282" s="204"/>
    </row>
    <row r="283" spans="3:5">
      <c r="C283" s="204"/>
      <c r="D283" s="204"/>
      <c r="E283" s="204"/>
    </row>
    <row r="284" spans="3:5">
      <c r="C284" s="204"/>
      <c r="D284" s="204"/>
      <c r="E284" s="204"/>
    </row>
    <row r="285" spans="3:5">
      <c r="C285" s="204"/>
      <c r="D285" s="204"/>
      <c r="E285" s="204"/>
    </row>
    <row r="286" spans="3:5">
      <c r="C286" s="204"/>
      <c r="D286" s="204"/>
      <c r="E286" s="204"/>
    </row>
    <row r="287" spans="3:5">
      <c r="C287" s="204"/>
      <c r="D287" s="204"/>
      <c r="E287" s="204"/>
    </row>
    <row r="288" spans="3:5">
      <c r="C288" s="204"/>
      <c r="D288" s="204"/>
      <c r="E288" s="204"/>
    </row>
    <row r="289" spans="3:5">
      <c r="C289" s="204"/>
      <c r="D289" s="204"/>
      <c r="E289" s="204"/>
    </row>
    <row r="290" spans="3:5">
      <c r="C290" s="204"/>
      <c r="D290" s="204"/>
      <c r="E290" s="204"/>
    </row>
    <row r="291" spans="3:5">
      <c r="C291" s="204"/>
      <c r="D291" s="204"/>
      <c r="E291" s="204"/>
    </row>
    <row r="292" spans="3:5">
      <c r="C292" s="204"/>
      <c r="D292" s="204"/>
      <c r="E292" s="204"/>
    </row>
    <row r="293" spans="3:5">
      <c r="C293" s="204"/>
      <c r="D293" s="204"/>
      <c r="E293" s="204"/>
    </row>
    <row r="294" spans="3:5">
      <c r="C294" s="204"/>
      <c r="D294" s="204"/>
      <c r="E294" s="204"/>
    </row>
    <row r="295" spans="3:5">
      <c r="C295" s="204"/>
      <c r="D295" s="204"/>
      <c r="E295" s="204"/>
    </row>
    <row r="296" spans="3:5">
      <c r="C296" s="204"/>
      <c r="D296" s="204"/>
      <c r="E296" s="204"/>
    </row>
    <row r="297" spans="3:5">
      <c r="C297" s="204"/>
      <c r="D297" s="204"/>
      <c r="E297" s="204"/>
    </row>
    <row r="298" spans="3:5">
      <c r="C298" s="204"/>
      <c r="D298" s="204"/>
      <c r="E298" s="204"/>
    </row>
    <row r="299" spans="3:5">
      <c r="C299" s="204"/>
      <c r="D299" s="204"/>
      <c r="E299" s="204"/>
    </row>
    <row r="300" spans="3:5">
      <c r="C300" s="204"/>
      <c r="D300" s="204"/>
      <c r="E300" s="204"/>
    </row>
    <row r="301" spans="3:5">
      <c r="C301" s="204"/>
      <c r="D301" s="204"/>
      <c r="E301" s="204"/>
    </row>
    <row r="302" spans="3:5">
      <c r="C302" s="204"/>
      <c r="D302" s="204"/>
      <c r="E302" s="204"/>
    </row>
    <row r="303" spans="3:5">
      <c r="C303" s="204"/>
      <c r="D303" s="204"/>
      <c r="E303" s="204"/>
    </row>
    <row r="304" spans="3:5">
      <c r="C304" s="204"/>
      <c r="D304" s="204"/>
      <c r="E304" s="204"/>
    </row>
    <row r="305" spans="3:5">
      <c r="C305" s="204"/>
      <c r="D305" s="204"/>
      <c r="E305" s="204"/>
    </row>
    <row r="306" spans="3:5">
      <c r="C306" s="204"/>
      <c r="D306" s="204"/>
      <c r="E306" s="204"/>
    </row>
    <row r="307" spans="3:5">
      <c r="C307" s="204"/>
      <c r="D307" s="204"/>
      <c r="E307" s="204"/>
    </row>
    <row r="308" spans="3:5">
      <c r="C308" s="204"/>
      <c r="D308" s="204"/>
      <c r="E308" s="204"/>
    </row>
    <row r="309" spans="3:5">
      <c r="C309" s="204"/>
      <c r="D309" s="204"/>
      <c r="E309" s="204"/>
    </row>
    <row r="310" spans="3:5">
      <c r="C310" s="204"/>
      <c r="D310" s="204"/>
      <c r="E310" s="204"/>
    </row>
    <row r="311" spans="3:5">
      <c r="C311" s="204"/>
      <c r="D311" s="204"/>
      <c r="E311" s="204"/>
    </row>
    <row r="312" spans="3:5">
      <c r="C312" s="204"/>
      <c r="D312" s="204"/>
      <c r="E312" s="204"/>
    </row>
    <row r="313" spans="3:5">
      <c r="C313" s="204"/>
      <c r="D313" s="204"/>
      <c r="E313" s="204"/>
    </row>
    <row r="314" spans="3:5">
      <c r="C314" s="204"/>
      <c r="D314" s="204"/>
      <c r="E314" s="204"/>
    </row>
    <row r="315" spans="3:5">
      <c r="C315" s="204"/>
      <c r="D315" s="204"/>
      <c r="E315" s="204"/>
    </row>
    <row r="316" spans="3:5">
      <c r="C316" s="204"/>
      <c r="D316" s="204"/>
      <c r="E316" s="204"/>
    </row>
    <row r="317" spans="3:5">
      <c r="C317" s="204"/>
      <c r="D317" s="204"/>
      <c r="E317" s="204"/>
    </row>
    <row r="318" spans="3:5">
      <c r="C318" s="204"/>
      <c r="D318" s="204"/>
      <c r="E318" s="204"/>
    </row>
    <row r="319" spans="3:5">
      <c r="C319" s="204"/>
      <c r="D319" s="204"/>
      <c r="E319" s="204"/>
    </row>
    <row r="320" spans="3:5">
      <c r="C320" s="204"/>
      <c r="D320" s="204"/>
      <c r="E320" s="204"/>
    </row>
    <row r="321" spans="3:5">
      <c r="C321" s="204"/>
      <c r="D321" s="204"/>
      <c r="E321" s="204"/>
    </row>
    <row r="322" spans="3:5">
      <c r="C322" s="204"/>
      <c r="D322" s="204"/>
      <c r="E322" s="204"/>
    </row>
    <row r="323" spans="3:5">
      <c r="C323" s="204"/>
      <c r="D323" s="204"/>
      <c r="E323" s="204"/>
    </row>
    <row r="324" spans="3:5">
      <c r="C324" s="204"/>
      <c r="D324" s="204"/>
      <c r="E324" s="204"/>
    </row>
    <row r="325" spans="3:5">
      <c r="C325" s="204"/>
      <c r="D325" s="204"/>
      <c r="E325" s="204"/>
    </row>
    <row r="326" spans="3:5">
      <c r="C326" s="204"/>
      <c r="D326" s="204"/>
      <c r="E326" s="204"/>
    </row>
    <row r="327" spans="3:5">
      <c r="C327" s="204"/>
      <c r="D327" s="204"/>
      <c r="E327" s="204"/>
    </row>
    <row r="328" spans="3:5">
      <c r="C328" s="204"/>
      <c r="D328" s="204"/>
      <c r="E328" s="204"/>
    </row>
    <row r="329" spans="3:5">
      <c r="C329" s="204"/>
      <c r="D329" s="204"/>
      <c r="E329" s="204"/>
    </row>
    <row r="330" spans="3:5">
      <c r="C330" s="204"/>
      <c r="D330" s="204"/>
      <c r="E330" s="204"/>
    </row>
  </sheetData>
  <mergeCells count="1">
    <mergeCell ref="A1:M1"/>
  </mergeCells>
  <phoneticPr fontId="24" type="noConversion"/>
  <conditionalFormatting sqref="A1 A2:B5 C2:F3 A51:F1048576 B50:D50 C4:E4 C6:F49 C5:J5 N1:N1048576 AP1:XFD1048576">
    <cfRule type="cellIs" dxfId="1801" priority="47" operator="equal">
      <formula>0</formula>
    </cfRule>
  </conditionalFormatting>
  <conditionalFormatting sqref="E50:F50">
    <cfRule type="cellIs" dxfId="1800" priority="46" operator="equal">
      <formula>0</formula>
    </cfRule>
  </conditionalFormatting>
  <conditionalFormatting sqref="N5:N6">
    <cfRule type="containsText" dxfId="1799" priority="45" operator="containsText" text="FALSO">
      <formula>NOT(ISERROR(SEARCH("FALSO",N5)))</formula>
    </cfRule>
  </conditionalFormatting>
  <conditionalFormatting sqref="Q8:R49 Q50:AO101 O102:AO1048576">
    <cfRule type="cellIs" dxfId="1798" priority="10" operator="equal">
      <formula>0</formula>
    </cfRule>
  </conditionalFormatting>
  <conditionalFormatting sqref="O4:R7">
    <cfRule type="cellIs" dxfId="1797" priority="8" operator="equal">
      <formula>0</formula>
    </cfRule>
  </conditionalFormatting>
  <conditionalFormatting sqref="O1:AO3 AO5:AO49">
    <cfRule type="cellIs" dxfId="1796" priority="9" operator="equal">
      <formula>0</formula>
    </cfRule>
  </conditionalFormatting>
  <conditionalFormatting sqref="S6:AC49">
    <cfRule type="expression" dxfId="1795" priority="2">
      <formula>AD6=1</formula>
    </cfRule>
    <cfRule type="expression" dxfId="1794" priority="3">
      <formula>AD6=2</formula>
    </cfRule>
    <cfRule type="expression" dxfId="1793" priority="4">
      <formula>AD6=3</formula>
    </cfRule>
  </conditionalFormatting>
  <conditionalFormatting sqref="AD6:AN49">
    <cfRule type="cellIs" dxfId="1792" priority="5" operator="equal">
      <formula>1</formula>
    </cfRule>
    <cfRule type="cellIs" dxfId="1791" priority="6" operator="equal">
      <formula>2</formula>
    </cfRule>
    <cfRule type="cellIs" dxfId="1790" priority="7" operator="equal">
      <formula>3</formula>
    </cfRule>
  </conditionalFormatting>
  <conditionalFormatting sqref="A50">
    <cfRule type="cellIs" dxfId="1789"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88" orientation="portrait" r:id="rId1"/>
  <headerFooter>
    <oddHeader xml:space="preserve">&amp;C&amp;G
</oddHead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4D779-13EA-4551-9F62-751286FA1371}">
  <sheetPr>
    <tabColor indexed="25"/>
  </sheetPr>
  <dimension ref="A1:AT83"/>
  <sheetViews>
    <sheetView showGridLines="0" workbookViewId="0">
      <selection activeCell="Y70" sqref="Y70"/>
    </sheetView>
  </sheetViews>
  <sheetFormatPr defaultColWidth="9.140625" defaultRowHeight="11.25"/>
  <cols>
    <col min="1" max="1" width="2" style="237" customWidth="1"/>
    <col min="2" max="2" width="30.28515625" style="237" customWidth="1"/>
    <col min="3" max="13" width="7.5703125" style="240" customWidth="1"/>
    <col min="14" max="14" width="5.85546875" style="237" bestFit="1" customWidth="1"/>
    <col min="15" max="15" width="7.140625" style="239" customWidth="1"/>
    <col min="16" max="16" width="5.85546875" style="239" bestFit="1" customWidth="1"/>
    <col min="17" max="17" width="6.140625" style="239" bestFit="1" customWidth="1"/>
    <col min="18" max="18" width="7" style="239" bestFit="1" customWidth="1"/>
    <col min="19" max="19" width="5.85546875" style="239" bestFit="1" customWidth="1"/>
    <col min="20" max="46" width="9.140625" style="239"/>
    <col min="47" max="16384" width="9.140625" style="237"/>
  </cols>
  <sheetData>
    <row r="1" spans="1:46" s="126" customFormat="1" ht="28.5" customHeight="1">
      <c r="A1" s="988" t="s">
        <v>779</v>
      </c>
      <c r="B1" s="988"/>
      <c r="C1" s="988"/>
      <c r="D1" s="988"/>
      <c r="E1" s="988"/>
      <c r="F1" s="988"/>
      <c r="G1" s="988"/>
      <c r="H1" s="988"/>
      <c r="I1" s="988"/>
      <c r="J1" s="988"/>
      <c r="K1" s="988"/>
      <c r="L1" s="988"/>
      <c r="M1" s="988"/>
      <c r="O1" s="673"/>
      <c r="P1" s="673"/>
      <c r="Q1" s="675"/>
      <c r="R1" s="673"/>
      <c r="S1" s="673"/>
      <c r="T1" s="673"/>
      <c r="U1" s="673"/>
      <c r="V1" s="691"/>
      <c r="W1" s="673"/>
      <c r="X1" s="673"/>
      <c r="Y1" s="673"/>
      <c r="Z1" s="673"/>
      <c r="AA1" s="673"/>
      <c r="AB1" s="673"/>
      <c r="AC1" s="673"/>
      <c r="AD1" s="673"/>
      <c r="AE1" s="673"/>
      <c r="AF1" s="673"/>
      <c r="AG1" s="673"/>
      <c r="AH1" s="673"/>
      <c r="AI1" s="673"/>
      <c r="AJ1" s="673"/>
      <c r="AK1" s="673"/>
      <c r="AL1" s="673"/>
      <c r="AM1" s="673"/>
      <c r="AN1" s="673"/>
      <c r="AO1" s="673"/>
      <c r="AP1" s="673"/>
      <c r="AQ1" s="673"/>
      <c r="AR1" s="673"/>
      <c r="AS1" s="673"/>
      <c r="AT1" s="673"/>
    </row>
    <row r="2" spans="1:46" s="115" customFormat="1" ht="15.75" customHeight="1">
      <c r="A2" s="3"/>
      <c r="B2" s="3"/>
      <c r="C2" s="3"/>
      <c r="D2" s="3"/>
      <c r="E2" s="3"/>
      <c r="F2" s="3"/>
      <c r="G2" s="3"/>
      <c r="H2" s="3"/>
      <c r="I2" s="3"/>
      <c r="J2" s="3"/>
      <c r="K2" s="3"/>
      <c r="L2" s="3"/>
      <c r="M2" s="3"/>
      <c r="O2" s="677"/>
      <c r="P2" s="677"/>
      <c r="Q2" s="677"/>
      <c r="R2" s="677"/>
      <c r="S2" s="677"/>
      <c r="T2" s="677"/>
      <c r="U2" s="677"/>
      <c r="V2" s="677"/>
      <c r="W2" s="677"/>
      <c r="X2" s="677"/>
      <c r="Y2" s="677"/>
      <c r="Z2" s="677"/>
      <c r="AA2" s="677"/>
      <c r="AB2" s="677"/>
      <c r="AC2" s="677"/>
      <c r="AD2" s="677"/>
      <c r="AE2" s="677"/>
      <c r="AF2" s="677"/>
      <c r="AG2" s="677"/>
      <c r="AH2" s="677"/>
      <c r="AI2" s="677"/>
      <c r="AJ2" s="677"/>
      <c r="AK2" s="677"/>
      <c r="AL2" s="677"/>
      <c r="AM2" s="677"/>
      <c r="AN2" s="677"/>
      <c r="AO2" s="677"/>
      <c r="AP2" s="677"/>
      <c r="AQ2" s="677"/>
      <c r="AR2" s="677"/>
      <c r="AS2" s="677"/>
      <c r="AT2" s="677"/>
    </row>
    <row r="3" spans="1:46" s="115" customFormat="1" ht="15.75" customHeight="1">
      <c r="A3" s="28" t="s">
        <v>41</v>
      </c>
      <c r="B3" s="19"/>
      <c r="C3" s="95"/>
      <c r="D3" s="95"/>
      <c r="E3" s="95"/>
      <c r="F3" s="95"/>
      <c r="G3" s="95"/>
      <c r="H3" s="95"/>
      <c r="I3" s="95"/>
      <c r="J3" s="95"/>
      <c r="K3" s="95"/>
      <c r="L3" s="95"/>
      <c r="M3" s="95"/>
      <c r="O3" s="677"/>
      <c r="P3" s="677"/>
      <c r="Q3" s="677"/>
      <c r="R3" s="678"/>
      <c r="S3" s="678"/>
      <c r="T3" s="678"/>
      <c r="U3" s="678"/>
      <c r="V3" s="678"/>
      <c r="W3" s="678"/>
      <c r="X3" s="678"/>
      <c r="Y3" s="678"/>
      <c r="Z3" s="678"/>
      <c r="AA3" s="678"/>
      <c r="AB3" s="678"/>
      <c r="AC3" s="677"/>
      <c r="AD3" s="677"/>
      <c r="AE3" s="677"/>
      <c r="AF3" s="677"/>
      <c r="AG3" s="677"/>
      <c r="AH3" s="677"/>
      <c r="AI3" s="677"/>
      <c r="AJ3" s="677"/>
      <c r="AK3" s="677"/>
      <c r="AL3" s="677"/>
      <c r="AM3" s="677"/>
      <c r="AN3" s="677"/>
      <c r="AO3" s="677"/>
      <c r="AP3" s="677"/>
      <c r="AQ3" s="677"/>
      <c r="AR3" s="677"/>
      <c r="AS3" s="677"/>
      <c r="AT3" s="677"/>
    </row>
    <row r="4" spans="1:46" s="115" customFormat="1" ht="28.5" customHeight="1" thickBot="1">
      <c r="A4" s="104" t="s">
        <v>1</v>
      </c>
      <c r="B4" s="30"/>
      <c r="C4" s="4">
        <v>2014</v>
      </c>
      <c r="D4" s="4">
        <v>2015</v>
      </c>
      <c r="E4" s="4">
        <v>2016</v>
      </c>
      <c r="F4" s="4">
        <v>2017</v>
      </c>
      <c r="G4" s="4">
        <v>2018</v>
      </c>
      <c r="H4" s="4">
        <v>2019</v>
      </c>
      <c r="I4" s="4">
        <v>2020</v>
      </c>
      <c r="J4" s="4">
        <v>2021</v>
      </c>
      <c r="K4" s="4">
        <v>2022</v>
      </c>
      <c r="L4" s="4">
        <v>2023</v>
      </c>
      <c r="M4" s="4">
        <v>2024</v>
      </c>
      <c r="O4" s="2"/>
      <c r="P4" s="2"/>
      <c r="Q4" s="2"/>
      <c r="R4" s="2"/>
      <c r="S4" s="560">
        <f>+C4</f>
        <v>2014</v>
      </c>
      <c r="T4" s="560">
        <f t="shared" ref="T4:AA4" si="0">+D4</f>
        <v>2015</v>
      </c>
      <c r="U4" s="560">
        <f t="shared" si="0"/>
        <v>2016</v>
      </c>
      <c r="V4" s="560">
        <f t="shared" si="0"/>
        <v>2017</v>
      </c>
      <c r="W4" s="560">
        <f t="shared" si="0"/>
        <v>2018</v>
      </c>
      <c r="X4" s="560">
        <f t="shared" si="0"/>
        <v>2019</v>
      </c>
      <c r="Y4" s="560">
        <f t="shared" si="0"/>
        <v>2020</v>
      </c>
      <c r="Z4" s="560">
        <f t="shared" si="0"/>
        <v>2021</v>
      </c>
      <c r="AA4" s="560">
        <f t="shared" si="0"/>
        <v>2022</v>
      </c>
      <c r="AB4" s="560">
        <f>+L4</f>
        <v>2023</v>
      </c>
      <c r="AC4" s="560">
        <f t="shared" ref="AC4" si="1">+M4</f>
        <v>2024</v>
      </c>
      <c r="AD4" s="560">
        <f>+C4</f>
        <v>2014</v>
      </c>
      <c r="AE4" s="560">
        <f t="shared" ref="AE4:AN4" si="2">+D4</f>
        <v>2015</v>
      </c>
      <c r="AF4" s="560">
        <f t="shared" si="2"/>
        <v>2016</v>
      </c>
      <c r="AG4" s="560">
        <f t="shared" si="2"/>
        <v>2017</v>
      </c>
      <c r="AH4" s="560">
        <f t="shared" si="2"/>
        <v>2018</v>
      </c>
      <c r="AI4" s="560">
        <f t="shared" si="2"/>
        <v>2019</v>
      </c>
      <c r="AJ4" s="560">
        <f t="shared" si="2"/>
        <v>2020</v>
      </c>
      <c r="AK4" s="560">
        <f t="shared" si="2"/>
        <v>2021</v>
      </c>
      <c r="AL4" s="560">
        <f t="shared" si="2"/>
        <v>2022</v>
      </c>
      <c r="AM4" s="560">
        <f t="shared" si="2"/>
        <v>2023</v>
      </c>
      <c r="AN4" s="560">
        <f t="shared" si="2"/>
        <v>2024</v>
      </c>
      <c r="AO4" s="677"/>
      <c r="AP4" s="677"/>
      <c r="AQ4" s="677"/>
      <c r="AR4" s="677"/>
      <c r="AS4" s="677"/>
      <c r="AT4" s="677"/>
    </row>
    <row r="5" spans="1:46" s="115" customFormat="1" ht="16.5" customHeight="1" thickTop="1">
      <c r="A5" s="307" t="s">
        <v>42</v>
      </c>
      <c r="B5" s="201"/>
      <c r="C5" s="5">
        <v>110391</v>
      </c>
      <c r="D5" s="5">
        <v>116011</v>
      </c>
      <c r="E5" s="5">
        <v>127236</v>
      </c>
      <c r="F5" s="5">
        <v>140295</v>
      </c>
      <c r="G5" s="5">
        <v>169295</v>
      </c>
      <c r="H5" s="5">
        <v>210583</v>
      </c>
      <c r="I5" s="5">
        <v>217761</v>
      </c>
      <c r="J5" s="5">
        <v>228523</v>
      </c>
      <c r="K5" s="5">
        <v>322028</v>
      </c>
      <c r="L5" s="5">
        <v>414783</v>
      </c>
      <c r="M5" s="5">
        <v>509783</v>
      </c>
      <c r="O5" s="419">
        <f>+M5-19518</f>
        <v>490265</v>
      </c>
      <c r="P5" s="2">
        <f>+(M5/L5-1)*100</f>
        <v>22.90354233418439</v>
      </c>
      <c r="Q5" s="419">
        <f>+M5-L5</f>
        <v>95000</v>
      </c>
      <c r="R5" s="2"/>
      <c r="S5" s="559">
        <f>C5*100/C$5</f>
        <v>100</v>
      </c>
      <c r="T5" s="559">
        <f t="shared" ref="T5:AC9" si="3">D5*100/D$5</f>
        <v>100</v>
      </c>
      <c r="U5" s="559">
        <f t="shared" si="3"/>
        <v>100</v>
      </c>
      <c r="V5" s="559">
        <f t="shared" si="3"/>
        <v>100</v>
      </c>
      <c r="W5" s="559">
        <f t="shared" si="3"/>
        <v>100</v>
      </c>
      <c r="X5" s="559">
        <f t="shared" si="3"/>
        <v>100</v>
      </c>
      <c r="Y5" s="559">
        <f t="shared" si="3"/>
        <v>100</v>
      </c>
      <c r="Z5" s="559">
        <f t="shared" si="3"/>
        <v>100</v>
      </c>
      <c r="AA5" s="559">
        <f t="shared" si="3"/>
        <v>100</v>
      </c>
      <c r="AB5" s="559">
        <f t="shared" si="3"/>
        <v>100</v>
      </c>
      <c r="AC5" s="559">
        <f t="shared" si="3"/>
        <v>100</v>
      </c>
      <c r="AD5" s="650" t="str">
        <f>+IFERROR(RANK(S5,(S$6:S$8,S$33:S$49),0),"")</f>
        <v/>
      </c>
      <c r="AE5" s="650" t="str">
        <f>+IFERROR(RANK(T5,(T$6:T$8,T$33:T$49),0),"")</f>
        <v/>
      </c>
      <c r="AF5" s="650" t="str">
        <f>+IFERROR(RANK(U5,(U$6:U$8,U$33:U$49),0),"")</f>
        <v/>
      </c>
      <c r="AG5" s="650" t="str">
        <f>+IFERROR(RANK(V5,(V$6:V$8,V$33:V$49),0),"")</f>
        <v/>
      </c>
      <c r="AH5" s="650" t="str">
        <f>+IFERROR(RANK(W5,(W$6:W$8,W$33:W$49),0),"")</f>
        <v/>
      </c>
      <c r="AI5" s="650" t="str">
        <f>+IFERROR(RANK(X5,(X$6:X$8,X$33:X$49),0),"")</f>
        <v/>
      </c>
      <c r="AJ5" s="650" t="str">
        <f>+IFERROR(RANK(Y5,(Y$6:Y$8,Y$33:Y$49),0),"")</f>
        <v/>
      </c>
      <c r="AK5" s="650" t="str">
        <f>+IFERROR(RANK(Z5,(Z$6:Z$8,Z$33:Z$49),0),"")</f>
        <v/>
      </c>
      <c r="AL5" s="650" t="str">
        <f>+IFERROR(RANK(AA5,(AA$6:AA$8,AA$33:AA$49),0),"")</f>
        <v/>
      </c>
      <c r="AM5" s="650" t="str">
        <f>+IFERROR(RANK(AB5,(AB$6:AB$8,AB$33:AB$49),0),"")</f>
        <v/>
      </c>
      <c r="AN5" s="650" t="str">
        <f>+IFERROR(RANK(AC5,(AC$6:AC$8,AC$33:AC$49),0),"")</f>
        <v/>
      </c>
      <c r="AO5" s="677"/>
      <c r="AP5" s="677"/>
      <c r="AQ5" s="677"/>
      <c r="AR5" s="677"/>
      <c r="AS5" s="677"/>
      <c r="AT5" s="677"/>
    </row>
    <row r="6" spans="1:46" s="115" customFormat="1" ht="16.5" customHeight="1">
      <c r="A6" s="201" t="s">
        <v>72</v>
      </c>
      <c r="B6" s="307" t="s">
        <v>169</v>
      </c>
      <c r="C6" s="5">
        <v>7062</v>
      </c>
      <c r="D6" s="5">
        <v>7786</v>
      </c>
      <c r="E6" s="5">
        <v>9277</v>
      </c>
      <c r="F6" s="5">
        <v>9922</v>
      </c>
      <c r="G6" s="5">
        <v>11861</v>
      </c>
      <c r="H6" s="5">
        <v>14225</v>
      </c>
      <c r="I6" s="5">
        <v>18717</v>
      </c>
      <c r="J6" s="5">
        <v>17965</v>
      </c>
      <c r="K6" s="5">
        <v>22397</v>
      </c>
      <c r="L6" s="5">
        <v>25857</v>
      </c>
      <c r="M6" s="5">
        <v>30673</v>
      </c>
      <c r="O6" s="2"/>
      <c r="P6" s="2"/>
      <c r="Q6" s="2"/>
      <c r="R6" s="2"/>
      <c r="S6" s="559">
        <f t="shared" ref="S6:S9" si="4">C6*100/C$5</f>
        <v>6.3972606462483359</v>
      </c>
      <c r="T6" s="559">
        <f t="shared" si="3"/>
        <v>6.7114325365698084</v>
      </c>
      <c r="U6" s="559">
        <f t="shared" si="3"/>
        <v>7.2911754534880062</v>
      </c>
      <c r="V6" s="559">
        <f t="shared" si="3"/>
        <v>7.0722406358031291</v>
      </c>
      <c r="W6" s="559">
        <f t="shared" si="3"/>
        <v>7.0061135887061043</v>
      </c>
      <c r="X6" s="559">
        <f t="shared" si="3"/>
        <v>6.7550562011178492</v>
      </c>
      <c r="Y6" s="559">
        <f t="shared" si="3"/>
        <v>8.5952029977819713</v>
      </c>
      <c r="Z6" s="559">
        <f t="shared" si="3"/>
        <v>7.8613531241931884</v>
      </c>
      <c r="AA6" s="559">
        <f t="shared" si="3"/>
        <v>6.9549852807830375</v>
      </c>
      <c r="AB6" s="559">
        <f t="shared" si="3"/>
        <v>6.2338620435263739</v>
      </c>
      <c r="AC6" s="559">
        <f t="shared" si="3"/>
        <v>6.0168738463228468</v>
      </c>
      <c r="AD6" s="650">
        <f>+IFERROR(RANK(S6,(S$6:S$8,S$33:S$49),0),"")</f>
        <v>6</v>
      </c>
      <c r="AE6" s="650">
        <f>+IFERROR(RANK(T6,(T$6:T$8,T$33:T$49),0),"")</f>
        <v>6</v>
      </c>
      <c r="AF6" s="650">
        <f>+IFERROR(RANK(U6,(U$6:U$8,U$33:U$49),0),"")</f>
        <v>6</v>
      </c>
      <c r="AG6" s="650">
        <f>+IFERROR(RANK(V6,(V$6:V$8,V$33:V$49),0),"")</f>
        <v>6</v>
      </c>
      <c r="AH6" s="650">
        <f>+IFERROR(RANK(W6,(W$6:W$8,W$33:W$49),0),"")</f>
        <v>6</v>
      </c>
      <c r="AI6" s="650">
        <f>+IFERROR(RANK(X6,(X$6:X$8,X$33:X$49),0),"")</f>
        <v>6</v>
      </c>
      <c r="AJ6" s="650">
        <f>+IFERROR(RANK(Y6,(Y$6:Y$8,Y$33:Y$49),0),"")</f>
        <v>6</v>
      </c>
      <c r="AK6" s="650">
        <f>+IFERROR(RANK(Z6,(Z$6:Z$8,Z$33:Z$49),0),"")</f>
        <v>6</v>
      </c>
      <c r="AL6" s="650">
        <f>+IFERROR(RANK(AA6,(AA$6:AA$8,AA$33:AA$49),0),"")</f>
        <v>6</v>
      </c>
      <c r="AM6" s="650">
        <f>+IFERROR(RANK(AB6,(AB$6:AB$8,AB$33:AB$49),0),"")</f>
        <v>6</v>
      </c>
      <c r="AN6" s="650">
        <f>+IFERROR(RANK(AC6,(AC$6:AC$8,AC$33:AC$49),0),"")</f>
        <v>6</v>
      </c>
      <c r="AO6" s="677"/>
      <c r="AP6" s="677"/>
      <c r="AQ6" s="677"/>
      <c r="AR6" s="677"/>
      <c r="AS6" s="677"/>
      <c r="AT6" s="677"/>
    </row>
    <row r="7" spans="1:46" s="115" customFormat="1" ht="12.75" customHeight="1">
      <c r="A7" s="201" t="s">
        <v>73</v>
      </c>
      <c r="B7" s="307" t="s">
        <v>101</v>
      </c>
      <c r="C7" s="5">
        <v>228</v>
      </c>
      <c r="D7" s="5">
        <v>227</v>
      </c>
      <c r="E7" s="5">
        <v>219</v>
      </c>
      <c r="F7" s="5">
        <v>232</v>
      </c>
      <c r="G7" s="5">
        <v>249</v>
      </c>
      <c r="H7" s="5">
        <v>273</v>
      </c>
      <c r="I7" s="5">
        <v>287</v>
      </c>
      <c r="J7" s="5">
        <v>349</v>
      </c>
      <c r="K7" s="5">
        <v>522</v>
      </c>
      <c r="L7" s="5">
        <v>737</v>
      </c>
      <c r="M7" s="5">
        <v>1025</v>
      </c>
      <c r="O7" s="2"/>
      <c r="P7" s="2"/>
      <c r="Q7" s="2"/>
      <c r="R7" s="2"/>
      <c r="S7" s="559">
        <f t="shared" si="4"/>
        <v>0.20653857651438975</v>
      </c>
      <c r="T7" s="559">
        <f t="shared" si="3"/>
        <v>0.1956711001542957</v>
      </c>
      <c r="U7" s="559">
        <f t="shared" si="3"/>
        <v>0.17212109780250873</v>
      </c>
      <c r="V7" s="559">
        <f t="shared" si="3"/>
        <v>0.16536583627356641</v>
      </c>
      <c r="W7" s="559">
        <f t="shared" si="3"/>
        <v>0.14708053988599781</v>
      </c>
      <c r="X7" s="559">
        <f t="shared" si="3"/>
        <v>0.12964009440458157</v>
      </c>
      <c r="Y7" s="559">
        <f t="shared" si="3"/>
        <v>0.13179586794696938</v>
      </c>
      <c r="Z7" s="559">
        <f t="shared" si="3"/>
        <v>0.15271985751981201</v>
      </c>
      <c r="AA7" s="559">
        <f t="shared" si="3"/>
        <v>0.16209770578955868</v>
      </c>
      <c r="AB7" s="559">
        <f t="shared" si="3"/>
        <v>0.17768327052940935</v>
      </c>
      <c r="AC7" s="559">
        <f t="shared" si="3"/>
        <v>0.20106594374469136</v>
      </c>
      <c r="AD7" s="650">
        <f>+IFERROR(RANK(S7,(S$6:S$8,S$33:S$49),0),"")</f>
        <v>17</v>
      </c>
      <c r="AE7" s="650">
        <f>+IFERROR(RANK(T7,(T$6:T$8,T$33:T$49),0),"")</f>
        <v>17</v>
      </c>
      <c r="AF7" s="650">
        <f>+IFERROR(RANK(U7,(U$6:U$8,U$33:U$49),0),"")</f>
        <v>17</v>
      </c>
      <c r="AG7" s="650">
        <f>+IFERROR(RANK(V7,(V$6:V$8,V$33:V$49),0),"")</f>
        <v>17</v>
      </c>
      <c r="AH7" s="650">
        <f>+IFERROR(RANK(W7,(W$6:W$8,W$33:W$49),0),"")</f>
        <v>17</v>
      </c>
      <c r="AI7" s="650">
        <f>+IFERROR(RANK(X7,(X$6:X$8,X$33:X$49),0),"")</f>
        <v>17</v>
      </c>
      <c r="AJ7" s="650">
        <f>+IFERROR(RANK(Y7,(Y$6:Y$8,Y$33:Y$49),0),"")</f>
        <v>17</v>
      </c>
      <c r="AK7" s="650">
        <f>+IFERROR(RANK(Z7,(Z$6:Z$8,Z$33:Z$49),0),"")</f>
        <v>17</v>
      </c>
      <c r="AL7" s="650">
        <f>+IFERROR(RANK(AA7,(AA$6:AA$8,AA$33:AA$49),0),"")</f>
        <v>17</v>
      </c>
      <c r="AM7" s="650">
        <f>+IFERROR(RANK(AB7,(AB$6:AB$8,AB$33:AB$49),0),"")</f>
        <v>17</v>
      </c>
      <c r="AN7" s="650">
        <f>+IFERROR(RANK(AC7,(AC$6:AC$8,AC$33:AC$49),0),"")</f>
        <v>17</v>
      </c>
      <c r="AO7" s="677"/>
      <c r="AP7" s="677"/>
      <c r="AQ7" s="677"/>
      <c r="AR7" s="677"/>
      <c r="AS7" s="677"/>
      <c r="AT7" s="677"/>
    </row>
    <row r="8" spans="1:46" s="115" customFormat="1" ht="12.75" customHeight="1">
      <c r="A8" s="201" t="s">
        <v>74</v>
      </c>
      <c r="B8" s="307" t="s">
        <v>100</v>
      </c>
      <c r="C8" s="5">
        <v>11324</v>
      </c>
      <c r="D8" s="5">
        <v>11833</v>
      </c>
      <c r="E8" s="5">
        <v>12481</v>
      </c>
      <c r="F8" s="5">
        <v>13478</v>
      </c>
      <c r="G8" s="5">
        <v>16688</v>
      </c>
      <c r="H8" s="5">
        <v>20396</v>
      </c>
      <c r="I8" s="5">
        <v>22035</v>
      </c>
      <c r="J8" s="5">
        <v>23964</v>
      </c>
      <c r="K8" s="5">
        <v>36090</v>
      </c>
      <c r="L8" s="5">
        <v>48796</v>
      </c>
      <c r="M8" s="5">
        <v>59815</v>
      </c>
      <c r="O8" s="559">
        <f>+C8/$C$5*100</f>
        <v>10.258082633548025</v>
      </c>
      <c r="P8" s="559">
        <f>+M8/$M$5*100</f>
        <v>11.733423829354843</v>
      </c>
      <c r="Q8" s="2"/>
      <c r="R8" s="2"/>
      <c r="S8" s="559">
        <f t="shared" si="4"/>
        <v>10.258082633548025</v>
      </c>
      <c r="T8" s="559">
        <f t="shared" si="3"/>
        <v>10.199894837558507</v>
      </c>
      <c r="U8" s="559">
        <f t="shared" si="3"/>
        <v>9.8093306925712849</v>
      </c>
      <c r="V8" s="559">
        <f t="shared" si="3"/>
        <v>9.6068997469617585</v>
      </c>
      <c r="W8" s="559">
        <f t="shared" si="3"/>
        <v>9.8573495968575564</v>
      </c>
      <c r="X8" s="559">
        <f t="shared" si="3"/>
        <v>9.6854921812302042</v>
      </c>
      <c r="Y8" s="559">
        <f t="shared" si="3"/>
        <v>10.11889181258352</v>
      </c>
      <c r="Z8" s="559">
        <f t="shared" si="3"/>
        <v>10.486471821217121</v>
      </c>
      <c r="AA8" s="559">
        <f t="shared" si="3"/>
        <v>11.207100003726383</v>
      </c>
      <c r="AB8" s="559">
        <f t="shared" si="3"/>
        <v>11.764223702514327</v>
      </c>
      <c r="AC8" s="559">
        <f t="shared" si="3"/>
        <v>11.733423829354843</v>
      </c>
      <c r="AD8" s="650">
        <f>+IFERROR(RANK(S8,(S$6:S$8,S$33:S$49),0),"")</f>
        <v>4</v>
      </c>
      <c r="AE8" s="650">
        <f>+IFERROR(RANK(T8,(T$6:T$8,T$33:T$49),0),"")</f>
        <v>4</v>
      </c>
      <c r="AF8" s="650">
        <f>+IFERROR(RANK(U8,(U$6:U$8,U$33:U$49),0),"")</f>
        <v>4</v>
      </c>
      <c r="AG8" s="650">
        <f>+IFERROR(RANK(V8,(V$6:V$8,V$33:V$49),0),"")</f>
        <v>4</v>
      </c>
      <c r="AH8" s="650">
        <f>+IFERROR(RANK(W8,(W$6:W$8,W$33:W$49),0),"")</f>
        <v>4</v>
      </c>
      <c r="AI8" s="650">
        <f>+IFERROR(RANK(X8,(X$6:X$8,X$33:X$49),0),"")</f>
        <v>5</v>
      </c>
      <c r="AJ8" s="650">
        <f>+IFERROR(RANK(Y8,(Y$6:Y$8,Y$33:Y$49),0),"")</f>
        <v>5</v>
      </c>
      <c r="AK8" s="650">
        <f>+IFERROR(RANK(Z8,(Z$6:Z$8,Z$33:Z$49),0),"")</f>
        <v>5</v>
      </c>
      <c r="AL8" s="650">
        <f>+IFERROR(RANK(AA8,(AA$6:AA$8,AA$33:AA$49),0),"")</f>
        <v>4</v>
      </c>
      <c r="AM8" s="650">
        <f>+IFERROR(RANK(AB8,(AB$6:AB$8,AB$33:AB$49),0),"")</f>
        <v>4</v>
      </c>
      <c r="AN8" s="650">
        <f>+IFERROR(RANK(AC8,(AC$6:AC$8,AC$33:AC$49),0),"")</f>
        <v>4</v>
      </c>
      <c r="AO8" s="677"/>
      <c r="AP8" s="677"/>
      <c r="AQ8" s="677"/>
      <c r="AR8" s="677"/>
      <c r="AS8" s="677"/>
      <c r="AT8" s="677"/>
    </row>
    <row r="9" spans="1:46" s="115" customFormat="1" ht="12.75" customHeight="1">
      <c r="A9" s="694"/>
      <c r="B9" s="102" t="s">
        <v>87</v>
      </c>
      <c r="C9" s="606">
        <v>2801</v>
      </c>
      <c r="D9" s="606">
        <v>3151</v>
      </c>
      <c r="E9" s="606">
        <v>3314</v>
      </c>
      <c r="F9" s="606">
        <v>3742</v>
      </c>
      <c r="G9" s="606">
        <v>4603</v>
      </c>
      <c r="H9" s="606">
        <v>6099</v>
      </c>
      <c r="I9" s="606">
        <v>5875</v>
      </c>
      <c r="J9" s="606">
        <v>6272</v>
      </c>
      <c r="K9" s="606">
        <v>8930</v>
      </c>
      <c r="L9" s="606">
        <v>11585</v>
      </c>
      <c r="M9" s="606">
        <v>14249</v>
      </c>
      <c r="O9" s="559">
        <f t="shared" ref="O9" si="5">+C9/$C$5*100</f>
        <v>2.5373445298982706</v>
      </c>
      <c r="P9" s="559">
        <f t="shared" ref="P9" si="6">+M9/$M$5*100</f>
        <v>2.7951108608957145</v>
      </c>
      <c r="Q9" s="2"/>
      <c r="R9" s="2"/>
      <c r="S9" s="559">
        <f t="shared" si="4"/>
        <v>2.5373445298982706</v>
      </c>
      <c r="T9" s="559">
        <f t="shared" si="3"/>
        <v>2.7161217470757082</v>
      </c>
      <c r="U9" s="559">
        <f t="shared" si="3"/>
        <v>2.6046087585274607</v>
      </c>
      <c r="V9" s="559">
        <f t="shared" si="3"/>
        <v>2.6672368936882997</v>
      </c>
      <c r="W9" s="559">
        <f t="shared" si="3"/>
        <v>2.7189225907439676</v>
      </c>
      <c r="X9" s="559">
        <f t="shared" si="3"/>
        <v>2.8962451859836738</v>
      </c>
      <c r="Y9" s="559">
        <f t="shared" si="3"/>
        <v>2.697911930970192</v>
      </c>
      <c r="Z9" s="559">
        <f t="shared" si="3"/>
        <v>2.7445815082070513</v>
      </c>
      <c r="AA9" s="559">
        <f t="shared" si="3"/>
        <v>2.7730507906144806</v>
      </c>
      <c r="AB9" s="559">
        <f t="shared" si="3"/>
        <v>2.7930267151739585</v>
      </c>
      <c r="AC9" s="559">
        <f t="shared" si="3"/>
        <v>2.7951108608957145</v>
      </c>
      <c r="AD9" s="650" t="str">
        <f>+IFERROR(RANK(S9,(S$6:S$8,S$33:S$49),0),"")</f>
        <v/>
      </c>
      <c r="AE9" s="650" t="str">
        <f>+IFERROR(RANK(T9,(T$6:T$8,T$33:T$49),0),"")</f>
        <v/>
      </c>
      <c r="AF9" s="650" t="str">
        <f>+IFERROR(RANK(U9,(U$6:U$8,U$33:U$49),0),"")</f>
        <v/>
      </c>
      <c r="AG9" s="650" t="str">
        <f>+IFERROR(RANK(V9,(V$6:V$8,V$33:V$49),0),"")</f>
        <v/>
      </c>
      <c r="AH9" s="650" t="str">
        <f>+IFERROR(RANK(W9,(W$6:W$8,W$33:W$49),0),"")</f>
        <v/>
      </c>
      <c r="AI9" s="650" t="str">
        <f>+IFERROR(RANK(X9,(X$6:X$8,X$33:X$49),0),"")</f>
        <v/>
      </c>
      <c r="AJ9" s="650" t="str">
        <f>+IFERROR(RANK(Y9,(Y$6:Y$8,Y$33:Y$49),0),"")</f>
        <v/>
      </c>
      <c r="AK9" s="650" t="str">
        <f>+IFERROR(RANK(Z9,(Z$6:Z$8,Z$33:Z$49),0),"")</f>
        <v/>
      </c>
      <c r="AL9" s="650" t="str">
        <f>+IFERROR(RANK(AA9,(AA$6:AA$8,AA$33:AA$49),0),"")</f>
        <v/>
      </c>
      <c r="AM9" s="650" t="str">
        <f>+IFERROR(RANK(AB9,(AB$6:AB$8,AB$33:AB$49),0),"")</f>
        <v/>
      </c>
      <c r="AN9" s="650" t="str">
        <f>+IFERROR(RANK(AC9,(AC$6:AC$8,AC$33:AC$49),0),"")</f>
        <v/>
      </c>
      <c r="AO9" s="677"/>
      <c r="AP9" s="677"/>
      <c r="AQ9" s="677"/>
      <c r="AR9" s="677"/>
      <c r="AS9" s="677"/>
      <c r="AT9" s="677"/>
    </row>
    <row r="10" spans="1:46" s="115" customFormat="1" ht="12.75" customHeight="1">
      <c r="A10" s="694"/>
      <c r="B10" s="102" t="s">
        <v>88</v>
      </c>
      <c r="C10" s="606">
        <v>250</v>
      </c>
      <c r="D10" s="606">
        <v>226</v>
      </c>
      <c r="E10" s="606">
        <v>222</v>
      </c>
      <c r="F10" s="606">
        <v>245</v>
      </c>
      <c r="G10" s="606">
        <v>277</v>
      </c>
      <c r="H10" s="606">
        <v>321</v>
      </c>
      <c r="I10" s="606">
        <v>287</v>
      </c>
      <c r="J10" s="606">
        <v>328</v>
      </c>
      <c r="K10" s="606">
        <v>485</v>
      </c>
      <c r="L10" s="606">
        <v>602</v>
      </c>
      <c r="M10" s="606">
        <v>779</v>
      </c>
      <c r="O10" s="559">
        <f t="shared" ref="O10:O49" si="7">+C10/$C$5*100</f>
        <v>0.2264677374061291</v>
      </c>
      <c r="P10" s="559">
        <f t="shared" ref="P10:P49" si="8">+M10/$M$5*100</f>
        <v>0.15281011724596544</v>
      </c>
      <c r="Q10" s="2"/>
      <c r="R10" s="2"/>
      <c r="S10" s="559">
        <f t="shared" ref="S10:S49" si="9">C10*100/C$5</f>
        <v>0.22646773740612913</v>
      </c>
      <c r="T10" s="559">
        <f t="shared" ref="T10:T49" si="10">D10*100/D$5</f>
        <v>0.1948091129289464</v>
      </c>
      <c r="U10" s="559">
        <f t="shared" ref="U10:U49" si="11">E10*100/E$5</f>
        <v>0.17447892106007734</v>
      </c>
      <c r="V10" s="559">
        <f t="shared" ref="V10:V49" si="12">F10*100/F$5</f>
        <v>0.17463202537510247</v>
      </c>
      <c r="W10" s="559">
        <f t="shared" ref="W10:W49" si="13">G10*100/G$5</f>
        <v>0.16361971706193332</v>
      </c>
      <c r="X10" s="559">
        <f t="shared" ref="X10:X49" si="14">H10*100/H$5</f>
        <v>0.15243395715703548</v>
      </c>
      <c r="Y10" s="559">
        <f t="shared" ref="Y10:Y49" si="15">I10*100/I$5</f>
        <v>0.13179586794696938</v>
      </c>
      <c r="Z10" s="559">
        <f t="shared" ref="Z10:Z49" si="16">J10*100/J$5</f>
        <v>0.1435304105057259</v>
      </c>
      <c r="AA10" s="559">
        <f t="shared" ref="AA10:AA49" si="17">K10*100/K$5</f>
        <v>0.15060802166271256</v>
      </c>
      <c r="AB10" s="559">
        <f t="shared" ref="AB10:AB49" si="18">L10*100/L$5</f>
        <v>0.14513613142293683</v>
      </c>
      <c r="AC10" s="559">
        <f t="shared" ref="AC10:AC49" si="19">M10*100/M$5</f>
        <v>0.15281011724596544</v>
      </c>
      <c r="AD10" s="650" t="str">
        <f>+IFERROR(RANK(S10,(S$6:S$8,S$33:S$49),0),"")</f>
        <v/>
      </c>
      <c r="AE10" s="650" t="str">
        <f>+IFERROR(RANK(T10,(T$6:T$8,T$33:T$49),0),"")</f>
        <v/>
      </c>
      <c r="AF10" s="650" t="str">
        <f>+IFERROR(RANK(U10,(U$6:U$8,U$33:U$49),0),"")</f>
        <v/>
      </c>
      <c r="AG10" s="650" t="str">
        <f>+IFERROR(RANK(V10,(V$6:V$8,V$33:V$49),0),"")</f>
        <v/>
      </c>
      <c r="AH10" s="650" t="str">
        <f>+IFERROR(RANK(W10,(W$6:W$8,W$33:W$49),0),"")</f>
        <v/>
      </c>
      <c r="AI10" s="650" t="str">
        <f>+IFERROR(RANK(X10,(X$6:X$8,X$33:X$49),0),"")</f>
        <v/>
      </c>
      <c r="AJ10" s="650">
        <f>+IFERROR(RANK(Y10,(Y$6:Y$8,Y$33:Y$49),0),"")</f>
        <v>17</v>
      </c>
      <c r="AK10" s="650" t="str">
        <f>+IFERROR(RANK(Z10,(Z$6:Z$8,Z$33:Z$49),0),"")</f>
        <v/>
      </c>
      <c r="AL10" s="650" t="str">
        <f>+IFERROR(RANK(AA10,(AA$6:AA$8,AA$33:AA$49),0),"")</f>
        <v/>
      </c>
      <c r="AM10" s="650" t="str">
        <f>+IFERROR(RANK(AB10,(AB$6:AB$8,AB$33:AB$49),0),"")</f>
        <v/>
      </c>
      <c r="AN10" s="650" t="str">
        <f>+IFERROR(RANK(AC10,(AC$6:AC$8,AC$33:AC$49),0),"")</f>
        <v/>
      </c>
      <c r="AO10" s="677"/>
      <c r="AP10" s="677"/>
      <c r="AQ10" s="677"/>
      <c r="AR10" s="677"/>
      <c r="AS10" s="677"/>
      <c r="AT10" s="677"/>
    </row>
    <row r="11" spans="1:46" s="115" customFormat="1" ht="12.75" customHeight="1">
      <c r="A11" s="694"/>
      <c r="B11" s="102" t="s">
        <v>89</v>
      </c>
      <c r="C11" s="606">
        <v>5</v>
      </c>
      <c r="D11" s="606">
        <v>8</v>
      </c>
      <c r="E11" s="606">
        <v>7</v>
      </c>
      <c r="F11" s="606">
        <v>10</v>
      </c>
      <c r="G11" s="606">
        <v>9</v>
      </c>
      <c r="H11" s="606">
        <v>14</v>
      </c>
      <c r="I11" s="606">
        <v>19</v>
      </c>
      <c r="J11" s="606">
        <v>20</v>
      </c>
      <c r="K11" s="606">
        <v>25</v>
      </c>
      <c r="L11" s="606">
        <v>21</v>
      </c>
      <c r="M11" s="606">
        <v>23</v>
      </c>
      <c r="O11" s="559">
        <f t="shared" si="7"/>
        <v>4.5293547481225823E-3</v>
      </c>
      <c r="P11" s="559">
        <f t="shared" si="8"/>
        <v>4.5117236157345385E-3</v>
      </c>
      <c r="Q11" s="2"/>
      <c r="R11" s="2"/>
      <c r="S11" s="559">
        <f t="shared" si="9"/>
        <v>4.5293547481225823E-3</v>
      </c>
      <c r="T11" s="559">
        <f t="shared" si="10"/>
        <v>6.8958978027945624E-3</v>
      </c>
      <c r="U11" s="559">
        <f t="shared" si="11"/>
        <v>5.5015876009934291E-3</v>
      </c>
      <c r="V11" s="559">
        <f t="shared" si="12"/>
        <v>7.1278377704123456E-3</v>
      </c>
      <c r="W11" s="559">
        <f t="shared" si="13"/>
        <v>5.3161640922649812E-3</v>
      </c>
      <c r="X11" s="559">
        <f t="shared" si="14"/>
        <v>6.6482099694657217E-3</v>
      </c>
      <c r="Y11" s="559">
        <f t="shared" si="15"/>
        <v>8.7251619895206221E-3</v>
      </c>
      <c r="Z11" s="559">
        <f t="shared" si="16"/>
        <v>8.7518542991296289E-3</v>
      </c>
      <c r="AA11" s="559">
        <f t="shared" si="17"/>
        <v>7.763300085706833E-3</v>
      </c>
      <c r="AB11" s="559">
        <f t="shared" si="18"/>
        <v>5.0628883054512838E-3</v>
      </c>
      <c r="AC11" s="559">
        <f t="shared" si="19"/>
        <v>4.5117236157345376E-3</v>
      </c>
      <c r="AD11" s="650" t="str">
        <f>+IFERROR(RANK(S11,(S$6:S$8,S$33:S$49),0),"")</f>
        <v/>
      </c>
      <c r="AE11" s="650" t="str">
        <f>+IFERROR(RANK(T11,(T$6:T$8,T$33:T$49),0),"")</f>
        <v/>
      </c>
      <c r="AF11" s="650" t="str">
        <f>+IFERROR(RANK(U11,(U$6:U$8,U$33:U$49),0),"")</f>
        <v/>
      </c>
      <c r="AG11" s="650" t="str">
        <f>+IFERROR(RANK(V11,(V$6:V$8,V$33:V$49),0),"")</f>
        <v/>
      </c>
      <c r="AH11" s="650">
        <f>+IFERROR(RANK(W11,(W$6:W$8,W$33:W$49),0),"")</f>
        <v>20</v>
      </c>
      <c r="AI11" s="650" t="str">
        <f>+IFERROR(RANK(X11,(X$6:X$8,X$33:X$49),0),"")</f>
        <v/>
      </c>
      <c r="AJ11" s="650" t="str">
        <f>+IFERROR(RANK(Y11,(Y$6:Y$8,Y$33:Y$49),0),"")</f>
        <v/>
      </c>
      <c r="AK11" s="650" t="str">
        <f>+IFERROR(RANK(Z11,(Z$6:Z$8,Z$33:Z$49),0),"")</f>
        <v/>
      </c>
      <c r="AL11" s="650" t="str">
        <f>+IFERROR(RANK(AA11,(AA$6:AA$8,AA$33:AA$49),0),"")</f>
        <v/>
      </c>
      <c r="AM11" s="650" t="str">
        <f>+IFERROR(RANK(AB11,(AB$6:AB$8,AB$33:AB$49),0),"")</f>
        <v/>
      </c>
      <c r="AN11" s="650" t="str">
        <f>+IFERROR(RANK(AC11,(AC$6:AC$8,AC$33:AC$49),0),"")</f>
        <v/>
      </c>
      <c r="AO11" s="677"/>
      <c r="AP11" s="677"/>
      <c r="AQ11" s="677"/>
      <c r="AR11" s="677"/>
      <c r="AS11" s="677"/>
      <c r="AT11" s="677"/>
    </row>
    <row r="12" spans="1:46" s="115" customFormat="1" ht="12.75" customHeight="1">
      <c r="A12" s="694"/>
      <c r="B12" s="102" t="s">
        <v>0</v>
      </c>
      <c r="C12" s="606">
        <v>407</v>
      </c>
      <c r="D12" s="606">
        <v>441</v>
      </c>
      <c r="E12" s="606">
        <v>456</v>
      </c>
      <c r="F12" s="606">
        <v>450</v>
      </c>
      <c r="G12" s="606">
        <v>560</v>
      </c>
      <c r="H12" s="606">
        <v>655</v>
      </c>
      <c r="I12" s="606">
        <v>743</v>
      </c>
      <c r="J12" s="606">
        <v>850</v>
      </c>
      <c r="K12" s="606">
        <v>1393</v>
      </c>
      <c r="L12" s="606">
        <v>1871</v>
      </c>
      <c r="M12" s="606">
        <v>2276</v>
      </c>
      <c r="O12" s="559">
        <f t="shared" si="7"/>
        <v>0.3686894764971782</v>
      </c>
      <c r="P12" s="559">
        <f t="shared" si="8"/>
        <v>0.44646447606138301</v>
      </c>
      <c r="Q12" s="2"/>
      <c r="R12" s="2"/>
      <c r="S12" s="559">
        <f t="shared" si="9"/>
        <v>0.3686894764971782</v>
      </c>
      <c r="T12" s="559">
        <f t="shared" si="10"/>
        <v>0.38013636637905024</v>
      </c>
      <c r="U12" s="559">
        <f t="shared" si="11"/>
        <v>0.35838913515042914</v>
      </c>
      <c r="V12" s="559">
        <f t="shared" si="12"/>
        <v>0.32075269966855552</v>
      </c>
      <c r="W12" s="559">
        <f t="shared" si="13"/>
        <v>0.33078354351870992</v>
      </c>
      <c r="X12" s="559">
        <f t="shared" si="14"/>
        <v>0.31104125214286055</v>
      </c>
      <c r="Y12" s="559">
        <f t="shared" si="15"/>
        <v>0.34119975569546429</v>
      </c>
      <c r="Z12" s="559">
        <f t="shared" si="16"/>
        <v>0.37195380771300918</v>
      </c>
      <c r="AA12" s="559">
        <f t="shared" si="17"/>
        <v>0.4325710807755847</v>
      </c>
      <c r="AB12" s="559">
        <f t="shared" si="18"/>
        <v>0.45107923902377872</v>
      </c>
      <c r="AC12" s="559">
        <f t="shared" si="19"/>
        <v>0.44646447606138295</v>
      </c>
      <c r="AD12" s="650" t="str">
        <f>+IFERROR(RANK(S12,(S$6:S$8,S$33:S$49),0),"")</f>
        <v/>
      </c>
      <c r="AE12" s="650" t="str">
        <f>+IFERROR(RANK(T12,(T$6:T$8,T$33:T$49),0),"")</f>
        <v/>
      </c>
      <c r="AF12" s="650" t="str">
        <f>+IFERROR(RANK(U12,(U$6:U$8,U$33:U$49),0),"")</f>
        <v/>
      </c>
      <c r="AG12" s="650" t="str">
        <f>+IFERROR(RANK(V12,(V$6:V$8,V$33:V$49),0),"")</f>
        <v/>
      </c>
      <c r="AH12" s="650" t="str">
        <f>+IFERROR(RANK(W12,(W$6:W$8,W$33:W$49),0),"")</f>
        <v/>
      </c>
      <c r="AI12" s="650" t="str">
        <f>+IFERROR(RANK(X12,(X$6:X$8,X$33:X$49),0),"")</f>
        <v/>
      </c>
      <c r="AJ12" s="650" t="str">
        <f>+IFERROR(RANK(Y12,(Y$6:Y$8,Y$33:Y$49),0),"")</f>
        <v/>
      </c>
      <c r="AK12" s="650" t="str">
        <f>+IFERROR(RANK(Z12,(Z$6:Z$8,Z$33:Z$49),0),"")</f>
        <v/>
      </c>
      <c r="AL12" s="650" t="str">
        <f>+IFERROR(RANK(AA12,(AA$6:AA$8,AA$33:AA$49),0),"")</f>
        <v/>
      </c>
      <c r="AM12" s="650" t="str">
        <f>+IFERROR(RANK(AB12,(AB$6:AB$8,AB$33:AB$49),0),"")</f>
        <v/>
      </c>
      <c r="AN12" s="650" t="str">
        <f>+IFERROR(RANK(AC12,(AC$6:AC$8,AC$33:AC$49),0),"")</f>
        <v/>
      </c>
      <c r="AO12" s="677"/>
      <c r="AP12" s="677"/>
      <c r="AQ12" s="677"/>
      <c r="AR12" s="677"/>
      <c r="AS12" s="677"/>
      <c r="AT12" s="677"/>
    </row>
    <row r="13" spans="1:46" s="115" customFormat="1" ht="12.75" customHeight="1">
      <c r="A13" s="694"/>
      <c r="B13" s="102" t="s">
        <v>90</v>
      </c>
      <c r="C13" s="606">
        <v>416</v>
      </c>
      <c r="D13" s="606">
        <v>412</v>
      </c>
      <c r="E13" s="606">
        <v>414</v>
      </c>
      <c r="F13" s="606">
        <v>431</v>
      </c>
      <c r="G13" s="606">
        <v>499</v>
      </c>
      <c r="H13" s="606">
        <v>586</v>
      </c>
      <c r="I13" s="606">
        <v>622</v>
      </c>
      <c r="J13" s="606">
        <v>622</v>
      </c>
      <c r="K13" s="606">
        <v>1123</v>
      </c>
      <c r="L13" s="606">
        <v>1480</v>
      </c>
      <c r="M13" s="606">
        <v>1547</v>
      </c>
      <c r="O13" s="559">
        <f t="shared" si="7"/>
        <v>0.37684231504379889</v>
      </c>
      <c r="P13" s="559">
        <f t="shared" si="8"/>
        <v>0.30346245363223173</v>
      </c>
      <c r="Q13" s="2"/>
      <c r="R13" s="2"/>
      <c r="S13" s="559">
        <f t="shared" si="9"/>
        <v>0.37684231504379884</v>
      </c>
      <c r="T13" s="559">
        <f t="shared" si="10"/>
        <v>0.35513873684392</v>
      </c>
      <c r="U13" s="559">
        <f t="shared" si="11"/>
        <v>0.32537960954446854</v>
      </c>
      <c r="V13" s="559">
        <f t="shared" si="12"/>
        <v>0.30720980790477209</v>
      </c>
      <c r="W13" s="559">
        <f t="shared" si="13"/>
        <v>0.29475176467113617</v>
      </c>
      <c r="X13" s="559">
        <f t="shared" si="14"/>
        <v>0.27827507443620803</v>
      </c>
      <c r="Y13" s="559">
        <f t="shared" si="15"/>
        <v>0.28563425039378032</v>
      </c>
      <c r="Z13" s="559">
        <f t="shared" si="16"/>
        <v>0.27218266870293145</v>
      </c>
      <c r="AA13" s="559">
        <f t="shared" si="17"/>
        <v>0.34872743984995092</v>
      </c>
      <c r="AB13" s="559">
        <f t="shared" si="18"/>
        <v>0.35681308057466193</v>
      </c>
      <c r="AC13" s="559">
        <f t="shared" si="19"/>
        <v>0.30346245363223173</v>
      </c>
      <c r="AD13" s="650" t="str">
        <f>+IFERROR(RANK(S13,(S$6:S$8,S$33:S$49),0),"")</f>
        <v/>
      </c>
      <c r="AE13" s="650" t="str">
        <f>+IFERROR(RANK(T13,(T$6:T$8,T$33:T$49),0),"")</f>
        <v/>
      </c>
      <c r="AF13" s="650" t="str">
        <f>+IFERROR(RANK(U13,(U$6:U$8,U$33:U$49),0),"")</f>
        <v/>
      </c>
      <c r="AG13" s="650" t="str">
        <f>+IFERROR(RANK(V13,(V$6:V$8,V$33:V$49),0),"")</f>
        <v/>
      </c>
      <c r="AH13" s="650" t="str">
        <f>+IFERROR(RANK(W13,(W$6:W$8,W$33:W$49),0),"")</f>
        <v/>
      </c>
      <c r="AI13" s="650" t="str">
        <f>+IFERROR(RANK(X13,(X$6:X$8,X$33:X$49),0),"")</f>
        <v/>
      </c>
      <c r="AJ13" s="650" t="str">
        <f>+IFERROR(RANK(Y13,(Y$6:Y$8,Y$33:Y$49),0),"")</f>
        <v/>
      </c>
      <c r="AK13" s="650" t="str">
        <f>+IFERROR(RANK(Z13,(Z$6:Z$8,Z$33:Z$49),0),"")</f>
        <v/>
      </c>
      <c r="AL13" s="650" t="str">
        <f>+IFERROR(RANK(AA13,(AA$6:AA$8,AA$33:AA$49),0),"")</f>
        <v/>
      </c>
      <c r="AM13" s="650" t="str">
        <f>+IFERROR(RANK(AB13,(AB$6:AB$8,AB$33:AB$49),0),"")</f>
        <v/>
      </c>
      <c r="AN13" s="650" t="str">
        <f>+IFERROR(RANK(AC13,(AC$6:AC$8,AC$33:AC$49),0),"")</f>
        <v/>
      </c>
      <c r="AO13" s="677"/>
      <c r="AP13" s="677"/>
      <c r="AQ13" s="677"/>
      <c r="AR13" s="677"/>
      <c r="AS13" s="677"/>
      <c r="AT13" s="677"/>
    </row>
    <row r="14" spans="1:46" s="115" customFormat="1" ht="12.75" customHeight="1">
      <c r="A14" s="694"/>
      <c r="B14" s="102" t="s">
        <v>143</v>
      </c>
      <c r="C14" s="606">
        <v>322</v>
      </c>
      <c r="D14" s="606">
        <v>320</v>
      </c>
      <c r="E14" s="606">
        <v>351</v>
      </c>
      <c r="F14" s="606">
        <v>331</v>
      </c>
      <c r="G14" s="606">
        <v>378</v>
      </c>
      <c r="H14" s="606">
        <v>413</v>
      </c>
      <c r="I14" s="606">
        <v>464</v>
      </c>
      <c r="J14" s="606">
        <v>601</v>
      </c>
      <c r="K14" s="606">
        <v>1260</v>
      </c>
      <c r="L14" s="606">
        <v>1526</v>
      </c>
      <c r="M14" s="606">
        <v>1407</v>
      </c>
      <c r="O14" s="559">
        <f t="shared" si="7"/>
        <v>0.29169044577909431</v>
      </c>
      <c r="P14" s="559">
        <f t="shared" si="8"/>
        <v>0.27599978814515197</v>
      </c>
      <c r="Q14" s="2"/>
      <c r="R14" s="2"/>
      <c r="S14" s="559">
        <f t="shared" si="9"/>
        <v>0.29169044577909431</v>
      </c>
      <c r="T14" s="559">
        <f t="shared" si="10"/>
        <v>0.27583591211178249</v>
      </c>
      <c r="U14" s="559">
        <f t="shared" si="11"/>
        <v>0.2758653211355277</v>
      </c>
      <c r="V14" s="559">
        <f t="shared" si="12"/>
        <v>0.23593143020064863</v>
      </c>
      <c r="W14" s="559">
        <f t="shared" si="13"/>
        <v>0.22327889187512923</v>
      </c>
      <c r="X14" s="559">
        <f t="shared" si="14"/>
        <v>0.19612219409923878</v>
      </c>
      <c r="Y14" s="559">
        <f t="shared" si="15"/>
        <v>0.21307764016513517</v>
      </c>
      <c r="Z14" s="559">
        <f t="shared" si="16"/>
        <v>0.26299322168884531</v>
      </c>
      <c r="AA14" s="559">
        <f t="shared" si="17"/>
        <v>0.39127032431962439</v>
      </c>
      <c r="AB14" s="559">
        <f t="shared" si="18"/>
        <v>0.36790321686279331</v>
      </c>
      <c r="AC14" s="559">
        <f t="shared" si="19"/>
        <v>0.27599978814515197</v>
      </c>
      <c r="AD14" s="650" t="str">
        <f>+IFERROR(RANK(S14,(S$6:S$8,S$33:S$49),0),"")</f>
        <v/>
      </c>
      <c r="AE14" s="650" t="str">
        <f>+IFERROR(RANK(T14,(T$6:T$8,T$33:T$49),0),"")</f>
        <v/>
      </c>
      <c r="AF14" s="650" t="str">
        <f>+IFERROR(RANK(U14,(U$6:U$8,U$33:U$49),0),"")</f>
        <v/>
      </c>
      <c r="AG14" s="650" t="str">
        <f>+IFERROR(RANK(V14,(V$6:V$8,V$33:V$49),0),"")</f>
        <v/>
      </c>
      <c r="AH14" s="650" t="str">
        <f>+IFERROR(RANK(W14,(W$6:W$8,W$33:W$49),0),"")</f>
        <v/>
      </c>
      <c r="AI14" s="650" t="str">
        <f>+IFERROR(RANK(X14,(X$6:X$8,X$33:X$49),0),"")</f>
        <v/>
      </c>
      <c r="AJ14" s="650" t="str">
        <f>+IFERROR(RANK(Y14,(Y$6:Y$8,Y$33:Y$49),0),"")</f>
        <v/>
      </c>
      <c r="AK14" s="650" t="str">
        <f>+IFERROR(RANK(Z14,(Z$6:Z$8,Z$33:Z$49),0),"")</f>
        <v/>
      </c>
      <c r="AL14" s="650" t="str">
        <f>+IFERROR(RANK(AA14,(AA$6:AA$8,AA$33:AA$49),0),"")</f>
        <v/>
      </c>
      <c r="AM14" s="650" t="str">
        <f>+IFERROR(RANK(AB14,(AB$6:AB$8,AB$33:AB$49),0),"")</f>
        <v/>
      </c>
      <c r="AN14" s="650" t="str">
        <f>+IFERROR(RANK(AC14,(AC$6:AC$8,AC$33:AC$49),0),"")</f>
        <v/>
      </c>
      <c r="AO14" s="677"/>
      <c r="AP14" s="677"/>
      <c r="AQ14" s="677"/>
      <c r="AR14" s="677"/>
      <c r="AS14" s="677"/>
      <c r="AT14" s="677"/>
    </row>
    <row r="15" spans="1:46" s="115" customFormat="1" ht="12.75" customHeight="1">
      <c r="A15" s="694"/>
      <c r="B15" s="102" t="s">
        <v>144</v>
      </c>
      <c r="C15" s="606">
        <v>391</v>
      </c>
      <c r="D15" s="606">
        <v>379</v>
      </c>
      <c r="E15" s="606">
        <v>342</v>
      </c>
      <c r="F15" s="606">
        <v>368</v>
      </c>
      <c r="G15" s="606">
        <v>432</v>
      </c>
      <c r="H15" s="606">
        <v>574</v>
      </c>
      <c r="I15" s="606">
        <v>592</v>
      </c>
      <c r="J15" s="606">
        <v>672</v>
      </c>
      <c r="K15" s="606">
        <v>1012</v>
      </c>
      <c r="L15" s="606">
        <v>1236</v>
      </c>
      <c r="M15" s="606">
        <v>1581</v>
      </c>
      <c r="O15" s="559">
        <f t="shared" si="7"/>
        <v>0.35419554130318592</v>
      </c>
      <c r="P15" s="559">
        <f t="shared" si="8"/>
        <v>0.31013195810766542</v>
      </c>
      <c r="Q15" s="2"/>
      <c r="R15" s="2"/>
      <c r="S15" s="559">
        <f t="shared" si="9"/>
        <v>0.35419554130318592</v>
      </c>
      <c r="T15" s="559">
        <f t="shared" si="10"/>
        <v>0.32669315840739238</v>
      </c>
      <c r="U15" s="559">
        <f t="shared" si="11"/>
        <v>0.26879185136282185</v>
      </c>
      <c r="V15" s="559">
        <f t="shared" si="12"/>
        <v>0.26230442995117431</v>
      </c>
      <c r="W15" s="559">
        <f t="shared" si="13"/>
        <v>0.25517587642871908</v>
      </c>
      <c r="X15" s="559">
        <f t="shared" si="14"/>
        <v>0.27257660874809458</v>
      </c>
      <c r="Y15" s="559">
        <f t="shared" si="15"/>
        <v>0.27185767883137935</v>
      </c>
      <c r="Z15" s="559">
        <f t="shared" si="16"/>
        <v>0.29406230445075549</v>
      </c>
      <c r="AA15" s="559">
        <f t="shared" si="17"/>
        <v>0.31425838746941259</v>
      </c>
      <c r="AB15" s="559">
        <f t="shared" si="18"/>
        <v>0.29798714026370415</v>
      </c>
      <c r="AC15" s="559">
        <f t="shared" si="19"/>
        <v>0.31013195810766542</v>
      </c>
      <c r="AD15" s="650" t="str">
        <f>+IFERROR(RANK(S15,(S$6:S$8,S$33:S$49),0),"")</f>
        <v/>
      </c>
      <c r="AE15" s="650" t="str">
        <f>+IFERROR(RANK(T15,(T$6:T$8,T$33:T$49),0),"")</f>
        <v/>
      </c>
      <c r="AF15" s="650" t="str">
        <f>+IFERROR(RANK(U15,(U$6:U$8,U$33:U$49),0),"")</f>
        <v/>
      </c>
      <c r="AG15" s="650" t="str">
        <f>+IFERROR(RANK(V15,(V$6:V$8,V$33:V$49),0),"")</f>
        <v/>
      </c>
      <c r="AH15" s="650" t="str">
        <f>+IFERROR(RANK(W15,(W$6:W$8,W$33:W$49),0),"")</f>
        <v/>
      </c>
      <c r="AI15" s="650" t="str">
        <f>+IFERROR(RANK(X15,(X$6:X$8,X$33:X$49),0),"")</f>
        <v/>
      </c>
      <c r="AJ15" s="650" t="str">
        <f>+IFERROR(RANK(Y15,(Y$6:Y$8,Y$33:Y$49),0),"")</f>
        <v/>
      </c>
      <c r="AK15" s="650" t="str">
        <f>+IFERROR(RANK(Z15,(Z$6:Z$8,Z$33:Z$49),0),"")</f>
        <v/>
      </c>
      <c r="AL15" s="650" t="str">
        <f>+IFERROR(RANK(AA15,(AA$6:AA$8,AA$33:AA$49),0),"")</f>
        <v/>
      </c>
      <c r="AM15" s="650" t="str">
        <f>+IFERROR(RANK(AB15,(AB$6:AB$8,AB$33:AB$49),0),"")</f>
        <v/>
      </c>
      <c r="AN15" s="650" t="str">
        <f>+IFERROR(RANK(AC15,(AC$6:AC$8,AC$33:AC$49),0),"")</f>
        <v/>
      </c>
      <c r="AO15" s="677"/>
      <c r="AP15" s="677"/>
      <c r="AQ15" s="677"/>
      <c r="AR15" s="677"/>
      <c r="AS15" s="677"/>
      <c r="AT15" s="677"/>
    </row>
    <row r="16" spans="1:46" s="115" customFormat="1" ht="12.75" customHeight="1">
      <c r="A16" s="694"/>
      <c r="B16" s="102" t="s">
        <v>145</v>
      </c>
      <c r="C16" s="606">
        <v>195</v>
      </c>
      <c r="D16" s="606">
        <v>190</v>
      </c>
      <c r="E16" s="606">
        <v>215</v>
      </c>
      <c r="F16" s="606">
        <v>222</v>
      </c>
      <c r="G16" s="606">
        <v>251</v>
      </c>
      <c r="H16" s="606">
        <v>334</v>
      </c>
      <c r="I16" s="606">
        <v>399</v>
      </c>
      <c r="J16" s="606">
        <v>478</v>
      </c>
      <c r="K16" s="606">
        <v>657</v>
      </c>
      <c r="L16" s="606">
        <v>826</v>
      </c>
      <c r="M16" s="606">
        <v>927</v>
      </c>
      <c r="O16" s="559">
        <f t="shared" si="7"/>
        <v>0.17664483517678073</v>
      </c>
      <c r="P16" s="559">
        <f t="shared" si="8"/>
        <v>0.18184207790373552</v>
      </c>
      <c r="Q16" s="2"/>
      <c r="R16" s="2"/>
      <c r="S16" s="559">
        <f t="shared" si="9"/>
        <v>0.17664483517678073</v>
      </c>
      <c r="T16" s="559">
        <f t="shared" si="10"/>
        <v>0.16377757281637087</v>
      </c>
      <c r="U16" s="559">
        <f t="shared" si="11"/>
        <v>0.16897733345908392</v>
      </c>
      <c r="V16" s="559">
        <f t="shared" si="12"/>
        <v>0.15823799850315406</v>
      </c>
      <c r="W16" s="559">
        <f t="shared" si="13"/>
        <v>0.14826190968427891</v>
      </c>
      <c r="X16" s="559">
        <f t="shared" si="14"/>
        <v>0.15860729498582507</v>
      </c>
      <c r="Y16" s="559">
        <f t="shared" si="15"/>
        <v>0.18322840177993305</v>
      </c>
      <c r="Z16" s="559">
        <f t="shared" si="16"/>
        <v>0.20916931774919811</v>
      </c>
      <c r="AA16" s="559">
        <f t="shared" si="17"/>
        <v>0.20401952625237557</v>
      </c>
      <c r="AB16" s="559">
        <f t="shared" si="18"/>
        <v>0.1991402733477505</v>
      </c>
      <c r="AC16" s="559">
        <f t="shared" si="19"/>
        <v>0.18184207790373552</v>
      </c>
      <c r="AD16" s="650" t="str">
        <f>+IFERROR(RANK(S16,(S$6:S$8,S$33:S$49),0),"")</f>
        <v/>
      </c>
      <c r="AE16" s="650" t="str">
        <f>+IFERROR(RANK(T16,(T$6:T$8,T$33:T$49),0),"")</f>
        <v/>
      </c>
      <c r="AF16" s="650" t="str">
        <f>+IFERROR(RANK(U16,(U$6:U$8,U$33:U$49),0),"")</f>
        <v/>
      </c>
      <c r="AG16" s="650" t="str">
        <f>+IFERROR(RANK(V16,(V$6:V$8,V$33:V$49),0),"")</f>
        <v/>
      </c>
      <c r="AH16" s="650" t="str">
        <f>+IFERROR(RANK(W16,(W$6:W$8,W$33:W$49),0),"")</f>
        <v/>
      </c>
      <c r="AI16" s="650" t="str">
        <f>+IFERROR(RANK(X16,(X$6:X$8,X$33:X$49),0),"")</f>
        <v/>
      </c>
      <c r="AJ16" s="650" t="str">
        <f>+IFERROR(RANK(Y16,(Y$6:Y$8,Y$33:Y$49),0),"")</f>
        <v/>
      </c>
      <c r="AK16" s="650" t="str">
        <f>+IFERROR(RANK(Z16,(Z$6:Z$8,Z$33:Z$49),0),"")</f>
        <v/>
      </c>
      <c r="AL16" s="650" t="str">
        <f>+IFERROR(RANK(AA16,(AA$6:AA$8,AA$33:AA$49),0),"")</f>
        <v/>
      </c>
      <c r="AM16" s="650" t="str">
        <f>+IFERROR(RANK(AB16,(AB$6:AB$8,AB$33:AB$49),0),"")</f>
        <v/>
      </c>
      <c r="AN16" s="650" t="str">
        <f>+IFERROR(RANK(AC16,(AC$6:AC$8,AC$33:AC$49),0),"")</f>
        <v/>
      </c>
      <c r="AO16" s="677"/>
      <c r="AP16" s="677"/>
      <c r="AQ16" s="677"/>
      <c r="AR16" s="677"/>
      <c r="AS16" s="677"/>
      <c r="AT16" s="677"/>
    </row>
    <row r="17" spans="1:46" s="115" customFormat="1" ht="12.75" customHeight="1">
      <c r="A17" s="694"/>
      <c r="B17" s="102" t="s">
        <v>146</v>
      </c>
      <c r="C17" s="606">
        <v>200</v>
      </c>
      <c r="D17" s="606">
        <v>179</v>
      </c>
      <c r="E17" s="606">
        <v>186</v>
      </c>
      <c r="F17" s="606">
        <v>197</v>
      </c>
      <c r="G17" s="606">
        <v>242</v>
      </c>
      <c r="H17" s="606">
        <v>292</v>
      </c>
      <c r="I17" s="606">
        <v>283</v>
      </c>
      <c r="J17" s="606">
        <v>281</v>
      </c>
      <c r="K17" s="606">
        <v>383</v>
      </c>
      <c r="L17" s="606">
        <v>430</v>
      </c>
      <c r="M17" s="606">
        <v>555</v>
      </c>
      <c r="O17" s="559">
        <f t="shared" si="7"/>
        <v>0.18117418992490331</v>
      </c>
      <c r="P17" s="559">
        <f t="shared" si="8"/>
        <v>0.10886985246663777</v>
      </c>
      <c r="Q17" s="2"/>
      <c r="R17" s="2"/>
      <c r="S17" s="559">
        <f t="shared" si="9"/>
        <v>0.18117418992490331</v>
      </c>
      <c r="T17" s="559">
        <f t="shared" si="10"/>
        <v>0.15429571333752834</v>
      </c>
      <c r="U17" s="559">
        <f t="shared" si="11"/>
        <v>0.146185041969254</v>
      </c>
      <c r="V17" s="559">
        <f t="shared" si="12"/>
        <v>0.14041840407712319</v>
      </c>
      <c r="W17" s="559">
        <f t="shared" si="13"/>
        <v>0.14294574559201395</v>
      </c>
      <c r="X17" s="559">
        <f t="shared" si="14"/>
        <v>0.13866266507742792</v>
      </c>
      <c r="Y17" s="559">
        <f t="shared" si="15"/>
        <v>0.12995899173864925</v>
      </c>
      <c r="Z17" s="559">
        <f t="shared" si="16"/>
        <v>0.12296355290277128</v>
      </c>
      <c r="AA17" s="559">
        <f t="shared" si="17"/>
        <v>0.11893375731302869</v>
      </c>
      <c r="AB17" s="559">
        <f t="shared" si="18"/>
        <v>0.10366866530209773</v>
      </c>
      <c r="AC17" s="559">
        <f t="shared" si="19"/>
        <v>0.10886985246663776</v>
      </c>
      <c r="AD17" s="650" t="str">
        <f>+IFERROR(RANK(S17,(S$6:S$8,S$33:S$49),0),"")</f>
        <v/>
      </c>
      <c r="AE17" s="650" t="str">
        <f>+IFERROR(RANK(T17,(T$6:T$8,T$33:T$49),0),"")</f>
        <v/>
      </c>
      <c r="AF17" s="650" t="str">
        <f>+IFERROR(RANK(U17,(U$6:U$8,U$33:U$49),0),"")</f>
        <v/>
      </c>
      <c r="AG17" s="650" t="str">
        <f>+IFERROR(RANK(V17,(V$6:V$8,V$33:V$49),0),"")</f>
        <v/>
      </c>
      <c r="AH17" s="650" t="str">
        <f>+IFERROR(RANK(W17,(W$6:W$8,W$33:W$49),0),"")</f>
        <v/>
      </c>
      <c r="AI17" s="650" t="str">
        <f>+IFERROR(RANK(X17,(X$6:X$8,X$33:X$49),0),"")</f>
        <v/>
      </c>
      <c r="AJ17" s="650" t="str">
        <f>+IFERROR(RANK(Y17,(Y$6:Y$8,Y$33:Y$49),0),"")</f>
        <v/>
      </c>
      <c r="AK17" s="650" t="str">
        <f>+IFERROR(RANK(Z17,(Z$6:Z$8,Z$33:Z$49),0),"")</f>
        <v/>
      </c>
      <c r="AL17" s="650" t="str">
        <f>+IFERROR(RANK(AA17,(AA$6:AA$8,AA$33:AA$49),0),"")</f>
        <v/>
      </c>
      <c r="AM17" s="650" t="str">
        <f>+IFERROR(RANK(AB17,(AB$6:AB$8,AB$33:AB$49),0),"")</f>
        <v/>
      </c>
      <c r="AN17" s="650" t="str">
        <f>+IFERROR(RANK(AC17,(AC$6:AC$8,AC$33:AC$49),0),"")</f>
        <v/>
      </c>
      <c r="AO17" s="677"/>
      <c r="AP17" s="677"/>
      <c r="AQ17" s="677"/>
      <c r="AR17" s="677"/>
      <c r="AS17" s="677"/>
      <c r="AT17" s="677"/>
    </row>
    <row r="18" spans="1:46" s="115" customFormat="1" ht="12.75" customHeight="1">
      <c r="A18" s="694"/>
      <c r="B18" s="102" t="s">
        <v>147</v>
      </c>
      <c r="C18" s="606">
        <v>16</v>
      </c>
      <c r="D18" s="606">
        <v>15</v>
      </c>
      <c r="E18" s="606">
        <v>15</v>
      </c>
      <c r="F18" s="606">
        <v>14</v>
      </c>
      <c r="G18" s="606">
        <v>15</v>
      </c>
      <c r="H18" s="606">
        <v>15</v>
      </c>
      <c r="I18" s="606">
        <v>12</v>
      </c>
      <c r="J18" s="606">
        <v>9</v>
      </c>
      <c r="K18" s="606">
        <v>32</v>
      </c>
      <c r="L18" s="606">
        <v>60</v>
      </c>
      <c r="M18" s="606">
        <v>22</v>
      </c>
      <c r="O18" s="559">
        <f t="shared" si="7"/>
        <v>1.4493935193992264E-2</v>
      </c>
      <c r="P18" s="559">
        <f t="shared" si="8"/>
        <v>4.3155617193982535E-3</v>
      </c>
      <c r="Q18" s="2"/>
      <c r="R18" s="2"/>
      <c r="S18" s="559">
        <f t="shared" si="9"/>
        <v>1.4493935193992264E-2</v>
      </c>
      <c r="T18" s="559">
        <f t="shared" si="10"/>
        <v>1.2929808380239804E-2</v>
      </c>
      <c r="U18" s="559">
        <f t="shared" si="11"/>
        <v>1.1789116287843064E-2</v>
      </c>
      <c r="V18" s="559">
        <f t="shared" si="12"/>
        <v>9.978972878577283E-3</v>
      </c>
      <c r="W18" s="559">
        <f t="shared" si="13"/>
        <v>8.8602734871083017E-3</v>
      </c>
      <c r="X18" s="559">
        <f t="shared" si="14"/>
        <v>7.1230821101418446E-3</v>
      </c>
      <c r="Y18" s="559">
        <f t="shared" si="15"/>
        <v>5.5106286249603925E-3</v>
      </c>
      <c r="Z18" s="559">
        <f t="shared" si="16"/>
        <v>3.9383344346083328E-3</v>
      </c>
      <c r="AA18" s="559">
        <f t="shared" si="17"/>
        <v>9.9370241097047462E-3</v>
      </c>
      <c r="AB18" s="559">
        <f t="shared" si="18"/>
        <v>1.446539515843224E-2</v>
      </c>
      <c r="AC18" s="559">
        <f t="shared" si="19"/>
        <v>4.3155617193982535E-3</v>
      </c>
      <c r="AD18" s="650" t="str">
        <f>+IFERROR(RANK(S18,(S$6:S$8,S$33:S$49),0),"")</f>
        <v/>
      </c>
      <c r="AE18" s="650" t="str">
        <f>+IFERROR(RANK(T18,(T$6:T$8,T$33:T$49),0),"")</f>
        <v/>
      </c>
      <c r="AF18" s="650" t="str">
        <f>+IFERROR(RANK(U18,(U$6:U$8,U$33:U$49),0),"")</f>
        <v/>
      </c>
      <c r="AG18" s="650" t="str">
        <f>+IFERROR(RANK(V18,(V$6:V$8,V$33:V$49),0),"")</f>
        <v/>
      </c>
      <c r="AH18" s="650" t="str">
        <f>+IFERROR(RANK(W18,(W$6:W$8,W$33:W$49),0),"")</f>
        <v/>
      </c>
      <c r="AI18" s="650" t="str">
        <f>+IFERROR(RANK(X18,(X$6:X$8,X$33:X$49),0),"")</f>
        <v/>
      </c>
      <c r="AJ18" s="650" t="str">
        <f>+IFERROR(RANK(Y18,(Y$6:Y$8,Y$33:Y$49),0),"")</f>
        <v/>
      </c>
      <c r="AK18" s="650" t="str">
        <f>+IFERROR(RANK(Z18,(Z$6:Z$8,Z$33:Z$49),0),"")</f>
        <v/>
      </c>
      <c r="AL18" s="650" t="str">
        <f>+IFERROR(RANK(AA18,(AA$6:AA$8,AA$33:AA$49),0),"")</f>
        <v/>
      </c>
      <c r="AM18" s="650" t="str">
        <f>+IFERROR(RANK(AB18,(AB$6:AB$8,AB$33:AB$49),0),"")</f>
        <v/>
      </c>
      <c r="AN18" s="650" t="str">
        <f>+IFERROR(RANK(AC18,(AC$6:AC$8,AC$33:AC$49),0),"")</f>
        <v/>
      </c>
      <c r="AO18" s="677"/>
      <c r="AP18" s="677"/>
      <c r="AQ18" s="677"/>
      <c r="AR18" s="677"/>
      <c r="AS18" s="677"/>
      <c r="AT18" s="677"/>
    </row>
    <row r="19" spans="1:46" s="115" customFormat="1" ht="12.75" customHeight="1">
      <c r="A19" s="694"/>
      <c r="B19" s="102" t="s">
        <v>148</v>
      </c>
      <c r="C19" s="606">
        <v>248</v>
      </c>
      <c r="D19" s="606">
        <v>235</v>
      </c>
      <c r="E19" s="606">
        <v>233</v>
      </c>
      <c r="F19" s="606">
        <v>238</v>
      </c>
      <c r="G19" s="606">
        <v>260</v>
      </c>
      <c r="H19" s="606">
        <v>281</v>
      </c>
      <c r="I19" s="606">
        <v>339</v>
      </c>
      <c r="J19" s="606">
        <v>439</v>
      </c>
      <c r="K19" s="606">
        <v>500</v>
      </c>
      <c r="L19" s="606">
        <v>767</v>
      </c>
      <c r="M19" s="606">
        <v>877</v>
      </c>
      <c r="O19" s="559">
        <f t="shared" si="7"/>
        <v>0.22465599550688009</v>
      </c>
      <c r="P19" s="559">
        <f t="shared" si="8"/>
        <v>0.1720339830869213</v>
      </c>
      <c r="Q19" s="2"/>
      <c r="R19" s="2"/>
      <c r="S19" s="559">
        <f t="shared" si="9"/>
        <v>0.22465599550688009</v>
      </c>
      <c r="T19" s="559">
        <f t="shared" si="10"/>
        <v>0.20256699795709027</v>
      </c>
      <c r="U19" s="559">
        <f t="shared" si="11"/>
        <v>0.18312427300449557</v>
      </c>
      <c r="V19" s="559">
        <f t="shared" si="12"/>
        <v>0.16964253893581382</v>
      </c>
      <c r="W19" s="559">
        <f t="shared" si="13"/>
        <v>0.15357807377654389</v>
      </c>
      <c r="X19" s="559">
        <f t="shared" si="14"/>
        <v>0.13343907152999054</v>
      </c>
      <c r="Y19" s="559">
        <f t="shared" si="15"/>
        <v>0.15567525865513107</v>
      </c>
      <c r="Z19" s="559">
        <f t="shared" si="16"/>
        <v>0.19210320186589533</v>
      </c>
      <c r="AA19" s="559">
        <f t="shared" si="17"/>
        <v>0.15526600171413665</v>
      </c>
      <c r="AB19" s="559">
        <f t="shared" si="18"/>
        <v>0.18491596810862548</v>
      </c>
      <c r="AC19" s="559">
        <f t="shared" si="19"/>
        <v>0.1720339830869213</v>
      </c>
      <c r="AD19" s="650" t="str">
        <f>+IFERROR(RANK(S19,(S$6:S$8,S$33:S$49),0),"")</f>
        <v/>
      </c>
      <c r="AE19" s="650" t="str">
        <f>+IFERROR(RANK(T19,(T$6:T$8,T$33:T$49),0),"")</f>
        <v/>
      </c>
      <c r="AF19" s="650" t="str">
        <f>+IFERROR(RANK(U19,(U$6:U$8,U$33:U$49),0),"")</f>
        <v/>
      </c>
      <c r="AG19" s="650" t="str">
        <f>+IFERROR(RANK(V19,(V$6:V$8,V$33:V$49),0),"")</f>
        <v/>
      </c>
      <c r="AH19" s="650" t="str">
        <f>+IFERROR(RANK(W19,(W$6:W$8,W$33:W$49),0),"")</f>
        <v/>
      </c>
      <c r="AI19" s="650" t="str">
        <f>+IFERROR(RANK(X19,(X$6:X$8,X$33:X$49),0),"")</f>
        <v/>
      </c>
      <c r="AJ19" s="650" t="str">
        <f>+IFERROR(RANK(Y19,(Y$6:Y$8,Y$33:Y$49),0),"")</f>
        <v/>
      </c>
      <c r="AK19" s="650" t="str">
        <f>+IFERROR(RANK(Z19,(Z$6:Z$8,Z$33:Z$49),0),"")</f>
        <v/>
      </c>
      <c r="AL19" s="650" t="str">
        <f>+IFERROR(RANK(AA19,(AA$6:AA$8,AA$33:AA$49),0),"")</f>
        <v/>
      </c>
      <c r="AM19" s="650" t="str">
        <f>+IFERROR(RANK(AB19,(AB$6:AB$8,AB$33:AB$49),0),"")</f>
        <v/>
      </c>
      <c r="AN19" s="650" t="str">
        <f>+IFERROR(RANK(AC19,(AC$6:AC$8,AC$33:AC$49),0),"")</f>
        <v/>
      </c>
      <c r="AO19" s="677"/>
      <c r="AP19" s="677"/>
      <c r="AQ19" s="677"/>
      <c r="AR19" s="677"/>
      <c r="AS19" s="677"/>
      <c r="AT19" s="677"/>
    </row>
    <row r="20" spans="1:46" s="115" customFormat="1" ht="12.75" customHeight="1">
      <c r="A20" s="694"/>
      <c r="B20" s="102" t="s">
        <v>157</v>
      </c>
      <c r="C20" s="606">
        <v>99</v>
      </c>
      <c r="D20" s="606">
        <v>95</v>
      </c>
      <c r="E20" s="606">
        <v>114</v>
      </c>
      <c r="F20" s="606">
        <v>138</v>
      </c>
      <c r="G20" s="606">
        <v>182</v>
      </c>
      <c r="H20" s="606">
        <v>230</v>
      </c>
      <c r="I20" s="606">
        <v>306</v>
      </c>
      <c r="J20" s="606">
        <v>347</v>
      </c>
      <c r="K20" s="606">
        <v>480</v>
      </c>
      <c r="L20" s="606">
        <v>631</v>
      </c>
      <c r="M20" s="606">
        <v>741</v>
      </c>
      <c r="O20" s="559">
        <f t="shared" si="7"/>
        <v>8.9681224012827132E-2</v>
      </c>
      <c r="P20" s="559">
        <f t="shared" si="8"/>
        <v>0.14535596518518665</v>
      </c>
      <c r="Q20" s="2"/>
      <c r="R20" s="2"/>
      <c r="S20" s="559">
        <f t="shared" si="9"/>
        <v>8.9681224012827132E-2</v>
      </c>
      <c r="T20" s="559">
        <f t="shared" si="10"/>
        <v>8.1888786408185435E-2</v>
      </c>
      <c r="U20" s="559">
        <f t="shared" si="11"/>
        <v>8.9597283787607285E-2</v>
      </c>
      <c r="V20" s="559">
        <f t="shared" si="12"/>
        <v>9.8364161231690367E-2</v>
      </c>
      <c r="W20" s="559">
        <f t="shared" si="13"/>
        <v>0.10750465164358074</v>
      </c>
      <c r="X20" s="559">
        <f t="shared" si="14"/>
        <v>0.10922059235550828</v>
      </c>
      <c r="Y20" s="559">
        <f t="shared" si="15"/>
        <v>0.14052102993649002</v>
      </c>
      <c r="Z20" s="559">
        <f t="shared" si="16"/>
        <v>0.15184467208989905</v>
      </c>
      <c r="AA20" s="559">
        <f t="shared" si="17"/>
        <v>0.1490553616455712</v>
      </c>
      <c r="AB20" s="559">
        <f t="shared" si="18"/>
        <v>0.15212773908284574</v>
      </c>
      <c r="AC20" s="559">
        <f t="shared" si="19"/>
        <v>0.14535596518518665</v>
      </c>
      <c r="AD20" s="650" t="str">
        <f>+IFERROR(RANK(S20,(S$6:S$8,S$33:S$49),0),"")</f>
        <v/>
      </c>
      <c r="AE20" s="650" t="str">
        <f>+IFERROR(RANK(T20,(T$6:T$8,T$33:T$49),0),"")</f>
        <v/>
      </c>
      <c r="AF20" s="650" t="str">
        <f>+IFERROR(RANK(U20,(U$6:U$8,U$33:U$49),0),"")</f>
        <v/>
      </c>
      <c r="AG20" s="650" t="str">
        <f>+IFERROR(RANK(V20,(V$6:V$8,V$33:V$49),0),"")</f>
        <v/>
      </c>
      <c r="AH20" s="650" t="str">
        <f>+IFERROR(RANK(W20,(W$6:W$8,W$33:W$49),0),"")</f>
        <v/>
      </c>
      <c r="AI20" s="650" t="str">
        <f>+IFERROR(RANK(X20,(X$6:X$8,X$33:X$49),0),"")</f>
        <v/>
      </c>
      <c r="AJ20" s="650" t="str">
        <f>+IFERROR(RANK(Y20,(Y$6:Y$8,Y$33:Y$49),0),"")</f>
        <v/>
      </c>
      <c r="AK20" s="650" t="str">
        <f>+IFERROR(RANK(Z20,(Z$6:Z$8,Z$33:Z$49),0),"")</f>
        <v/>
      </c>
      <c r="AL20" s="650" t="str">
        <f>+IFERROR(RANK(AA20,(AA$6:AA$8,AA$33:AA$49),0),"")</f>
        <v/>
      </c>
      <c r="AM20" s="650" t="str">
        <f>+IFERROR(RANK(AB20,(AB$6:AB$8,AB$33:AB$49),0),"")</f>
        <v/>
      </c>
      <c r="AN20" s="650" t="str">
        <f>+IFERROR(RANK(AC20,(AC$6:AC$8,AC$33:AC$49),0),"")</f>
        <v/>
      </c>
      <c r="AO20" s="677"/>
      <c r="AP20" s="677"/>
      <c r="AQ20" s="677"/>
      <c r="AR20" s="677"/>
      <c r="AS20" s="677"/>
      <c r="AT20" s="677"/>
    </row>
    <row r="21" spans="1:46" s="115" customFormat="1" ht="12.75" customHeight="1">
      <c r="A21" s="694"/>
      <c r="B21" s="102" t="s">
        <v>149</v>
      </c>
      <c r="C21" s="606">
        <v>520</v>
      </c>
      <c r="D21" s="606">
        <v>501</v>
      </c>
      <c r="E21" s="606">
        <v>527</v>
      </c>
      <c r="F21" s="606">
        <v>631</v>
      </c>
      <c r="G21" s="606">
        <v>687</v>
      </c>
      <c r="H21" s="606">
        <v>811</v>
      </c>
      <c r="I21" s="606">
        <v>974</v>
      </c>
      <c r="J21" s="606">
        <v>1079</v>
      </c>
      <c r="K21" s="606">
        <v>1524</v>
      </c>
      <c r="L21" s="606">
        <v>1906</v>
      </c>
      <c r="M21" s="606">
        <v>2727</v>
      </c>
      <c r="O21" s="559">
        <f t="shared" si="7"/>
        <v>0.47105289380474857</v>
      </c>
      <c r="P21" s="559">
        <f t="shared" si="8"/>
        <v>0.53493349130904722</v>
      </c>
      <c r="Q21" s="2"/>
      <c r="R21" s="2"/>
      <c r="S21" s="559">
        <f t="shared" si="9"/>
        <v>0.47105289380474857</v>
      </c>
      <c r="T21" s="559">
        <f t="shared" si="10"/>
        <v>0.43185559990000949</v>
      </c>
      <c r="U21" s="559">
        <f t="shared" si="11"/>
        <v>0.4141909522462196</v>
      </c>
      <c r="V21" s="559">
        <f t="shared" si="12"/>
        <v>0.44976656331301901</v>
      </c>
      <c r="W21" s="559">
        <f t="shared" si="13"/>
        <v>0.40580052570956021</v>
      </c>
      <c r="X21" s="559">
        <f t="shared" si="14"/>
        <v>0.38512130608833572</v>
      </c>
      <c r="Y21" s="559">
        <f t="shared" si="15"/>
        <v>0.44727935672595187</v>
      </c>
      <c r="Z21" s="559">
        <f t="shared" si="16"/>
        <v>0.47216253943804343</v>
      </c>
      <c r="AA21" s="559">
        <f t="shared" si="17"/>
        <v>0.47325077322468856</v>
      </c>
      <c r="AB21" s="559">
        <f t="shared" si="18"/>
        <v>0.45951738619953086</v>
      </c>
      <c r="AC21" s="559">
        <f t="shared" si="19"/>
        <v>0.53493349130904722</v>
      </c>
      <c r="AD21" s="650" t="str">
        <f>+IFERROR(RANK(S21,(S$6:S$8,S$33:S$49),0),"")</f>
        <v/>
      </c>
      <c r="AE21" s="650" t="str">
        <f>+IFERROR(RANK(T21,(T$6:T$8,T$33:T$49),0),"")</f>
        <v/>
      </c>
      <c r="AF21" s="650" t="str">
        <f>+IFERROR(RANK(U21,(U$6:U$8,U$33:U$49),0),"")</f>
        <v/>
      </c>
      <c r="AG21" s="650" t="str">
        <f>+IFERROR(RANK(V21,(V$6:V$8,V$33:V$49),0),"")</f>
        <v/>
      </c>
      <c r="AH21" s="650" t="str">
        <f>+IFERROR(RANK(W21,(W$6:W$8,W$33:W$49),0),"")</f>
        <v/>
      </c>
      <c r="AI21" s="650" t="str">
        <f>+IFERROR(RANK(X21,(X$6:X$8,X$33:X$49),0),"")</f>
        <v/>
      </c>
      <c r="AJ21" s="650" t="str">
        <f>+IFERROR(RANK(Y21,(Y$6:Y$8,Y$33:Y$49),0),"")</f>
        <v/>
      </c>
      <c r="AK21" s="650" t="str">
        <f>+IFERROR(RANK(Z21,(Z$6:Z$8,Z$33:Z$49),0),"")</f>
        <v/>
      </c>
      <c r="AL21" s="650" t="str">
        <f>+IFERROR(RANK(AA21,(AA$6:AA$8,AA$33:AA$49),0),"")</f>
        <v/>
      </c>
      <c r="AM21" s="650" t="str">
        <f>+IFERROR(RANK(AB21,(AB$6:AB$8,AB$33:AB$49),0),"")</f>
        <v/>
      </c>
      <c r="AN21" s="650" t="str">
        <f>+IFERROR(RANK(AC21,(AC$6:AC$8,AC$33:AC$49),0),"")</f>
        <v/>
      </c>
      <c r="AO21" s="677"/>
      <c r="AP21" s="677"/>
      <c r="AQ21" s="677"/>
      <c r="AR21" s="677"/>
      <c r="AS21" s="677"/>
      <c r="AT21" s="677"/>
    </row>
    <row r="22" spans="1:46" s="115" customFormat="1" ht="12.75" customHeight="1">
      <c r="A22" s="694"/>
      <c r="B22" s="102" t="s">
        <v>156</v>
      </c>
      <c r="C22" s="606">
        <v>958</v>
      </c>
      <c r="D22" s="606">
        <v>937</v>
      </c>
      <c r="E22" s="606">
        <v>1022</v>
      </c>
      <c r="F22" s="606">
        <v>1069</v>
      </c>
      <c r="G22" s="606">
        <v>1262</v>
      </c>
      <c r="H22" s="606">
        <v>1619</v>
      </c>
      <c r="I22" s="606">
        <v>1913</v>
      </c>
      <c r="J22" s="606">
        <v>2491</v>
      </c>
      <c r="K22" s="606">
        <v>3284</v>
      </c>
      <c r="L22" s="606">
        <v>4147</v>
      </c>
      <c r="M22" s="606">
        <v>4892</v>
      </c>
      <c r="O22" s="559">
        <f t="shared" si="7"/>
        <v>0.86782436974028687</v>
      </c>
      <c r="P22" s="559">
        <f t="shared" si="8"/>
        <v>0.95962399687710265</v>
      </c>
      <c r="Q22" s="2"/>
      <c r="R22" s="2"/>
      <c r="S22" s="559">
        <f t="shared" si="9"/>
        <v>0.86782436974028676</v>
      </c>
      <c r="T22" s="559">
        <f t="shared" si="10"/>
        <v>0.8076820301523131</v>
      </c>
      <c r="U22" s="559">
        <f t="shared" si="11"/>
        <v>0.80323178974504073</v>
      </c>
      <c r="V22" s="559">
        <f t="shared" si="12"/>
        <v>0.76196585765707969</v>
      </c>
      <c r="W22" s="559">
        <f t="shared" si="13"/>
        <v>0.74544434271537852</v>
      </c>
      <c r="X22" s="559">
        <f t="shared" si="14"/>
        <v>0.76881799575464305</v>
      </c>
      <c r="Y22" s="559">
        <f t="shared" si="15"/>
        <v>0.87848604662910257</v>
      </c>
      <c r="Z22" s="559">
        <f t="shared" si="16"/>
        <v>1.0900434529565952</v>
      </c>
      <c r="AA22" s="559">
        <f t="shared" si="17"/>
        <v>1.0197870992584497</v>
      </c>
      <c r="AB22" s="559">
        <f t="shared" si="18"/>
        <v>0.999799895366975</v>
      </c>
      <c r="AC22" s="559">
        <f t="shared" si="19"/>
        <v>0.95962399687710265</v>
      </c>
      <c r="AD22" s="650" t="str">
        <f>+IFERROR(RANK(S22,(S$6:S$8,S$33:S$49),0),"")</f>
        <v/>
      </c>
      <c r="AE22" s="650" t="str">
        <f>+IFERROR(RANK(T22,(T$6:T$8,T$33:T$49),0),"")</f>
        <v/>
      </c>
      <c r="AF22" s="650" t="str">
        <f>+IFERROR(RANK(U22,(U$6:U$8,U$33:U$49),0),"")</f>
        <v/>
      </c>
      <c r="AG22" s="650" t="str">
        <f>+IFERROR(RANK(V22,(V$6:V$8,V$33:V$49),0),"")</f>
        <v/>
      </c>
      <c r="AH22" s="650" t="str">
        <f>+IFERROR(RANK(W22,(W$6:W$8,W$33:W$49),0),"")</f>
        <v/>
      </c>
      <c r="AI22" s="650" t="str">
        <f>+IFERROR(RANK(X22,(X$6:X$8,X$33:X$49),0),"")</f>
        <v/>
      </c>
      <c r="AJ22" s="650" t="str">
        <f>+IFERROR(RANK(Y22,(Y$6:Y$8,Y$33:Y$49),0),"")</f>
        <v/>
      </c>
      <c r="AK22" s="650" t="str">
        <f>+IFERROR(RANK(Z22,(Z$6:Z$8,Z$33:Z$49),0),"")</f>
        <v/>
      </c>
      <c r="AL22" s="650" t="str">
        <f>+IFERROR(RANK(AA22,(AA$6:AA$8,AA$33:AA$49),0),"")</f>
        <v/>
      </c>
      <c r="AM22" s="650" t="str">
        <f>+IFERROR(RANK(AB22,(AB$6:AB$8,AB$33:AB$49),0),"")</f>
        <v/>
      </c>
      <c r="AN22" s="650" t="str">
        <f>+IFERROR(RANK(AC22,(AC$6:AC$8,AC$33:AC$49),0),"")</f>
        <v/>
      </c>
      <c r="AO22" s="677"/>
      <c r="AP22" s="677"/>
      <c r="AQ22" s="677"/>
      <c r="AR22" s="677"/>
      <c r="AS22" s="677"/>
      <c r="AT22" s="677"/>
    </row>
    <row r="23" spans="1:46" s="115" customFormat="1" ht="12.75" customHeight="1">
      <c r="A23" s="694"/>
      <c r="B23" s="102" t="s">
        <v>91</v>
      </c>
      <c r="C23" s="606">
        <v>250</v>
      </c>
      <c r="D23" s="606">
        <v>239</v>
      </c>
      <c r="E23" s="606">
        <v>234</v>
      </c>
      <c r="F23" s="606">
        <v>240</v>
      </c>
      <c r="G23" s="606">
        <v>270</v>
      </c>
      <c r="H23" s="606">
        <v>312</v>
      </c>
      <c r="I23" s="606">
        <v>299</v>
      </c>
      <c r="J23" s="606">
        <v>382</v>
      </c>
      <c r="K23" s="606">
        <v>555</v>
      </c>
      <c r="L23" s="606">
        <v>834</v>
      </c>
      <c r="M23" s="606">
        <v>864</v>
      </c>
      <c r="O23" s="559">
        <f t="shared" si="7"/>
        <v>0.2264677374061291</v>
      </c>
      <c r="P23" s="559">
        <f t="shared" si="8"/>
        <v>0.1694838784345496</v>
      </c>
      <c r="Q23" s="2"/>
      <c r="R23" s="2"/>
      <c r="S23" s="559">
        <f t="shared" si="9"/>
        <v>0.22646773740612913</v>
      </c>
      <c r="T23" s="559">
        <f t="shared" si="10"/>
        <v>0.20601494685848756</v>
      </c>
      <c r="U23" s="559">
        <f t="shared" si="11"/>
        <v>0.1839102140903518</v>
      </c>
      <c r="V23" s="559">
        <f t="shared" si="12"/>
        <v>0.17106810648989629</v>
      </c>
      <c r="W23" s="559">
        <f t="shared" si="13"/>
        <v>0.15948492276794943</v>
      </c>
      <c r="X23" s="559">
        <f t="shared" si="14"/>
        <v>0.14816010789095035</v>
      </c>
      <c r="Y23" s="559">
        <f t="shared" si="15"/>
        <v>0.13730649657192978</v>
      </c>
      <c r="Z23" s="559">
        <f t="shared" si="16"/>
        <v>0.1671604171133759</v>
      </c>
      <c r="AA23" s="559">
        <f t="shared" si="17"/>
        <v>0.1723452619026917</v>
      </c>
      <c r="AB23" s="559">
        <f t="shared" si="18"/>
        <v>0.20106899270220815</v>
      </c>
      <c r="AC23" s="559">
        <f t="shared" si="19"/>
        <v>0.1694838784345496</v>
      </c>
      <c r="AD23" s="650" t="str">
        <f>+IFERROR(RANK(S23,(S$6:S$8,S$33:S$49),0),"")</f>
        <v/>
      </c>
      <c r="AE23" s="650" t="str">
        <f>+IFERROR(RANK(T23,(T$6:T$8,T$33:T$49),0),"")</f>
        <v/>
      </c>
      <c r="AF23" s="650" t="str">
        <f>+IFERROR(RANK(U23,(U$6:U$8,U$33:U$49),0),"")</f>
        <v/>
      </c>
      <c r="AG23" s="650" t="str">
        <f>+IFERROR(RANK(V23,(V$6:V$8,V$33:V$49),0),"")</f>
        <v/>
      </c>
      <c r="AH23" s="650" t="str">
        <f>+IFERROR(RANK(W23,(W$6:W$8,W$33:W$49),0),"")</f>
        <v/>
      </c>
      <c r="AI23" s="650" t="str">
        <f>+IFERROR(RANK(X23,(X$6:X$8,X$33:X$49),0),"")</f>
        <v/>
      </c>
      <c r="AJ23" s="650" t="str">
        <f>+IFERROR(RANK(Y23,(Y$6:Y$8,Y$33:Y$49),0),"")</f>
        <v/>
      </c>
      <c r="AK23" s="650" t="str">
        <f>+IFERROR(RANK(Z23,(Z$6:Z$8,Z$33:Z$49),0),"")</f>
        <v/>
      </c>
      <c r="AL23" s="650" t="str">
        <f>+IFERROR(RANK(AA23,(AA$6:AA$8,AA$33:AA$49),0),"")</f>
        <v/>
      </c>
      <c r="AM23" s="650" t="str">
        <f>+IFERROR(RANK(AB23,(AB$6:AB$8,AB$33:AB$49),0),"")</f>
        <v/>
      </c>
      <c r="AN23" s="650" t="str">
        <f>+IFERROR(RANK(AC23,(AC$6:AC$8,AC$33:AC$49),0),"")</f>
        <v/>
      </c>
      <c r="AO23" s="677"/>
      <c r="AP23" s="677"/>
      <c r="AQ23" s="677"/>
      <c r="AR23" s="677"/>
      <c r="AS23" s="677"/>
      <c r="AT23" s="677"/>
    </row>
    <row r="24" spans="1:46" s="115" customFormat="1" ht="12.75" customHeight="1">
      <c r="A24" s="694"/>
      <c r="B24" s="102" t="s">
        <v>154</v>
      </c>
      <c r="C24" s="606">
        <v>1570</v>
      </c>
      <c r="D24" s="606">
        <v>1620</v>
      </c>
      <c r="E24" s="606">
        <v>1721</v>
      </c>
      <c r="F24" s="606">
        <v>1862</v>
      </c>
      <c r="G24" s="606">
        <v>2311</v>
      </c>
      <c r="H24" s="606">
        <v>2762</v>
      </c>
      <c r="I24" s="606">
        <v>3164</v>
      </c>
      <c r="J24" s="606">
        <v>3334</v>
      </c>
      <c r="K24" s="606">
        <v>5015</v>
      </c>
      <c r="L24" s="606">
        <v>6945</v>
      </c>
      <c r="M24" s="606">
        <v>9837</v>
      </c>
      <c r="O24" s="559">
        <f t="shared" si="7"/>
        <v>1.4222173909104909</v>
      </c>
      <c r="P24" s="559">
        <f t="shared" si="8"/>
        <v>1.9296445742600281</v>
      </c>
      <c r="Q24" s="2"/>
      <c r="R24" s="2"/>
      <c r="S24" s="559">
        <f t="shared" si="9"/>
        <v>1.4222173909104909</v>
      </c>
      <c r="T24" s="559">
        <f t="shared" si="10"/>
        <v>1.3964193050658988</v>
      </c>
      <c r="U24" s="559">
        <f t="shared" si="11"/>
        <v>1.3526046087585275</v>
      </c>
      <c r="V24" s="559">
        <f t="shared" si="12"/>
        <v>1.3272033928507787</v>
      </c>
      <c r="W24" s="559">
        <f t="shared" si="13"/>
        <v>1.365072801913819</v>
      </c>
      <c r="X24" s="559">
        <f t="shared" si="14"/>
        <v>1.3115968525474515</v>
      </c>
      <c r="Y24" s="559">
        <f t="shared" si="15"/>
        <v>1.4529690807812234</v>
      </c>
      <c r="Z24" s="559">
        <f t="shared" si="16"/>
        <v>1.4589341116649091</v>
      </c>
      <c r="AA24" s="559">
        <f t="shared" si="17"/>
        <v>1.5573179971927906</v>
      </c>
      <c r="AB24" s="559">
        <f t="shared" si="18"/>
        <v>1.6743694895885319</v>
      </c>
      <c r="AC24" s="559">
        <f t="shared" si="19"/>
        <v>1.9296445742600283</v>
      </c>
      <c r="AD24" s="650" t="str">
        <f>+IFERROR(RANK(S24,(S$6:S$8,S$33:S$49),0),"")</f>
        <v/>
      </c>
      <c r="AE24" s="650" t="str">
        <f>+IFERROR(RANK(T24,(T$6:T$8,T$33:T$49),0),"")</f>
        <v/>
      </c>
      <c r="AF24" s="650" t="str">
        <f>+IFERROR(RANK(U24,(U$6:U$8,U$33:U$49),0),"")</f>
        <v/>
      </c>
      <c r="AG24" s="650" t="str">
        <f>+IFERROR(RANK(V24,(V$6:V$8,V$33:V$49),0),"")</f>
        <v/>
      </c>
      <c r="AH24" s="650" t="str">
        <f>+IFERROR(RANK(W24,(W$6:W$8,W$33:W$49),0),"")</f>
        <v/>
      </c>
      <c r="AI24" s="650" t="str">
        <f>+IFERROR(RANK(X24,(X$6:X$8,X$33:X$49),0),"")</f>
        <v/>
      </c>
      <c r="AJ24" s="650" t="str">
        <f>+IFERROR(RANK(Y24,(Y$6:Y$8,Y$33:Y$49),0),"")</f>
        <v/>
      </c>
      <c r="AK24" s="650" t="str">
        <f>+IFERROR(RANK(Z24,(Z$6:Z$8,Z$33:Z$49),0),"")</f>
        <v/>
      </c>
      <c r="AL24" s="650" t="str">
        <f>+IFERROR(RANK(AA24,(AA$6:AA$8,AA$33:AA$49),0),"")</f>
        <v/>
      </c>
      <c r="AM24" s="650" t="str">
        <f>+IFERROR(RANK(AB24,(AB$6:AB$8,AB$33:AB$49),0),"")</f>
        <v/>
      </c>
      <c r="AN24" s="650" t="str">
        <f>+IFERROR(RANK(AC24,(AC$6:AC$8,AC$33:AC$49),0),"")</f>
        <v/>
      </c>
      <c r="AO24" s="677"/>
      <c r="AP24" s="677"/>
      <c r="AQ24" s="677"/>
      <c r="AR24" s="677"/>
      <c r="AS24" s="677"/>
      <c r="AT24" s="677"/>
    </row>
    <row r="25" spans="1:46" s="115" customFormat="1" ht="12.75" customHeight="1">
      <c r="A25" s="694"/>
      <c r="B25" s="102" t="s">
        <v>155</v>
      </c>
      <c r="C25" s="606">
        <v>101</v>
      </c>
      <c r="D25" s="606">
        <v>113</v>
      </c>
      <c r="E25" s="606">
        <v>136</v>
      </c>
      <c r="F25" s="606">
        <v>179</v>
      </c>
      <c r="G25" s="606">
        <v>217</v>
      </c>
      <c r="H25" s="606">
        <v>271</v>
      </c>
      <c r="I25" s="606">
        <v>351</v>
      </c>
      <c r="J25" s="606">
        <v>440</v>
      </c>
      <c r="K25" s="606">
        <v>627</v>
      </c>
      <c r="L25" s="606">
        <v>920</v>
      </c>
      <c r="M25" s="606">
        <v>1031</v>
      </c>
      <c r="O25" s="559">
        <f t="shared" si="7"/>
        <v>9.149296591207616E-2</v>
      </c>
      <c r="P25" s="559">
        <f t="shared" si="8"/>
        <v>0.20224291512270909</v>
      </c>
      <c r="Q25" s="2"/>
      <c r="R25" s="2"/>
      <c r="S25" s="559">
        <f t="shared" si="9"/>
        <v>9.149296591207616E-2</v>
      </c>
      <c r="T25" s="559">
        <f t="shared" si="10"/>
        <v>9.7404556464473199E-2</v>
      </c>
      <c r="U25" s="559">
        <f t="shared" si="11"/>
        <v>0.10688798767644378</v>
      </c>
      <c r="V25" s="559">
        <f t="shared" si="12"/>
        <v>0.12758829609038097</v>
      </c>
      <c r="W25" s="559">
        <f t="shared" si="13"/>
        <v>0.12817862311350009</v>
      </c>
      <c r="X25" s="559">
        <f t="shared" si="14"/>
        <v>0.12869035012322932</v>
      </c>
      <c r="Y25" s="559">
        <f t="shared" si="15"/>
        <v>0.16118588728009148</v>
      </c>
      <c r="Z25" s="559">
        <f t="shared" si="16"/>
        <v>0.19254079458085183</v>
      </c>
      <c r="AA25" s="559">
        <f t="shared" si="17"/>
        <v>0.19470356614952736</v>
      </c>
      <c r="AB25" s="559">
        <f t="shared" si="18"/>
        <v>0.22180272576262769</v>
      </c>
      <c r="AC25" s="559">
        <f t="shared" si="19"/>
        <v>0.20224291512270906</v>
      </c>
      <c r="AD25" s="650" t="str">
        <f>+IFERROR(RANK(S25,(S$6:S$8,S$33:S$49),0),"")</f>
        <v/>
      </c>
      <c r="AE25" s="650" t="str">
        <f>+IFERROR(RANK(T25,(T$6:T$8,T$33:T$49),0),"")</f>
        <v/>
      </c>
      <c r="AF25" s="650" t="str">
        <f>+IFERROR(RANK(U25,(U$6:U$8,U$33:U$49),0),"")</f>
        <v/>
      </c>
      <c r="AG25" s="650" t="str">
        <f>+IFERROR(RANK(V25,(V$6:V$8,V$33:V$49),0),"")</f>
        <v/>
      </c>
      <c r="AH25" s="650" t="str">
        <f>+IFERROR(RANK(W25,(W$6:W$8,W$33:W$49),0),"")</f>
        <v/>
      </c>
      <c r="AI25" s="650" t="str">
        <f>+IFERROR(RANK(X25,(X$6:X$8,X$33:X$49),0),"")</f>
        <v/>
      </c>
      <c r="AJ25" s="650" t="str">
        <f>+IFERROR(RANK(Y25,(Y$6:Y$8,Y$33:Y$49),0),"")</f>
        <v/>
      </c>
      <c r="AK25" s="650" t="str">
        <f>+IFERROR(RANK(Z25,(Z$6:Z$8,Z$33:Z$49),0),"")</f>
        <v/>
      </c>
      <c r="AL25" s="650" t="str">
        <f>+IFERROR(RANK(AA25,(AA$6:AA$8,AA$33:AA$49),0),"")</f>
        <v/>
      </c>
      <c r="AM25" s="650" t="str">
        <f>+IFERROR(RANK(AB25,(AB$6:AB$8,AB$33:AB$49),0),"")</f>
        <v/>
      </c>
      <c r="AN25" s="650" t="str">
        <f>+IFERROR(RANK(AC25,(AC$6:AC$8,AC$33:AC$49),0),"")</f>
        <v/>
      </c>
      <c r="AO25" s="677"/>
      <c r="AP25" s="677"/>
      <c r="AQ25" s="677"/>
      <c r="AR25" s="677"/>
      <c r="AS25" s="677"/>
      <c r="AT25" s="677"/>
    </row>
    <row r="26" spans="1:46" s="115" customFormat="1" ht="12.75" customHeight="1">
      <c r="A26" s="694"/>
      <c r="B26" s="102" t="s">
        <v>150</v>
      </c>
      <c r="C26" s="606">
        <v>359</v>
      </c>
      <c r="D26" s="606">
        <v>383</v>
      </c>
      <c r="E26" s="606">
        <v>392</v>
      </c>
      <c r="F26" s="606">
        <v>412</v>
      </c>
      <c r="G26" s="606">
        <v>509</v>
      </c>
      <c r="H26" s="606">
        <v>366</v>
      </c>
      <c r="I26" s="606">
        <v>724</v>
      </c>
      <c r="J26" s="606">
        <v>548</v>
      </c>
      <c r="K26" s="606">
        <v>1248</v>
      </c>
      <c r="L26" s="606">
        <v>1585</v>
      </c>
      <c r="M26" s="606">
        <v>1871</v>
      </c>
      <c r="O26" s="559">
        <f t="shared" si="7"/>
        <v>0.32520767091520142</v>
      </c>
      <c r="P26" s="559">
        <f t="shared" si="8"/>
        <v>0.36701890804518789</v>
      </c>
      <c r="Q26" s="2"/>
      <c r="R26" s="2"/>
      <c r="S26" s="559">
        <f t="shared" si="9"/>
        <v>0.32520767091520142</v>
      </c>
      <c r="T26" s="559">
        <f t="shared" si="10"/>
        <v>0.33014110730878971</v>
      </c>
      <c r="U26" s="559">
        <f t="shared" si="11"/>
        <v>0.30808890565563207</v>
      </c>
      <c r="V26" s="559">
        <f t="shared" si="12"/>
        <v>0.29366691614098861</v>
      </c>
      <c r="W26" s="559">
        <f t="shared" si="13"/>
        <v>0.30065861366254171</v>
      </c>
      <c r="X26" s="559">
        <f t="shared" si="14"/>
        <v>0.17380320348746101</v>
      </c>
      <c r="Y26" s="559">
        <f t="shared" si="15"/>
        <v>0.33247459370594368</v>
      </c>
      <c r="Z26" s="559">
        <f t="shared" si="16"/>
        <v>0.23980080779615182</v>
      </c>
      <c r="AA26" s="559">
        <f t="shared" si="17"/>
        <v>0.3875439402784851</v>
      </c>
      <c r="AB26" s="559">
        <f t="shared" si="18"/>
        <v>0.38212752210191836</v>
      </c>
      <c r="AC26" s="559">
        <f t="shared" si="19"/>
        <v>0.36701890804518783</v>
      </c>
      <c r="AD26" s="650" t="str">
        <f>+IFERROR(RANK(S26,(S$6:S$8,S$33:S$49),0),"")</f>
        <v/>
      </c>
      <c r="AE26" s="650" t="str">
        <f>+IFERROR(RANK(T26,(T$6:T$8,T$33:T$49),0),"")</f>
        <v/>
      </c>
      <c r="AF26" s="650" t="str">
        <f>+IFERROR(RANK(U26,(U$6:U$8,U$33:U$49),0),"")</f>
        <v/>
      </c>
      <c r="AG26" s="650" t="str">
        <f>+IFERROR(RANK(V26,(V$6:V$8,V$33:V$49),0),"")</f>
        <v/>
      </c>
      <c r="AH26" s="650" t="str">
        <f>+IFERROR(RANK(W26,(W$6:W$8,W$33:W$49),0),"")</f>
        <v/>
      </c>
      <c r="AI26" s="650" t="str">
        <f>+IFERROR(RANK(X26,(X$6:X$8,X$33:X$49),0),"")</f>
        <v/>
      </c>
      <c r="AJ26" s="650" t="str">
        <f>+IFERROR(RANK(Y26,(Y$6:Y$8,Y$33:Y$49),0),"")</f>
        <v/>
      </c>
      <c r="AK26" s="650" t="str">
        <f>+IFERROR(RANK(Z26,(Z$6:Z$8,Z$33:Z$49),0),"")</f>
        <v/>
      </c>
      <c r="AL26" s="650" t="str">
        <f>+IFERROR(RANK(AA26,(AA$6:AA$8,AA$33:AA$49),0),"")</f>
        <v/>
      </c>
      <c r="AM26" s="650" t="str">
        <f>+IFERROR(RANK(AB26,(AB$6:AB$8,AB$33:AB$49),0),"")</f>
        <v/>
      </c>
      <c r="AN26" s="650" t="str">
        <f>+IFERROR(RANK(AC26,(AC$6:AC$8,AC$33:AC$49),0),"")</f>
        <v/>
      </c>
      <c r="AO26" s="677"/>
      <c r="AP26" s="677"/>
      <c r="AQ26" s="677"/>
      <c r="AR26" s="677"/>
      <c r="AS26" s="677"/>
      <c r="AT26" s="677"/>
    </row>
    <row r="27" spans="1:46" s="115" customFormat="1" ht="12.75" customHeight="1">
      <c r="A27" s="694"/>
      <c r="B27" s="102" t="s">
        <v>158</v>
      </c>
      <c r="C27" s="606">
        <v>428</v>
      </c>
      <c r="D27" s="606">
        <v>481</v>
      </c>
      <c r="E27" s="606">
        <v>396</v>
      </c>
      <c r="F27" s="606">
        <v>429</v>
      </c>
      <c r="G27" s="606">
        <v>501</v>
      </c>
      <c r="H27" s="606">
        <v>635</v>
      </c>
      <c r="I27" s="606">
        <v>636</v>
      </c>
      <c r="J27" s="606">
        <v>716</v>
      </c>
      <c r="K27" s="606">
        <v>1066</v>
      </c>
      <c r="L27" s="606">
        <v>1398</v>
      </c>
      <c r="M27" s="606">
        <v>1618</v>
      </c>
      <c r="O27" s="559">
        <f t="shared" si="7"/>
        <v>0.38771276643929309</v>
      </c>
      <c r="P27" s="559">
        <f t="shared" si="8"/>
        <v>0.31738994827210792</v>
      </c>
      <c r="Q27" s="2"/>
      <c r="R27" s="2"/>
      <c r="S27" s="559">
        <f t="shared" si="9"/>
        <v>0.38771276643929303</v>
      </c>
      <c r="T27" s="559">
        <f t="shared" si="10"/>
        <v>0.41461585539302309</v>
      </c>
      <c r="U27" s="559">
        <f t="shared" si="11"/>
        <v>0.31123266999905685</v>
      </c>
      <c r="V27" s="559">
        <f t="shared" si="12"/>
        <v>0.30578424035068963</v>
      </c>
      <c r="W27" s="559">
        <f t="shared" si="13"/>
        <v>0.29593313446941727</v>
      </c>
      <c r="X27" s="559">
        <f t="shared" si="14"/>
        <v>0.30154380932933805</v>
      </c>
      <c r="Y27" s="559">
        <f t="shared" si="15"/>
        <v>0.29206331712290079</v>
      </c>
      <c r="Z27" s="559">
        <f t="shared" si="16"/>
        <v>0.3133163839088407</v>
      </c>
      <c r="AA27" s="559">
        <f t="shared" si="17"/>
        <v>0.33102711565453935</v>
      </c>
      <c r="AB27" s="559">
        <f t="shared" si="18"/>
        <v>0.3370437071914712</v>
      </c>
      <c r="AC27" s="559">
        <f t="shared" si="19"/>
        <v>0.31738994827210792</v>
      </c>
      <c r="AD27" s="650" t="str">
        <f>+IFERROR(RANK(S27,(S$6:S$8,S$33:S$49),0),"")</f>
        <v/>
      </c>
      <c r="AE27" s="650" t="str">
        <f>+IFERROR(RANK(T27,(T$6:T$8,T$33:T$49),0),"")</f>
        <v/>
      </c>
      <c r="AF27" s="650" t="str">
        <f>+IFERROR(RANK(U27,(U$6:U$8,U$33:U$49),0),"")</f>
        <v/>
      </c>
      <c r="AG27" s="650" t="str">
        <f>+IFERROR(RANK(V27,(V$6:V$8,V$33:V$49),0),"")</f>
        <v/>
      </c>
      <c r="AH27" s="650" t="str">
        <f>+IFERROR(RANK(W27,(W$6:W$8,W$33:W$49),0),"")</f>
        <v/>
      </c>
      <c r="AI27" s="650" t="str">
        <f>+IFERROR(RANK(X27,(X$6:X$8,X$33:X$49),0),"")</f>
        <v/>
      </c>
      <c r="AJ27" s="650" t="str">
        <f>+IFERROR(RANK(Y27,(Y$6:Y$8,Y$33:Y$49),0),"")</f>
        <v/>
      </c>
      <c r="AK27" s="650" t="str">
        <f>+IFERROR(RANK(Z27,(Z$6:Z$8,Z$33:Z$49),0),"")</f>
        <v/>
      </c>
      <c r="AL27" s="650" t="str">
        <f>+IFERROR(RANK(AA27,(AA$6:AA$8,AA$33:AA$49),0),"")</f>
        <v/>
      </c>
      <c r="AM27" s="650" t="str">
        <f>+IFERROR(RANK(AB27,(AB$6:AB$8,AB$33:AB$49),0),"")</f>
        <v/>
      </c>
      <c r="AN27" s="650" t="str">
        <f>+IFERROR(RANK(AC27,(AC$6:AC$8,AC$33:AC$49),0),"")</f>
        <v/>
      </c>
      <c r="AO27" s="677"/>
      <c r="AP27" s="677"/>
      <c r="AQ27" s="677"/>
      <c r="AR27" s="677"/>
      <c r="AS27" s="677"/>
      <c r="AT27" s="677"/>
    </row>
    <row r="28" spans="1:46" s="115" customFormat="1" ht="12.75" customHeight="1">
      <c r="A28" s="694"/>
      <c r="B28" s="102" t="s">
        <v>151</v>
      </c>
      <c r="C28" s="606">
        <v>724</v>
      </c>
      <c r="D28" s="606">
        <v>828</v>
      </c>
      <c r="E28" s="606">
        <v>900</v>
      </c>
      <c r="F28" s="606">
        <v>898</v>
      </c>
      <c r="G28" s="606">
        <v>1415</v>
      </c>
      <c r="H28" s="606">
        <v>1513</v>
      </c>
      <c r="I28" s="606">
        <v>1530</v>
      </c>
      <c r="J28" s="606">
        <v>1520</v>
      </c>
      <c r="K28" s="606">
        <v>1772</v>
      </c>
      <c r="L28" s="606">
        <v>3064</v>
      </c>
      <c r="M28" s="606">
        <v>3616</v>
      </c>
      <c r="O28" s="559">
        <f t="shared" si="7"/>
        <v>0.65585056752814996</v>
      </c>
      <c r="P28" s="559">
        <f t="shared" si="8"/>
        <v>0.70932141715200392</v>
      </c>
      <c r="Q28" s="2"/>
      <c r="R28" s="2"/>
      <c r="S28" s="559">
        <f t="shared" si="9"/>
        <v>0.65585056752814996</v>
      </c>
      <c r="T28" s="559">
        <f t="shared" si="10"/>
        <v>0.71372542258923721</v>
      </c>
      <c r="U28" s="559">
        <f t="shared" si="11"/>
        <v>0.70734697727058382</v>
      </c>
      <c r="V28" s="559">
        <f t="shared" si="12"/>
        <v>0.64007983178302863</v>
      </c>
      <c r="W28" s="559">
        <f t="shared" si="13"/>
        <v>0.83581913228388316</v>
      </c>
      <c r="X28" s="559">
        <f t="shared" si="14"/>
        <v>0.71848154884297399</v>
      </c>
      <c r="Y28" s="559">
        <f t="shared" si="15"/>
        <v>0.70260514968245003</v>
      </c>
      <c r="Z28" s="559">
        <f t="shared" si="16"/>
        <v>0.66514092673385172</v>
      </c>
      <c r="AA28" s="559">
        <f t="shared" si="17"/>
        <v>0.55026271007490035</v>
      </c>
      <c r="AB28" s="559">
        <f t="shared" si="18"/>
        <v>0.73869951275727308</v>
      </c>
      <c r="AC28" s="559">
        <f t="shared" si="19"/>
        <v>0.70932141715200392</v>
      </c>
      <c r="AD28" s="650" t="str">
        <f>+IFERROR(RANK(S28,(S$6:S$8,S$33:S$49),0),"")</f>
        <v/>
      </c>
      <c r="AE28" s="650" t="str">
        <f>+IFERROR(RANK(T28,(T$6:T$8,T$33:T$49),0),"")</f>
        <v/>
      </c>
      <c r="AF28" s="650" t="str">
        <f>+IFERROR(RANK(U28,(U$6:U$8,U$33:U$49),0),"")</f>
        <v/>
      </c>
      <c r="AG28" s="650" t="str">
        <f>+IFERROR(RANK(V28,(V$6:V$8,V$33:V$49),0),"")</f>
        <v/>
      </c>
      <c r="AH28" s="650" t="str">
        <f>+IFERROR(RANK(W28,(W$6:W$8,W$33:W$49),0),"")</f>
        <v/>
      </c>
      <c r="AI28" s="650" t="str">
        <f>+IFERROR(RANK(X28,(X$6:X$8,X$33:X$49),0),"")</f>
        <v/>
      </c>
      <c r="AJ28" s="650" t="str">
        <f>+IFERROR(RANK(Y28,(Y$6:Y$8,Y$33:Y$49),0),"")</f>
        <v/>
      </c>
      <c r="AK28" s="650" t="str">
        <f>+IFERROR(RANK(Z28,(Z$6:Z$8,Z$33:Z$49),0),"")</f>
        <v/>
      </c>
      <c r="AL28" s="650" t="str">
        <f>+IFERROR(RANK(AA28,(AA$6:AA$8,AA$33:AA$49),0),"")</f>
        <v/>
      </c>
      <c r="AM28" s="650" t="str">
        <f>+IFERROR(RANK(AB28,(AB$6:AB$8,AB$33:AB$49),0),"")</f>
        <v/>
      </c>
      <c r="AN28" s="650" t="str">
        <f>+IFERROR(RANK(AC28,(AC$6:AC$8,AC$33:AC$49),0),"")</f>
        <v/>
      </c>
      <c r="AO28" s="677"/>
      <c r="AP28" s="677"/>
      <c r="AQ28" s="677"/>
      <c r="AR28" s="677"/>
      <c r="AS28" s="677"/>
      <c r="AT28" s="677"/>
    </row>
    <row r="29" spans="1:46" s="115" customFormat="1" ht="12.75" customHeight="1">
      <c r="A29" s="694"/>
      <c r="B29" s="102" t="s">
        <v>159</v>
      </c>
      <c r="C29" s="606">
        <v>155</v>
      </c>
      <c r="D29" s="606">
        <v>135</v>
      </c>
      <c r="E29" s="606">
        <v>186</v>
      </c>
      <c r="F29" s="606">
        <v>175</v>
      </c>
      <c r="G29" s="606">
        <v>255</v>
      </c>
      <c r="H29" s="606">
        <v>355</v>
      </c>
      <c r="I29" s="606">
        <v>350</v>
      </c>
      <c r="J29" s="606">
        <v>495</v>
      </c>
      <c r="K29" s="606">
        <v>1141</v>
      </c>
      <c r="L29" s="606">
        <v>1415</v>
      </c>
      <c r="M29" s="606">
        <v>1593</v>
      </c>
      <c r="O29" s="559">
        <f t="shared" si="7"/>
        <v>0.14040999719180006</v>
      </c>
      <c r="P29" s="559">
        <f t="shared" si="8"/>
        <v>0.31248590086370087</v>
      </c>
      <c r="Q29" s="2"/>
      <c r="R29" s="2"/>
      <c r="S29" s="559">
        <f t="shared" si="9"/>
        <v>0.14040999719180006</v>
      </c>
      <c r="T29" s="559">
        <f t="shared" si="10"/>
        <v>0.11636827542215825</v>
      </c>
      <c r="U29" s="559">
        <f t="shared" si="11"/>
        <v>0.146185041969254</v>
      </c>
      <c r="V29" s="559">
        <f t="shared" si="12"/>
        <v>0.12473716098221604</v>
      </c>
      <c r="W29" s="559">
        <f t="shared" si="13"/>
        <v>0.15062464928084113</v>
      </c>
      <c r="X29" s="559">
        <f t="shared" si="14"/>
        <v>0.16857960994002366</v>
      </c>
      <c r="Y29" s="559">
        <f t="shared" si="15"/>
        <v>0.16072666822801143</v>
      </c>
      <c r="Z29" s="559">
        <f t="shared" si="16"/>
        <v>0.21660839390345829</v>
      </c>
      <c r="AA29" s="559">
        <f t="shared" si="17"/>
        <v>0.35431701591165987</v>
      </c>
      <c r="AB29" s="559">
        <f t="shared" si="18"/>
        <v>0.34114223581969366</v>
      </c>
      <c r="AC29" s="559">
        <f t="shared" si="19"/>
        <v>0.31248590086370082</v>
      </c>
      <c r="AD29" s="650" t="str">
        <f>+IFERROR(RANK(S29,(S$6:S$8,S$33:S$49),0),"")</f>
        <v/>
      </c>
      <c r="AE29" s="650" t="str">
        <f>+IFERROR(RANK(T29,(T$6:T$8,T$33:T$49),0),"")</f>
        <v/>
      </c>
      <c r="AF29" s="650" t="str">
        <f>+IFERROR(RANK(U29,(U$6:U$8,U$33:U$49),0),"")</f>
        <v/>
      </c>
      <c r="AG29" s="650" t="str">
        <f>+IFERROR(RANK(V29,(V$6:V$8,V$33:V$49),0),"")</f>
        <v/>
      </c>
      <c r="AH29" s="650" t="str">
        <f>+IFERROR(RANK(W29,(W$6:W$8,W$33:W$49),0),"")</f>
        <v/>
      </c>
      <c r="AI29" s="650" t="str">
        <f>+IFERROR(RANK(X29,(X$6:X$8,X$33:X$49),0),"")</f>
        <v/>
      </c>
      <c r="AJ29" s="650" t="str">
        <f>+IFERROR(RANK(Y29,(Y$6:Y$8,Y$33:Y$49),0),"")</f>
        <v/>
      </c>
      <c r="AK29" s="650" t="str">
        <f>+IFERROR(RANK(Z29,(Z$6:Z$8,Z$33:Z$49),0),"")</f>
        <v/>
      </c>
      <c r="AL29" s="650" t="str">
        <f>+IFERROR(RANK(AA29,(AA$6:AA$8,AA$33:AA$49),0),"")</f>
        <v/>
      </c>
      <c r="AM29" s="650" t="str">
        <f>+IFERROR(RANK(AB29,(AB$6:AB$8,AB$33:AB$49),0),"")</f>
        <v/>
      </c>
      <c r="AN29" s="650" t="str">
        <f>+IFERROR(RANK(AC29,(AC$6:AC$8,AC$33:AC$49),0),"")</f>
        <v/>
      </c>
      <c r="AO29" s="677"/>
      <c r="AP29" s="677"/>
      <c r="AQ29" s="677"/>
      <c r="AR29" s="677"/>
      <c r="AS29" s="677"/>
      <c r="AT29" s="677"/>
    </row>
    <row r="30" spans="1:46" s="127" customFormat="1" ht="12.75" customHeight="1">
      <c r="A30" s="694"/>
      <c r="B30" s="102" t="s">
        <v>152</v>
      </c>
      <c r="C30" s="606">
        <v>240</v>
      </c>
      <c r="D30" s="606">
        <v>243</v>
      </c>
      <c r="E30" s="606">
        <v>279</v>
      </c>
      <c r="F30" s="606">
        <v>335</v>
      </c>
      <c r="G30" s="606">
        <v>448</v>
      </c>
      <c r="H30" s="606">
        <v>545</v>
      </c>
      <c r="I30" s="606">
        <v>640</v>
      </c>
      <c r="J30" s="606">
        <v>652</v>
      </c>
      <c r="K30" s="606">
        <v>1026</v>
      </c>
      <c r="L30" s="606">
        <v>1330</v>
      </c>
      <c r="M30" s="606">
        <v>1759</v>
      </c>
      <c r="O30" s="559">
        <f t="shared" si="7"/>
        <v>0.21740902790988395</v>
      </c>
      <c r="P30" s="559">
        <f t="shared" si="8"/>
        <v>0.345048775655524</v>
      </c>
      <c r="Q30" s="2"/>
      <c r="R30" s="2"/>
      <c r="S30" s="559">
        <f t="shared" si="9"/>
        <v>0.21740902790988395</v>
      </c>
      <c r="T30" s="559">
        <f t="shared" si="10"/>
        <v>0.20946289575988483</v>
      </c>
      <c r="U30" s="559">
        <f t="shared" si="11"/>
        <v>0.21927756295388098</v>
      </c>
      <c r="V30" s="559">
        <f t="shared" si="12"/>
        <v>0.23878256530881356</v>
      </c>
      <c r="W30" s="559">
        <f t="shared" si="13"/>
        <v>0.26462683481496796</v>
      </c>
      <c r="X30" s="559">
        <f t="shared" si="14"/>
        <v>0.258805316668487</v>
      </c>
      <c r="Y30" s="559">
        <f t="shared" si="15"/>
        <v>0.29390019333122092</v>
      </c>
      <c r="Z30" s="559">
        <f t="shared" si="16"/>
        <v>0.28531045015162587</v>
      </c>
      <c r="AA30" s="559">
        <f t="shared" si="17"/>
        <v>0.3186058355174084</v>
      </c>
      <c r="AB30" s="559">
        <f t="shared" si="18"/>
        <v>0.32064959267858134</v>
      </c>
      <c r="AC30" s="559">
        <f t="shared" si="19"/>
        <v>0.345048775655524</v>
      </c>
      <c r="AD30" s="650" t="str">
        <f>+IFERROR(RANK(S30,(S$6:S$8,S$33:S$49),0),"")</f>
        <v/>
      </c>
      <c r="AE30" s="650" t="str">
        <f>+IFERROR(RANK(T30,(T$6:T$8,T$33:T$49),0),"")</f>
        <v/>
      </c>
      <c r="AF30" s="650" t="str">
        <f>+IFERROR(RANK(U30,(U$6:U$8,U$33:U$49),0),"")</f>
        <v/>
      </c>
      <c r="AG30" s="650" t="str">
        <f>+IFERROR(RANK(V30,(V$6:V$8,V$33:V$49),0),"")</f>
        <v/>
      </c>
      <c r="AH30" s="650" t="str">
        <f>+IFERROR(RANK(W30,(W$6:W$8,W$33:W$49),0),"")</f>
        <v/>
      </c>
      <c r="AI30" s="650" t="str">
        <f>+IFERROR(RANK(X30,(X$6:X$8,X$33:X$49),0),"")</f>
        <v/>
      </c>
      <c r="AJ30" s="650" t="str">
        <f>+IFERROR(RANK(Y30,(Y$6:Y$8,Y$33:Y$49),0),"")</f>
        <v/>
      </c>
      <c r="AK30" s="650" t="str">
        <f>+IFERROR(RANK(Z30,(Z$6:Z$8,Z$33:Z$49),0),"")</f>
        <v/>
      </c>
      <c r="AL30" s="650" t="str">
        <f>+IFERROR(RANK(AA30,(AA$6:AA$8,AA$33:AA$49),0),"")</f>
        <v/>
      </c>
      <c r="AM30" s="650" t="str">
        <f>+IFERROR(RANK(AB30,(AB$6:AB$8,AB$33:AB$49),0),"")</f>
        <v/>
      </c>
      <c r="AN30" s="650" t="str">
        <f>+IFERROR(RANK(AC30,(AC$6:AC$8,AC$33:AC$49),0),"")</f>
        <v/>
      </c>
      <c r="AO30" s="683"/>
      <c r="AP30" s="683"/>
      <c r="AQ30" s="683"/>
      <c r="AR30" s="683"/>
      <c r="AS30" s="683"/>
      <c r="AT30" s="683"/>
    </row>
    <row r="31" spans="1:46" s="115" customFormat="1" ht="12.75" customHeight="1">
      <c r="A31" s="694"/>
      <c r="B31" s="102" t="s">
        <v>153</v>
      </c>
      <c r="C31" s="606">
        <v>238</v>
      </c>
      <c r="D31" s="606">
        <v>274</v>
      </c>
      <c r="E31" s="606">
        <v>308</v>
      </c>
      <c r="F31" s="606">
        <v>330</v>
      </c>
      <c r="G31" s="606">
        <v>378</v>
      </c>
      <c r="H31" s="606">
        <v>452</v>
      </c>
      <c r="I31" s="606">
        <v>512</v>
      </c>
      <c r="J31" s="606">
        <v>421</v>
      </c>
      <c r="K31" s="606">
        <v>1086</v>
      </c>
      <c r="L31" s="606">
        <v>2081</v>
      </c>
      <c r="M31" s="606">
        <v>1909</v>
      </c>
      <c r="O31" s="559">
        <f t="shared" si="7"/>
        <v>0.21559728601063494</v>
      </c>
      <c r="P31" s="559">
        <f t="shared" si="8"/>
        <v>0.37447306010596665</v>
      </c>
      <c r="Q31" s="2"/>
      <c r="R31" s="2"/>
      <c r="S31" s="559">
        <f t="shared" si="9"/>
        <v>0.21559728601063494</v>
      </c>
      <c r="T31" s="559">
        <f t="shared" si="10"/>
        <v>0.23618449974571376</v>
      </c>
      <c r="U31" s="559">
        <f t="shared" si="11"/>
        <v>0.2420698544437109</v>
      </c>
      <c r="V31" s="559">
        <f t="shared" si="12"/>
        <v>0.2352186464236074</v>
      </c>
      <c r="W31" s="559">
        <f t="shared" si="13"/>
        <v>0.22327889187512923</v>
      </c>
      <c r="X31" s="559">
        <f t="shared" si="14"/>
        <v>0.21464220758560756</v>
      </c>
      <c r="Y31" s="559">
        <f t="shared" si="15"/>
        <v>0.23512015466497674</v>
      </c>
      <c r="Z31" s="559">
        <f t="shared" si="16"/>
        <v>0.18422653299667868</v>
      </c>
      <c r="AA31" s="559">
        <f t="shared" si="17"/>
        <v>0.33723775572310483</v>
      </c>
      <c r="AB31" s="559">
        <f t="shared" si="18"/>
        <v>0.50170812207829152</v>
      </c>
      <c r="AC31" s="559">
        <f t="shared" si="19"/>
        <v>0.37447306010596665</v>
      </c>
      <c r="AD31" s="650" t="str">
        <f>+IFERROR(RANK(S31,(S$6:S$8,S$33:S$49),0),"")</f>
        <v/>
      </c>
      <c r="AE31" s="650" t="str">
        <f>+IFERROR(RANK(T31,(T$6:T$8,T$33:T$49),0),"")</f>
        <v/>
      </c>
      <c r="AF31" s="650" t="str">
        <f>+IFERROR(RANK(U31,(U$6:U$8,U$33:U$49),0),"")</f>
        <v/>
      </c>
      <c r="AG31" s="650" t="str">
        <f>+IFERROR(RANK(V31,(V$6:V$8,V$33:V$49),0),"")</f>
        <v/>
      </c>
      <c r="AH31" s="650" t="str">
        <f>+IFERROR(RANK(W31,(W$6:W$8,W$33:W$49),0),"")</f>
        <v/>
      </c>
      <c r="AI31" s="650" t="str">
        <f>+IFERROR(RANK(X31,(X$6:X$8,X$33:X$49),0),"")</f>
        <v/>
      </c>
      <c r="AJ31" s="650" t="str">
        <f>+IFERROR(RANK(Y31,(Y$6:Y$8,Y$33:Y$49),0),"")</f>
        <v/>
      </c>
      <c r="AK31" s="650" t="str">
        <f>+IFERROR(RANK(Z31,(Z$6:Z$8,Z$33:Z$49),0),"")</f>
        <v/>
      </c>
      <c r="AL31" s="650" t="str">
        <f>+IFERROR(RANK(AA31,(AA$6:AA$8,AA$33:AA$49),0),"")</f>
        <v/>
      </c>
      <c r="AM31" s="650" t="str">
        <f>+IFERROR(RANK(AB31,(AB$6:AB$8,AB$33:AB$49),0),"")</f>
        <v/>
      </c>
      <c r="AN31" s="650" t="str">
        <f>+IFERROR(RANK(AC31,(AC$6:AC$8,AC$33:AC$49),0),"")</f>
        <v/>
      </c>
      <c r="AO31" s="677"/>
      <c r="AP31" s="677"/>
      <c r="AQ31" s="677"/>
      <c r="AR31" s="677"/>
      <c r="AS31" s="677"/>
      <c r="AT31" s="677"/>
    </row>
    <row r="32" spans="1:46" s="115" customFormat="1" ht="12.75" customHeight="1">
      <c r="A32" s="694"/>
      <c r="B32" s="102" t="s">
        <v>160</v>
      </c>
      <c r="C32" s="606">
        <v>431</v>
      </c>
      <c r="D32" s="606">
        <v>428</v>
      </c>
      <c r="E32" s="606">
        <v>511</v>
      </c>
      <c r="F32" s="606">
        <v>532</v>
      </c>
      <c r="G32" s="606">
        <v>727</v>
      </c>
      <c r="H32" s="606">
        <v>941</v>
      </c>
      <c r="I32" s="606">
        <v>1001</v>
      </c>
      <c r="J32" s="606">
        <v>967</v>
      </c>
      <c r="K32" s="606">
        <v>1466</v>
      </c>
      <c r="L32" s="606">
        <v>2136</v>
      </c>
      <c r="M32" s="606">
        <v>3114</v>
      </c>
      <c r="O32" s="559">
        <f t="shared" si="7"/>
        <v>0.3904303792881666</v>
      </c>
      <c r="P32" s="559">
        <f t="shared" si="8"/>
        <v>0.61084814519118924</v>
      </c>
      <c r="Q32" s="2"/>
      <c r="R32" s="2"/>
      <c r="S32" s="559">
        <f t="shared" si="9"/>
        <v>0.3904303792881666</v>
      </c>
      <c r="T32" s="559">
        <f t="shared" si="10"/>
        <v>0.36893053244950907</v>
      </c>
      <c r="U32" s="559">
        <f t="shared" si="11"/>
        <v>0.40161589487252036</v>
      </c>
      <c r="V32" s="559">
        <f t="shared" si="12"/>
        <v>0.37920096938593678</v>
      </c>
      <c r="W32" s="559">
        <f t="shared" si="13"/>
        <v>0.4294279216751824</v>
      </c>
      <c r="X32" s="559">
        <f t="shared" si="14"/>
        <v>0.44685468437623171</v>
      </c>
      <c r="Y32" s="559">
        <f t="shared" si="15"/>
        <v>0.45967827113211274</v>
      </c>
      <c r="Z32" s="559">
        <f t="shared" si="16"/>
        <v>0.4231521553629175</v>
      </c>
      <c r="AA32" s="559">
        <f t="shared" si="17"/>
        <v>0.45523991702584871</v>
      </c>
      <c r="AB32" s="559">
        <f t="shared" si="18"/>
        <v>0.51496806764018777</v>
      </c>
      <c r="AC32" s="559">
        <f t="shared" si="19"/>
        <v>0.61084814519118924</v>
      </c>
      <c r="AD32" s="650" t="str">
        <f>+IFERROR(RANK(S32,(S$6:S$8,S$33:S$49),0),"")</f>
        <v/>
      </c>
      <c r="AE32" s="650" t="str">
        <f>+IFERROR(RANK(T32,(T$6:T$8,T$33:T$49),0),"")</f>
        <v/>
      </c>
      <c r="AF32" s="650" t="str">
        <f>+IFERROR(RANK(U32,(U$6:U$8,U$33:U$49),0),"")</f>
        <v/>
      </c>
      <c r="AG32" s="650" t="str">
        <f>+IFERROR(RANK(V32,(V$6:V$8,V$33:V$49),0),"")</f>
        <v/>
      </c>
      <c r="AH32" s="650" t="str">
        <f>+IFERROR(RANK(W32,(W$6:W$8,W$33:W$49),0),"")</f>
        <v/>
      </c>
      <c r="AI32" s="650" t="str">
        <f>+IFERROR(RANK(X32,(X$6:X$8,X$33:X$49),0),"")</f>
        <v/>
      </c>
      <c r="AJ32" s="650" t="str">
        <f>+IFERROR(RANK(Y32,(Y$6:Y$8,Y$33:Y$49),0),"")</f>
        <v/>
      </c>
      <c r="AK32" s="650" t="str">
        <f>+IFERROR(RANK(Z32,(Z$6:Z$8,Z$33:Z$49),0),"")</f>
        <v/>
      </c>
      <c r="AL32" s="650" t="str">
        <f>+IFERROR(RANK(AA32,(AA$6:AA$8,AA$33:AA$49),0),"")</f>
        <v/>
      </c>
      <c r="AM32" s="650" t="str">
        <f>+IFERROR(RANK(AB32,(AB$6:AB$8,AB$33:AB$49),0),"")</f>
        <v/>
      </c>
      <c r="AN32" s="650" t="str">
        <f>+IFERROR(RANK(AC32,(AC$6:AC$8,AC$33:AC$49),0),"")</f>
        <v/>
      </c>
      <c r="AO32" s="677"/>
      <c r="AP32" s="677"/>
      <c r="AQ32" s="677"/>
      <c r="AR32" s="677"/>
      <c r="AS32" s="677"/>
      <c r="AT32" s="677"/>
    </row>
    <row r="33" spans="1:46" s="115" customFormat="1" ht="16.5" customHeight="1">
      <c r="A33" s="201" t="s">
        <v>75</v>
      </c>
      <c r="B33" s="307" t="s">
        <v>161</v>
      </c>
      <c r="C33" s="5">
        <v>57</v>
      </c>
      <c r="D33" s="5">
        <v>57</v>
      </c>
      <c r="E33" s="5">
        <v>62</v>
      </c>
      <c r="F33" s="5">
        <v>61</v>
      </c>
      <c r="G33" s="5">
        <v>100</v>
      </c>
      <c r="H33" s="5">
        <v>98</v>
      </c>
      <c r="I33" s="5">
        <v>108</v>
      </c>
      <c r="J33" s="5">
        <v>116</v>
      </c>
      <c r="K33" s="5">
        <v>153</v>
      </c>
      <c r="L33" s="5">
        <v>226</v>
      </c>
      <c r="M33" s="5">
        <v>298</v>
      </c>
      <c r="O33" s="559">
        <f t="shared" si="7"/>
        <v>5.1634644128597446E-2</v>
      </c>
      <c r="P33" s="559">
        <f t="shared" si="8"/>
        <v>5.8456245108212714E-2</v>
      </c>
      <c r="Q33" s="2"/>
      <c r="R33" s="2"/>
      <c r="S33" s="559">
        <f t="shared" si="9"/>
        <v>5.1634644128597439E-2</v>
      </c>
      <c r="T33" s="559">
        <f t="shared" si="10"/>
        <v>4.9133271844911258E-2</v>
      </c>
      <c r="U33" s="559">
        <f t="shared" si="11"/>
        <v>4.8728347323084661E-2</v>
      </c>
      <c r="V33" s="559">
        <f t="shared" si="12"/>
        <v>4.347981039951531E-2</v>
      </c>
      <c r="W33" s="559">
        <f t="shared" si="13"/>
        <v>5.9068489914055347E-2</v>
      </c>
      <c r="X33" s="559">
        <f t="shared" si="14"/>
        <v>4.6537469786260048E-2</v>
      </c>
      <c r="Y33" s="559">
        <f t="shared" si="15"/>
        <v>4.9595657624643533E-2</v>
      </c>
      <c r="Z33" s="559">
        <f t="shared" si="16"/>
        <v>5.0760754934951843E-2</v>
      </c>
      <c r="AA33" s="559">
        <f t="shared" si="17"/>
        <v>4.7511396524525816E-2</v>
      </c>
      <c r="AB33" s="559">
        <f t="shared" si="18"/>
        <v>5.4486321763428103E-2</v>
      </c>
      <c r="AC33" s="559">
        <f t="shared" si="19"/>
        <v>5.8456245108212714E-2</v>
      </c>
      <c r="AD33" s="650">
        <f>+IFERROR(RANK(S33,(S$6:S$8,S$33:S$49),0),"")</f>
        <v>19</v>
      </c>
      <c r="AE33" s="650">
        <f>+IFERROR(RANK(T33,(T$6:T$8,T$33:T$49),0),"")</f>
        <v>19</v>
      </c>
      <c r="AF33" s="650">
        <f>+IFERROR(RANK(U33,(U$6:U$8,U$33:U$49),0),"")</f>
        <v>19</v>
      </c>
      <c r="AG33" s="650">
        <f>+IFERROR(RANK(V33,(V$6:V$8,V$33:V$49),0),"")</f>
        <v>19</v>
      </c>
      <c r="AH33" s="650">
        <f>+IFERROR(RANK(W33,(W$6:W$8,W$33:W$49),0),"")</f>
        <v>19</v>
      </c>
      <c r="AI33" s="650">
        <f>+IFERROR(RANK(X33,(X$6:X$8,X$33:X$49),0),"")</f>
        <v>19</v>
      </c>
      <c r="AJ33" s="650">
        <f>+IFERROR(RANK(Y33,(Y$6:Y$8,Y$33:Y$49),0),"")</f>
        <v>19</v>
      </c>
      <c r="AK33" s="650">
        <f>+IFERROR(RANK(Z33,(Z$6:Z$8,Z$33:Z$49),0),"")</f>
        <v>18</v>
      </c>
      <c r="AL33" s="650">
        <f>+IFERROR(RANK(AA33,(AA$6:AA$8,AA$33:AA$49),0),"")</f>
        <v>19</v>
      </c>
      <c r="AM33" s="650">
        <f>+IFERROR(RANK(AB33,(AB$6:AB$8,AB$33:AB$49),0),"")</f>
        <v>19</v>
      </c>
      <c r="AN33" s="650">
        <f>+IFERROR(RANK(AC33,(AC$6:AC$8,AC$33:AC$49),0),"")</f>
        <v>19</v>
      </c>
      <c r="AO33" s="677"/>
      <c r="AP33" s="677"/>
      <c r="AQ33" s="677"/>
      <c r="AR33" s="677"/>
      <c r="AS33" s="677"/>
      <c r="AT33" s="677"/>
    </row>
    <row r="34" spans="1:46" s="115" customFormat="1" ht="12.75" customHeight="1">
      <c r="A34" s="201" t="s">
        <v>76</v>
      </c>
      <c r="B34" s="307" t="s">
        <v>170</v>
      </c>
      <c r="C34" s="5">
        <v>952</v>
      </c>
      <c r="D34" s="5">
        <v>944</v>
      </c>
      <c r="E34" s="5">
        <v>952</v>
      </c>
      <c r="F34" s="5">
        <v>969</v>
      </c>
      <c r="G34" s="5">
        <v>1047</v>
      </c>
      <c r="H34" s="5">
        <v>1251</v>
      </c>
      <c r="I34" s="5">
        <v>1574</v>
      </c>
      <c r="J34" s="5">
        <v>1741</v>
      </c>
      <c r="K34" s="5">
        <v>1875</v>
      </c>
      <c r="L34" s="5">
        <v>2276</v>
      </c>
      <c r="M34" s="5">
        <v>3069</v>
      </c>
      <c r="O34" s="559">
        <f t="shared" si="7"/>
        <v>0.86238914404253975</v>
      </c>
      <c r="P34" s="559">
        <f t="shared" si="8"/>
        <v>0.60202085985605636</v>
      </c>
      <c r="Q34" s="2"/>
      <c r="R34" s="2"/>
      <c r="S34" s="559">
        <f t="shared" si="9"/>
        <v>0.86238914404253975</v>
      </c>
      <c r="T34" s="559">
        <f t="shared" si="10"/>
        <v>0.81371594072975839</v>
      </c>
      <c r="U34" s="559">
        <f t="shared" si="11"/>
        <v>0.74821591373510643</v>
      </c>
      <c r="V34" s="559">
        <f t="shared" si="12"/>
        <v>0.69068747995295632</v>
      </c>
      <c r="W34" s="559">
        <f t="shared" si="13"/>
        <v>0.61844708940015947</v>
      </c>
      <c r="X34" s="559">
        <f t="shared" si="14"/>
        <v>0.59406504798582982</v>
      </c>
      <c r="Y34" s="559">
        <f t="shared" si="15"/>
        <v>0.72281078797397147</v>
      </c>
      <c r="Z34" s="559">
        <f t="shared" si="16"/>
        <v>0.76184891673923416</v>
      </c>
      <c r="AA34" s="559">
        <f t="shared" si="17"/>
        <v>0.58224750642801248</v>
      </c>
      <c r="AB34" s="559">
        <f t="shared" si="18"/>
        <v>0.54872065634319633</v>
      </c>
      <c r="AC34" s="559">
        <f t="shared" si="19"/>
        <v>0.60202085985605636</v>
      </c>
      <c r="AD34" s="650">
        <f>+IFERROR(RANK(S34,(S$6:S$8,S$33:S$49),0),"")</f>
        <v>15</v>
      </c>
      <c r="AE34" s="650">
        <f>+IFERROR(RANK(T34,(T$6:T$8,T$33:T$49),0),"")</f>
        <v>16</v>
      </c>
      <c r="AF34" s="650">
        <f>+IFERROR(RANK(U34,(U$6:U$8,U$33:U$49),0),"")</f>
        <v>16</v>
      </c>
      <c r="AG34" s="650">
        <f>+IFERROR(RANK(V34,(V$6:V$8,V$33:V$49),0),"")</f>
        <v>16</v>
      </c>
      <c r="AH34" s="650">
        <f>+IFERROR(RANK(W34,(W$6:W$8,W$33:W$49),0),"")</f>
        <v>16</v>
      </c>
      <c r="AI34" s="650">
        <f>+IFERROR(RANK(X34,(X$6:X$8,X$33:X$49),0),"")</f>
        <v>16</v>
      </c>
      <c r="AJ34" s="650">
        <f>+IFERROR(RANK(Y34,(Y$6:Y$8,Y$33:Y$49),0),"")</f>
        <v>16</v>
      </c>
      <c r="AK34" s="650">
        <f>+IFERROR(RANK(Z34,(Z$6:Z$8,Z$33:Z$49),0),"")</f>
        <v>16</v>
      </c>
      <c r="AL34" s="650">
        <f>+IFERROR(RANK(AA34,(AA$6:AA$8,AA$33:AA$49),0),"")</f>
        <v>16</v>
      </c>
      <c r="AM34" s="650">
        <f>+IFERROR(RANK(AB34,(AB$6:AB$8,AB$33:AB$49),0),"")</f>
        <v>16</v>
      </c>
      <c r="AN34" s="650">
        <f>+IFERROR(RANK(AC34,(AC$6:AC$8,AC$33:AC$49),0),"")</f>
        <v>16</v>
      </c>
      <c r="AO34" s="677"/>
      <c r="AP34" s="677"/>
      <c r="AQ34" s="677"/>
      <c r="AR34" s="677"/>
      <c r="AS34" s="677"/>
      <c r="AT34" s="677"/>
    </row>
    <row r="35" spans="1:46" s="115" customFormat="1" ht="12.75" customHeight="1">
      <c r="A35" s="201" t="s">
        <v>77</v>
      </c>
      <c r="B35" s="307" t="s">
        <v>78</v>
      </c>
      <c r="C35" s="5">
        <v>9411</v>
      </c>
      <c r="D35" s="5">
        <v>9612</v>
      </c>
      <c r="E35" s="5">
        <v>10229</v>
      </c>
      <c r="F35" s="5">
        <v>11902</v>
      </c>
      <c r="G35" s="5">
        <v>15254</v>
      </c>
      <c r="H35" s="5">
        <v>20822</v>
      </c>
      <c r="I35" s="5">
        <v>24637</v>
      </c>
      <c r="J35" s="5">
        <v>25659</v>
      </c>
      <c r="K35" s="5">
        <v>36688</v>
      </c>
      <c r="L35" s="5">
        <v>49570</v>
      </c>
      <c r="M35" s="5">
        <v>65624</v>
      </c>
      <c r="O35" s="559">
        <f t="shared" si="7"/>
        <v>8.5251515069163251</v>
      </c>
      <c r="P35" s="559">
        <f t="shared" si="8"/>
        <v>12.872928285172319</v>
      </c>
      <c r="Q35" s="2"/>
      <c r="R35" s="2"/>
      <c r="S35" s="559">
        <f t="shared" si="9"/>
        <v>8.5251515069163251</v>
      </c>
      <c r="T35" s="559">
        <f t="shared" si="10"/>
        <v>8.2854212100576667</v>
      </c>
      <c r="U35" s="559">
        <f t="shared" si="11"/>
        <v>8.0393913672231125</v>
      </c>
      <c r="V35" s="559">
        <f t="shared" si="12"/>
        <v>8.4835525143447743</v>
      </c>
      <c r="W35" s="559">
        <f t="shared" si="13"/>
        <v>9.0103074514900019</v>
      </c>
      <c r="X35" s="559">
        <f t="shared" si="14"/>
        <v>9.8877877131582323</v>
      </c>
      <c r="Y35" s="559">
        <f t="shared" si="15"/>
        <v>11.313779786095765</v>
      </c>
      <c r="Z35" s="559">
        <f t="shared" si="16"/>
        <v>11.228191473068357</v>
      </c>
      <c r="AA35" s="559">
        <f t="shared" si="17"/>
        <v>11.392798141776492</v>
      </c>
      <c r="AB35" s="559">
        <f t="shared" si="18"/>
        <v>11.950827300058103</v>
      </c>
      <c r="AC35" s="559">
        <f t="shared" si="19"/>
        <v>12.872928285172318</v>
      </c>
      <c r="AD35" s="650">
        <f>+IFERROR(RANK(S35,(S$6:S$8,S$33:S$49),0),"")</f>
        <v>5</v>
      </c>
      <c r="AE35" s="650">
        <f>+IFERROR(RANK(T35,(T$6:T$8,T$33:T$49),0),"")</f>
        <v>5</v>
      </c>
      <c r="AF35" s="650">
        <f>+IFERROR(RANK(U35,(U$6:U$8,U$33:U$49),0),"")</f>
        <v>5</v>
      </c>
      <c r="AG35" s="650">
        <f>+IFERROR(RANK(V35,(V$6:V$8,V$33:V$49),0),"")</f>
        <v>5</v>
      </c>
      <c r="AH35" s="650">
        <f>+IFERROR(RANK(W35,(W$6:W$8,W$33:W$49),0),"")</f>
        <v>5</v>
      </c>
      <c r="AI35" s="650">
        <f>+IFERROR(RANK(X35,(X$6:X$8,X$33:X$49),0),"")</f>
        <v>4</v>
      </c>
      <c r="AJ35" s="650">
        <f>+IFERROR(RANK(Y35,(Y$6:Y$8,Y$33:Y$49),0),"")</f>
        <v>3</v>
      </c>
      <c r="AK35" s="650">
        <f>+IFERROR(RANK(Z35,(Z$6:Z$8,Z$33:Z$49),0),"")</f>
        <v>3</v>
      </c>
      <c r="AL35" s="650">
        <f>+IFERROR(RANK(AA35,(AA$6:AA$8,AA$33:AA$49),0),"")</f>
        <v>3</v>
      </c>
      <c r="AM35" s="650">
        <f>+IFERROR(RANK(AB35,(AB$6:AB$8,AB$33:AB$49),0),"")</f>
        <v>3</v>
      </c>
      <c r="AN35" s="650">
        <f>+IFERROR(RANK(AC35,(AC$6:AC$8,AC$33:AC$49),0),"")</f>
        <v>3</v>
      </c>
      <c r="AO35" s="677"/>
      <c r="AP35" s="677"/>
      <c r="AQ35" s="677"/>
      <c r="AR35" s="677"/>
      <c r="AS35" s="677"/>
      <c r="AT35" s="677"/>
    </row>
    <row r="36" spans="1:46" s="115" customFormat="1" ht="12.75" customHeight="1">
      <c r="A36" s="201" t="s">
        <v>79</v>
      </c>
      <c r="B36" s="307" t="s">
        <v>171</v>
      </c>
      <c r="C36" s="5">
        <v>15398</v>
      </c>
      <c r="D36" s="5">
        <v>16135</v>
      </c>
      <c r="E36" s="5">
        <v>16032</v>
      </c>
      <c r="F36" s="5">
        <v>16641</v>
      </c>
      <c r="G36" s="5">
        <v>19315</v>
      </c>
      <c r="H36" s="5">
        <v>23342</v>
      </c>
      <c r="I36" s="5">
        <v>23158</v>
      </c>
      <c r="J36" s="5">
        <v>24369</v>
      </c>
      <c r="K36" s="5">
        <v>31985</v>
      </c>
      <c r="L36" s="5">
        <v>43761</v>
      </c>
      <c r="M36" s="5">
        <v>55336</v>
      </c>
      <c r="O36" s="559">
        <f t="shared" si="7"/>
        <v>13.948600882318305</v>
      </c>
      <c r="P36" s="559">
        <f t="shared" si="8"/>
        <v>10.854814695664626</v>
      </c>
      <c r="Q36" s="2"/>
      <c r="R36" s="2"/>
      <c r="S36" s="559">
        <f t="shared" si="9"/>
        <v>13.948600882318305</v>
      </c>
      <c r="T36" s="559">
        <f t="shared" si="10"/>
        <v>13.908163881011284</v>
      </c>
      <c r="U36" s="559">
        <f t="shared" si="11"/>
        <v>12.600207488446665</v>
      </c>
      <c r="V36" s="559">
        <f t="shared" si="12"/>
        <v>11.861434833743184</v>
      </c>
      <c r="W36" s="559">
        <f t="shared" si="13"/>
        <v>11.40907882689979</v>
      </c>
      <c r="X36" s="559">
        <f t="shared" si="14"/>
        <v>11.084465507662062</v>
      </c>
      <c r="Y36" s="559">
        <f t="shared" si="15"/>
        <v>10.634594808069398</v>
      </c>
      <c r="Z36" s="559">
        <f t="shared" si="16"/>
        <v>10.663696870774496</v>
      </c>
      <c r="AA36" s="559">
        <f t="shared" si="17"/>
        <v>9.9323661296533228</v>
      </c>
      <c r="AB36" s="559">
        <f t="shared" si="18"/>
        <v>10.550335958802554</v>
      </c>
      <c r="AC36" s="559">
        <f t="shared" si="19"/>
        <v>10.854814695664626</v>
      </c>
      <c r="AD36" s="650">
        <f>+IFERROR(RANK(S36,(S$6:S$8,S$33:S$49),0),"")</f>
        <v>3</v>
      </c>
      <c r="AE36" s="650">
        <f>+IFERROR(RANK(T36,(T$6:T$8,T$33:T$49),0),"")</f>
        <v>3</v>
      </c>
      <c r="AF36" s="650">
        <f>+IFERROR(RANK(U36,(U$6:U$8,U$33:U$49),0),"")</f>
        <v>3</v>
      </c>
      <c r="AG36" s="650">
        <f>+IFERROR(RANK(V36,(V$6:V$8,V$33:V$49),0),"")</f>
        <v>3</v>
      </c>
      <c r="AH36" s="650">
        <f>+IFERROR(RANK(W36,(W$6:W$8,W$33:W$49),0),"")</f>
        <v>3</v>
      </c>
      <c r="AI36" s="650">
        <f>+IFERROR(RANK(X36,(X$6:X$8,X$33:X$49),0),"")</f>
        <v>3</v>
      </c>
      <c r="AJ36" s="650">
        <f>+IFERROR(RANK(Y36,(Y$6:Y$8,Y$33:Y$49),0),"")</f>
        <v>4</v>
      </c>
      <c r="AK36" s="650">
        <f>+IFERROR(RANK(Z36,(Z$6:Z$8,Z$33:Z$49),0),"")</f>
        <v>4</v>
      </c>
      <c r="AL36" s="650">
        <f>+IFERROR(RANK(AA36,(AA$6:AA$8,AA$33:AA$49),0),"")</f>
        <v>5</v>
      </c>
      <c r="AM36" s="650">
        <f>+IFERROR(RANK(AB36,(AB$6:AB$8,AB$33:AB$49),0),"")</f>
        <v>5</v>
      </c>
      <c r="AN36" s="650">
        <f>+IFERROR(RANK(AC36,(AC$6:AC$8,AC$33:AC$49),0),"")</f>
        <v>5</v>
      </c>
      <c r="AO36" s="677"/>
      <c r="AP36" s="677"/>
      <c r="AQ36" s="677"/>
      <c r="AR36" s="677"/>
      <c r="AS36" s="677"/>
      <c r="AT36" s="677"/>
    </row>
    <row r="37" spans="1:46" s="115" customFormat="1" ht="12.75" customHeight="1">
      <c r="A37" s="201" t="s">
        <v>52</v>
      </c>
      <c r="B37" s="307" t="s">
        <v>92</v>
      </c>
      <c r="C37" s="5">
        <v>5190</v>
      </c>
      <c r="D37" s="5">
        <v>5206</v>
      </c>
      <c r="E37" s="5">
        <v>4941</v>
      </c>
      <c r="F37" s="5">
        <v>5119</v>
      </c>
      <c r="G37" s="5">
        <v>6087</v>
      </c>
      <c r="H37" s="5">
        <v>6628</v>
      </c>
      <c r="I37" s="5">
        <v>6808</v>
      </c>
      <c r="J37" s="5">
        <v>7054</v>
      </c>
      <c r="K37" s="5">
        <v>8641</v>
      </c>
      <c r="L37" s="5">
        <v>12229</v>
      </c>
      <c r="M37" s="5">
        <v>17632</v>
      </c>
      <c r="O37" s="559">
        <f t="shared" si="7"/>
        <v>4.7014702285512406</v>
      </c>
      <c r="P37" s="559">
        <f t="shared" si="8"/>
        <v>3.4587265562013645</v>
      </c>
      <c r="Q37" s="2"/>
      <c r="R37" s="2"/>
      <c r="S37" s="559">
        <f t="shared" si="9"/>
        <v>4.7014702285512406</v>
      </c>
      <c r="T37" s="559">
        <f t="shared" si="10"/>
        <v>4.4875054951685618</v>
      </c>
      <c r="U37" s="559">
        <f t="shared" si="11"/>
        <v>3.8833349052155048</v>
      </c>
      <c r="V37" s="559">
        <f t="shared" si="12"/>
        <v>3.6487401546740794</v>
      </c>
      <c r="W37" s="559">
        <f t="shared" si="13"/>
        <v>3.5954989810685491</v>
      </c>
      <c r="X37" s="559">
        <f t="shared" si="14"/>
        <v>3.1474525484013429</v>
      </c>
      <c r="Y37" s="559">
        <f t="shared" si="15"/>
        <v>3.1263633065608625</v>
      </c>
      <c r="Z37" s="559">
        <f t="shared" si="16"/>
        <v>3.0867790113030198</v>
      </c>
      <c r="AA37" s="559">
        <f t="shared" si="17"/>
        <v>2.6833070416237099</v>
      </c>
      <c r="AB37" s="559">
        <f t="shared" si="18"/>
        <v>2.9482886232077976</v>
      </c>
      <c r="AC37" s="559">
        <f t="shared" si="19"/>
        <v>3.458726556201364</v>
      </c>
      <c r="AD37" s="650">
        <f>+IFERROR(RANK(S37,(S$6:S$8,S$33:S$49),0),"")</f>
        <v>8</v>
      </c>
      <c r="AE37" s="650">
        <f>+IFERROR(RANK(T37,(T$6:T$8,T$33:T$49),0),"")</f>
        <v>8</v>
      </c>
      <c r="AF37" s="650">
        <f>+IFERROR(RANK(U37,(U$6:U$8,U$33:U$49),0),"")</f>
        <v>8</v>
      </c>
      <c r="AG37" s="650">
        <f>+IFERROR(RANK(V37,(V$6:V$8,V$33:V$49),0),"")</f>
        <v>8</v>
      </c>
      <c r="AH37" s="650">
        <f>+IFERROR(RANK(W37,(W$6:W$8,W$33:W$49),0),"")</f>
        <v>8</v>
      </c>
      <c r="AI37" s="650">
        <f>+IFERROR(RANK(X37,(X$6:X$8,X$33:X$49),0),"")</f>
        <v>8</v>
      </c>
      <c r="AJ37" s="650">
        <f>+IFERROR(RANK(Y37,(Y$6:Y$8,Y$33:Y$49),0),"")</f>
        <v>9</v>
      </c>
      <c r="AK37" s="650">
        <f>+IFERROR(RANK(Z37,(Z$6:Z$8,Z$33:Z$49),0),"")</f>
        <v>9</v>
      </c>
      <c r="AL37" s="650">
        <f>+IFERROR(RANK(AA37,(AA$6:AA$8,AA$33:AA$49),0),"")</f>
        <v>10</v>
      </c>
      <c r="AM37" s="650">
        <f>+IFERROR(RANK(AB37,(AB$6:AB$8,AB$33:AB$49),0),"")</f>
        <v>10</v>
      </c>
      <c r="AN37" s="650">
        <f>+IFERROR(RANK(AC37,(AC$6:AC$8,AC$33:AC$49),0),"")</f>
        <v>10</v>
      </c>
      <c r="AO37" s="677"/>
      <c r="AP37" s="677"/>
      <c r="AQ37" s="677"/>
      <c r="AR37" s="677"/>
      <c r="AS37" s="677"/>
      <c r="AT37" s="677"/>
    </row>
    <row r="38" spans="1:46" s="115" customFormat="1" ht="12.75" customHeight="1">
      <c r="A38" s="201" t="s">
        <v>10</v>
      </c>
      <c r="B38" s="307" t="s">
        <v>162</v>
      </c>
      <c r="C38" s="5">
        <v>21269</v>
      </c>
      <c r="D38" s="5">
        <v>23142</v>
      </c>
      <c r="E38" s="5">
        <v>25658</v>
      </c>
      <c r="F38" s="5">
        <v>29478</v>
      </c>
      <c r="G38" s="5">
        <v>36191</v>
      </c>
      <c r="H38" s="5">
        <v>44744</v>
      </c>
      <c r="I38" s="5">
        <v>34517</v>
      </c>
      <c r="J38" s="5">
        <v>35893</v>
      </c>
      <c r="K38" s="5">
        <v>56634</v>
      </c>
      <c r="L38" s="5">
        <v>75785</v>
      </c>
      <c r="M38" s="5">
        <v>93337</v>
      </c>
      <c r="O38" s="559">
        <f t="shared" si="7"/>
        <v>19.266969227563841</v>
      </c>
      <c r="P38" s="559">
        <f t="shared" si="8"/>
        <v>18.309162918339762</v>
      </c>
      <c r="Q38" s="2"/>
      <c r="R38" s="2"/>
      <c r="S38" s="559">
        <f t="shared" si="9"/>
        <v>19.266969227563841</v>
      </c>
      <c r="T38" s="559">
        <f t="shared" si="10"/>
        <v>19.948108369033971</v>
      </c>
      <c r="U38" s="559">
        <f t="shared" si="11"/>
        <v>20.165676380898489</v>
      </c>
      <c r="V38" s="559">
        <f t="shared" si="12"/>
        <v>21.011440179621513</v>
      </c>
      <c r="W38" s="559">
        <f t="shared" si="13"/>
        <v>21.377477184795772</v>
      </c>
      <c r="X38" s="559">
        <f t="shared" si="14"/>
        <v>21.247679062412445</v>
      </c>
      <c r="Y38" s="559">
        <f t="shared" si="15"/>
        <v>15.850864020646489</v>
      </c>
      <c r="Z38" s="559">
        <f t="shared" si="16"/>
        <v>15.706515317932986</v>
      </c>
      <c r="AA38" s="559">
        <f t="shared" si="17"/>
        <v>17.586669482156832</v>
      </c>
      <c r="AB38" s="559">
        <f t="shared" si="18"/>
        <v>18.270999534696454</v>
      </c>
      <c r="AC38" s="559">
        <f t="shared" si="19"/>
        <v>18.309162918339766</v>
      </c>
      <c r="AD38" s="650">
        <f>+IFERROR(RANK(S38,(S$6:S$8,S$33:S$49),0),"")</f>
        <v>2</v>
      </c>
      <c r="AE38" s="650">
        <f>+IFERROR(RANK(T38,(T$6:T$8,T$33:T$49),0),"")</f>
        <v>1</v>
      </c>
      <c r="AF38" s="650">
        <f>+IFERROR(RANK(U38,(U$6:U$8,U$33:U$49),0),"")</f>
        <v>2</v>
      </c>
      <c r="AG38" s="650">
        <f>+IFERROR(RANK(V38,(V$6:V$8,V$33:V$49),0),"")</f>
        <v>2</v>
      </c>
      <c r="AH38" s="650">
        <f>+IFERROR(RANK(W38,(W$6:W$8,W$33:W$49),0),"")</f>
        <v>1</v>
      </c>
      <c r="AI38" s="650">
        <f>+IFERROR(RANK(X38,(X$6:X$8,X$33:X$49),0),"")</f>
        <v>2</v>
      </c>
      <c r="AJ38" s="650">
        <f>+IFERROR(RANK(Y38,(Y$6:Y$8,Y$33:Y$49),0),"")</f>
        <v>2</v>
      </c>
      <c r="AK38" s="650">
        <f>+IFERROR(RANK(Z38,(Z$6:Z$8,Z$33:Z$49),0),"")</f>
        <v>2</v>
      </c>
      <c r="AL38" s="650">
        <f>+IFERROR(RANK(AA38,(AA$6:AA$8,AA$33:AA$49),0),"")</f>
        <v>2</v>
      </c>
      <c r="AM38" s="650">
        <f>+IFERROR(RANK(AB38,(AB$6:AB$8,AB$33:AB$49),0),"")</f>
        <v>2</v>
      </c>
      <c r="AN38" s="650">
        <f>+IFERROR(RANK(AC38,(AC$6:AC$8,AC$33:AC$49),0),"")</f>
        <v>2</v>
      </c>
      <c r="AO38" s="677"/>
      <c r="AP38" s="677"/>
      <c r="AQ38" s="677"/>
      <c r="AR38" s="677"/>
      <c r="AS38" s="677"/>
      <c r="AT38" s="677"/>
    </row>
    <row r="39" spans="1:46" s="115" customFormat="1" ht="12.75" customHeight="1">
      <c r="A39" s="201" t="s">
        <v>80</v>
      </c>
      <c r="B39" s="307" t="s">
        <v>168</v>
      </c>
      <c r="C39" s="5">
        <v>1513</v>
      </c>
      <c r="D39" s="5">
        <v>1745</v>
      </c>
      <c r="E39" s="5">
        <v>2105</v>
      </c>
      <c r="F39" s="5">
        <v>2663</v>
      </c>
      <c r="G39" s="5">
        <v>3726</v>
      </c>
      <c r="H39" s="5">
        <v>5752</v>
      </c>
      <c r="I39" s="5">
        <v>7803</v>
      </c>
      <c r="J39" s="5">
        <v>8851</v>
      </c>
      <c r="K39" s="5">
        <v>14004</v>
      </c>
      <c r="L39" s="5">
        <v>15638</v>
      </c>
      <c r="M39" s="5">
        <v>18017</v>
      </c>
      <c r="O39" s="559">
        <f t="shared" si="7"/>
        <v>1.3705827467818934</v>
      </c>
      <c r="P39" s="559">
        <f t="shared" si="8"/>
        <v>3.5342488862908334</v>
      </c>
      <c r="Q39" s="2"/>
      <c r="R39" s="2"/>
      <c r="S39" s="559">
        <f t="shared" si="9"/>
        <v>1.3705827467818934</v>
      </c>
      <c r="T39" s="559">
        <f t="shared" si="10"/>
        <v>1.5041677082345639</v>
      </c>
      <c r="U39" s="559">
        <f t="shared" si="11"/>
        <v>1.6544059857273099</v>
      </c>
      <c r="V39" s="559">
        <f t="shared" si="12"/>
        <v>1.8981431982608077</v>
      </c>
      <c r="W39" s="559">
        <f t="shared" si="13"/>
        <v>2.2008919341977022</v>
      </c>
      <c r="X39" s="559">
        <f t="shared" si="14"/>
        <v>2.7314645531690593</v>
      </c>
      <c r="Y39" s="559">
        <f t="shared" si="15"/>
        <v>3.5832862633804949</v>
      </c>
      <c r="Z39" s="559">
        <f t="shared" si="16"/>
        <v>3.8731331200798169</v>
      </c>
      <c r="AA39" s="559">
        <f t="shared" si="17"/>
        <v>4.3486901760095398</v>
      </c>
      <c r="AB39" s="559">
        <f t="shared" si="18"/>
        <v>3.7701641581260561</v>
      </c>
      <c r="AC39" s="559">
        <f t="shared" si="19"/>
        <v>3.5342488862908334</v>
      </c>
      <c r="AD39" s="650">
        <f>+IFERROR(RANK(S39,(S$6:S$8,S$33:S$49),0),"")</f>
        <v>12</v>
      </c>
      <c r="AE39" s="650">
        <f>+IFERROR(RANK(T39,(T$6:T$8,T$33:T$49),0),"")</f>
        <v>12</v>
      </c>
      <c r="AF39" s="650">
        <f>+IFERROR(RANK(U39,(U$6:U$8,U$33:U$49),0),"")</f>
        <v>11</v>
      </c>
      <c r="AG39" s="650">
        <f>+IFERROR(RANK(V39,(V$6:V$8,V$33:V$49),0),"")</f>
        <v>11</v>
      </c>
      <c r="AH39" s="650">
        <f>+IFERROR(RANK(W39,(W$6:W$8,W$33:W$49),0),"")</f>
        <v>10</v>
      </c>
      <c r="AI39" s="650">
        <f>+IFERROR(RANK(X39,(X$6:X$8,X$33:X$49),0),"")</f>
        <v>10</v>
      </c>
      <c r="AJ39" s="650">
        <f>+IFERROR(RANK(Y39,(Y$6:Y$8,Y$33:Y$49),0),"")</f>
        <v>8</v>
      </c>
      <c r="AK39" s="650">
        <f>+IFERROR(RANK(Z39,(Z$6:Z$8,Z$33:Z$49),0),"")</f>
        <v>8</v>
      </c>
      <c r="AL39" s="650">
        <f>+IFERROR(RANK(AA39,(AA$6:AA$8,AA$33:AA$49),0),"")</f>
        <v>8</v>
      </c>
      <c r="AM39" s="650">
        <f>+IFERROR(RANK(AB39,(AB$6:AB$8,AB$33:AB$49),0),"")</f>
        <v>8</v>
      </c>
      <c r="AN39" s="650">
        <f>+IFERROR(RANK(AC39,(AC$6:AC$8,AC$33:AC$49),0),"")</f>
        <v>8</v>
      </c>
      <c r="AO39" s="677"/>
      <c r="AP39" s="677"/>
      <c r="AQ39" s="677"/>
      <c r="AR39" s="677"/>
      <c r="AS39" s="677"/>
      <c r="AT39" s="677"/>
    </row>
    <row r="40" spans="1:46" ht="12.75" customHeight="1">
      <c r="A40" s="201" t="s">
        <v>81</v>
      </c>
      <c r="B40" s="307" t="s">
        <v>163</v>
      </c>
      <c r="C40" s="5">
        <v>921</v>
      </c>
      <c r="D40" s="5">
        <v>949</v>
      </c>
      <c r="E40" s="5">
        <v>995</v>
      </c>
      <c r="F40" s="5">
        <v>1132</v>
      </c>
      <c r="G40" s="5">
        <v>1364</v>
      </c>
      <c r="H40" s="5">
        <v>1600</v>
      </c>
      <c r="I40" s="5">
        <v>1758</v>
      </c>
      <c r="J40" s="5">
        <v>1992</v>
      </c>
      <c r="K40" s="5">
        <v>2496</v>
      </c>
      <c r="L40" s="5">
        <v>3149</v>
      </c>
      <c r="M40" s="5">
        <v>3657</v>
      </c>
      <c r="O40" s="559">
        <f t="shared" si="7"/>
        <v>0.83430714460417965</v>
      </c>
      <c r="P40" s="559">
        <f t="shared" si="8"/>
        <v>0.71736405490179156</v>
      </c>
      <c r="Q40" s="2"/>
      <c r="R40" s="2"/>
      <c r="S40" s="559">
        <f t="shared" si="9"/>
        <v>0.83430714460417965</v>
      </c>
      <c r="T40" s="559">
        <f t="shared" si="10"/>
        <v>0.81802587685650496</v>
      </c>
      <c r="U40" s="559">
        <f t="shared" si="11"/>
        <v>0.7820113804269232</v>
      </c>
      <c r="V40" s="559">
        <f t="shared" si="12"/>
        <v>0.80687123561067753</v>
      </c>
      <c r="W40" s="559">
        <f t="shared" si="13"/>
        <v>0.80569420242771495</v>
      </c>
      <c r="X40" s="559">
        <f t="shared" si="14"/>
        <v>0.75979542508179676</v>
      </c>
      <c r="Y40" s="559">
        <f t="shared" si="15"/>
        <v>0.8073070935566975</v>
      </c>
      <c r="Z40" s="559">
        <f t="shared" si="16"/>
        <v>0.87168468819331091</v>
      </c>
      <c r="AA40" s="559">
        <f t="shared" si="17"/>
        <v>0.7750878805569702</v>
      </c>
      <c r="AB40" s="559">
        <f t="shared" si="18"/>
        <v>0.7591921558983854</v>
      </c>
      <c r="AC40" s="559">
        <f t="shared" si="19"/>
        <v>0.71736405490179156</v>
      </c>
      <c r="AD40" s="650">
        <f>+IFERROR(RANK(S40,(S$6:S$8,S$33:S$49),0),"")</f>
        <v>16</v>
      </c>
      <c r="AE40" s="650">
        <f>+IFERROR(RANK(T40,(T$6:T$8,T$33:T$49),0),"")</f>
        <v>15</v>
      </c>
      <c r="AF40" s="650">
        <f>+IFERROR(RANK(U40,(U$6:U$8,U$33:U$49),0),"")</f>
        <v>15</v>
      </c>
      <c r="AG40" s="650">
        <f>+IFERROR(RANK(V40,(V$6:V$8,V$33:V$49),0),"")</f>
        <v>15</v>
      </c>
      <c r="AH40" s="650">
        <f>+IFERROR(RANK(W40,(W$6:W$8,W$33:W$49),0),"")</f>
        <v>15</v>
      </c>
      <c r="AI40" s="650">
        <f>+IFERROR(RANK(X40,(X$6:X$8,X$33:X$49),0),"")</f>
        <v>15</v>
      </c>
      <c r="AJ40" s="650">
        <f>+IFERROR(RANK(Y40,(Y$6:Y$8,Y$33:Y$49),0),"")</f>
        <v>15</v>
      </c>
      <c r="AK40" s="650">
        <f>+IFERROR(RANK(Z40,(Z$6:Z$8,Z$33:Z$49),0),"")</f>
        <v>15</v>
      </c>
      <c r="AL40" s="650">
        <f>+IFERROR(RANK(AA40,(AA$6:AA$8,AA$33:AA$49),0),"")</f>
        <v>15</v>
      </c>
      <c r="AM40" s="650">
        <f>+IFERROR(RANK(AB40,(AB$6:AB$8,AB$33:AB$49),0),"")</f>
        <v>15</v>
      </c>
      <c r="AN40" s="650">
        <f>+IFERROR(RANK(AC40,(AC$6:AC$8,AC$33:AC$49),0),"")</f>
        <v>15</v>
      </c>
    </row>
    <row r="41" spans="1:46" ht="12.75" customHeight="1">
      <c r="A41" s="201" t="s">
        <v>82</v>
      </c>
      <c r="B41" s="307" t="s">
        <v>102</v>
      </c>
      <c r="C41" s="5">
        <v>1248</v>
      </c>
      <c r="D41" s="5">
        <v>1359</v>
      </c>
      <c r="E41" s="5">
        <v>1316</v>
      </c>
      <c r="F41" s="5">
        <v>1547</v>
      </c>
      <c r="G41" s="5">
        <v>1777</v>
      </c>
      <c r="H41" s="5">
        <v>1934</v>
      </c>
      <c r="I41" s="5">
        <v>1886</v>
      </c>
      <c r="J41" s="5">
        <v>2002</v>
      </c>
      <c r="K41" s="5">
        <v>2515</v>
      </c>
      <c r="L41" s="5">
        <v>3252</v>
      </c>
      <c r="M41" s="5">
        <v>4330</v>
      </c>
      <c r="O41" s="559">
        <f t="shared" si="7"/>
        <v>1.1305269451313964</v>
      </c>
      <c r="P41" s="559">
        <f t="shared" si="8"/>
        <v>0.84938101113611086</v>
      </c>
      <c r="Q41" s="2"/>
      <c r="R41" s="2"/>
      <c r="S41" s="559">
        <f t="shared" si="9"/>
        <v>1.1305269451313966</v>
      </c>
      <c r="T41" s="559">
        <f t="shared" si="10"/>
        <v>1.1714406392497263</v>
      </c>
      <c r="U41" s="559">
        <f t="shared" si="11"/>
        <v>1.0342984689867647</v>
      </c>
      <c r="V41" s="559">
        <f t="shared" si="12"/>
        <v>1.1026765030827899</v>
      </c>
      <c r="W41" s="559">
        <f t="shared" si="13"/>
        <v>1.0496470657727635</v>
      </c>
      <c r="X41" s="559">
        <f t="shared" si="14"/>
        <v>0.9184027200676218</v>
      </c>
      <c r="Y41" s="559">
        <f t="shared" si="15"/>
        <v>0.86608713222294165</v>
      </c>
      <c r="Z41" s="559">
        <f t="shared" si="16"/>
        <v>0.87606061534287583</v>
      </c>
      <c r="AA41" s="559">
        <f t="shared" si="17"/>
        <v>0.78098798862210739</v>
      </c>
      <c r="AB41" s="559">
        <f t="shared" si="18"/>
        <v>0.78402441758702746</v>
      </c>
      <c r="AC41" s="559">
        <f t="shared" si="19"/>
        <v>0.84938101113611086</v>
      </c>
      <c r="AD41" s="650">
        <f>+IFERROR(RANK(S41,(S$6:S$8,S$33:S$49),0),"")</f>
        <v>14</v>
      </c>
      <c r="AE41" s="650">
        <f>+IFERROR(RANK(T41,(T$6:T$8,T$33:T$49),0),"")</f>
        <v>14</v>
      </c>
      <c r="AF41" s="650">
        <f>+IFERROR(RANK(U41,(U$6:U$8,U$33:U$49),0),"")</f>
        <v>14</v>
      </c>
      <c r="AG41" s="650">
        <f>+IFERROR(RANK(V41,(V$6:V$8,V$33:V$49),0),"")</f>
        <v>14</v>
      </c>
      <c r="AH41" s="650">
        <f>+IFERROR(RANK(W41,(W$6:W$8,W$33:W$49),0),"")</f>
        <v>14</v>
      </c>
      <c r="AI41" s="650">
        <f>+IFERROR(RANK(X41,(X$6:X$8,X$33:X$49),0),"")</f>
        <v>14</v>
      </c>
      <c r="AJ41" s="650">
        <f>+IFERROR(RANK(Y41,(Y$6:Y$8,Y$33:Y$49),0),"")</f>
        <v>14</v>
      </c>
      <c r="AK41" s="650">
        <f>+IFERROR(RANK(Z41,(Z$6:Z$8,Z$33:Z$49),0),"")</f>
        <v>14</v>
      </c>
      <c r="AL41" s="650">
        <f>+IFERROR(RANK(AA41,(AA$6:AA$8,AA$33:AA$49),0),"")</f>
        <v>14</v>
      </c>
      <c r="AM41" s="650">
        <f>+IFERROR(RANK(AB41,(AB$6:AB$8,AB$33:AB$49),0),"")</f>
        <v>14</v>
      </c>
      <c r="AN41" s="650">
        <f>+IFERROR(RANK(AC41,(AC$6:AC$8,AC$33:AC$49),0),"")</f>
        <v>14</v>
      </c>
    </row>
    <row r="42" spans="1:46" ht="12.75" customHeight="1">
      <c r="A42" s="201" t="s">
        <v>53</v>
      </c>
      <c r="B42" s="307" t="s">
        <v>172</v>
      </c>
      <c r="C42" s="5">
        <v>2600</v>
      </c>
      <c r="D42" s="5">
        <v>2757</v>
      </c>
      <c r="E42" s="5">
        <v>3113</v>
      </c>
      <c r="F42" s="5">
        <v>3200</v>
      </c>
      <c r="G42" s="5">
        <v>4512</v>
      </c>
      <c r="H42" s="5">
        <v>6422</v>
      </c>
      <c r="I42" s="5">
        <v>6700</v>
      </c>
      <c r="J42" s="5">
        <v>6972</v>
      </c>
      <c r="K42" s="5">
        <v>9749</v>
      </c>
      <c r="L42" s="5">
        <v>13438</v>
      </c>
      <c r="M42" s="5">
        <v>17928</v>
      </c>
      <c r="O42" s="559">
        <f t="shared" si="7"/>
        <v>2.3552644690237425</v>
      </c>
      <c r="P42" s="559">
        <f t="shared" si="8"/>
        <v>3.5167904775169041</v>
      </c>
      <c r="Q42" s="2"/>
      <c r="R42" s="2"/>
      <c r="S42" s="559">
        <f t="shared" si="9"/>
        <v>2.355264469023743</v>
      </c>
      <c r="T42" s="559">
        <f t="shared" si="10"/>
        <v>2.3764987802880762</v>
      </c>
      <c r="U42" s="559">
        <f t="shared" si="11"/>
        <v>2.4466346002703636</v>
      </c>
      <c r="V42" s="559">
        <f t="shared" si="12"/>
        <v>2.2809080865319507</v>
      </c>
      <c r="W42" s="559">
        <f t="shared" si="13"/>
        <v>2.6651702649221773</v>
      </c>
      <c r="X42" s="559">
        <f t="shared" si="14"/>
        <v>3.0496288874220614</v>
      </c>
      <c r="Y42" s="559">
        <f t="shared" si="15"/>
        <v>3.0767676489362192</v>
      </c>
      <c r="Z42" s="559">
        <f t="shared" si="16"/>
        <v>3.0508964086765884</v>
      </c>
      <c r="AA42" s="559">
        <f t="shared" si="17"/>
        <v>3.0273765014222365</v>
      </c>
      <c r="AB42" s="559">
        <f t="shared" si="18"/>
        <v>3.2397663356502076</v>
      </c>
      <c r="AC42" s="559">
        <f t="shared" si="19"/>
        <v>3.5167904775169041</v>
      </c>
      <c r="AD42" s="650">
        <f>+IFERROR(RANK(S42,(S$6:S$8,S$33:S$49),0),"")</f>
        <v>10</v>
      </c>
      <c r="AE42" s="650">
        <f>+IFERROR(RANK(T42,(T$6:T$8,T$33:T$49),0),"")</f>
        <v>10</v>
      </c>
      <c r="AF42" s="650">
        <f>+IFERROR(RANK(U42,(U$6:U$8,U$33:U$49),0),"")</f>
        <v>9</v>
      </c>
      <c r="AG42" s="650">
        <f>+IFERROR(RANK(V42,(V$6:V$8,V$33:V$49),0),"")</f>
        <v>9</v>
      </c>
      <c r="AH42" s="650">
        <f>+IFERROR(RANK(W42,(W$6:W$8,W$33:W$49),0),"")</f>
        <v>9</v>
      </c>
      <c r="AI42" s="650">
        <f>+IFERROR(RANK(X42,(X$6:X$8,X$33:X$49),0),"")</f>
        <v>9</v>
      </c>
      <c r="AJ42" s="650">
        <f>+IFERROR(RANK(Y42,(Y$6:Y$8,Y$33:Y$49),0),"")</f>
        <v>10</v>
      </c>
      <c r="AK42" s="650">
        <f>+IFERROR(RANK(Z42,(Z$6:Z$8,Z$33:Z$49),0),"")</f>
        <v>10</v>
      </c>
      <c r="AL42" s="650">
        <f>+IFERROR(RANK(AA42,(AA$6:AA$8,AA$33:AA$49),0),"")</f>
        <v>9</v>
      </c>
      <c r="AM42" s="650">
        <f>+IFERROR(RANK(AB42,(AB$6:AB$8,AB$33:AB$49),0),"")</f>
        <v>9</v>
      </c>
      <c r="AN42" s="650">
        <f>+IFERROR(RANK(AC42,(AC$6:AC$8,AC$33:AC$49),0),"")</f>
        <v>9</v>
      </c>
    </row>
    <row r="43" spans="1:46" ht="12.75" customHeight="1">
      <c r="A43" s="201" t="s">
        <v>84</v>
      </c>
      <c r="B43" s="307" t="s">
        <v>166</v>
      </c>
      <c r="C43" s="5">
        <v>21437</v>
      </c>
      <c r="D43" s="5">
        <v>22003</v>
      </c>
      <c r="E43" s="5">
        <v>27232</v>
      </c>
      <c r="F43" s="5">
        <v>30651</v>
      </c>
      <c r="G43" s="5">
        <v>35966</v>
      </c>
      <c r="H43" s="5">
        <v>45207</v>
      </c>
      <c r="I43" s="5">
        <v>48050</v>
      </c>
      <c r="J43" s="5">
        <v>50843</v>
      </c>
      <c r="K43" s="5">
        <v>72062</v>
      </c>
      <c r="L43" s="5">
        <v>86476</v>
      </c>
      <c r="M43" s="5">
        <v>97030</v>
      </c>
      <c r="O43" s="559">
        <f t="shared" si="7"/>
        <v>19.419155547100761</v>
      </c>
      <c r="P43" s="559">
        <f t="shared" si="8"/>
        <v>19.033588801509662</v>
      </c>
      <c r="Q43" s="2"/>
      <c r="R43" s="2"/>
      <c r="S43" s="559">
        <f t="shared" si="9"/>
        <v>19.419155547100761</v>
      </c>
      <c r="T43" s="559">
        <f t="shared" si="10"/>
        <v>18.966304919361097</v>
      </c>
      <c r="U43" s="559">
        <f t="shared" si="11"/>
        <v>21.402747650036154</v>
      </c>
      <c r="V43" s="559">
        <f t="shared" si="12"/>
        <v>21.847535550090878</v>
      </c>
      <c r="W43" s="559">
        <f t="shared" si="13"/>
        <v>21.244573082489147</v>
      </c>
      <c r="X43" s="559">
        <f t="shared" si="14"/>
        <v>21.467544863545491</v>
      </c>
      <c r="Y43" s="559">
        <f t="shared" si="15"/>
        <v>22.065475452445572</v>
      </c>
      <c r="Z43" s="559">
        <f t="shared" si="16"/>
        <v>22.248526406532385</v>
      </c>
      <c r="AA43" s="559">
        <f t="shared" si="17"/>
        <v>22.377557231048232</v>
      </c>
      <c r="AB43" s="559">
        <f t="shared" si="18"/>
        <v>20.848491862009773</v>
      </c>
      <c r="AC43" s="559">
        <f t="shared" si="19"/>
        <v>19.033588801509662</v>
      </c>
      <c r="AD43" s="650">
        <f>+IFERROR(RANK(S43,(S$6:S$8,S$33:S$49),0),"")</f>
        <v>1</v>
      </c>
      <c r="AE43" s="650">
        <f>+IFERROR(RANK(T43,(T$6:T$8,T$33:T$49),0),"")</f>
        <v>2</v>
      </c>
      <c r="AF43" s="650">
        <f>+IFERROR(RANK(U43,(U$6:U$8,U$33:U$49),0),"")</f>
        <v>1</v>
      </c>
      <c r="AG43" s="650">
        <f>+IFERROR(RANK(V43,(V$6:V$8,V$33:V$49),0),"")</f>
        <v>1</v>
      </c>
      <c r="AH43" s="650">
        <f>+IFERROR(RANK(W43,(W$6:W$8,W$33:W$49),0),"")</f>
        <v>2</v>
      </c>
      <c r="AI43" s="650">
        <f>+IFERROR(RANK(X43,(X$6:X$8,X$33:X$49),0),"")</f>
        <v>1</v>
      </c>
      <c r="AJ43" s="650">
        <f>+IFERROR(RANK(Y43,(Y$6:Y$8,Y$33:Y$49),0),"")</f>
        <v>1</v>
      </c>
      <c r="AK43" s="650">
        <f>+IFERROR(RANK(Z43,(Z$6:Z$8,Z$33:Z$49),0),"")</f>
        <v>1</v>
      </c>
      <c r="AL43" s="650">
        <f>+IFERROR(RANK(AA43,(AA$6:AA$8,AA$33:AA$49),0),"")</f>
        <v>1</v>
      </c>
      <c r="AM43" s="650">
        <f>+IFERROR(RANK(AB43,(AB$6:AB$8,AB$33:AB$49),0),"")</f>
        <v>1</v>
      </c>
      <c r="AN43" s="650">
        <f>+IFERROR(RANK(AC43,(AC$6:AC$8,AC$33:AC$49),0),"")</f>
        <v>1</v>
      </c>
    </row>
    <row r="44" spans="1:46" ht="12.75" customHeight="1">
      <c r="A44" s="201" t="s">
        <v>85</v>
      </c>
      <c r="B44" s="307" t="s">
        <v>167</v>
      </c>
      <c r="C44" s="5">
        <v>110</v>
      </c>
      <c r="D44" s="5">
        <v>110</v>
      </c>
      <c r="E44" s="5">
        <v>109</v>
      </c>
      <c r="F44" s="5">
        <v>113</v>
      </c>
      <c r="G44" s="5">
        <v>105</v>
      </c>
      <c r="H44" s="5">
        <v>103</v>
      </c>
      <c r="I44" s="5">
        <v>114</v>
      </c>
      <c r="J44" s="5">
        <v>115</v>
      </c>
      <c r="K44" s="5">
        <v>182</v>
      </c>
      <c r="L44" s="5">
        <v>274</v>
      </c>
      <c r="M44" s="5">
        <v>471</v>
      </c>
      <c r="O44" s="559">
        <f t="shared" si="7"/>
        <v>9.9645804458696821E-2</v>
      </c>
      <c r="P44" s="559">
        <f t="shared" si="8"/>
        <v>9.2392253174389885E-2</v>
      </c>
      <c r="Q44" s="2"/>
      <c r="R44" s="2"/>
      <c r="S44" s="559">
        <f t="shared" si="9"/>
        <v>9.9645804458696807E-2</v>
      </c>
      <c r="T44" s="559">
        <f t="shared" si="10"/>
        <v>9.4818594788425234E-2</v>
      </c>
      <c r="U44" s="559">
        <f t="shared" si="11"/>
        <v>8.5667578358326266E-2</v>
      </c>
      <c r="V44" s="559">
        <f t="shared" si="12"/>
        <v>8.0544566805659509E-2</v>
      </c>
      <c r="W44" s="559">
        <f t="shared" si="13"/>
        <v>6.2021914409758114E-2</v>
      </c>
      <c r="X44" s="559">
        <f t="shared" si="14"/>
        <v>4.8911830489640665E-2</v>
      </c>
      <c r="Y44" s="559">
        <f t="shared" si="15"/>
        <v>5.2350971937123729E-2</v>
      </c>
      <c r="Z44" s="559">
        <f t="shared" si="16"/>
        <v>5.032316221999536E-2</v>
      </c>
      <c r="AA44" s="559">
        <f t="shared" si="17"/>
        <v>5.6516824623945743E-2</v>
      </c>
      <c r="AB44" s="559">
        <f t="shared" si="18"/>
        <v>6.6058637890173896E-2</v>
      </c>
      <c r="AC44" s="559">
        <f t="shared" si="19"/>
        <v>9.2392253174389885E-2</v>
      </c>
      <c r="AD44" s="650">
        <f>+IFERROR(RANK(S44,(S$6:S$8,S$33:S$49),0),"")</f>
        <v>18</v>
      </c>
      <c r="AE44" s="650">
        <f>+IFERROR(RANK(T44,(T$6:T$8,T$33:T$49),0),"")</f>
        <v>18</v>
      </c>
      <c r="AF44" s="650">
        <f>+IFERROR(RANK(U44,(U$6:U$8,U$33:U$49),0),"")</f>
        <v>18</v>
      </c>
      <c r="AG44" s="650">
        <f>+IFERROR(RANK(V44,(V$6:V$8,V$33:V$49),0),"")</f>
        <v>18</v>
      </c>
      <c r="AH44" s="650">
        <f>+IFERROR(RANK(W44,(W$6:W$8,W$33:W$49),0),"")</f>
        <v>18</v>
      </c>
      <c r="AI44" s="650">
        <f>+IFERROR(RANK(X44,(X$6:X$8,X$33:X$49),0),"")</f>
        <v>18</v>
      </c>
      <c r="AJ44" s="650">
        <f>+IFERROR(RANK(Y44,(Y$6:Y$8,Y$33:Y$49),0),"")</f>
        <v>18</v>
      </c>
      <c r="AK44" s="650">
        <f>+IFERROR(RANK(Z44,(Z$6:Z$8,Z$33:Z$49),0),"")</f>
        <v>19</v>
      </c>
      <c r="AL44" s="650">
        <f>+IFERROR(RANK(AA44,(AA$6:AA$8,AA$33:AA$49),0),"")</f>
        <v>18</v>
      </c>
      <c r="AM44" s="650">
        <f>+IFERROR(RANK(AB44,(AB$6:AB$8,AB$33:AB$49),0),"")</f>
        <v>18</v>
      </c>
      <c r="AN44" s="650">
        <f>+IFERROR(RANK(AC44,(AC$6:AC$8,AC$33:AC$49),0),"")</f>
        <v>18</v>
      </c>
    </row>
    <row r="45" spans="1:46" ht="12.75" customHeight="1">
      <c r="A45" s="201" t="s">
        <v>93</v>
      </c>
      <c r="B45" s="307" t="s">
        <v>83</v>
      </c>
      <c r="C45" s="5">
        <v>1711</v>
      </c>
      <c r="D45" s="5">
        <v>1772</v>
      </c>
      <c r="E45" s="5">
        <v>1789</v>
      </c>
      <c r="F45" s="5">
        <v>1787</v>
      </c>
      <c r="G45" s="5">
        <v>1962</v>
      </c>
      <c r="H45" s="5">
        <v>2261</v>
      </c>
      <c r="I45" s="5">
        <v>2499</v>
      </c>
      <c r="J45" s="5">
        <v>2619</v>
      </c>
      <c r="K45" s="5">
        <v>2863</v>
      </c>
      <c r="L45" s="5">
        <v>3778</v>
      </c>
      <c r="M45" s="5">
        <v>4452</v>
      </c>
      <c r="O45" s="559">
        <f t="shared" si="7"/>
        <v>1.5499451948075476</v>
      </c>
      <c r="P45" s="559">
        <f t="shared" si="8"/>
        <v>0.87331276248913747</v>
      </c>
      <c r="Q45" s="2"/>
      <c r="R45" s="2"/>
      <c r="S45" s="559">
        <f t="shared" si="9"/>
        <v>1.5499451948075478</v>
      </c>
      <c r="T45" s="559">
        <f t="shared" si="10"/>
        <v>1.5274413633189956</v>
      </c>
      <c r="U45" s="559">
        <f t="shared" si="11"/>
        <v>1.4060486025967494</v>
      </c>
      <c r="V45" s="559">
        <f t="shared" si="12"/>
        <v>1.2737446095726861</v>
      </c>
      <c r="W45" s="559">
        <f t="shared" si="13"/>
        <v>1.158923772113766</v>
      </c>
      <c r="X45" s="559">
        <f t="shared" si="14"/>
        <v>1.0736859100687139</v>
      </c>
      <c r="Y45" s="559">
        <f t="shared" si="15"/>
        <v>1.1475884111480017</v>
      </c>
      <c r="Z45" s="559">
        <f t="shared" si="16"/>
        <v>1.1460553204710249</v>
      </c>
      <c r="AA45" s="559">
        <f t="shared" si="17"/>
        <v>0.88905312581514651</v>
      </c>
      <c r="AB45" s="559">
        <f t="shared" si="18"/>
        <v>0.91083771514261669</v>
      </c>
      <c r="AC45" s="559">
        <f t="shared" si="19"/>
        <v>0.87331276248913758</v>
      </c>
      <c r="AD45" s="650">
        <f>+IFERROR(RANK(S45,(S$6:S$8,S$33:S$49),0),"")</f>
        <v>11</v>
      </c>
      <c r="AE45" s="650">
        <f>+IFERROR(RANK(T45,(T$6:T$8,T$33:T$49),0),"")</f>
        <v>11</v>
      </c>
      <c r="AF45" s="650">
        <f>+IFERROR(RANK(U45,(U$6:U$8,U$33:U$49),0),"")</f>
        <v>12</v>
      </c>
      <c r="AG45" s="650">
        <f>+IFERROR(RANK(V45,(V$6:V$8,V$33:V$49),0),"")</f>
        <v>12</v>
      </c>
      <c r="AH45" s="650">
        <f>+IFERROR(RANK(W45,(W$6:W$8,W$33:W$49),0),"")</f>
        <v>12</v>
      </c>
      <c r="AI45" s="650">
        <f>+IFERROR(RANK(X45,(X$6:X$8,X$33:X$49),0),"")</f>
        <v>12</v>
      </c>
      <c r="AJ45" s="650">
        <f>+IFERROR(RANK(Y45,(Y$6:Y$8,Y$33:Y$49),0),"")</f>
        <v>12</v>
      </c>
      <c r="AK45" s="650">
        <f>+IFERROR(RANK(Z45,(Z$6:Z$8,Z$33:Z$49),0),"")</f>
        <v>12</v>
      </c>
      <c r="AL45" s="650">
        <f>+IFERROR(RANK(AA45,(AA$6:AA$8,AA$33:AA$49),0),"")</f>
        <v>12</v>
      </c>
      <c r="AM45" s="650">
        <f>+IFERROR(RANK(AB45,(AB$6:AB$8,AB$33:AB$49),0),"")</f>
        <v>12</v>
      </c>
      <c r="AN45" s="650">
        <f>+IFERROR(RANK(AC45,(AC$6:AC$8,AC$33:AC$49),0),"")</f>
        <v>13</v>
      </c>
    </row>
    <row r="46" spans="1:46" ht="12.75" customHeight="1">
      <c r="A46" s="201" t="s">
        <v>86</v>
      </c>
      <c r="B46" s="307" t="s">
        <v>138</v>
      </c>
      <c r="C46" s="5">
        <v>5859</v>
      </c>
      <c r="D46" s="5">
        <v>6048</v>
      </c>
      <c r="E46" s="5">
        <v>6360</v>
      </c>
      <c r="F46" s="5">
        <v>6756</v>
      </c>
      <c r="G46" s="5">
        <v>7801</v>
      </c>
      <c r="H46" s="5">
        <v>9731</v>
      </c>
      <c r="I46" s="5">
        <v>11645</v>
      </c>
      <c r="J46" s="5">
        <v>12519</v>
      </c>
      <c r="K46" s="5">
        <v>16095</v>
      </c>
      <c r="L46" s="5">
        <v>20862</v>
      </c>
      <c r="M46" s="5">
        <v>26390</v>
      </c>
      <c r="O46" s="559">
        <f t="shared" si="7"/>
        <v>5.3074978938500417</v>
      </c>
      <c r="P46" s="559">
        <f t="shared" si="8"/>
        <v>5.1767124443145418</v>
      </c>
      <c r="Q46" s="2"/>
      <c r="R46" s="2"/>
      <c r="S46" s="559">
        <f t="shared" si="9"/>
        <v>5.3074978938500426</v>
      </c>
      <c r="T46" s="559">
        <f t="shared" si="10"/>
        <v>5.2132987389126892</v>
      </c>
      <c r="U46" s="559">
        <f t="shared" si="11"/>
        <v>4.9985853060454586</v>
      </c>
      <c r="V46" s="559">
        <f t="shared" si="12"/>
        <v>4.8155671976905809</v>
      </c>
      <c r="W46" s="559">
        <f t="shared" si="13"/>
        <v>4.6079328981954575</v>
      </c>
      <c r="X46" s="559">
        <f t="shared" si="14"/>
        <v>4.6209808009193525</v>
      </c>
      <c r="Y46" s="559">
        <f t="shared" si="15"/>
        <v>5.3476058614719806</v>
      </c>
      <c r="Z46" s="559">
        <f t="shared" si="16"/>
        <v>5.4782231985401904</v>
      </c>
      <c r="AA46" s="559">
        <f t="shared" si="17"/>
        <v>4.998012595178059</v>
      </c>
      <c r="AB46" s="559">
        <f t="shared" si="18"/>
        <v>5.0296178965868901</v>
      </c>
      <c r="AC46" s="559">
        <f t="shared" si="19"/>
        <v>5.1767124443145418</v>
      </c>
      <c r="AD46" s="650">
        <f>+IFERROR(RANK(S46,(S$6:S$8,S$33:S$49),0),"")</f>
        <v>7</v>
      </c>
      <c r="AE46" s="650">
        <f>+IFERROR(RANK(T46,(T$6:T$8,T$33:T$49),0),"")</f>
        <v>7</v>
      </c>
      <c r="AF46" s="650">
        <f>+IFERROR(RANK(U46,(U$6:U$8,U$33:U$49),0),"")</f>
        <v>7</v>
      </c>
      <c r="AG46" s="650">
        <f>+IFERROR(RANK(V46,(V$6:V$8,V$33:V$49),0),"")</f>
        <v>7</v>
      </c>
      <c r="AH46" s="650">
        <f>+IFERROR(RANK(W46,(W$6:W$8,W$33:W$49),0),"")</f>
        <v>7</v>
      </c>
      <c r="AI46" s="650">
        <f>+IFERROR(RANK(X46,(X$6:X$8,X$33:X$49),0),"")</f>
        <v>7</v>
      </c>
      <c r="AJ46" s="650">
        <f>+IFERROR(RANK(Y46,(Y$6:Y$8,Y$33:Y$49),0),"")</f>
        <v>7</v>
      </c>
      <c r="AK46" s="650">
        <f>+IFERROR(RANK(Z46,(Z$6:Z$8,Z$33:Z$49),0),"")</f>
        <v>7</v>
      </c>
      <c r="AL46" s="650">
        <f>+IFERROR(RANK(AA46,(AA$6:AA$8,AA$33:AA$49),0),"")</f>
        <v>7</v>
      </c>
      <c r="AM46" s="650">
        <f>+IFERROR(RANK(AB46,(AB$6:AB$8,AB$33:AB$49),0),"")</f>
        <v>7</v>
      </c>
      <c r="AN46" s="650">
        <f>+IFERROR(RANK(AC46,(AC$6:AC$8,AC$33:AC$49),0),"")</f>
        <v>7</v>
      </c>
    </row>
    <row r="47" spans="1:46" ht="12.75" customHeight="1">
      <c r="A47" s="201" t="s">
        <v>94</v>
      </c>
      <c r="B47" s="307" t="s">
        <v>164</v>
      </c>
      <c r="C47" s="5">
        <v>1257</v>
      </c>
      <c r="D47" s="5">
        <v>1484</v>
      </c>
      <c r="E47" s="5">
        <v>1447</v>
      </c>
      <c r="F47" s="5">
        <v>1604</v>
      </c>
      <c r="G47" s="5">
        <v>1903</v>
      </c>
      <c r="H47" s="5">
        <v>2201</v>
      </c>
      <c r="I47" s="5">
        <v>2032</v>
      </c>
      <c r="J47" s="5">
        <v>2209</v>
      </c>
      <c r="K47" s="5">
        <v>2860</v>
      </c>
      <c r="L47" s="5">
        <v>3592</v>
      </c>
      <c r="M47" s="5">
        <v>4464</v>
      </c>
      <c r="O47" s="559">
        <f t="shared" si="7"/>
        <v>1.1386797836780171</v>
      </c>
      <c r="P47" s="559">
        <f t="shared" si="8"/>
        <v>0.87566670524517298</v>
      </c>
      <c r="Q47" s="2"/>
      <c r="R47" s="2"/>
      <c r="S47" s="559">
        <f t="shared" si="9"/>
        <v>1.1386797836780171</v>
      </c>
      <c r="T47" s="559">
        <f t="shared" si="10"/>
        <v>1.2791890424183914</v>
      </c>
      <c r="U47" s="559">
        <f t="shared" si="11"/>
        <v>1.1372567512339276</v>
      </c>
      <c r="V47" s="559">
        <f t="shared" si="12"/>
        <v>1.1433051783741401</v>
      </c>
      <c r="W47" s="559">
        <f t="shared" si="13"/>
        <v>1.1240733630644733</v>
      </c>
      <c r="X47" s="559">
        <f t="shared" si="14"/>
        <v>1.0451935816281466</v>
      </c>
      <c r="Y47" s="559">
        <f t="shared" si="15"/>
        <v>0.93313311382662645</v>
      </c>
      <c r="Z47" s="559">
        <f t="shared" si="16"/>
        <v>0.96664230733886747</v>
      </c>
      <c r="AA47" s="559">
        <f t="shared" si="17"/>
        <v>0.8881215298048617</v>
      </c>
      <c r="AB47" s="559">
        <f t="shared" si="18"/>
        <v>0.86599499015147685</v>
      </c>
      <c r="AC47" s="559">
        <f t="shared" si="19"/>
        <v>0.87566670524517298</v>
      </c>
      <c r="AD47" s="650">
        <f>+IFERROR(RANK(S47,(S$6:S$8,S$33:S$49),0),"")</f>
        <v>13</v>
      </c>
      <c r="AE47" s="650">
        <f>+IFERROR(RANK(T47,(T$6:T$8,T$33:T$49),0),"")</f>
        <v>13</v>
      </c>
      <c r="AF47" s="650">
        <f>+IFERROR(RANK(U47,(U$6:U$8,U$33:U$49),0),"")</f>
        <v>13</v>
      </c>
      <c r="AG47" s="650">
        <f>+IFERROR(RANK(V47,(V$6:V$8,V$33:V$49),0),"")</f>
        <v>13</v>
      </c>
      <c r="AH47" s="650">
        <f>+IFERROR(RANK(W47,(W$6:W$8,W$33:W$49),0),"")</f>
        <v>13</v>
      </c>
      <c r="AI47" s="650">
        <f>+IFERROR(RANK(X47,(X$6:X$8,X$33:X$49),0),"")</f>
        <v>13</v>
      </c>
      <c r="AJ47" s="650">
        <f>+IFERROR(RANK(Y47,(Y$6:Y$8,Y$33:Y$49),0),"")</f>
        <v>13</v>
      </c>
      <c r="AK47" s="650">
        <f>+IFERROR(RANK(Z47,(Z$6:Z$8,Z$33:Z$49),0),"")</f>
        <v>13</v>
      </c>
      <c r="AL47" s="650">
        <f>+IFERROR(RANK(AA47,(AA$6:AA$8,AA$33:AA$49),0),"")</f>
        <v>13</v>
      </c>
      <c r="AM47" s="650">
        <f>+IFERROR(RANK(AB47,(AB$6:AB$8,AB$33:AB$49),0),"")</f>
        <v>13</v>
      </c>
      <c r="AN47" s="650">
        <f>+IFERROR(RANK(AC47,(AC$6:AC$8,AC$33:AC$49),0),"")</f>
        <v>12</v>
      </c>
    </row>
    <row r="48" spans="1:46" ht="12.75" customHeight="1">
      <c r="A48" s="201" t="s">
        <v>95</v>
      </c>
      <c r="B48" s="307" t="s">
        <v>103</v>
      </c>
      <c r="C48" s="5">
        <v>2829</v>
      </c>
      <c r="D48" s="5">
        <v>2829</v>
      </c>
      <c r="E48" s="5">
        <v>2906</v>
      </c>
      <c r="F48" s="5">
        <v>3029</v>
      </c>
      <c r="G48" s="5">
        <v>3378</v>
      </c>
      <c r="H48" s="5">
        <v>3585</v>
      </c>
      <c r="I48" s="5">
        <v>3420</v>
      </c>
      <c r="J48" s="5">
        <v>3259</v>
      </c>
      <c r="K48" s="5">
        <v>4182</v>
      </c>
      <c r="L48" s="5">
        <v>5048</v>
      </c>
      <c r="M48" s="5">
        <v>6194</v>
      </c>
      <c r="O48" s="559">
        <f t="shared" si="7"/>
        <v>2.562708916487757</v>
      </c>
      <c r="P48" s="559">
        <f t="shared" si="8"/>
        <v>1.2150267859069448</v>
      </c>
      <c r="Q48" s="2"/>
      <c r="R48" s="2"/>
      <c r="S48" s="559">
        <f t="shared" si="9"/>
        <v>2.562708916487757</v>
      </c>
      <c r="T48" s="559">
        <f t="shared" si="10"/>
        <v>2.4385618605132273</v>
      </c>
      <c r="U48" s="559">
        <f t="shared" si="11"/>
        <v>2.2839447954981296</v>
      </c>
      <c r="V48" s="559">
        <f t="shared" si="12"/>
        <v>2.1590220606578994</v>
      </c>
      <c r="W48" s="559">
        <f t="shared" si="13"/>
        <v>1.9953335892967896</v>
      </c>
      <c r="X48" s="559">
        <f t="shared" si="14"/>
        <v>1.7024166243239007</v>
      </c>
      <c r="Y48" s="559">
        <f t="shared" si="15"/>
        <v>1.5705291581137117</v>
      </c>
      <c r="Z48" s="559">
        <f t="shared" si="16"/>
        <v>1.4261146580431729</v>
      </c>
      <c r="AA48" s="559">
        <f t="shared" si="17"/>
        <v>1.298644838337039</v>
      </c>
      <c r="AB48" s="559">
        <f t="shared" si="18"/>
        <v>1.2170219126627659</v>
      </c>
      <c r="AC48" s="559">
        <f t="shared" si="19"/>
        <v>1.2150267859069448</v>
      </c>
      <c r="AD48" s="650">
        <f>+IFERROR(RANK(S48,(S$6:S$8,S$33:S$49),0),"")</f>
        <v>9</v>
      </c>
      <c r="AE48" s="650">
        <f>+IFERROR(RANK(T48,(T$6:T$8,T$33:T$49),0),"")</f>
        <v>9</v>
      </c>
      <c r="AF48" s="650">
        <f>+IFERROR(RANK(U48,(U$6:U$8,U$33:U$49),0),"")</f>
        <v>10</v>
      </c>
      <c r="AG48" s="650">
        <f>+IFERROR(RANK(V48,(V$6:V$8,V$33:V$49),0),"")</f>
        <v>10</v>
      </c>
      <c r="AH48" s="650">
        <f>+IFERROR(RANK(W48,(W$6:W$8,W$33:W$49),0),"")</f>
        <v>11</v>
      </c>
      <c r="AI48" s="650">
        <f>+IFERROR(RANK(X48,(X$6:X$8,X$33:X$49),0),"")</f>
        <v>11</v>
      </c>
      <c r="AJ48" s="650">
        <f>+IFERROR(RANK(Y48,(Y$6:Y$8,Y$33:Y$49),0),"")</f>
        <v>11</v>
      </c>
      <c r="AK48" s="650">
        <f>+IFERROR(RANK(Z48,(Z$6:Z$8,Z$33:Z$49),0),"")</f>
        <v>11</v>
      </c>
      <c r="AL48" s="650">
        <f>+IFERROR(RANK(AA48,(AA$6:AA$8,AA$33:AA$49),0),"")</f>
        <v>11</v>
      </c>
      <c r="AM48" s="650">
        <f>+IFERROR(RANK(AB48,(AB$6:AB$8,AB$33:AB$49),0),"")</f>
        <v>11</v>
      </c>
      <c r="AN48" s="650">
        <f>+IFERROR(RANK(AC48,(AC$6:AC$8,AC$33:AC$49),0),"")</f>
        <v>11</v>
      </c>
    </row>
    <row r="49" spans="1:40" ht="12.75" customHeight="1">
      <c r="A49" s="34" t="s">
        <v>96</v>
      </c>
      <c r="B49" s="35" t="s">
        <v>165</v>
      </c>
      <c r="C49" s="699">
        <v>15</v>
      </c>
      <c r="D49" s="699">
        <v>13</v>
      </c>
      <c r="E49" s="699">
        <v>13</v>
      </c>
      <c r="F49" s="699">
        <v>11</v>
      </c>
      <c r="G49" s="699">
        <v>9</v>
      </c>
      <c r="H49" s="699">
        <v>8</v>
      </c>
      <c r="I49" s="699">
        <v>13</v>
      </c>
      <c r="J49" s="699">
        <v>32</v>
      </c>
      <c r="K49" s="699">
        <v>35</v>
      </c>
      <c r="L49" s="699">
        <v>39</v>
      </c>
      <c r="M49" s="699">
        <v>41</v>
      </c>
      <c r="O49" s="559">
        <f t="shared" si="7"/>
        <v>1.3588064244367747E-2</v>
      </c>
      <c r="P49" s="559">
        <f t="shared" si="8"/>
        <v>8.0426377497876556E-3</v>
      </c>
      <c r="Q49" s="2"/>
      <c r="R49" s="2"/>
      <c r="S49" s="559">
        <f t="shared" si="9"/>
        <v>1.3588064244367747E-2</v>
      </c>
      <c r="T49" s="559">
        <f t="shared" si="10"/>
        <v>1.1205833929541165E-2</v>
      </c>
      <c r="U49" s="559">
        <f t="shared" si="11"/>
        <v>1.0217234116130654E-2</v>
      </c>
      <c r="V49" s="559">
        <f t="shared" si="12"/>
        <v>7.8406215474535797E-3</v>
      </c>
      <c r="W49" s="559">
        <f t="shared" si="13"/>
        <v>5.3161640922649812E-3</v>
      </c>
      <c r="X49" s="559">
        <f t="shared" si="14"/>
        <v>3.7989771254089838E-3</v>
      </c>
      <c r="Y49" s="559">
        <f t="shared" si="15"/>
        <v>5.9698476770404249E-3</v>
      </c>
      <c r="Z49" s="559">
        <f t="shared" si="16"/>
        <v>1.4002966878607404E-2</v>
      </c>
      <c r="AA49" s="559">
        <f t="shared" si="17"/>
        <v>1.0868620119989566E-2</v>
      </c>
      <c r="AB49" s="559">
        <f t="shared" si="18"/>
        <v>9.4025068529809564E-3</v>
      </c>
      <c r="AC49" s="559">
        <f t="shared" si="19"/>
        <v>8.0426377497876539E-3</v>
      </c>
      <c r="AD49" s="650">
        <f>+IFERROR(RANK(S49,(S$6:S$8,S$33:S$49),0),"")</f>
        <v>20</v>
      </c>
      <c r="AE49" s="650">
        <f>+IFERROR(RANK(T49,(T$6:T$8,T$33:T$49),0),"")</f>
        <v>20</v>
      </c>
      <c r="AF49" s="650">
        <f>+IFERROR(RANK(U49,(U$6:U$8,U$33:U$49),0),"")</f>
        <v>20</v>
      </c>
      <c r="AG49" s="650">
        <f>+IFERROR(RANK(V49,(V$6:V$8,V$33:V$49),0),"")</f>
        <v>20</v>
      </c>
      <c r="AH49" s="650">
        <f>+IFERROR(RANK(W49,(W$6:W$8,W$33:W$49),0),"")</f>
        <v>20</v>
      </c>
      <c r="AI49" s="650">
        <f>+IFERROR(RANK(X49,(X$6:X$8,X$33:X$49),0),"")</f>
        <v>20</v>
      </c>
      <c r="AJ49" s="650">
        <f>+IFERROR(RANK(Y49,(Y$6:Y$8,Y$33:Y$49),0),"")</f>
        <v>20</v>
      </c>
      <c r="AK49" s="650">
        <f>+IFERROR(RANK(Z49,(Z$6:Z$8,Z$33:Z$49),0),"")</f>
        <v>20</v>
      </c>
      <c r="AL49" s="650">
        <f>+IFERROR(RANK(AA49,(AA$6:AA$8,AA$33:AA$49),0),"")</f>
        <v>20</v>
      </c>
      <c r="AM49" s="650">
        <f>+IFERROR(RANK(AB49,(AB$6:AB$8,AB$33:AB$49),0),"")</f>
        <v>20</v>
      </c>
      <c r="AN49" s="650">
        <f>+IFERROR(RANK(AC49,(AC$6:AC$8,AC$33:AC$49),0),"")</f>
        <v>20</v>
      </c>
    </row>
    <row r="50" spans="1:40" ht="15" customHeight="1">
      <c r="A50" s="19" t="s">
        <v>769</v>
      </c>
      <c r="C50" s="5"/>
      <c r="D50" s="5"/>
      <c r="E50" s="5"/>
      <c r="F50" s="5"/>
      <c r="G50" s="5"/>
      <c r="H50" s="5"/>
      <c r="I50" s="5"/>
      <c r="J50" s="5"/>
      <c r="K50" s="5"/>
      <c r="L50" s="5"/>
      <c r="M50" s="5"/>
      <c r="T50" s="697"/>
      <c r="U50" s="680"/>
      <c r="V50" s="680"/>
      <c r="W50" s="680"/>
      <c r="X50" s="680"/>
      <c r="Y50" s="680"/>
      <c r="Z50" s="680"/>
      <c r="AA50" s="680"/>
      <c r="AB50" s="680"/>
      <c r="AC50" s="680"/>
      <c r="AD50" s="680"/>
    </row>
    <row r="51" spans="1:40">
      <c r="B51" s="670"/>
      <c r="C51" s="702"/>
      <c r="D51" s="702"/>
      <c r="E51" s="702"/>
      <c r="F51" s="702"/>
      <c r="G51" s="702"/>
      <c r="H51" s="702"/>
      <c r="I51" s="702"/>
      <c r="J51" s="702"/>
      <c r="K51" s="702"/>
      <c r="L51" s="702"/>
      <c r="M51" s="702"/>
      <c r="T51" s="697"/>
      <c r="U51" s="680"/>
      <c r="V51" s="680"/>
      <c r="W51" s="680"/>
      <c r="X51" s="680"/>
      <c r="Y51" s="680"/>
      <c r="Z51" s="680"/>
      <c r="AA51" s="680"/>
      <c r="AB51" s="680"/>
      <c r="AC51" s="680"/>
      <c r="AD51" s="680"/>
    </row>
    <row r="52" spans="1:40">
      <c r="C52" s="250"/>
      <c r="D52" s="250"/>
      <c r="E52" s="250"/>
      <c r="F52" s="250"/>
      <c r="G52" s="250"/>
      <c r="H52" s="250"/>
      <c r="I52" s="250"/>
      <c r="J52" s="250"/>
      <c r="K52" s="250"/>
      <c r="L52" s="250"/>
      <c r="M52" s="250"/>
      <c r="T52" s="697"/>
      <c r="U52" s="680"/>
      <c r="V52" s="680"/>
      <c r="W52" s="680"/>
      <c r="X52" s="680"/>
      <c r="Y52" s="680"/>
      <c r="Z52" s="680"/>
      <c r="AA52" s="680"/>
      <c r="AB52" s="680"/>
      <c r="AC52" s="680"/>
      <c r="AD52" s="680"/>
    </row>
    <row r="53" spans="1:40">
      <c r="B53" s="239"/>
      <c r="T53" s="697"/>
      <c r="U53" s="680"/>
      <c r="V53" s="680"/>
      <c r="W53" s="680"/>
      <c r="X53" s="680"/>
      <c r="Y53" s="680"/>
      <c r="Z53" s="680"/>
      <c r="AA53" s="680"/>
      <c r="AB53" s="680"/>
      <c r="AC53" s="680"/>
      <c r="AD53" s="680"/>
    </row>
    <row r="54" spans="1:40">
      <c r="T54" s="697"/>
      <c r="U54" s="680"/>
      <c r="V54" s="680"/>
      <c r="W54" s="680"/>
      <c r="X54" s="680"/>
      <c r="Y54" s="680"/>
      <c r="Z54" s="680"/>
      <c r="AA54" s="680"/>
      <c r="AB54" s="680"/>
      <c r="AC54" s="680"/>
      <c r="AD54" s="680"/>
    </row>
    <row r="55" spans="1:40">
      <c r="T55" s="697"/>
      <c r="U55" s="680"/>
      <c r="V55" s="680"/>
      <c r="W55" s="680"/>
      <c r="X55" s="680"/>
      <c r="Y55" s="680"/>
      <c r="Z55" s="680"/>
      <c r="AA55" s="680"/>
      <c r="AB55" s="680"/>
      <c r="AC55" s="680"/>
      <c r="AD55" s="680"/>
    </row>
    <row r="56" spans="1:40">
      <c r="T56" s="697"/>
      <c r="U56" s="680"/>
      <c r="V56" s="680"/>
      <c r="W56" s="680"/>
      <c r="X56" s="680"/>
      <c r="Y56" s="680"/>
      <c r="Z56" s="680"/>
      <c r="AA56" s="680"/>
      <c r="AB56" s="680"/>
      <c r="AC56" s="680"/>
      <c r="AD56" s="680"/>
    </row>
    <row r="57" spans="1:40">
      <c r="T57" s="697"/>
      <c r="U57" s="680"/>
      <c r="V57" s="680"/>
      <c r="W57" s="680"/>
      <c r="X57" s="680"/>
      <c r="Y57" s="680"/>
      <c r="Z57" s="680"/>
      <c r="AA57" s="680"/>
      <c r="AB57" s="680"/>
      <c r="AC57" s="680"/>
      <c r="AD57" s="680"/>
    </row>
    <row r="58" spans="1:40">
      <c r="T58" s="697"/>
      <c r="U58" s="680"/>
      <c r="V58" s="680"/>
      <c r="W58" s="680"/>
      <c r="X58" s="680"/>
      <c r="Y58" s="680"/>
      <c r="Z58" s="680"/>
      <c r="AA58" s="680"/>
      <c r="AB58" s="680"/>
      <c r="AC58" s="680"/>
      <c r="AD58" s="680"/>
    </row>
    <row r="59" spans="1:40">
      <c r="T59" s="697"/>
      <c r="U59" s="680"/>
      <c r="V59" s="680"/>
      <c r="W59" s="680"/>
      <c r="X59" s="680"/>
      <c r="Y59" s="680"/>
      <c r="Z59" s="680"/>
      <c r="AA59" s="680"/>
      <c r="AB59" s="680"/>
      <c r="AC59" s="680"/>
      <c r="AD59" s="680"/>
    </row>
    <row r="61" spans="1:40">
      <c r="T61" s="700"/>
      <c r="U61" s="698"/>
      <c r="V61" s="698"/>
      <c r="W61" s="698"/>
      <c r="X61" s="698"/>
      <c r="Y61" s="698"/>
      <c r="Z61" s="698"/>
      <c r="AA61" s="698"/>
      <c r="AB61" s="698"/>
      <c r="AC61" s="698"/>
      <c r="AD61" s="698"/>
    </row>
    <row r="62" spans="1:40" ht="12.75">
      <c r="T62" s="698"/>
      <c r="U62" s="688"/>
      <c r="V62" s="688"/>
      <c r="W62" s="688"/>
      <c r="X62" s="688"/>
      <c r="Y62" s="688"/>
      <c r="Z62" s="688"/>
      <c r="AA62" s="688"/>
      <c r="AB62" s="688"/>
      <c r="AC62" s="688"/>
      <c r="AD62" s="688"/>
    </row>
    <row r="63" spans="1:40">
      <c r="T63" s="696"/>
      <c r="U63" s="701"/>
      <c r="V63" s="701"/>
      <c r="W63" s="701"/>
      <c r="X63" s="701"/>
      <c r="Y63" s="701"/>
      <c r="Z63" s="701"/>
      <c r="AA63" s="701"/>
      <c r="AB63" s="701"/>
      <c r="AC63" s="701"/>
      <c r="AD63" s="701"/>
    </row>
    <row r="64" spans="1:40">
      <c r="T64" s="703"/>
      <c r="U64" s="701"/>
      <c r="V64" s="701"/>
      <c r="W64" s="701"/>
      <c r="X64" s="701"/>
      <c r="Y64" s="701"/>
      <c r="Z64" s="701"/>
      <c r="AA64" s="701"/>
      <c r="AB64" s="701"/>
      <c r="AC64" s="701"/>
      <c r="AD64" s="701"/>
    </row>
    <row r="65" spans="20:30">
      <c r="T65" s="704"/>
      <c r="U65" s="701"/>
      <c r="V65" s="701"/>
      <c r="W65" s="701"/>
      <c r="X65" s="701"/>
      <c r="Y65" s="701"/>
      <c r="Z65" s="701"/>
      <c r="AA65" s="701"/>
      <c r="AB65" s="701"/>
      <c r="AC65" s="701"/>
      <c r="AD65" s="701"/>
    </row>
    <row r="66" spans="20:30">
      <c r="T66" s="704"/>
      <c r="U66" s="701"/>
      <c r="V66" s="701"/>
      <c r="W66" s="701"/>
      <c r="X66" s="701"/>
      <c r="Y66" s="701"/>
      <c r="Z66" s="701"/>
      <c r="AA66" s="701"/>
      <c r="AB66" s="701"/>
      <c r="AC66" s="701"/>
      <c r="AD66" s="701"/>
    </row>
    <row r="67" spans="20:30">
      <c r="T67" s="704"/>
      <c r="U67" s="701"/>
      <c r="V67" s="701"/>
      <c r="W67" s="701"/>
      <c r="X67" s="701"/>
      <c r="Y67" s="701"/>
      <c r="Z67" s="701"/>
      <c r="AA67" s="701"/>
      <c r="AB67" s="701"/>
      <c r="AC67" s="701"/>
      <c r="AD67" s="701"/>
    </row>
    <row r="68" spans="20:30">
      <c r="T68" s="704"/>
      <c r="U68" s="701"/>
      <c r="V68" s="701"/>
      <c r="W68" s="701"/>
      <c r="X68" s="701"/>
      <c r="Y68" s="701"/>
      <c r="Z68" s="701"/>
      <c r="AA68" s="701"/>
      <c r="AB68" s="701"/>
      <c r="AC68" s="701"/>
      <c r="AD68" s="701"/>
    </row>
    <row r="69" spans="20:30">
      <c r="T69" s="704"/>
      <c r="U69" s="701"/>
      <c r="V69" s="701"/>
      <c r="W69" s="701"/>
      <c r="X69" s="701"/>
      <c r="Y69" s="701"/>
      <c r="Z69" s="701"/>
      <c r="AA69" s="701"/>
      <c r="AB69" s="701"/>
      <c r="AC69" s="701"/>
      <c r="AD69" s="701"/>
    </row>
    <row r="70" spans="20:30">
      <c r="T70" s="704"/>
      <c r="U70" s="701"/>
      <c r="V70" s="701"/>
      <c r="W70" s="701"/>
      <c r="X70" s="701"/>
      <c r="Y70" s="701"/>
      <c r="Z70" s="701"/>
      <c r="AA70" s="701"/>
      <c r="AB70" s="701"/>
      <c r="AC70" s="701"/>
      <c r="AD70" s="701"/>
    </row>
    <row r="71" spans="20:30">
      <c r="T71" s="704"/>
      <c r="U71" s="701"/>
      <c r="V71" s="701"/>
      <c r="W71" s="701"/>
      <c r="X71" s="701"/>
      <c r="Y71" s="701"/>
      <c r="Z71" s="701"/>
      <c r="AA71" s="701"/>
      <c r="AB71" s="701"/>
      <c r="AC71" s="701"/>
      <c r="AD71" s="701"/>
    </row>
    <row r="72" spans="20:30">
      <c r="T72" s="703"/>
      <c r="U72" s="701"/>
      <c r="V72" s="701"/>
      <c r="W72" s="701"/>
      <c r="X72" s="701"/>
      <c r="Y72" s="701"/>
      <c r="Z72" s="701"/>
      <c r="AA72" s="701"/>
      <c r="AB72" s="701"/>
      <c r="AC72" s="701"/>
      <c r="AD72" s="701"/>
    </row>
    <row r="73" spans="20:30">
      <c r="T73" s="704"/>
      <c r="U73" s="701"/>
      <c r="V73" s="701"/>
      <c r="W73" s="701"/>
      <c r="X73" s="701"/>
      <c r="Y73" s="701"/>
      <c r="Z73" s="701"/>
      <c r="AA73" s="701"/>
      <c r="AB73" s="701"/>
      <c r="AC73" s="701"/>
      <c r="AD73" s="701"/>
    </row>
    <row r="74" spans="20:30">
      <c r="T74" s="704"/>
      <c r="U74" s="701"/>
      <c r="V74" s="701"/>
      <c r="W74" s="701"/>
      <c r="X74" s="701"/>
      <c r="Y74" s="701"/>
      <c r="Z74" s="701"/>
      <c r="AA74" s="701"/>
      <c r="AB74" s="701"/>
      <c r="AC74" s="701"/>
      <c r="AD74" s="701"/>
    </row>
    <row r="75" spans="20:30">
      <c r="T75" s="704"/>
      <c r="U75" s="701"/>
      <c r="V75" s="701"/>
      <c r="W75" s="701"/>
      <c r="X75" s="701"/>
      <c r="Y75" s="701"/>
      <c r="Z75" s="701"/>
      <c r="AA75" s="701"/>
      <c r="AB75" s="701"/>
      <c r="AC75" s="701"/>
      <c r="AD75" s="701"/>
    </row>
    <row r="76" spans="20:30">
      <c r="T76" s="704"/>
      <c r="U76" s="701"/>
      <c r="V76" s="701"/>
      <c r="W76" s="701"/>
      <c r="X76" s="701"/>
      <c r="Y76" s="701"/>
      <c r="Z76" s="701"/>
      <c r="AA76" s="701"/>
      <c r="AB76" s="701"/>
      <c r="AC76" s="701"/>
      <c r="AD76" s="701"/>
    </row>
    <row r="77" spans="20:30">
      <c r="T77" s="704"/>
      <c r="U77" s="701"/>
      <c r="V77" s="701"/>
      <c r="W77" s="701"/>
      <c r="X77" s="701"/>
      <c r="Y77" s="701"/>
      <c r="Z77" s="701"/>
      <c r="AA77" s="701"/>
      <c r="AB77" s="701"/>
      <c r="AC77" s="701"/>
      <c r="AD77" s="701"/>
    </row>
    <row r="78" spans="20:30">
      <c r="T78" s="704"/>
      <c r="U78" s="701"/>
      <c r="V78" s="701"/>
      <c r="W78" s="701"/>
      <c r="X78" s="701"/>
      <c r="Y78" s="701"/>
      <c r="Z78" s="701"/>
      <c r="AA78" s="701"/>
      <c r="AB78" s="701"/>
      <c r="AC78" s="701"/>
      <c r="AD78" s="701"/>
    </row>
    <row r="79" spans="20:30">
      <c r="T79" s="704"/>
      <c r="U79" s="701"/>
      <c r="V79" s="701"/>
      <c r="W79" s="701"/>
      <c r="X79" s="701"/>
      <c r="Y79" s="701"/>
      <c r="Z79" s="701"/>
      <c r="AA79" s="701"/>
      <c r="AB79" s="701"/>
      <c r="AC79" s="701"/>
      <c r="AD79" s="701"/>
    </row>
    <row r="80" spans="20:30">
      <c r="T80" s="704"/>
      <c r="U80" s="701"/>
      <c r="V80" s="701"/>
      <c r="W80" s="701"/>
      <c r="X80" s="701"/>
      <c r="Y80" s="701"/>
      <c r="Z80" s="701"/>
      <c r="AA80" s="701"/>
      <c r="AB80" s="701"/>
      <c r="AC80" s="701"/>
      <c r="AD80" s="701"/>
    </row>
    <row r="81" spans="20:30">
      <c r="T81" s="704"/>
      <c r="U81" s="701"/>
      <c r="V81" s="701"/>
      <c r="W81" s="701"/>
      <c r="X81" s="701"/>
      <c r="Y81" s="701"/>
      <c r="Z81" s="701"/>
      <c r="AA81" s="701"/>
      <c r="AB81" s="701"/>
      <c r="AC81" s="701"/>
      <c r="AD81" s="701"/>
    </row>
    <row r="82" spans="20:30">
      <c r="T82" s="704"/>
      <c r="U82" s="701"/>
      <c r="V82" s="701"/>
      <c r="W82" s="701"/>
      <c r="X82" s="701"/>
      <c r="Y82" s="701"/>
      <c r="Z82" s="701"/>
      <c r="AA82" s="701"/>
      <c r="AB82" s="701"/>
      <c r="AC82" s="701"/>
      <c r="AD82" s="701"/>
    </row>
    <row r="83" spans="20:30">
      <c r="T83" s="704"/>
      <c r="U83" s="701"/>
      <c r="V83" s="701"/>
      <c r="W83" s="701"/>
      <c r="X83" s="701"/>
      <c r="Y83" s="701"/>
      <c r="Z83" s="701"/>
      <c r="AA83" s="701"/>
      <c r="AB83" s="701"/>
      <c r="AC83" s="701"/>
      <c r="AD83" s="701"/>
    </row>
  </sheetData>
  <mergeCells count="1">
    <mergeCell ref="A1:M1"/>
  </mergeCells>
  <conditionalFormatting sqref="A1 A2:B5 N60:XFD60 N1:P3 AC1:XFD3 N50:S59 AE50:XFD59 A50:B50 C2:D3 A51:D1048576 C4:C49 M4:N4 N84:XFD1048576 N61:S83 AE61:XFD83 AO4:XFD49 D5:N49">
    <cfRule type="cellIs" dxfId="1788" priority="45" operator="equal">
      <formula>0</formula>
    </cfRule>
  </conditionalFormatting>
  <conditionalFormatting sqref="C50:D50">
    <cfRule type="cellIs" dxfId="1787" priority="44" operator="equal">
      <formula>0</formula>
    </cfRule>
  </conditionalFormatting>
  <conditionalFormatting sqref="N5:N6">
    <cfRule type="containsText" dxfId="1786" priority="43" operator="containsText" text="FALSO">
      <formula>NOT(ISERROR(SEARCH("FALSO",N5)))</formula>
    </cfRule>
  </conditionalFormatting>
  <conditionalFormatting sqref="D4">
    <cfRule type="cellIs" dxfId="1785" priority="42" operator="equal">
      <formula>0</formula>
    </cfRule>
  </conditionalFormatting>
  <conditionalFormatting sqref="E2:E3 E51:E1048576">
    <cfRule type="cellIs" dxfId="1784" priority="41" operator="equal">
      <formula>0</formula>
    </cfRule>
  </conditionalFormatting>
  <conditionalFormatting sqref="D4:H4">
    <cfRule type="cellIs" dxfId="1783" priority="40" operator="equal">
      <formula>0</formula>
    </cfRule>
  </conditionalFormatting>
  <conditionalFormatting sqref="E50">
    <cfRule type="cellIs" dxfId="1782" priority="39" operator="equal">
      <formula>0</formula>
    </cfRule>
  </conditionalFormatting>
  <conditionalFormatting sqref="H2:H3 H51:H1048576">
    <cfRule type="cellIs" dxfId="1781" priority="38" operator="equal">
      <formula>0</formula>
    </cfRule>
  </conditionalFormatting>
  <conditionalFormatting sqref="H50">
    <cfRule type="cellIs" dxfId="1780" priority="37" operator="equal">
      <formula>0</formula>
    </cfRule>
  </conditionalFormatting>
  <conditionalFormatting sqref="F2:F3 F51:F1048576">
    <cfRule type="cellIs" dxfId="1779" priority="36" operator="equal">
      <formula>0</formula>
    </cfRule>
  </conditionalFormatting>
  <conditionalFormatting sqref="F50">
    <cfRule type="cellIs" dxfId="1778" priority="35" operator="equal">
      <formula>0</formula>
    </cfRule>
  </conditionalFormatting>
  <conditionalFormatting sqref="G4">
    <cfRule type="cellIs" dxfId="1777" priority="34" operator="equal">
      <formula>0</formula>
    </cfRule>
  </conditionalFormatting>
  <conditionalFormatting sqref="G2:G3 G51:G1048576">
    <cfRule type="cellIs" dxfId="1776" priority="33" operator="equal">
      <formula>0</formula>
    </cfRule>
  </conditionalFormatting>
  <conditionalFormatting sqref="G50">
    <cfRule type="cellIs" dxfId="1775" priority="32" operator="equal">
      <formula>0</formula>
    </cfRule>
  </conditionalFormatting>
  <conditionalFormatting sqref="I4">
    <cfRule type="cellIs" dxfId="1774" priority="31" operator="equal">
      <formula>0</formula>
    </cfRule>
  </conditionalFormatting>
  <conditionalFormatting sqref="I2:I3 I51:I1048576">
    <cfRule type="cellIs" dxfId="1773" priority="30" operator="equal">
      <formula>0</formula>
    </cfRule>
  </conditionalFormatting>
  <conditionalFormatting sqref="I50">
    <cfRule type="cellIs" dxfId="1772" priority="29" operator="equal">
      <formula>0</formula>
    </cfRule>
  </conditionalFormatting>
  <conditionalFormatting sqref="J4">
    <cfRule type="cellIs" dxfId="1771" priority="28" operator="equal">
      <formula>0</formula>
    </cfRule>
  </conditionalFormatting>
  <conditionalFormatting sqref="J2:J3 J51:J1048576">
    <cfRule type="cellIs" dxfId="1770" priority="27" operator="equal">
      <formula>0</formula>
    </cfRule>
  </conditionalFormatting>
  <conditionalFormatting sqref="J50">
    <cfRule type="cellIs" dxfId="1769" priority="26" operator="equal">
      <formula>0</formula>
    </cfRule>
  </conditionalFormatting>
  <conditionalFormatting sqref="K4">
    <cfRule type="cellIs" dxfId="1768" priority="25" operator="equal">
      <formula>0</formula>
    </cfRule>
  </conditionalFormatting>
  <conditionalFormatting sqref="K2:K3 K51:K1048576">
    <cfRule type="cellIs" dxfId="1767" priority="24" operator="equal">
      <formula>0</formula>
    </cfRule>
  </conditionalFormatting>
  <conditionalFormatting sqref="K50">
    <cfRule type="cellIs" dxfId="1766" priority="23" operator="equal">
      <formula>0</formula>
    </cfRule>
  </conditionalFormatting>
  <conditionalFormatting sqref="L4">
    <cfRule type="cellIs" dxfId="1765" priority="22" operator="equal">
      <formula>0</formula>
    </cfRule>
  </conditionalFormatting>
  <conditionalFormatting sqref="L2:L3 L51:L1048576">
    <cfRule type="cellIs" dxfId="1764" priority="21" operator="equal">
      <formula>0</formula>
    </cfRule>
  </conditionalFormatting>
  <conditionalFormatting sqref="L50">
    <cfRule type="cellIs" dxfId="1763" priority="20" operator="equal">
      <formula>0</formula>
    </cfRule>
  </conditionalFormatting>
  <conditionalFormatting sqref="M2:M3 M51:M1048576">
    <cfRule type="cellIs" dxfId="1762" priority="19" operator="equal">
      <formula>0</formula>
    </cfRule>
  </conditionalFormatting>
  <conditionalFormatting sqref="M50">
    <cfRule type="cellIs" dxfId="1761" priority="18" operator="equal">
      <formula>0</formula>
    </cfRule>
  </conditionalFormatting>
  <conditionalFormatting sqref="C4 M4">
    <cfRule type="cellIs" dxfId="1760" priority="17" operator="equal">
      <formula>0</formula>
    </cfRule>
  </conditionalFormatting>
  <conditionalFormatting sqref="F4">
    <cfRule type="cellIs" dxfId="1759" priority="16" operator="equal">
      <formula>0</formula>
    </cfRule>
  </conditionalFormatting>
  <conditionalFormatting sqref="H4">
    <cfRule type="cellIs" dxfId="1758" priority="15" operator="equal">
      <formula>0</formula>
    </cfRule>
  </conditionalFormatting>
  <conditionalFormatting sqref="I4">
    <cfRule type="cellIs" dxfId="1757" priority="14" operator="equal">
      <formula>0</formula>
    </cfRule>
  </conditionalFormatting>
  <conditionalFormatting sqref="J4">
    <cfRule type="cellIs" dxfId="1756" priority="13" operator="equal">
      <formula>0</formula>
    </cfRule>
  </conditionalFormatting>
  <conditionalFormatting sqref="K4">
    <cfRule type="cellIs" dxfId="1755" priority="12" operator="equal">
      <formula>0</formula>
    </cfRule>
  </conditionalFormatting>
  <conditionalFormatting sqref="L4">
    <cfRule type="cellIs" dxfId="1754" priority="11" operator="equal">
      <formula>0</formula>
    </cfRule>
  </conditionalFormatting>
  <conditionalFormatting sqref="T61:AD61">
    <cfRule type="cellIs" dxfId="1753" priority="9" operator="equal">
      <formula>0</formula>
    </cfRule>
  </conditionalFormatting>
  <conditionalFormatting sqref="Q8:R49">
    <cfRule type="cellIs" dxfId="1752" priority="8" operator="equal">
      <formula>0</formula>
    </cfRule>
  </conditionalFormatting>
  <conditionalFormatting sqref="O4:R7">
    <cfRule type="cellIs" dxfId="1751" priority="7" operator="equal">
      <formula>0</formula>
    </cfRule>
  </conditionalFormatting>
  <conditionalFormatting sqref="S6:AC49">
    <cfRule type="expression" dxfId="1750" priority="1">
      <formula>AD6=1</formula>
    </cfRule>
    <cfRule type="expression" dxfId="1749" priority="2">
      <formula>AD6=2</formula>
    </cfRule>
    <cfRule type="expression" dxfId="1748" priority="3">
      <formula>AD6=3</formula>
    </cfRule>
  </conditionalFormatting>
  <conditionalFormatting sqref="AD6:AN49">
    <cfRule type="cellIs" dxfId="1747" priority="4" operator="equal">
      <formula>1</formula>
    </cfRule>
    <cfRule type="cellIs" dxfId="1746" priority="5" operator="equal">
      <formula>2</formula>
    </cfRule>
    <cfRule type="cellIs" dxfId="1745" priority="6" operator="equal">
      <formula>3</formula>
    </cfRule>
  </conditionalFormatting>
  <printOptions horizontalCentered="1"/>
  <pageMargins left="0.19685039370078741" right="0.19685039370078741" top="1.5748031496062993" bottom="0.39370078740157483" header="0.51181102362204722" footer="0"/>
  <pageSetup paperSize="9" scale="85" fitToWidth="0" fitToHeight="0" orientation="portrait" r:id="rId1"/>
  <headerFooter>
    <oddHeader>&amp;C&amp;G</oddHead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tabColor indexed="25"/>
    <pageSetUpPr fitToPage="1"/>
  </sheetPr>
  <dimension ref="A1:O330"/>
  <sheetViews>
    <sheetView showGridLines="0" workbookViewId="0">
      <selection activeCell="Y70" sqref="Y70"/>
    </sheetView>
  </sheetViews>
  <sheetFormatPr defaultColWidth="9.140625" defaultRowHeight="11.25"/>
  <cols>
    <col min="1" max="1" width="14.7109375" style="59" customWidth="1"/>
    <col min="2" max="2" width="2.42578125" style="122" customWidth="1"/>
    <col min="3" max="3" width="7.5703125" style="141" customWidth="1"/>
    <col min="4" max="13" width="7.5703125" style="59" customWidth="1"/>
    <col min="14" max="15" width="5.85546875" style="59" bestFit="1" customWidth="1"/>
    <col min="16" max="16384" width="9.140625" style="59"/>
  </cols>
  <sheetData>
    <row r="1" spans="1:15" s="61" customFormat="1" ht="28.5" customHeight="1">
      <c r="A1" s="947" t="s">
        <v>577</v>
      </c>
      <c r="B1" s="947"/>
      <c r="C1" s="947"/>
      <c r="D1" s="947"/>
      <c r="E1" s="947"/>
      <c r="F1" s="947"/>
      <c r="G1" s="947"/>
      <c r="H1" s="947"/>
      <c r="I1" s="947"/>
      <c r="J1" s="947"/>
      <c r="K1" s="947"/>
      <c r="L1" s="947"/>
      <c r="M1" s="947"/>
    </row>
    <row r="2" spans="1:15" ht="15" customHeight="1">
      <c r="A2" s="63"/>
      <c r="B2" s="63"/>
      <c r="C2" s="64"/>
      <c r="D2" s="178"/>
      <c r="E2" s="178"/>
      <c r="F2" s="178"/>
      <c r="G2" s="178"/>
      <c r="H2" s="178"/>
      <c r="I2" s="178"/>
      <c r="J2" s="178"/>
      <c r="K2" s="178"/>
      <c r="L2" s="178"/>
      <c r="M2" s="178"/>
    </row>
    <row r="3" spans="1:15" ht="15" customHeight="1">
      <c r="A3" s="65" t="s">
        <v>13</v>
      </c>
      <c r="B3" s="66"/>
      <c r="C3" s="64"/>
      <c r="D3" s="178"/>
      <c r="E3" s="178"/>
      <c r="F3" s="178"/>
      <c r="G3" s="178"/>
      <c r="H3" s="178"/>
      <c r="I3" s="178"/>
      <c r="J3" s="178"/>
      <c r="K3" s="178"/>
      <c r="L3" s="178"/>
      <c r="M3" s="178"/>
    </row>
    <row r="4" spans="1:15" s="119" customFormat="1" ht="28.5" customHeight="1" thickBot="1">
      <c r="A4" s="67"/>
      <c r="B4" s="67"/>
      <c r="C4" s="41">
        <v>2014</v>
      </c>
      <c r="D4" s="41">
        <v>2015</v>
      </c>
      <c r="E4" s="41">
        <v>2016</v>
      </c>
      <c r="F4" s="41">
        <v>2017</v>
      </c>
      <c r="G4" s="41">
        <v>2018</v>
      </c>
      <c r="H4" s="41">
        <v>2019</v>
      </c>
      <c r="I4" s="41">
        <v>2020</v>
      </c>
      <c r="J4" s="41">
        <v>2021</v>
      </c>
      <c r="K4" s="41">
        <v>2022</v>
      </c>
      <c r="L4" s="41">
        <v>2023</v>
      </c>
      <c r="M4" s="41">
        <v>2024</v>
      </c>
    </row>
    <row r="5" spans="1:15" s="69" customFormat="1" ht="16.5" customHeight="1" thickTop="1">
      <c r="A5" s="63" t="s">
        <v>11</v>
      </c>
      <c r="B5" s="368" t="s">
        <v>44</v>
      </c>
      <c r="C5" s="342">
        <v>2458163</v>
      </c>
      <c r="D5" s="342">
        <v>2537653</v>
      </c>
      <c r="E5" s="342">
        <v>2641919</v>
      </c>
      <c r="F5" s="342">
        <v>2767521</v>
      </c>
      <c r="G5" s="342">
        <v>2877918</v>
      </c>
      <c r="H5" s="342">
        <v>2930482</v>
      </c>
      <c r="I5" s="342">
        <v>2902825</v>
      </c>
      <c r="J5" s="342">
        <v>2922343</v>
      </c>
      <c r="K5" s="342">
        <v>3148147</v>
      </c>
      <c r="L5" s="342">
        <v>3296134</v>
      </c>
      <c r="M5" s="342">
        <v>3354136</v>
      </c>
      <c r="N5" s="119"/>
      <c r="O5" s="119"/>
    </row>
    <row r="6" spans="1:15" s="69" customFormat="1" ht="12.75" customHeight="1">
      <c r="A6" s="38"/>
      <c r="B6" s="368" t="s">
        <v>52</v>
      </c>
      <c r="C6" s="341">
        <v>1278921</v>
      </c>
      <c r="D6" s="341">
        <v>1311721</v>
      </c>
      <c r="E6" s="341">
        <v>1367705</v>
      </c>
      <c r="F6" s="341">
        <v>1437729</v>
      </c>
      <c r="G6" s="341">
        <v>1499993</v>
      </c>
      <c r="H6" s="341">
        <v>1529276</v>
      </c>
      <c r="I6" s="341">
        <v>1526297</v>
      </c>
      <c r="J6" s="341">
        <v>1530240</v>
      </c>
      <c r="K6" s="341">
        <v>1653917</v>
      </c>
      <c r="L6" s="341">
        <v>1743311</v>
      </c>
      <c r="M6" s="341">
        <v>1783712</v>
      </c>
      <c r="N6" s="119"/>
      <c r="O6" s="119"/>
    </row>
    <row r="7" spans="1:15" s="69" customFormat="1" ht="12.75" customHeight="1">
      <c r="A7" s="38"/>
      <c r="B7" s="368" t="s">
        <v>53</v>
      </c>
      <c r="C7" s="341">
        <v>1179242</v>
      </c>
      <c r="D7" s="341">
        <v>1225932</v>
      </c>
      <c r="E7" s="341">
        <v>1274214</v>
      </c>
      <c r="F7" s="341">
        <v>1329792</v>
      </c>
      <c r="G7" s="341">
        <v>1377925</v>
      </c>
      <c r="H7" s="341">
        <v>1401206</v>
      </c>
      <c r="I7" s="341">
        <v>1376528</v>
      </c>
      <c r="J7" s="341">
        <v>1392103</v>
      </c>
      <c r="K7" s="341">
        <v>1494230</v>
      </c>
      <c r="L7" s="341">
        <v>1552823</v>
      </c>
      <c r="M7" s="341">
        <v>1570424</v>
      </c>
      <c r="N7" s="119"/>
      <c r="O7" s="119"/>
    </row>
    <row r="8" spans="1:15" s="69" customFormat="1" ht="16.5" customHeight="1">
      <c r="A8" s="70" t="s">
        <v>31</v>
      </c>
      <c r="B8" s="368" t="s">
        <v>44</v>
      </c>
      <c r="C8" s="341">
        <v>337603</v>
      </c>
      <c r="D8" s="341">
        <v>341284</v>
      </c>
      <c r="E8" s="341">
        <v>343479</v>
      </c>
      <c r="F8" s="341">
        <v>342337</v>
      </c>
      <c r="G8" s="341">
        <v>343929</v>
      </c>
      <c r="H8" s="341">
        <v>331746</v>
      </c>
      <c r="I8" s="341">
        <v>334802</v>
      </c>
      <c r="J8" s="341">
        <v>326097</v>
      </c>
      <c r="K8" s="341">
        <v>339241</v>
      </c>
      <c r="L8" s="341">
        <v>343514</v>
      </c>
      <c r="M8" s="341">
        <v>338173</v>
      </c>
      <c r="N8" s="119"/>
    </row>
    <row r="9" spans="1:15" s="69" customFormat="1" ht="12.75" customHeight="1">
      <c r="A9" s="64"/>
      <c r="B9" s="92" t="s">
        <v>52</v>
      </c>
      <c r="C9" s="343">
        <v>165794</v>
      </c>
      <c r="D9" s="343">
        <v>165095</v>
      </c>
      <c r="E9" s="343">
        <v>167062</v>
      </c>
      <c r="F9" s="343">
        <v>166497</v>
      </c>
      <c r="G9" s="343">
        <v>167443</v>
      </c>
      <c r="H9" s="343">
        <v>161664</v>
      </c>
      <c r="I9" s="343">
        <v>164216</v>
      </c>
      <c r="J9" s="343">
        <v>160183</v>
      </c>
      <c r="K9" s="343">
        <v>166438</v>
      </c>
      <c r="L9" s="343">
        <v>168691</v>
      </c>
      <c r="M9" s="343">
        <v>166725</v>
      </c>
    </row>
    <row r="10" spans="1:15" s="69" customFormat="1" ht="12.75" customHeight="1">
      <c r="A10" s="64"/>
      <c r="B10" s="92" t="s">
        <v>53</v>
      </c>
      <c r="C10" s="343">
        <v>171809</v>
      </c>
      <c r="D10" s="343">
        <v>176189</v>
      </c>
      <c r="E10" s="343">
        <v>176417</v>
      </c>
      <c r="F10" s="343">
        <v>175840</v>
      </c>
      <c r="G10" s="343">
        <v>176486</v>
      </c>
      <c r="H10" s="343">
        <v>170082</v>
      </c>
      <c r="I10" s="343">
        <v>170586</v>
      </c>
      <c r="J10" s="343">
        <v>165914</v>
      </c>
      <c r="K10" s="343">
        <v>172803</v>
      </c>
      <c r="L10" s="343">
        <v>174823</v>
      </c>
      <c r="M10" s="343">
        <v>171448</v>
      </c>
    </row>
    <row r="11" spans="1:15" s="124" customFormat="1" ht="16.5" customHeight="1">
      <c r="A11" s="70" t="s">
        <v>32</v>
      </c>
      <c r="B11" s="368" t="s">
        <v>44</v>
      </c>
      <c r="C11" s="341">
        <v>326574</v>
      </c>
      <c r="D11" s="341">
        <v>333875</v>
      </c>
      <c r="E11" s="341">
        <v>342848</v>
      </c>
      <c r="F11" s="341">
        <v>351116</v>
      </c>
      <c r="G11" s="341">
        <v>359992</v>
      </c>
      <c r="H11" s="341">
        <v>358730</v>
      </c>
      <c r="I11" s="341">
        <v>357121</v>
      </c>
      <c r="J11" s="341">
        <v>352639</v>
      </c>
      <c r="K11" s="341">
        <v>371748</v>
      </c>
      <c r="L11" s="341">
        <v>383648</v>
      </c>
      <c r="M11" s="341">
        <v>384005</v>
      </c>
    </row>
    <row r="12" spans="1:15" s="69" customFormat="1" ht="12.75" customHeight="1">
      <c r="A12" s="64"/>
      <c r="B12" s="92" t="s">
        <v>52</v>
      </c>
      <c r="C12" s="343">
        <v>174331</v>
      </c>
      <c r="D12" s="343">
        <v>176837</v>
      </c>
      <c r="E12" s="343">
        <v>181412</v>
      </c>
      <c r="F12" s="343">
        <v>185039</v>
      </c>
      <c r="G12" s="343">
        <v>189775</v>
      </c>
      <c r="H12" s="343">
        <v>189213</v>
      </c>
      <c r="I12" s="343">
        <v>190446</v>
      </c>
      <c r="J12" s="343">
        <v>187348</v>
      </c>
      <c r="K12" s="343">
        <v>197058</v>
      </c>
      <c r="L12" s="343">
        <v>204228</v>
      </c>
      <c r="M12" s="343">
        <v>204527</v>
      </c>
    </row>
    <row r="13" spans="1:15" s="69" customFormat="1" ht="12.75" customHeight="1">
      <c r="A13" s="64"/>
      <c r="B13" s="92" t="s">
        <v>53</v>
      </c>
      <c r="C13" s="343">
        <v>152243</v>
      </c>
      <c r="D13" s="343">
        <v>157038</v>
      </c>
      <c r="E13" s="343">
        <v>161436</v>
      </c>
      <c r="F13" s="343">
        <v>166077</v>
      </c>
      <c r="G13" s="343">
        <v>170217</v>
      </c>
      <c r="H13" s="343">
        <v>169517</v>
      </c>
      <c r="I13" s="343">
        <v>166675</v>
      </c>
      <c r="J13" s="343">
        <v>165291</v>
      </c>
      <c r="K13" s="343">
        <v>174690</v>
      </c>
      <c r="L13" s="343">
        <v>179420</v>
      </c>
      <c r="M13" s="343">
        <v>179478</v>
      </c>
    </row>
    <row r="14" spans="1:15" s="124" customFormat="1" ht="16.5" customHeight="1">
      <c r="A14" s="70" t="s">
        <v>33</v>
      </c>
      <c r="B14" s="368" t="s">
        <v>44</v>
      </c>
      <c r="C14" s="341">
        <v>324159</v>
      </c>
      <c r="D14" s="341">
        <v>335321</v>
      </c>
      <c r="E14" s="341">
        <v>345047</v>
      </c>
      <c r="F14" s="341">
        <v>361398</v>
      </c>
      <c r="G14" s="341">
        <v>378507</v>
      </c>
      <c r="H14" s="341">
        <v>385317</v>
      </c>
      <c r="I14" s="341">
        <v>376974</v>
      </c>
      <c r="J14" s="341">
        <v>376384</v>
      </c>
      <c r="K14" s="341">
        <v>405055</v>
      </c>
      <c r="L14" s="341">
        <v>423206</v>
      </c>
      <c r="M14" s="341">
        <v>431870</v>
      </c>
    </row>
    <row r="15" spans="1:15" s="69" customFormat="1" ht="12.75" customHeight="1">
      <c r="A15" s="64"/>
      <c r="B15" s="92" t="s">
        <v>52</v>
      </c>
      <c r="C15" s="343">
        <v>177376</v>
      </c>
      <c r="D15" s="343">
        <v>181931</v>
      </c>
      <c r="E15" s="343">
        <v>187487</v>
      </c>
      <c r="F15" s="343">
        <v>197454</v>
      </c>
      <c r="G15" s="343">
        <v>206377</v>
      </c>
      <c r="H15" s="343">
        <v>210232</v>
      </c>
      <c r="I15" s="343">
        <v>210711</v>
      </c>
      <c r="J15" s="343">
        <v>208462</v>
      </c>
      <c r="K15" s="343">
        <v>223671</v>
      </c>
      <c r="L15" s="343">
        <v>233866</v>
      </c>
      <c r="M15" s="343">
        <v>239392</v>
      </c>
    </row>
    <row r="16" spans="1:15" s="69" customFormat="1" ht="12.75" customHeight="1">
      <c r="A16" s="64"/>
      <c r="B16" s="92" t="s">
        <v>53</v>
      </c>
      <c r="C16" s="343">
        <v>146783</v>
      </c>
      <c r="D16" s="343">
        <v>153390</v>
      </c>
      <c r="E16" s="343">
        <v>157560</v>
      </c>
      <c r="F16" s="343">
        <v>163944</v>
      </c>
      <c r="G16" s="343">
        <v>172130</v>
      </c>
      <c r="H16" s="343">
        <v>175085</v>
      </c>
      <c r="I16" s="343">
        <v>166263</v>
      </c>
      <c r="J16" s="343">
        <v>167922</v>
      </c>
      <c r="K16" s="343">
        <v>181384</v>
      </c>
      <c r="L16" s="343">
        <v>189340</v>
      </c>
      <c r="M16" s="343">
        <v>192478</v>
      </c>
    </row>
    <row r="17" spans="1:13" s="124" customFormat="1" ht="16.5" customHeight="1">
      <c r="A17" s="70" t="s">
        <v>34</v>
      </c>
      <c r="B17" s="368" t="s">
        <v>44</v>
      </c>
      <c r="C17" s="341">
        <v>427281</v>
      </c>
      <c r="D17" s="341">
        <v>441133</v>
      </c>
      <c r="E17" s="341">
        <v>460277</v>
      </c>
      <c r="F17" s="341">
        <v>483231</v>
      </c>
      <c r="G17" s="341">
        <v>500826</v>
      </c>
      <c r="H17" s="341">
        <v>512806</v>
      </c>
      <c r="I17" s="341">
        <v>510330</v>
      </c>
      <c r="J17" s="341">
        <v>518303</v>
      </c>
      <c r="K17" s="341">
        <v>558521</v>
      </c>
      <c r="L17" s="341">
        <v>590382</v>
      </c>
      <c r="M17" s="341">
        <v>595132</v>
      </c>
    </row>
    <row r="18" spans="1:13" s="69" customFormat="1" ht="12.75" customHeight="1">
      <c r="A18" s="64"/>
      <c r="B18" s="92" t="s">
        <v>52</v>
      </c>
      <c r="C18" s="343">
        <v>224082</v>
      </c>
      <c r="D18" s="343">
        <v>232148</v>
      </c>
      <c r="E18" s="343">
        <v>241852</v>
      </c>
      <c r="F18" s="343">
        <v>255031</v>
      </c>
      <c r="G18" s="343">
        <v>266184</v>
      </c>
      <c r="H18" s="343">
        <v>275725</v>
      </c>
      <c r="I18" s="343">
        <v>276088</v>
      </c>
      <c r="J18" s="343">
        <v>280023</v>
      </c>
      <c r="K18" s="343">
        <v>301746</v>
      </c>
      <c r="L18" s="343">
        <v>321429</v>
      </c>
      <c r="M18" s="343">
        <v>327065</v>
      </c>
    </row>
    <row r="19" spans="1:13" s="69" customFormat="1" ht="12.75" customHeight="1">
      <c r="A19" s="64"/>
      <c r="B19" s="92" t="s">
        <v>53</v>
      </c>
      <c r="C19" s="343">
        <v>203199</v>
      </c>
      <c r="D19" s="343">
        <v>208985</v>
      </c>
      <c r="E19" s="343">
        <v>218425</v>
      </c>
      <c r="F19" s="343">
        <v>228200</v>
      </c>
      <c r="G19" s="343">
        <v>234642</v>
      </c>
      <c r="H19" s="343">
        <v>237081</v>
      </c>
      <c r="I19" s="343">
        <v>234242</v>
      </c>
      <c r="J19" s="343">
        <v>238280</v>
      </c>
      <c r="K19" s="343">
        <v>256775</v>
      </c>
      <c r="L19" s="343">
        <v>268953</v>
      </c>
      <c r="M19" s="343">
        <v>268067</v>
      </c>
    </row>
    <row r="20" spans="1:13" s="124" customFormat="1" ht="16.5" customHeight="1">
      <c r="A20" s="70" t="s">
        <v>35</v>
      </c>
      <c r="B20" s="368" t="s">
        <v>44</v>
      </c>
      <c r="C20" s="341">
        <v>284431</v>
      </c>
      <c r="D20" s="341">
        <v>302327</v>
      </c>
      <c r="E20" s="341">
        <v>315576</v>
      </c>
      <c r="F20" s="341">
        <v>328853</v>
      </c>
      <c r="G20" s="341">
        <v>348822</v>
      </c>
      <c r="H20" s="341">
        <v>359299</v>
      </c>
      <c r="I20" s="341">
        <v>357773</v>
      </c>
      <c r="J20" s="341">
        <v>362820</v>
      </c>
      <c r="K20" s="341">
        <v>396254</v>
      </c>
      <c r="L20" s="341">
        <v>414213</v>
      </c>
      <c r="M20" s="341">
        <v>423044</v>
      </c>
    </row>
    <row r="21" spans="1:13" s="69" customFormat="1" ht="12.75" customHeight="1">
      <c r="A21" s="64"/>
      <c r="B21" s="92" t="s">
        <v>52</v>
      </c>
      <c r="C21" s="343">
        <v>144410</v>
      </c>
      <c r="D21" s="343">
        <v>151479</v>
      </c>
      <c r="E21" s="343">
        <v>159839</v>
      </c>
      <c r="F21" s="343">
        <v>168751</v>
      </c>
      <c r="G21" s="343">
        <v>178464</v>
      </c>
      <c r="H21" s="343">
        <v>184279</v>
      </c>
      <c r="I21" s="343">
        <v>184552</v>
      </c>
      <c r="J21" s="343">
        <v>187592</v>
      </c>
      <c r="K21" s="343">
        <v>205854</v>
      </c>
      <c r="L21" s="343">
        <v>218231</v>
      </c>
      <c r="M21" s="343">
        <v>222088</v>
      </c>
    </row>
    <row r="22" spans="1:13" s="69" customFormat="1" ht="12.75" customHeight="1">
      <c r="A22" s="64"/>
      <c r="B22" s="92" t="s">
        <v>53</v>
      </c>
      <c r="C22" s="343">
        <v>140021</v>
      </c>
      <c r="D22" s="343">
        <v>150848</v>
      </c>
      <c r="E22" s="343">
        <v>155737</v>
      </c>
      <c r="F22" s="343">
        <v>160102</v>
      </c>
      <c r="G22" s="343">
        <v>170358</v>
      </c>
      <c r="H22" s="343">
        <v>175020</v>
      </c>
      <c r="I22" s="343">
        <v>173221</v>
      </c>
      <c r="J22" s="343">
        <v>175228</v>
      </c>
      <c r="K22" s="343">
        <v>190400</v>
      </c>
      <c r="L22" s="343">
        <v>195982</v>
      </c>
      <c r="M22" s="343">
        <v>200956</v>
      </c>
    </row>
    <row r="23" spans="1:13" s="124" customFormat="1" ht="16.5" customHeight="1">
      <c r="A23" s="70" t="s">
        <v>36</v>
      </c>
      <c r="B23" s="368" t="s">
        <v>44</v>
      </c>
      <c r="C23" s="341">
        <v>149334</v>
      </c>
      <c r="D23" s="341">
        <v>143165</v>
      </c>
      <c r="E23" s="341">
        <v>151683</v>
      </c>
      <c r="F23" s="341">
        <v>155792</v>
      </c>
      <c r="G23" s="341">
        <v>162304</v>
      </c>
      <c r="H23" s="341">
        <v>168246</v>
      </c>
      <c r="I23" s="341">
        <v>162747</v>
      </c>
      <c r="J23" s="341">
        <v>170164</v>
      </c>
      <c r="K23" s="341">
        <v>181484</v>
      </c>
      <c r="L23" s="341">
        <v>195171</v>
      </c>
      <c r="M23" s="341">
        <v>207469</v>
      </c>
    </row>
    <row r="24" spans="1:13" s="69" customFormat="1" ht="12.75" customHeight="1">
      <c r="A24" s="64"/>
      <c r="B24" s="92" t="s">
        <v>52</v>
      </c>
      <c r="C24" s="343">
        <v>81632</v>
      </c>
      <c r="D24" s="343">
        <v>77233</v>
      </c>
      <c r="E24" s="343">
        <v>81497</v>
      </c>
      <c r="F24" s="343">
        <v>84003</v>
      </c>
      <c r="G24" s="343">
        <v>88190</v>
      </c>
      <c r="H24" s="343">
        <v>91351</v>
      </c>
      <c r="I24" s="343">
        <v>88593</v>
      </c>
      <c r="J24" s="343">
        <v>91996</v>
      </c>
      <c r="K24" s="343">
        <v>99580</v>
      </c>
      <c r="L24" s="343">
        <v>106975</v>
      </c>
      <c r="M24" s="343">
        <v>115560</v>
      </c>
    </row>
    <row r="25" spans="1:13" s="69" customFormat="1" ht="12.75" customHeight="1">
      <c r="A25" s="64"/>
      <c r="B25" s="92" t="s">
        <v>53</v>
      </c>
      <c r="C25" s="343">
        <v>67702</v>
      </c>
      <c r="D25" s="343">
        <v>65932</v>
      </c>
      <c r="E25" s="343">
        <v>70186</v>
      </c>
      <c r="F25" s="343">
        <v>71789</v>
      </c>
      <c r="G25" s="343">
        <v>74114</v>
      </c>
      <c r="H25" s="343">
        <v>76895</v>
      </c>
      <c r="I25" s="343">
        <v>74154</v>
      </c>
      <c r="J25" s="343">
        <v>78168</v>
      </c>
      <c r="K25" s="343">
        <v>81904</v>
      </c>
      <c r="L25" s="343">
        <v>88196</v>
      </c>
      <c r="M25" s="343">
        <v>91909</v>
      </c>
    </row>
    <row r="26" spans="1:13" s="123" customFormat="1" ht="16.5" customHeight="1">
      <c r="A26" s="70" t="s">
        <v>37</v>
      </c>
      <c r="B26" s="368" t="s">
        <v>44</v>
      </c>
      <c r="C26" s="341">
        <v>89473</v>
      </c>
      <c r="D26" s="341">
        <v>95963</v>
      </c>
      <c r="E26" s="341">
        <v>97510</v>
      </c>
      <c r="F26" s="341">
        <v>104702</v>
      </c>
      <c r="G26" s="341">
        <v>110739</v>
      </c>
      <c r="H26" s="341">
        <v>112015</v>
      </c>
      <c r="I26" s="341">
        <v>108712</v>
      </c>
      <c r="J26" s="341">
        <v>110721</v>
      </c>
      <c r="K26" s="341">
        <v>124237</v>
      </c>
      <c r="L26" s="341">
        <v>131920</v>
      </c>
      <c r="M26" s="341">
        <v>131356</v>
      </c>
    </row>
    <row r="27" spans="1:13" s="204" customFormat="1" ht="12.75" customHeight="1">
      <c r="A27" s="64"/>
      <c r="B27" s="92" t="s">
        <v>52</v>
      </c>
      <c r="C27" s="343">
        <v>49723</v>
      </c>
      <c r="D27" s="343">
        <v>55151</v>
      </c>
      <c r="E27" s="343">
        <v>54253</v>
      </c>
      <c r="F27" s="343">
        <v>56187</v>
      </c>
      <c r="G27" s="343">
        <v>60487</v>
      </c>
      <c r="H27" s="343">
        <v>61550</v>
      </c>
      <c r="I27" s="343">
        <v>60754</v>
      </c>
      <c r="J27" s="343">
        <v>60693</v>
      </c>
      <c r="K27" s="343">
        <v>68501</v>
      </c>
      <c r="L27" s="343">
        <v>74450</v>
      </c>
      <c r="M27" s="343">
        <v>72956</v>
      </c>
    </row>
    <row r="28" spans="1:13" s="204" customFormat="1" ht="12.75" customHeight="1">
      <c r="A28" s="64"/>
      <c r="B28" s="92" t="s">
        <v>53</v>
      </c>
      <c r="C28" s="343">
        <v>39750</v>
      </c>
      <c r="D28" s="343">
        <v>40812</v>
      </c>
      <c r="E28" s="343">
        <v>43257</v>
      </c>
      <c r="F28" s="343">
        <v>48515</v>
      </c>
      <c r="G28" s="343">
        <v>50252</v>
      </c>
      <c r="H28" s="343">
        <v>50465</v>
      </c>
      <c r="I28" s="343">
        <v>47958</v>
      </c>
      <c r="J28" s="343">
        <v>50028</v>
      </c>
      <c r="K28" s="343">
        <v>55736</v>
      </c>
      <c r="L28" s="343">
        <v>57470</v>
      </c>
      <c r="M28" s="343">
        <v>58400</v>
      </c>
    </row>
    <row r="29" spans="1:13" s="123" customFormat="1" ht="16.5" customHeight="1">
      <c r="A29" s="70" t="s">
        <v>38</v>
      </c>
      <c r="B29" s="368" t="s">
        <v>44</v>
      </c>
      <c r="C29" s="341">
        <v>65630</v>
      </c>
      <c r="D29" s="341">
        <v>67878</v>
      </c>
      <c r="E29" s="341">
        <v>72899</v>
      </c>
      <c r="F29" s="341">
        <v>80291</v>
      </c>
      <c r="G29" s="341">
        <v>83793</v>
      </c>
      <c r="H29" s="341">
        <v>83047</v>
      </c>
      <c r="I29" s="341">
        <v>82940</v>
      </c>
      <c r="J29" s="341">
        <v>87227</v>
      </c>
      <c r="K29" s="341">
        <v>97615</v>
      </c>
      <c r="L29" s="341">
        <v>99358</v>
      </c>
      <c r="M29" s="341">
        <v>97647</v>
      </c>
    </row>
    <row r="30" spans="1:13" s="204" customFormat="1" ht="12.75" customHeight="1">
      <c r="A30" s="64"/>
      <c r="B30" s="92" t="s">
        <v>52</v>
      </c>
      <c r="C30" s="343">
        <v>36709</v>
      </c>
      <c r="D30" s="343">
        <v>37774</v>
      </c>
      <c r="E30" s="343">
        <v>41513</v>
      </c>
      <c r="F30" s="343">
        <v>45398</v>
      </c>
      <c r="G30" s="343">
        <v>47563</v>
      </c>
      <c r="H30" s="343">
        <v>46557</v>
      </c>
      <c r="I30" s="343">
        <v>46720</v>
      </c>
      <c r="J30" s="343">
        <v>48864</v>
      </c>
      <c r="K30" s="343">
        <v>54569</v>
      </c>
      <c r="L30" s="343">
        <v>53841</v>
      </c>
      <c r="M30" s="343">
        <v>52982</v>
      </c>
    </row>
    <row r="31" spans="1:13" s="204" customFormat="1" ht="12.75" customHeight="1">
      <c r="A31" s="64"/>
      <c r="B31" s="92" t="s">
        <v>53</v>
      </c>
      <c r="C31" s="343">
        <v>28921</v>
      </c>
      <c r="D31" s="343">
        <v>30104</v>
      </c>
      <c r="E31" s="343">
        <v>31386</v>
      </c>
      <c r="F31" s="343">
        <v>34893</v>
      </c>
      <c r="G31" s="343">
        <v>36230</v>
      </c>
      <c r="H31" s="343">
        <v>36490</v>
      </c>
      <c r="I31" s="343">
        <v>36220</v>
      </c>
      <c r="J31" s="343">
        <v>38363</v>
      </c>
      <c r="K31" s="343">
        <v>43046</v>
      </c>
      <c r="L31" s="343">
        <v>45517</v>
      </c>
      <c r="M31" s="343">
        <v>44665</v>
      </c>
    </row>
    <row r="32" spans="1:13" s="123" customFormat="1" ht="16.5" customHeight="1">
      <c r="A32" s="70" t="s">
        <v>39</v>
      </c>
      <c r="B32" s="368" t="s">
        <v>44</v>
      </c>
      <c r="C32" s="341">
        <v>158143</v>
      </c>
      <c r="D32" s="341">
        <v>172903</v>
      </c>
      <c r="E32" s="341">
        <v>186813</v>
      </c>
      <c r="F32" s="341">
        <v>201644</v>
      </c>
      <c r="G32" s="341">
        <v>210322</v>
      </c>
      <c r="H32" s="341">
        <v>217808</v>
      </c>
      <c r="I32" s="341">
        <v>206284</v>
      </c>
      <c r="J32" s="341">
        <v>212588</v>
      </c>
      <c r="K32" s="341">
        <v>226048</v>
      </c>
      <c r="L32" s="341">
        <v>241903</v>
      </c>
      <c r="M32" s="341">
        <v>254827</v>
      </c>
    </row>
    <row r="33" spans="1:13" s="204" customFormat="1" ht="12.75" customHeight="1">
      <c r="A33" s="64"/>
      <c r="B33" s="92" t="s">
        <v>52</v>
      </c>
      <c r="C33" s="343">
        <v>88583</v>
      </c>
      <c r="D33" s="343">
        <v>94726</v>
      </c>
      <c r="E33" s="343">
        <v>103435</v>
      </c>
      <c r="F33" s="343">
        <v>113234</v>
      </c>
      <c r="G33" s="343">
        <v>118339</v>
      </c>
      <c r="H33" s="343">
        <v>121578</v>
      </c>
      <c r="I33" s="343">
        <v>115770</v>
      </c>
      <c r="J33" s="343">
        <v>120073</v>
      </c>
      <c r="K33" s="343">
        <v>126614</v>
      </c>
      <c r="L33" s="343">
        <v>137679</v>
      </c>
      <c r="M33" s="343">
        <v>144350</v>
      </c>
    </row>
    <row r="34" spans="1:13" s="204" customFormat="1" ht="12.75" customHeight="1">
      <c r="A34" s="64"/>
      <c r="B34" s="92" t="s">
        <v>53</v>
      </c>
      <c r="C34" s="343">
        <v>69560</v>
      </c>
      <c r="D34" s="343">
        <v>78177</v>
      </c>
      <c r="E34" s="343">
        <v>83378</v>
      </c>
      <c r="F34" s="343">
        <v>88410</v>
      </c>
      <c r="G34" s="343">
        <v>91983</v>
      </c>
      <c r="H34" s="343">
        <v>96230</v>
      </c>
      <c r="I34" s="343">
        <v>90514</v>
      </c>
      <c r="J34" s="343">
        <v>92515</v>
      </c>
      <c r="K34" s="343">
        <v>99434</v>
      </c>
      <c r="L34" s="343">
        <v>104224</v>
      </c>
      <c r="M34" s="343">
        <v>110477</v>
      </c>
    </row>
    <row r="35" spans="1:13" s="123" customFormat="1" ht="16.5" customHeight="1">
      <c r="A35" s="70" t="s">
        <v>40</v>
      </c>
      <c r="B35" s="368" t="s">
        <v>44</v>
      </c>
      <c r="C35" s="341">
        <v>121944</v>
      </c>
      <c r="D35" s="341">
        <v>127737</v>
      </c>
      <c r="E35" s="341">
        <v>119536</v>
      </c>
      <c r="F35" s="341">
        <v>135210</v>
      </c>
      <c r="G35" s="341">
        <v>143144</v>
      </c>
      <c r="H35" s="341">
        <v>150286</v>
      </c>
      <c r="I35" s="341">
        <v>160839</v>
      </c>
      <c r="J35" s="341">
        <v>156129</v>
      </c>
      <c r="K35" s="341">
        <v>181462</v>
      </c>
      <c r="L35" s="341">
        <v>195130</v>
      </c>
      <c r="M35" s="341">
        <v>191313</v>
      </c>
    </row>
    <row r="36" spans="1:13" s="204" customFormat="1" ht="12.75" customHeight="1">
      <c r="A36" s="64"/>
      <c r="B36" s="92" t="s">
        <v>52</v>
      </c>
      <c r="C36" s="343">
        <v>62672</v>
      </c>
      <c r="D36" s="343">
        <v>66876</v>
      </c>
      <c r="E36" s="343">
        <v>64967</v>
      </c>
      <c r="F36" s="343">
        <v>68306</v>
      </c>
      <c r="G36" s="343">
        <v>72464</v>
      </c>
      <c r="H36" s="343">
        <v>75831</v>
      </c>
      <c r="I36" s="343">
        <v>83010</v>
      </c>
      <c r="J36" s="343">
        <v>77589</v>
      </c>
      <c r="K36" s="343">
        <v>93009</v>
      </c>
      <c r="L36" s="343">
        <v>103568</v>
      </c>
      <c r="M36" s="343">
        <v>107039</v>
      </c>
    </row>
    <row r="37" spans="1:13" s="204" customFormat="1" ht="12.75" customHeight="1">
      <c r="A37" s="72"/>
      <c r="B37" s="92" t="s">
        <v>53</v>
      </c>
      <c r="C37" s="343">
        <v>59272</v>
      </c>
      <c r="D37" s="343">
        <v>60861</v>
      </c>
      <c r="E37" s="343">
        <v>54569</v>
      </c>
      <c r="F37" s="343">
        <v>66904</v>
      </c>
      <c r="G37" s="343">
        <v>70680</v>
      </c>
      <c r="H37" s="343">
        <v>74455</v>
      </c>
      <c r="I37" s="343">
        <v>77829</v>
      </c>
      <c r="J37" s="343">
        <v>78540</v>
      </c>
      <c r="K37" s="343">
        <v>88453</v>
      </c>
      <c r="L37" s="343">
        <v>91562</v>
      </c>
      <c r="M37" s="343">
        <v>84274</v>
      </c>
    </row>
    <row r="38" spans="1:13" s="123" customFormat="1" ht="16.5" customHeight="1">
      <c r="A38" s="73" t="s">
        <v>71</v>
      </c>
      <c r="B38" s="368" t="s">
        <v>44</v>
      </c>
      <c r="C38" s="341">
        <v>173591</v>
      </c>
      <c r="D38" s="341">
        <v>176067</v>
      </c>
      <c r="E38" s="341">
        <v>206251</v>
      </c>
      <c r="F38" s="341">
        <v>222947</v>
      </c>
      <c r="G38" s="341">
        <v>235540</v>
      </c>
      <c r="H38" s="341">
        <v>251182</v>
      </c>
      <c r="I38" s="341">
        <v>244303</v>
      </c>
      <c r="J38" s="341">
        <v>249271</v>
      </c>
      <c r="K38" s="341">
        <v>266482</v>
      </c>
      <c r="L38" s="341">
        <v>277689</v>
      </c>
      <c r="M38" s="341">
        <v>299300</v>
      </c>
    </row>
    <row r="39" spans="1:13" s="204" customFormat="1" ht="12.75" customHeight="1">
      <c r="A39" s="72"/>
      <c r="B39" s="92" t="s">
        <v>52</v>
      </c>
      <c r="C39" s="343">
        <v>73609</v>
      </c>
      <c r="D39" s="343">
        <v>72471</v>
      </c>
      <c r="E39" s="343">
        <v>84388</v>
      </c>
      <c r="F39" s="343">
        <v>97829</v>
      </c>
      <c r="G39" s="343">
        <v>104707</v>
      </c>
      <c r="H39" s="343">
        <v>111296</v>
      </c>
      <c r="I39" s="343">
        <v>105437</v>
      </c>
      <c r="J39" s="343">
        <v>107417</v>
      </c>
      <c r="K39" s="343">
        <v>116877</v>
      </c>
      <c r="L39" s="343">
        <v>120353</v>
      </c>
      <c r="M39" s="343">
        <v>131028</v>
      </c>
    </row>
    <row r="40" spans="1:13" s="204" customFormat="1" ht="12.75" customHeight="1">
      <c r="A40" s="72"/>
      <c r="B40" s="75" t="s">
        <v>53</v>
      </c>
      <c r="C40" s="344">
        <v>99982</v>
      </c>
      <c r="D40" s="344">
        <v>103596</v>
      </c>
      <c r="E40" s="344">
        <v>121863</v>
      </c>
      <c r="F40" s="344">
        <v>125118</v>
      </c>
      <c r="G40" s="344">
        <v>130833</v>
      </c>
      <c r="H40" s="344">
        <v>139886</v>
      </c>
      <c r="I40" s="344">
        <v>138866</v>
      </c>
      <c r="J40" s="344">
        <v>141854</v>
      </c>
      <c r="K40" s="344">
        <v>149605</v>
      </c>
      <c r="L40" s="344">
        <v>157336</v>
      </c>
      <c r="M40" s="344">
        <v>168272</v>
      </c>
    </row>
    <row r="41" spans="1:13" s="204" customFormat="1" ht="14.25" customHeight="1">
      <c r="A41" s="314" t="s">
        <v>769</v>
      </c>
      <c r="B41" s="314"/>
      <c r="C41" s="314"/>
      <c r="D41" s="314"/>
      <c r="E41" s="314"/>
      <c r="F41" s="314"/>
      <c r="G41" s="314"/>
      <c r="H41" s="314"/>
      <c r="I41" s="314"/>
      <c r="J41" s="68"/>
      <c r="K41" s="68"/>
      <c r="L41" s="68"/>
      <c r="M41" s="68"/>
    </row>
    <row r="42" spans="1:13" ht="15" customHeight="1">
      <c r="A42" s="19"/>
      <c r="B42" s="19"/>
      <c r="C42" s="19"/>
      <c r="D42" s="19"/>
      <c r="E42" s="19"/>
      <c r="F42" s="19"/>
      <c r="G42" s="19"/>
      <c r="H42" s="19"/>
      <c r="I42" s="19"/>
      <c r="J42" s="68"/>
      <c r="K42" s="68"/>
      <c r="L42" s="68"/>
      <c r="M42" s="68"/>
    </row>
    <row r="43" spans="1:13" ht="15" customHeight="1">
      <c r="C43" s="204"/>
    </row>
    <row r="44" spans="1:13">
      <c r="C44" s="204"/>
    </row>
    <row r="45" spans="1:13">
      <c r="C45" s="204"/>
    </row>
    <row r="46" spans="1:13">
      <c r="C46" s="204"/>
    </row>
    <row r="47" spans="1:13">
      <c r="C47" s="204"/>
    </row>
    <row r="48" spans="1:13">
      <c r="C48" s="204"/>
    </row>
    <row r="49" spans="2:3">
      <c r="C49" s="204"/>
    </row>
    <row r="50" spans="2:3">
      <c r="B50" s="125"/>
      <c r="C50" s="204"/>
    </row>
    <row r="51" spans="2:3">
      <c r="C51" s="204"/>
    </row>
    <row r="52" spans="2:3">
      <c r="C52" s="204"/>
    </row>
    <row r="53" spans="2:3">
      <c r="C53" s="204"/>
    </row>
    <row r="54" spans="2:3">
      <c r="C54" s="204"/>
    </row>
    <row r="55" spans="2:3">
      <c r="C55" s="204"/>
    </row>
    <row r="56" spans="2:3">
      <c r="C56" s="204"/>
    </row>
    <row r="57" spans="2:3">
      <c r="C57" s="204"/>
    </row>
    <row r="58" spans="2:3">
      <c r="C58" s="204"/>
    </row>
    <row r="59" spans="2:3">
      <c r="C59" s="204"/>
    </row>
    <row r="60" spans="2:3">
      <c r="C60" s="204"/>
    </row>
    <row r="61" spans="2:3">
      <c r="C61" s="204"/>
    </row>
    <row r="62" spans="2:3">
      <c r="C62" s="204"/>
    </row>
    <row r="63" spans="2:3">
      <c r="C63" s="204"/>
    </row>
    <row r="64" spans="2:3">
      <c r="C64" s="204"/>
    </row>
    <row r="65" spans="3:3">
      <c r="C65" s="204"/>
    </row>
    <row r="66" spans="3:3">
      <c r="C66" s="204"/>
    </row>
    <row r="67" spans="3:3">
      <c r="C67" s="204"/>
    </row>
    <row r="68" spans="3:3">
      <c r="C68" s="204"/>
    </row>
    <row r="69" spans="3:3">
      <c r="C69" s="204"/>
    </row>
    <row r="70" spans="3:3">
      <c r="C70" s="204"/>
    </row>
    <row r="71" spans="3:3">
      <c r="C71" s="204"/>
    </row>
    <row r="72" spans="3:3">
      <c r="C72" s="204"/>
    </row>
    <row r="73" spans="3:3">
      <c r="C73" s="204"/>
    </row>
    <row r="74" spans="3:3">
      <c r="C74" s="204"/>
    </row>
    <row r="75" spans="3:3">
      <c r="C75" s="204"/>
    </row>
    <row r="76" spans="3:3">
      <c r="C76" s="204"/>
    </row>
    <row r="77" spans="3:3">
      <c r="C77" s="204"/>
    </row>
    <row r="78" spans="3:3">
      <c r="C78" s="204"/>
    </row>
    <row r="79" spans="3:3">
      <c r="C79" s="204"/>
    </row>
    <row r="80" spans="3:3">
      <c r="C80" s="204"/>
    </row>
    <row r="81" spans="3:3">
      <c r="C81" s="204"/>
    </row>
    <row r="82" spans="3:3">
      <c r="C82" s="204"/>
    </row>
    <row r="83" spans="3:3">
      <c r="C83" s="204"/>
    </row>
    <row r="84" spans="3:3">
      <c r="C84" s="204"/>
    </row>
    <row r="85" spans="3:3">
      <c r="C85" s="204"/>
    </row>
    <row r="86" spans="3:3">
      <c r="C86" s="204"/>
    </row>
    <row r="87" spans="3:3">
      <c r="C87" s="204"/>
    </row>
    <row r="88" spans="3:3">
      <c r="C88" s="204"/>
    </row>
    <row r="89" spans="3:3">
      <c r="C89" s="204"/>
    </row>
    <row r="90" spans="3:3">
      <c r="C90" s="204"/>
    </row>
    <row r="91" spans="3:3">
      <c r="C91" s="204"/>
    </row>
    <row r="92" spans="3:3">
      <c r="C92" s="204"/>
    </row>
    <row r="93" spans="3:3">
      <c r="C93" s="204"/>
    </row>
    <row r="94" spans="3:3">
      <c r="C94" s="204"/>
    </row>
    <row r="95" spans="3:3">
      <c r="C95" s="204"/>
    </row>
    <row r="96" spans="3:3">
      <c r="C96" s="204"/>
    </row>
    <row r="97" spans="3:3">
      <c r="C97" s="204"/>
    </row>
    <row r="98" spans="3:3">
      <c r="C98" s="204"/>
    </row>
    <row r="99" spans="3:3">
      <c r="C99" s="204"/>
    </row>
    <row r="100" spans="3:3">
      <c r="C100" s="204"/>
    </row>
    <row r="101" spans="3:3">
      <c r="C101" s="204"/>
    </row>
    <row r="102" spans="3:3">
      <c r="C102" s="204"/>
    </row>
    <row r="103" spans="3:3">
      <c r="C103" s="204"/>
    </row>
    <row r="104" spans="3:3">
      <c r="C104" s="204"/>
    </row>
    <row r="105" spans="3:3">
      <c r="C105" s="204"/>
    </row>
    <row r="106" spans="3:3">
      <c r="C106" s="204"/>
    </row>
    <row r="107" spans="3:3">
      <c r="C107" s="204"/>
    </row>
    <row r="108" spans="3:3">
      <c r="C108" s="204"/>
    </row>
    <row r="109" spans="3:3">
      <c r="C109" s="204"/>
    </row>
    <row r="110" spans="3:3">
      <c r="C110" s="204"/>
    </row>
    <row r="111" spans="3:3">
      <c r="C111" s="204"/>
    </row>
    <row r="112" spans="3:3">
      <c r="C112" s="204"/>
    </row>
    <row r="113" spans="3:3">
      <c r="C113" s="204"/>
    </row>
    <row r="114" spans="3:3">
      <c r="C114" s="204"/>
    </row>
    <row r="115" spans="3:3">
      <c r="C115" s="204"/>
    </row>
    <row r="116" spans="3:3">
      <c r="C116" s="204"/>
    </row>
    <row r="117" spans="3:3">
      <c r="C117" s="204"/>
    </row>
    <row r="118" spans="3:3">
      <c r="C118" s="204"/>
    </row>
    <row r="119" spans="3:3">
      <c r="C119" s="204"/>
    </row>
    <row r="120" spans="3:3">
      <c r="C120" s="204"/>
    </row>
    <row r="121" spans="3:3">
      <c r="C121" s="204"/>
    </row>
    <row r="122" spans="3:3">
      <c r="C122" s="204"/>
    </row>
    <row r="123" spans="3:3">
      <c r="C123" s="204"/>
    </row>
    <row r="124" spans="3:3">
      <c r="C124" s="204"/>
    </row>
    <row r="125" spans="3:3">
      <c r="C125" s="204"/>
    </row>
    <row r="126" spans="3:3">
      <c r="C126" s="204"/>
    </row>
    <row r="127" spans="3:3">
      <c r="C127" s="204"/>
    </row>
    <row r="128" spans="3:3">
      <c r="C128" s="204"/>
    </row>
    <row r="129" spans="3:3">
      <c r="C129" s="204"/>
    </row>
    <row r="130" spans="3:3">
      <c r="C130" s="204"/>
    </row>
    <row r="131" spans="3:3">
      <c r="C131" s="204"/>
    </row>
    <row r="132" spans="3:3">
      <c r="C132" s="204"/>
    </row>
    <row r="133" spans="3:3">
      <c r="C133" s="204"/>
    </row>
    <row r="134" spans="3:3">
      <c r="C134" s="204"/>
    </row>
    <row r="135" spans="3:3">
      <c r="C135" s="204"/>
    </row>
    <row r="136" spans="3:3">
      <c r="C136" s="204"/>
    </row>
    <row r="137" spans="3:3">
      <c r="C137" s="204"/>
    </row>
    <row r="138" spans="3:3">
      <c r="C138" s="204"/>
    </row>
    <row r="139" spans="3:3">
      <c r="C139" s="204"/>
    </row>
    <row r="140" spans="3:3">
      <c r="C140" s="204"/>
    </row>
    <row r="141" spans="3:3">
      <c r="C141" s="204"/>
    </row>
    <row r="142" spans="3:3">
      <c r="C142" s="204"/>
    </row>
    <row r="143" spans="3:3">
      <c r="C143" s="204"/>
    </row>
    <row r="144" spans="3:3">
      <c r="C144" s="204"/>
    </row>
    <row r="145" spans="3:3">
      <c r="C145" s="204"/>
    </row>
    <row r="146" spans="3:3">
      <c r="C146" s="204"/>
    </row>
    <row r="147" spans="3:3">
      <c r="C147" s="204"/>
    </row>
    <row r="148" spans="3:3">
      <c r="C148" s="204"/>
    </row>
    <row r="149" spans="3:3">
      <c r="C149" s="204"/>
    </row>
    <row r="150" spans="3:3">
      <c r="C150" s="204"/>
    </row>
    <row r="151" spans="3:3">
      <c r="C151" s="204"/>
    </row>
    <row r="152" spans="3:3">
      <c r="C152" s="204"/>
    </row>
    <row r="153" spans="3:3">
      <c r="C153" s="204"/>
    </row>
    <row r="154" spans="3:3">
      <c r="C154" s="204"/>
    </row>
    <row r="155" spans="3:3">
      <c r="C155" s="204"/>
    </row>
    <row r="156" spans="3:3">
      <c r="C156" s="204"/>
    </row>
    <row r="157" spans="3:3">
      <c r="C157" s="204"/>
    </row>
    <row r="158" spans="3:3">
      <c r="C158" s="204"/>
    </row>
    <row r="159" spans="3:3">
      <c r="C159" s="204"/>
    </row>
    <row r="160" spans="3:3">
      <c r="C160" s="204"/>
    </row>
    <row r="161" spans="3:3">
      <c r="C161" s="204"/>
    </row>
    <row r="162" spans="3:3">
      <c r="C162" s="204"/>
    </row>
    <row r="163" spans="3:3">
      <c r="C163" s="204"/>
    </row>
    <row r="164" spans="3:3">
      <c r="C164" s="204"/>
    </row>
    <row r="165" spans="3:3">
      <c r="C165" s="204"/>
    </row>
    <row r="166" spans="3:3">
      <c r="C166" s="204"/>
    </row>
    <row r="167" spans="3:3">
      <c r="C167" s="204"/>
    </row>
    <row r="168" spans="3:3">
      <c r="C168" s="204"/>
    </row>
    <row r="169" spans="3:3">
      <c r="C169" s="204"/>
    </row>
    <row r="170" spans="3:3">
      <c r="C170" s="204"/>
    </row>
    <row r="171" spans="3:3">
      <c r="C171" s="204"/>
    </row>
    <row r="172" spans="3:3">
      <c r="C172" s="204"/>
    </row>
    <row r="173" spans="3:3">
      <c r="C173" s="204"/>
    </row>
    <row r="174" spans="3:3">
      <c r="C174" s="204"/>
    </row>
    <row r="175" spans="3:3">
      <c r="C175" s="204"/>
    </row>
    <row r="176" spans="3:3">
      <c r="C176" s="204"/>
    </row>
    <row r="177" spans="3:3">
      <c r="C177" s="204"/>
    </row>
    <row r="178" spans="3:3">
      <c r="C178" s="204"/>
    </row>
    <row r="179" spans="3:3">
      <c r="C179" s="204"/>
    </row>
    <row r="180" spans="3:3">
      <c r="C180" s="204"/>
    </row>
    <row r="181" spans="3:3">
      <c r="C181" s="204"/>
    </row>
    <row r="182" spans="3:3">
      <c r="C182" s="204"/>
    </row>
    <row r="183" spans="3:3">
      <c r="C183" s="204"/>
    </row>
    <row r="184" spans="3:3">
      <c r="C184" s="204"/>
    </row>
    <row r="185" spans="3:3">
      <c r="C185" s="204"/>
    </row>
    <row r="186" spans="3:3">
      <c r="C186" s="204"/>
    </row>
    <row r="187" spans="3:3">
      <c r="C187" s="204"/>
    </row>
    <row r="188" spans="3:3">
      <c r="C188" s="204"/>
    </row>
    <row r="189" spans="3:3">
      <c r="C189" s="204"/>
    </row>
    <row r="190" spans="3:3">
      <c r="C190" s="204"/>
    </row>
    <row r="191" spans="3:3">
      <c r="C191" s="204"/>
    </row>
    <row r="192" spans="3:3">
      <c r="C192" s="204"/>
    </row>
    <row r="193" spans="3:3">
      <c r="C193" s="204"/>
    </row>
    <row r="194" spans="3:3">
      <c r="C194" s="204"/>
    </row>
    <row r="195" spans="3:3">
      <c r="C195" s="204"/>
    </row>
    <row r="196" spans="3:3">
      <c r="C196" s="204"/>
    </row>
    <row r="197" spans="3:3">
      <c r="C197" s="204"/>
    </row>
    <row r="198" spans="3:3">
      <c r="C198" s="204"/>
    </row>
    <row r="199" spans="3:3">
      <c r="C199" s="204"/>
    </row>
    <row r="200" spans="3:3">
      <c r="C200" s="204"/>
    </row>
    <row r="201" spans="3:3">
      <c r="C201" s="204"/>
    </row>
    <row r="202" spans="3:3">
      <c r="C202" s="204"/>
    </row>
    <row r="203" spans="3:3">
      <c r="C203" s="204"/>
    </row>
    <row r="204" spans="3:3">
      <c r="C204" s="204"/>
    </row>
    <row r="205" spans="3:3">
      <c r="C205" s="204"/>
    </row>
    <row r="206" spans="3:3">
      <c r="C206" s="204"/>
    </row>
    <row r="207" spans="3:3">
      <c r="C207" s="204"/>
    </row>
    <row r="208" spans="3:3">
      <c r="C208" s="204"/>
    </row>
    <row r="209" spans="3:3">
      <c r="C209" s="204"/>
    </row>
    <row r="210" spans="3:3">
      <c r="C210" s="204"/>
    </row>
    <row r="211" spans="3:3">
      <c r="C211" s="204"/>
    </row>
    <row r="212" spans="3:3">
      <c r="C212" s="204"/>
    </row>
    <row r="213" spans="3:3">
      <c r="C213" s="204"/>
    </row>
    <row r="214" spans="3:3">
      <c r="C214" s="204"/>
    </row>
    <row r="215" spans="3:3">
      <c r="C215" s="204"/>
    </row>
    <row r="216" spans="3:3">
      <c r="C216" s="204"/>
    </row>
    <row r="217" spans="3:3">
      <c r="C217" s="204"/>
    </row>
    <row r="218" spans="3:3">
      <c r="C218" s="204"/>
    </row>
    <row r="219" spans="3:3">
      <c r="C219" s="204"/>
    </row>
    <row r="220" spans="3:3">
      <c r="C220" s="204"/>
    </row>
    <row r="221" spans="3:3">
      <c r="C221" s="204"/>
    </row>
    <row r="222" spans="3:3">
      <c r="C222" s="204"/>
    </row>
    <row r="223" spans="3:3">
      <c r="C223" s="204"/>
    </row>
    <row r="224" spans="3:3">
      <c r="C224" s="204"/>
    </row>
    <row r="225" spans="3:3">
      <c r="C225" s="204"/>
    </row>
    <row r="226" spans="3:3">
      <c r="C226" s="204"/>
    </row>
    <row r="227" spans="3:3">
      <c r="C227" s="204"/>
    </row>
    <row r="228" spans="3:3">
      <c r="C228" s="204"/>
    </row>
    <row r="229" spans="3:3">
      <c r="C229" s="204"/>
    </row>
    <row r="230" spans="3:3">
      <c r="C230" s="204"/>
    </row>
    <row r="231" spans="3:3">
      <c r="C231" s="204"/>
    </row>
    <row r="232" spans="3:3">
      <c r="C232" s="204"/>
    </row>
    <row r="233" spans="3:3">
      <c r="C233" s="204"/>
    </row>
    <row r="234" spans="3:3">
      <c r="C234" s="204"/>
    </row>
    <row r="235" spans="3:3">
      <c r="C235" s="204"/>
    </row>
    <row r="236" spans="3:3">
      <c r="C236" s="204"/>
    </row>
    <row r="237" spans="3:3">
      <c r="C237" s="204"/>
    </row>
    <row r="238" spans="3:3">
      <c r="C238" s="204"/>
    </row>
    <row r="239" spans="3:3">
      <c r="C239" s="204"/>
    </row>
    <row r="240" spans="3:3">
      <c r="C240" s="204"/>
    </row>
    <row r="241" spans="3:3">
      <c r="C241" s="204"/>
    </row>
    <row r="242" spans="3:3">
      <c r="C242" s="204"/>
    </row>
    <row r="243" spans="3:3">
      <c r="C243" s="204"/>
    </row>
    <row r="244" spans="3:3">
      <c r="C244" s="204"/>
    </row>
    <row r="245" spans="3:3">
      <c r="C245" s="204"/>
    </row>
    <row r="246" spans="3:3">
      <c r="C246" s="204"/>
    </row>
    <row r="247" spans="3:3">
      <c r="C247" s="204"/>
    </row>
    <row r="248" spans="3:3">
      <c r="C248" s="204"/>
    </row>
    <row r="249" spans="3:3">
      <c r="C249" s="204"/>
    </row>
    <row r="250" spans="3:3">
      <c r="C250" s="204"/>
    </row>
    <row r="251" spans="3:3">
      <c r="C251" s="204"/>
    </row>
    <row r="252" spans="3:3">
      <c r="C252" s="204"/>
    </row>
    <row r="253" spans="3:3">
      <c r="C253" s="204"/>
    </row>
    <row r="254" spans="3:3">
      <c r="C254" s="204"/>
    </row>
    <row r="255" spans="3:3">
      <c r="C255" s="204"/>
    </row>
    <row r="256" spans="3:3">
      <c r="C256" s="204"/>
    </row>
    <row r="257" spans="3:3">
      <c r="C257" s="204"/>
    </row>
    <row r="258" spans="3:3">
      <c r="C258" s="204"/>
    </row>
    <row r="259" spans="3:3">
      <c r="C259" s="204"/>
    </row>
    <row r="260" spans="3:3">
      <c r="C260" s="204"/>
    </row>
    <row r="261" spans="3:3">
      <c r="C261" s="204"/>
    </row>
    <row r="262" spans="3:3">
      <c r="C262" s="204"/>
    </row>
    <row r="263" spans="3:3">
      <c r="C263" s="204"/>
    </row>
    <row r="264" spans="3:3">
      <c r="C264" s="204"/>
    </row>
    <row r="265" spans="3:3">
      <c r="C265" s="204"/>
    </row>
    <row r="266" spans="3:3">
      <c r="C266" s="204"/>
    </row>
    <row r="267" spans="3:3">
      <c r="C267" s="204"/>
    </row>
    <row r="268" spans="3:3">
      <c r="C268" s="204"/>
    </row>
    <row r="269" spans="3:3">
      <c r="C269" s="204"/>
    </row>
    <row r="270" spans="3:3">
      <c r="C270" s="204"/>
    </row>
    <row r="271" spans="3:3">
      <c r="C271" s="204"/>
    </row>
    <row r="272" spans="3:3">
      <c r="C272" s="204"/>
    </row>
    <row r="273" spans="3:3">
      <c r="C273" s="204"/>
    </row>
    <row r="274" spans="3:3">
      <c r="C274" s="204"/>
    </row>
    <row r="275" spans="3:3">
      <c r="C275" s="204"/>
    </row>
    <row r="276" spans="3:3">
      <c r="C276" s="204"/>
    </row>
    <row r="277" spans="3:3">
      <c r="C277" s="204"/>
    </row>
    <row r="278" spans="3:3">
      <c r="C278" s="204"/>
    </row>
    <row r="279" spans="3:3">
      <c r="C279" s="204"/>
    </row>
    <row r="280" spans="3:3">
      <c r="C280" s="204"/>
    </row>
    <row r="281" spans="3:3">
      <c r="C281" s="204"/>
    </row>
    <row r="282" spans="3:3">
      <c r="C282" s="204"/>
    </row>
    <row r="283" spans="3:3">
      <c r="C283" s="204"/>
    </row>
    <row r="284" spans="3:3">
      <c r="C284" s="204"/>
    </row>
    <row r="285" spans="3:3">
      <c r="C285" s="204"/>
    </row>
    <row r="286" spans="3:3">
      <c r="C286" s="204"/>
    </row>
    <row r="287" spans="3:3">
      <c r="C287" s="204"/>
    </row>
    <row r="288" spans="3:3">
      <c r="C288" s="204"/>
    </row>
    <row r="289" spans="3:3">
      <c r="C289" s="204"/>
    </row>
    <row r="290" spans="3:3">
      <c r="C290" s="204"/>
    </row>
    <row r="291" spans="3:3">
      <c r="C291" s="204"/>
    </row>
    <row r="292" spans="3:3">
      <c r="C292" s="204"/>
    </row>
    <row r="293" spans="3:3">
      <c r="C293" s="204"/>
    </row>
    <row r="294" spans="3:3">
      <c r="C294" s="204"/>
    </row>
    <row r="295" spans="3:3">
      <c r="C295" s="204"/>
    </row>
    <row r="296" spans="3:3">
      <c r="C296" s="204"/>
    </row>
    <row r="297" spans="3:3">
      <c r="C297" s="204"/>
    </row>
    <row r="298" spans="3:3">
      <c r="C298" s="204"/>
    </row>
    <row r="299" spans="3:3">
      <c r="C299" s="204"/>
    </row>
    <row r="300" spans="3:3">
      <c r="C300" s="204"/>
    </row>
    <row r="301" spans="3:3">
      <c r="C301" s="204"/>
    </row>
    <row r="302" spans="3:3">
      <c r="C302" s="204"/>
    </row>
    <row r="303" spans="3:3">
      <c r="C303" s="204"/>
    </row>
    <row r="304" spans="3:3">
      <c r="C304" s="204"/>
    </row>
    <row r="305" spans="3:3">
      <c r="C305" s="204"/>
    </row>
    <row r="306" spans="3:3">
      <c r="C306" s="204"/>
    </row>
    <row r="307" spans="3:3">
      <c r="C307" s="204"/>
    </row>
    <row r="308" spans="3:3">
      <c r="C308" s="204"/>
    </row>
    <row r="309" spans="3:3">
      <c r="C309" s="204"/>
    </row>
    <row r="310" spans="3:3">
      <c r="C310" s="204"/>
    </row>
    <row r="311" spans="3:3">
      <c r="C311" s="204"/>
    </row>
    <row r="312" spans="3:3">
      <c r="C312" s="204"/>
    </row>
    <row r="313" spans="3:3">
      <c r="C313" s="204"/>
    </row>
    <row r="314" spans="3:3">
      <c r="C314" s="204"/>
    </row>
    <row r="315" spans="3:3">
      <c r="C315" s="204"/>
    </row>
    <row r="316" spans="3:3">
      <c r="C316" s="204"/>
    </row>
    <row r="317" spans="3:3">
      <c r="C317" s="204"/>
    </row>
    <row r="318" spans="3:3">
      <c r="C318" s="204"/>
    </row>
    <row r="319" spans="3:3">
      <c r="C319" s="204"/>
    </row>
    <row r="320" spans="3:3">
      <c r="C320" s="204"/>
    </row>
    <row r="321" spans="3:3">
      <c r="C321" s="204"/>
    </row>
    <row r="322" spans="3:3">
      <c r="C322" s="204"/>
    </row>
    <row r="323" spans="3:3">
      <c r="C323" s="204"/>
    </row>
    <row r="324" spans="3:3">
      <c r="C324" s="204"/>
    </row>
    <row r="325" spans="3:3">
      <c r="C325" s="204"/>
    </row>
    <row r="326" spans="3:3">
      <c r="C326" s="204"/>
    </row>
    <row r="327" spans="3:3">
      <c r="C327" s="204"/>
    </row>
    <row r="328" spans="3:3">
      <c r="C328" s="204"/>
    </row>
    <row r="329" spans="3:3">
      <c r="C329" s="204"/>
    </row>
    <row r="330" spans="3:3">
      <c r="C330" s="204"/>
    </row>
  </sheetData>
  <mergeCells count="1">
    <mergeCell ref="A1:M1"/>
  </mergeCells>
  <phoneticPr fontId="24" type="noConversion"/>
  <conditionalFormatting sqref="A1 N10:O11 N4:O8 A43:F1048576 A2:F4 A5:J40 P4:XFD11 N12:XFD1048576 N1:XFD3">
    <cfRule type="cellIs" dxfId="1744" priority="48" operator="equal">
      <formula>0</formula>
    </cfRule>
  </conditionalFormatting>
  <conditionalFormatting sqref="N5:O7">
    <cfRule type="containsText" dxfId="1743" priority="44" operator="containsText" text="FALSO">
      <formula>NOT(ISERROR(SEARCH("FALSO",N5)))</formula>
    </cfRule>
  </conditionalFormatting>
  <conditionalFormatting sqref="A41:I42">
    <cfRule type="cellIs" dxfId="1742"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tabColor indexed="25"/>
    <pageSetUpPr fitToPage="1"/>
  </sheetPr>
  <dimension ref="A1:AK32"/>
  <sheetViews>
    <sheetView showGridLines="0" workbookViewId="0">
      <selection activeCell="Y70" sqref="Y70"/>
    </sheetView>
  </sheetViews>
  <sheetFormatPr defaultColWidth="9.140625" defaultRowHeight="11.25"/>
  <cols>
    <col min="1" max="1" width="14.7109375" style="59" customWidth="1"/>
    <col min="2" max="13" width="7.5703125" style="59" customWidth="1"/>
    <col min="14" max="16384" width="9.140625" style="59"/>
  </cols>
  <sheetData>
    <row r="1" spans="1:37" s="61" customFormat="1" ht="28.5" customHeight="1">
      <c r="A1" s="964" t="s">
        <v>578</v>
      </c>
      <c r="B1" s="964"/>
      <c r="C1" s="964"/>
      <c r="D1" s="964"/>
      <c r="E1" s="964"/>
      <c r="F1" s="964"/>
      <c r="G1" s="964"/>
      <c r="H1" s="964"/>
      <c r="I1" s="964"/>
      <c r="J1" s="964"/>
      <c r="K1" s="964"/>
      <c r="L1" s="964"/>
    </row>
    <row r="2" spans="1:37" s="2" customFormat="1" ht="15" customHeight="1">
      <c r="A2" s="179"/>
      <c r="B2" s="180"/>
      <c r="C2" s="140"/>
      <c r="D2" s="140"/>
      <c r="E2" s="140"/>
      <c r="F2" s="140"/>
      <c r="G2" s="140"/>
      <c r="H2" s="140"/>
      <c r="I2" s="140"/>
      <c r="J2" s="140"/>
      <c r="K2" s="140"/>
      <c r="L2" s="140"/>
    </row>
    <row r="3" spans="1:37" s="2" customFormat="1" ht="15" customHeight="1">
      <c r="A3" s="181" t="s">
        <v>13</v>
      </c>
      <c r="B3" s="182"/>
      <c r="C3" s="140"/>
      <c r="D3" s="140"/>
      <c r="E3" s="140"/>
      <c r="F3" s="140"/>
      <c r="G3" s="140"/>
      <c r="H3" s="140"/>
      <c r="I3" s="140"/>
      <c r="J3" s="140"/>
      <c r="K3" s="140"/>
      <c r="L3" s="140"/>
    </row>
    <row r="4" spans="1:37" s="2" customFormat="1" ht="28.5" customHeight="1" thickBot="1">
      <c r="A4" s="13"/>
      <c r="B4" s="14">
        <v>2014</v>
      </c>
      <c r="C4" s="14">
        <v>2015</v>
      </c>
      <c r="D4" s="14">
        <v>2016</v>
      </c>
      <c r="E4" s="14">
        <v>2017</v>
      </c>
      <c r="F4" s="14">
        <v>2018</v>
      </c>
      <c r="G4" s="14">
        <v>2019</v>
      </c>
      <c r="H4" s="14">
        <v>2020</v>
      </c>
      <c r="I4" s="14">
        <v>2021</v>
      </c>
      <c r="J4" s="14">
        <v>2022</v>
      </c>
      <c r="K4" s="14">
        <v>2023</v>
      </c>
      <c r="L4" s="14">
        <v>2024</v>
      </c>
      <c r="O4" s="378"/>
      <c r="P4" s="560">
        <f>+B4</f>
        <v>2014</v>
      </c>
      <c r="Q4" s="560">
        <f t="shared" ref="Q4:W4" si="0">+C4</f>
        <v>2015</v>
      </c>
      <c r="R4" s="560">
        <f t="shared" si="0"/>
        <v>2016</v>
      </c>
      <c r="S4" s="560">
        <f t="shared" si="0"/>
        <v>2017</v>
      </c>
      <c r="T4" s="560">
        <f t="shared" si="0"/>
        <v>2018</v>
      </c>
      <c r="U4" s="560">
        <f t="shared" si="0"/>
        <v>2019</v>
      </c>
      <c r="V4" s="560">
        <f t="shared" si="0"/>
        <v>2020</v>
      </c>
      <c r="W4" s="560">
        <f t="shared" si="0"/>
        <v>2021</v>
      </c>
      <c r="X4" s="560">
        <f>+J4</f>
        <v>2022</v>
      </c>
      <c r="Y4" s="560">
        <f t="shared" ref="Y4:Z4" si="1">+K4</f>
        <v>2023</v>
      </c>
      <c r="Z4" s="560">
        <f t="shared" si="1"/>
        <v>2024</v>
      </c>
      <c r="AA4" s="560">
        <f>+B4</f>
        <v>2014</v>
      </c>
      <c r="AB4" s="560">
        <f t="shared" ref="AB4:AJ4" si="2">+C4</f>
        <v>2015</v>
      </c>
      <c r="AC4" s="560">
        <f t="shared" si="2"/>
        <v>2016</v>
      </c>
      <c r="AD4" s="560">
        <f t="shared" si="2"/>
        <v>2017</v>
      </c>
      <c r="AE4" s="560">
        <f t="shared" si="2"/>
        <v>2018</v>
      </c>
      <c r="AF4" s="560">
        <f t="shared" si="2"/>
        <v>2019</v>
      </c>
      <c r="AG4" s="560">
        <f t="shared" si="2"/>
        <v>2020</v>
      </c>
      <c r="AH4" s="560">
        <f t="shared" si="2"/>
        <v>2021</v>
      </c>
      <c r="AI4" s="560">
        <f t="shared" si="2"/>
        <v>2022</v>
      </c>
      <c r="AJ4" s="560">
        <f t="shared" si="2"/>
        <v>2023</v>
      </c>
      <c r="AK4" s="560">
        <f>+L4</f>
        <v>2024</v>
      </c>
    </row>
    <row r="5" spans="1:37" s="2" customFormat="1" ht="20.25" customHeight="1" thickTop="1">
      <c r="A5" s="15" t="s">
        <v>11</v>
      </c>
      <c r="B5" s="334">
        <v>2458163</v>
      </c>
      <c r="C5" s="334">
        <v>2537653</v>
      </c>
      <c r="D5" s="334">
        <v>2641919</v>
      </c>
      <c r="E5" s="334">
        <v>2767521</v>
      </c>
      <c r="F5" s="334">
        <v>2877918</v>
      </c>
      <c r="G5" s="334">
        <v>2930482</v>
      </c>
      <c r="H5" s="334">
        <v>2902825</v>
      </c>
      <c r="I5" s="334">
        <v>2922343</v>
      </c>
      <c r="J5" s="334">
        <v>3148147</v>
      </c>
      <c r="K5" s="334">
        <v>3296134</v>
      </c>
      <c r="L5" s="334">
        <v>3354136</v>
      </c>
    </row>
    <row r="6" spans="1:37" s="2" customFormat="1" ht="20.25" customHeight="1">
      <c r="A6" s="15" t="s">
        <v>14</v>
      </c>
      <c r="B6" s="329">
        <v>188531</v>
      </c>
      <c r="C6" s="329">
        <v>193207</v>
      </c>
      <c r="D6" s="329">
        <v>201583</v>
      </c>
      <c r="E6" s="329">
        <v>211076</v>
      </c>
      <c r="F6" s="329">
        <v>219148</v>
      </c>
      <c r="G6" s="329">
        <v>221154</v>
      </c>
      <c r="H6" s="329">
        <v>218824</v>
      </c>
      <c r="I6" s="329">
        <v>219217</v>
      </c>
      <c r="J6" s="329">
        <v>234940</v>
      </c>
      <c r="K6" s="329">
        <v>240286</v>
      </c>
      <c r="L6" s="329">
        <v>237311</v>
      </c>
      <c r="N6" s="559">
        <f>+(L6/B6-1)*100</f>
        <v>25.873728988866553</v>
      </c>
      <c r="O6" s="419">
        <f t="shared" ref="O6:O10" si="3">+L6-B6</f>
        <v>48780</v>
      </c>
      <c r="P6" s="559">
        <f>B6*100/B$5</f>
        <v>7.6695890386438981</v>
      </c>
      <c r="Q6" s="559">
        <f t="shared" ref="Q6:Z21" si="4">C6*100/C$5</f>
        <v>7.6136098985952767</v>
      </c>
      <c r="R6" s="559">
        <f t="shared" si="4"/>
        <v>7.6301733701903807</v>
      </c>
      <c r="S6" s="559">
        <f t="shared" si="4"/>
        <v>7.626897862744312</v>
      </c>
      <c r="T6" s="559">
        <f t="shared" si="4"/>
        <v>7.6148104289281351</v>
      </c>
      <c r="U6" s="559">
        <f t="shared" si="4"/>
        <v>7.5466766217980528</v>
      </c>
      <c r="V6" s="559">
        <f t="shared" si="4"/>
        <v>7.5383118169369494</v>
      </c>
      <c r="W6" s="559">
        <f t="shared" si="4"/>
        <v>7.5014123940961071</v>
      </c>
      <c r="X6" s="559">
        <f t="shared" si="4"/>
        <v>7.4628027217280515</v>
      </c>
      <c r="Y6" s="559">
        <f t="shared" si="4"/>
        <v>7.2899342077718927</v>
      </c>
      <c r="Z6" s="559">
        <f t="shared" si="4"/>
        <v>7.0751752463227486</v>
      </c>
      <c r="AA6" s="2">
        <f>+RANK(B6,B$6:B$23,0)</f>
        <v>4</v>
      </c>
      <c r="AB6" s="2">
        <f t="shared" ref="AB6:AK21" si="5">+RANK(C6,C$6:C$23,0)</f>
        <v>4</v>
      </c>
      <c r="AC6" s="2">
        <f t="shared" si="5"/>
        <v>4</v>
      </c>
      <c r="AD6" s="2">
        <f t="shared" si="5"/>
        <v>4</v>
      </c>
      <c r="AE6" s="2">
        <f t="shared" si="5"/>
        <v>4</v>
      </c>
      <c r="AF6" s="2">
        <f t="shared" si="5"/>
        <v>4</v>
      </c>
      <c r="AG6" s="2">
        <f t="shared" si="5"/>
        <v>4</v>
      </c>
      <c r="AH6" s="2">
        <f t="shared" si="5"/>
        <v>4</v>
      </c>
      <c r="AI6" s="2">
        <f t="shared" si="5"/>
        <v>4</v>
      </c>
      <c r="AJ6" s="2">
        <f t="shared" si="5"/>
        <v>4</v>
      </c>
      <c r="AK6" s="2">
        <f>+RANK(L6,L$6:L$23,0)</f>
        <v>4</v>
      </c>
    </row>
    <row r="7" spans="1:37" s="2" customFormat="1" ht="15" customHeight="1">
      <c r="A7" s="15" t="s">
        <v>15</v>
      </c>
      <c r="B7" s="329">
        <v>28261</v>
      </c>
      <c r="C7" s="329">
        <v>30156</v>
      </c>
      <c r="D7" s="329">
        <v>31333</v>
      </c>
      <c r="E7" s="329">
        <v>33532</v>
      </c>
      <c r="F7" s="329">
        <v>34861</v>
      </c>
      <c r="G7" s="329">
        <v>36824</v>
      </c>
      <c r="H7" s="329">
        <v>39057</v>
      </c>
      <c r="I7" s="329">
        <v>39335</v>
      </c>
      <c r="J7" s="329">
        <v>43289</v>
      </c>
      <c r="K7" s="329">
        <v>45122</v>
      </c>
      <c r="L7" s="329">
        <v>45650</v>
      </c>
      <c r="N7" s="559">
        <f t="shared" ref="N7:N23" si="6">+(L7/B7-1)*100</f>
        <v>61.530023707582892</v>
      </c>
      <c r="O7" s="419">
        <f t="shared" si="3"/>
        <v>17389</v>
      </c>
      <c r="P7" s="559">
        <f t="shared" ref="P7:Z23" si="7">B7*100/B$5</f>
        <v>1.1496796591601126</v>
      </c>
      <c r="Q7" s="559">
        <f t="shared" si="4"/>
        <v>1.1883421413408375</v>
      </c>
      <c r="R7" s="559">
        <f t="shared" si="4"/>
        <v>1.1859939687779981</v>
      </c>
      <c r="S7" s="559">
        <f t="shared" si="4"/>
        <v>1.2116258557748976</v>
      </c>
      <c r="T7" s="559">
        <f t="shared" si="4"/>
        <v>1.2113270774219418</v>
      </c>
      <c r="U7" s="559">
        <f t="shared" si="4"/>
        <v>1.2565850941926959</v>
      </c>
      <c r="V7" s="559">
        <f t="shared" si="4"/>
        <v>1.3454824179893725</v>
      </c>
      <c r="W7" s="559">
        <f t="shared" si="4"/>
        <v>1.3460090071562441</v>
      </c>
      <c r="X7" s="559">
        <f t="shared" si="4"/>
        <v>1.3750628544346881</v>
      </c>
      <c r="Y7" s="559">
        <f t="shared" si="4"/>
        <v>1.3689370638450986</v>
      </c>
      <c r="Z7" s="559">
        <f t="shared" si="4"/>
        <v>1.3610062323054284</v>
      </c>
      <c r="AA7" s="2">
        <f t="shared" ref="AA7:AK23" si="8">+RANK(B7,B$6:B$23,0)</f>
        <v>15</v>
      </c>
      <c r="AB7" s="2">
        <f t="shared" si="5"/>
        <v>14</v>
      </c>
      <c r="AC7" s="2">
        <f t="shared" si="5"/>
        <v>14</v>
      </c>
      <c r="AD7" s="2">
        <f t="shared" si="5"/>
        <v>14</v>
      </c>
      <c r="AE7" s="2">
        <f t="shared" si="5"/>
        <v>14</v>
      </c>
      <c r="AF7" s="2">
        <f t="shared" si="5"/>
        <v>14</v>
      </c>
      <c r="AG7" s="2">
        <f t="shared" si="5"/>
        <v>12</v>
      </c>
      <c r="AH7" s="2">
        <f t="shared" si="5"/>
        <v>12</v>
      </c>
      <c r="AI7" s="2">
        <f t="shared" si="5"/>
        <v>12</v>
      </c>
      <c r="AJ7" s="2">
        <f t="shared" si="5"/>
        <v>12</v>
      </c>
      <c r="AK7" s="2">
        <f t="shared" si="5"/>
        <v>12</v>
      </c>
    </row>
    <row r="8" spans="1:37" s="2" customFormat="1" ht="15" customHeight="1">
      <c r="A8" s="15" t="s">
        <v>65</v>
      </c>
      <c r="B8" s="329">
        <v>223498</v>
      </c>
      <c r="C8" s="329">
        <v>232168</v>
      </c>
      <c r="D8" s="329">
        <v>243606</v>
      </c>
      <c r="E8" s="329">
        <v>254948</v>
      </c>
      <c r="F8" s="329">
        <v>264675</v>
      </c>
      <c r="G8" s="329">
        <v>261930</v>
      </c>
      <c r="H8" s="329">
        <v>263588</v>
      </c>
      <c r="I8" s="329">
        <v>266470</v>
      </c>
      <c r="J8" s="329">
        <v>285498</v>
      </c>
      <c r="K8" s="329">
        <v>293224</v>
      </c>
      <c r="L8" s="329">
        <v>293085</v>
      </c>
      <c r="N8" s="559">
        <f t="shared" si="6"/>
        <v>31.135401659075246</v>
      </c>
      <c r="O8" s="419">
        <f t="shared" si="3"/>
        <v>69587</v>
      </c>
      <c r="P8" s="559">
        <f t="shared" si="7"/>
        <v>9.0920740406555627</v>
      </c>
      <c r="Q8" s="559">
        <f t="shared" si="4"/>
        <v>9.1489261928246304</v>
      </c>
      <c r="R8" s="559">
        <f t="shared" si="4"/>
        <v>9.2207974582112477</v>
      </c>
      <c r="S8" s="559">
        <f t="shared" si="4"/>
        <v>9.2121432863562731</v>
      </c>
      <c r="T8" s="559">
        <f t="shared" si="4"/>
        <v>9.1967526524383256</v>
      </c>
      <c r="U8" s="559">
        <f t="shared" si="4"/>
        <v>8.938120077175018</v>
      </c>
      <c r="V8" s="559">
        <f t="shared" si="4"/>
        <v>9.0803958213119973</v>
      </c>
      <c r="W8" s="559">
        <f t="shared" si="4"/>
        <v>9.1183683777024118</v>
      </c>
      <c r="X8" s="559">
        <f t="shared" si="4"/>
        <v>9.0687633074313236</v>
      </c>
      <c r="Y8" s="559">
        <f t="shared" si="4"/>
        <v>8.8959975534975211</v>
      </c>
      <c r="Z8" s="559">
        <f t="shared" si="4"/>
        <v>8.7380177786470199</v>
      </c>
      <c r="AA8" s="2">
        <f t="shared" si="8"/>
        <v>3</v>
      </c>
      <c r="AB8" s="2">
        <f t="shared" si="5"/>
        <v>3</v>
      </c>
      <c r="AC8" s="2">
        <f t="shared" si="5"/>
        <v>3</v>
      </c>
      <c r="AD8" s="2">
        <f t="shared" si="5"/>
        <v>3</v>
      </c>
      <c r="AE8" s="2">
        <f t="shared" si="5"/>
        <v>3</v>
      </c>
      <c r="AF8" s="2">
        <f t="shared" si="5"/>
        <v>3</v>
      </c>
      <c r="AG8" s="2">
        <f t="shared" si="5"/>
        <v>3</v>
      </c>
      <c r="AH8" s="2">
        <f t="shared" si="5"/>
        <v>3</v>
      </c>
      <c r="AI8" s="2">
        <f t="shared" si="5"/>
        <v>3</v>
      </c>
      <c r="AJ8" s="2">
        <f t="shared" si="5"/>
        <v>3</v>
      </c>
      <c r="AK8" s="2">
        <f t="shared" si="5"/>
        <v>3</v>
      </c>
    </row>
    <row r="9" spans="1:37" s="2" customFormat="1" ht="15" customHeight="1">
      <c r="A9" s="15" t="s">
        <v>16</v>
      </c>
      <c r="B9" s="329">
        <v>18027</v>
      </c>
      <c r="C9" s="329">
        <v>18508</v>
      </c>
      <c r="D9" s="329">
        <v>18920</v>
      </c>
      <c r="E9" s="329">
        <v>19168</v>
      </c>
      <c r="F9" s="329">
        <v>19762</v>
      </c>
      <c r="G9" s="329">
        <v>19512</v>
      </c>
      <c r="H9" s="329">
        <v>20332</v>
      </c>
      <c r="I9" s="329">
        <v>20601</v>
      </c>
      <c r="J9" s="329">
        <v>21226</v>
      </c>
      <c r="K9" s="329">
        <v>22078</v>
      </c>
      <c r="L9" s="329">
        <v>22075</v>
      </c>
      <c r="N9" s="559">
        <f t="shared" si="6"/>
        <v>22.45520607976923</v>
      </c>
      <c r="O9" s="419">
        <f t="shared" si="3"/>
        <v>4048</v>
      </c>
      <c r="P9" s="559">
        <f t="shared" si="7"/>
        <v>0.73335250754323456</v>
      </c>
      <c r="Q9" s="559">
        <f t="shared" si="4"/>
        <v>0.7293353346576541</v>
      </c>
      <c r="R9" s="559">
        <f t="shared" si="4"/>
        <v>0.71614610440365511</v>
      </c>
      <c r="S9" s="559">
        <f t="shared" si="4"/>
        <v>0.69260540389756753</v>
      </c>
      <c r="T9" s="559">
        <f t="shared" si="4"/>
        <v>0.68667696577873305</v>
      </c>
      <c r="U9" s="559">
        <f t="shared" si="4"/>
        <v>0.66582903426808282</v>
      </c>
      <c r="V9" s="559">
        <f t="shared" si="4"/>
        <v>0.70042114147425349</v>
      </c>
      <c r="W9" s="559">
        <f t="shared" si="4"/>
        <v>0.70494805024598417</v>
      </c>
      <c r="X9" s="559">
        <f t="shared" si="4"/>
        <v>0.67423789295734915</v>
      </c>
      <c r="Y9" s="559">
        <f t="shared" si="4"/>
        <v>0.6698150014532176</v>
      </c>
      <c r="Z9" s="559">
        <f t="shared" si="4"/>
        <v>0.65814266326708282</v>
      </c>
      <c r="AA9" s="2">
        <f t="shared" si="8"/>
        <v>18</v>
      </c>
      <c r="AB9" s="2">
        <f t="shared" si="5"/>
        <v>18</v>
      </c>
      <c r="AC9" s="2">
        <f t="shared" si="5"/>
        <v>18</v>
      </c>
      <c r="AD9" s="2">
        <f t="shared" si="5"/>
        <v>18</v>
      </c>
      <c r="AE9" s="2">
        <f t="shared" si="5"/>
        <v>18</v>
      </c>
      <c r="AF9" s="2">
        <f t="shared" si="5"/>
        <v>18</v>
      </c>
      <c r="AG9" s="2">
        <f t="shared" si="5"/>
        <v>18</v>
      </c>
      <c r="AH9" s="2">
        <f t="shared" si="5"/>
        <v>17</v>
      </c>
      <c r="AI9" s="2">
        <f t="shared" si="5"/>
        <v>18</v>
      </c>
      <c r="AJ9" s="2">
        <f t="shared" si="5"/>
        <v>18</v>
      </c>
      <c r="AK9" s="2">
        <f t="shared" si="5"/>
        <v>18</v>
      </c>
    </row>
    <row r="10" spans="1:37" s="2" customFormat="1" ht="15" customHeight="1">
      <c r="A10" s="15" t="s">
        <v>17</v>
      </c>
      <c r="B10" s="329">
        <v>35837</v>
      </c>
      <c r="C10" s="329">
        <v>35619</v>
      </c>
      <c r="D10" s="329">
        <v>36035</v>
      </c>
      <c r="E10" s="329">
        <v>36753</v>
      </c>
      <c r="F10" s="329">
        <v>38953</v>
      </c>
      <c r="G10" s="329">
        <v>38009</v>
      </c>
      <c r="H10" s="329">
        <v>37294</v>
      </c>
      <c r="I10" s="329">
        <v>37537</v>
      </c>
      <c r="J10" s="329">
        <v>39840</v>
      </c>
      <c r="K10" s="329">
        <v>42612</v>
      </c>
      <c r="L10" s="329">
        <v>42077</v>
      </c>
      <c r="N10" s="559">
        <f t="shared" si="6"/>
        <v>17.412171777771569</v>
      </c>
      <c r="O10" s="419">
        <f t="shared" si="3"/>
        <v>6240</v>
      </c>
      <c r="P10" s="559">
        <f t="shared" si="7"/>
        <v>1.4578772847854271</v>
      </c>
      <c r="Q10" s="559">
        <f t="shared" si="4"/>
        <v>1.4036198014464547</v>
      </c>
      <c r="R10" s="559">
        <f t="shared" si="4"/>
        <v>1.3639706592064329</v>
      </c>
      <c r="S10" s="559">
        <f t="shared" si="4"/>
        <v>1.3280116031639868</v>
      </c>
      <c r="T10" s="559">
        <f t="shared" si="4"/>
        <v>1.3535131994726743</v>
      </c>
      <c r="U10" s="559">
        <f t="shared" si="4"/>
        <v>1.2970221281004286</v>
      </c>
      <c r="V10" s="559">
        <f t="shared" si="4"/>
        <v>1.2847484777759597</v>
      </c>
      <c r="W10" s="559">
        <f t="shared" si="4"/>
        <v>1.2844830329636185</v>
      </c>
      <c r="X10" s="559">
        <f t="shared" si="4"/>
        <v>1.2655063438905489</v>
      </c>
      <c r="Y10" s="559">
        <f t="shared" si="4"/>
        <v>1.2927872471204145</v>
      </c>
      <c r="Z10" s="559">
        <f t="shared" si="4"/>
        <v>1.2544810347582804</v>
      </c>
      <c r="AA10" s="2">
        <f t="shared" si="8"/>
        <v>12</v>
      </c>
      <c r="AB10" s="2">
        <f t="shared" si="5"/>
        <v>12</v>
      </c>
      <c r="AC10" s="2">
        <f t="shared" si="5"/>
        <v>12</v>
      </c>
      <c r="AD10" s="2">
        <f t="shared" si="5"/>
        <v>12</v>
      </c>
      <c r="AE10" s="2">
        <f t="shared" si="5"/>
        <v>12</v>
      </c>
      <c r="AF10" s="2">
        <f t="shared" si="5"/>
        <v>13</v>
      </c>
      <c r="AG10" s="2">
        <f t="shared" si="5"/>
        <v>14</v>
      </c>
      <c r="AH10" s="2">
        <f t="shared" si="5"/>
        <v>14</v>
      </c>
      <c r="AI10" s="2">
        <f t="shared" si="5"/>
        <v>14</v>
      </c>
      <c r="AJ10" s="2">
        <f t="shared" si="5"/>
        <v>13</v>
      </c>
      <c r="AK10" s="2">
        <f t="shared" si="5"/>
        <v>14</v>
      </c>
    </row>
    <row r="11" spans="1:37" s="2" customFormat="1" ht="15" customHeight="1">
      <c r="A11" s="15" t="s">
        <v>18</v>
      </c>
      <c r="B11" s="329">
        <v>84401</v>
      </c>
      <c r="C11" s="329">
        <v>87151</v>
      </c>
      <c r="D11" s="329">
        <v>88449</v>
      </c>
      <c r="E11" s="329">
        <v>92904</v>
      </c>
      <c r="F11" s="329">
        <v>93788</v>
      </c>
      <c r="G11" s="329">
        <v>94736</v>
      </c>
      <c r="H11" s="329">
        <v>95872</v>
      </c>
      <c r="I11" s="329">
        <v>95954</v>
      </c>
      <c r="J11" s="329">
        <v>101940</v>
      </c>
      <c r="K11" s="329">
        <v>104759</v>
      </c>
      <c r="L11" s="329">
        <v>107638</v>
      </c>
      <c r="N11" s="559">
        <f t="shared" si="6"/>
        <v>27.531664316773497</v>
      </c>
      <c r="O11" s="419">
        <f t="shared" ref="O11:O23" si="9">+L11-B11</f>
        <v>23237</v>
      </c>
      <c r="P11" s="559">
        <f t="shared" si="7"/>
        <v>3.4334989176877206</v>
      </c>
      <c r="Q11" s="559">
        <f t="shared" si="4"/>
        <v>3.4343150935135736</v>
      </c>
      <c r="R11" s="559">
        <f t="shared" si="4"/>
        <v>3.3479073355390532</v>
      </c>
      <c r="S11" s="559">
        <f t="shared" si="4"/>
        <v>3.3569392969375844</v>
      </c>
      <c r="T11" s="559">
        <f t="shared" si="4"/>
        <v>3.2588836791041302</v>
      </c>
      <c r="U11" s="559">
        <f t="shared" si="4"/>
        <v>3.2327787715467968</v>
      </c>
      <c r="V11" s="559">
        <f t="shared" si="4"/>
        <v>3.3027137357574086</v>
      </c>
      <c r="W11" s="559">
        <f t="shared" si="4"/>
        <v>3.2834612500996632</v>
      </c>
      <c r="X11" s="559">
        <f t="shared" si="4"/>
        <v>3.238095298599462</v>
      </c>
      <c r="Y11" s="559">
        <f t="shared" si="4"/>
        <v>3.1782385060801532</v>
      </c>
      <c r="Z11" s="559">
        <f t="shared" si="4"/>
        <v>3.2091125702714498</v>
      </c>
      <c r="AA11" s="2">
        <f t="shared" si="8"/>
        <v>9</v>
      </c>
      <c r="AB11" s="2">
        <f t="shared" si="5"/>
        <v>9</v>
      </c>
      <c r="AC11" s="2">
        <f t="shared" si="5"/>
        <v>9</v>
      </c>
      <c r="AD11" s="2">
        <f t="shared" si="5"/>
        <v>9</v>
      </c>
      <c r="AE11" s="2">
        <f t="shared" si="5"/>
        <v>9</v>
      </c>
      <c r="AF11" s="2">
        <f t="shared" si="5"/>
        <v>9</v>
      </c>
      <c r="AG11" s="2">
        <f t="shared" si="5"/>
        <v>9</v>
      </c>
      <c r="AH11" s="2">
        <f t="shared" si="5"/>
        <v>9</v>
      </c>
      <c r="AI11" s="2">
        <f t="shared" si="5"/>
        <v>9</v>
      </c>
      <c r="AJ11" s="2">
        <f t="shared" si="5"/>
        <v>9</v>
      </c>
      <c r="AK11" s="2">
        <f t="shared" si="5"/>
        <v>9</v>
      </c>
    </row>
    <row r="12" spans="1:37" s="2" customFormat="1" ht="15" customHeight="1">
      <c r="A12" s="15" t="s">
        <v>19</v>
      </c>
      <c r="B12" s="329">
        <v>32529</v>
      </c>
      <c r="C12" s="329">
        <v>34031</v>
      </c>
      <c r="D12" s="329">
        <v>35370</v>
      </c>
      <c r="E12" s="329">
        <v>36298</v>
      </c>
      <c r="F12" s="329">
        <v>38027</v>
      </c>
      <c r="G12" s="329">
        <v>38257</v>
      </c>
      <c r="H12" s="329">
        <v>37783</v>
      </c>
      <c r="I12" s="329">
        <v>38189</v>
      </c>
      <c r="J12" s="329">
        <v>40691</v>
      </c>
      <c r="K12" s="329">
        <v>42406</v>
      </c>
      <c r="L12" s="329">
        <v>42150</v>
      </c>
      <c r="N12" s="559">
        <f t="shared" si="6"/>
        <v>29.576685419164427</v>
      </c>
      <c r="O12" s="419">
        <f t="shared" si="9"/>
        <v>9621</v>
      </c>
      <c r="P12" s="559">
        <f t="shared" si="7"/>
        <v>1.3233052486755355</v>
      </c>
      <c r="Q12" s="559">
        <f t="shared" si="4"/>
        <v>1.341042293804551</v>
      </c>
      <c r="R12" s="559">
        <f t="shared" si="4"/>
        <v>1.338799561985057</v>
      </c>
      <c r="S12" s="559">
        <f t="shared" si="4"/>
        <v>1.3115708968423365</v>
      </c>
      <c r="T12" s="559">
        <f t="shared" si="4"/>
        <v>1.32133716110049</v>
      </c>
      <c r="U12" s="559">
        <f t="shared" si="4"/>
        <v>1.3054848997536923</v>
      </c>
      <c r="V12" s="559">
        <f t="shared" si="4"/>
        <v>1.3015941367461008</v>
      </c>
      <c r="W12" s="559">
        <f t="shared" si="4"/>
        <v>1.3067938979099989</v>
      </c>
      <c r="X12" s="559">
        <f t="shared" si="4"/>
        <v>1.2925381184550786</v>
      </c>
      <c r="Y12" s="559">
        <f t="shared" si="4"/>
        <v>1.2865375012059583</v>
      </c>
      <c r="Z12" s="559">
        <f t="shared" si="4"/>
        <v>1.256657452172482</v>
      </c>
      <c r="AA12" s="2">
        <f t="shared" si="8"/>
        <v>13</v>
      </c>
      <c r="AB12" s="2">
        <f t="shared" si="5"/>
        <v>13</v>
      </c>
      <c r="AC12" s="2">
        <f t="shared" si="5"/>
        <v>13</v>
      </c>
      <c r="AD12" s="2">
        <f t="shared" si="5"/>
        <v>13</v>
      </c>
      <c r="AE12" s="2">
        <f t="shared" si="5"/>
        <v>13</v>
      </c>
      <c r="AF12" s="2">
        <f t="shared" si="5"/>
        <v>12</v>
      </c>
      <c r="AG12" s="2">
        <f t="shared" si="5"/>
        <v>13</v>
      </c>
      <c r="AH12" s="2">
        <f t="shared" si="5"/>
        <v>13</v>
      </c>
      <c r="AI12" s="2">
        <f t="shared" si="5"/>
        <v>13</v>
      </c>
      <c r="AJ12" s="2">
        <f t="shared" si="5"/>
        <v>14</v>
      </c>
      <c r="AK12" s="2">
        <f t="shared" si="5"/>
        <v>13</v>
      </c>
    </row>
    <row r="13" spans="1:37" s="2" customFormat="1" ht="15" customHeight="1">
      <c r="A13" s="15" t="s">
        <v>20</v>
      </c>
      <c r="B13" s="329">
        <v>109922</v>
      </c>
      <c r="C13" s="329">
        <v>117234</v>
      </c>
      <c r="D13" s="329">
        <v>125990</v>
      </c>
      <c r="E13" s="329">
        <v>135848</v>
      </c>
      <c r="F13" s="329">
        <v>144110</v>
      </c>
      <c r="G13" s="329">
        <v>149611</v>
      </c>
      <c r="H13" s="329">
        <v>133944</v>
      </c>
      <c r="I13" s="329">
        <v>137936</v>
      </c>
      <c r="J13" s="329">
        <v>154670</v>
      </c>
      <c r="K13" s="329">
        <v>166794</v>
      </c>
      <c r="L13" s="329">
        <v>172373</v>
      </c>
      <c r="N13" s="559">
        <f t="shared" si="6"/>
        <v>56.813922599661581</v>
      </c>
      <c r="O13" s="419">
        <f t="shared" si="9"/>
        <v>62451</v>
      </c>
      <c r="P13" s="559">
        <f t="shared" si="7"/>
        <v>4.4717132265028807</v>
      </c>
      <c r="Q13" s="559">
        <f t="shared" si="4"/>
        <v>4.6197805610144496</v>
      </c>
      <c r="R13" s="559">
        <f t="shared" si="4"/>
        <v>4.768882013415249</v>
      </c>
      <c r="S13" s="559">
        <f t="shared" si="4"/>
        <v>4.9086529063374771</v>
      </c>
      <c r="T13" s="559">
        <f t="shared" si="4"/>
        <v>5.0074394058482552</v>
      </c>
      <c r="U13" s="559">
        <f t="shared" si="4"/>
        <v>5.1053376202276626</v>
      </c>
      <c r="V13" s="559">
        <f t="shared" si="4"/>
        <v>4.6142636914040631</v>
      </c>
      <c r="W13" s="559">
        <f t="shared" si="4"/>
        <v>4.7200482626440499</v>
      </c>
      <c r="X13" s="559">
        <f t="shared" si="4"/>
        <v>4.9130488506413457</v>
      </c>
      <c r="Y13" s="559">
        <f t="shared" si="4"/>
        <v>5.0602918449310614</v>
      </c>
      <c r="Z13" s="559">
        <f t="shared" si="4"/>
        <v>5.1391177936732442</v>
      </c>
      <c r="AA13" s="2">
        <f t="shared" si="8"/>
        <v>7</v>
      </c>
      <c r="AB13" s="2">
        <f t="shared" si="5"/>
        <v>7</v>
      </c>
      <c r="AC13" s="2">
        <f t="shared" si="5"/>
        <v>6</v>
      </c>
      <c r="AD13" s="2">
        <f t="shared" si="5"/>
        <v>6</v>
      </c>
      <c r="AE13" s="2">
        <f t="shared" si="5"/>
        <v>6</v>
      </c>
      <c r="AF13" s="2">
        <f t="shared" si="5"/>
        <v>6</v>
      </c>
      <c r="AG13" s="2">
        <f t="shared" si="5"/>
        <v>7</v>
      </c>
      <c r="AH13" s="2">
        <f t="shared" si="5"/>
        <v>7</v>
      </c>
      <c r="AI13" s="2">
        <f t="shared" si="5"/>
        <v>6</v>
      </c>
      <c r="AJ13" s="2">
        <f t="shared" si="5"/>
        <v>6</v>
      </c>
      <c r="AK13" s="2">
        <f t="shared" si="5"/>
        <v>6</v>
      </c>
    </row>
    <row r="14" spans="1:37" s="2" customFormat="1" ht="15" customHeight="1">
      <c r="A14" s="15" t="s">
        <v>21</v>
      </c>
      <c r="B14" s="329">
        <v>26046</v>
      </c>
      <c r="C14" s="329">
        <v>26456</v>
      </c>
      <c r="D14" s="329">
        <v>26786</v>
      </c>
      <c r="E14" s="329">
        <v>27741</v>
      </c>
      <c r="F14" s="329">
        <v>28412</v>
      </c>
      <c r="G14" s="329">
        <v>28057</v>
      </c>
      <c r="H14" s="329">
        <v>28646</v>
      </c>
      <c r="I14" s="329">
        <v>28719</v>
      </c>
      <c r="J14" s="329">
        <v>29721</v>
      </c>
      <c r="K14" s="329">
        <v>30808</v>
      </c>
      <c r="L14" s="329">
        <v>30941</v>
      </c>
      <c r="N14" s="559">
        <f t="shared" si="6"/>
        <v>18.79367273285726</v>
      </c>
      <c r="O14" s="419">
        <f t="shared" si="9"/>
        <v>4895</v>
      </c>
      <c r="P14" s="559">
        <f t="shared" si="7"/>
        <v>1.0595717208338096</v>
      </c>
      <c r="Q14" s="559">
        <f t="shared" si="4"/>
        <v>1.04253812479484</v>
      </c>
      <c r="R14" s="559">
        <f t="shared" si="4"/>
        <v>1.0138842258222149</v>
      </c>
      <c r="S14" s="559">
        <f t="shared" si="4"/>
        <v>1.0023772177338492</v>
      </c>
      <c r="T14" s="559">
        <f t="shared" si="4"/>
        <v>0.98724147109125415</v>
      </c>
      <c r="U14" s="559">
        <f t="shared" si="4"/>
        <v>0.95741929143396887</v>
      </c>
      <c r="V14" s="559">
        <f t="shared" si="4"/>
        <v>0.98683179316700109</v>
      </c>
      <c r="W14" s="559">
        <f t="shared" si="4"/>
        <v>0.98273885029922903</v>
      </c>
      <c r="X14" s="559">
        <f t="shared" si="4"/>
        <v>0.94407916784063772</v>
      </c>
      <c r="Y14" s="559">
        <f t="shared" si="4"/>
        <v>0.93467073850759708</v>
      </c>
      <c r="Z14" s="559">
        <f t="shared" si="4"/>
        <v>0.92247303031242622</v>
      </c>
      <c r="AA14" s="2">
        <f t="shared" si="8"/>
        <v>16</v>
      </c>
      <c r="AB14" s="2">
        <f t="shared" si="5"/>
        <v>16</v>
      </c>
      <c r="AC14" s="2">
        <f t="shared" si="5"/>
        <v>16</v>
      </c>
      <c r="AD14" s="2">
        <f t="shared" si="5"/>
        <v>16</v>
      </c>
      <c r="AE14" s="2">
        <f t="shared" si="5"/>
        <v>16</v>
      </c>
      <c r="AF14" s="2">
        <f t="shared" si="5"/>
        <v>16</v>
      </c>
      <c r="AG14" s="2">
        <f t="shared" si="5"/>
        <v>16</v>
      </c>
      <c r="AH14" s="2">
        <f t="shared" si="5"/>
        <v>16</v>
      </c>
      <c r="AI14" s="2">
        <f t="shared" si="5"/>
        <v>16</v>
      </c>
      <c r="AJ14" s="2">
        <f t="shared" si="5"/>
        <v>16</v>
      </c>
      <c r="AK14" s="2">
        <f t="shared" si="5"/>
        <v>16</v>
      </c>
    </row>
    <row r="15" spans="1:37" s="2" customFormat="1" ht="15" customHeight="1">
      <c r="A15" s="15" t="s">
        <v>22</v>
      </c>
      <c r="B15" s="329">
        <v>117819</v>
      </c>
      <c r="C15" s="329">
        <v>121050</v>
      </c>
      <c r="D15" s="329">
        <v>125303</v>
      </c>
      <c r="E15" s="329">
        <v>132189</v>
      </c>
      <c r="F15" s="329">
        <v>139739</v>
      </c>
      <c r="G15" s="329">
        <v>141609</v>
      </c>
      <c r="H15" s="329">
        <v>140537</v>
      </c>
      <c r="I15" s="329">
        <v>139576</v>
      </c>
      <c r="J15" s="329">
        <v>145795</v>
      </c>
      <c r="K15" s="329">
        <v>152308</v>
      </c>
      <c r="L15" s="329">
        <v>154444</v>
      </c>
      <c r="N15" s="559">
        <f t="shared" si="6"/>
        <v>31.085818076880646</v>
      </c>
      <c r="O15" s="419">
        <f t="shared" si="9"/>
        <v>36625</v>
      </c>
      <c r="P15" s="559">
        <f t="shared" si="7"/>
        <v>4.7929693840481695</v>
      </c>
      <c r="Q15" s="559">
        <f t="shared" si="4"/>
        <v>4.7701557305116182</v>
      </c>
      <c r="R15" s="559">
        <f t="shared" si="4"/>
        <v>4.7428781881654967</v>
      </c>
      <c r="S15" s="559">
        <f t="shared" si="4"/>
        <v>4.7764407207750184</v>
      </c>
      <c r="T15" s="559">
        <f t="shared" si="4"/>
        <v>4.855558775475882</v>
      </c>
      <c r="U15" s="559">
        <f t="shared" si="4"/>
        <v>4.8322767380929141</v>
      </c>
      <c r="V15" s="559">
        <f t="shared" si="4"/>
        <v>4.8413872692980116</v>
      </c>
      <c r="W15" s="559">
        <f t="shared" si="4"/>
        <v>4.7761676161901594</v>
      </c>
      <c r="X15" s="559">
        <f t="shared" si="4"/>
        <v>4.6311369831205464</v>
      </c>
      <c r="Y15" s="559">
        <f t="shared" si="4"/>
        <v>4.6208072851407129</v>
      </c>
      <c r="Z15" s="559">
        <f t="shared" si="4"/>
        <v>4.6045837139579318</v>
      </c>
      <c r="AA15" s="2">
        <f t="shared" si="8"/>
        <v>6</v>
      </c>
      <c r="AB15" s="2">
        <f t="shared" si="5"/>
        <v>6</v>
      </c>
      <c r="AC15" s="2">
        <f t="shared" si="5"/>
        <v>7</v>
      </c>
      <c r="AD15" s="2">
        <f t="shared" si="5"/>
        <v>7</v>
      </c>
      <c r="AE15" s="2">
        <f t="shared" si="5"/>
        <v>7</v>
      </c>
      <c r="AF15" s="2">
        <f t="shared" si="5"/>
        <v>7</v>
      </c>
      <c r="AG15" s="2">
        <f t="shared" si="5"/>
        <v>6</v>
      </c>
      <c r="AH15" s="2">
        <f t="shared" si="5"/>
        <v>6</v>
      </c>
      <c r="AI15" s="2">
        <f t="shared" si="5"/>
        <v>7</v>
      </c>
      <c r="AJ15" s="2">
        <f t="shared" si="5"/>
        <v>7</v>
      </c>
      <c r="AK15" s="2">
        <f t="shared" si="5"/>
        <v>7</v>
      </c>
    </row>
    <row r="16" spans="1:37" s="2" customFormat="1" ht="15" customHeight="1">
      <c r="A16" s="15" t="s">
        <v>23</v>
      </c>
      <c r="B16" s="329">
        <v>722854</v>
      </c>
      <c r="C16" s="329">
        <v>739126</v>
      </c>
      <c r="D16" s="329">
        <v>776535</v>
      </c>
      <c r="E16" s="329">
        <v>805619</v>
      </c>
      <c r="F16" s="329">
        <v>843599</v>
      </c>
      <c r="G16" s="329">
        <v>863493</v>
      </c>
      <c r="H16" s="329">
        <v>853268</v>
      </c>
      <c r="I16" s="329">
        <v>859051</v>
      </c>
      <c r="J16" s="329">
        <v>937531</v>
      </c>
      <c r="K16" s="329">
        <v>994831</v>
      </c>
      <c r="L16" s="329">
        <v>1024115</v>
      </c>
      <c r="N16" s="559">
        <f t="shared" si="6"/>
        <v>41.676604127527824</v>
      </c>
      <c r="O16" s="419">
        <f t="shared" si="9"/>
        <v>301261</v>
      </c>
      <c r="P16" s="559">
        <f t="shared" si="7"/>
        <v>29.40626801396002</v>
      </c>
      <c r="Q16" s="559">
        <f t="shared" si="4"/>
        <v>29.126362036101863</v>
      </c>
      <c r="R16" s="559">
        <f t="shared" si="4"/>
        <v>29.392839068873801</v>
      </c>
      <c r="S16" s="559">
        <f t="shared" si="4"/>
        <v>29.109770079432099</v>
      </c>
      <c r="T16" s="559">
        <f t="shared" si="4"/>
        <v>29.31282267250144</v>
      </c>
      <c r="U16" s="559">
        <f t="shared" si="4"/>
        <v>29.465903561257157</v>
      </c>
      <c r="V16" s="559">
        <f t="shared" si="4"/>
        <v>29.394400282483442</v>
      </c>
      <c r="W16" s="559">
        <f t="shared" si="4"/>
        <v>29.395967550694767</v>
      </c>
      <c r="X16" s="559">
        <f t="shared" si="4"/>
        <v>29.780407331677967</v>
      </c>
      <c r="Y16" s="559">
        <f t="shared" si="4"/>
        <v>30.181752319535551</v>
      </c>
      <c r="Z16" s="559">
        <f t="shared" si="4"/>
        <v>30.532900275957804</v>
      </c>
      <c r="AA16" s="2">
        <f t="shared" si="8"/>
        <v>1</v>
      </c>
      <c r="AB16" s="2">
        <f t="shared" si="5"/>
        <v>1</v>
      </c>
      <c r="AC16" s="2">
        <f t="shared" si="5"/>
        <v>1</v>
      </c>
      <c r="AD16" s="2">
        <f t="shared" si="5"/>
        <v>1</v>
      </c>
      <c r="AE16" s="2">
        <f t="shared" si="5"/>
        <v>1</v>
      </c>
      <c r="AF16" s="2">
        <f t="shared" si="5"/>
        <v>1</v>
      </c>
      <c r="AG16" s="2">
        <f t="shared" si="5"/>
        <v>1</v>
      </c>
      <c r="AH16" s="2">
        <f t="shared" si="5"/>
        <v>1</v>
      </c>
      <c r="AI16" s="2">
        <f t="shared" si="5"/>
        <v>1</v>
      </c>
      <c r="AJ16" s="2">
        <f t="shared" si="5"/>
        <v>1</v>
      </c>
      <c r="AK16" s="2">
        <f t="shared" si="5"/>
        <v>1</v>
      </c>
    </row>
    <row r="17" spans="1:37" s="2" customFormat="1" ht="15" customHeight="1">
      <c r="A17" s="15" t="s">
        <v>24</v>
      </c>
      <c r="B17" s="329">
        <v>19009</v>
      </c>
      <c r="C17" s="329">
        <v>19293</v>
      </c>
      <c r="D17" s="329">
        <v>20176</v>
      </c>
      <c r="E17" s="329">
        <v>20664</v>
      </c>
      <c r="F17" s="329">
        <v>20620</v>
      </c>
      <c r="G17" s="329">
        <v>20826</v>
      </c>
      <c r="H17" s="329">
        <v>21098</v>
      </c>
      <c r="I17" s="329">
        <v>20537</v>
      </c>
      <c r="J17" s="329">
        <v>21623</v>
      </c>
      <c r="K17" s="329">
        <v>22968</v>
      </c>
      <c r="L17" s="329">
        <v>22423</v>
      </c>
      <c r="N17" s="559">
        <f t="shared" si="6"/>
        <v>17.959913725077591</v>
      </c>
      <c r="O17" s="419">
        <f t="shared" si="9"/>
        <v>3414</v>
      </c>
      <c r="P17" s="559">
        <f t="shared" si="7"/>
        <v>0.77330103821430884</v>
      </c>
      <c r="Q17" s="559">
        <f t="shared" si="4"/>
        <v>0.7602694300599806</v>
      </c>
      <c r="R17" s="559">
        <f t="shared" si="4"/>
        <v>0.7636873045691408</v>
      </c>
      <c r="S17" s="559">
        <f t="shared" si="4"/>
        <v>0.74666100094633425</v>
      </c>
      <c r="T17" s="559">
        <f t="shared" si="4"/>
        <v>0.71649018491840277</v>
      </c>
      <c r="U17" s="559">
        <f t="shared" si="4"/>
        <v>0.71066807439868251</v>
      </c>
      <c r="V17" s="559">
        <f t="shared" si="4"/>
        <v>0.72680922894077327</v>
      </c>
      <c r="W17" s="559">
        <f t="shared" si="4"/>
        <v>0.70275802669296517</v>
      </c>
      <c r="X17" s="559">
        <f t="shared" si="4"/>
        <v>0.68684848579180069</v>
      </c>
      <c r="Y17" s="559">
        <f t="shared" si="4"/>
        <v>0.69681633088946016</v>
      </c>
      <c r="Z17" s="559">
        <f t="shared" si="4"/>
        <v>0.66851791340601574</v>
      </c>
      <c r="AA17" s="2">
        <f t="shared" si="8"/>
        <v>17</v>
      </c>
      <c r="AB17" s="2">
        <f t="shared" si="5"/>
        <v>17</v>
      </c>
      <c r="AC17" s="2">
        <f t="shared" si="5"/>
        <v>17</v>
      </c>
      <c r="AD17" s="2">
        <f t="shared" si="5"/>
        <v>17</v>
      </c>
      <c r="AE17" s="2">
        <f t="shared" si="5"/>
        <v>17</v>
      </c>
      <c r="AF17" s="2">
        <f t="shared" si="5"/>
        <v>17</v>
      </c>
      <c r="AG17" s="2">
        <f t="shared" si="5"/>
        <v>17</v>
      </c>
      <c r="AH17" s="2">
        <f t="shared" si="5"/>
        <v>18</v>
      </c>
      <c r="AI17" s="2">
        <f t="shared" si="5"/>
        <v>17</v>
      </c>
      <c r="AJ17" s="2">
        <f t="shared" si="5"/>
        <v>17</v>
      </c>
      <c r="AK17" s="2">
        <f t="shared" si="5"/>
        <v>17</v>
      </c>
    </row>
    <row r="18" spans="1:37" s="2" customFormat="1" ht="15" customHeight="1">
      <c r="A18" s="15" t="s">
        <v>25</v>
      </c>
      <c r="B18" s="329">
        <v>477642</v>
      </c>
      <c r="C18" s="329">
        <v>498411</v>
      </c>
      <c r="D18" s="329">
        <v>517250</v>
      </c>
      <c r="E18" s="329">
        <v>546130</v>
      </c>
      <c r="F18" s="329">
        <v>558004</v>
      </c>
      <c r="G18" s="329">
        <v>572263</v>
      </c>
      <c r="H18" s="329">
        <v>564899</v>
      </c>
      <c r="I18" s="329">
        <v>569083</v>
      </c>
      <c r="J18" s="329">
        <v>611659</v>
      </c>
      <c r="K18" s="329">
        <v>638591</v>
      </c>
      <c r="L18" s="329">
        <v>649672</v>
      </c>
      <c r="N18" s="559">
        <f t="shared" si="6"/>
        <v>36.016514460621131</v>
      </c>
      <c r="O18" s="419">
        <f t="shared" si="9"/>
        <v>172030</v>
      </c>
      <c r="P18" s="559">
        <f t="shared" si="7"/>
        <v>19.430851412213105</v>
      </c>
      <c r="Q18" s="559">
        <f t="shared" si="4"/>
        <v>19.64062856505598</v>
      </c>
      <c r="R18" s="559">
        <f t="shared" si="4"/>
        <v>19.578571485348341</v>
      </c>
      <c r="S18" s="559">
        <f t="shared" si="4"/>
        <v>19.733544930643706</v>
      </c>
      <c r="T18" s="559">
        <f t="shared" si="4"/>
        <v>19.389155632648325</v>
      </c>
      <c r="U18" s="559">
        <f t="shared" si="4"/>
        <v>19.527947962144111</v>
      </c>
      <c r="V18" s="559">
        <f t="shared" si="4"/>
        <v>19.460318827349219</v>
      </c>
      <c r="W18" s="559">
        <f t="shared" si="4"/>
        <v>19.473518337854248</v>
      </c>
      <c r="X18" s="559">
        <f t="shared" si="4"/>
        <v>19.429175321228648</v>
      </c>
      <c r="Y18" s="559">
        <f t="shared" si="4"/>
        <v>19.373939287662456</v>
      </c>
      <c r="Z18" s="559">
        <f t="shared" si="4"/>
        <v>19.369280196151855</v>
      </c>
      <c r="AA18" s="2">
        <f t="shared" si="8"/>
        <v>2</v>
      </c>
      <c r="AB18" s="2">
        <f t="shared" si="5"/>
        <v>2</v>
      </c>
      <c r="AC18" s="2">
        <f t="shared" si="5"/>
        <v>2</v>
      </c>
      <c r="AD18" s="2">
        <f t="shared" si="5"/>
        <v>2</v>
      </c>
      <c r="AE18" s="2">
        <f t="shared" si="5"/>
        <v>2</v>
      </c>
      <c r="AF18" s="2">
        <f t="shared" si="5"/>
        <v>2</v>
      </c>
      <c r="AG18" s="2">
        <f t="shared" si="5"/>
        <v>2</v>
      </c>
      <c r="AH18" s="2">
        <f t="shared" si="5"/>
        <v>2</v>
      </c>
      <c r="AI18" s="2">
        <f t="shared" si="5"/>
        <v>2</v>
      </c>
      <c r="AJ18" s="2">
        <f t="shared" si="5"/>
        <v>2</v>
      </c>
      <c r="AK18" s="2">
        <f t="shared" si="5"/>
        <v>2</v>
      </c>
    </row>
    <row r="19" spans="1:37" s="2" customFormat="1" ht="15" customHeight="1">
      <c r="A19" s="15" t="s">
        <v>26</v>
      </c>
      <c r="B19" s="329">
        <v>90076</v>
      </c>
      <c r="C19" s="329">
        <v>92191</v>
      </c>
      <c r="D19" s="329">
        <v>93792</v>
      </c>
      <c r="E19" s="329">
        <v>97412</v>
      </c>
      <c r="F19" s="329">
        <v>100090</v>
      </c>
      <c r="G19" s="329">
        <v>102585</v>
      </c>
      <c r="H19" s="329">
        <v>103403</v>
      </c>
      <c r="I19" s="329">
        <v>102715</v>
      </c>
      <c r="J19" s="329">
        <v>108232</v>
      </c>
      <c r="K19" s="329">
        <v>112134</v>
      </c>
      <c r="L19" s="329">
        <v>114293</v>
      </c>
      <c r="N19" s="559">
        <f t="shared" si="6"/>
        <v>26.885074825702748</v>
      </c>
      <c r="O19" s="419">
        <f t="shared" si="9"/>
        <v>24217</v>
      </c>
      <c r="P19" s="559">
        <f t="shared" si="7"/>
        <v>3.6643623714131244</v>
      </c>
      <c r="Q19" s="559">
        <f t="shared" si="4"/>
        <v>3.6329238079437971</v>
      </c>
      <c r="R19" s="559">
        <f t="shared" si="4"/>
        <v>3.5501466926124534</v>
      </c>
      <c r="S19" s="559">
        <f t="shared" si="4"/>
        <v>3.5198287564936273</v>
      </c>
      <c r="T19" s="559">
        <f t="shared" si="4"/>
        <v>3.4778614262115877</v>
      </c>
      <c r="U19" s="559">
        <f t="shared" si="4"/>
        <v>3.5006186695567485</v>
      </c>
      <c r="V19" s="559">
        <f t="shared" si="4"/>
        <v>3.5621506635777216</v>
      </c>
      <c r="W19" s="559">
        <f t="shared" si="4"/>
        <v>3.5148167070053038</v>
      </c>
      <c r="X19" s="559">
        <f t="shared" si="4"/>
        <v>3.4379589009026579</v>
      </c>
      <c r="Y19" s="559">
        <f t="shared" si="4"/>
        <v>3.4019854775321634</v>
      </c>
      <c r="Z19" s="559">
        <f t="shared" si="4"/>
        <v>3.4075243222099521</v>
      </c>
      <c r="AA19" s="2">
        <f t="shared" si="8"/>
        <v>8</v>
      </c>
      <c r="AB19" s="2">
        <f t="shared" si="5"/>
        <v>8</v>
      </c>
      <c r="AC19" s="2">
        <f t="shared" si="5"/>
        <v>8</v>
      </c>
      <c r="AD19" s="2">
        <f t="shared" si="5"/>
        <v>8</v>
      </c>
      <c r="AE19" s="2">
        <f t="shared" si="5"/>
        <v>8</v>
      </c>
      <c r="AF19" s="2">
        <f t="shared" si="5"/>
        <v>8</v>
      </c>
      <c r="AG19" s="2">
        <f t="shared" si="5"/>
        <v>8</v>
      </c>
      <c r="AH19" s="2">
        <f t="shared" si="5"/>
        <v>8</v>
      </c>
      <c r="AI19" s="2">
        <f t="shared" si="5"/>
        <v>8</v>
      </c>
      <c r="AJ19" s="2">
        <f t="shared" si="5"/>
        <v>8</v>
      </c>
      <c r="AK19" s="2">
        <f t="shared" si="5"/>
        <v>8</v>
      </c>
    </row>
    <row r="20" spans="1:37" s="2" customFormat="1" ht="15" customHeight="1">
      <c r="A20" s="15" t="s">
        <v>27</v>
      </c>
      <c r="B20" s="329">
        <v>135568</v>
      </c>
      <c r="C20" s="329">
        <v>138934</v>
      </c>
      <c r="D20" s="329">
        <v>143036</v>
      </c>
      <c r="E20" s="329">
        <v>151328</v>
      </c>
      <c r="F20" s="329">
        <v>160472</v>
      </c>
      <c r="G20" s="329">
        <v>163930</v>
      </c>
      <c r="H20" s="329">
        <v>164805</v>
      </c>
      <c r="I20" s="329">
        <v>166416</v>
      </c>
      <c r="J20" s="329">
        <v>178440</v>
      </c>
      <c r="K20" s="329">
        <v>184464</v>
      </c>
      <c r="L20" s="329">
        <v>187786</v>
      </c>
      <c r="N20" s="559">
        <f t="shared" si="6"/>
        <v>38.517939336716637</v>
      </c>
      <c r="O20" s="419">
        <f t="shared" si="9"/>
        <v>52218</v>
      </c>
      <c r="P20" s="559">
        <f t="shared" si="7"/>
        <v>5.5150126334177187</v>
      </c>
      <c r="Q20" s="559">
        <f t="shared" si="4"/>
        <v>5.4749014148112449</v>
      </c>
      <c r="R20" s="559">
        <f t="shared" si="4"/>
        <v>5.4140948303108463</v>
      </c>
      <c r="S20" s="559">
        <f t="shared" si="4"/>
        <v>5.4679982554784585</v>
      </c>
      <c r="T20" s="559">
        <f t="shared" si="4"/>
        <v>5.5759754100012575</v>
      </c>
      <c r="U20" s="559">
        <f t="shared" si="4"/>
        <v>5.5939603109659091</v>
      </c>
      <c r="V20" s="559">
        <f t="shared" si="4"/>
        <v>5.677400463341745</v>
      </c>
      <c r="W20" s="559">
        <f t="shared" si="4"/>
        <v>5.6946087437374739</v>
      </c>
      <c r="X20" s="559">
        <f t="shared" si="4"/>
        <v>5.668096184835079</v>
      </c>
      <c r="Y20" s="559">
        <f t="shared" si="4"/>
        <v>5.5963744192438778</v>
      </c>
      <c r="Z20" s="559">
        <f t="shared" si="4"/>
        <v>5.598640007441559</v>
      </c>
      <c r="AA20" s="2">
        <f t="shared" si="8"/>
        <v>5</v>
      </c>
      <c r="AB20" s="2">
        <f t="shared" si="5"/>
        <v>5</v>
      </c>
      <c r="AC20" s="2">
        <f t="shared" si="5"/>
        <v>5</v>
      </c>
      <c r="AD20" s="2">
        <f t="shared" si="5"/>
        <v>5</v>
      </c>
      <c r="AE20" s="2">
        <f t="shared" si="5"/>
        <v>5</v>
      </c>
      <c r="AF20" s="2">
        <f t="shared" si="5"/>
        <v>5</v>
      </c>
      <c r="AG20" s="2">
        <f t="shared" si="5"/>
        <v>5</v>
      </c>
      <c r="AH20" s="2">
        <f t="shared" si="5"/>
        <v>5</v>
      </c>
      <c r="AI20" s="2">
        <f t="shared" si="5"/>
        <v>5</v>
      </c>
      <c r="AJ20" s="2">
        <f t="shared" si="5"/>
        <v>5</v>
      </c>
      <c r="AK20" s="2">
        <f t="shared" si="5"/>
        <v>5</v>
      </c>
    </row>
    <row r="21" spans="1:37" s="2" customFormat="1" ht="15" customHeight="1">
      <c r="A21" s="15" t="s">
        <v>28</v>
      </c>
      <c r="B21" s="329">
        <v>50225</v>
      </c>
      <c r="C21" s="329">
        <v>52609</v>
      </c>
      <c r="D21" s="329">
        <v>52622</v>
      </c>
      <c r="E21" s="329">
        <v>55356</v>
      </c>
      <c r="F21" s="329">
        <v>58686</v>
      </c>
      <c r="G21" s="329">
        <v>59295</v>
      </c>
      <c r="H21" s="329">
        <v>60629</v>
      </c>
      <c r="I21" s="329">
        <v>60893</v>
      </c>
      <c r="J21" s="329">
        <v>64187</v>
      </c>
      <c r="K21" s="329">
        <v>68117</v>
      </c>
      <c r="L21" s="329">
        <v>68763</v>
      </c>
      <c r="N21" s="559">
        <f t="shared" si="6"/>
        <v>36.909905425584874</v>
      </c>
      <c r="O21" s="419">
        <f t="shared" si="9"/>
        <v>18538</v>
      </c>
      <c r="P21" s="559">
        <f t="shared" si="7"/>
        <v>2.0431924164508213</v>
      </c>
      <c r="Q21" s="559">
        <f t="shared" si="4"/>
        <v>2.0731360828292913</v>
      </c>
      <c r="R21" s="559">
        <f t="shared" si="4"/>
        <v>1.9918097413281786</v>
      </c>
      <c r="S21" s="559">
        <f t="shared" si="4"/>
        <v>2.0002016244863183</v>
      </c>
      <c r="T21" s="559">
        <f t="shared" si="4"/>
        <v>2.0391824923434232</v>
      </c>
      <c r="U21" s="559">
        <f t="shared" si="4"/>
        <v>2.0233872789527458</v>
      </c>
      <c r="V21" s="559">
        <f t="shared" si="4"/>
        <v>2.0886205678950676</v>
      </c>
      <c r="W21" s="559">
        <f t="shared" si="4"/>
        <v>2.0837047533434645</v>
      </c>
      <c r="X21" s="559">
        <f t="shared" si="4"/>
        <v>2.0388819200628179</v>
      </c>
      <c r="Y21" s="559">
        <f t="shared" si="4"/>
        <v>2.0665725361893661</v>
      </c>
      <c r="Z21" s="559">
        <f t="shared" si="4"/>
        <v>2.050095762366225</v>
      </c>
      <c r="AA21" s="2">
        <f t="shared" si="8"/>
        <v>11</v>
      </c>
      <c r="AB21" s="2">
        <f t="shared" si="5"/>
        <v>11</v>
      </c>
      <c r="AC21" s="2">
        <f t="shared" si="5"/>
        <v>11</v>
      </c>
      <c r="AD21" s="2">
        <f t="shared" si="5"/>
        <v>11</v>
      </c>
      <c r="AE21" s="2">
        <f t="shared" si="5"/>
        <v>11</v>
      </c>
      <c r="AF21" s="2">
        <f t="shared" si="5"/>
        <v>11</v>
      </c>
      <c r="AG21" s="2">
        <f t="shared" si="5"/>
        <v>11</v>
      </c>
      <c r="AH21" s="2">
        <f t="shared" si="5"/>
        <v>11</v>
      </c>
      <c r="AI21" s="2">
        <f t="shared" si="5"/>
        <v>11</v>
      </c>
      <c r="AJ21" s="2">
        <f t="shared" si="5"/>
        <v>11</v>
      </c>
      <c r="AK21" s="2">
        <f t="shared" si="5"/>
        <v>11</v>
      </c>
    </row>
    <row r="22" spans="1:37" s="2" customFormat="1" ht="15" customHeight="1">
      <c r="A22" s="15" t="s">
        <v>29</v>
      </c>
      <c r="B22" s="329">
        <v>28912</v>
      </c>
      <c r="C22" s="329">
        <v>30088</v>
      </c>
      <c r="D22" s="329">
        <v>30474</v>
      </c>
      <c r="E22" s="329">
        <v>32127</v>
      </c>
      <c r="F22" s="329">
        <v>33024</v>
      </c>
      <c r="G22" s="329">
        <v>33808</v>
      </c>
      <c r="H22" s="329">
        <v>33688</v>
      </c>
      <c r="I22" s="329">
        <v>34125</v>
      </c>
      <c r="J22" s="329">
        <v>35875</v>
      </c>
      <c r="K22" s="329">
        <v>37526</v>
      </c>
      <c r="L22" s="329">
        <v>38288</v>
      </c>
      <c r="N22" s="559">
        <f t="shared" si="6"/>
        <v>32.429441062534579</v>
      </c>
      <c r="O22" s="419">
        <f t="shared" si="9"/>
        <v>9376</v>
      </c>
      <c r="P22" s="559">
        <f t="shared" si="7"/>
        <v>1.1761628500632382</v>
      </c>
      <c r="Q22" s="559">
        <f t="shared" si="7"/>
        <v>1.1856624999556677</v>
      </c>
      <c r="R22" s="559">
        <f t="shared" si="7"/>
        <v>1.1534797243973036</v>
      </c>
      <c r="S22" s="559">
        <f t="shared" si="7"/>
        <v>1.1608583999904607</v>
      </c>
      <c r="T22" s="559">
        <f t="shared" si="7"/>
        <v>1.1474962108023925</v>
      </c>
      <c r="U22" s="559">
        <f t="shared" si="7"/>
        <v>1.1536668711836482</v>
      </c>
      <c r="V22" s="559">
        <f t="shared" si="7"/>
        <v>1.1605246613212992</v>
      </c>
      <c r="W22" s="559">
        <f t="shared" si="7"/>
        <v>1.1677274022932969</v>
      </c>
      <c r="X22" s="559">
        <f t="shared" si="7"/>
        <v>1.1395592391333695</v>
      </c>
      <c r="Y22" s="559">
        <f t="shared" si="7"/>
        <v>1.1384852678926281</v>
      </c>
      <c r="Z22" s="559">
        <f t="shared" si="7"/>
        <v>1.141516026780071</v>
      </c>
      <c r="AA22" s="2">
        <f t="shared" si="8"/>
        <v>14</v>
      </c>
      <c r="AB22" s="2">
        <f t="shared" si="8"/>
        <v>15</v>
      </c>
      <c r="AC22" s="2">
        <f t="shared" si="8"/>
        <v>15</v>
      </c>
      <c r="AD22" s="2">
        <f t="shared" si="8"/>
        <v>15</v>
      </c>
      <c r="AE22" s="2">
        <f t="shared" si="8"/>
        <v>15</v>
      </c>
      <c r="AF22" s="2">
        <f t="shared" si="8"/>
        <v>15</v>
      </c>
      <c r="AG22" s="2">
        <f t="shared" si="8"/>
        <v>15</v>
      </c>
      <c r="AH22" s="2">
        <f t="shared" si="8"/>
        <v>15</v>
      </c>
      <c r="AI22" s="2">
        <f t="shared" si="8"/>
        <v>15</v>
      </c>
      <c r="AJ22" s="2">
        <f t="shared" si="8"/>
        <v>15</v>
      </c>
      <c r="AK22" s="2">
        <f t="shared" si="8"/>
        <v>15</v>
      </c>
    </row>
    <row r="23" spans="1:37" s="18" customFormat="1" ht="15" customHeight="1">
      <c r="A23" s="17" t="s">
        <v>30</v>
      </c>
      <c r="B23" s="330">
        <v>69006</v>
      </c>
      <c r="C23" s="330">
        <v>71421</v>
      </c>
      <c r="D23" s="330">
        <v>74659</v>
      </c>
      <c r="E23" s="330">
        <v>78428</v>
      </c>
      <c r="F23" s="330">
        <v>81948</v>
      </c>
      <c r="G23" s="330">
        <v>84583</v>
      </c>
      <c r="H23" s="330">
        <v>85158</v>
      </c>
      <c r="I23" s="330">
        <v>85989</v>
      </c>
      <c r="J23" s="330">
        <v>92990</v>
      </c>
      <c r="K23" s="330">
        <v>97106</v>
      </c>
      <c r="L23" s="330">
        <v>101052</v>
      </c>
      <c r="N23" s="559">
        <f t="shared" si="6"/>
        <v>46.439440048691424</v>
      </c>
      <c r="O23" s="419">
        <f t="shared" si="9"/>
        <v>32046</v>
      </c>
      <c r="P23" s="559">
        <f t="shared" si="7"/>
        <v>2.8072182357313165</v>
      </c>
      <c r="Q23" s="559">
        <f t="shared" si="7"/>
        <v>2.8144509907382926</v>
      </c>
      <c r="R23" s="559">
        <f t="shared" si="7"/>
        <v>2.8259382668431545</v>
      </c>
      <c r="S23" s="559">
        <f t="shared" si="7"/>
        <v>2.8338719019656944</v>
      </c>
      <c r="T23" s="559">
        <f t="shared" si="7"/>
        <v>2.8474751539133498</v>
      </c>
      <c r="U23" s="559">
        <f t="shared" si="7"/>
        <v>2.8863169949516836</v>
      </c>
      <c r="V23" s="559">
        <f t="shared" si="7"/>
        <v>2.9336250032296127</v>
      </c>
      <c r="W23" s="559">
        <f t="shared" si="7"/>
        <v>2.9424677390710126</v>
      </c>
      <c r="X23" s="559">
        <f t="shared" si="7"/>
        <v>2.9538010772686283</v>
      </c>
      <c r="Y23" s="559">
        <f t="shared" si="7"/>
        <v>2.9460574115008673</v>
      </c>
      <c r="Z23" s="559">
        <f t="shared" si="7"/>
        <v>3.0127579799984257</v>
      </c>
      <c r="AA23" s="2">
        <f t="shared" si="8"/>
        <v>10</v>
      </c>
      <c r="AB23" s="2">
        <f t="shared" si="8"/>
        <v>10</v>
      </c>
      <c r="AC23" s="2">
        <f t="shared" si="8"/>
        <v>10</v>
      </c>
      <c r="AD23" s="2">
        <f t="shared" si="8"/>
        <v>10</v>
      </c>
      <c r="AE23" s="2">
        <f t="shared" si="8"/>
        <v>10</v>
      </c>
      <c r="AF23" s="2">
        <f t="shared" si="8"/>
        <v>10</v>
      </c>
      <c r="AG23" s="2">
        <f t="shared" si="8"/>
        <v>10</v>
      </c>
      <c r="AH23" s="2">
        <f t="shared" si="8"/>
        <v>10</v>
      </c>
      <c r="AI23" s="2">
        <f t="shared" si="8"/>
        <v>10</v>
      </c>
      <c r="AJ23" s="2">
        <f t="shared" si="8"/>
        <v>10</v>
      </c>
      <c r="AK23" s="2">
        <f t="shared" si="8"/>
        <v>10</v>
      </c>
    </row>
    <row r="24" spans="1:37" ht="15" customHeight="1">
      <c r="A24" s="19" t="s">
        <v>769</v>
      </c>
      <c r="B24" s="161"/>
      <c r="C24" s="16"/>
      <c r="D24" s="16"/>
      <c r="E24" s="16"/>
      <c r="F24" s="16"/>
      <c r="G24" s="16"/>
      <c r="H24" s="16"/>
      <c r="I24" s="16"/>
      <c r="J24" s="16"/>
      <c r="K24" s="16"/>
      <c r="L24" s="16"/>
    </row>
    <row r="25" spans="1:37">
      <c r="A25" s="62"/>
      <c r="B25" s="161"/>
      <c r="C25" s="161"/>
      <c r="D25" s="195"/>
      <c r="E25" s="204"/>
      <c r="F25" s="204"/>
      <c r="G25" s="204"/>
      <c r="H25" s="204"/>
      <c r="I25" s="204"/>
      <c r="J25" s="204"/>
      <c r="K25" s="204"/>
      <c r="L25" s="204"/>
    </row>
    <row r="26" spans="1:37">
      <c r="A26" s="62"/>
      <c r="B26" s="161"/>
      <c r="C26" s="161"/>
      <c r="D26" s="195"/>
      <c r="E26" s="204"/>
      <c r="F26" s="204"/>
      <c r="G26" s="204"/>
      <c r="H26" s="204"/>
      <c r="I26" s="204"/>
      <c r="J26" s="204"/>
      <c r="K26" s="204"/>
      <c r="L26" s="204"/>
    </row>
    <row r="27" spans="1:37">
      <c r="A27" s="62"/>
      <c r="B27" s="161"/>
      <c r="C27" s="161"/>
      <c r="D27" s="195"/>
      <c r="E27" s="204"/>
      <c r="F27" s="204"/>
      <c r="G27" s="204"/>
      <c r="H27" s="204"/>
      <c r="I27" s="204"/>
      <c r="J27" s="204"/>
      <c r="K27" s="204"/>
      <c r="L27" s="204"/>
    </row>
    <row r="28" spans="1:37">
      <c r="A28" s="62"/>
    </row>
    <row r="29" spans="1:37">
      <c r="A29" s="62"/>
    </row>
    <row r="30" spans="1:37">
      <c r="A30" s="62"/>
    </row>
    <row r="31" spans="1:37">
      <c r="A31" s="62"/>
    </row>
    <row r="32" spans="1:37">
      <c r="A32" s="62"/>
    </row>
  </sheetData>
  <mergeCells count="1">
    <mergeCell ref="A1:L1"/>
  </mergeCells>
  <phoneticPr fontId="24" type="noConversion"/>
  <conditionalFormatting sqref="A1 A2:E4 A25:E1048576 A5:H23 M24:XFD1048576 M1:XFD3 M4:M5 M10:M23 AL4:XFD23 B24:E24">
    <cfRule type="cellIs" dxfId="1741" priority="32" operator="equal">
      <formula>0</formula>
    </cfRule>
  </conditionalFormatting>
  <conditionalFormatting sqref="M5">
    <cfRule type="cellIs" dxfId="1740" priority="31" operator="equal">
      <formula>0</formula>
    </cfRule>
  </conditionalFormatting>
  <conditionalFormatting sqref="M5">
    <cfRule type="containsText" dxfId="1739" priority="30" operator="containsText" text="FALSO">
      <formula>NOT(ISERROR(SEARCH("FALSO",M5)))</formula>
    </cfRule>
  </conditionalFormatting>
  <conditionalFormatting sqref="M5">
    <cfRule type="containsText" dxfId="1738" priority="26" operator="containsText" text="FALSO">
      <formula>NOT(ISERROR(SEARCH("FALSO",M5)))</formula>
    </cfRule>
  </conditionalFormatting>
  <conditionalFormatting sqref="A24">
    <cfRule type="cellIs" dxfId="1737"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EA2BF-994F-4054-BAB4-7E70034AF8F2}">
  <sheetPr>
    <tabColor indexed="25"/>
    <pageSetUpPr fitToPage="1"/>
  </sheetPr>
  <dimension ref="A1:AK34"/>
  <sheetViews>
    <sheetView showGridLines="0" workbookViewId="0">
      <selection activeCell="Y70" sqref="Y70"/>
    </sheetView>
  </sheetViews>
  <sheetFormatPr defaultColWidth="9.140625" defaultRowHeight="17.45" customHeight="1"/>
  <cols>
    <col min="1" max="1" width="24.42578125" style="2" customWidth="1"/>
    <col min="2" max="12" width="7.5703125" style="2" customWidth="1"/>
    <col min="13" max="14" width="5.85546875" style="2" bestFit="1" customWidth="1"/>
    <col min="15" max="16384" width="9.140625" style="2"/>
  </cols>
  <sheetData>
    <row r="1" spans="1:37" s="1" customFormat="1" ht="28.5" customHeight="1">
      <c r="A1" s="988" t="s">
        <v>579</v>
      </c>
      <c r="B1" s="988"/>
      <c r="C1" s="988"/>
      <c r="D1" s="988"/>
      <c r="E1" s="988"/>
      <c r="F1" s="988"/>
      <c r="G1" s="988"/>
      <c r="H1" s="988"/>
      <c r="I1" s="988"/>
      <c r="J1" s="988"/>
      <c r="K1" s="988"/>
      <c r="L1" s="988"/>
    </row>
    <row r="2" spans="1:37" ht="15" customHeight="1">
      <c r="A2" s="9"/>
      <c r="B2" s="172"/>
      <c r="C2" s="172"/>
      <c r="D2" s="172"/>
      <c r="E2" s="172"/>
      <c r="F2" s="172"/>
      <c r="G2" s="172"/>
      <c r="H2" s="172"/>
      <c r="I2" s="172"/>
      <c r="J2" s="172"/>
      <c r="K2" s="172"/>
      <c r="L2" s="172"/>
    </row>
    <row r="3" spans="1:37" ht="15" customHeight="1">
      <c r="A3" s="11" t="s">
        <v>41</v>
      </c>
      <c r="B3" s="172"/>
      <c r="C3" s="172"/>
      <c r="D3" s="172"/>
      <c r="E3" s="172"/>
      <c r="F3" s="172"/>
      <c r="G3" s="172"/>
      <c r="H3" s="172"/>
      <c r="I3" s="172"/>
      <c r="J3" s="172"/>
      <c r="K3" s="172"/>
      <c r="L3" s="172"/>
    </row>
    <row r="4" spans="1:37" ht="20.25" customHeight="1" thickBot="1">
      <c r="A4" s="13"/>
      <c r="B4" s="14">
        <v>2014</v>
      </c>
      <c r="C4" s="14">
        <v>2015</v>
      </c>
      <c r="D4" s="14">
        <v>2016</v>
      </c>
      <c r="E4" s="14">
        <v>2017</v>
      </c>
      <c r="F4" s="14">
        <v>2018</v>
      </c>
      <c r="G4" s="14">
        <v>2019</v>
      </c>
      <c r="H4" s="14">
        <v>2020</v>
      </c>
      <c r="I4" s="14">
        <v>2021</v>
      </c>
      <c r="J4" s="14">
        <v>2022</v>
      </c>
      <c r="K4" s="14">
        <v>2023</v>
      </c>
      <c r="L4" s="14">
        <v>2024</v>
      </c>
      <c r="O4" s="649"/>
      <c r="P4" s="560">
        <f>+B4</f>
        <v>2014</v>
      </c>
      <c r="Q4" s="560">
        <f t="shared" ref="Q4:W4" si="0">+C4</f>
        <v>2015</v>
      </c>
      <c r="R4" s="560">
        <f t="shared" si="0"/>
        <v>2016</v>
      </c>
      <c r="S4" s="560">
        <f t="shared" si="0"/>
        <v>2017</v>
      </c>
      <c r="T4" s="560">
        <f t="shared" si="0"/>
        <v>2018</v>
      </c>
      <c r="U4" s="560">
        <f t="shared" si="0"/>
        <v>2019</v>
      </c>
      <c r="V4" s="560">
        <f t="shared" si="0"/>
        <v>2020</v>
      </c>
      <c r="W4" s="560">
        <f t="shared" si="0"/>
        <v>2021</v>
      </c>
      <c r="X4" s="560">
        <f>+J4</f>
        <v>2022</v>
      </c>
      <c r="Y4" s="560">
        <f t="shared" ref="Y4:Z4" si="1">+K4</f>
        <v>2023</v>
      </c>
      <c r="Z4" s="560">
        <f t="shared" si="1"/>
        <v>2024</v>
      </c>
      <c r="AA4" s="560">
        <f>+B4</f>
        <v>2014</v>
      </c>
      <c r="AB4" s="560">
        <f t="shared" ref="AB4:AJ4" si="2">+C4</f>
        <v>2015</v>
      </c>
      <c r="AC4" s="560">
        <f t="shared" si="2"/>
        <v>2016</v>
      </c>
      <c r="AD4" s="560">
        <f t="shared" si="2"/>
        <v>2017</v>
      </c>
      <c r="AE4" s="560">
        <f t="shared" si="2"/>
        <v>2018</v>
      </c>
      <c r="AF4" s="560">
        <f t="shared" si="2"/>
        <v>2019</v>
      </c>
      <c r="AG4" s="560">
        <f t="shared" si="2"/>
        <v>2020</v>
      </c>
      <c r="AH4" s="560">
        <f t="shared" si="2"/>
        <v>2021</v>
      </c>
      <c r="AI4" s="560">
        <f t="shared" si="2"/>
        <v>2022</v>
      </c>
      <c r="AJ4" s="560">
        <f t="shared" si="2"/>
        <v>2023</v>
      </c>
      <c r="AK4" s="560">
        <f>+L4</f>
        <v>2024</v>
      </c>
    </row>
    <row r="5" spans="1:37" ht="21" customHeight="1" thickTop="1">
      <c r="A5" s="113" t="s">
        <v>11</v>
      </c>
      <c r="B5" s="328">
        <v>2458163</v>
      </c>
      <c r="C5" s="328">
        <v>2537653.0000000028</v>
      </c>
      <c r="D5" s="328">
        <v>2641918.9999999977</v>
      </c>
      <c r="E5" s="328">
        <v>2767520.9999999977</v>
      </c>
      <c r="F5" s="328">
        <v>2877918.0000000005</v>
      </c>
      <c r="G5" s="328">
        <v>2930481.9999999995</v>
      </c>
      <c r="H5" s="328">
        <v>2902824.9999999981</v>
      </c>
      <c r="I5" s="328">
        <v>2922343.0000000014</v>
      </c>
      <c r="J5" s="328">
        <v>3148146.9999999995</v>
      </c>
      <c r="K5" s="328">
        <v>3296133.9999999981</v>
      </c>
      <c r="L5" s="328">
        <v>3354135.9999999991</v>
      </c>
    </row>
    <row r="6" spans="1:37" ht="15" customHeight="1">
      <c r="A6" s="15" t="s">
        <v>496</v>
      </c>
      <c r="B6" s="328">
        <v>898201.00000000035</v>
      </c>
      <c r="C6" s="328">
        <v>934106</v>
      </c>
      <c r="D6" s="328">
        <v>969358.00000000047</v>
      </c>
      <c r="E6" s="328">
        <v>1020482.9999999999</v>
      </c>
      <c r="F6" s="328">
        <v>1048977.9999999998</v>
      </c>
      <c r="G6" s="328">
        <v>1063143</v>
      </c>
      <c r="H6" s="328">
        <v>1057089.9999999993</v>
      </c>
      <c r="I6" s="328">
        <v>1067824.0000000007</v>
      </c>
      <c r="J6" s="328">
        <v>1142574.9999999998</v>
      </c>
      <c r="K6" s="328">
        <v>1186032</v>
      </c>
      <c r="L6" s="328">
        <v>1196817.9999999998</v>
      </c>
      <c r="N6" s="559">
        <f>+(L6/B6-1)*100</f>
        <v>33.246121970472011</v>
      </c>
      <c r="O6" s="419">
        <f t="shared" ref="O6:O33" si="3">+L6-B6</f>
        <v>298616.99999999942</v>
      </c>
      <c r="P6" s="559">
        <f>B6*100/B$5</f>
        <v>36.539521585834635</v>
      </c>
      <c r="Q6" s="559">
        <f t="shared" ref="Q6:Z21" si="4">C6*100/C$5</f>
        <v>36.809839643166299</v>
      </c>
      <c r="R6" s="559">
        <f t="shared" si="4"/>
        <v>36.691435278674376</v>
      </c>
      <c r="S6" s="559">
        <f t="shared" si="4"/>
        <v>36.873541338981738</v>
      </c>
      <c r="T6" s="559">
        <f t="shared" si="4"/>
        <v>36.449196954187002</v>
      </c>
      <c r="U6" s="559">
        <f t="shared" si="4"/>
        <v>36.278775982927044</v>
      </c>
      <c r="V6" s="559">
        <f t="shared" si="4"/>
        <v>36.41590519580064</v>
      </c>
      <c r="W6" s="559">
        <f t="shared" si="4"/>
        <v>36.539995476232605</v>
      </c>
      <c r="X6" s="559">
        <f t="shared" si="4"/>
        <v>36.293572060008628</v>
      </c>
      <c r="Y6" s="559">
        <f t="shared" si="4"/>
        <v>35.982517701040088</v>
      </c>
      <c r="Z6" s="559">
        <f t="shared" si="4"/>
        <v>35.681856668900728</v>
      </c>
      <c r="AA6" s="2">
        <f>+IFERROR(RANK(B6,(B$6,B$15,B$22,B$26,B$27,B$28,B$33),0),"")</f>
        <v>1</v>
      </c>
      <c r="AB6" s="2">
        <f>+IFERROR(RANK(C6,(C$6,C$15,C$22,C$26,C$27,C$28,C$33),0),"")</f>
        <v>1</v>
      </c>
      <c r="AC6" s="2">
        <f>+IFERROR(RANK(D6,(D$6,D$15,D$22,D$26,D$27,D$28,D$33),0),"")</f>
        <v>1</v>
      </c>
      <c r="AD6" s="2">
        <f>+IFERROR(RANK(E6,(E$6,E$15,E$22,E$26,E$27,E$28,E$33),0),"")</f>
        <v>1</v>
      </c>
      <c r="AE6" s="2">
        <f>+IFERROR(RANK(F6,(F$6,F$15,F$22,F$26,F$27,F$28,F$33),0),"")</f>
        <v>1</v>
      </c>
      <c r="AF6" s="2">
        <f>+IFERROR(RANK(G6,(G$6,G$15,G$22,G$26,G$27,G$28,G$33),0),"")</f>
        <v>1</v>
      </c>
      <c r="AG6" s="2">
        <f>+IFERROR(RANK(H6,(H$6,H$15,H$22,H$26,H$27,H$28,H$33),0),"")</f>
        <v>1</v>
      </c>
      <c r="AH6" s="2">
        <f>+IFERROR(RANK(I6,(I$6,I$15,I$22,I$26,I$27,I$28,I$33),0),"")</f>
        <v>1</v>
      </c>
      <c r="AI6" s="2">
        <f>+IFERROR(RANK(J6,(J$6,J$15,J$22,J$26,J$27,J$28,J$33),0),"")</f>
        <v>1</v>
      </c>
      <c r="AJ6" s="2">
        <f>+IFERROR(RANK(K6,(K$6,K$15,K$22,K$26,K$27,K$28,K$33),0),"")</f>
        <v>1</v>
      </c>
      <c r="AK6" s="2">
        <f>+IFERROR(RANK(L6,(L$6,L$15,L$22,L$26,L$27,L$28,L$33),0),"")</f>
        <v>1</v>
      </c>
    </row>
    <row r="7" spans="1:37" ht="15" customHeight="1">
      <c r="A7" s="572" t="s">
        <v>497</v>
      </c>
      <c r="B7" s="646">
        <v>50225</v>
      </c>
      <c r="C7" s="646">
        <v>52609</v>
      </c>
      <c r="D7" s="646">
        <v>52622.000000000007</v>
      </c>
      <c r="E7" s="646">
        <v>55356</v>
      </c>
      <c r="F7" s="646">
        <v>58686</v>
      </c>
      <c r="G7" s="646">
        <v>59295.000000000007</v>
      </c>
      <c r="H7" s="646">
        <v>60629</v>
      </c>
      <c r="I7" s="646">
        <v>60893</v>
      </c>
      <c r="J7" s="646">
        <v>64187</v>
      </c>
      <c r="K7" s="646">
        <v>68117</v>
      </c>
      <c r="L7" s="646">
        <v>68763</v>
      </c>
      <c r="N7" s="559">
        <f t="shared" ref="N7:N33" si="5">+(L7/B7-1)*100</f>
        <v>36.909905425584874</v>
      </c>
      <c r="O7" s="419">
        <f t="shared" si="3"/>
        <v>18538</v>
      </c>
      <c r="P7" s="559">
        <f t="shared" ref="P7:Z23" si="6">B7*100/B$5</f>
        <v>2.0431924164508213</v>
      </c>
      <c r="Q7" s="559">
        <f t="shared" si="4"/>
        <v>2.0731360828292891</v>
      </c>
      <c r="R7" s="559">
        <f t="shared" si="4"/>
        <v>1.9918097413281806</v>
      </c>
      <c r="S7" s="559">
        <f t="shared" si="4"/>
        <v>2.0002016244863201</v>
      </c>
      <c r="T7" s="559">
        <f t="shared" si="4"/>
        <v>2.0391824923434227</v>
      </c>
      <c r="U7" s="559">
        <f t="shared" si="4"/>
        <v>2.0233872789527463</v>
      </c>
      <c r="V7" s="559">
        <f t="shared" si="4"/>
        <v>2.0886205678950689</v>
      </c>
      <c r="W7" s="559">
        <f t="shared" si="4"/>
        <v>2.0837047533434636</v>
      </c>
      <c r="X7" s="559">
        <f t="shared" si="4"/>
        <v>2.0388819200628183</v>
      </c>
      <c r="Y7" s="559">
        <f t="shared" si="4"/>
        <v>2.0665725361893674</v>
      </c>
      <c r="Z7" s="559">
        <f t="shared" si="4"/>
        <v>2.0500957623662255</v>
      </c>
      <c r="AA7" s="2" t="str">
        <f>+IFERROR(RANK(B7,(B$6,B$15,B$22,B$26,B$27,B$28,B$33),0),"")</f>
        <v/>
      </c>
      <c r="AB7" s="2" t="str">
        <f>+IFERROR(RANK(C7,(C$6,C$15,C$22,C$26,C$27,C$28,C$33),0),"")</f>
        <v/>
      </c>
      <c r="AC7" s="2" t="str">
        <f>+IFERROR(RANK(D7,(D$6,D$15,D$22,D$26,D$27,D$28,D$33),0),"")</f>
        <v/>
      </c>
      <c r="AD7" s="2" t="str">
        <f>+IFERROR(RANK(E7,(E$6,E$15,E$22,E$26,E$27,E$28,E$33),0),"")</f>
        <v/>
      </c>
      <c r="AE7" s="2" t="str">
        <f>+IFERROR(RANK(F7,(F$6,F$15,F$22,F$26,F$27,F$28,F$33),0),"")</f>
        <v/>
      </c>
      <c r="AF7" s="2" t="str">
        <f>+IFERROR(RANK(G7,(G$6,G$15,G$22,G$26,G$27,G$28,G$33),0),"")</f>
        <v/>
      </c>
      <c r="AG7" s="2" t="str">
        <f>+IFERROR(RANK(H7,(H$6,H$15,H$22,H$26,H$27,H$28,H$33),0),"")</f>
        <v/>
      </c>
      <c r="AH7" s="2" t="str">
        <f>+IFERROR(RANK(I7,(I$6,I$15,I$22,I$26,I$27,I$28,I$33),0),"")</f>
        <v/>
      </c>
      <c r="AI7" s="2" t="str">
        <f>+IFERROR(RANK(J7,(J$6,J$15,J$22,J$26,J$27,J$28,J$33),0),"")</f>
        <v/>
      </c>
      <c r="AJ7" s="2" t="str">
        <f>+IFERROR(RANK(K7,(K$6,K$15,K$22,K$26,K$27,K$28,K$33),0),"")</f>
        <v/>
      </c>
      <c r="AK7" s="2" t="str">
        <f>+IFERROR(RANK(L7,(L$6,L$15,L$22,L$26,L$27,L$28,L$33),0),"")</f>
        <v/>
      </c>
    </row>
    <row r="8" spans="1:37" ht="15" customHeight="1">
      <c r="A8" s="572" t="s">
        <v>498</v>
      </c>
      <c r="B8" s="646">
        <v>104058</v>
      </c>
      <c r="C8" s="646">
        <v>107920</v>
      </c>
      <c r="D8" s="646">
        <v>113517</v>
      </c>
      <c r="E8" s="646">
        <v>120158.00000000001</v>
      </c>
      <c r="F8" s="646">
        <v>126435</v>
      </c>
      <c r="G8" s="646">
        <v>129738.99999999999</v>
      </c>
      <c r="H8" s="646">
        <v>129449</v>
      </c>
      <c r="I8" s="646">
        <v>132064</v>
      </c>
      <c r="J8" s="646">
        <v>143159</v>
      </c>
      <c r="K8" s="646">
        <v>149790</v>
      </c>
      <c r="L8" s="646">
        <v>150659</v>
      </c>
      <c r="N8" s="559">
        <f t="shared" si="5"/>
        <v>44.783678333237241</v>
      </c>
      <c r="O8" s="419">
        <f t="shared" si="3"/>
        <v>46601</v>
      </c>
      <c r="P8" s="559">
        <f t="shared" si="6"/>
        <v>4.2331611044507627</v>
      </c>
      <c r="Q8" s="559">
        <f t="shared" si="4"/>
        <v>4.2527485042281148</v>
      </c>
      <c r="R8" s="559">
        <f t="shared" si="4"/>
        <v>4.2967630725998829</v>
      </c>
      <c r="S8" s="559">
        <f t="shared" si="4"/>
        <v>4.3417195388941989</v>
      </c>
      <c r="T8" s="559">
        <f t="shared" si="4"/>
        <v>4.3932801421027277</v>
      </c>
      <c r="U8" s="559">
        <f t="shared" si="4"/>
        <v>4.4272239174306476</v>
      </c>
      <c r="V8" s="559">
        <f t="shared" si="4"/>
        <v>4.4594145358400894</v>
      </c>
      <c r="W8" s="559">
        <f t="shared" si="4"/>
        <v>4.5191136016545608</v>
      </c>
      <c r="X8" s="559">
        <f t="shared" si="4"/>
        <v>4.5474051878771871</v>
      </c>
      <c r="Y8" s="559">
        <f t="shared" si="4"/>
        <v>4.5444147598368296</v>
      </c>
      <c r="Z8" s="559">
        <f t="shared" si="4"/>
        <v>4.4917379617284467</v>
      </c>
      <c r="AA8" s="2" t="str">
        <f>+IFERROR(RANK(B8,(B$6,B$15,B$22,B$26,B$27,B$28,B$33),0),"")</f>
        <v/>
      </c>
      <c r="AB8" s="2" t="str">
        <f>+IFERROR(RANK(C8,(C$6,C$15,C$22,C$26,C$27,C$28,C$33),0),"")</f>
        <v/>
      </c>
      <c r="AC8" s="2" t="str">
        <f>+IFERROR(RANK(D8,(D$6,D$15,D$22,D$26,D$27,D$28,D$33),0),"")</f>
        <v/>
      </c>
      <c r="AD8" s="2" t="str">
        <f>+IFERROR(RANK(E8,(E$6,E$15,E$22,E$26,E$27,E$28,E$33),0),"")</f>
        <v/>
      </c>
      <c r="AE8" s="2" t="str">
        <f>+IFERROR(RANK(F8,(F$6,F$15,F$22,F$26,F$27,F$28,F$33),0),"")</f>
        <v/>
      </c>
      <c r="AF8" s="2" t="str">
        <f>+IFERROR(RANK(G8,(G$6,G$15,G$22,G$26,G$27,G$28,G$33),0),"")</f>
        <v/>
      </c>
      <c r="AG8" s="2" t="str">
        <f>+IFERROR(RANK(H8,(H$6,H$15,H$22,H$26,H$27,H$28,H$33),0),"")</f>
        <v/>
      </c>
      <c r="AH8" s="2" t="str">
        <f>+IFERROR(RANK(I8,(I$6,I$15,I$22,I$26,I$27,I$28,I$33),0),"")</f>
        <v/>
      </c>
      <c r="AI8" s="2" t="str">
        <f>+IFERROR(RANK(J8,(J$6,J$15,J$22,J$26,J$27,J$28,J$33),0),"")</f>
        <v/>
      </c>
      <c r="AJ8" s="2" t="str">
        <f>+IFERROR(RANK(K8,(K$6,K$15,K$22,K$26,K$27,K$28,K$33),0),"")</f>
        <v/>
      </c>
      <c r="AK8" s="2" t="str">
        <f>+IFERROR(RANK(L8,(L$6,L$15,L$22,L$26,L$27,L$28,L$33),0),"")</f>
        <v/>
      </c>
    </row>
    <row r="9" spans="1:37" ht="15" customHeight="1">
      <c r="A9" s="572" t="s">
        <v>499</v>
      </c>
      <c r="B9" s="646">
        <v>117573.99999999999</v>
      </c>
      <c r="C9" s="646">
        <v>122620.00000000001</v>
      </c>
      <c r="D9" s="646">
        <v>128328</v>
      </c>
      <c r="E9" s="646">
        <v>132997</v>
      </c>
      <c r="F9" s="646">
        <v>136304</v>
      </c>
      <c r="G9" s="646">
        <v>130389.99999999999</v>
      </c>
      <c r="H9" s="646">
        <v>132409.00000000003</v>
      </c>
      <c r="I9" s="646">
        <v>132536</v>
      </c>
      <c r="J9" s="646">
        <v>140262</v>
      </c>
      <c r="K9" s="646">
        <v>141278</v>
      </c>
      <c r="L9" s="646">
        <v>140354</v>
      </c>
      <c r="M9" s="393"/>
      <c r="N9" s="559">
        <f t="shared" si="5"/>
        <v>19.375031894806693</v>
      </c>
      <c r="O9" s="419">
        <f t="shared" si="3"/>
        <v>22780.000000000015</v>
      </c>
      <c r="P9" s="559">
        <f t="shared" si="6"/>
        <v>4.7830025917727985</v>
      </c>
      <c r="Q9" s="559">
        <f t="shared" si="4"/>
        <v>4.8320239213162663</v>
      </c>
      <c r="R9" s="559">
        <f t="shared" si="4"/>
        <v>4.8573782920672475</v>
      </c>
      <c r="S9" s="559">
        <f t="shared" si="4"/>
        <v>4.8056365245286345</v>
      </c>
      <c r="T9" s="559">
        <f t="shared" si="4"/>
        <v>4.7362016568922387</v>
      </c>
      <c r="U9" s="559">
        <f t="shared" si="4"/>
        <v>4.4494386930204657</v>
      </c>
      <c r="V9" s="559">
        <f t="shared" si="4"/>
        <v>4.5613841688699841</v>
      </c>
      <c r="W9" s="559">
        <f t="shared" si="4"/>
        <v>4.5352650253580755</v>
      </c>
      <c r="X9" s="559">
        <f t="shared" si="4"/>
        <v>4.4553828013749044</v>
      </c>
      <c r="Y9" s="559">
        <f t="shared" si="4"/>
        <v>4.2861728315657093</v>
      </c>
      <c r="Z9" s="559">
        <f t="shared" si="4"/>
        <v>4.1845053390798714</v>
      </c>
      <c r="AA9" s="2" t="str">
        <f>+IFERROR(RANK(B9,(B$6,B$15,B$22,B$26,B$27,B$28,B$33),0),"")</f>
        <v/>
      </c>
      <c r="AB9" s="2" t="str">
        <f>+IFERROR(RANK(C9,(C$6,C$15,C$22,C$26,C$27,C$28,C$33),0),"")</f>
        <v/>
      </c>
      <c r="AC9" s="2" t="str">
        <f>+IFERROR(RANK(D9,(D$6,D$15,D$22,D$26,D$27,D$28,D$33),0),"")</f>
        <v/>
      </c>
      <c r="AD9" s="2" t="str">
        <f>+IFERROR(RANK(E9,(E$6,E$15,E$22,E$26,E$27,E$28,E$33),0),"")</f>
        <v/>
      </c>
      <c r="AE9" s="2" t="str">
        <f>+IFERROR(RANK(F9,(F$6,F$15,F$22,F$26,F$27,F$28,F$33),0),"")</f>
        <v/>
      </c>
      <c r="AF9" s="2" t="str">
        <f>+IFERROR(RANK(G9,(G$6,G$15,G$22,G$26,G$27,G$28,G$33),0),"")</f>
        <v/>
      </c>
      <c r="AG9" s="2" t="str">
        <f>+IFERROR(RANK(H9,(H$6,H$15,H$22,H$26,H$27,H$28,H$33),0),"")</f>
        <v/>
      </c>
      <c r="AH9" s="2" t="str">
        <f>+IFERROR(RANK(I9,(I$6,I$15,I$22,I$26,I$27,I$28,I$33),0),"")</f>
        <v/>
      </c>
      <c r="AI9" s="2" t="str">
        <f>+IFERROR(RANK(J9,(J$6,J$15,J$22,J$26,J$27,J$28,J$33),0),"")</f>
        <v/>
      </c>
      <c r="AJ9" s="2" t="str">
        <f>+IFERROR(RANK(K9,(K$6,K$15,K$22,K$26,K$27,K$28,K$33),0),"")</f>
        <v/>
      </c>
      <c r="AK9" s="2" t="str">
        <f>+IFERROR(RANK(L9,(L$6,L$15,L$22,L$26,L$27,L$28,L$33),0),"")</f>
        <v/>
      </c>
    </row>
    <row r="10" spans="1:37" ht="15" customHeight="1">
      <c r="A10" s="572" t="s">
        <v>500</v>
      </c>
      <c r="B10" s="646">
        <v>466468</v>
      </c>
      <c r="C10" s="646">
        <v>484890</v>
      </c>
      <c r="D10" s="646">
        <v>503447</v>
      </c>
      <c r="E10" s="646">
        <v>534642</v>
      </c>
      <c r="F10" s="646">
        <v>546000</v>
      </c>
      <c r="G10" s="646">
        <v>561884</v>
      </c>
      <c r="H10" s="646">
        <v>551846</v>
      </c>
      <c r="I10" s="646">
        <v>554585</v>
      </c>
      <c r="J10" s="646">
        <v>598036</v>
      </c>
      <c r="K10" s="646">
        <v>622620</v>
      </c>
      <c r="L10" s="646">
        <v>631342.00000000012</v>
      </c>
      <c r="M10" s="393"/>
      <c r="N10" s="559">
        <f t="shared" si="5"/>
        <v>35.345189809376024</v>
      </c>
      <c r="O10" s="419">
        <f t="shared" si="3"/>
        <v>164874.00000000012</v>
      </c>
      <c r="P10" s="559">
        <f t="shared" si="6"/>
        <v>18.976284322886645</v>
      </c>
      <c r="Q10" s="559">
        <f t="shared" si="4"/>
        <v>19.107813400807732</v>
      </c>
      <c r="R10" s="559">
        <f t="shared" si="4"/>
        <v>19.056110350090236</v>
      </c>
      <c r="S10" s="559">
        <f t="shared" si="4"/>
        <v>19.318444196087416</v>
      </c>
      <c r="T10" s="559">
        <f t="shared" si="4"/>
        <v>18.972048543426183</v>
      </c>
      <c r="U10" s="559">
        <f t="shared" si="4"/>
        <v>19.173774143639172</v>
      </c>
      <c r="V10" s="559">
        <f t="shared" si="4"/>
        <v>19.01065341520761</v>
      </c>
      <c r="W10" s="559">
        <f t="shared" si="4"/>
        <v>18.977409564859421</v>
      </c>
      <c r="X10" s="559">
        <f t="shared" si="4"/>
        <v>18.996444575173907</v>
      </c>
      <c r="Y10" s="559">
        <f t="shared" si="4"/>
        <v>18.889401947857714</v>
      </c>
      <c r="Z10" s="559">
        <f t="shared" si="4"/>
        <v>18.822790727627034</v>
      </c>
      <c r="AA10" s="2" t="str">
        <f>+IFERROR(RANK(B10,(B$6,B$15,B$22,B$26,B$27,B$28,B$33),0),"")</f>
        <v/>
      </c>
      <c r="AB10" s="2" t="str">
        <f>+IFERROR(RANK(C10,(C$6,C$15,C$22,C$26,C$27,C$28,C$33),0),"")</f>
        <v/>
      </c>
      <c r="AC10" s="2" t="str">
        <f>+IFERROR(RANK(D10,(D$6,D$15,D$22,D$26,D$27,D$28,D$33),0),"")</f>
        <v/>
      </c>
      <c r="AD10" s="2" t="str">
        <f>+IFERROR(RANK(E10,(E$6,E$15,E$22,E$26,E$27,E$28,E$33),0),"")</f>
        <v/>
      </c>
      <c r="AE10" s="2" t="str">
        <f>+IFERROR(RANK(F10,(F$6,F$15,F$22,F$26,F$27,F$28,F$33),0),"")</f>
        <v/>
      </c>
      <c r="AF10" s="2" t="str">
        <f>+IFERROR(RANK(G10,(G$6,G$15,G$22,G$26,G$27,G$28,G$33),0),"")</f>
        <v/>
      </c>
      <c r="AG10" s="2" t="str">
        <f>+IFERROR(RANK(H10,(H$6,H$15,H$22,H$26,H$27,H$28,H$33),0),"")</f>
        <v/>
      </c>
      <c r="AH10" s="2" t="str">
        <f>+IFERROR(RANK(I10,(I$6,I$15,I$22,I$26,I$27,I$28,I$33),0),"")</f>
        <v/>
      </c>
      <c r="AI10" s="2" t="str">
        <f>+IFERROR(RANK(J10,(J$6,J$15,J$22,J$26,J$27,J$28,J$33),0),"")</f>
        <v/>
      </c>
      <c r="AJ10" s="2" t="str">
        <f>+IFERROR(RANK(K10,(K$6,K$15,K$22,K$26,K$27,K$28,K$33),0),"")</f>
        <v/>
      </c>
      <c r="AK10" s="2" t="str">
        <f>+IFERROR(RANK(L10,(L$6,L$15,L$22,L$26,L$27,L$28,L$33),0),"")</f>
        <v/>
      </c>
    </row>
    <row r="11" spans="1:37" ht="15" customHeight="1">
      <c r="A11" s="572" t="s">
        <v>501</v>
      </c>
      <c r="B11" s="646">
        <v>11285</v>
      </c>
      <c r="C11" s="646">
        <v>11800</v>
      </c>
      <c r="D11" s="646">
        <v>12071</v>
      </c>
      <c r="E11" s="646">
        <v>13249.000000000002</v>
      </c>
      <c r="F11" s="646">
        <v>13543.999999999998</v>
      </c>
      <c r="G11" s="646">
        <v>13822.999999999998</v>
      </c>
      <c r="H11" s="646">
        <v>13398</v>
      </c>
      <c r="I11" s="646">
        <v>13653</v>
      </c>
      <c r="J11" s="646">
        <v>14446</v>
      </c>
      <c r="K11" s="646">
        <v>14953</v>
      </c>
      <c r="L11" s="646">
        <v>15712.999999999998</v>
      </c>
      <c r="M11" s="393"/>
      <c r="N11" s="559">
        <f t="shared" si="5"/>
        <v>39.237926451041183</v>
      </c>
      <c r="O11" s="419">
        <f t="shared" si="3"/>
        <v>4427.9999999999982</v>
      </c>
      <c r="P11" s="559">
        <f t="shared" si="6"/>
        <v>0.45908265643897495</v>
      </c>
      <c r="Q11" s="559">
        <f t="shared" si="4"/>
        <v>0.46499659330885612</v>
      </c>
      <c r="R11" s="559">
        <f t="shared" si="4"/>
        <v>0.45690272866049303</v>
      </c>
      <c r="S11" s="559">
        <f t="shared" si="4"/>
        <v>0.47873168803416538</v>
      </c>
      <c r="T11" s="559">
        <f t="shared" si="4"/>
        <v>0.47061799537026405</v>
      </c>
      <c r="U11" s="559">
        <f t="shared" si="4"/>
        <v>0.47169714743171942</v>
      </c>
      <c r="V11" s="559">
        <f t="shared" si="4"/>
        <v>0.46155038626165917</v>
      </c>
      <c r="W11" s="559">
        <f t="shared" si="4"/>
        <v>0.4671936182713663</v>
      </c>
      <c r="X11" s="559">
        <f t="shared" si="4"/>
        <v>0.45887310853019259</v>
      </c>
      <c r="Y11" s="559">
        <f t="shared" si="4"/>
        <v>0.45365267310127588</v>
      </c>
      <c r="Z11" s="559">
        <f t="shared" si="4"/>
        <v>0.46846639492256731</v>
      </c>
      <c r="AA11" s="2" t="str">
        <f>+IFERROR(RANK(B11,(B$6,B$15,B$22,B$26,B$27,B$28,B$33),0),"")</f>
        <v/>
      </c>
      <c r="AB11" s="2" t="str">
        <f>+IFERROR(RANK(C11,(C$6,C$15,C$22,C$26,C$27,C$28,C$33),0),"")</f>
        <v/>
      </c>
      <c r="AC11" s="2" t="str">
        <f>+IFERROR(RANK(D11,(D$6,D$15,D$22,D$26,D$27,D$28,D$33),0),"")</f>
        <v/>
      </c>
      <c r="AD11" s="2" t="str">
        <f>+IFERROR(RANK(E11,(E$6,E$15,E$22,E$26,E$27,E$28,E$33),0),"")</f>
        <v/>
      </c>
      <c r="AE11" s="2" t="str">
        <f>+IFERROR(RANK(F11,(F$6,F$15,F$22,F$26,F$27,F$28,F$33),0),"")</f>
        <v/>
      </c>
      <c r="AF11" s="2" t="str">
        <f>+IFERROR(RANK(G11,(G$6,G$15,G$22,G$26,G$27,G$28,G$33),0),"")</f>
        <v/>
      </c>
      <c r="AG11" s="2" t="str">
        <f>+IFERROR(RANK(H11,(H$6,H$15,H$22,H$26,H$27,H$28,H$33),0),"")</f>
        <v/>
      </c>
      <c r="AH11" s="2" t="str">
        <f>+IFERROR(RANK(I11,(I$6,I$15,I$22,I$26,I$27,I$28,I$33),0),"")</f>
        <v/>
      </c>
      <c r="AI11" s="2" t="str">
        <f>+IFERROR(RANK(J11,(J$6,J$15,J$22,J$26,J$27,J$28,J$33),0),"")</f>
        <v/>
      </c>
      <c r="AJ11" s="2" t="str">
        <f>+IFERROR(RANK(K11,(K$6,K$15,K$22,K$26,K$27,K$28,K$33),0),"")</f>
        <v/>
      </c>
      <c r="AK11" s="2" t="str">
        <f>+IFERROR(RANK(L11,(L$6,L$15,L$22,L$26,L$27,L$28,L$33),0),"")</f>
        <v/>
      </c>
    </row>
    <row r="12" spans="1:37" ht="15" customHeight="1">
      <c r="A12" s="572" t="s">
        <v>502</v>
      </c>
      <c r="B12" s="646">
        <v>102491</v>
      </c>
      <c r="C12" s="646">
        <v>106598</v>
      </c>
      <c r="D12" s="646">
        <v>110512</v>
      </c>
      <c r="E12" s="646">
        <v>114101</v>
      </c>
      <c r="F12" s="646">
        <v>116671</v>
      </c>
      <c r="G12" s="646">
        <v>116470.00000000001</v>
      </c>
      <c r="H12" s="646">
        <v>116377</v>
      </c>
      <c r="I12" s="646">
        <v>120140</v>
      </c>
      <c r="J12" s="646">
        <v>126317.99999999999</v>
      </c>
      <c r="K12" s="646">
        <v>130339.99999999999</v>
      </c>
      <c r="L12" s="646">
        <v>130073</v>
      </c>
      <c r="M12" s="393"/>
      <c r="N12" s="559">
        <f t="shared" si="5"/>
        <v>26.911631265184255</v>
      </c>
      <c r="O12" s="419">
        <f t="shared" si="3"/>
        <v>27582</v>
      </c>
      <c r="P12" s="559">
        <f t="shared" si="6"/>
        <v>4.169414314673193</v>
      </c>
      <c r="Q12" s="559">
        <f t="shared" si="4"/>
        <v>4.2006531231811399</v>
      </c>
      <c r="R12" s="559">
        <f t="shared" si="4"/>
        <v>4.183019994178478</v>
      </c>
      <c r="S12" s="559">
        <f t="shared" si="4"/>
        <v>4.1228594110035699</v>
      </c>
      <c r="T12" s="559">
        <f t="shared" si="4"/>
        <v>4.0540070981869523</v>
      </c>
      <c r="U12" s="559">
        <f t="shared" si="4"/>
        <v>3.9744315099017853</v>
      </c>
      <c r="V12" s="559">
        <f t="shared" si="4"/>
        <v>4.0090945888918581</v>
      </c>
      <c r="W12" s="559">
        <f t="shared" si="4"/>
        <v>4.1110848384327214</v>
      </c>
      <c r="X12" s="559">
        <f t="shared" si="4"/>
        <v>4.0124555810132119</v>
      </c>
      <c r="Y12" s="559">
        <f t="shared" si="4"/>
        <v>3.9543295266515273</v>
      </c>
      <c r="Z12" s="559">
        <f t="shared" si="4"/>
        <v>3.8779882509236367</v>
      </c>
      <c r="AA12" s="2" t="str">
        <f>+IFERROR(RANK(B12,(B$6,B$15,B$22,B$26,B$27,B$28,B$33),0),"")</f>
        <v/>
      </c>
      <c r="AB12" s="2" t="str">
        <f>+IFERROR(RANK(C12,(C$6,C$15,C$22,C$26,C$27,C$28,C$33),0),"")</f>
        <v/>
      </c>
      <c r="AC12" s="2" t="str">
        <f>+IFERROR(RANK(D12,(D$6,D$15,D$22,D$26,D$27,D$28,D$33),0),"")</f>
        <v/>
      </c>
      <c r="AD12" s="2" t="str">
        <f>+IFERROR(RANK(E12,(E$6,E$15,E$22,E$26,E$27,E$28,E$33),0),"")</f>
        <v/>
      </c>
      <c r="AE12" s="2" t="str">
        <f>+IFERROR(RANK(F12,(F$6,F$15,F$22,F$26,F$27,F$28,F$33),0),"")</f>
        <v/>
      </c>
      <c r="AF12" s="2" t="str">
        <f>+IFERROR(RANK(G12,(G$6,G$15,G$22,G$26,G$27,G$28,G$33),0),"")</f>
        <v/>
      </c>
      <c r="AG12" s="2" t="str">
        <f>+IFERROR(RANK(H12,(H$6,H$15,H$22,H$26,H$27,H$28,H$33),0),"")</f>
        <v/>
      </c>
      <c r="AH12" s="2" t="str">
        <f>+IFERROR(RANK(I12,(I$6,I$15,I$22,I$26,I$27,I$28,I$33),0),"")</f>
        <v/>
      </c>
      <c r="AI12" s="2" t="str">
        <f>+IFERROR(RANK(J12,(J$6,J$15,J$22,J$26,J$27,J$28,J$33),0),"")</f>
        <v/>
      </c>
      <c r="AJ12" s="2" t="str">
        <f>+IFERROR(RANK(K12,(K$6,K$15,K$22,K$26,K$27,K$28,K$33),0),"")</f>
        <v/>
      </c>
      <c r="AK12" s="2" t="str">
        <f>+IFERROR(RANK(L12,(L$6,L$15,L$22,L$26,L$27,L$28,L$33),0),"")</f>
        <v/>
      </c>
    </row>
    <row r="13" spans="1:37" ht="15" customHeight="1">
      <c r="A13" s="572" t="s">
        <v>503</v>
      </c>
      <c r="B13" s="646">
        <v>30403.000000000004</v>
      </c>
      <c r="C13" s="646">
        <v>31414</v>
      </c>
      <c r="D13" s="646">
        <v>32095.000000000004</v>
      </c>
      <c r="E13" s="646">
        <v>32842</v>
      </c>
      <c r="F13" s="646">
        <v>33778.999999999993</v>
      </c>
      <c r="G13" s="646">
        <v>33925</v>
      </c>
      <c r="H13" s="646">
        <v>34875.000000000007</v>
      </c>
      <c r="I13" s="646">
        <v>35549.000000000007</v>
      </c>
      <c r="J13" s="646">
        <v>37314</v>
      </c>
      <c r="K13" s="646">
        <v>39343</v>
      </c>
      <c r="L13" s="646">
        <v>40207</v>
      </c>
      <c r="M13" s="393"/>
      <c r="N13" s="559">
        <f t="shared" si="5"/>
        <v>32.24681774824851</v>
      </c>
      <c r="O13" s="419">
        <f t="shared" si="3"/>
        <v>9803.9999999999964</v>
      </c>
      <c r="P13" s="559">
        <f t="shared" si="6"/>
        <v>1.2368179001962036</v>
      </c>
      <c r="Q13" s="559">
        <f t="shared" si="4"/>
        <v>1.2379155069664751</v>
      </c>
      <c r="R13" s="559">
        <f t="shared" si="4"/>
        <v>1.2148366395790344</v>
      </c>
      <c r="S13" s="559">
        <f t="shared" si="4"/>
        <v>1.1866937956387693</v>
      </c>
      <c r="T13" s="559">
        <f t="shared" si="4"/>
        <v>1.1737304537516353</v>
      </c>
      <c r="U13" s="559">
        <f t="shared" si="4"/>
        <v>1.1576593884555513</v>
      </c>
      <c r="V13" s="559">
        <f t="shared" si="4"/>
        <v>1.2014158621343014</v>
      </c>
      <c r="W13" s="559">
        <f t="shared" si="4"/>
        <v>1.2164554263479679</v>
      </c>
      <c r="X13" s="559">
        <f t="shared" si="4"/>
        <v>1.1852686675685731</v>
      </c>
      <c r="Y13" s="559">
        <f t="shared" si="4"/>
        <v>1.1936104539439241</v>
      </c>
      <c r="Z13" s="559">
        <f t="shared" si="4"/>
        <v>1.1987289722301067</v>
      </c>
      <c r="AA13" s="2" t="str">
        <f>+IFERROR(RANK(B13,(B$6,B$15,B$22,B$26,B$27,B$28,B$33),0),"")</f>
        <v/>
      </c>
      <c r="AB13" s="2" t="str">
        <f>+IFERROR(RANK(C13,(C$6,C$15,C$22,C$26,C$27,C$28,C$33),0),"")</f>
        <v/>
      </c>
      <c r="AC13" s="2" t="str">
        <f>+IFERROR(RANK(D13,(D$6,D$15,D$22,D$26,D$27,D$28,D$33),0),"")</f>
        <v/>
      </c>
      <c r="AD13" s="2" t="str">
        <f>+IFERROR(RANK(E13,(E$6,E$15,E$22,E$26,E$27,E$28,E$33),0),"")</f>
        <v/>
      </c>
      <c r="AE13" s="2" t="str">
        <f>+IFERROR(RANK(F13,(F$6,F$15,F$22,F$26,F$27,F$28,F$33),0),"")</f>
        <v/>
      </c>
      <c r="AF13" s="2" t="str">
        <f>+IFERROR(RANK(G13,(G$6,G$15,G$22,G$26,G$27,G$28,G$33),0),"")</f>
        <v/>
      </c>
      <c r="AG13" s="2" t="str">
        <f>+IFERROR(RANK(H13,(H$6,H$15,H$22,H$26,H$27,H$28,H$33),0),"")</f>
        <v/>
      </c>
      <c r="AH13" s="2" t="str">
        <f>+IFERROR(RANK(I13,(I$6,I$15,I$22,I$26,I$27,I$28,I$33),0),"")</f>
        <v/>
      </c>
      <c r="AI13" s="2" t="str">
        <f>+IFERROR(RANK(J13,(J$6,J$15,J$22,J$26,J$27,J$28,J$33),0),"")</f>
        <v/>
      </c>
      <c r="AJ13" s="2" t="str">
        <f>+IFERROR(RANK(K13,(K$6,K$15,K$22,K$26,K$27,K$28,K$33),0),"")</f>
        <v/>
      </c>
      <c r="AK13" s="2" t="str">
        <f>+IFERROR(RANK(L13,(L$6,L$15,L$22,L$26,L$27,L$28,L$33),0),"")</f>
        <v/>
      </c>
    </row>
    <row r="14" spans="1:37" ht="15" customHeight="1">
      <c r="A14" s="572" t="s">
        <v>504</v>
      </c>
      <c r="B14" s="646">
        <v>15696.999999999998</v>
      </c>
      <c r="C14" s="646">
        <v>16254.999999999998</v>
      </c>
      <c r="D14" s="646">
        <v>16766</v>
      </c>
      <c r="E14" s="646">
        <v>17138.000000000004</v>
      </c>
      <c r="F14" s="646">
        <v>17559</v>
      </c>
      <c r="G14" s="646">
        <v>17617</v>
      </c>
      <c r="H14" s="646">
        <v>18107</v>
      </c>
      <c r="I14" s="646">
        <v>18404</v>
      </c>
      <c r="J14" s="646">
        <v>18853</v>
      </c>
      <c r="K14" s="646">
        <v>19591</v>
      </c>
      <c r="L14" s="646">
        <v>19707</v>
      </c>
      <c r="M14" s="393"/>
      <c r="N14" s="559">
        <f t="shared" si="5"/>
        <v>25.546282729183933</v>
      </c>
      <c r="O14" s="419">
        <f t="shared" si="3"/>
        <v>4010.0000000000018</v>
      </c>
      <c r="P14" s="559">
        <f t="shared" si="6"/>
        <v>0.63856627896522722</v>
      </c>
      <c r="Q14" s="559">
        <f t="shared" si="4"/>
        <v>0.64055251052842843</v>
      </c>
      <c r="R14" s="559">
        <f t="shared" si="4"/>
        <v>0.63461446017080825</v>
      </c>
      <c r="S14" s="559">
        <f t="shared" si="4"/>
        <v>0.61925456030866677</v>
      </c>
      <c r="T14" s="559">
        <f t="shared" si="4"/>
        <v>0.61012857211359039</v>
      </c>
      <c r="U14" s="559">
        <f t="shared" si="4"/>
        <v>0.6011639040949579</v>
      </c>
      <c r="V14" s="559">
        <f t="shared" si="4"/>
        <v>0.62377167070009432</v>
      </c>
      <c r="W14" s="559">
        <f t="shared" si="4"/>
        <v>0.62976864796500587</v>
      </c>
      <c r="X14" s="559">
        <f t="shared" si="4"/>
        <v>0.59886021840784442</v>
      </c>
      <c r="Y14" s="559">
        <f t="shared" si="4"/>
        <v>0.5943629718937401</v>
      </c>
      <c r="Z14" s="559">
        <f t="shared" si="4"/>
        <v>0.58754326002284951</v>
      </c>
      <c r="AA14" s="2" t="str">
        <f>+IFERROR(RANK(B14,(B$6,B$15,B$22,B$26,B$27,B$28,B$33),0),"")</f>
        <v/>
      </c>
      <c r="AB14" s="2" t="str">
        <f>+IFERROR(RANK(C14,(C$6,C$15,C$22,C$26,C$27,C$28,C$33),0),"")</f>
        <v/>
      </c>
      <c r="AC14" s="2" t="str">
        <f>+IFERROR(RANK(D14,(D$6,D$15,D$22,D$26,D$27,D$28,D$33),0),"")</f>
        <v/>
      </c>
      <c r="AD14" s="2" t="str">
        <f>+IFERROR(RANK(E14,(E$6,E$15,E$22,E$26,E$27,E$28,E$33),0),"")</f>
        <v/>
      </c>
      <c r="AE14" s="2" t="str">
        <f>+IFERROR(RANK(F14,(F$6,F$15,F$22,F$26,F$27,F$28,F$33),0),"")</f>
        <v/>
      </c>
      <c r="AF14" s="2" t="str">
        <f>+IFERROR(RANK(G14,(G$6,G$15,G$22,G$26,G$27,G$28,G$33),0),"")</f>
        <v/>
      </c>
      <c r="AG14" s="2" t="str">
        <f>+IFERROR(RANK(H14,(H$6,H$15,H$22,H$26,H$27,H$28,H$33),0),"")</f>
        <v/>
      </c>
      <c r="AH14" s="2" t="str">
        <f>+IFERROR(RANK(I14,(I$6,I$15,I$22,I$26,I$27,I$28,I$33),0),"")</f>
        <v/>
      </c>
      <c r="AI14" s="2" t="str">
        <f>+IFERROR(RANK(J14,(J$6,J$15,J$22,J$26,J$27,J$28,J$33),0),"")</f>
        <v/>
      </c>
      <c r="AJ14" s="2" t="str">
        <f>+IFERROR(RANK(K14,(K$6,K$15,K$22,K$26,K$27,K$28,K$33),0),"")</f>
        <v/>
      </c>
      <c r="AK14" s="2" t="str">
        <f>+IFERROR(RANK(L14,(L$6,L$15,L$22,L$26,L$27,L$28,L$33),0),"")</f>
        <v/>
      </c>
    </row>
    <row r="15" spans="1:37" ht="15" customHeight="1">
      <c r="A15" s="15" t="s">
        <v>505</v>
      </c>
      <c r="B15" s="647">
        <v>385062.00000000006</v>
      </c>
      <c r="C15" s="647">
        <v>394749.00000000006</v>
      </c>
      <c r="D15" s="647">
        <v>407291</v>
      </c>
      <c r="E15" s="647">
        <v>423923.00000000012</v>
      </c>
      <c r="F15" s="647">
        <v>439199</v>
      </c>
      <c r="G15" s="647">
        <v>442560.99999999988</v>
      </c>
      <c r="H15" s="647">
        <v>444343.99999999994</v>
      </c>
      <c r="I15" s="647">
        <v>445473.00000000006</v>
      </c>
      <c r="J15" s="647">
        <v>473399</v>
      </c>
      <c r="K15" s="647">
        <v>490775.99999999988</v>
      </c>
      <c r="L15" s="647">
        <v>497594.00000000012</v>
      </c>
      <c r="M15" s="393"/>
      <c r="N15" s="559">
        <f t="shared" si="5"/>
        <v>29.224384644550749</v>
      </c>
      <c r="O15" s="419">
        <f t="shared" si="3"/>
        <v>112532.00000000006</v>
      </c>
      <c r="P15" s="559">
        <f t="shared" si="6"/>
        <v>15.664624355667224</v>
      </c>
      <c r="Q15" s="559">
        <f t="shared" si="4"/>
        <v>15.555672899328618</v>
      </c>
      <c r="R15" s="559">
        <f t="shared" si="4"/>
        <v>15.41648324570134</v>
      </c>
      <c r="S15" s="559">
        <f t="shared" si="4"/>
        <v>15.317788013171374</v>
      </c>
      <c r="T15" s="559">
        <f t="shared" si="4"/>
        <v>15.260997707370395</v>
      </c>
      <c r="U15" s="559">
        <f t="shared" si="4"/>
        <v>15.1019866356456</v>
      </c>
      <c r="V15" s="559">
        <f t="shared" si="4"/>
        <v>15.307295479403692</v>
      </c>
      <c r="W15" s="559">
        <f t="shared" si="4"/>
        <v>15.243693159906275</v>
      </c>
      <c r="X15" s="559">
        <f t="shared" si="4"/>
        <v>15.037385484222943</v>
      </c>
      <c r="Y15" s="559">
        <f t="shared" si="4"/>
        <v>14.889443208316171</v>
      </c>
      <c r="Z15" s="559">
        <f t="shared" si="4"/>
        <v>14.835236257563805</v>
      </c>
      <c r="AA15" s="2">
        <f>+IFERROR(RANK(B15,(B$6,B$15,B$22,B$26,B$27,B$28,B$33),0),"")</f>
        <v>3</v>
      </c>
      <c r="AB15" s="2">
        <f>+IFERROR(RANK(C15,(C$6,C$15,C$22,C$26,C$27,C$28,C$33),0),"")</f>
        <v>3</v>
      </c>
      <c r="AC15" s="2">
        <f>+IFERROR(RANK(D15,(D$6,D$15,D$22,D$26,D$27,D$28,D$33),0),"")</f>
        <v>3</v>
      </c>
      <c r="AD15" s="2">
        <f>+IFERROR(RANK(E15,(E$6,E$15,E$22,E$26,E$27,E$28,E$33),0),"")</f>
        <v>3</v>
      </c>
      <c r="AE15" s="2">
        <f>+IFERROR(RANK(F15,(F$6,F$15,F$22,F$26,F$27,F$28,F$33),0),"")</f>
        <v>3</v>
      </c>
      <c r="AF15" s="2">
        <f>+IFERROR(RANK(G15,(G$6,G$15,G$22,G$26,G$27,G$28,G$33),0),"")</f>
        <v>3</v>
      </c>
      <c r="AG15" s="2">
        <f>+IFERROR(RANK(H15,(H$6,H$15,H$22,H$26,H$27,H$28,H$33),0),"")</f>
        <v>3</v>
      </c>
      <c r="AH15" s="2">
        <f>+IFERROR(RANK(I15,(I$6,I$15,I$22,I$26,I$27,I$28,I$33),0),"")</f>
        <v>3</v>
      </c>
      <c r="AI15" s="2">
        <f>+IFERROR(RANK(J15,(J$6,J$15,J$22,J$26,J$27,J$28,J$33),0),"")</f>
        <v>3</v>
      </c>
      <c r="AJ15" s="2">
        <f>+IFERROR(RANK(K15,(K$6,K$15,K$22,K$26,K$27,K$28,K$33),0),"")</f>
        <v>3</v>
      </c>
      <c r="AK15" s="2">
        <f>+IFERROR(RANK(L15,(L$6,L$15,L$22,L$26,L$27,L$28,L$33),0),"")</f>
        <v>3</v>
      </c>
    </row>
    <row r="16" spans="1:37" ht="15" customHeight="1">
      <c r="A16" s="572" t="s">
        <v>506</v>
      </c>
      <c r="B16" s="646">
        <v>98368.000000000015</v>
      </c>
      <c r="C16" s="646">
        <v>101027</v>
      </c>
      <c r="D16" s="646">
        <v>106482</v>
      </c>
      <c r="E16" s="646">
        <v>111036</v>
      </c>
      <c r="F16" s="646">
        <v>117298</v>
      </c>
      <c r="G16" s="646">
        <v>118388.99999999999</v>
      </c>
      <c r="H16" s="646">
        <v>119180</v>
      </c>
      <c r="I16" s="646">
        <v>117165.99999999999</v>
      </c>
      <c r="J16" s="646">
        <v>127100</v>
      </c>
      <c r="K16" s="646">
        <v>131410.00000000003</v>
      </c>
      <c r="L16" s="646">
        <v>131216</v>
      </c>
      <c r="M16" s="393"/>
      <c r="N16" s="559">
        <f t="shared" si="5"/>
        <v>33.392973324658406</v>
      </c>
      <c r="O16" s="419">
        <f t="shared" si="3"/>
        <v>32847.999999999985</v>
      </c>
      <c r="P16" s="559">
        <f t="shared" si="6"/>
        <v>4.0016874389533985</v>
      </c>
      <c r="Q16" s="559">
        <f t="shared" si="4"/>
        <v>3.9811195620520179</v>
      </c>
      <c r="R16" s="559">
        <f t="shared" si="4"/>
        <v>4.0304793598895383</v>
      </c>
      <c r="S16" s="559">
        <f t="shared" si="4"/>
        <v>4.0121104772104745</v>
      </c>
      <c r="T16" s="559">
        <f t="shared" si="4"/>
        <v>4.0757936814044031</v>
      </c>
      <c r="U16" s="559">
        <f t="shared" si="4"/>
        <v>4.0399156179768383</v>
      </c>
      <c r="V16" s="559">
        <f t="shared" si="4"/>
        <v>4.1056556974671254</v>
      </c>
      <c r="W16" s="559">
        <f t="shared" si="4"/>
        <v>4.0093171814533726</v>
      </c>
      <c r="X16" s="559">
        <f t="shared" si="4"/>
        <v>4.0372955900725103</v>
      </c>
      <c r="Y16" s="559">
        <f t="shared" si="4"/>
        <v>3.9867917991198207</v>
      </c>
      <c r="Z16" s="559">
        <f t="shared" si="4"/>
        <v>3.9120655811213392</v>
      </c>
      <c r="AA16" s="2" t="str">
        <f>+IFERROR(RANK(B16,(B$6,B$15,B$22,B$26,B$27,B$28,B$33),0),"")</f>
        <v/>
      </c>
      <c r="AB16" s="2" t="str">
        <f>+IFERROR(RANK(C16,(C$6,C$15,C$22,C$26,C$27,C$28,C$33),0),"")</f>
        <v/>
      </c>
      <c r="AC16" s="2" t="str">
        <f>+IFERROR(RANK(D16,(D$6,D$15,D$22,D$26,D$27,D$28,D$33),0),"")</f>
        <v/>
      </c>
      <c r="AD16" s="2" t="str">
        <f>+IFERROR(RANK(E16,(E$6,E$15,E$22,E$26,E$27,E$28,E$33),0),"")</f>
        <v/>
      </c>
      <c r="AE16" s="2" t="str">
        <f>+IFERROR(RANK(F16,(F$6,F$15,F$22,F$26,F$27,F$28,F$33),0),"")</f>
        <v/>
      </c>
      <c r="AF16" s="2" t="str">
        <f>+IFERROR(RANK(G16,(G$6,G$15,G$22,G$26,G$27,G$28,G$33),0),"")</f>
        <v/>
      </c>
      <c r="AG16" s="2" t="str">
        <f>+IFERROR(RANK(H16,(H$6,H$15,H$22,H$26,H$27,H$28,H$33),0),"")</f>
        <v/>
      </c>
      <c r="AH16" s="2" t="str">
        <f>+IFERROR(RANK(I16,(I$6,I$15,I$22,I$26,I$27,I$28,I$33),0),"")</f>
        <v/>
      </c>
      <c r="AI16" s="2" t="str">
        <f>+IFERROR(RANK(J16,(J$6,J$15,J$22,J$26,J$27,J$28,J$33),0),"")</f>
        <v/>
      </c>
      <c r="AJ16" s="2" t="str">
        <f>+IFERROR(RANK(K16,(K$6,K$15,K$22,K$26,K$27,K$28,K$33),0),"")</f>
        <v/>
      </c>
      <c r="AK16" s="2" t="str">
        <f>+IFERROR(RANK(L16,(L$6,L$15,L$22,L$26,L$27,L$28,L$33),0),"")</f>
        <v/>
      </c>
    </row>
    <row r="17" spans="1:37" ht="15" customHeight="1">
      <c r="A17" s="572" t="s">
        <v>507</v>
      </c>
      <c r="B17" s="646">
        <v>91037</v>
      </c>
      <c r="C17" s="646">
        <v>93998.000000000015</v>
      </c>
      <c r="D17" s="646">
        <v>95633</v>
      </c>
      <c r="E17" s="646">
        <v>100266.00000000001</v>
      </c>
      <c r="F17" s="646">
        <v>101543</v>
      </c>
      <c r="G17" s="646">
        <v>102855.99999999999</v>
      </c>
      <c r="H17" s="646">
        <v>103974.99999999999</v>
      </c>
      <c r="I17" s="646">
        <v>104161.00000000001</v>
      </c>
      <c r="J17" s="646">
        <v>111437</v>
      </c>
      <c r="K17" s="646">
        <v>114228</v>
      </c>
      <c r="L17" s="646">
        <v>117601.00000000003</v>
      </c>
      <c r="M17" s="393"/>
      <c r="N17" s="559">
        <f t="shared" si="5"/>
        <v>29.179344662060515</v>
      </c>
      <c r="O17" s="419">
        <f t="shared" si="3"/>
        <v>26564.000000000029</v>
      </c>
      <c r="P17" s="559">
        <f t="shared" si="6"/>
        <v>3.7034566056034528</v>
      </c>
      <c r="Q17" s="559">
        <f t="shared" si="4"/>
        <v>3.704131337105582</v>
      </c>
      <c r="R17" s="559">
        <f t="shared" si="4"/>
        <v>3.6198308880779497</v>
      </c>
      <c r="S17" s="559">
        <f t="shared" si="4"/>
        <v>3.6229535385639386</v>
      </c>
      <c r="T17" s="559">
        <f t="shared" si="4"/>
        <v>3.5283493136357595</v>
      </c>
      <c r="U17" s="559">
        <f t="shared" si="4"/>
        <v>3.509866295032694</v>
      </c>
      <c r="V17" s="559">
        <f t="shared" si="4"/>
        <v>3.5818556061767435</v>
      </c>
      <c r="W17" s="559">
        <f t="shared" si="4"/>
        <v>3.564297551656324</v>
      </c>
      <c r="X17" s="559">
        <f t="shared" si="4"/>
        <v>3.5397648203848173</v>
      </c>
      <c r="Y17" s="559">
        <f t="shared" si="4"/>
        <v>3.465514448138336</v>
      </c>
      <c r="Z17" s="559">
        <f t="shared" si="4"/>
        <v>3.5061488264041789</v>
      </c>
      <c r="AA17" s="2" t="str">
        <f>+IFERROR(RANK(B17,(B$6,B$15,B$22,B$26,B$27,B$28,B$33),0),"")</f>
        <v/>
      </c>
      <c r="AB17" s="2" t="str">
        <f>+IFERROR(RANK(C17,(C$6,C$15,C$22,C$26,C$27,C$28,C$33),0),"")</f>
        <v/>
      </c>
      <c r="AC17" s="2" t="str">
        <f>+IFERROR(RANK(D17,(D$6,D$15,D$22,D$26,D$27,D$28,D$33),0),"")</f>
        <v/>
      </c>
      <c r="AD17" s="2" t="str">
        <f>+IFERROR(RANK(E17,(E$6,E$15,E$22,E$26,E$27,E$28,E$33),0),"")</f>
        <v/>
      </c>
      <c r="AE17" s="2" t="str">
        <f>+IFERROR(RANK(F17,(F$6,F$15,F$22,F$26,F$27,F$28,F$33),0),"")</f>
        <v/>
      </c>
      <c r="AF17" s="2" t="str">
        <f>+IFERROR(RANK(G17,(G$6,G$15,G$22,G$26,G$27,G$28,G$33),0),"")</f>
        <v/>
      </c>
      <c r="AG17" s="2" t="str">
        <f>+IFERROR(RANK(H17,(H$6,H$15,H$22,H$26,H$27,H$28,H$33),0),"")</f>
        <v/>
      </c>
      <c r="AH17" s="2" t="str">
        <f>+IFERROR(RANK(I17,(I$6,I$15,I$22,I$26,I$27,I$28,I$33),0),"")</f>
        <v/>
      </c>
      <c r="AI17" s="2" t="str">
        <f>+IFERROR(RANK(J17,(J$6,J$15,J$22,J$26,J$27,J$28,J$33),0),"")</f>
        <v/>
      </c>
      <c r="AJ17" s="2" t="str">
        <f>+IFERROR(RANK(K17,(K$6,K$15,K$22,K$26,K$27,K$28,K$33),0),"")</f>
        <v/>
      </c>
      <c r="AK17" s="2" t="str">
        <f>+IFERROR(RANK(L17,(L$6,L$15,L$22,L$26,L$27,L$28,L$33),0),"")</f>
        <v/>
      </c>
    </row>
    <row r="18" spans="1:37" ht="15" customHeight="1">
      <c r="A18" s="572" t="s">
        <v>508</v>
      </c>
      <c r="B18" s="646">
        <v>81138</v>
      </c>
      <c r="C18" s="646">
        <v>83217</v>
      </c>
      <c r="D18" s="646">
        <v>86265</v>
      </c>
      <c r="E18" s="646">
        <v>89775</v>
      </c>
      <c r="F18" s="646">
        <v>91777</v>
      </c>
      <c r="G18" s="646">
        <v>92356.999999999985</v>
      </c>
      <c r="H18" s="646">
        <v>92504</v>
      </c>
      <c r="I18" s="646">
        <v>94709.000000000015</v>
      </c>
      <c r="J18" s="646">
        <v>98098</v>
      </c>
      <c r="K18" s="646">
        <v>101701</v>
      </c>
      <c r="L18" s="646">
        <v>103510</v>
      </c>
      <c r="M18" s="393"/>
      <c r="N18" s="559">
        <f t="shared" si="5"/>
        <v>27.572777243708259</v>
      </c>
      <c r="O18" s="419">
        <f t="shared" si="3"/>
        <v>22372</v>
      </c>
      <c r="P18" s="559">
        <f t="shared" si="6"/>
        <v>3.3007575168937131</v>
      </c>
      <c r="Q18" s="559">
        <f t="shared" si="4"/>
        <v>3.2792899580833121</v>
      </c>
      <c r="R18" s="559">
        <f t="shared" si="4"/>
        <v>3.2652401530856956</v>
      </c>
      <c r="S18" s="559">
        <f t="shared" si="4"/>
        <v>3.2438778242333148</v>
      </c>
      <c r="T18" s="559">
        <f t="shared" si="4"/>
        <v>3.1890067750366753</v>
      </c>
      <c r="U18" s="559">
        <f t="shared" si="4"/>
        <v>3.1515975870181081</v>
      </c>
      <c r="V18" s="559">
        <f t="shared" si="4"/>
        <v>3.1866888289855591</v>
      </c>
      <c r="W18" s="559">
        <f t="shared" si="4"/>
        <v>3.240858448169841</v>
      </c>
      <c r="X18" s="559">
        <f t="shared" si="4"/>
        <v>3.1160552540907402</v>
      </c>
      <c r="Y18" s="559">
        <f t="shared" si="4"/>
        <v>3.0854631516801216</v>
      </c>
      <c r="Z18" s="559">
        <f t="shared" si="4"/>
        <v>3.086040637588936</v>
      </c>
      <c r="AA18" s="2" t="str">
        <f>+IFERROR(RANK(B18,(B$6,B$15,B$22,B$26,B$27,B$28,B$33),0),"")</f>
        <v/>
      </c>
      <c r="AB18" s="2" t="str">
        <f>+IFERROR(RANK(C18,(C$6,C$15,C$22,C$26,C$27,C$28,C$33),0),"")</f>
        <v/>
      </c>
      <c r="AC18" s="2" t="str">
        <f>+IFERROR(RANK(D18,(D$6,D$15,D$22,D$26,D$27,D$28,D$33),0),"")</f>
        <v/>
      </c>
      <c r="AD18" s="2" t="str">
        <f>+IFERROR(RANK(E18,(E$6,E$15,E$22,E$26,E$27,E$28,E$33),0),"")</f>
        <v/>
      </c>
      <c r="AE18" s="2" t="str">
        <f>+IFERROR(RANK(F18,(F$6,F$15,F$22,F$26,F$27,F$28,F$33),0),"")</f>
        <v/>
      </c>
      <c r="AF18" s="2" t="str">
        <f>+IFERROR(RANK(G18,(G$6,G$15,G$22,G$26,G$27,G$28,G$33),0),"")</f>
        <v/>
      </c>
      <c r="AG18" s="2" t="str">
        <f>+IFERROR(RANK(H18,(H$6,H$15,H$22,H$26,H$27,H$28,H$33),0),"")</f>
        <v/>
      </c>
      <c r="AH18" s="2" t="str">
        <f>+IFERROR(RANK(I18,(I$6,I$15,I$22,I$26,I$27,I$28,I$33),0),"")</f>
        <v/>
      </c>
      <c r="AI18" s="2" t="str">
        <f>+IFERROR(RANK(J18,(J$6,J$15,J$22,J$26,J$27,J$28,J$33),0),"")</f>
        <v/>
      </c>
      <c r="AJ18" s="2" t="str">
        <f>+IFERROR(RANK(K18,(K$6,K$15,K$22,K$26,K$27,K$28,K$33),0),"")</f>
        <v/>
      </c>
      <c r="AK18" s="2" t="str">
        <f>+IFERROR(RANK(L18,(L$6,L$15,L$22,L$26,L$27,L$28,L$33),0),"")</f>
        <v/>
      </c>
    </row>
    <row r="19" spans="1:37" ht="15" customHeight="1">
      <c r="A19" s="572" t="s">
        <v>509</v>
      </c>
      <c r="B19" s="646">
        <v>54665</v>
      </c>
      <c r="C19" s="646">
        <v>56306</v>
      </c>
      <c r="D19" s="646">
        <v>58117.000000000007</v>
      </c>
      <c r="E19" s="646">
        <v>60427.000000000007</v>
      </c>
      <c r="F19" s="646">
        <v>63457.999999999993</v>
      </c>
      <c r="G19" s="646">
        <v>65071</v>
      </c>
      <c r="H19" s="646">
        <v>64891</v>
      </c>
      <c r="I19" s="646">
        <v>65303</v>
      </c>
      <c r="J19" s="646">
        <v>69493</v>
      </c>
      <c r="K19" s="646">
        <v>72453</v>
      </c>
      <c r="L19" s="646">
        <v>74675</v>
      </c>
      <c r="M19" s="393"/>
      <c r="N19" s="559">
        <f t="shared" si="5"/>
        <v>36.604774535809014</v>
      </c>
      <c r="O19" s="419">
        <f t="shared" si="3"/>
        <v>20010</v>
      </c>
      <c r="P19" s="559">
        <f t="shared" si="6"/>
        <v>2.2238151009514016</v>
      </c>
      <c r="Q19" s="559">
        <f t="shared" si="4"/>
        <v>2.2188218799024115</v>
      </c>
      <c r="R19" s="559">
        <f t="shared" si="4"/>
        <v>2.1998024920521808</v>
      </c>
      <c r="S19" s="559">
        <f t="shared" si="4"/>
        <v>2.1834341997766256</v>
      </c>
      <c r="T19" s="559">
        <f t="shared" si="4"/>
        <v>2.2049968067193011</v>
      </c>
      <c r="U19" s="559">
        <f t="shared" si="4"/>
        <v>2.220487960683601</v>
      </c>
      <c r="V19" s="559">
        <f t="shared" si="4"/>
        <v>2.2354430597779764</v>
      </c>
      <c r="W19" s="559">
        <f t="shared" si="4"/>
        <v>2.234611063793674</v>
      </c>
      <c r="X19" s="559">
        <f t="shared" si="4"/>
        <v>2.207425510943422</v>
      </c>
      <c r="Y19" s="559">
        <f t="shared" si="4"/>
        <v>2.198120586116949</v>
      </c>
      <c r="Z19" s="559">
        <f t="shared" si="4"/>
        <v>2.2263557589793623</v>
      </c>
      <c r="AA19" s="2" t="str">
        <f>+IFERROR(RANK(B19,(B$6,B$15,B$22,B$26,B$27,B$28,B$33),0),"")</f>
        <v/>
      </c>
      <c r="AB19" s="2" t="str">
        <f>+IFERROR(RANK(C19,(C$6,C$15,C$22,C$26,C$27,C$28,C$33),0),"")</f>
        <v/>
      </c>
      <c r="AC19" s="2" t="str">
        <f>+IFERROR(RANK(D19,(D$6,D$15,D$22,D$26,D$27,D$28,D$33),0),"")</f>
        <v/>
      </c>
      <c r="AD19" s="2" t="str">
        <f>+IFERROR(RANK(E19,(E$6,E$15,E$22,E$26,E$27,E$28,E$33),0),"")</f>
        <v/>
      </c>
      <c r="AE19" s="2" t="str">
        <f>+IFERROR(RANK(F19,(F$6,F$15,F$22,F$26,F$27,F$28,F$33),0),"")</f>
        <v/>
      </c>
      <c r="AF19" s="2" t="str">
        <f>+IFERROR(RANK(G19,(G$6,G$15,G$22,G$26,G$27,G$28,G$33),0),"")</f>
        <v/>
      </c>
      <c r="AG19" s="2" t="str">
        <f>+IFERROR(RANK(H19,(H$6,H$15,H$22,H$26,H$27,H$28,H$33),0),"")</f>
        <v/>
      </c>
      <c r="AH19" s="2" t="str">
        <f>+IFERROR(RANK(I19,(I$6,I$15,I$22,I$26,I$27,I$28,I$33),0),"")</f>
        <v/>
      </c>
      <c r="AI19" s="2" t="str">
        <f>+IFERROR(RANK(J19,(J$6,J$15,J$22,J$26,J$27,J$28,J$33),0),"")</f>
        <v/>
      </c>
      <c r="AJ19" s="2" t="str">
        <f>+IFERROR(RANK(K19,(K$6,K$15,K$22,K$26,K$27,K$28,K$33),0),"")</f>
        <v/>
      </c>
      <c r="AK19" s="2" t="str">
        <f>+IFERROR(RANK(L19,(L$6,L$15,L$22,L$26,L$27,L$28,L$33),0),"")</f>
        <v/>
      </c>
    </row>
    <row r="20" spans="1:37" ht="15" customHeight="1">
      <c r="A20" s="572" t="s">
        <v>510</v>
      </c>
      <c r="B20" s="646">
        <v>19205</v>
      </c>
      <c r="C20" s="646">
        <v>18862</v>
      </c>
      <c r="D20" s="646">
        <v>18976</v>
      </c>
      <c r="E20" s="646">
        <v>19074</v>
      </c>
      <c r="F20" s="646">
        <v>20595</v>
      </c>
      <c r="G20" s="646">
        <v>20454</v>
      </c>
      <c r="H20" s="646">
        <v>20429</v>
      </c>
      <c r="I20" s="646">
        <v>20093</v>
      </c>
      <c r="J20" s="646">
        <v>21005</v>
      </c>
      <c r="K20" s="646">
        <v>21994</v>
      </c>
      <c r="L20" s="646">
        <v>22041</v>
      </c>
      <c r="M20" s="393"/>
      <c r="N20" s="559">
        <f t="shared" si="5"/>
        <v>14.766987763603234</v>
      </c>
      <c r="O20" s="419">
        <f t="shared" si="3"/>
        <v>2836</v>
      </c>
      <c r="P20" s="559">
        <f t="shared" si="6"/>
        <v>0.78127447203460465</v>
      </c>
      <c r="Q20" s="559">
        <f t="shared" si="4"/>
        <v>0.74328523245691902</v>
      </c>
      <c r="R20" s="559">
        <f t="shared" si="4"/>
        <v>0.71826577574861372</v>
      </c>
      <c r="S20" s="559">
        <f t="shared" si="4"/>
        <v>0.68920886237177659</v>
      </c>
      <c r="T20" s="559">
        <f t="shared" si="4"/>
        <v>0.71562150137703706</v>
      </c>
      <c r="U20" s="559">
        <f t="shared" si="4"/>
        <v>0.69797391691878685</v>
      </c>
      <c r="V20" s="559">
        <f t="shared" si="4"/>
        <v>0.70376271390800382</v>
      </c>
      <c r="W20" s="559">
        <f t="shared" si="4"/>
        <v>0.68756473829389608</v>
      </c>
      <c r="X20" s="559">
        <f t="shared" si="4"/>
        <v>0.6672178903971131</v>
      </c>
      <c r="Y20" s="559">
        <f t="shared" si="4"/>
        <v>0.66726656137159512</v>
      </c>
      <c r="Z20" s="559">
        <f t="shared" si="4"/>
        <v>0.6571289894029344</v>
      </c>
      <c r="AA20" s="2" t="str">
        <f>+IFERROR(RANK(B20,(B$6,B$15,B$22,B$26,B$27,B$28,B$33),0),"")</f>
        <v/>
      </c>
      <c r="AB20" s="2" t="str">
        <f>+IFERROR(RANK(C20,(C$6,C$15,C$22,C$26,C$27,C$28,C$33),0),"")</f>
        <v/>
      </c>
      <c r="AC20" s="2" t="str">
        <f>+IFERROR(RANK(D20,(D$6,D$15,D$22,D$26,D$27,D$28,D$33),0),"")</f>
        <v/>
      </c>
      <c r="AD20" s="2" t="str">
        <f>+IFERROR(RANK(E20,(E$6,E$15,E$22,E$26,E$27,E$28,E$33),0),"")</f>
        <v/>
      </c>
      <c r="AE20" s="2" t="str">
        <f>+IFERROR(RANK(F20,(F$6,F$15,F$22,F$26,F$27,F$28,F$33),0),"")</f>
        <v/>
      </c>
      <c r="AF20" s="2" t="str">
        <f>+IFERROR(RANK(G20,(G$6,G$15,G$22,G$26,G$27,G$28,G$33),0),"")</f>
        <v/>
      </c>
      <c r="AG20" s="2" t="str">
        <f>+IFERROR(RANK(H20,(H$6,H$15,H$22,H$26,H$27,H$28,H$33),0),"")</f>
        <v/>
      </c>
      <c r="AH20" s="2" t="str">
        <f>+IFERROR(RANK(I20,(I$6,I$15,I$22,I$26,I$27,I$28,I$33),0),"")</f>
        <v/>
      </c>
      <c r="AI20" s="2" t="str">
        <f>+IFERROR(RANK(J20,(J$6,J$15,J$22,J$26,J$27,J$28,J$33),0),"")</f>
        <v/>
      </c>
      <c r="AJ20" s="2" t="str">
        <f>+IFERROR(RANK(K20,(K$6,K$15,K$22,K$26,K$27,K$28,K$33),0),"")</f>
        <v/>
      </c>
      <c r="AK20" s="2" t="str">
        <f>+IFERROR(RANK(L20,(L$6,L$15,L$22,L$26,L$27,L$28,L$33),0),"")</f>
        <v/>
      </c>
    </row>
    <row r="21" spans="1:37" ht="15" customHeight="1">
      <c r="A21" s="572" t="s">
        <v>511</v>
      </c>
      <c r="B21" s="646">
        <v>40649</v>
      </c>
      <c r="C21" s="646">
        <v>41339</v>
      </c>
      <c r="D21" s="646">
        <v>41818.000000000007</v>
      </c>
      <c r="E21" s="646">
        <v>43345</v>
      </c>
      <c r="F21" s="646">
        <v>44527.999999999993</v>
      </c>
      <c r="G21" s="646">
        <v>43434.000000000007</v>
      </c>
      <c r="H21" s="646">
        <v>43365</v>
      </c>
      <c r="I21" s="646">
        <v>44041.000000000007</v>
      </c>
      <c r="J21" s="646">
        <v>46266</v>
      </c>
      <c r="K21" s="646">
        <v>48989.999999999993</v>
      </c>
      <c r="L21" s="646">
        <v>48551</v>
      </c>
      <c r="M21" s="393"/>
      <c r="N21" s="559">
        <f t="shared" si="5"/>
        <v>19.439592609904309</v>
      </c>
      <c r="O21" s="419">
        <f t="shared" si="3"/>
        <v>7902</v>
      </c>
      <c r="P21" s="559">
        <f t="shared" si="6"/>
        <v>1.6536332212306506</v>
      </c>
      <c r="Q21" s="559">
        <f t="shared" si="4"/>
        <v>1.6290249297283732</v>
      </c>
      <c r="R21" s="559">
        <f t="shared" si="4"/>
        <v>1.5828645768473615</v>
      </c>
      <c r="S21" s="559">
        <f t="shared" si="4"/>
        <v>1.5662031110152383</v>
      </c>
      <c r="T21" s="559">
        <f t="shared" si="4"/>
        <v>1.5472296291972176</v>
      </c>
      <c r="U21" s="559">
        <f t="shared" si="4"/>
        <v>1.4821452580155761</v>
      </c>
      <c r="V21" s="559">
        <f t="shared" si="4"/>
        <v>1.4938895730882857</v>
      </c>
      <c r="W21" s="559">
        <f t="shared" si="4"/>
        <v>1.5070441765391669</v>
      </c>
      <c r="X21" s="559">
        <f t="shared" si="4"/>
        <v>1.469626418334341</v>
      </c>
      <c r="Y21" s="559">
        <f t="shared" si="4"/>
        <v>1.4862866618893533</v>
      </c>
      <c r="Z21" s="559">
        <f t="shared" si="4"/>
        <v>1.4474964640670507</v>
      </c>
      <c r="AA21" s="2" t="str">
        <f>+IFERROR(RANK(B21,(B$6,B$15,B$22,B$26,B$27,B$28,B$33),0),"")</f>
        <v/>
      </c>
      <c r="AB21" s="2" t="str">
        <f>+IFERROR(RANK(C21,(C$6,C$15,C$22,C$26,C$27,C$28,C$33),0),"")</f>
        <v/>
      </c>
      <c r="AC21" s="2" t="str">
        <f>+IFERROR(RANK(D21,(D$6,D$15,D$22,D$26,D$27,D$28,D$33),0),"")</f>
        <v/>
      </c>
      <c r="AD21" s="2" t="str">
        <f>+IFERROR(RANK(E21,(E$6,E$15,E$22,E$26,E$27,E$28,E$33),0),"")</f>
        <v/>
      </c>
      <c r="AE21" s="2" t="str">
        <f>+IFERROR(RANK(F21,(F$6,F$15,F$22,F$26,F$27,F$28,F$33),0),"")</f>
        <v/>
      </c>
      <c r="AF21" s="2" t="str">
        <f>+IFERROR(RANK(G21,(G$6,G$15,G$22,G$26,G$27,G$28,G$33),0),"")</f>
        <v/>
      </c>
      <c r="AG21" s="2" t="str">
        <f>+IFERROR(RANK(H21,(H$6,H$15,H$22,H$26,H$27,H$28,H$33),0),"")</f>
        <v/>
      </c>
      <c r="AH21" s="2" t="str">
        <f>+IFERROR(RANK(I21,(I$6,I$15,I$22,I$26,I$27,I$28,I$33),0),"")</f>
        <v/>
      </c>
      <c r="AI21" s="2" t="str">
        <f>+IFERROR(RANK(J21,(J$6,J$15,J$22,J$26,J$27,J$28,J$33),0),"")</f>
        <v/>
      </c>
      <c r="AJ21" s="2" t="str">
        <f>+IFERROR(RANK(K21,(K$6,K$15,K$22,K$26,K$27,K$28,K$33),0),"")</f>
        <v/>
      </c>
      <c r="AK21" s="2" t="str">
        <f>+IFERROR(RANK(L21,(L$6,L$15,L$22,L$26,L$27,L$28,L$33),0),"")</f>
        <v/>
      </c>
    </row>
    <row r="22" spans="1:37" s="18" customFormat="1" ht="15" customHeight="1">
      <c r="A22" s="15" t="s">
        <v>512</v>
      </c>
      <c r="B22" s="647">
        <v>172345.99999999997</v>
      </c>
      <c r="C22" s="647">
        <v>176637</v>
      </c>
      <c r="D22" s="647">
        <v>181245.00000000003</v>
      </c>
      <c r="E22" s="647">
        <v>192179</v>
      </c>
      <c r="F22" s="647">
        <v>203271.00000000003</v>
      </c>
      <c r="G22" s="647">
        <v>207475</v>
      </c>
      <c r="H22" s="647">
        <v>207244</v>
      </c>
      <c r="I22" s="647">
        <v>205139.99999999994</v>
      </c>
      <c r="J22" s="647">
        <v>217876.00000000006</v>
      </c>
      <c r="K22" s="647">
        <v>228581.00000000006</v>
      </c>
      <c r="L22" s="647">
        <v>232968.00000000003</v>
      </c>
      <c r="M22" s="393"/>
      <c r="N22" s="559">
        <f t="shared" si="5"/>
        <v>35.174590649043246</v>
      </c>
      <c r="O22" s="419">
        <f t="shared" si="3"/>
        <v>60622.000000000058</v>
      </c>
      <c r="P22" s="559">
        <f t="shared" si="6"/>
        <v>7.0111705366975245</v>
      </c>
      <c r="Q22" s="559">
        <f t="shared" si="6"/>
        <v>6.960644343414951</v>
      </c>
      <c r="R22" s="559">
        <f t="shared" si="6"/>
        <v>6.860354159230476</v>
      </c>
      <c r="S22" s="559">
        <f t="shared" si="6"/>
        <v>6.9440846157987659</v>
      </c>
      <c r="T22" s="559">
        <f t="shared" si="6"/>
        <v>7.0631268854776268</v>
      </c>
      <c r="U22" s="559">
        <f t="shared" si="6"/>
        <v>7.0798933417779066</v>
      </c>
      <c r="V22" s="559">
        <f t="shared" si="6"/>
        <v>7.1393900769078442</v>
      </c>
      <c r="W22" s="559">
        <f t="shared" si="6"/>
        <v>7.0197098697859843</v>
      </c>
      <c r="X22" s="559">
        <f t="shared" si="6"/>
        <v>6.9207695828689104</v>
      </c>
      <c r="Y22" s="559">
        <f t="shared" si="6"/>
        <v>6.934821217826709</v>
      </c>
      <c r="Z22" s="559">
        <f t="shared" si="6"/>
        <v>6.9456933171463557</v>
      </c>
      <c r="AA22" s="2">
        <f>+IFERROR(RANK(B22,(B$6,B$15,B$22,B$26,B$27,B$28,B$33),0),"")</f>
        <v>4</v>
      </c>
      <c r="AB22" s="2">
        <f>+IFERROR(RANK(C22,(C$6,C$15,C$22,C$26,C$27,C$28,C$33),0),"")</f>
        <v>4</v>
      </c>
      <c r="AC22" s="2">
        <f>+IFERROR(RANK(D22,(D$6,D$15,D$22,D$26,D$27,D$28,D$33),0),"")</f>
        <v>4</v>
      </c>
      <c r="AD22" s="2">
        <f>+IFERROR(RANK(E22,(E$6,E$15,E$22,E$26,E$27,E$28,E$33),0),"")</f>
        <v>4</v>
      </c>
      <c r="AE22" s="2">
        <f>+IFERROR(RANK(F22,(F$6,F$15,F$22,F$26,F$27,F$28,F$33),0),"")</f>
        <v>4</v>
      </c>
      <c r="AF22" s="2">
        <f>+IFERROR(RANK(G22,(G$6,G$15,G$22,G$26,G$27,G$28,G$33),0),"")</f>
        <v>4</v>
      </c>
      <c r="AG22" s="2">
        <f>+IFERROR(RANK(H22,(H$6,H$15,H$22,H$26,H$27,H$28,H$33),0),"")</f>
        <v>4</v>
      </c>
      <c r="AH22" s="2">
        <f>+IFERROR(RANK(I22,(I$6,I$15,I$22,I$26,I$27,I$28,I$33),0),"")</f>
        <v>4</v>
      </c>
      <c r="AI22" s="2">
        <f>+IFERROR(RANK(J22,(J$6,J$15,J$22,J$26,J$27,J$28,J$33),0),"")</f>
        <v>4</v>
      </c>
      <c r="AJ22" s="2">
        <f>+IFERROR(RANK(K22,(K$6,K$15,K$22,K$26,K$27,K$28,K$33),0),"")</f>
        <v>4</v>
      </c>
      <c r="AK22" s="2">
        <f>+IFERROR(RANK(L22,(L$6,L$15,L$22,L$26,L$27,L$28,L$33),0),"")</f>
        <v>4</v>
      </c>
    </row>
    <row r="23" spans="1:37" ht="15" customHeight="1">
      <c r="A23" s="572" t="s">
        <v>513</v>
      </c>
      <c r="B23" s="646">
        <v>76041</v>
      </c>
      <c r="C23" s="646">
        <v>78135</v>
      </c>
      <c r="D23" s="646">
        <v>80561</v>
      </c>
      <c r="E23" s="646">
        <v>85296.999999999985</v>
      </c>
      <c r="F23" s="646">
        <v>93248</v>
      </c>
      <c r="G23" s="646">
        <v>94993</v>
      </c>
      <c r="H23" s="646">
        <v>93635</v>
      </c>
      <c r="I23" s="646">
        <v>91960</v>
      </c>
      <c r="J23" s="646">
        <v>97506</v>
      </c>
      <c r="K23" s="646">
        <v>103758</v>
      </c>
      <c r="L23" s="646">
        <v>104588.00000000001</v>
      </c>
      <c r="N23" s="559">
        <f t="shared" si="5"/>
        <v>37.541589405715349</v>
      </c>
      <c r="O23" s="419">
        <f t="shared" si="3"/>
        <v>28547.000000000015</v>
      </c>
      <c r="P23" s="559">
        <f t="shared" si="6"/>
        <v>3.0934075567812225</v>
      </c>
      <c r="Q23" s="559">
        <f t="shared" si="6"/>
        <v>3.0790261710328366</v>
      </c>
      <c r="R23" s="559">
        <f t="shared" si="6"/>
        <v>3.0493364860921197</v>
      </c>
      <c r="S23" s="559">
        <f t="shared" si="6"/>
        <v>3.0820723672918851</v>
      </c>
      <c r="T23" s="559">
        <f t="shared" si="6"/>
        <v>3.2401201146106313</v>
      </c>
      <c r="U23" s="559">
        <f t="shared" si="6"/>
        <v>3.2415486599132843</v>
      </c>
      <c r="V23" s="559">
        <f t="shared" si="6"/>
        <v>3.2256508745790757</v>
      </c>
      <c r="W23" s="559">
        <f t="shared" si="6"/>
        <v>3.146790092744074</v>
      </c>
      <c r="X23" s="559">
        <f t="shared" si="6"/>
        <v>3.0972505413501978</v>
      </c>
      <c r="Y23" s="559">
        <f t="shared" si="6"/>
        <v>3.1478695951074824</v>
      </c>
      <c r="Z23" s="559">
        <f t="shared" si="6"/>
        <v>3.1181800618698841</v>
      </c>
      <c r="AA23" s="2" t="str">
        <f>+IFERROR(RANK(B23,(B$6,B$15,B$22,B$26,B$27,B$28,B$33),0),"")</f>
        <v/>
      </c>
      <c r="AB23" s="2" t="str">
        <f>+IFERROR(RANK(C23,(C$6,C$15,C$22,C$26,C$27,C$28,C$33),0),"")</f>
        <v/>
      </c>
      <c r="AC23" s="2" t="str">
        <f>+IFERROR(RANK(D23,(D$6,D$15,D$22,D$26,D$27,D$28,D$33),0),"")</f>
        <v/>
      </c>
      <c r="AD23" s="2" t="str">
        <f>+IFERROR(RANK(E23,(E$6,E$15,E$22,E$26,E$27,E$28,E$33),0),"")</f>
        <v/>
      </c>
      <c r="AE23" s="2" t="str">
        <f>+IFERROR(RANK(F23,(F$6,F$15,F$22,F$26,F$27,F$28,F$33),0),"")</f>
        <v/>
      </c>
      <c r="AF23" s="2" t="str">
        <f>+IFERROR(RANK(G23,(G$6,G$15,G$22,G$26,G$27,G$28,G$33),0),"")</f>
        <v/>
      </c>
      <c r="AG23" s="2" t="str">
        <f>+IFERROR(RANK(H23,(H$6,H$15,H$22,H$26,H$27,H$28,H$33),0),"")</f>
        <v/>
      </c>
      <c r="AH23" s="2" t="str">
        <f>+IFERROR(RANK(I23,(I$6,I$15,I$22,I$26,I$27,I$28,I$33),0),"")</f>
        <v/>
      </c>
      <c r="AI23" s="2" t="str">
        <f>+IFERROR(RANK(J23,(J$6,J$15,J$22,J$26,J$27,J$28,J$33),0),"")</f>
        <v/>
      </c>
      <c r="AJ23" s="2" t="str">
        <f>+IFERROR(RANK(K23,(K$6,K$15,K$22,K$26,K$27,K$28,K$33),0),"")</f>
        <v/>
      </c>
      <c r="AK23" s="2" t="str">
        <f>+IFERROR(RANK(L23,(L$6,L$15,L$22,L$26,L$27,L$28,L$33),0),"")</f>
        <v/>
      </c>
    </row>
    <row r="24" spans="1:37" ht="17.45" customHeight="1">
      <c r="A24" s="572" t="s">
        <v>514</v>
      </c>
      <c r="B24" s="646">
        <v>45874.999999999993</v>
      </c>
      <c r="C24" s="646">
        <v>47312</v>
      </c>
      <c r="D24" s="646">
        <v>47227.000000000007</v>
      </c>
      <c r="E24" s="646">
        <v>49621</v>
      </c>
      <c r="F24" s="646">
        <v>50555</v>
      </c>
      <c r="G24" s="646">
        <v>51812</v>
      </c>
      <c r="H24" s="646">
        <v>50877</v>
      </c>
      <c r="I24" s="646">
        <v>50282</v>
      </c>
      <c r="J24" s="646">
        <v>53904.000000000007</v>
      </c>
      <c r="K24" s="646">
        <v>55728</v>
      </c>
      <c r="L24" s="646">
        <v>55609</v>
      </c>
      <c r="N24" s="559">
        <f t="shared" si="5"/>
        <v>21.218528610354248</v>
      </c>
      <c r="O24" s="419">
        <f t="shared" si="3"/>
        <v>9734.0000000000073</v>
      </c>
      <c r="P24" s="559">
        <f t="shared" ref="P24:Z33" si="7">B24*100/B$5</f>
        <v>1.866231002582009</v>
      </c>
      <c r="Q24" s="559">
        <f t="shared" si="7"/>
        <v>1.8643999002227629</v>
      </c>
      <c r="R24" s="559">
        <f t="shared" si="7"/>
        <v>1.7876021180058908</v>
      </c>
      <c r="S24" s="559">
        <f t="shared" si="7"/>
        <v>1.7929764579925516</v>
      </c>
      <c r="T24" s="559">
        <f t="shared" si="7"/>
        <v>1.7566518573496532</v>
      </c>
      <c r="U24" s="559">
        <f t="shared" si="7"/>
        <v>1.7680367939472077</v>
      </c>
      <c r="V24" s="559">
        <f t="shared" si="7"/>
        <v>1.7526719661019881</v>
      </c>
      <c r="W24" s="559">
        <f t="shared" si="7"/>
        <v>1.7206056920765282</v>
      </c>
      <c r="X24" s="559">
        <f t="shared" si="7"/>
        <v>1.7122453303482974</v>
      </c>
      <c r="Y24" s="559">
        <f t="shared" si="7"/>
        <v>1.6907079627223902</v>
      </c>
      <c r="Z24" s="559">
        <f t="shared" si="7"/>
        <v>1.6579232326894322</v>
      </c>
      <c r="AA24" s="2" t="str">
        <f>+IFERROR(RANK(B24,(B$6,B$15,B$22,B$26,B$27,B$28,B$33),0),"")</f>
        <v/>
      </c>
      <c r="AB24" s="2" t="str">
        <f>+IFERROR(RANK(C24,(C$6,C$15,C$22,C$26,C$27,C$28,C$33),0),"")</f>
        <v/>
      </c>
      <c r="AC24" s="2" t="str">
        <f>+IFERROR(RANK(D24,(D$6,D$15,D$22,D$26,D$27,D$28,D$33),0),"")</f>
        <v/>
      </c>
      <c r="AD24" s="2" t="str">
        <f>+IFERROR(RANK(E24,(E$6,E$15,E$22,E$26,E$27,E$28,E$33),0),"")</f>
        <v/>
      </c>
      <c r="AE24" s="2" t="str">
        <f>+IFERROR(RANK(F24,(F$6,F$15,F$22,F$26,F$27,F$28,F$33),0),"")</f>
        <v/>
      </c>
      <c r="AF24" s="2" t="str">
        <f>+IFERROR(RANK(G24,(G$6,G$15,G$22,G$26,G$27,G$28,G$33),0),"")</f>
        <v/>
      </c>
      <c r="AG24" s="2" t="str">
        <f>+IFERROR(RANK(H24,(H$6,H$15,H$22,H$26,H$27,H$28,H$33),0),"")</f>
        <v/>
      </c>
      <c r="AH24" s="2" t="str">
        <f>+IFERROR(RANK(I24,(I$6,I$15,I$22,I$26,I$27,I$28,I$33),0),"")</f>
        <v/>
      </c>
      <c r="AI24" s="2" t="str">
        <f>+IFERROR(RANK(J24,(J$6,J$15,J$22,J$26,J$27,J$28,J$33),0),"")</f>
        <v/>
      </c>
      <c r="AJ24" s="2" t="str">
        <f>+IFERROR(RANK(K24,(K$6,K$15,K$22,K$26,K$27,K$28,K$33),0),"")</f>
        <v/>
      </c>
      <c r="AK24" s="2" t="str">
        <f>+IFERROR(RANK(L24,(L$6,L$15,L$22,L$26,L$27,L$28,L$33),0),"")</f>
        <v/>
      </c>
    </row>
    <row r="25" spans="1:37" ht="17.45" customHeight="1">
      <c r="A25" s="572" t="s">
        <v>515</v>
      </c>
      <c r="B25" s="646">
        <v>50430.000000000007</v>
      </c>
      <c r="C25" s="646">
        <v>51190</v>
      </c>
      <c r="D25" s="646">
        <v>53456.999999999993</v>
      </c>
      <c r="E25" s="646">
        <v>57260.999999999993</v>
      </c>
      <c r="F25" s="646">
        <v>59468</v>
      </c>
      <c r="G25" s="646">
        <v>60669.999999999993</v>
      </c>
      <c r="H25" s="646">
        <v>62731.999999999993</v>
      </c>
      <c r="I25" s="646">
        <v>62898</v>
      </c>
      <c r="J25" s="646">
        <v>66465.999999999985</v>
      </c>
      <c r="K25" s="646">
        <v>69095</v>
      </c>
      <c r="L25" s="646">
        <v>72771</v>
      </c>
      <c r="N25" s="559">
        <f t="shared" si="5"/>
        <v>44.301011302795935</v>
      </c>
      <c r="O25" s="419">
        <f t="shared" si="3"/>
        <v>22340.999999999993</v>
      </c>
      <c r="P25" s="559">
        <f t="shared" si="7"/>
        <v>2.0515319773342942</v>
      </c>
      <c r="Q25" s="559">
        <f t="shared" si="7"/>
        <v>2.0172182721593512</v>
      </c>
      <c r="R25" s="559">
        <f t="shared" si="7"/>
        <v>2.023415555132464</v>
      </c>
      <c r="S25" s="559">
        <f t="shared" si="7"/>
        <v>2.0690357905143282</v>
      </c>
      <c r="T25" s="559">
        <f t="shared" si="7"/>
        <v>2.0663549135173409</v>
      </c>
      <c r="U25" s="559">
        <f t="shared" si="7"/>
        <v>2.0703078879174144</v>
      </c>
      <c r="V25" s="559">
        <f t="shared" si="7"/>
        <v>2.16106723622678</v>
      </c>
      <c r="W25" s="559">
        <f t="shared" si="7"/>
        <v>2.1523140849653846</v>
      </c>
      <c r="X25" s="559">
        <f t="shared" si="7"/>
        <v>2.1112737111704121</v>
      </c>
      <c r="Y25" s="559">
        <f t="shared" si="7"/>
        <v>2.0962436599968339</v>
      </c>
      <c r="Z25" s="559">
        <f t="shared" si="7"/>
        <v>2.1695900225870393</v>
      </c>
      <c r="AA25" s="2" t="str">
        <f>+IFERROR(RANK(B25,(B$6,B$15,B$22,B$26,B$27,B$28,B$33),0),"")</f>
        <v/>
      </c>
      <c r="AB25" s="2" t="str">
        <f>+IFERROR(RANK(C25,(C$6,C$15,C$22,C$26,C$27,C$28,C$33),0),"")</f>
        <v/>
      </c>
      <c r="AC25" s="2" t="str">
        <f>+IFERROR(RANK(D25,(D$6,D$15,D$22,D$26,D$27,D$28,D$33),0),"")</f>
        <v/>
      </c>
      <c r="AD25" s="2" t="str">
        <f>+IFERROR(RANK(E25,(E$6,E$15,E$22,E$26,E$27,E$28,E$33),0),"")</f>
        <v/>
      </c>
      <c r="AE25" s="2" t="str">
        <f>+IFERROR(RANK(F25,(F$6,F$15,F$22,F$26,F$27,F$28,F$33),0),"")</f>
        <v/>
      </c>
      <c r="AF25" s="2" t="str">
        <f>+IFERROR(RANK(G25,(G$6,G$15,G$22,G$26,G$27,G$28,G$33),0),"")</f>
        <v/>
      </c>
      <c r="AG25" s="2" t="str">
        <f>+IFERROR(RANK(H25,(H$6,H$15,H$22,H$26,H$27,H$28,H$33),0),"")</f>
        <v/>
      </c>
      <c r="AH25" s="2" t="str">
        <f>+IFERROR(RANK(I25,(I$6,I$15,I$22,I$26,I$27,I$28,I$33),0),"")</f>
        <v/>
      </c>
      <c r="AI25" s="2" t="str">
        <f>+IFERROR(RANK(J25,(J$6,J$15,J$22,J$26,J$27,J$28,J$33),0),"")</f>
        <v/>
      </c>
      <c r="AJ25" s="2" t="str">
        <f>+IFERROR(RANK(K25,(K$6,K$15,K$22,K$26,K$27,K$28,K$33),0),"")</f>
        <v/>
      </c>
      <c r="AK25" s="2" t="str">
        <f>+IFERROR(RANK(L25,(L$6,L$15,L$22,L$26,L$27,L$28,L$33),0),"")</f>
        <v/>
      </c>
    </row>
    <row r="26" spans="1:37" ht="17.45" customHeight="1">
      <c r="A26" s="15" t="s">
        <v>516</v>
      </c>
      <c r="B26" s="647">
        <v>677265</v>
      </c>
      <c r="C26" s="647">
        <v>692513</v>
      </c>
      <c r="D26" s="647">
        <v>728120</v>
      </c>
      <c r="E26" s="647">
        <v>753266.00000000012</v>
      </c>
      <c r="F26" s="647">
        <v>788380.00000000012</v>
      </c>
      <c r="G26" s="647">
        <v>807855</v>
      </c>
      <c r="H26" s="647">
        <v>797460</v>
      </c>
      <c r="I26" s="647">
        <v>801493</v>
      </c>
      <c r="J26" s="647">
        <v>875584</v>
      </c>
      <c r="K26" s="647">
        <v>928991</v>
      </c>
      <c r="L26" s="647">
        <v>956373.99999999988</v>
      </c>
      <c r="N26" s="559">
        <f t="shared" si="5"/>
        <v>41.211195027057343</v>
      </c>
      <c r="O26" s="419">
        <f t="shared" si="3"/>
        <v>279108.99999999988</v>
      </c>
      <c r="P26" s="559">
        <f t="shared" si="7"/>
        <v>27.551671715830071</v>
      </c>
      <c r="Q26" s="559">
        <f t="shared" si="7"/>
        <v>27.289507273058973</v>
      </c>
      <c r="R26" s="559">
        <f t="shared" si="7"/>
        <v>27.560269637335612</v>
      </c>
      <c r="S26" s="559">
        <f t="shared" si="7"/>
        <v>27.218077116668699</v>
      </c>
      <c r="T26" s="559">
        <f t="shared" si="7"/>
        <v>27.394109213674607</v>
      </c>
      <c r="U26" s="559">
        <f t="shared" si="7"/>
        <v>27.567308040110813</v>
      </c>
      <c r="V26" s="559">
        <f t="shared" si="7"/>
        <v>27.471859309465795</v>
      </c>
      <c r="W26" s="559">
        <f t="shared" si="7"/>
        <v>27.426383555934386</v>
      </c>
      <c r="X26" s="559">
        <f t="shared" si="7"/>
        <v>27.812678378741531</v>
      </c>
      <c r="Y26" s="559">
        <f t="shared" si="7"/>
        <v>28.184260712701622</v>
      </c>
      <c r="Z26" s="559">
        <f t="shared" si="7"/>
        <v>28.513274357390401</v>
      </c>
      <c r="AA26" s="2">
        <f>+IFERROR(RANK(B26,(B$6,B$15,B$22,B$26,B$27,B$28,B$33),0),"")</f>
        <v>2</v>
      </c>
      <c r="AB26" s="2">
        <f>+IFERROR(RANK(C26,(C$6,C$15,C$22,C$26,C$27,C$28,C$33),0),"")</f>
        <v>2</v>
      </c>
      <c r="AC26" s="2">
        <f>+IFERROR(RANK(D26,(D$6,D$15,D$22,D$26,D$27,D$28,D$33),0),"")</f>
        <v>2</v>
      </c>
      <c r="AD26" s="2">
        <f>+IFERROR(RANK(E26,(E$6,E$15,E$22,E$26,E$27,E$28,E$33),0),"")</f>
        <v>2</v>
      </c>
      <c r="AE26" s="2">
        <f>+IFERROR(RANK(F26,(F$6,F$15,F$22,F$26,F$27,F$28,F$33),0),"")</f>
        <v>2</v>
      </c>
      <c r="AF26" s="2">
        <f>+IFERROR(RANK(G26,(G$6,G$15,G$22,G$26,G$27,G$28,G$33),0),"")</f>
        <v>2</v>
      </c>
      <c r="AG26" s="2">
        <f>+IFERROR(RANK(H26,(H$6,H$15,H$22,H$26,H$27,H$28,H$33),0),"")</f>
        <v>2</v>
      </c>
      <c r="AH26" s="2">
        <f>+IFERROR(RANK(I26,(I$6,I$15,I$22,I$26,I$27,I$28,I$33),0),"")</f>
        <v>2</v>
      </c>
      <c r="AI26" s="2">
        <f>+IFERROR(RANK(J26,(J$6,J$15,J$22,J$26,J$27,J$28,J$33),0),"")</f>
        <v>2</v>
      </c>
      <c r="AJ26" s="2">
        <f>+IFERROR(RANK(K26,(K$6,K$15,K$22,K$26,K$27,K$28,K$33),0),"")</f>
        <v>2</v>
      </c>
      <c r="AK26" s="2">
        <f>+IFERROR(RANK(L26,(L$6,L$15,L$22,L$26,L$27,L$28,L$33),0),"")</f>
        <v>2</v>
      </c>
    </row>
    <row r="27" spans="1:37" ht="17.45" customHeight="1">
      <c r="A27" s="15" t="s">
        <v>517</v>
      </c>
      <c r="B27" s="647">
        <v>120734</v>
      </c>
      <c r="C27" s="647">
        <v>123784.00000000001</v>
      </c>
      <c r="D27" s="647">
        <v>127295</v>
      </c>
      <c r="E27" s="647">
        <v>134832.00000000003</v>
      </c>
      <c r="F27" s="647">
        <v>143332</v>
      </c>
      <c r="G27" s="647">
        <v>147144.00000000003</v>
      </c>
      <c r="H27" s="647">
        <v>146898</v>
      </c>
      <c r="I27" s="647">
        <v>148398</v>
      </c>
      <c r="J27" s="647">
        <v>158898</v>
      </c>
      <c r="K27" s="647">
        <v>163331</v>
      </c>
      <c r="L27" s="647">
        <v>167647</v>
      </c>
      <c r="N27" s="559">
        <f t="shared" si="5"/>
        <v>38.856494442327772</v>
      </c>
      <c r="O27" s="419">
        <f t="shared" si="3"/>
        <v>46913</v>
      </c>
      <c r="P27" s="559">
        <f t="shared" si="7"/>
        <v>4.9115538717326723</v>
      </c>
      <c r="Q27" s="559">
        <f t="shared" si="7"/>
        <v>4.8778930767918185</v>
      </c>
      <c r="R27" s="559">
        <f t="shared" si="7"/>
        <v>4.8182779260075765</v>
      </c>
      <c r="S27" s="559">
        <f t="shared" si="7"/>
        <v>4.871941351122544</v>
      </c>
      <c r="T27" s="559">
        <f t="shared" si="7"/>
        <v>4.9804059740409548</v>
      </c>
      <c r="U27" s="559">
        <f t="shared" si="7"/>
        <v>5.0211535167252368</v>
      </c>
      <c r="V27" s="559">
        <f t="shared" si="7"/>
        <v>5.0605186327112417</v>
      </c>
      <c r="W27" s="559">
        <f t="shared" si="7"/>
        <v>5.0780486753266105</v>
      </c>
      <c r="X27" s="559">
        <f t="shared" si="7"/>
        <v>5.0473500760923811</v>
      </c>
      <c r="Y27" s="559">
        <f t="shared" si="7"/>
        <v>4.9552293687089204</v>
      </c>
      <c r="Z27" s="559">
        <f t="shared" si="7"/>
        <v>4.9982171265565869</v>
      </c>
      <c r="AA27" s="2">
        <f>+IFERROR(RANK(B27,(B$6,B$15,B$22,B$26,B$27,B$28,B$33),0),"")</f>
        <v>5</v>
      </c>
      <c r="AB27" s="2">
        <f>+IFERROR(RANK(C27,(C$6,C$15,C$22,C$26,C$27,C$28,C$33),0),"")</f>
        <v>5</v>
      </c>
      <c r="AC27" s="2">
        <f>+IFERROR(RANK(D27,(D$6,D$15,D$22,D$26,D$27,D$28,D$33),0),"")</f>
        <v>5</v>
      </c>
      <c r="AD27" s="2">
        <f>+IFERROR(RANK(E27,(E$6,E$15,E$22,E$26,E$27,E$28,E$33),0),"")</f>
        <v>6</v>
      </c>
      <c r="AE27" s="2">
        <f>+IFERROR(RANK(F27,(F$6,F$15,F$22,F$26,F$27,F$28,F$33),0),"")</f>
        <v>6</v>
      </c>
      <c r="AF27" s="2">
        <f>+IFERROR(RANK(G27,(G$6,G$15,G$22,G$26,G$27,G$28,G$33),0),"")</f>
        <v>6</v>
      </c>
      <c r="AG27" s="2">
        <f>+IFERROR(RANK(H27,(H$6,H$15,H$22,H$26,H$27,H$28,H$33),0),"")</f>
        <v>5</v>
      </c>
      <c r="AH27" s="2">
        <f>+IFERROR(RANK(I27,(I$6,I$15,I$22,I$26,I$27,I$28,I$33),0),"")</f>
        <v>5</v>
      </c>
      <c r="AI27" s="2">
        <f>+IFERROR(RANK(J27,(J$6,J$15,J$22,J$26,J$27,J$28,J$33),0),"")</f>
        <v>5</v>
      </c>
      <c r="AJ27" s="2">
        <f>+IFERROR(RANK(K27,(K$6,K$15,K$22,K$26,K$27,K$28,K$33),0),"")</f>
        <v>6</v>
      </c>
      <c r="AK27" s="2">
        <f>+IFERROR(RANK(L27,(L$6,L$15,L$22,L$26,L$27,L$28,L$33),0),"")</f>
        <v>6</v>
      </c>
    </row>
    <row r="28" spans="1:37" ht="17.45" customHeight="1">
      <c r="A28" s="15" t="s">
        <v>518</v>
      </c>
      <c r="B28" s="647">
        <v>94632.999999999971</v>
      </c>
      <c r="C28" s="647">
        <v>98629.999999999985</v>
      </c>
      <c r="D28" s="647">
        <v>102620</v>
      </c>
      <c r="E28" s="647">
        <v>106989.99999999999</v>
      </c>
      <c r="F28" s="647">
        <v>110648.00000000001</v>
      </c>
      <c r="G28" s="647">
        <v>112693</v>
      </c>
      <c r="H28" s="647">
        <v>115844.99999999997</v>
      </c>
      <c r="I28" s="647">
        <v>116079.00000000004</v>
      </c>
      <c r="J28" s="647">
        <v>125145.00000000001</v>
      </c>
      <c r="K28" s="647">
        <v>131628.99999999994</v>
      </c>
      <c r="L28" s="647">
        <v>130362.00000000001</v>
      </c>
      <c r="N28" s="559">
        <f t="shared" si="5"/>
        <v>37.755328479494523</v>
      </c>
      <c r="O28" s="419">
        <f t="shared" si="3"/>
        <v>35729.000000000044</v>
      </c>
      <c r="P28" s="559">
        <f t="shared" si="7"/>
        <v>3.8497447077350024</v>
      </c>
      <c r="Q28" s="559">
        <f t="shared" si="7"/>
        <v>3.8866622032247857</v>
      </c>
      <c r="R28" s="559">
        <f t="shared" si="7"/>
        <v>3.884297739635473</v>
      </c>
      <c r="S28" s="559">
        <f t="shared" si="7"/>
        <v>3.865914657919491</v>
      </c>
      <c r="T28" s="559">
        <f t="shared" si="7"/>
        <v>3.8447238594011366</v>
      </c>
      <c r="U28" s="559">
        <f t="shared" si="7"/>
        <v>3.8455448625857458</v>
      </c>
      <c r="V28" s="559">
        <f t="shared" si="7"/>
        <v>3.9907676143067543</v>
      </c>
      <c r="W28" s="559">
        <f t="shared" si="7"/>
        <v>3.9721210001700684</v>
      </c>
      <c r="X28" s="559">
        <f t="shared" si="7"/>
        <v>3.9751955674242669</v>
      </c>
      <c r="Y28" s="559">
        <f t="shared" si="7"/>
        <v>3.9934359464754774</v>
      </c>
      <c r="Z28" s="559">
        <f t="shared" si="7"/>
        <v>3.8866044787689007</v>
      </c>
      <c r="AA28" s="2">
        <f>+IFERROR(RANK(B28,(B$6,B$15,B$22,B$26,B$27,B$28,B$33),0),"")</f>
        <v>7</v>
      </c>
      <c r="AB28" s="2">
        <f>+IFERROR(RANK(C28,(C$6,C$15,C$22,C$26,C$27,C$28,C$33),0),"")</f>
        <v>7</v>
      </c>
      <c r="AC28" s="2">
        <f>+IFERROR(RANK(D28,(D$6,D$15,D$22,D$26,D$27,D$28,D$33),0),"")</f>
        <v>7</v>
      </c>
      <c r="AD28" s="2">
        <f>+IFERROR(RANK(E28,(E$6,E$15,E$22,E$26,E$27,E$28,E$33),0),"")</f>
        <v>7</v>
      </c>
      <c r="AE28" s="2">
        <f>+IFERROR(RANK(F28,(F$6,F$15,F$22,F$26,F$27,F$28,F$33),0),"")</f>
        <v>7</v>
      </c>
      <c r="AF28" s="2">
        <f>+IFERROR(RANK(G28,(G$6,G$15,G$22,G$26,G$27,G$28,G$33),0),"")</f>
        <v>7</v>
      </c>
      <c r="AG28" s="2">
        <f>+IFERROR(RANK(H28,(H$6,H$15,H$22,H$26,H$27,H$28,H$33),0),"")</f>
        <v>7</v>
      </c>
      <c r="AH28" s="2">
        <f>+IFERROR(RANK(I28,(I$6,I$15,I$22,I$26,I$27,I$28,I$33),0),"")</f>
        <v>7</v>
      </c>
      <c r="AI28" s="2">
        <f>+IFERROR(RANK(J28,(J$6,J$15,J$22,J$26,J$27,J$28,J$33),0),"")</f>
        <v>7</v>
      </c>
      <c r="AJ28" s="2">
        <f>+IFERROR(RANK(K28,(K$6,K$15,K$22,K$26,K$27,K$28,K$33),0),"")</f>
        <v>7</v>
      </c>
      <c r="AK28" s="2">
        <f>+IFERROR(RANK(L28,(L$6,L$15,L$22,L$26,L$27,L$28,L$33),0),"")</f>
        <v>7</v>
      </c>
    </row>
    <row r="29" spans="1:37" ht="17.45" customHeight="1">
      <c r="A29" s="572" t="s">
        <v>519</v>
      </c>
      <c r="B29" s="646">
        <v>20669</v>
      </c>
      <c r="C29" s="646">
        <v>22067</v>
      </c>
      <c r="D29" s="646">
        <v>23455</v>
      </c>
      <c r="E29" s="646">
        <v>25004</v>
      </c>
      <c r="F29" s="646">
        <v>26593</v>
      </c>
      <c r="G29" s="646">
        <v>28106</v>
      </c>
      <c r="H29" s="646">
        <v>31575</v>
      </c>
      <c r="I29" s="646">
        <v>31890</v>
      </c>
      <c r="J29" s="646">
        <v>34475</v>
      </c>
      <c r="K29" s="646">
        <v>36327</v>
      </c>
      <c r="L29" s="646">
        <v>34505</v>
      </c>
      <c r="N29" s="559">
        <f t="shared" si="5"/>
        <v>66.940829261212457</v>
      </c>
      <c r="O29" s="419">
        <f t="shared" si="3"/>
        <v>13836</v>
      </c>
      <c r="P29" s="559">
        <f t="shared" si="7"/>
        <v>0.84083114097803924</v>
      </c>
      <c r="Q29" s="559">
        <f t="shared" si="7"/>
        <v>0.86958303597851938</v>
      </c>
      <c r="R29" s="559">
        <f t="shared" si="7"/>
        <v>0.88780163207123386</v>
      </c>
      <c r="S29" s="559">
        <f t="shared" si="7"/>
        <v>0.90348004586053809</v>
      </c>
      <c r="T29" s="559">
        <f t="shared" si="7"/>
        <v>0.92403605662148802</v>
      </c>
      <c r="U29" s="559">
        <f t="shared" si="7"/>
        <v>0.95909137131707356</v>
      </c>
      <c r="V29" s="559">
        <f t="shared" si="7"/>
        <v>1.0877335009861091</v>
      </c>
      <c r="W29" s="559">
        <f t="shared" si="7"/>
        <v>1.0912476735277135</v>
      </c>
      <c r="X29" s="559">
        <f t="shared" si="7"/>
        <v>1.0950886346793847</v>
      </c>
      <c r="Y29" s="559">
        <f t="shared" si="7"/>
        <v>1.102109319584702</v>
      </c>
      <c r="Z29" s="559">
        <f t="shared" si="7"/>
        <v>1.0287299024249468</v>
      </c>
      <c r="AA29" s="2" t="str">
        <f>+IFERROR(RANK(B29,(B$6,B$15,B$22,B$26,B$27,B$28,B$33),0),"")</f>
        <v/>
      </c>
      <c r="AB29" s="2" t="str">
        <f>+IFERROR(RANK(C29,(C$6,C$15,C$22,C$26,C$27,C$28,C$33),0),"")</f>
        <v/>
      </c>
      <c r="AC29" s="2" t="str">
        <f>+IFERROR(RANK(D29,(D$6,D$15,D$22,D$26,D$27,D$28,D$33),0),"")</f>
        <v/>
      </c>
      <c r="AD29" s="2" t="str">
        <f>+IFERROR(RANK(E29,(E$6,E$15,E$22,E$26,E$27,E$28,E$33),0),"")</f>
        <v/>
      </c>
      <c r="AE29" s="2" t="str">
        <f>+IFERROR(RANK(F29,(F$6,F$15,F$22,F$26,F$27,F$28,F$33),0),"")</f>
        <v/>
      </c>
      <c r="AF29" s="2" t="str">
        <f>+IFERROR(RANK(G29,(G$6,G$15,G$22,G$26,G$27,G$28,G$33),0),"")</f>
        <v/>
      </c>
      <c r="AG29" s="2" t="str">
        <f>+IFERROR(RANK(H29,(H$6,H$15,H$22,H$26,H$27,H$28,H$33),0),"")</f>
        <v/>
      </c>
      <c r="AH29" s="2" t="str">
        <f>+IFERROR(RANK(I29,(I$6,I$15,I$22,I$26,I$27,I$28,I$33),0),"")</f>
        <v/>
      </c>
      <c r="AI29" s="2" t="str">
        <f>+IFERROR(RANK(J29,(J$6,J$15,J$22,J$26,J$27,J$28,J$33),0),"")</f>
        <v/>
      </c>
      <c r="AJ29" s="2" t="str">
        <f>+IFERROR(RANK(K29,(K$6,K$15,K$22,K$26,K$27,K$28,K$33),0),"")</f>
        <v/>
      </c>
      <c r="AK29" s="2" t="str">
        <f>+IFERROR(RANK(L29,(L$6,L$15,L$22,L$26,L$27,L$28,L$33),0),"")</f>
        <v/>
      </c>
    </row>
    <row r="30" spans="1:37" ht="17.45" customHeight="1">
      <c r="A30" s="572" t="s">
        <v>520</v>
      </c>
      <c r="B30" s="646">
        <v>22425.999999999996</v>
      </c>
      <c r="C30" s="646">
        <v>23238.999999999996</v>
      </c>
      <c r="D30" s="646">
        <v>23619.000000000004</v>
      </c>
      <c r="E30" s="646">
        <v>25024</v>
      </c>
      <c r="F30" s="646">
        <v>25408</v>
      </c>
      <c r="G30" s="646">
        <v>25504</v>
      </c>
      <c r="H30" s="646">
        <v>25388.999999999996</v>
      </c>
      <c r="I30" s="646">
        <v>25463.000000000004</v>
      </c>
      <c r="J30" s="646">
        <v>28355.999999999996</v>
      </c>
      <c r="K30" s="646">
        <v>29927.999999999993</v>
      </c>
      <c r="L30" s="646">
        <v>31283.999999999996</v>
      </c>
      <c r="N30" s="559">
        <f t="shared" si="5"/>
        <v>39.498796040310367</v>
      </c>
      <c r="O30" s="419">
        <f t="shared" si="3"/>
        <v>8858</v>
      </c>
      <c r="P30" s="559">
        <f t="shared" si="7"/>
        <v>0.91230727986712012</v>
      </c>
      <c r="Q30" s="559">
        <f t="shared" si="7"/>
        <v>0.91576744338173777</v>
      </c>
      <c r="R30" s="559">
        <f t="shared" si="7"/>
        <v>0.89400924101003953</v>
      </c>
      <c r="S30" s="559">
        <f t="shared" si="7"/>
        <v>0.90420271427028087</v>
      </c>
      <c r="T30" s="559">
        <f t="shared" si="7"/>
        <v>0.88286045676075542</v>
      </c>
      <c r="U30" s="559">
        <f t="shared" si="7"/>
        <v>0.87030051711629708</v>
      </c>
      <c r="V30" s="559">
        <f t="shared" si="7"/>
        <v>0.87463074763377091</v>
      </c>
      <c r="W30" s="559">
        <f t="shared" si="7"/>
        <v>0.87132140203939079</v>
      </c>
      <c r="X30" s="559">
        <f t="shared" si="7"/>
        <v>0.9007203284980021</v>
      </c>
      <c r="Y30" s="559">
        <f t="shared" si="7"/>
        <v>0.90797279479535742</v>
      </c>
      <c r="Z30" s="559">
        <f t="shared" si="7"/>
        <v>0.93269921076545503</v>
      </c>
      <c r="AA30" s="2" t="str">
        <f>+IFERROR(RANK(B30,(B$6,B$15,B$22,B$26,B$27,B$28,B$33),0),"")</f>
        <v/>
      </c>
      <c r="AB30" s="2" t="str">
        <f>+IFERROR(RANK(C30,(C$6,C$15,C$22,C$26,C$27,C$28,C$33),0),"")</f>
        <v/>
      </c>
      <c r="AC30" s="2" t="str">
        <f>+IFERROR(RANK(D30,(D$6,D$15,D$22,D$26,D$27,D$28,D$33),0),"")</f>
        <v/>
      </c>
      <c r="AD30" s="2" t="str">
        <f>+IFERROR(RANK(E30,(E$6,E$15,E$22,E$26,E$27,E$28,E$33),0),"")</f>
        <v/>
      </c>
      <c r="AE30" s="2" t="str">
        <f>+IFERROR(RANK(F30,(F$6,F$15,F$22,F$26,F$27,F$28,F$33),0),"")</f>
        <v/>
      </c>
      <c r="AF30" s="2" t="str">
        <f>+IFERROR(RANK(G30,(G$6,G$15,G$22,G$26,G$27,G$28,G$33),0),"")</f>
        <v/>
      </c>
      <c r="AG30" s="2" t="str">
        <f>+IFERROR(RANK(H30,(H$6,H$15,H$22,H$26,H$27,H$28,H$33),0),"")</f>
        <v/>
      </c>
      <c r="AH30" s="2" t="str">
        <f>+IFERROR(RANK(I30,(I$6,I$15,I$22,I$26,I$27,I$28,I$33),0),"")</f>
        <v/>
      </c>
      <c r="AI30" s="2" t="str">
        <f>+IFERROR(RANK(J30,(J$6,J$15,J$22,J$26,J$27,J$28,J$33),0),"")</f>
        <v/>
      </c>
      <c r="AJ30" s="2" t="str">
        <f>+IFERROR(RANK(K30,(K$6,K$15,K$22,K$26,K$27,K$28,K$33),0),"")</f>
        <v/>
      </c>
      <c r="AK30" s="2" t="str">
        <f>+IFERROR(RANK(L30,(L$6,L$15,L$22,L$26,L$27,L$28,L$33),0),"")</f>
        <v/>
      </c>
    </row>
    <row r="31" spans="1:37" ht="17.45" customHeight="1">
      <c r="A31" s="572" t="s">
        <v>521</v>
      </c>
      <c r="B31" s="646">
        <v>19009</v>
      </c>
      <c r="C31" s="646">
        <v>19293</v>
      </c>
      <c r="D31" s="646">
        <v>20176.000000000004</v>
      </c>
      <c r="E31" s="646">
        <v>20664</v>
      </c>
      <c r="F31" s="646">
        <v>20619.999999999996</v>
      </c>
      <c r="G31" s="646">
        <v>20826</v>
      </c>
      <c r="H31" s="646">
        <v>21098</v>
      </c>
      <c r="I31" s="646">
        <v>20537</v>
      </c>
      <c r="J31" s="646">
        <v>21623.000000000007</v>
      </c>
      <c r="K31" s="646">
        <v>22968</v>
      </c>
      <c r="L31" s="646">
        <v>22423</v>
      </c>
      <c r="N31" s="559">
        <f t="shared" si="5"/>
        <v>17.959913725077591</v>
      </c>
      <c r="O31" s="419">
        <f t="shared" si="3"/>
        <v>3414</v>
      </c>
      <c r="P31" s="559">
        <f t="shared" si="7"/>
        <v>0.77330103821430884</v>
      </c>
      <c r="Q31" s="559">
        <f t="shared" si="7"/>
        <v>0.76026943005997982</v>
      </c>
      <c r="R31" s="559">
        <f t="shared" si="7"/>
        <v>0.76368730456914169</v>
      </c>
      <c r="S31" s="559">
        <f t="shared" si="7"/>
        <v>0.74666100094633492</v>
      </c>
      <c r="T31" s="559">
        <f t="shared" si="7"/>
        <v>0.71649018491840255</v>
      </c>
      <c r="U31" s="559">
        <f t="shared" si="7"/>
        <v>0.71066807439868263</v>
      </c>
      <c r="V31" s="559">
        <f t="shared" si="7"/>
        <v>0.72680922894077371</v>
      </c>
      <c r="W31" s="559">
        <f t="shared" si="7"/>
        <v>0.70275802669296483</v>
      </c>
      <c r="X31" s="559">
        <f t="shared" si="7"/>
        <v>0.68684848579180113</v>
      </c>
      <c r="Y31" s="559">
        <f t="shared" si="7"/>
        <v>0.6968163308894606</v>
      </c>
      <c r="Z31" s="559">
        <f t="shared" si="7"/>
        <v>0.66851791340601596</v>
      </c>
      <c r="AA31" s="2" t="str">
        <f>+IFERROR(RANK(B31,(B$6,B$15,B$22,B$26,B$27,B$28,B$33),0),"")</f>
        <v/>
      </c>
      <c r="AB31" s="2" t="str">
        <f>+IFERROR(RANK(C31,(C$6,C$15,C$22,C$26,C$27,C$28,C$33),0),"")</f>
        <v/>
      </c>
      <c r="AC31" s="2" t="str">
        <f>+IFERROR(RANK(D31,(D$6,D$15,D$22,D$26,D$27,D$28,D$33),0),"")</f>
        <v/>
      </c>
      <c r="AD31" s="2" t="str">
        <f>+IFERROR(RANK(E31,(E$6,E$15,E$22,E$26,E$27,E$28,E$33),0),"")</f>
        <v/>
      </c>
      <c r="AE31" s="2" t="str">
        <f>+IFERROR(RANK(F31,(F$6,F$15,F$22,F$26,F$27,F$28,F$33),0),"")</f>
        <v/>
      </c>
      <c r="AF31" s="2" t="str">
        <f>+IFERROR(RANK(G31,(G$6,G$15,G$22,G$26,G$27,G$28,G$33),0),"")</f>
        <v/>
      </c>
      <c r="AG31" s="2" t="str">
        <f>+IFERROR(RANK(H31,(H$6,H$15,H$22,H$26,H$27,H$28,H$33),0),"")</f>
        <v/>
      </c>
      <c r="AH31" s="2" t="str">
        <f>+IFERROR(RANK(I31,(I$6,I$15,I$22,I$26,I$27,I$28,I$33),0),"")</f>
        <v/>
      </c>
      <c r="AI31" s="2" t="str">
        <f>+IFERROR(RANK(J31,(J$6,J$15,J$22,J$26,J$27,J$28,J$33),0),"")</f>
        <v/>
      </c>
      <c r="AJ31" s="2" t="str">
        <f>+IFERROR(RANK(K31,(K$6,K$15,K$22,K$26,K$27,K$28,K$33),0),"")</f>
        <v/>
      </c>
      <c r="AK31" s="2" t="str">
        <f>+IFERROR(RANK(L31,(L$6,L$15,L$22,L$26,L$27,L$28,L$33),0),"")</f>
        <v/>
      </c>
    </row>
    <row r="32" spans="1:37" ht="17.45" customHeight="1">
      <c r="A32" s="572" t="s">
        <v>522</v>
      </c>
      <c r="B32" s="646">
        <v>32529</v>
      </c>
      <c r="C32" s="646">
        <v>34030.999999999993</v>
      </c>
      <c r="D32" s="646">
        <v>35370</v>
      </c>
      <c r="E32" s="646">
        <v>36298.000000000007</v>
      </c>
      <c r="F32" s="646">
        <v>38027.000000000015</v>
      </c>
      <c r="G32" s="646">
        <v>38257</v>
      </c>
      <c r="H32" s="646">
        <v>37783</v>
      </c>
      <c r="I32" s="646">
        <v>38189</v>
      </c>
      <c r="J32" s="646">
        <v>40691</v>
      </c>
      <c r="K32" s="646">
        <v>42405.999999999993</v>
      </c>
      <c r="L32" s="646">
        <v>42150</v>
      </c>
      <c r="N32" s="559">
        <f t="shared" si="5"/>
        <v>29.576685419164427</v>
      </c>
      <c r="O32" s="419">
        <f t="shared" si="3"/>
        <v>9621</v>
      </c>
      <c r="P32" s="559">
        <f t="shared" si="7"/>
        <v>1.3233052486755355</v>
      </c>
      <c r="Q32" s="559">
        <f t="shared" si="7"/>
        <v>1.341042293804549</v>
      </c>
      <c r="R32" s="559">
        <f t="shared" si="7"/>
        <v>1.3387995619850583</v>
      </c>
      <c r="S32" s="559">
        <f t="shared" si="7"/>
        <v>1.3115708968423379</v>
      </c>
      <c r="T32" s="559">
        <f t="shared" si="7"/>
        <v>1.3213371611004903</v>
      </c>
      <c r="U32" s="559">
        <f t="shared" si="7"/>
        <v>1.3054848997536925</v>
      </c>
      <c r="V32" s="559">
        <f t="shared" si="7"/>
        <v>1.3015941367461017</v>
      </c>
      <c r="W32" s="559">
        <f t="shared" si="7"/>
        <v>1.3067938979099982</v>
      </c>
      <c r="X32" s="559">
        <f t="shared" si="7"/>
        <v>1.2925381184550786</v>
      </c>
      <c r="Y32" s="559">
        <f t="shared" si="7"/>
        <v>1.2865375012059588</v>
      </c>
      <c r="Z32" s="559">
        <f t="shared" si="7"/>
        <v>1.2566574521724823</v>
      </c>
      <c r="AA32" s="2" t="str">
        <f>+IFERROR(RANK(B32,(B$6,B$15,B$22,B$26,B$27,B$28,B$33),0),"")</f>
        <v/>
      </c>
      <c r="AB32" s="2" t="str">
        <f>+IFERROR(RANK(C32,(C$6,C$15,C$22,C$26,C$27,C$28,C$33),0),"")</f>
        <v/>
      </c>
      <c r="AC32" s="2" t="str">
        <f>+IFERROR(RANK(D32,(D$6,D$15,D$22,D$26,D$27,D$28,D$33),0),"")</f>
        <v/>
      </c>
      <c r="AD32" s="2" t="str">
        <f>+IFERROR(RANK(E32,(E$6,E$15,E$22,E$26,E$27,E$28,E$33),0),"")</f>
        <v/>
      </c>
      <c r="AE32" s="2" t="str">
        <f>+IFERROR(RANK(F32,(F$6,F$15,F$22,F$26,F$27,F$28,F$33),0),"")</f>
        <v/>
      </c>
      <c r="AF32" s="2" t="str">
        <f>+IFERROR(RANK(G32,(G$6,G$15,G$22,G$26,G$27,G$28,G$33),0),"")</f>
        <v/>
      </c>
      <c r="AG32" s="2" t="str">
        <f>+IFERROR(RANK(H32,(H$6,H$15,H$22,H$26,H$27,H$28,H$33),0),"")</f>
        <v/>
      </c>
      <c r="AH32" s="2" t="str">
        <f>+IFERROR(RANK(I32,(I$6,I$15,I$22,I$26,I$27,I$28,I$33),0),"")</f>
        <v/>
      </c>
      <c r="AI32" s="2" t="str">
        <f>+IFERROR(RANK(J32,(J$6,J$15,J$22,J$26,J$27,J$28,J$33),0),"")</f>
        <v/>
      </c>
      <c r="AJ32" s="2" t="str">
        <f>+IFERROR(RANK(K32,(K$6,K$15,K$22,K$26,K$27,K$28,K$33),0),"")</f>
        <v/>
      </c>
      <c r="AK32" s="2" t="str">
        <f>+IFERROR(RANK(L32,(L$6,L$15,L$22,L$26,L$27,L$28,L$33),0),"")</f>
        <v/>
      </c>
    </row>
    <row r="33" spans="1:37" ht="17.45" customHeight="1">
      <c r="A33" s="17" t="s">
        <v>523</v>
      </c>
      <c r="B33" s="648">
        <v>109922</v>
      </c>
      <c r="C33" s="648">
        <v>117234</v>
      </c>
      <c r="D33" s="648">
        <v>125989.99999999999</v>
      </c>
      <c r="E33" s="648">
        <v>135848</v>
      </c>
      <c r="F33" s="648">
        <v>144110</v>
      </c>
      <c r="G33" s="648">
        <v>149611</v>
      </c>
      <c r="H33" s="648">
        <v>133943.99999999997</v>
      </c>
      <c r="I33" s="648">
        <v>137936</v>
      </c>
      <c r="J33" s="648">
        <v>154669.99999999997</v>
      </c>
      <c r="K33" s="648">
        <v>166794.00000000003</v>
      </c>
      <c r="L33" s="648">
        <v>172373</v>
      </c>
      <c r="N33" s="559">
        <f t="shared" si="5"/>
        <v>56.813922599661581</v>
      </c>
      <c r="O33" s="419">
        <f t="shared" si="3"/>
        <v>62451</v>
      </c>
      <c r="P33" s="559">
        <f t="shared" si="7"/>
        <v>4.4717132265028807</v>
      </c>
      <c r="Q33" s="559">
        <f t="shared" si="7"/>
        <v>4.6197805610144442</v>
      </c>
      <c r="R33" s="559">
        <f t="shared" si="7"/>
        <v>4.7688820134152516</v>
      </c>
      <c r="S33" s="559">
        <f t="shared" si="7"/>
        <v>4.9086529063374806</v>
      </c>
      <c r="T33" s="559">
        <f t="shared" si="7"/>
        <v>5.0074394058482552</v>
      </c>
      <c r="U33" s="559">
        <f t="shared" si="7"/>
        <v>5.1053376202276626</v>
      </c>
      <c r="V33" s="559">
        <f t="shared" si="7"/>
        <v>4.6142636914040649</v>
      </c>
      <c r="W33" s="559">
        <f t="shared" si="7"/>
        <v>4.7200482626440472</v>
      </c>
      <c r="X33" s="559">
        <f t="shared" si="7"/>
        <v>4.9130488506413448</v>
      </c>
      <c r="Y33" s="559">
        <f t="shared" si="7"/>
        <v>5.0602918449310659</v>
      </c>
      <c r="Z33" s="559">
        <f t="shared" si="7"/>
        <v>5.1391177936732451</v>
      </c>
      <c r="AA33" s="2">
        <f>+IFERROR(RANK(B33,(B$6,B$15,B$22,B$26,B$27,B$28,B$33),0),"")</f>
        <v>6</v>
      </c>
      <c r="AB33" s="2">
        <f>+IFERROR(RANK(C33,(C$6,C$15,C$22,C$26,C$27,C$28,C$33),0),"")</f>
        <v>6</v>
      </c>
      <c r="AC33" s="2">
        <f>+IFERROR(RANK(D33,(D$6,D$15,D$22,D$26,D$27,D$28,D$33),0),"")</f>
        <v>6</v>
      </c>
      <c r="AD33" s="2">
        <f>+IFERROR(RANK(E33,(E$6,E$15,E$22,E$26,E$27,E$28,E$33),0),"")</f>
        <v>5</v>
      </c>
      <c r="AE33" s="2">
        <f>+IFERROR(RANK(F33,(F$6,F$15,F$22,F$26,F$27,F$28,F$33),0),"")</f>
        <v>5</v>
      </c>
      <c r="AF33" s="2">
        <f>+IFERROR(RANK(G33,(G$6,G$15,G$22,G$26,G$27,G$28,G$33),0),"")</f>
        <v>5</v>
      </c>
      <c r="AG33" s="2">
        <f>+IFERROR(RANK(H33,(H$6,H$15,H$22,H$26,H$27,H$28,H$33),0),"")</f>
        <v>6</v>
      </c>
      <c r="AH33" s="2">
        <f>+IFERROR(RANK(I33,(I$6,I$15,I$22,I$26,I$27,I$28,I$33),0),"")</f>
        <v>6</v>
      </c>
      <c r="AI33" s="2">
        <f>+IFERROR(RANK(J33,(J$6,J$15,J$22,J$26,J$27,J$28,J$33),0),"")</f>
        <v>6</v>
      </c>
      <c r="AJ33" s="2">
        <f>+IFERROR(RANK(K33,(K$6,K$15,K$22,K$26,K$27,K$28,K$33),0),"")</f>
        <v>5</v>
      </c>
      <c r="AK33" s="2">
        <f>+IFERROR(RANK(L33,(L$6,L$15,L$22,L$26,L$27,L$28,L$33),0),"")</f>
        <v>5</v>
      </c>
    </row>
    <row r="34" spans="1:37" ht="17.45" customHeight="1">
      <c r="A34" s="19" t="s">
        <v>769</v>
      </c>
      <c r="C34" s="16"/>
      <c r="D34" s="16"/>
      <c r="E34" s="16"/>
      <c r="F34" s="16"/>
      <c r="G34" s="16"/>
      <c r="H34" s="16"/>
      <c r="I34" s="16"/>
      <c r="J34" s="16"/>
      <c r="K34" s="16"/>
      <c r="L34" s="16"/>
    </row>
  </sheetData>
  <mergeCells count="1">
    <mergeCell ref="A1:L1"/>
  </mergeCells>
  <conditionalFormatting sqref="A1 A35:E1048576 M1:M1048576 AM1:XFD1048576">
    <cfRule type="cellIs" dxfId="1736" priority="36" operator="equal">
      <formula>0</formula>
    </cfRule>
    <cfRule type="cellIs" priority="37" operator="equal">
      <formula>0</formula>
    </cfRule>
  </conditionalFormatting>
  <conditionalFormatting sqref="M4">
    <cfRule type="cellIs" dxfId="1735" priority="35" operator="equal">
      <formula>0</formula>
    </cfRule>
  </conditionalFormatting>
  <conditionalFormatting sqref="M4">
    <cfRule type="containsText" dxfId="1734" priority="34" operator="containsText" text="FALSO">
      <formula>NOT(ISERROR(SEARCH("FALSO",M4)))</formula>
    </cfRule>
  </conditionalFormatting>
  <conditionalFormatting sqref="H35:H1048576">
    <cfRule type="cellIs" dxfId="1733" priority="32" operator="equal">
      <formula>0</formula>
    </cfRule>
    <cfRule type="cellIs" priority="33" operator="equal">
      <formula>0</formula>
    </cfRule>
  </conditionalFormatting>
  <conditionalFormatting sqref="F35:F1048576">
    <cfRule type="cellIs" dxfId="1732" priority="30" operator="equal">
      <formula>0</formula>
    </cfRule>
    <cfRule type="cellIs" priority="31" operator="equal">
      <formula>0</formula>
    </cfRule>
  </conditionalFormatting>
  <conditionalFormatting sqref="G35:G1048576">
    <cfRule type="cellIs" dxfId="1731" priority="28" operator="equal">
      <formula>0</formula>
    </cfRule>
    <cfRule type="cellIs" priority="29" operator="equal">
      <formula>0</formula>
    </cfRule>
  </conditionalFormatting>
  <conditionalFormatting sqref="I35:I1048576">
    <cfRule type="cellIs" dxfId="1730" priority="26" operator="equal">
      <formula>0</formula>
    </cfRule>
    <cfRule type="cellIs" priority="27" operator="equal">
      <formula>0</formula>
    </cfRule>
  </conditionalFormatting>
  <conditionalFormatting sqref="K35:K1048576">
    <cfRule type="cellIs" dxfId="1729" priority="22" operator="equal">
      <formula>0</formula>
    </cfRule>
    <cfRule type="cellIs" priority="23" operator="equal">
      <formula>0</formula>
    </cfRule>
  </conditionalFormatting>
  <conditionalFormatting sqref="J35:J1048576">
    <cfRule type="cellIs" dxfId="1728" priority="24" operator="equal">
      <formula>0</formula>
    </cfRule>
    <cfRule type="cellIs" priority="25" operator="equal">
      <formula>0</formula>
    </cfRule>
  </conditionalFormatting>
  <conditionalFormatting sqref="L35:L1048576">
    <cfRule type="cellIs" dxfId="1727" priority="20" operator="equal">
      <formula>0</formula>
    </cfRule>
    <cfRule type="cellIs" priority="21" operator="equal">
      <formula>0</formula>
    </cfRule>
  </conditionalFormatting>
  <conditionalFormatting sqref="C34:D34 B5:L6">
    <cfRule type="cellIs" dxfId="1726" priority="19" operator="equal">
      <formula>0</formula>
    </cfRule>
  </conditionalFormatting>
  <conditionalFormatting sqref="E34">
    <cfRule type="cellIs" dxfId="1725" priority="18" operator="equal">
      <formula>0</formula>
    </cfRule>
  </conditionalFormatting>
  <conditionalFormatting sqref="H34">
    <cfRule type="cellIs" dxfId="1724" priority="17" operator="equal">
      <formula>0</formula>
    </cfRule>
  </conditionalFormatting>
  <conditionalFormatting sqref="F34">
    <cfRule type="cellIs" dxfId="1723" priority="16" operator="equal">
      <formula>0</formula>
    </cfRule>
  </conditionalFormatting>
  <conditionalFormatting sqref="G34">
    <cfRule type="cellIs" dxfId="1722" priority="15" operator="equal">
      <formula>0</formula>
    </cfRule>
  </conditionalFormatting>
  <conditionalFormatting sqref="I34">
    <cfRule type="cellIs" dxfId="1721" priority="14" operator="equal">
      <formula>0</formula>
    </cfRule>
  </conditionalFormatting>
  <conditionalFormatting sqref="J34">
    <cfRule type="cellIs" dxfId="1720" priority="13" operator="equal">
      <formula>0</formula>
    </cfRule>
  </conditionalFormatting>
  <conditionalFormatting sqref="K34">
    <cfRule type="cellIs" dxfId="1719" priority="12" operator="equal">
      <formula>0</formula>
    </cfRule>
  </conditionalFormatting>
  <conditionalFormatting sqref="L34">
    <cfRule type="cellIs" dxfId="1718" priority="11" operator="equal">
      <formula>0</formula>
    </cfRule>
  </conditionalFormatting>
  <conditionalFormatting sqref="B7:L14">
    <cfRule type="expression" dxfId="1717" priority="9">
      <formula>B7=MAX(B$7:B$14)</formula>
    </cfRule>
    <cfRule type="expression" dxfId="1716" priority="10">
      <formula>B7=MIN(B$7:B$14)</formula>
    </cfRule>
  </conditionalFormatting>
  <conditionalFormatting sqref="B16:L21">
    <cfRule type="expression" dxfId="1715" priority="7">
      <formula>B16=MAX(B$16:B$21)</formula>
    </cfRule>
    <cfRule type="expression" dxfId="1714" priority="8">
      <formula>B16=MIN(B$16:B$21)</formula>
    </cfRule>
  </conditionalFormatting>
  <conditionalFormatting sqref="B23:L25">
    <cfRule type="expression" dxfId="1713" priority="5">
      <formula>B23=MAX(B$23:B$25)</formula>
    </cfRule>
    <cfRule type="expression" dxfId="1712" priority="6">
      <formula>B23=MIN(B$23:B$25)</formula>
    </cfRule>
  </conditionalFormatting>
  <conditionalFormatting sqref="B29:L32">
    <cfRule type="expression" dxfId="1711" priority="3">
      <formula>B29=MAX(B$29:B$32)</formula>
    </cfRule>
    <cfRule type="expression" dxfId="1710" priority="4">
      <formula>B29=MIN(B$29:B$32)</formula>
    </cfRule>
  </conditionalFormatting>
  <conditionalFormatting sqref="AL1:AL1048576">
    <cfRule type="cellIs" dxfId="1709" priority="2" operator="equal">
      <formula>0</formula>
    </cfRule>
  </conditionalFormatting>
  <conditionalFormatting sqref="A34">
    <cfRule type="cellIs" dxfId="1708"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93" orientation="portrait" r:id="rId1"/>
  <headerFooter>
    <oddHeader xml:space="preserve">&amp;C&amp;G
</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E134A-D18B-426C-80B9-5FE19F18E937}">
  <sheetPr>
    <tabColor rgb="FFDBA9B3"/>
  </sheetPr>
  <dimension ref="A1:AK56"/>
  <sheetViews>
    <sheetView showGridLines="0" topLeftCell="A4" workbookViewId="0">
      <selection activeCell="Y70" sqref="Y70"/>
    </sheetView>
  </sheetViews>
  <sheetFormatPr defaultColWidth="9.140625" defaultRowHeight="11.25"/>
  <cols>
    <col min="1" max="1" width="24.42578125" style="2" customWidth="1"/>
    <col min="2" max="12" width="8.140625" style="2" customWidth="1"/>
    <col min="13" max="14" width="5.85546875" style="2" bestFit="1" customWidth="1"/>
    <col min="15" max="15" width="7.7109375" style="677" customWidth="1"/>
    <col min="16" max="16" width="13" style="677" customWidth="1"/>
    <col min="17" max="17" width="7.7109375" style="677" bestFit="1" customWidth="1"/>
    <col min="18" max="18" width="5.85546875" style="677" bestFit="1" customWidth="1"/>
    <col min="19" max="19" width="6.7109375" style="677" bestFit="1" customWidth="1"/>
    <col min="20" max="20" width="5.85546875" style="677" bestFit="1" customWidth="1"/>
    <col min="21" max="21" width="11.5703125" style="677" customWidth="1"/>
    <col min="22" max="23" width="7.7109375" style="677" bestFit="1" customWidth="1"/>
    <col min="24" max="36" width="9.140625" style="677"/>
    <col min="37" max="16384" width="9.140625" style="2"/>
  </cols>
  <sheetData>
    <row r="1" spans="1:37" s="1" customFormat="1" ht="29.25" customHeight="1">
      <c r="A1" s="988" t="s">
        <v>780</v>
      </c>
      <c r="B1" s="982"/>
      <c r="C1" s="982"/>
      <c r="D1" s="982"/>
      <c r="E1" s="982"/>
      <c r="F1" s="982"/>
      <c r="G1" s="982"/>
      <c r="H1" s="982"/>
      <c r="I1" s="982"/>
      <c r="J1" s="982"/>
      <c r="K1" s="982"/>
      <c r="L1" s="982"/>
      <c r="O1" s="690"/>
      <c r="P1" s="675"/>
      <c r="Q1" s="673"/>
      <c r="R1" s="673"/>
      <c r="S1" s="673"/>
      <c r="T1" s="673"/>
      <c r="U1" s="691"/>
      <c r="V1" s="673"/>
      <c r="W1" s="673"/>
      <c r="X1" s="673"/>
      <c r="Y1" s="673"/>
      <c r="Z1" s="673"/>
      <c r="AA1" s="673"/>
      <c r="AB1" s="673"/>
      <c r="AC1" s="673"/>
      <c r="AD1" s="673"/>
      <c r="AE1" s="673"/>
      <c r="AF1" s="673"/>
      <c r="AG1" s="673"/>
      <c r="AH1" s="673"/>
      <c r="AI1" s="673"/>
      <c r="AJ1" s="673"/>
    </row>
    <row r="2" spans="1:37" ht="15" customHeight="1">
      <c r="A2" s="9"/>
      <c r="B2" s="172"/>
      <c r="C2" s="172"/>
      <c r="D2" s="172"/>
      <c r="E2" s="172"/>
      <c r="F2" s="172"/>
      <c r="G2" s="172"/>
      <c r="H2" s="172"/>
      <c r="I2" s="172"/>
      <c r="J2" s="172"/>
      <c r="K2" s="172"/>
      <c r="L2" s="172"/>
      <c r="O2" s="692"/>
    </row>
    <row r="3" spans="1:37" ht="15" customHeight="1">
      <c r="A3" s="11" t="s">
        <v>41</v>
      </c>
      <c r="B3" s="172"/>
      <c r="C3" s="172"/>
      <c r="D3" s="172"/>
      <c r="E3" s="172"/>
      <c r="F3" s="172"/>
      <c r="G3" s="172"/>
      <c r="H3" s="172"/>
      <c r="I3" s="172"/>
      <c r="J3" s="172"/>
      <c r="K3" s="172"/>
      <c r="L3" s="172"/>
      <c r="O3" s="692"/>
      <c r="Q3" s="678"/>
      <c r="R3" s="678"/>
      <c r="S3" s="678"/>
      <c r="T3" s="678"/>
      <c r="U3" s="678"/>
      <c r="V3" s="678"/>
      <c r="W3" s="678"/>
      <c r="X3" s="678"/>
      <c r="Y3" s="678"/>
      <c r="Z3" s="678"/>
      <c r="AA3" s="678"/>
    </row>
    <row r="4" spans="1:37" ht="28.5" customHeight="1" thickBot="1">
      <c r="A4" s="13"/>
      <c r="B4" s="14">
        <v>2014</v>
      </c>
      <c r="C4" s="14">
        <v>2015</v>
      </c>
      <c r="D4" s="14">
        <v>2016</v>
      </c>
      <c r="E4" s="14">
        <v>2017</v>
      </c>
      <c r="F4" s="14">
        <v>2018</v>
      </c>
      <c r="G4" s="14">
        <v>2019</v>
      </c>
      <c r="H4" s="14">
        <v>2020</v>
      </c>
      <c r="I4" s="14">
        <v>2021</v>
      </c>
      <c r="J4" s="14">
        <v>2022</v>
      </c>
      <c r="K4" s="14">
        <v>2023</v>
      </c>
      <c r="L4" s="14">
        <v>2024</v>
      </c>
      <c r="O4" s="649"/>
      <c r="P4" s="560">
        <f>+B4</f>
        <v>2014</v>
      </c>
      <c r="Q4" s="560">
        <f t="shared" ref="Q4:W4" si="0">+C4</f>
        <v>2015</v>
      </c>
      <c r="R4" s="560">
        <f t="shared" si="0"/>
        <v>2016</v>
      </c>
      <c r="S4" s="560">
        <f t="shared" si="0"/>
        <v>2017</v>
      </c>
      <c r="T4" s="560">
        <f t="shared" si="0"/>
        <v>2018</v>
      </c>
      <c r="U4" s="560">
        <f t="shared" si="0"/>
        <v>2019</v>
      </c>
      <c r="V4" s="560">
        <f t="shared" si="0"/>
        <v>2020</v>
      </c>
      <c r="W4" s="560">
        <f t="shared" si="0"/>
        <v>2021</v>
      </c>
      <c r="X4" s="560">
        <f>+J4</f>
        <v>2022</v>
      </c>
      <c r="Y4" s="560">
        <f t="shared" ref="Y4:Z4" si="1">+K4</f>
        <v>2023</v>
      </c>
      <c r="Z4" s="560">
        <f t="shared" si="1"/>
        <v>2024</v>
      </c>
      <c r="AA4" s="560">
        <f>+B4</f>
        <v>2014</v>
      </c>
      <c r="AB4" s="560">
        <f t="shared" ref="AB4:AJ4" si="2">+C4</f>
        <v>2015</v>
      </c>
      <c r="AC4" s="560">
        <f t="shared" si="2"/>
        <v>2016</v>
      </c>
      <c r="AD4" s="560">
        <f t="shared" si="2"/>
        <v>2017</v>
      </c>
      <c r="AE4" s="560">
        <f t="shared" si="2"/>
        <v>2018</v>
      </c>
      <c r="AF4" s="560">
        <f t="shared" si="2"/>
        <v>2019</v>
      </c>
      <c r="AG4" s="560">
        <f t="shared" si="2"/>
        <v>2020</v>
      </c>
      <c r="AH4" s="560">
        <f t="shared" si="2"/>
        <v>2021</v>
      </c>
      <c r="AI4" s="560">
        <f t="shared" si="2"/>
        <v>2022</v>
      </c>
      <c r="AJ4" s="560">
        <f t="shared" si="2"/>
        <v>2023</v>
      </c>
      <c r="AK4" s="560">
        <f>+L4</f>
        <v>2024</v>
      </c>
    </row>
    <row r="5" spans="1:37" ht="20.25" customHeight="1" thickTop="1">
      <c r="A5" s="113" t="s">
        <v>11</v>
      </c>
      <c r="B5" s="328">
        <v>2458163</v>
      </c>
      <c r="C5" s="328">
        <v>2537653.0000000028</v>
      </c>
      <c r="D5" s="328">
        <v>2641918.9999999977</v>
      </c>
      <c r="E5" s="328">
        <v>2767520.9999999977</v>
      </c>
      <c r="F5" s="328">
        <v>2877918.0000000005</v>
      </c>
      <c r="G5" s="328">
        <v>2930481.9999999995</v>
      </c>
      <c r="H5" s="328">
        <v>2902824.9999999981</v>
      </c>
      <c r="I5" s="328">
        <v>2922343.0000000014</v>
      </c>
      <c r="J5" s="328">
        <v>3148146.9999999995</v>
      </c>
      <c r="K5" s="328">
        <v>3296133.9999999981</v>
      </c>
      <c r="L5" s="328">
        <v>3354135.9999999991</v>
      </c>
      <c r="O5" s="2"/>
      <c r="P5" s="2"/>
      <c r="Q5" s="2"/>
      <c r="R5" s="2"/>
      <c r="S5" s="2"/>
      <c r="T5" s="2"/>
      <c r="U5" s="2"/>
      <c r="V5" s="2"/>
      <c r="W5" s="2"/>
      <c r="X5" s="2"/>
      <c r="Y5" s="2"/>
      <c r="Z5" s="2"/>
      <c r="AA5" s="2"/>
      <c r="AB5" s="2"/>
      <c r="AC5" s="2"/>
      <c r="AD5" s="2"/>
      <c r="AE5" s="2"/>
      <c r="AF5" s="2"/>
      <c r="AG5" s="2"/>
      <c r="AH5" s="2"/>
      <c r="AI5" s="2"/>
      <c r="AJ5" s="2"/>
    </row>
    <row r="6" spans="1:37" ht="20.100000000000001" customHeight="1">
      <c r="A6" s="15" t="s">
        <v>496</v>
      </c>
      <c r="B6" s="328">
        <v>898201</v>
      </c>
      <c r="C6" s="328">
        <v>934106</v>
      </c>
      <c r="D6" s="328">
        <v>969358</v>
      </c>
      <c r="E6" s="328">
        <v>1020483</v>
      </c>
      <c r="F6" s="328">
        <v>1048978</v>
      </c>
      <c r="G6" s="328">
        <v>1063143</v>
      </c>
      <c r="H6" s="328">
        <v>1057090</v>
      </c>
      <c r="I6" s="328">
        <v>1067824</v>
      </c>
      <c r="J6" s="328">
        <v>1142575</v>
      </c>
      <c r="K6" s="328">
        <v>1186032</v>
      </c>
      <c r="L6" s="328">
        <v>1196817.9999999998</v>
      </c>
      <c r="N6" s="559">
        <f>+(L6/B6-1)*100</f>
        <v>33.246121970472053</v>
      </c>
      <c r="O6" s="419">
        <f t="shared" ref="O6" si="3">+L6-B6</f>
        <v>298616.99999999977</v>
      </c>
      <c r="P6" s="559">
        <f>B6*100/B$5</f>
        <v>36.539521585834628</v>
      </c>
      <c r="Q6" s="559">
        <f t="shared" ref="Q6:Z6" si="4">C6*100/C$5</f>
        <v>36.809839643166299</v>
      </c>
      <c r="R6" s="559">
        <f t="shared" si="4"/>
        <v>36.691435278674362</v>
      </c>
      <c r="S6" s="559">
        <f t="shared" si="4"/>
        <v>36.873541338981738</v>
      </c>
      <c r="T6" s="559">
        <f t="shared" si="4"/>
        <v>36.449196954187016</v>
      </c>
      <c r="U6" s="559">
        <f t="shared" si="4"/>
        <v>36.278775982927044</v>
      </c>
      <c r="V6" s="559">
        <f t="shared" si="4"/>
        <v>36.415905195800669</v>
      </c>
      <c r="W6" s="559">
        <f t="shared" si="4"/>
        <v>36.539995476232583</v>
      </c>
      <c r="X6" s="559">
        <f t="shared" si="4"/>
        <v>36.293572060008636</v>
      </c>
      <c r="Y6" s="559">
        <f t="shared" si="4"/>
        <v>35.982517701040088</v>
      </c>
      <c r="Z6" s="559">
        <f t="shared" si="4"/>
        <v>35.681856668900728</v>
      </c>
      <c r="AA6" s="2">
        <f>+IFERROR(RANK(B6,(B$6,B$15,B$22,B$26,B$27,B$28,B$33),0),"")</f>
        <v>1</v>
      </c>
      <c r="AB6" s="2">
        <f>+IFERROR(RANK(C6,(C$6,C$15,C$22,C$26,C$27,C$28,C$33),0),"")</f>
        <v>1</v>
      </c>
      <c r="AC6" s="2">
        <f>+IFERROR(RANK(D6,(D$6,D$15,D$22,D$26,D$27,D$28,D$33),0),"")</f>
        <v>1</v>
      </c>
      <c r="AD6" s="2">
        <f>+IFERROR(RANK(E6,(E$6,E$15,E$22,E$26,E$27,E$28,E$33),0),"")</f>
        <v>1</v>
      </c>
      <c r="AE6" s="2">
        <f>+IFERROR(RANK(F6,(F$6,F$15,F$22,F$26,F$27,F$28,F$33),0),"")</f>
        <v>1</v>
      </c>
      <c r="AF6" s="2">
        <f>+IFERROR(RANK(G6,(G$6,G$15,G$22,G$26,G$27,G$28,G$33),0),"")</f>
        <v>1</v>
      </c>
      <c r="AG6" s="2">
        <f>+IFERROR(RANK(H6,(H$6,H$15,H$22,H$26,H$27,H$28,H$33),0),"")</f>
        <v>1</v>
      </c>
      <c r="AH6" s="2">
        <f>+IFERROR(RANK(I6,(I$6,I$15,I$22,I$26,I$27,I$28,I$33),0),"")</f>
        <v>1</v>
      </c>
      <c r="AI6" s="2">
        <f>+IFERROR(RANK(J6,(J$6,J$15,J$22,J$26,J$27,J$28,J$33),0),"")</f>
        <v>1</v>
      </c>
      <c r="AJ6" s="2">
        <f>+IFERROR(RANK(K6,(K$6,K$15,K$22,K$26,K$27,K$28,K$33),0),"")</f>
        <v>1</v>
      </c>
      <c r="AK6" s="2">
        <f>+IFERROR(RANK(L6,(L$6,L$15,L$22,L$26,L$27,L$28,L$33),0),"")</f>
        <v>1</v>
      </c>
    </row>
    <row r="7" spans="1:37" ht="18" customHeight="1">
      <c r="A7" s="572" t="s">
        <v>497</v>
      </c>
      <c r="B7" s="646">
        <v>50225</v>
      </c>
      <c r="C7" s="646">
        <v>52609</v>
      </c>
      <c r="D7" s="646">
        <v>52622</v>
      </c>
      <c r="E7" s="646">
        <v>55356</v>
      </c>
      <c r="F7" s="646">
        <v>58686</v>
      </c>
      <c r="G7" s="646">
        <v>59295</v>
      </c>
      <c r="H7" s="646">
        <v>60629</v>
      </c>
      <c r="I7" s="646">
        <v>60893</v>
      </c>
      <c r="J7" s="646">
        <v>64187</v>
      </c>
      <c r="K7" s="646">
        <v>68117</v>
      </c>
      <c r="L7" s="646">
        <v>68763</v>
      </c>
      <c r="N7" s="559">
        <f t="shared" ref="N7:N31" si="5">+(L7/B7-1)*100</f>
        <v>36.909905425584874</v>
      </c>
      <c r="O7" s="419">
        <f t="shared" ref="O7:O31" si="6">+L7-B7</f>
        <v>18538</v>
      </c>
      <c r="P7" s="559">
        <f t="shared" ref="P7:P31" si="7">B7*100/B$5</f>
        <v>2.0431924164508213</v>
      </c>
      <c r="Q7" s="559">
        <f t="shared" ref="Q7:Q31" si="8">C7*100/C$5</f>
        <v>2.0731360828292891</v>
      </c>
      <c r="R7" s="559">
        <f t="shared" ref="R7:R31" si="9">D7*100/D$5</f>
        <v>1.9918097413281803</v>
      </c>
      <c r="S7" s="559">
        <f t="shared" ref="S7:S31" si="10">E7*100/E$5</f>
        <v>2.0002016244863201</v>
      </c>
      <c r="T7" s="559">
        <f t="shared" ref="T7:T31" si="11">F7*100/F$5</f>
        <v>2.0391824923434227</v>
      </c>
      <c r="U7" s="559">
        <f t="shared" ref="U7:U31" si="12">G7*100/G$5</f>
        <v>2.0233872789527458</v>
      </c>
      <c r="V7" s="559">
        <f t="shared" ref="V7:V31" si="13">H7*100/H$5</f>
        <v>2.0886205678950689</v>
      </c>
      <c r="W7" s="559">
        <f t="shared" ref="W7:W31" si="14">I7*100/I$5</f>
        <v>2.0837047533434636</v>
      </c>
      <c r="X7" s="559">
        <f t="shared" ref="X7:X31" si="15">J7*100/J$5</f>
        <v>2.0388819200628183</v>
      </c>
      <c r="Y7" s="559">
        <f t="shared" ref="Y7:Y31" si="16">K7*100/K$5</f>
        <v>2.0665725361893674</v>
      </c>
      <c r="Z7" s="559">
        <f t="shared" ref="Z7:Z31" si="17">L7*100/L$5</f>
        <v>2.0500957623662255</v>
      </c>
      <c r="AA7" s="2" t="str">
        <f>+IFERROR(RANK(B7,(B$6,B$15,B$22,B$26,B$27,B$28,B$33),0),"")</f>
        <v/>
      </c>
      <c r="AB7" s="2" t="str">
        <f>+IFERROR(RANK(C7,(C$6,C$15,C$22,C$26,C$27,C$28,C$33),0),"")</f>
        <v/>
      </c>
      <c r="AC7" s="2" t="str">
        <f>+IFERROR(RANK(D7,(D$6,D$15,D$22,D$26,D$27,D$28,D$33),0),"")</f>
        <v/>
      </c>
      <c r="AD7" s="2" t="str">
        <f>+IFERROR(RANK(E7,(E$6,E$15,E$22,E$26,E$27,E$28,E$33),0),"")</f>
        <v/>
      </c>
      <c r="AE7" s="2" t="str">
        <f>+IFERROR(RANK(F7,(F$6,F$15,F$22,F$26,F$27,F$28,F$33),0),"")</f>
        <v/>
      </c>
      <c r="AF7" s="2" t="str">
        <f>+IFERROR(RANK(G7,(G$6,G$15,G$22,G$26,G$27,G$28,G$33),0),"")</f>
        <v/>
      </c>
      <c r="AG7" s="2" t="str">
        <f>+IFERROR(RANK(H7,(H$6,H$15,H$22,H$26,H$27,H$28,H$33),0),"")</f>
        <v/>
      </c>
      <c r="AH7" s="2" t="str">
        <f>+IFERROR(RANK(I7,(I$6,I$15,I$22,I$26,I$27,I$28,I$33),0),"")</f>
        <v/>
      </c>
      <c r="AI7" s="2" t="str">
        <f>+IFERROR(RANK(J7,(J$6,J$15,J$22,J$26,J$27,J$28,J$33),0),"")</f>
        <v/>
      </c>
      <c r="AJ7" s="2" t="str">
        <f>+IFERROR(RANK(K7,(K$6,K$15,K$22,K$26,K$27,K$28,K$33),0),"")</f>
        <v/>
      </c>
      <c r="AK7" s="2" t="str">
        <f>+IFERROR(RANK(L7,(L$6,L$15,L$22,L$26,L$27,L$28,L$33),0),"")</f>
        <v/>
      </c>
    </row>
    <row r="8" spans="1:37" ht="18" customHeight="1">
      <c r="A8" s="572" t="s">
        <v>498</v>
      </c>
      <c r="B8" s="646">
        <v>104058</v>
      </c>
      <c r="C8" s="646">
        <v>107920</v>
      </c>
      <c r="D8" s="646">
        <v>113517</v>
      </c>
      <c r="E8" s="646">
        <v>120158</v>
      </c>
      <c r="F8" s="646">
        <v>126435</v>
      </c>
      <c r="G8" s="646">
        <v>129739</v>
      </c>
      <c r="H8" s="646">
        <v>129449</v>
      </c>
      <c r="I8" s="646">
        <v>132064</v>
      </c>
      <c r="J8" s="646">
        <v>143159</v>
      </c>
      <c r="K8" s="646">
        <v>149790</v>
      </c>
      <c r="L8" s="646">
        <v>150659</v>
      </c>
      <c r="N8" s="559">
        <f t="shared" si="5"/>
        <v>44.783678333237241</v>
      </c>
      <c r="O8" s="419">
        <f t="shared" si="6"/>
        <v>46601</v>
      </c>
      <c r="P8" s="559">
        <f t="shared" si="7"/>
        <v>4.2331611044507627</v>
      </c>
      <c r="Q8" s="559">
        <f t="shared" si="8"/>
        <v>4.2527485042281148</v>
      </c>
      <c r="R8" s="559">
        <f t="shared" si="9"/>
        <v>4.2967630725998829</v>
      </c>
      <c r="S8" s="559">
        <f t="shared" si="10"/>
        <v>4.341719538894198</v>
      </c>
      <c r="T8" s="559">
        <f t="shared" si="11"/>
        <v>4.3932801421027277</v>
      </c>
      <c r="U8" s="559">
        <f t="shared" si="12"/>
        <v>4.4272239174306485</v>
      </c>
      <c r="V8" s="559">
        <f t="shared" si="13"/>
        <v>4.4594145358400894</v>
      </c>
      <c r="W8" s="559">
        <f t="shared" si="14"/>
        <v>4.5191136016545608</v>
      </c>
      <c r="X8" s="559">
        <f t="shared" si="15"/>
        <v>4.5474051878771871</v>
      </c>
      <c r="Y8" s="559">
        <f t="shared" si="16"/>
        <v>4.5444147598368296</v>
      </c>
      <c r="Z8" s="559">
        <f t="shared" si="17"/>
        <v>4.4917379617284467</v>
      </c>
      <c r="AA8" s="2" t="str">
        <f>+IFERROR(RANK(B8,(B$6,B$15,B$22,B$26,B$27,B$28,B$33),0),"")</f>
        <v/>
      </c>
      <c r="AB8" s="2" t="str">
        <f>+IFERROR(RANK(C8,(C$6,C$15,C$22,C$26,C$27,C$28,C$33),0),"")</f>
        <v/>
      </c>
      <c r="AC8" s="2" t="str">
        <f>+IFERROR(RANK(D8,(D$6,D$15,D$22,D$26,D$27,D$28,D$33),0),"")</f>
        <v/>
      </c>
      <c r="AD8" s="2" t="str">
        <f>+IFERROR(RANK(E8,(E$6,E$15,E$22,E$26,E$27,E$28,E$33),0),"")</f>
        <v/>
      </c>
      <c r="AE8" s="2" t="str">
        <f>+IFERROR(RANK(F8,(F$6,F$15,F$22,F$26,F$27,F$28,F$33),0),"")</f>
        <v/>
      </c>
      <c r="AF8" s="2" t="str">
        <f>+IFERROR(RANK(G8,(G$6,G$15,G$22,G$26,G$27,G$28,G$33),0),"")</f>
        <v/>
      </c>
      <c r="AG8" s="2" t="str">
        <f>+IFERROR(RANK(H8,(H$6,H$15,H$22,H$26,H$27,H$28,H$33),0),"")</f>
        <v/>
      </c>
      <c r="AH8" s="2" t="str">
        <f>+IFERROR(RANK(I8,(I$6,I$15,I$22,I$26,I$27,I$28,I$33),0),"")</f>
        <v/>
      </c>
      <c r="AI8" s="2" t="str">
        <f>+IFERROR(RANK(J8,(J$6,J$15,J$22,J$26,J$27,J$28,J$33),0),"")</f>
        <v/>
      </c>
      <c r="AJ8" s="2" t="str">
        <f>+IFERROR(RANK(K8,(K$6,K$15,K$22,K$26,K$27,K$28,K$33),0),"")</f>
        <v/>
      </c>
      <c r="AK8" s="2" t="str">
        <f>+IFERROR(RANK(L8,(L$6,L$15,L$22,L$26,L$27,L$28,L$33),0),"")</f>
        <v/>
      </c>
    </row>
    <row r="9" spans="1:37" ht="18" customHeight="1">
      <c r="A9" s="572" t="s">
        <v>499</v>
      </c>
      <c r="B9" s="646">
        <v>117574</v>
      </c>
      <c r="C9" s="646">
        <v>122620</v>
      </c>
      <c r="D9" s="646">
        <v>128328</v>
      </c>
      <c r="E9" s="646">
        <v>132997</v>
      </c>
      <c r="F9" s="646">
        <v>136304</v>
      </c>
      <c r="G9" s="646">
        <v>130390</v>
      </c>
      <c r="H9" s="646">
        <v>132409</v>
      </c>
      <c r="I9" s="646">
        <v>132536</v>
      </c>
      <c r="J9" s="646">
        <v>140262</v>
      </c>
      <c r="K9" s="646">
        <v>141278</v>
      </c>
      <c r="L9" s="646">
        <v>140354</v>
      </c>
      <c r="N9" s="559">
        <f t="shared" si="5"/>
        <v>19.375031894806671</v>
      </c>
      <c r="O9" s="419">
        <f t="shared" si="6"/>
        <v>22780</v>
      </c>
      <c r="P9" s="559">
        <f t="shared" si="7"/>
        <v>4.7830025917727994</v>
      </c>
      <c r="Q9" s="559">
        <f t="shared" si="8"/>
        <v>4.8320239213162663</v>
      </c>
      <c r="R9" s="559">
        <f t="shared" si="9"/>
        <v>4.8573782920672475</v>
      </c>
      <c r="S9" s="559">
        <f t="shared" si="10"/>
        <v>4.8056365245286345</v>
      </c>
      <c r="T9" s="559">
        <f t="shared" si="11"/>
        <v>4.7362016568922387</v>
      </c>
      <c r="U9" s="559">
        <f t="shared" si="12"/>
        <v>4.4494386930204666</v>
      </c>
      <c r="V9" s="559">
        <f t="shared" si="13"/>
        <v>4.5613841688699832</v>
      </c>
      <c r="W9" s="559">
        <f t="shared" si="14"/>
        <v>4.5352650253580755</v>
      </c>
      <c r="X9" s="559">
        <f t="shared" si="15"/>
        <v>4.4553828013749044</v>
      </c>
      <c r="Y9" s="559">
        <f t="shared" si="16"/>
        <v>4.2861728315657093</v>
      </c>
      <c r="Z9" s="559">
        <f t="shared" si="17"/>
        <v>4.1845053390798714</v>
      </c>
      <c r="AA9" s="2" t="str">
        <f>+IFERROR(RANK(B9,(B$6,B$15,B$22,B$26,B$27,B$28,B$33),0),"")</f>
        <v/>
      </c>
      <c r="AB9" s="2" t="str">
        <f>+IFERROR(RANK(C9,(C$6,C$15,C$22,C$26,C$27,C$28,C$33),0),"")</f>
        <v/>
      </c>
      <c r="AC9" s="2" t="str">
        <f>+IFERROR(RANK(D9,(D$6,D$15,D$22,D$26,D$27,D$28,D$33),0),"")</f>
        <v/>
      </c>
      <c r="AD9" s="2" t="str">
        <f>+IFERROR(RANK(E9,(E$6,E$15,E$22,E$26,E$27,E$28,E$33),0),"")</f>
        <v/>
      </c>
      <c r="AE9" s="2" t="str">
        <f>+IFERROR(RANK(F9,(F$6,F$15,F$22,F$26,F$27,F$28,F$33),0),"")</f>
        <v/>
      </c>
      <c r="AF9" s="2" t="str">
        <f>+IFERROR(RANK(G9,(G$6,G$15,G$22,G$26,G$27,G$28,G$33),0),"")</f>
        <v/>
      </c>
      <c r="AG9" s="2" t="str">
        <f>+IFERROR(RANK(H9,(H$6,H$15,H$22,H$26,H$27,H$28,H$33),0),"")</f>
        <v/>
      </c>
      <c r="AH9" s="2" t="str">
        <f>+IFERROR(RANK(I9,(I$6,I$15,I$22,I$26,I$27,I$28,I$33),0),"")</f>
        <v/>
      </c>
      <c r="AI9" s="2" t="str">
        <f>+IFERROR(RANK(J9,(J$6,J$15,J$22,J$26,J$27,J$28,J$33),0),"")</f>
        <v/>
      </c>
      <c r="AJ9" s="2" t="str">
        <f>+IFERROR(RANK(K9,(K$6,K$15,K$22,K$26,K$27,K$28,K$33),0),"")</f>
        <v/>
      </c>
      <c r="AK9" s="2" t="str">
        <f>+IFERROR(RANK(L9,(L$6,L$15,L$22,L$26,L$27,L$28,L$33),0),"")</f>
        <v/>
      </c>
    </row>
    <row r="10" spans="1:37" ht="18" customHeight="1">
      <c r="A10" s="572" t="s">
        <v>500</v>
      </c>
      <c r="B10" s="646">
        <v>466468</v>
      </c>
      <c r="C10" s="646">
        <v>484890</v>
      </c>
      <c r="D10" s="646">
        <v>503447</v>
      </c>
      <c r="E10" s="646">
        <v>534642</v>
      </c>
      <c r="F10" s="646">
        <v>546000</v>
      </c>
      <c r="G10" s="646">
        <v>561884</v>
      </c>
      <c r="H10" s="646">
        <v>551846</v>
      </c>
      <c r="I10" s="646">
        <v>554585</v>
      </c>
      <c r="J10" s="646">
        <v>598036</v>
      </c>
      <c r="K10" s="646">
        <v>622620</v>
      </c>
      <c r="L10" s="646">
        <v>631342.00000000012</v>
      </c>
      <c r="N10" s="559">
        <f t="shared" si="5"/>
        <v>35.345189809376024</v>
      </c>
      <c r="O10" s="419">
        <f t="shared" si="6"/>
        <v>164874.00000000012</v>
      </c>
      <c r="P10" s="559">
        <f t="shared" si="7"/>
        <v>18.976284322886645</v>
      </c>
      <c r="Q10" s="559">
        <f t="shared" si="8"/>
        <v>19.107813400807732</v>
      </c>
      <c r="R10" s="559">
        <f t="shared" si="9"/>
        <v>19.056110350090236</v>
      </c>
      <c r="S10" s="559">
        <f t="shared" si="10"/>
        <v>19.318444196087416</v>
      </c>
      <c r="T10" s="559">
        <f t="shared" si="11"/>
        <v>18.972048543426183</v>
      </c>
      <c r="U10" s="559">
        <f t="shared" si="12"/>
        <v>19.173774143639172</v>
      </c>
      <c r="V10" s="559">
        <f t="shared" si="13"/>
        <v>19.01065341520761</v>
      </c>
      <c r="W10" s="559">
        <f t="shared" si="14"/>
        <v>18.977409564859421</v>
      </c>
      <c r="X10" s="559">
        <f t="shared" si="15"/>
        <v>18.996444575173907</v>
      </c>
      <c r="Y10" s="559">
        <f t="shared" si="16"/>
        <v>18.889401947857714</v>
      </c>
      <c r="Z10" s="559">
        <f t="shared" si="17"/>
        <v>18.822790727627034</v>
      </c>
      <c r="AA10" s="2" t="str">
        <f>+IFERROR(RANK(B10,(B$6,B$15,B$22,B$26,B$27,B$28,B$33),0),"")</f>
        <v/>
      </c>
      <c r="AB10" s="2" t="str">
        <f>+IFERROR(RANK(C10,(C$6,C$15,C$22,C$26,C$27,C$28,C$33),0),"")</f>
        <v/>
      </c>
      <c r="AC10" s="2" t="str">
        <f>+IFERROR(RANK(D10,(D$6,D$15,D$22,D$26,D$27,D$28,D$33),0),"")</f>
        <v/>
      </c>
      <c r="AD10" s="2" t="str">
        <f>+IFERROR(RANK(E10,(E$6,E$15,E$22,E$26,E$27,E$28,E$33),0),"")</f>
        <v/>
      </c>
      <c r="AE10" s="2" t="str">
        <f>+IFERROR(RANK(F10,(F$6,F$15,F$22,F$26,F$27,F$28,F$33),0),"")</f>
        <v/>
      </c>
      <c r="AF10" s="2" t="str">
        <f>+IFERROR(RANK(G10,(G$6,G$15,G$22,G$26,G$27,G$28,G$33),0),"")</f>
        <v/>
      </c>
      <c r="AG10" s="2" t="str">
        <f>+IFERROR(RANK(H10,(H$6,H$15,H$22,H$26,H$27,H$28,H$33),0),"")</f>
        <v/>
      </c>
      <c r="AH10" s="2" t="str">
        <f>+IFERROR(RANK(I10,(I$6,I$15,I$22,I$26,I$27,I$28,I$33),0),"")</f>
        <v/>
      </c>
      <c r="AI10" s="2" t="str">
        <f>+IFERROR(RANK(J10,(J$6,J$15,J$22,J$26,J$27,J$28,J$33),0),"")</f>
        <v/>
      </c>
      <c r="AJ10" s="2" t="str">
        <f>+IFERROR(RANK(K10,(K$6,K$15,K$22,K$26,K$27,K$28,K$33),0),"")</f>
        <v/>
      </c>
      <c r="AK10" s="2" t="str">
        <f>+IFERROR(RANK(L10,(L$6,L$15,L$22,L$26,L$27,L$28,L$33),0),"")</f>
        <v/>
      </c>
    </row>
    <row r="11" spans="1:37" ht="18" customHeight="1">
      <c r="A11" s="572" t="s">
        <v>771</v>
      </c>
      <c r="B11" s="646">
        <v>11285</v>
      </c>
      <c r="C11" s="646">
        <v>11800</v>
      </c>
      <c r="D11" s="646">
        <v>12071</v>
      </c>
      <c r="E11" s="646">
        <v>13249</v>
      </c>
      <c r="F11" s="646">
        <v>13544</v>
      </c>
      <c r="G11" s="646">
        <v>13823</v>
      </c>
      <c r="H11" s="646">
        <v>13398</v>
      </c>
      <c r="I11" s="646">
        <v>13653</v>
      </c>
      <c r="J11" s="646">
        <v>14446</v>
      </c>
      <c r="K11" s="646">
        <v>14953</v>
      </c>
      <c r="L11" s="646">
        <v>15712.999999999998</v>
      </c>
      <c r="N11" s="559">
        <f t="shared" si="5"/>
        <v>39.237926451041183</v>
      </c>
      <c r="O11" s="419">
        <f t="shared" si="6"/>
        <v>4427.9999999999982</v>
      </c>
      <c r="P11" s="559">
        <f t="shared" si="7"/>
        <v>0.45908265643897495</v>
      </c>
      <c r="Q11" s="559">
        <f t="shared" si="8"/>
        <v>0.46499659330885612</v>
      </c>
      <c r="R11" s="559">
        <f t="shared" si="9"/>
        <v>0.45690272866049303</v>
      </c>
      <c r="S11" s="559">
        <f t="shared" si="10"/>
        <v>0.47873168803416527</v>
      </c>
      <c r="T11" s="559">
        <f t="shared" si="11"/>
        <v>0.47061799537026411</v>
      </c>
      <c r="U11" s="559">
        <f t="shared" si="12"/>
        <v>0.47169714743171948</v>
      </c>
      <c r="V11" s="559">
        <f t="shared" si="13"/>
        <v>0.46155038626165917</v>
      </c>
      <c r="W11" s="559">
        <f t="shared" si="14"/>
        <v>0.4671936182713663</v>
      </c>
      <c r="X11" s="559">
        <f t="shared" si="15"/>
        <v>0.45887310853019259</v>
      </c>
      <c r="Y11" s="559">
        <f t="shared" si="16"/>
        <v>0.45365267310127588</v>
      </c>
      <c r="Z11" s="559">
        <f t="shared" si="17"/>
        <v>0.46846639492256731</v>
      </c>
      <c r="AA11" s="2" t="str">
        <f>+IFERROR(RANK(B11,(B$6,B$15,B$22,B$26,B$27,B$28,B$33),0),"")</f>
        <v/>
      </c>
      <c r="AB11" s="2" t="str">
        <f>+IFERROR(RANK(C11,(C$6,C$15,C$22,C$26,C$27,C$28,C$33),0),"")</f>
        <v/>
      </c>
      <c r="AC11" s="2" t="str">
        <f>+IFERROR(RANK(D11,(D$6,D$15,D$22,D$26,D$27,D$28,D$33),0),"")</f>
        <v/>
      </c>
      <c r="AD11" s="2" t="str">
        <f>+IFERROR(RANK(E11,(E$6,E$15,E$22,E$26,E$27,E$28,E$33),0),"")</f>
        <v/>
      </c>
      <c r="AE11" s="2" t="str">
        <f>+IFERROR(RANK(F11,(F$6,F$15,F$22,F$26,F$27,F$28,F$33),0),"")</f>
        <v/>
      </c>
      <c r="AF11" s="2" t="str">
        <f>+IFERROR(RANK(G11,(G$6,G$15,G$22,G$26,G$27,G$28,G$33),0),"")</f>
        <v/>
      </c>
      <c r="AG11" s="2" t="str">
        <f>+IFERROR(RANK(H11,(H$6,H$15,H$22,H$26,H$27,H$28,H$33),0),"")</f>
        <v/>
      </c>
      <c r="AH11" s="2" t="str">
        <f>+IFERROR(RANK(I11,(I$6,I$15,I$22,I$26,I$27,I$28,I$33),0),"")</f>
        <v/>
      </c>
      <c r="AI11" s="2" t="str">
        <f>+IFERROR(RANK(J11,(J$6,J$15,J$22,J$26,J$27,J$28,J$33),0),"")</f>
        <v/>
      </c>
      <c r="AJ11" s="2" t="str">
        <f>+IFERROR(RANK(K11,(K$6,K$15,K$22,K$26,K$27,K$28,K$33),0),"")</f>
        <v/>
      </c>
      <c r="AK11" s="2" t="str">
        <f>+IFERROR(RANK(L11,(L$6,L$15,L$22,L$26,L$27,L$28,L$33),0),"")</f>
        <v/>
      </c>
    </row>
    <row r="12" spans="1:37" ht="18" customHeight="1">
      <c r="A12" s="572" t="s">
        <v>502</v>
      </c>
      <c r="B12" s="646">
        <v>102491</v>
      </c>
      <c r="C12" s="646">
        <v>106598</v>
      </c>
      <c r="D12" s="646">
        <v>110512</v>
      </c>
      <c r="E12" s="646">
        <v>114101</v>
      </c>
      <c r="F12" s="646">
        <v>116671</v>
      </c>
      <c r="G12" s="646">
        <v>116470</v>
      </c>
      <c r="H12" s="646">
        <v>116377</v>
      </c>
      <c r="I12" s="646">
        <v>120140</v>
      </c>
      <c r="J12" s="646">
        <v>126318</v>
      </c>
      <c r="K12" s="646">
        <v>130339.99999999999</v>
      </c>
      <c r="L12" s="646">
        <v>130073</v>
      </c>
      <c r="N12" s="559">
        <f t="shared" si="5"/>
        <v>26.911631265184255</v>
      </c>
      <c r="O12" s="419">
        <f t="shared" si="6"/>
        <v>27582</v>
      </c>
      <c r="P12" s="559">
        <f t="shared" si="7"/>
        <v>4.169414314673193</v>
      </c>
      <c r="Q12" s="559">
        <f t="shared" si="8"/>
        <v>4.2006531231811399</v>
      </c>
      <c r="R12" s="559">
        <f t="shared" si="9"/>
        <v>4.183019994178478</v>
      </c>
      <c r="S12" s="559">
        <f t="shared" si="10"/>
        <v>4.1228594110035699</v>
      </c>
      <c r="T12" s="559">
        <f t="shared" si="11"/>
        <v>4.0540070981869523</v>
      </c>
      <c r="U12" s="559">
        <f t="shared" si="12"/>
        <v>3.9744315099017848</v>
      </c>
      <c r="V12" s="559">
        <f t="shared" si="13"/>
        <v>4.0090945888918581</v>
      </c>
      <c r="W12" s="559">
        <f t="shared" si="14"/>
        <v>4.1110848384327214</v>
      </c>
      <c r="X12" s="559">
        <f t="shared" si="15"/>
        <v>4.0124555810132128</v>
      </c>
      <c r="Y12" s="559">
        <f t="shared" si="16"/>
        <v>3.9543295266515273</v>
      </c>
      <c r="Z12" s="559">
        <f t="shared" si="17"/>
        <v>3.8779882509236367</v>
      </c>
      <c r="AA12" s="2" t="str">
        <f>+IFERROR(RANK(B12,(B$6,B$15,B$22,B$26,B$27,B$28,B$33),0),"")</f>
        <v/>
      </c>
      <c r="AB12" s="2" t="str">
        <f>+IFERROR(RANK(C12,(C$6,C$15,C$22,C$26,C$27,C$28,C$33),0),"")</f>
        <v/>
      </c>
      <c r="AC12" s="2" t="str">
        <f>+IFERROR(RANK(D12,(D$6,D$15,D$22,D$26,D$27,D$28,D$33),0),"")</f>
        <v/>
      </c>
      <c r="AD12" s="2" t="str">
        <f>+IFERROR(RANK(E12,(E$6,E$15,E$22,E$26,E$27,E$28,E$33),0),"")</f>
        <v/>
      </c>
      <c r="AE12" s="2" t="str">
        <f>+IFERROR(RANK(F12,(F$6,F$15,F$22,F$26,F$27,F$28,F$33),0),"")</f>
        <v/>
      </c>
      <c r="AF12" s="2" t="str">
        <f>+IFERROR(RANK(G12,(G$6,G$15,G$22,G$26,G$27,G$28,G$33),0),"")</f>
        <v/>
      </c>
      <c r="AG12" s="2" t="str">
        <f>+IFERROR(RANK(H12,(H$6,H$15,H$22,H$26,H$27,H$28,H$33),0),"")</f>
        <v/>
      </c>
      <c r="AH12" s="2" t="str">
        <f>+IFERROR(RANK(I12,(I$6,I$15,I$22,I$26,I$27,I$28,I$33),0),"")</f>
        <v/>
      </c>
      <c r="AI12" s="2" t="str">
        <f>+IFERROR(RANK(J12,(J$6,J$15,J$22,J$26,J$27,J$28,J$33),0),"")</f>
        <v/>
      </c>
      <c r="AJ12" s="2" t="str">
        <f>+IFERROR(RANK(K12,(K$6,K$15,K$22,K$26,K$27,K$28,K$33),0),"")</f>
        <v/>
      </c>
      <c r="AK12" s="2" t="str">
        <f>+IFERROR(RANK(L12,(L$6,L$15,L$22,L$26,L$27,L$28,L$33),0),"")</f>
        <v/>
      </c>
    </row>
    <row r="13" spans="1:37" ht="18" customHeight="1">
      <c r="A13" s="572" t="s">
        <v>503</v>
      </c>
      <c r="B13" s="646">
        <v>30403</v>
      </c>
      <c r="C13" s="646">
        <v>31414</v>
      </c>
      <c r="D13" s="646">
        <v>32095</v>
      </c>
      <c r="E13" s="646">
        <v>32842</v>
      </c>
      <c r="F13" s="646">
        <v>33779</v>
      </c>
      <c r="G13" s="646">
        <v>33925</v>
      </c>
      <c r="H13" s="646">
        <v>34875</v>
      </c>
      <c r="I13" s="646">
        <v>35549</v>
      </c>
      <c r="J13" s="646">
        <v>37314</v>
      </c>
      <c r="K13" s="646">
        <v>39343</v>
      </c>
      <c r="L13" s="646">
        <v>40207</v>
      </c>
      <c r="N13" s="559">
        <f t="shared" si="5"/>
        <v>32.246817748248532</v>
      </c>
      <c r="O13" s="419">
        <f t="shared" si="6"/>
        <v>9804</v>
      </c>
      <c r="P13" s="559">
        <f t="shared" si="7"/>
        <v>1.2368179001962034</v>
      </c>
      <c r="Q13" s="559">
        <f t="shared" si="8"/>
        <v>1.2379155069664751</v>
      </c>
      <c r="R13" s="559">
        <f t="shared" si="9"/>
        <v>1.2148366395790344</v>
      </c>
      <c r="S13" s="559">
        <f t="shared" si="10"/>
        <v>1.1866937956387693</v>
      </c>
      <c r="T13" s="559">
        <f t="shared" si="11"/>
        <v>1.1737304537516355</v>
      </c>
      <c r="U13" s="559">
        <f t="shared" si="12"/>
        <v>1.1576593884555513</v>
      </c>
      <c r="V13" s="559">
        <f t="shared" si="13"/>
        <v>1.201415862134301</v>
      </c>
      <c r="W13" s="559">
        <f t="shared" si="14"/>
        <v>1.2164554263479674</v>
      </c>
      <c r="X13" s="559">
        <f t="shared" si="15"/>
        <v>1.1852686675685731</v>
      </c>
      <c r="Y13" s="559">
        <f t="shared" si="16"/>
        <v>1.1936104539439241</v>
      </c>
      <c r="Z13" s="559">
        <f t="shared" si="17"/>
        <v>1.1987289722301067</v>
      </c>
      <c r="AA13" s="2" t="str">
        <f>+IFERROR(RANK(B13,(B$6,B$15,B$22,B$26,B$27,B$28,B$33),0),"")</f>
        <v/>
      </c>
      <c r="AB13" s="2" t="str">
        <f>+IFERROR(RANK(C13,(C$6,C$15,C$22,C$26,C$27,C$28,C$33),0),"")</f>
        <v/>
      </c>
      <c r="AC13" s="2" t="str">
        <f>+IFERROR(RANK(D13,(D$6,D$15,D$22,D$26,D$27,D$28,D$33),0),"")</f>
        <v/>
      </c>
      <c r="AD13" s="2" t="str">
        <f>+IFERROR(RANK(E13,(E$6,E$15,E$22,E$26,E$27,E$28,E$33),0),"")</f>
        <v/>
      </c>
      <c r="AE13" s="2" t="str">
        <f>+IFERROR(RANK(F13,(F$6,F$15,F$22,F$26,F$27,F$28,F$33),0),"")</f>
        <v/>
      </c>
      <c r="AF13" s="2" t="str">
        <f>+IFERROR(RANK(G13,(G$6,G$15,G$22,G$26,G$27,G$28,G$33),0),"")</f>
        <v/>
      </c>
      <c r="AG13" s="2" t="str">
        <f>+IFERROR(RANK(H13,(H$6,H$15,H$22,H$26,H$27,H$28,H$33),0),"")</f>
        <v/>
      </c>
      <c r="AH13" s="2" t="str">
        <f>+IFERROR(RANK(I13,(I$6,I$15,I$22,I$26,I$27,I$28,I$33),0),"")</f>
        <v/>
      </c>
      <c r="AI13" s="2" t="str">
        <f>+IFERROR(RANK(J13,(J$6,J$15,J$22,J$26,J$27,J$28,J$33),0),"")</f>
        <v/>
      </c>
      <c r="AJ13" s="2" t="str">
        <f>+IFERROR(RANK(K13,(K$6,K$15,K$22,K$26,K$27,K$28,K$33),0),"")</f>
        <v/>
      </c>
      <c r="AK13" s="2" t="str">
        <f>+IFERROR(RANK(L13,(L$6,L$15,L$22,L$26,L$27,L$28,L$33),0),"")</f>
        <v/>
      </c>
    </row>
    <row r="14" spans="1:37" ht="18" customHeight="1">
      <c r="A14" s="572" t="s">
        <v>504</v>
      </c>
      <c r="B14" s="646">
        <v>15697</v>
      </c>
      <c r="C14" s="646">
        <v>16255</v>
      </c>
      <c r="D14" s="646">
        <v>16766</v>
      </c>
      <c r="E14" s="646">
        <v>17138</v>
      </c>
      <c r="F14" s="646">
        <v>17559</v>
      </c>
      <c r="G14" s="646">
        <v>17617</v>
      </c>
      <c r="H14" s="646">
        <v>18107</v>
      </c>
      <c r="I14" s="646">
        <v>18404</v>
      </c>
      <c r="J14" s="646">
        <v>18853</v>
      </c>
      <c r="K14" s="646">
        <v>19591</v>
      </c>
      <c r="L14" s="646">
        <v>19707</v>
      </c>
      <c r="N14" s="559">
        <f t="shared" si="5"/>
        <v>25.546282729183911</v>
      </c>
      <c r="O14" s="419">
        <f t="shared" si="6"/>
        <v>4010</v>
      </c>
      <c r="P14" s="559">
        <f t="shared" si="7"/>
        <v>0.63856627896522733</v>
      </c>
      <c r="Q14" s="559">
        <f t="shared" si="8"/>
        <v>0.64055251052842854</v>
      </c>
      <c r="R14" s="559">
        <f t="shared" si="9"/>
        <v>0.63461446017080825</v>
      </c>
      <c r="S14" s="559">
        <f t="shared" si="10"/>
        <v>0.61925456030866666</v>
      </c>
      <c r="T14" s="559">
        <f t="shared" si="11"/>
        <v>0.61012857211359039</v>
      </c>
      <c r="U14" s="559">
        <f t="shared" si="12"/>
        <v>0.6011639040949579</v>
      </c>
      <c r="V14" s="559">
        <f t="shared" si="13"/>
        <v>0.62377167070009432</v>
      </c>
      <c r="W14" s="559">
        <f t="shared" si="14"/>
        <v>0.62976864796500587</v>
      </c>
      <c r="X14" s="559">
        <f t="shared" si="15"/>
        <v>0.59886021840784442</v>
      </c>
      <c r="Y14" s="559">
        <f t="shared" si="16"/>
        <v>0.5943629718937401</v>
      </c>
      <c r="Z14" s="559">
        <f t="shared" si="17"/>
        <v>0.58754326002284951</v>
      </c>
      <c r="AA14" s="2" t="str">
        <f>+IFERROR(RANK(B14,(B$6,B$15,B$22,B$26,B$27,B$28,B$33),0),"")</f>
        <v/>
      </c>
      <c r="AB14" s="2" t="str">
        <f>+IFERROR(RANK(C14,(C$6,C$15,C$22,C$26,C$27,C$28,C$33),0),"")</f>
        <v/>
      </c>
      <c r="AC14" s="2" t="str">
        <f>+IFERROR(RANK(D14,(D$6,D$15,D$22,D$26,D$27,D$28,D$33),0),"")</f>
        <v/>
      </c>
      <c r="AD14" s="2" t="str">
        <f>+IFERROR(RANK(E14,(E$6,E$15,E$22,E$26,E$27,E$28,E$33),0),"")</f>
        <v/>
      </c>
      <c r="AE14" s="2" t="str">
        <f>+IFERROR(RANK(F14,(F$6,F$15,F$22,F$26,F$27,F$28,F$33),0),"")</f>
        <v/>
      </c>
      <c r="AF14" s="2" t="str">
        <f>+IFERROR(RANK(G14,(G$6,G$15,G$22,G$26,G$27,G$28,G$33),0),"")</f>
        <v/>
      </c>
      <c r="AG14" s="2" t="str">
        <f>+IFERROR(RANK(H14,(H$6,H$15,H$22,H$26,H$27,H$28,H$33),0),"")</f>
        <v/>
      </c>
      <c r="AH14" s="2" t="str">
        <f>+IFERROR(RANK(I14,(I$6,I$15,I$22,I$26,I$27,I$28,I$33),0),"")</f>
        <v/>
      </c>
      <c r="AI14" s="2" t="str">
        <f>+IFERROR(RANK(J14,(J$6,J$15,J$22,J$26,J$27,J$28,J$33),0),"")</f>
        <v/>
      </c>
      <c r="AJ14" s="2" t="str">
        <f>+IFERROR(RANK(K14,(K$6,K$15,K$22,K$26,K$27,K$28,K$33),0),"")</f>
        <v/>
      </c>
      <c r="AK14" s="2" t="str">
        <f>+IFERROR(RANK(L14,(L$6,L$15,L$22,L$26,L$27,L$28,L$33),0),"")</f>
        <v/>
      </c>
    </row>
    <row r="15" spans="1:37" ht="20.100000000000001" customHeight="1">
      <c r="A15" s="15" t="s">
        <v>505</v>
      </c>
      <c r="B15" s="328">
        <v>506978</v>
      </c>
      <c r="C15" s="328">
        <v>520196</v>
      </c>
      <c r="D15" s="328">
        <v>535079</v>
      </c>
      <c r="E15" s="328">
        <v>558841</v>
      </c>
      <c r="F15" s="328">
        <v>583002</v>
      </c>
      <c r="G15" s="328">
        <v>589366</v>
      </c>
      <c r="H15" s="328">
        <v>588856</v>
      </c>
      <c r="I15" s="328">
        <v>587715</v>
      </c>
      <c r="J15" s="328">
        <v>624809</v>
      </c>
      <c r="K15" s="328">
        <v>650262</v>
      </c>
      <c r="L15" s="328">
        <v>657790.99999999965</v>
      </c>
      <c r="N15" s="559">
        <f t="shared" si="5"/>
        <v>29.747444662292978</v>
      </c>
      <c r="O15" s="419">
        <f t="shared" si="6"/>
        <v>150812.99999999965</v>
      </c>
      <c r="P15" s="559">
        <f t="shared" si="7"/>
        <v>20.624262915030453</v>
      </c>
      <c r="Q15" s="559">
        <f t="shared" si="8"/>
        <v>20.499098970584214</v>
      </c>
      <c r="R15" s="559">
        <f t="shared" si="9"/>
        <v>20.253421849799349</v>
      </c>
      <c r="S15" s="559">
        <f t="shared" si="10"/>
        <v>20.192836838455804</v>
      </c>
      <c r="T15" s="559">
        <f t="shared" si="11"/>
        <v>20.257769679330679</v>
      </c>
      <c r="U15" s="559">
        <f t="shared" si="12"/>
        <v>20.111572089506097</v>
      </c>
      <c r="V15" s="559">
        <f t="shared" si="13"/>
        <v>20.285618320084758</v>
      </c>
      <c r="W15" s="559">
        <f t="shared" si="14"/>
        <v>20.111088944726877</v>
      </c>
      <c r="X15" s="559">
        <f t="shared" si="15"/>
        <v>19.84688135592144</v>
      </c>
      <c r="Y15" s="559">
        <f t="shared" si="16"/>
        <v>19.728020766146049</v>
      </c>
      <c r="Z15" s="559">
        <f t="shared" si="17"/>
        <v>19.611339552123106</v>
      </c>
      <c r="AA15" s="2">
        <f>+IFERROR(RANK(B15,(B$6,B$15,B$22,B$26,B$27,B$28,B$33),0),"")</f>
        <v>2</v>
      </c>
      <c r="AB15" s="2">
        <f>+IFERROR(RANK(C15,(C$6,C$15,C$22,C$26,C$27,C$28,C$33),0),"")</f>
        <v>2</v>
      </c>
      <c r="AC15" s="2">
        <f>+IFERROR(RANK(D15,(D$6,D$15,D$22,D$26,D$27,D$28,D$33),0),"")</f>
        <v>2</v>
      </c>
      <c r="AD15" s="2">
        <f>+IFERROR(RANK(E15,(E$6,E$15,E$22,E$26,E$27,E$28,E$33),0),"")</f>
        <v>2</v>
      </c>
      <c r="AE15" s="2">
        <f>+IFERROR(RANK(F15,(F$6,F$15,F$22,F$26,F$27,F$28,F$33),0),"")</f>
        <v>2</v>
      </c>
      <c r="AF15" s="2">
        <f>+IFERROR(RANK(G15,(G$6,G$15,G$22,G$26,G$27,G$28,G$33),0),"")</f>
        <v>2</v>
      </c>
      <c r="AG15" s="2">
        <f>+IFERROR(RANK(H15,(H$6,H$15,H$22,H$26,H$27,H$28,H$33),0),"")</f>
        <v>2</v>
      </c>
      <c r="AH15" s="2">
        <f>+IFERROR(RANK(I15,(I$6,I$15,I$22,I$26,I$27,I$28,I$33),0),"")</f>
        <v>2</v>
      </c>
      <c r="AI15" s="2">
        <f>+IFERROR(RANK(J15,(J$6,J$15,J$22,J$26,J$27,J$28,J$33),0),"")</f>
        <v>2</v>
      </c>
      <c r="AJ15" s="2">
        <f>+IFERROR(RANK(K15,(K$6,K$15,K$22,K$26,K$27,K$28,K$33),0),"")</f>
        <v>2</v>
      </c>
      <c r="AK15" s="2">
        <f>+IFERROR(RANK(L15,(L$6,L$15,L$22,L$26,L$27,L$28,L$33),0),"")</f>
        <v>2</v>
      </c>
    </row>
    <row r="16" spans="1:37" ht="18" customHeight="1">
      <c r="A16" s="572" t="s">
        <v>513</v>
      </c>
      <c r="B16" s="646">
        <v>76041</v>
      </c>
      <c r="C16" s="646">
        <v>78135</v>
      </c>
      <c r="D16" s="646">
        <v>80561</v>
      </c>
      <c r="E16" s="646">
        <v>85297</v>
      </c>
      <c r="F16" s="646">
        <v>93248</v>
      </c>
      <c r="G16" s="646">
        <v>94993</v>
      </c>
      <c r="H16" s="646">
        <v>93635</v>
      </c>
      <c r="I16" s="646">
        <v>91960</v>
      </c>
      <c r="J16" s="646">
        <v>97506</v>
      </c>
      <c r="K16" s="646">
        <v>103758</v>
      </c>
      <c r="L16" s="646">
        <v>104588.00000000001</v>
      </c>
      <c r="N16" s="559">
        <f t="shared" si="5"/>
        <v>37.541589405715349</v>
      </c>
      <c r="O16" s="419">
        <f t="shared" si="6"/>
        <v>28547.000000000015</v>
      </c>
      <c r="P16" s="559">
        <f t="shared" si="7"/>
        <v>3.0934075567812225</v>
      </c>
      <c r="Q16" s="559">
        <f t="shared" si="8"/>
        <v>3.0790261710328366</v>
      </c>
      <c r="R16" s="559">
        <f t="shared" si="9"/>
        <v>3.0493364860921197</v>
      </c>
      <c r="S16" s="559">
        <f t="shared" si="10"/>
        <v>3.0820723672918859</v>
      </c>
      <c r="T16" s="559">
        <f t="shared" si="11"/>
        <v>3.2401201146106313</v>
      </c>
      <c r="U16" s="559">
        <f t="shared" si="12"/>
        <v>3.2415486599132843</v>
      </c>
      <c r="V16" s="559">
        <f t="shared" si="13"/>
        <v>3.2256508745790757</v>
      </c>
      <c r="W16" s="559">
        <f t="shared" si="14"/>
        <v>3.146790092744074</v>
      </c>
      <c r="X16" s="559">
        <f t="shared" si="15"/>
        <v>3.0972505413501978</v>
      </c>
      <c r="Y16" s="559">
        <f t="shared" si="16"/>
        <v>3.1478695951074824</v>
      </c>
      <c r="Z16" s="559">
        <f t="shared" si="17"/>
        <v>3.1181800618698841</v>
      </c>
      <c r="AA16" s="2" t="str">
        <f>+IFERROR(RANK(B16,(B$6,B$15,B$22,B$26,B$27,B$28,B$33),0),"")</f>
        <v/>
      </c>
      <c r="AB16" s="2" t="str">
        <f>+IFERROR(RANK(C16,(C$6,C$15,C$22,C$26,C$27,C$28,C$33),0),"")</f>
        <v/>
      </c>
      <c r="AC16" s="2" t="str">
        <f>+IFERROR(RANK(D16,(D$6,D$15,D$22,D$26,D$27,D$28,D$33),0),"")</f>
        <v/>
      </c>
      <c r="AD16" s="2" t="str">
        <f>+IFERROR(RANK(E16,(E$6,E$15,E$22,E$26,E$27,E$28,E$33),0),"")</f>
        <v/>
      </c>
      <c r="AE16" s="2" t="str">
        <f>+IFERROR(RANK(F16,(F$6,F$15,F$22,F$26,F$27,F$28,F$33),0),"")</f>
        <v/>
      </c>
      <c r="AF16" s="2" t="str">
        <f>+IFERROR(RANK(G16,(G$6,G$15,G$22,G$26,G$27,G$28,G$33),0),"")</f>
        <v/>
      </c>
      <c r="AG16" s="2" t="str">
        <f>+IFERROR(RANK(H16,(H$6,H$15,H$22,H$26,H$27,H$28,H$33),0),"")</f>
        <v/>
      </c>
      <c r="AH16" s="2" t="str">
        <f>+IFERROR(RANK(I16,(I$6,I$15,I$22,I$26,I$27,I$28,I$33),0),"")</f>
        <v/>
      </c>
      <c r="AI16" s="2" t="str">
        <f>+IFERROR(RANK(J16,(J$6,J$15,J$22,J$26,J$27,J$28,J$33),0),"")</f>
        <v/>
      </c>
      <c r="AJ16" s="2" t="str">
        <f>+IFERROR(RANK(K16,(K$6,K$15,K$22,K$26,K$27,K$28,K$33),0),"")</f>
        <v/>
      </c>
      <c r="AK16" s="2" t="str">
        <f>+IFERROR(RANK(L16,(L$6,L$15,L$22,L$26,L$27,L$28,L$33),0),"")</f>
        <v/>
      </c>
    </row>
    <row r="17" spans="1:37" ht="18" customHeight="1">
      <c r="A17" s="572" t="s">
        <v>506</v>
      </c>
      <c r="B17" s="646">
        <v>98368</v>
      </c>
      <c r="C17" s="646">
        <v>101027</v>
      </c>
      <c r="D17" s="646">
        <v>106482</v>
      </c>
      <c r="E17" s="646">
        <v>111036</v>
      </c>
      <c r="F17" s="646">
        <v>117298</v>
      </c>
      <c r="G17" s="646">
        <v>118389</v>
      </c>
      <c r="H17" s="646">
        <v>119180</v>
      </c>
      <c r="I17" s="646">
        <v>117166</v>
      </c>
      <c r="J17" s="646">
        <v>127100</v>
      </c>
      <c r="K17" s="646">
        <v>131410.00000000003</v>
      </c>
      <c r="L17" s="646">
        <v>131216</v>
      </c>
      <c r="N17" s="559">
        <f t="shared" si="5"/>
        <v>33.392973324658428</v>
      </c>
      <c r="O17" s="419">
        <f t="shared" si="6"/>
        <v>32848</v>
      </c>
      <c r="P17" s="559">
        <f t="shared" si="7"/>
        <v>4.0016874389533976</v>
      </c>
      <c r="Q17" s="559">
        <f t="shared" si="8"/>
        <v>3.9811195620520179</v>
      </c>
      <c r="R17" s="559">
        <f t="shared" si="9"/>
        <v>4.0304793598895383</v>
      </c>
      <c r="S17" s="559">
        <f t="shared" si="10"/>
        <v>4.0121104772104745</v>
      </c>
      <c r="T17" s="559">
        <f t="shared" si="11"/>
        <v>4.0757936814044031</v>
      </c>
      <c r="U17" s="559">
        <f t="shared" si="12"/>
        <v>4.0399156179768383</v>
      </c>
      <c r="V17" s="559">
        <f t="shared" si="13"/>
        <v>4.1056556974671254</v>
      </c>
      <c r="W17" s="559">
        <f t="shared" si="14"/>
        <v>4.0093171814533726</v>
      </c>
      <c r="X17" s="559">
        <f t="shared" si="15"/>
        <v>4.0372955900725103</v>
      </c>
      <c r="Y17" s="559">
        <f t="shared" si="16"/>
        <v>3.9867917991198207</v>
      </c>
      <c r="Z17" s="559">
        <f t="shared" si="17"/>
        <v>3.9120655811213392</v>
      </c>
      <c r="AA17" s="2" t="str">
        <f>+IFERROR(RANK(B17,(B$6,B$15,B$22,B$26,B$27,B$28,B$33),0),"")</f>
        <v/>
      </c>
      <c r="AB17" s="2" t="str">
        <f>+IFERROR(RANK(C17,(C$6,C$15,C$22,C$26,C$27,C$28,C$33),0),"")</f>
        <v/>
      </c>
      <c r="AC17" s="2" t="str">
        <f>+IFERROR(RANK(D17,(D$6,D$15,D$22,D$26,D$27,D$28,D$33),0),"")</f>
        <v/>
      </c>
      <c r="AD17" s="2" t="str">
        <f>+IFERROR(RANK(E17,(E$6,E$15,E$22,E$26,E$27,E$28,E$33),0),"")</f>
        <v/>
      </c>
      <c r="AE17" s="2" t="str">
        <f>+IFERROR(RANK(F17,(F$6,F$15,F$22,F$26,F$27,F$28,F$33),0),"")</f>
        <v/>
      </c>
      <c r="AF17" s="2" t="str">
        <f>+IFERROR(RANK(G17,(G$6,G$15,G$22,G$26,G$27,G$28,G$33),0),"")</f>
        <v/>
      </c>
      <c r="AG17" s="2" t="str">
        <f>+IFERROR(RANK(H17,(H$6,H$15,H$22,H$26,H$27,H$28,H$33),0),"")</f>
        <v/>
      </c>
      <c r="AH17" s="2" t="str">
        <f>+IFERROR(RANK(I17,(I$6,I$15,I$22,I$26,I$27,I$28,I$33),0),"")</f>
        <v/>
      </c>
      <c r="AI17" s="2" t="str">
        <f>+IFERROR(RANK(J17,(J$6,J$15,J$22,J$26,J$27,J$28,J$33),0),"")</f>
        <v/>
      </c>
      <c r="AJ17" s="2" t="str">
        <f>+IFERROR(RANK(K17,(K$6,K$15,K$22,K$26,K$27,K$28,K$33),0),"")</f>
        <v/>
      </c>
      <c r="AK17" s="2" t="str">
        <f>+IFERROR(RANK(L17,(L$6,L$15,L$22,L$26,L$27,L$28,L$33),0),"")</f>
        <v/>
      </c>
    </row>
    <row r="18" spans="1:37" ht="18" customHeight="1">
      <c r="A18" s="572" t="s">
        <v>507</v>
      </c>
      <c r="B18" s="646">
        <v>91037</v>
      </c>
      <c r="C18" s="646">
        <v>93998</v>
      </c>
      <c r="D18" s="646">
        <v>95633</v>
      </c>
      <c r="E18" s="646">
        <v>100266</v>
      </c>
      <c r="F18" s="646">
        <v>101543</v>
      </c>
      <c r="G18" s="646">
        <v>102856</v>
      </c>
      <c r="H18" s="646">
        <v>103975</v>
      </c>
      <c r="I18" s="646">
        <v>104161</v>
      </c>
      <c r="J18" s="646">
        <v>111437</v>
      </c>
      <c r="K18" s="646">
        <v>114228</v>
      </c>
      <c r="L18" s="646">
        <v>117601.00000000003</v>
      </c>
      <c r="N18" s="559">
        <f t="shared" si="5"/>
        <v>29.179344662060515</v>
      </c>
      <c r="O18" s="419">
        <f t="shared" si="6"/>
        <v>26564.000000000029</v>
      </c>
      <c r="P18" s="559">
        <f t="shared" si="7"/>
        <v>3.7034566056034528</v>
      </c>
      <c r="Q18" s="559">
        <f t="shared" si="8"/>
        <v>3.7041313371055811</v>
      </c>
      <c r="R18" s="559">
        <f t="shared" si="9"/>
        <v>3.6198308880779497</v>
      </c>
      <c r="S18" s="559">
        <f t="shared" si="10"/>
        <v>3.6229535385639382</v>
      </c>
      <c r="T18" s="559">
        <f t="shared" si="11"/>
        <v>3.5283493136357595</v>
      </c>
      <c r="U18" s="559">
        <f t="shared" si="12"/>
        <v>3.5098662950326949</v>
      </c>
      <c r="V18" s="559">
        <f t="shared" si="13"/>
        <v>3.5818556061767439</v>
      </c>
      <c r="W18" s="559">
        <f t="shared" si="14"/>
        <v>3.5642975516563236</v>
      </c>
      <c r="X18" s="559">
        <f t="shared" si="15"/>
        <v>3.5397648203848173</v>
      </c>
      <c r="Y18" s="559">
        <f t="shared" si="16"/>
        <v>3.465514448138336</v>
      </c>
      <c r="Z18" s="559">
        <f t="shared" si="17"/>
        <v>3.5061488264041789</v>
      </c>
      <c r="AA18" s="2" t="str">
        <f>+IFERROR(RANK(B18,(B$6,B$15,B$22,B$26,B$27,B$28,B$33),0),"")</f>
        <v/>
      </c>
      <c r="AB18" s="2" t="str">
        <f>+IFERROR(RANK(C18,(C$6,C$15,C$22,C$26,C$27,C$28,C$33),0),"")</f>
        <v/>
      </c>
      <c r="AC18" s="2" t="str">
        <f>+IFERROR(RANK(D18,(D$6,D$15,D$22,D$26,D$27,D$28,D$33),0),"")</f>
        <v/>
      </c>
      <c r="AD18" s="2" t="str">
        <f>+IFERROR(RANK(E18,(E$6,E$15,E$22,E$26,E$27,E$28,E$33),0),"")</f>
        <v/>
      </c>
      <c r="AE18" s="2" t="str">
        <f>+IFERROR(RANK(F18,(F$6,F$15,F$22,F$26,F$27,F$28,F$33),0),"")</f>
        <v/>
      </c>
      <c r="AF18" s="2" t="str">
        <f>+IFERROR(RANK(G18,(G$6,G$15,G$22,G$26,G$27,G$28,G$33),0),"")</f>
        <v/>
      </c>
      <c r="AG18" s="2" t="str">
        <f>+IFERROR(RANK(H18,(H$6,H$15,H$22,H$26,H$27,H$28,H$33),0),"")</f>
        <v/>
      </c>
      <c r="AH18" s="2" t="str">
        <f>+IFERROR(RANK(I18,(I$6,I$15,I$22,I$26,I$27,I$28,I$33),0),"")</f>
        <v/>
      </c>
      <c r="AI18" s="2" t="str">
        <f>+IFERROR(RANK(J18,(J$6,J$15,J$22,J$26,J$27,J$28,J$33),0),"")</f>
        <v/>
      </c>
      <c r="AJ18" s="2" t="str">
        <f>+IFERROR(RANK(K18,(K$6,K$15,K$22,K$26,K$27,K$28,K$33),0),"")</f>
        <v/>
      </c>
      <c r="AK18" s="2" t="str">
        <f>+IFERROR(RANK(L18,(L$6,L$15,L$22,L$26,L$27,L$28,L$33),0),"")</f>
        <v/>
      </c>
    </row>
    <row r="19" spans="1:37" ht="18" customHeight="1">
      <c r="A19" s="572" t="s">
        <v>508</v>
      </c>
      <c r="B19" s="646">
        <v>81138</v>
      </c>
      <c r="C19" s="646">
        <v>83217</v>
      </c>
      <c r="D19" s="646">
        <v>86265</v>
      </c>
      <c r="E19" s="646">
        <v>89775</v>
      </c>
      <c r="F19" s="646">
        <v>91777</v>
      </c>
      <c r="G19" s="646">
        <v>92357</v>
      </c>
      <c r="H19" s="646">
        <v>92504</v>
      </c>
      <c r="I19" s="646">
        <v>94709</v>
      </c>
      <c r="J19" s="646">
        <v>98098</v>
      </c>
      <c r="K19" s="646">
        <v>101701</v>
      </c>
      <c r="L19" s="646">
        <v>103510</v>
      </c>
      <c r="N19" s="559">
        <f t="shared" si="5"/>
        <v>27.572777243708259</v>
      </c>
      <c r="O19" s="419">
        <f t="shared" si="6"/>
        <v>22372</v>
      </c>
      <c r="P19" s="559">
        <f t="shared" si="7"/>
        <v>3.3007575168937131</v>
      </c>
      <c r="Q19" s="559">
        <f t="shared" si="8"/>
        <v>3.2792899580833121</v>
      </c>
      <c r="R19" s="559">
        <f t="shared" si="9"/>
        <v>3.2652401530856956</v>
      </c>
      <c r="S19" s="559">
        <f t="shared" si="10"/>
        <v>3.2438778242333148</v>
      </c>
      <c r="T19" s="559">
        <f t="shared" si="11"/>
        <v>3.1890067750366753</v>
      </c>
      <c r="U19" s="559">
        <f t="shared" si="12"/>
        <v>3.151597587018109</v>
      </c>
      <c r="V19" s="559">
        <f t="shared" si="13"/>
        <v>3.1866888289855591</v>
      </c>
      <c r="W19" s="559">
        <f t="shared" si="14"/>
        <v>3.2408584481698401</v>
      </c>
      <c r="X19" s="559">
        <f t="shared" si="15"/>
        <v>3.1160552540907402</v>
      </c>
      <c r="Y19" s="559">
        <f t="shared" si="16"/>
        <v>3.0854631516801216</v>
      </c>
      <c r="Z19" s="559">
        <f t="shared" si="17"/>
        <v>3.086040637588936</v>
      </c>
      <c r="AA19" s="2" t="str">
        <f>+IFERROR(RANK(B19,(B$6,B$15,B$22,B$26,B$27,B$28,B$33),0),"")</f>
        <v/>
      </c>
      <c r="AB19" s="2" t="str">
        <f>+IFERROR(RANK(C19,(C$6,C$15,C$22,C$26,C$27,C$28,C$33),0),"")</f>
        <v/>
      </c>
      <c r="AC19" s="2" t="str">
        <f>+IFERROR(RANK(D19,(D$6,D$15,D$22,D$26,D$27,D$28,D$33),0),"")</f>
        <v/>
      </c>
      <c r="AD19" s="2" t="str">
        <f>+IFERROR(RANK(E19,(E$6,E$15,E$22,E$26,E$27,E$28,E$33),0),"")</f>
        <v/>
      </c>
      <c r="AE19" s="2" t="str">
        <f>+IFERROR(RANK(F19,(F$6,F$15,F$22,F$26,F$27,F$28,F$33),0),"")</f>
        <v/>
      </c>
      <c r="AF19" s="2" t="str">
        <f>+IFERROR(RANK(G19,(G$6,G$15,G$22,G$26,G$27,G$28,G$33),0),"")</f>
        <v/>
      </c>
      <c r="AG19" s="2" t="str">
        <f>+IFERROR(RANK(H19,(H$6,H$15,H$22,H$26,H$27,H$28,H$33),0),"")</f>
        <v/>
      </c>
      <c r="AH19" s="2" t="str">
        <f>+IFERROR(RANK(I19,(I$6,I$15,I$22,I$26,I$27,I$28,I$33),0),"")</f>
        <v/>
      </c>
      <c r="AI19" s="2" t="str">
        <f>+IFERROR(RANK(J19,(J$6,J$15,J$22,J$26,J$27,J$28,J$33),0),"")</f>
        <v/>
      </c>
      <c r="AJ19" s="2" t="str">
        <f>+IFERROR(RANK(K19,(K$6,K$15,K$22,K$26,K$27,K$28,K$33),0),"")</f>
        <v/>
      </c>
      <c r="AK19" s="2" t="str">
        <f>+IFERROR(RANK(L19,(L$6,L$15,L$22,L$26,L$27,L$28,L$33),0),"")</f>
        <v/>
      </c>
    </row>
    <row r="20" spans="1:37" ht="18" customHeight="1">
      <c r="A20" s="572" t="s">
        <v>509</v>
      </c>
      <c r="B20" s="646">
        <v>54665</v>
      </c>
      <c r="C20" s="646">
        <v>56306</v>
      </c>
      <c r="D20" s="646">
        <v>58117</v>
      </c>
      <c r="E20" s="646">
        <v>60427</v>
      </c>
      <c r="F20" s="646">
        <v>63458</v>
      </c>
      <c r="G20" s="646">
        <v>65071</v>
      </c>
      <c r="H20" s="646">
        <v>64891</v>
      </c>
      <c r="I20" s="646">
        <v>65303</v>
      </c>
      <c r="J20" s="646">
        <v>69493</v>
      </c>
      <c r="K20" s="646">
        <v>72453</v>
      </c>
      <c r="L20" s="646">
        <v>74675</v>
      </c>
      <c r="N20" s="559">
        <f t="shared" si="5"/>
        <v>36.604774535809014</v>
      </c>
      <c r="O20" s="419">
        <f t="shared" si="6"/>
        <v>20010</v>
      </c>
      <c r="P20" s="559">
        <f t="shared" si="7"/>
        <v>2.2238151009514016</v>
      </c>
      <c r="Q20" s="559">
        <f t="shared" si="8"/>
        <v>2.2188218799024115</v>
      </c>
      <c r="R20" s="559">
        <f t="shared" si="9"/>
        <v>2.1998024920521808</v>
      </c>
      <c r="S20" s="559">
        <f t="shared" si="10"/>
        <v>2.1834341997766251</v>
      </c>
      <c r="T20" s="559">
        <f t="shared" si="11"/>
        <v>2.2049968067193015</v>
      </c>
      <c r="U20" s="559">
        <f t="shared" si="12"/>
        <v>2.220487960683601</v>
      </c>
      <c r="V20" s="559">
        <f t="shared" si="13"/>
        <v>2.2354430597779764</v>
      </c>
      <c r="W20" s="559">
        <f t="shared" si="14"/>
        <v>2.234611063793674</v>
      </c>
      <c r="X20" s="559">
        <f t="shared" si="15"/>
        <v>2.207425510943422</v>
      </c>
      <c r="Y20" s="559">
        <f t="shared" si="16"/>
        <v>2.198120586116949</v>
      </c>
      <c r="Z20" s="559">
        <f t="shared" si="17"/>
        <v>2.2263557589793623</v>
      </c>
      <c r="AA20" s="2" t="str">
        <f>+IFERROR(RANK(B20,(B$6,B$15,B$22,B$26,B$27,B$28,B$33),0),"")</f>
        <v/>
      </c>
      <c r="AB20" s="2" t="str">
        <f>+IFERROR(RANK(C20,(C$6,C$15,C$22,C$26,C$27,C$28,C$33),0),"")</f>
        <v/>
      </c>
      <c r="AC20" s="2" t="str">
        <f>+IFERROR(RANK(D20,(D$6,D$15,D$22,D$26,D$27,D$28,D$33),0),"")</f>
        <v/>
      </c>
      <c r="AD20" s="2" t="str">
        <f>+IFERROR(RANK(E20,(E$6,E$15,E$22,E$26,E$27,E$28,E$33),0),"")</f>
        <v/>
      </c>
      <c r="AE20" s="2" t="str">
        <f>+IFERROR(RANK(F20,(F$6,F$15,F$22,F$26,F$27,F$28,F$33),0),"")</f>
        <v/>
      </c>
      <c r="AF20" s="2" t="str">
        <f>+IFERROR(RANK(G20,(G$6,G$15,G$22,G$26,G$27,G$28,G$33),0),"")</f>
        <v/>
      </c>
      <c r="AG20" s="2" t="str">
        <f>+IFERROR(RANK(H20,(H$6,H$15,H$22,H$26,H$27,H$28,H$33),0),"")</f>
        <v/>
      </c>
      <c r="AH20" s="2" t="str">
        <f>+IFERROR(RANK(I20,(I$6,I$15,I$22,I$26,I$27,I$28,I$33),0),"")</f>
        <v/>
      </c>
      <c r="AI20" s="2" t="str">
        <f>+IFERROR(RANK(J20,(J$6,J$15,J$22,J$26,J$27,J$28,J$33),0),"")</f>
        <v/>
      </c>
      <c r="AJ20" s="2" t="str">
        <f>+IFERROR(RANK(K20,(K$6,K$15,K$22,K$26,K$27,K$28,K$33),0),"")</f>
        <v/>
      </c>
      <c r="AK20" s="2" t="str">
        <f>+IFERROR(RANK(L20,(L$6,L$15,L$22,L$26,L$27,L$28,L$33),0),"")</f>
        <v/>
      </c>
    </row>
    <row r="21" spans="1:37" ht="18" customHeight="1">
      <c r="A21" s="572" t="s">
        <v>510</v>
      </c>
      <c r="B21" s="646">
        <v>16046</v>
      </c>
      <c r="C21" s="646">
        <v>15828</v>
      </c>
      <c r="D21" s="646">
        <v>15688</v>
      </c>
      <c r="E21" s="646">
        <v>15982</v>
      </c>
      <c r="F21" s="646">
        <v>17019</v>
      </c>
      <c r="G21" s="646">
        <v>16927</v>
      </c>
      <c r="H21" s="646">
        <v>16726</v>
      </c>
      <c r="I21" s="646">
        <v>16669</v>
      </c>
      <c r="J21" s="646">
        <v>17339</v>
      </c>
      <c r="K21" s="646">
        <v>18198</v>
      </c>
      <c r="L21" s="646">
        <v>18069.000000000004</v>
      </c>
      <c r="N21" s="559">
        <f t="shared" si="5"/>
        <v>12.60750342764554</v>
      </c>
      <c r="O21" s="419">
        <f t="shared" si="6"/>
        <v>2023.0000000000036</v>
      </c>
      <c r="P21" s="559">
        <f t="shared" si="7"/>
        <v>0.65276387285952964</v>
      </c>
      <c r="Q21" s="559">
        <f t="shared" si="8"/>
        <v>0.62372593888920125</v>
      </c>
      <c r="R21" s="559">
        <f t="shared" si="9"/>
        <v>0.59381078678036736</v>
      </c>
      <c r="S21" s="559">
        <f t="shared" si="10"/>
        <v>0.5774843262255287</v>
      </c>
      <c r="T21" s="559">
        <f t="shared" si="11"/>
        <v>0.59136500762009192</v>
      </c>
      <c r="U21" s="559">
        <f t="shared" si="12"/>
        <v>0.57761828941450599</v>
      </c>
      <c r="V21" s="559">
        <f t="shared" si="13"/>
        <v>0.57619732501959331</v>
      </c>
      <c r="W21" s="559">
        <f t="shared" si="14"/>
        <v>0.57039847820738332</v>
      </c>
      <c r="X21" s="559">
        <f t="shared" si="15"/>
        <v>0.55076843616260618</v>
      </c>
      <c r="Y21" s="559">
        <f t="shared" si="16"/>
        <v>0.55210134054016036</v>
      </c>
      <c r="Z21" s="559">
        <f t="shared" si="17"/>
        <v>0.5387080309206308</v>
      </c>
      <c r="AA21" s="2" t="str">
        <f>+IFERROR(RANK(B21,(B$6,B$15,B$22,B$26,B$27,B$28,B$33),0),"")</f>
        <v/>
      </c>
      <c r="AB21" s="2" t="str">
        <f>+IFERROR(RANK(C21,(C$6,C$15,C$22,C$26,C$27,C$28,C$33),0),"")</f>
        <v/>
      </c>
      <c r="AC21" s="2" t="str">
        <f>+IFERROR(RANK(D21,(D$6,D$15,D$22,D$26,D$27,D$28,D$33),0),"")</f>
        <v/>
      </c>
      <c r="AD21" s="2" t="str">
        <f>+IFERROR(RANK(E21,(E$6,E$15,E$22,E$26,E$27,E$28,E$33),0),"")</f>
        <v/>
      </c>
      <c r="AE21" s="2" t="str">
        <f>+IFERROR(RANK(F21,(F$6,F$15,F$22,F$26,F$27,F$28,F$33),0),"")</f>
        <v/>
      </c>
      <c r="AF21" s="2" t="str">
        <f>+IFERROR(RANK(G21,(G$6,G$15,G$22,G$26,G$27,G$28,G$33),0),"")</f>
        <v/>
      </c>
      <c r="AG21" s="2" t="str">
        <f>+IFERROR(RANK(H21,(H$6,H$15,H$22,H$26,H$27,H$28,H$33),0),"")</f>
        <v/>
      </c>
      <c r="AH21" s="2" t="str">
        <f>+IFERROR(RANK(I21,(I$6,I$15,I$22,I$26,I$27,I$28,I$33),0),"")</f>
        <v/>
      </c>
      <c r="AI21" s="2" t="str">
        <f>+IFERROR(RANK(J21,(J$6,J$15,J$22,J$26,J$27,J$28,J$33),0),"")</f>
        <v/>
      </c>
      <c r="AJ21" s="2" t="str">
        <f>+IFERROR(RANK(K21,(K$6,K$15,K$22,K$26,K$27,K$28,K$33),0),"")</f>
        <v/>
      </c>
      <c r="AK21" s="2" t="str">
        <f>+IFERROR(RANK(L21,(L$6,L$15,L$22,L$26,L$27,L$28,L$33),0),"")</f>
        <v/>
      </c>
    </row>
    <row r="22" spans="1:37" ht="18" customHeight="1">
      <c r="A22" s="572" t="s">
        <v>514</v>
      </c>
      <c r="B22" s="646">
        <v>49034</v>
      </c>
      <c r="C22" s="646">
        <v>50346</v>
      </c>
      <c r="D22" s="646">
        <v>50515</v>
      </c>
      <c r="E22" s="646">
        <v>52713</v>
      </c>
      <c r="F22" s="646">
        <v>54131</v>
      </c>
      <c r="G22" s="646">
        <v>55339</v>
      </c>
      <c r="H22" s="646">
        <v>54580</v>
      </c>
      <c r="I22" s="646">
        <v>53706</v>
      </c>
      <c r="J22" s="646">
        <v>57570</v>
      </c>
      <c r="K22" s="646">
        <v>59524</v>
      </c>
      <c r="L22" s="646">
        <v>59580.999999999993</v>
      </c>
      <c r="N22" s="559">
        <f t="shared" si="5"/>
        <v>21.509564791777123</v>
      </c>
      <c r="O22" s="419">
        <f t="shared" si="6"/>
        <v>10546.999999999993</v>
      </c>
      <c r="P22" s="559">
        <f t="shared" si="7"/>
        <v>1.9947416017570845</v>
      </c>
      <c r="Q22" s="559">
        <f t="shared" si="8"/>
        <v>1.9839591937904806</v>
      </c>
      <c r="R22" s="559">
        <f t="shared" si="9"/>
        <v>1.9120571069741368</v>
      </c>
      <c r="S22" s="559">
        <f t="shared" si="10"/>
        <v>1.9047009941387996</v>
      </c>
      <c r="T22" s="559">
        <f t="shared" si="11"/>
        <v>1.8809083511065983</v>
      </c>
      <c r="U22" s="559">
        <f t="shared" si="12"/>
        <v>1.8883924214514884</v>
      </c>
      <c r="V22" s="559">
        <f t="shared" si="13"/>
        <v>1.8802373549903986</v>
      </c>
      <c r="W22" s="559">
        <f t="shared" si="14"/>
        <v>1.8377719521630409</v>
      </c>
      <c r="X22" s="559">
        <f t="shared" si="15"/>
        <v>1.8286947845828041</v>
      </c>
      <c r="Y22" s="559">
        <f t="shared" si="16"/>
        <v>1.8058731835538251</v>
      </c>
      <c r="Z22" s="559">
        <f t="shared" si="17"/>
        <v>1.7763441911717357</v>
      </c>
      <c r="AA22" s="2">
        <f>+IFERROR(RANK(B22,(B$6,B$15,B$22,B$26,B$27,B$28,B$33),0),"")</f>
        <v>4</v>
      </c>
      <c r="AB22" s="2">
        <f>+IFERROR(RANK(C22,(C$6,C$15,C$22,C$26,C$27,C$28,C$33),0),"")</f>
        <v>4</v>
      </c>
      <c r="AC22" s="2">
        <f>+IFERROR(RANK(D22,(D$6,D$15,D$22,D$26,D$27,D$28,D$33),0),"")</f>
        <v>4</v>
      </c>
      <c r="AD22" s="2">
        <f>+IFERROR(RANK(E22,(E$6,E$15,E$22,E$26,E$27,E$28,E$33),0),"")</f>
        <v>4</v>
      </c>
      <c r="AE22" s="2">
        <f>+IFERROR(RANK(F22,(F$6,F$15,F$22,F$26,F$27,F$28,F$33),0),"")</f>
        <v>4</v>
      </c>
      <c r="AF22" s="2">
        <f>+IFERROR(RANK(G22,(G$6,G$15,G$22,G$26,G$27,G$28,G$33),0),"")</f>
        <v>4</v>
      </c>
      <c r="AG22" s="2">
        <f>+IFERROR(RANK(H22,(H$6,H$15,H$22,H$26,H$27,H$28,H$33),0),"")</f>
        <v>4</v>
      </c>
      <c r="AH22" s="2">
        <f>+IFERROR(RANK(I22,(I$6,I$15,I$22,I$26,I$27,I$28,I$33),0),"")</f>
        <v>4</v>
      </c>
      <c r="AI22" s="2">
        <f>+IFERROR(RANK(J22,(J$6,J$15,J$22,J$26,J$27,J$28,J$33),0),"")</f>
        <v>4</v>
      </c>
      <c r="AJ22" s="2">
        <f>+IFERROR(RANK(K22,(K$6,K$15,K$22,K$26,K$27,K$28,K$33),0),"")</f>
        <v>4</v>
      </c>
      <c r="AK22" s="2">
        <f>+IFERROR(RANK(L22,(L$6,L$15,L$22,L$26,L$27,L$28,L$33),0),"")</f>
        <v>4</v>
      </c>
    </row>
    <row r="23" spans="1:37" ht="18" customHeight="1">
      <c r="A23" s="572" t="s">
        <v>511</v>
      </c>
      <c r="B23" s="646">
        <v>40649</v>
      </c>
      <c r="C23" s="646">
        <v>41339</v>
      </c>
      <c r="D23" s="646">
        <v>41818</v>
      </c>
      <c r="E23" s="646">
        <v>43345</v>
      </c>
      <c r="F23" s="646">
        <v>44528</v>
      </c>
      <c r="G23" s="646">
        <v>43434</v>
      </c>
      <c r="H23" s="646">
        <v>43365</v>
      </c>
      <c r="I23" s="646">
        <v>44041</v>
      </c>
      <c r="J23" s="646">
        <v>46266</v>
      </c>
      <c r="K23" s="646">
        <v>48989.999999999993</v>
      </c>
      <c r="L23" s="646">
        <v>48551</v>
      </c>
      <c r="N23" s="559">
        <f t="shared" si="5"/>
        <v>19.439592609904309</v>
      </c>
      <c r="O23" s="419">
        <f t="shared" si="6"/>
        <v>7902</v>
      </c>
      <c r="P23" s="559">
        <f t="shared" si="7"/>
        <v>1.6536332212306506</v>
      </c>
      <c r="Q23" s="559">
        <f t="shared" si="8"/>
        <v>1.6290249297283732</v>
      </c>
      <c r="R23" s="559">
        <f t="shared" si="9"/>
        <v>1.5828645768473613</v>
      </c>
      <c r="S23" s="559">
        <f t="shared" si="10"/>
        <v>1.5662031110152383</v>
      </c>
      <c r="T23" s="559">
        <f t="shared" si="11"/>
        <v>1.5472296291972181</v>
      </c>
      <c r="U23" s="559">
        <f t="shared" si="12"/>
        <v>1.4821452580155758</v>
      </c>
      <c r="V23" s="559">
        <f t="shared" si="13"/>
        <v>1.4938895730882857</v>
      </c>
      <c r="W23" s="559">
        <f t="shared" si="14"/>
        <v>1.5070441765391667</v>
      </c>
      <c r="X23" s="559">
        <f t="shared" si="15"/>
        <v>1.469626418334341</v>
      </c>
      <c r="Y23" s="559">
        <f t="shared" si="16"/>
        <v>1.4862866618893533</v>
      </c>
      <c r="Z23" s="559">
        <f t="shared" si="17"/>
        <v>1.4474964640670507</v>
      </c>
      <c r="AA23" s="2" t="str">
        <f>+IFERROR(RANK(B23,(B$6,B$15,B$22,B$26,B$27,B$28,B$33),0),"")</f>
        <v/>
      </c>
      <c r="AB23" s="2" t="str">
        <f>+IFERROR(RANK(C23,(C$6,C$15,C$22,C$26,C$27,C$28,C$33),0),"")</f>
        <v/>
      </c>
      <c r="AC23" s="2" t="str">
        <f>+IFERROR(RANK(D23,(D$6,D$15,D$22,D$26,D$27,D$28,D$33),0),"")</f>
        <v/>
      </c>
      <c r="AD23" s="2" t="str">
        <f>+IFERROR(RANK(E23,(E$6,E$15,E$22,E$26,E$27,E$28,E$33),0),"")</f>
        <v/>
      </c>
      <c r="AE23" s="2" t="str">
        <f>+IFERROR(RANK(F23,(F$6,F$15,F$22,F$26,F$27,F$28,F$33),0),"")</f>
        <v/>
      </c>
      <c r="AF23" s="2" t="str">
        <f>+IFERROR(RANK(G23,(G$6,G$15,G$22,G$26,G$27,G$28,G$33),0),"")</f>
        <v/>
      </c>
      <c r="AG23" s="2" t="str">
        <f>+IFERROR(RANK(H23,(H$6,H$15,H$22,H$26,H$27,H$28,H$33),0),"")</f>
        <v/>
      </c>
      <c r="AH23" s="2" t="str">
        <f>+IFERROR(RANK(I23,(I$6,I$15,I$22,I$26,I$27,I$28,I$33),0),"")</f>
        <v/>
      </c>
      <c r="AI23" s="2" t="str">
        <f>+IFERROR(RANK(J23,(J$6,J$15,J$22,J$26,J$27,J$28,J$33),0),"")</f>
        <v/>
      </c>
      <c r="AJ23" s="2" t="str">
        <f>+IFERROR(RANK(K23,(K$6,K$15,K$22,K$26,K$27,K$28,K$33),0),"")</f>
        <v/>
      </c>
      <c r="AK23" s="2" t="str">
        <f>+IFERROR(RANK(L23,(L$6,L$15,L$22,L$26,L$27,L$28,L$33),0),"")</f>
        <v/>
      </c>
    </row>
    <row r="24" spans="1:37" ht="20.100000000000001" customHeight="1">
      <c r="A24" s="15" t="s">
        <v>772</v>
      </c>
      <c r="B24" s="328">
        <v>797999</v>
      </c>
      <c r="C24" s="328">
        <v>816297</v>
      </c>
      <c r="D24" s="328">
        <v>855415</v>
      </c>
      <c r="E24" s="328">
        <v>888098</v>
      </c>
      <c r="F24" s="328">
        <v>931712</v>
      </c>
      <c r="G24" s="328">
        <v>954999</v>
      </c>
      <c r="H24" s="328">
        <v>944358</v>
      </c>
      <c r="I24" s="328">
        <v>949891</v>
      </c>
      <c r="J24" s="328">
        <v>1034482</v>
      </c>
      <c r="K24" s="328">
        <v>1092322.0000000002</v>
      </c>
      <c r="L24" s="328">
        <v>1124021</v>
      </c>
      <c r="N24" s="559">
        <f t="shared" si="5"/>
        <v>40.854938414709792</v>
      </c>
      <c r="O24" s="419">
        <f t="shared" si="6"/>
        <v>326022</v>
      </c>
      <c r="P24" s="559">
        <f t="shared" si="7"/>
        <v>32.463225587562746</v>
      </c>
      <c r="Q24" s="559">
        <f t="shared" si="8"/>
        <v>32.167400349850794</v>
      </c>
      <c r="R24" s="559">
        <f t="shared" si="9"/>
        <v>32.37854756334319</v>
      </c>
      <c r="S24" s="559">
        <f t="shared" si="10"/>
        <v>32.090018467791239</v>
      </c>
      <c r="T24" s="559">
        <f t="shared" si="11"/>
        <v>32.374515187715559</v>
      </c>
      <c r="U24" s="559">
        <f t="shared" si="12"/>
        <v>32.588461556836045</v>
      </c>
      <c r="V24" s="559">
        <f t="shared" si="13"/>
        <v>32.532377942177035</v>
      </c>
      <c r="W24" s="559">
        <f t="shared" si="14"/>
        <v>32.504432231260999</v>
      </c>
      <c r="X24" s="559">
        <f t="shared" si="15"/>
        <v>32.860028454833909</v>
      </c>
      <c r="Y24" s="559">
        <f t="shared" si="16"/>
        <v>33.13949008141055</v>
      </c>
      <c r="Z24" s="559">
        <f t="shared" si="17"/>
        <v>33.51149148394699</v>
      </c>
      <c r="AA24" s="2" t="str">
        <f>+IFERROR(RANK(B24,(B$6,B$15,B$22,B$26,B$27,B$28,B$33),0),"")</f>
        <v/>
      </c>
      <c r="AB24" s="2" t="str">
        <f>+IFERROR(RANK(C24,(C$6,C$15,C$22,C$26,C$27,C$28,C$33),0),"")</f>
        <v/>
      </c>
      <c r="AC24" s="2" t="str">
        <f>+IFERROR(RANK(D24,(D$6,D$15,D$22,D$26,D$27,D$28,D$33),0),"")</f>
        <v/>
      </c>
      <c r="AD24" s="2" t="str">
        <f>+IFERROR(RANK(E24,(E$6,E$15,E$22,E$26,E$27,E$28,E$33),0),"")</f>
        <v/>
      </c>
      <c r="AE24" s="2" t="str">
        <f>+IFERROR(RANK(F24,(F$6,F$15,F$22,F$26,F$27,F$28,F$33),0),"")</f>
        <v/>
      </c>
      <c r="AF24" s="2" t="str">
        <f>+IFERROR(RANK(G24,(G$6,G$15,G$22,G$26,G$27,G$28,G$33),0),"")</f>
        <v/>
      </c>
      <c r="AG24" s="2" t="str">
        <f>+IFERROR(RANK(H24,(H$6,H$15,H$22,H$26,H$27,H$28,H$33),0),"")</f>
        <v/>
      </c>
      <c r="AH24" s="2" t="str">
        <f>+IFERROR(RANK(I24,(I$6,I$15,I$22,I$26,I$27,I$28,I$33),0),"")</f>
        <v/>
      </c>
      <c r="AI24" s="2" t="str">
        <f>+IFERROR(RANK(J24,(J$6,J$15,J$22,J$26,J$27,J$28,J$33),0),"")</f>
        <v/>
      </c>
      <c r="AJ24" s="2" t="str">
        <f>+IFERROR(RANK(K24,(K$6,K$15,K$22,K$26,K$27,K$28,K$33),0),"")</f>
        <v/>
      </c>
      <c r="AK24" s="2" t="str">
        <f>+IFERROR(RANK(L24,(L$6,L$15,L$22,L$26,L$27,L$28,L$33),0),"")</f>
        <v/>
      </c>
    </row>
    <row r="25" spans="1:37" ht="20.100000000000001" customHeight="1">
      <c r="A25" s="15" t="s">
        <v>518</v>
      </c>
      <c r="B25" s="328">
        <v>145063</v>
      </c>
      <c r="C25" s="328">
        <v>149820</v>
      </c>
      <c r="D25" s="328">
        <v>156077</v>
      </c>
      <c r="E25" s="328">
        <v>164251</v>
      </c>
      <c r="F25" s="328">
        <v>170116</v>
      </c>
      <c r="G25" s="328">
        <v>173363</v>
      </c>
      <c r="H25" s="328">
        <v>178577</v>
      </c>
      <c r="I25" s="328">
        <v>178977</v>
      </c>
      <c r="J25" s="328">
        <v>191611</v>
      </c>
      <c r="K25" s="328">
        <v>200724.00000000003</v>
      </c>
      <c r="L25" s="328">
        <v>203132.99999999997</v>
      </c>
      <c r="N25" s="559">
        <f t="shared" si="5"/>
        <v>40.03088313353507</v>
      </c>
      <c r="O25" s="419">
        <f t="shared" si="6"/>
        <v>58069.999999999971</v>
      </c>
      <c r="P25" s="559">
        <f t="shared" si="7"/>
        <v>5.9012766850692975</v>
      </c>
      <c r="Q25" s="559">
        <f t="shared" si="8"/>
        <v>5.9038804753841374</v>
      </c>
      <c r="R25" s="559">
        <f t="shared" si="9"/>
        <v>5.9077132947679374</v>
      </c>
      <c r="S25" s="559">
        <f t="shared" si="10"/>
        <v>5.9349504484338196</v>
      </c>
      <c r="T25" s="559">
        <f t="shared" si="11"/>
        <v>5.9110787729184766</v>
      </c>
      <c r="U25" s="559">
        <f t="shared" si="12"/>
        <v>5.9158527505031602</v>
      </c>
      <c r="V25" s="559">
        <f t="shared" si="13"/>
        <v>6.1518348505335361</v>
      </c>
      <c r="W25" s="559">
        <f t="shared" si="14"/>
        <v>6.1244350851354517</v>
      </c>
      <c r="X25" s="559">
        <f t="shared" si="15"/>
        <v>6.086469278594679</v>
      </c>
      <c r="Y25" s="559">
        <f t="shared" si="16"/>
        <v>6.0896796064723144</v>
      </c>
      <c r="Z25" s="559">
        <f t="shared" si="17"/>
        <v>6.0561945013559386</v>
      </c>
      <c r="AA25" s="2" t="str">
        <f>+IFERROR(RANK(B25,(B$6,B$15,B$22,B$26,B$27,B$28,B$33),0),"")</f>
        <v/>
      </c>
      <c r="AB25" s="2" t="str">
        <f>+IFERROR(RANK(C25,(C$6,C$15,C$22,C$26,C$27,C$28,C$33),0),"")</f>
        <v/>
      </c>
      <c r="AC25" s="2" t="str">
        <f>+IFERROR(RANK(D25,(D$6,D$15,D$22,D$26,D$27,D$28,D$33),0),"")</f>
        <v/>
      </c>
      <c r="AD25" s="2" t="str">
        <f>+IFERROR(RANK(E25,(E$6,E$15,E$22,E$26,E$27,E$28,E$33),0),"")</f>
        <v/>
      </c>
      <c r="AE25" s="2" t="str">
        <f>+IFERROR(RANK(F25,(F$6,F$15,F$22,F$26,F$27,F$28,F$33),0),"")</f>
        <v/>
      </c>
      <c r="AF25" s="2" t="str">
        <f>+IFERROR(RANK(G25,(G$6,G$15,G$22,G$26,G$27,G$28,G$33),0),"")</f>
        <v/>
      </c>
      <c r="AG25" s="2" t="str">
        <f>+IFERROR(RANK(H25,(H$6,H$15,H$22,H$26,H$27,H$28,H$33),0),"")</f>
        <v/>
      </c>
      <c r="AH25" s="2" t="str">
        <f>+IFERROR(RANK(I25,(I$6,I$15,I$22,I$26,I$27,I$28,I$33),0),"")</f>
        <v/>
      </c>
      <c r="AI25" s="2" t="str">
        <f>+IFERROR(RANK(J25,(J$6,J$15,J$22,J$26,J$27,J$28,J$33),0),"")</f>
        <v/>
      </c>
      <c r="AJ25" s="2" t="str">
        <f>+IFERROR(RANK(K25,(K$6,K$15,K$22,K$26,K$27,K$28,K$33),0),"")</f>
        <v/>
      </c>
      <c r="AK25" s="2" t="str">
        <f>+IFERROR(RANK(L25,(L$6,L$15,L$22,L$26,L$27,L$28,L$33),0),"")</f>
        <v/>
      </c>
    </row>
    <row r="26" spans="1:37" ht="18" customHeight="1">
      <c r="A26" s="572" t="s">
        <v>519</v>
      </c>
      <c r="B26" s="646">
        <v>20669</v>
      </c>
      <c r="C26" s="646">
        <v>22067</v>
      </c>
      <c r="D26" s="646">
        <v>23455</v>
      </c>
      <c r="E26" s="646">
        <v>25004</v>
      </c>
      <c r="F26" s="646">
        <v>26593</v>
      </c>
      <c r="G26" s="646">
        <v>28106</v>
      </c>
      <c r="H26" s="646">
        <v>31575</v>
      </c>
      <c r="I26" s="646">
        <v>31890</v>
      </c>
      <c r="J26" s="646">
        <v>34475</v>
      </c>
      <c r="K26" s="646">
        <v>36327</v>
      </c>
      <c r="L26" s="646">
        <v>34505</v>
      </c>
      <c r="N26" s="559">
        <f t="shared" si="5"/>
        <v>66.940829261212457</v>
      </c>
      <c r="O26" s="419">
        <f t="shared" si="6"/>
        <v>13836</v>
      </c>
      <c r="P26" s="559">
        <f t="shared" si="7"/>
        <v>0.84083114097803924</v>
      </c>
      <c r="Q26" s="559">
        <f t="shared" si="8"/>
        <v>0.86958303597851938</v>
      </c>
      <c r="R26" s="559">
        <f t="shared" si="9"/>
        <v>0.88780163207123386</v>
      </c>
      <c r="S26" s="559">
        <f t="shared" si="10"/>
        <v>0.90348004586053809</v>
      </c>
      <c r="T26" s="559">
        <f t="shared" si="11"/>
        <v>0.92403605662148802</v>
      </c>
      <c r="U26" s="559">
        <f t="shared" si="12"/>
        <v>0.95909137131707356</v>
      </c>
      <c r="V26" s="559">
        <f t="shared" si="13"/>
        <v>1.0877335009861091</v>
      </c>
      <c r="W26" s="559">
        <f t="shared" si="14"/>
        <v>1.0912476735277135</v>
      </c>
      <c r="X26" s="559">
        <f t="shared" si="15"/>
        <v>1.0950886346793847</v>
      </c>
      <c r="Y26" s="559">
        <f t="shared" si="16"/>
        <v>1.102109319584702</v>
      </c>
      <c r="Z26" s="559">
        <f t="shared" si="17"/>
        <v>1.0287299024249468</v>
      </c>
      <c r="AA26" s="2">
        <f>+IFERROR(RANK(B26,(B$6,B$15,B$22,B$26,B$27,B$28,B$33),0),"")</f>
        <v>6</v>
      </c>
      <c r="AB26" s="2">
        <f>+IFERROR(RANK(C26,(C$6,C$15,C$22,C$26,C$27,C$28,C$33),0),"")</f>
        <v>6</v>
      </c>
      <c r="AC26" s="2">
        <f>+IFERROR(RANK(D26,(D$6,D$15,D$22,D$26,D$27,D$28,D$33),0),"")</f>
        <v>6</v>
      </c>
      <c r="AD26" s="2">
        <f>+IFERROR(RANK(E26,(E$6,E$15,E$22,E$26,E$27,E$28,E$33),0),"")</f>
        <v>6</v>
      </c>
      <c r="AE26" s="2">
        <f>+IFERROR(RANK(F26,(F$6,F$15,F$22,F$26,F$27,F$28,F$33),0),"")</f>
        <v>5</v>
      </c>
      <c r="AF26" s="2">
        <f>+IFERROR(RANK(G26,(G$6,G$15,G$22,G$26,G$27,G$28,G$33),0),"")</f>
        <v>5</v>
      </c>
      <c r="AG26" s="2">
        <f>+IFERROR(RANK(H26,(H$6,H$15,H$22,H$26,H$27,H$28,H$33),0),"")</f>
        <v>5</v>
      </c>
      <c r="AH26" s="2">
        <f>+IFERROR(RANK(I26,(I$6,I$15,I$22,I$26,I$27,I$28,I$33),0),"")</f>
        <v>5</v>
      </c>
      <c r="AI26" s="2">
        <f>+IFERROR(RANK(J26,(J$6,J$15,J$22,J$26,J$27,J$28,J$33),0),"")</f>
        <v>5</v>
      </c>
      <c r="AJ26" s="2">
        <f>+IFERROR(RANK(K26,(K$6,K$15,K$22,K$26,K$27,K$28,K$33),0),"")</f>
        <v>5</v>
      </c>
      <c r="AK26" s="2">
        <f>+IFERROR(RANK(L26,(L$6,L$15,L$22,L$26,L$27,L$28,L$33),0),"")</f>
        <v>5</v>
      </c>
    </row>
    <row r="27" spans="1:37" ht="18" customHeight="1">
      <c r="A27" s="572" t="s">
        <v>520</v>
      </c>
      <c r="B27" s="646">
        <v>22426</v>
      </c>
      <c r="C27" s="646">
        <v>23239</v>
      </c>
      <c r="D27" s="646">
        <v>23619</v>
      </c>
      <c r="E27" s="646">
        <v>25024</v>
      </c>
      <c r="F27" s="646">
        <v>25408</v>
      </c>
      <c r="G27" s="646">
        <v>25504</v>
      </c>
      <c r="H27" s="646">
        <v>25389</v>
      </c>
      <c r="I27" s="646">
        <v>25463</v>
      </c>
      <c r="J27" s="646">
        <v>28356</v>
      </c>
      <c r="K27" s="646">
        <v>29927.999999999993</v>
      </c>
      <c r="L27" s="646">
        <v>31283.999999999996</v>
      </c>
      <c r="N27" s="559">
        <f t="shared" si="5"/>
        <v>39.498796040310346</v>
      </c>
      <c r="O27" s="419">
        <f t="shared" si="6"/>
        <v>8857.9999999999964</v>
      </c>
      <c r="P27" s="559">
        <f t="shared" si="7"/>
        <v>0.91230727986712024</v>
      </c>
      <c r="Q27" s="559">
        <f t="shared" si="8"/>
        <v>0.91576744338173799</v>
      </c>
      <c r="R27" s="559">
        <f t="shared" si="9"/>
        <v>0.89400924101003931</v>
      </c>
      <c r="S27" s="559">
        <f t="shared" si="10"/>
        <v>0.90420271427028087</v>
      </c>
      <c r="T27" s="559">
        <f t="shared" si="11"/>
        <v>0.88286045676075542</v>
      </c>
      <c r="U27" s="559">
        <f t="shared" si="12"/>
        <v>0.87030051711629708</v>
      </c>
      <c r="V27" s="559">
        <f t="shared" si="13"/>
        <v>0.87463074763377113</v>
      </c>
      <c r="W27" s="559">
        <f t="shared" si="14"/>
        <v>0.87132140203939057</v>
      </c>
      <c r="X27" s="559">
        <f t="shared" si="15"/>
        <v>0.90072032849800232</v>
      </c>
      <c r="Y27" s="559">
        <f t="shared" si="16"/>
        <v>0.90797279479535742</v>
      </c>
      <c r="Z27" s="559">
        <f t="shared" si="17"/>
        <v>0.93269921076545503</v>
      </c>
      <c r="AA27" s="2">
        <f>+IFERROR(RANK(B27,(B$6,B$15,B$22,B$26,B$27,B$28,B$33),0),"")</f>
        <v>5</v>
      </c>
      <c r="AB27" s="2">
        <f>+IFERROR(RANK(C27,(C$6,C$15,C$22,C$26,C$27,C$28,C$33),0),"")</f>
        <v>5</v>
      </c>
      <c r="AC27" s="2">
        <f>+IFERROR(RANK(D27,(D$6,D$15,D$22,D$26,D$27,D$28,D$33),0),"")</f>
        <v>5</v>
      </c>
      <c r="AD27" s="2">
        <f>+IFERROR(RANK(E27,(E$6,E$15,E$22,E$26,E$27,E$28,E$33),0),"")</f>
        <v>5</v>
      </c>
      <c r="AE27" s="2">
        <f>+IFERROR(RANK(F27,(F$6,F$15,F$22,F$26,F$27,F$28,F$33),0),"")</f>
        <v>6</v>
      </c>
      <c r="AF27" s="2">
        <f>+IFERROR(RANK(G27,(G$6,G$15,G$22,G$26,G$27,G$28,G$33),0),"")</f>
        <v>6</v>
      </c>
      <c r="AG27" s="2">
        <f>+IFERROR(RANK(H27,(H$6,H$15,H$22,H$26,H$27,H$28,H$33),0),"")</f>
        <v>6</v>
      </c>
      <c r="AH27" s="2">
        <f>+IFERROR(RANK(I27,(I$6,I$15,I$22,I$26,I$27,I$28,I$33),0),"")</f>
        <v>6</v>
      </c>
      <c r="AI27" s="2">
        <f>+IFERROR(RANK(J27,(J$6,J$15,J$22,J$26,J$27,J$28,J$33),0),"")</f>
        <v>6</v>
      </c>
      <c r="AJ27" s="2">
        <f>+IFERROR(RANK(K27,(K$6,K$15,K$22,K$26,K$27,K$28,K$33),0),"")</f>
        <v>6</v>
      </c>
      <c r="AK27" s="2">
        <f>+IFERROR(RANK(L27,(L$6,L$15,L$22,L$26,L$27,L$28,L$33),0),"")</f>
        <v>6</v>
      </c>
    </row>
    <row r="28" spans="1:37" ht="18" customHeight="1">
      <c r="A28" s="572" t="s">
        <v>515</v>
      </c>
      <c r="B28" s="646">
        <v>50430</v>
      </c>
      <c r="C28" s="646">
        <v>51190</v>
      </c>
      <c r="D28" s="646">
        <v>53457</v>
      </c>
      <c r="E28" s="646">
        <v>57261</v>
      </c>
      <c r="F28" s="646">
        <v>59468</v>
      </c>
      <c r="G28" s="646">
        <v>60670</v>
      </c>
      <c r="H28" s="646">
        <v>62732</v>
      </c>
      <c r="I28" s="646">
        <v>62898</v>
      </c>
      <c r="J28" s="646">
        <v>66466</v>
      </c>
      <c r="K28" s="646">
        <v>69095</v>
      </c>
      <c r="L28" s="646">
        <v>72771</v>
      </c>
      <c r="N28" s="559">
        <f t="shared" si="5"/>
        <v>44.301011302795956</v>
      </c>
      <c r="O28" s="419">
        <f t="shared" si="6"/>
        <v>22341</v>
      </c>
      <c r="P28" s="559">
        <f t="shared" si="7"/>
        <v>2.0515319773342942</v>
      </c>
      <c r="Q28" s="559">
        <f t="shared" si="8"/>
        <v>2.0172182721593512</v>
      </c>
      <c r="R28" s="559">
        <f t="shared" si="9"/>
        <v>2.0234155551324644</v>
      </c>
      <c r="S28" s="559">
        <f t="shared" si="10"/>
        <v>2.0690357905143286</v>
      </c>
      <c r="T28" s="559">
        <f t="shared" si="11"/>
        <v>2.0663549135173409</v>
      </c>
      <c r="U28" s="559">
        <f t="shared" si="12"/>
        <v>2.0703078879174144</v>
      </c>
      <c r="V28" s="559">
        <f t="shared" si="13"/>
        <v>2.1610672362267804</v>
      </c>
      <c r="W28" s="559">
        <f t="shared" si="14"/>
        <v>2.1523140849653846</v>
      </c>
      <c r="X28" s="559">
        <f t="shared" si="15"/>
        <v>2.1112737111704125</v>
      </c>
      <c r="Y28" s="559">
        <f t="shared" si="16"/>
        <v>2.0962436599968339</v>
      </c>
      <c r="Z28" s="559">
        <f t="shared" si="17"/>
        <v>2.1695900225870393</v>
      </c>
      <c r="AA28" s="2">
        <f>+IFERROR(RANK(B28,(B$6,B$15,B$22,B$26,B$27,B$28,B$33),0),"")</f>
        <v>3</v>
      </c>
      <c r="AB28" s="2">
        <f>+IFERROR(RANK(C28,(C$6,C$15,C$22,C$26,C$27,C$28,C$33),0),"")</f>
        <v>3</v>
      </c>
      <c r="AC28" s="2">
        <f>+IFERROR(RANK(D28,(D$6,D$15,D$22,D$26,D$27,D$28,D$33),0),"")</f>
        <v>3</v>
      </c>
      <c r="AD28" s="2">
        <f>+IFERROR(RANK(E28,(E$6,E$15,E$22,E$26,E$27,E$28,E$33),0),"")</f>
        <v>3</v>
      </c>
      <c r="AE28" s="2">
        <f>+IFERROR(RANK(F28,(F$6,F$15,F$22,F$26,F$27,F$28,F$33),0),"")</f>
        <v>3</v>
      </c>
      <c r="AF28" s="2">
        <f>+IFERROR(RANK(G28,(G$6,G$15,G$22,G$26,G$27,G$28,G$33),0),"")</f>
        <v>3</v>
      </c>
      <c r="AG28" s="2">
        <f>+IFERROR(RANK(H28,(H$6,H$15,H$22,H$26,H$27,H$28,H$33),0),"")</f>
        <v>3</v>
      </c>
      <c r="AH28" s="2">
        <f>+IFERROR(RANK(I28,(I$6,I$15,I$22,I$26,I$27,I$28,I$33),0),"")</f>
        <v>3</v>
      </c>
      <c r="AI28" s="2">
        <f>+IFERROR(RANK(J28,(J$6,J$15,J$22,J$26,J$27,J$28,J$33),0),"")</f>
        <v>3</v>
      </c>
      <c r="AJ28" s="2">
        <f>+IFERROR(RANK(K28,(K$6,K$15,K$22,K$26,K$27,K$28,K$33),0),"")</f>
        <v>3</v>
      </c>
      <c r="AK28" s="2">
        <f>+IFERROR(RANK(L28,(L$6,L$15,L$22,L$26,L$27,L$28,L$33),0),"")</f>
        <v>3</v>
      </c>
    </row>
    <row r="29" spans="1:37" ht="18" customHeight="1">
      <c r="A29" s="572" t="s">
        <v>521</v>
      </c>
      <c r="B29" s="646">
        <v>19009</v>
      </c>
      <c r="C29" s="646">
        <v>19293</v>
      </c>
      <c r="D29" s="646">
        <v>20176</v>
      </c>
      <c r="E29" s="646">
        <v>20664</v>
      </c>
      <c r="F29" s="646">
        <v>20620</v>
      </c>
      <c r="G29" s="646">
        <v>20826</v>
      </c>
      <c r="H29" s="646">
        <v>21098</v>
      </c>
      <c r="I29" s="646">
        <v>20537</v>
      </c>
      <c r="J29" s="646">
        <v>21623</v>
      </c>
      <c r="K29" s="646">
        <v>22968</v>
      </c>
      <c r="L29" s="646">
        <v>22423</v>
      </c>
      <c r="N29" s="559">
        <f t="shared" si="5"/>
        <v>17.959913725077591</v>
      </c>
      <c r="O29" s="419">
        <f t="shared" si="6"/>
        <v>3414</v>
      </c>
      <c r="P29" s="559">
        <f t="shared" si="7"/>
        <v>0.77330103821430884</v>
      </c>
      <c r="Q29" s="559">
        <f t="shared" si="8"/>
        <v>0.76026943005997982</v>
      </c>
      <c r="R29" s="559">
        <f t="shared" si="9"/>
        <v>0.76368730456914147</v>
      </c>
      <c r="S29" s="559">
        <f t="shared" si="10"/>
        <v>0.74666100094633492</v>
      </c>
      <c r="T29" s="559">
        <f t="shared" si="11"/>
        <v>0.71649018491840266</v>
      </c>
      <c r="U29" s="559">
        <f t="shared" si="12"/>
        <v>0.71066807439868263</v>
      </c>
      <c r="V29" s="559">
        <f t="shared" si="13"/>
        <v>0.72680922894077371</v>
      </c>
      <c r="W29" s="559">
        <f t="shared" si="14"/>
        <v>0.70275802669296483</v>
      </c>
      <c r="X29" s="559">
        <f t="shared" si="15"/>
        <v>0.6868484857918008</v>
      </c>
      <c r="Y29" s="559">
        <f t="shared" si="16"/>
        <v>0.6968163308894606</v>
      </c>
      <c r="Z29" s="559">
        <f t="shared" si="17"/>
        <v>0.66851791340601596</v>
      </c>
      <c r="AA29" s="2" t="str">
        <f>+IFERROR(RANK(B29,(B$6,B$15,B$22,B$26,B$27,B$28,B$33),0),"")</f>
        <v/>
      </c>
      <c r="AB29" s="2" t="str">
        <f>+IFERROR(RANK(C29,(C$6,C$15,C$22,C$26,C$27,C$28,C$33),0),"")</f>
        <v/>
      </c>
      <c r="AC29" s="2" t="str">
        <f>+IFERROR(RANK(D29,(D$6,D$15,D$22,D$26,D$27,D$28,D$33),0),"")</f>
        <v/>
      </c>
      <c r="AD29" s="2" t="str">
        <f>+IFERROR(RANK(E29,(E$6,E$15,E$22,E$26,E$27,E$28,E$33),0),"")</f>
        <v/>
      </c>
      <c r="AE29" s="2" t="str">
        <f>+IFERROR(RANK(F29,(F$6,F$15,F$22,F$26,F$27,F$28,F$33),0),"")</f>
        <v/>
      </c>
      <c r="AF29" s="2" t="str">
        <f>+IFERROR(RANK(G29,(G$6,G$15,G$22,G$26,G$27,G$28,G$33),0),"")</f>
        <v/>
      </c>
      <c r="AG29" s="2" t="str">
        <f>+IFERROR(RANK(H29,(H$6,H$15,H$22,H$26,H$27,H$28,H$33),0),"")</f>
        <v/>
      </c>
      <c r="AH29" s="2" t="str">
        <f>+IFERROR(RANK(I29,(I$6,I$15,I$22,I$26,I$27,I$28,I$33),0),"")</f>
        <v/>
      </c>
      <c r="AI29" s="2" t="str">
        <f>+IFERROR(RANK(J29,(J$6,J$15,J$22,J$26,J$27,J$28,J$33),0),"")</f>
        <v/>
      </c>
      <c r="AJ29" s="2" t="str">
        <f>+IFERROR(RANK(K29,(K$6,K$15,K$22,K$26,K$27,K$28,K$33),0),"")</f>
        <v/>
      </c>
      <c r="AK29" s="2" t="str">
        <f>+IFERROR(RANK(L29,(L$6,L$15,L$22,L$26,L$27,L$28,L$33),0),"")</f>
        <v/>
      </c>
    </row>
    <row r="30" spans="1:37" ht="18" customHeight="1">
      <c r="A30" s="572" t="s">
        <v>522</v>
      </c>
      <c r="B30" s="646">
        <v>32529</v>
      </c>
      <c r="C30" s="646">
        <v>34031</v>
      </c>
      <c r="D30" s="646">
        <v>35370</v>
      </c>
      <c r="E30" s="646">
        <v>36298</v>
      </c>
      <c r="F30" s="646">
        <v>38027</v>
      </c>
      <c r="G30" s="646">
        <v>38257</v>
      </c>
      <c r="H30" s="646">
        <v>37783</v>
      </c>
      <c r="I30" s="646">
        <v>38189</v>
      </c>
      <c r="J30" s="646">
        <v>40691</v>
      </c>
      <c r="K30" s="646">
        <v>42405.999999999993</v>
      </c>
      <c r="L30" s="646">
        <v>42150</v>
      </c>
      <c r="N30" s="559">
        <f t="shared" si="5"/>
        <v>29.576685419164427</v>
      </c>
      <c r="O30" s="419">
        <f t="shared" si="6"/>
        <v>9621</v>
      </c>
      <c r="P30" s="559">
        <f t="shared" si="7"/>
        <v>1.3233052486755355</v>
      </c>
      <c r="Q30" s="559">
        <f t="shared" si="8"/>
        <v>1.3410422938045494</v>
      </c>
      <c r="R30" s="559">
        <f t="shared" si="9"/>
        <v>1.3387995619850583</v>
      </c>
      <c r="S30" s="559">
        <f t="shared" si="10"/>
        <v>1.3115708968423376</v>
      </c>
      <c r="T30" s="559">
        <f t="shared" si="11"/>
        <v>1.3213371611004898</v>
      </c>
      <c r="U30" s="559">
        <f t="shared" si="12"/>
        <v>1.3054848997536925</v>
      </c>
      <c r="V30" s="559">
        <f t="shared" si="13"/>
        <v>1.3015941367461017</v>
      </c>
      <c r="W30" s="559">
        <f t="shared" si="14"/>
        <v>1.3067938979099982</v>
      </c>
      <c r="X30" s="559">
        <f t="shared" si="15"/>
        <v>1.2925381184550786</v>
      </c>
      <c r="Y30" s="559">
        <f t="shared" si="16"/>
        <v>1.2865375012059588</v>
      </c>
      <c r="Z30" s="559">
        <f t="shared" si="17"/>
        <v>1.2566574521724823</v>
      </c>
      <c r="AA30" s="2" t="str">
        <f>+IFERROR(RANK(B30,(B$6,B$15,B$22,B$26,B$27,B$28,B$33),0),"")</f>
        <v/>
      </c>
      <c r="AB30" s="2" t="str">
        <f>+IFERROR(RANK(C30,(C$6,C$15,C$22,C$26,C$27,C$28,C$33),0),"")</f>
        <v/>
      </c>
      <c r="AC30" s="2" t="str">
        <f>+IFERROR(RANK(D30,(D$6,D$15,D$22,D$26,D$27,D$28,D$33),0),"")</f>
        <v/>
      </c>
      <c r="AD30" s="2" t="str">
        <f>+IFERROR(RANK(E30,(E$6,E$15,E$22,E$26,E$27,E$28,E$33),0),"")</f>
        <v/>
      </c>
      <c r="AE30" s="2" t="str">
        <f>+IFERROR(RANK(F30,(F$6,F$15,F$22,F$26,F$27,F$28,F$33),0),"")</f>
        <v/>
      </c>
      <c r="AF30" s="2" t="str">
        <f>+IFERROR(RANK(G30,(G$6,G$15,G$22,G$26,G$27,G$28,G$33),0),"")</f>
        <v/>
      </c>
      <c r="AG30" s="2" t="str">
        <f>+IFERROR(RANK(H30,(H$6,H$15,H$22,H$26,H$27,H$28,H$33),0),"")</f>
        <v/>
      </c>
      <c r="AH30" s="2" t="str">
        <f>+IFERROR(RANK(I30,(I$6,I$15,I$22,I$26,I$27,I$28,I$33),0),"")</f>
        <v/>
      </c>
      <c r="AI30" s="2" t="str">
        <f>+IFERROR(RANK(J30,(J$6,J$15,J$22,J$26,J$27,J$28,J$33),0),"")</f>
        <v/>
      </c>
      <c r="AJ30" s="2" t="str">
        <f>+IFERROR(RANK(K30,(K$6,K$15,K$22,K$26,K$27,K$28,K$33),0),"")</f>
        <v/>
      </c>
      <c r="AK30" s="2" t="str">
        <f>+IFERROR(RANK(L30,(L$6,L$15,L$22,L$26,L$27,L$28,L$33),0),"")</f>
        <v/>
      </c>
    </row>
    <row r="31" spans="1:37" s="18" customFormat="1" ht="20.100000000000001" customHeight="1">
      <c r="A31" s="17" t="s">
        <v>523</v>
      </c>
      <c r="B31" s="689">
        <v>109922</v>
      </c>
      <c r="C31" s="689">
        <v>117234</v>
      </c>
      <c r="D31" s="689">
        <v>125990</v>
      </c>
      <c r="E31" s="689">
        <v>135848</v>
      </c>
      <c r="F31" s="689">
        <v>144110</v>
      </c>
      <c r="G31" s="689">
        <v>149611</v>
      </c>
      <c r="H31" s="689">
        <v>133944</v>
      </c>
      <c r="I31" s="689">
        <v>137936</v>
      </c>
      <c r="J31" s="689">
        <v>154670</v>
      </c>
      <c r="K31" s="689">
        <v>166794.00000000003</v>
      </c>
      <c r="L31" s="689">
        <v>172373</v>
      </c>
      <c r="N31" s="559">
        <f t="shared" si="5"/>
        <v>56.813922599661581</v>
      </c>
      <c r="O31" s="419">
        <f t="shared" si="6"/>
        <v>62451</v>
      </c>
      <c r="P31" s="559">
        <f t="shared" si="7"/>
        <v>4.4717132265028807</v>
      </c>
      <c r="Q31" s="559">
        <f t="shared" si="8"/>
        <v>4.6197805610144442</v>
      </c>
      <c r="R31" s="559">
        <f t="shared" si="9"/>
        <v>4.7688820134152525</v>
      </c>
      <c r="S31" s="559">
        <f t="shared" si="10"/>
        <v>4.9086529063374806</v>
      </c>
      <c r="T31" s="559">
        <f t="shared" si="11"/>
        <v>5.0074394058482552</v>
      </c>
      <c r="U31" s="559">
        <f t="shared" si="12"/>
        <v>5.1053376202276626</v>
      </c>
      <c r="V31" s="559">
        <f t="shared" si="13"/>
        <v>4.6142636914040667</v>
      </c>
      <c r="W31" s="559">
        <f t="shared" si="14"/>
        <v>4.7200482626440472</v>
      </c>
      <c r="X31" s="559">
        <f t="shared" si="15"/>
        <v>4.9130488506413466</v>
      </c>
      <c r="Y31" s="559">
        <f t="shared" si="16"/>
        <v>5.0602918449310659</v>
      </c>
      <c r="Z31" s="559">
        <f t="shared" si="17"/>
        <v>5.1391177936732451</v>
      </c>
      <c r="AA31" s="2" t="str">
        <f>+IFERROR(RANK(B31,(B$6,B$15,B$22,B$26,B$27,B$28,B$33),0),"")</f>
        <v/>
      </c>
      <c r="AB31" s="2" t="str">
        <f>+IFERROR(RANK(C31,(C$6,C$15,C$22,C$26,C$27,C$28,C$33),0),"")</f>
        <v/>
      </c>
      <c r="AC31" s="2" t="str">
        <f>+IFERROR(RANK(D31,(D$6,D$15,D$22,D$26,D$27,D$28,D$33),0),"")</f>
        <v/>
      </c>
      <c r="AD31" s="2" t="str">
        <f>+IFERROR(RANK(E31,(E$6,E$15,E$22,E$26,E$27,E$28,E$33),0),"")</f>
        <v/>
      </c>
      <c r="AE31" s="2" t="str">
        <f>+IFERROR(RANK(F31,(F$6,F$15,F$22,F$26,F$27,F$28,F$33),0),"")</f>
        <v/>
      </c>
      <c r="AF31" s="2" t="str">
        <f>+IFERROR(RANK(G31,(G$6,G$15,G$22,G$26,G$27,G$28,G$33),0),"")</f>
        <v/>
      </c>
      <c r="AG31" s="2" t="str">
        <f>+IFERROR(RANK(H31,(H$6,H$15,H$22,H$26,H$27,H$28,H$33),0),"")</f>
        <v/>
      </c>
      <c r="AH31" s="2" t="str">
        <f>+IFERROR(RANK(I31,(I$6,I$15,I$22,I$26,I$27,I$28,I$33),0),"")</f>
        <v/>
      </c>
      <c r="AI31" s="2" t="str">
        <f>+IFERROR(RANK(J31,(J$6,J$15,J$22,J$26,J$27,J$28,J$33),0),"")</f>
        <v/>
      </c>
      <c r="AJ31" s="2" t="str">
        <f>+IFERROR(RANK(K31,(K$6,K$15,K$22,K$26,K$27,K$28,K$33),0),"")</f>
        <v/>
      </c>
      <c r="AK31" s="2" t="str">
        <f>+IFERROR(RANK(L31,(L$6,L$15,L$22,L$26,L$27,L$28,L$33),0),"")</f>
        <v/>
      </c>
    </row>
    <row r="32" spans="1:37" ht="15" customHeight="1">
      <c r="A32" s="19" t="s">
        <v>769</v>
      </c>
      <c r="B32" s="16"/>
      <c r="C32" s="16"/>
      <c r="D32" s="16"/>
      <c r="E32" s="16"/>
      <c r="F32" s="16"/>
      <c r="G32" s="16"/>
      <c r="H32" s="16"/>
      <c r="I32" s="16"/>
      <c r="J32" s="16"/>
      <c r="K32" s="16"/>
      <c r="L32" s="16"/>
      <c r="P32" s="682"/>
      <c r="Q32" s="681"/>
      <c r="U32" s="682"/>
      <c r="V32" s="678"/>
      <c r="W32" s="678"/>
      <c r="X32" s="678"/>
      <c r="Y32" s="678"/>
      <c r="Z32" s="678"/>
      <c r="AA32" s="678"/>
      <c r="AB32" s="678"/>
      <c r="AC32" s="678"/>
      <c r="AD32" s="678"/>
      <c r="AE32" s="678"/>
    </row>
    <row r="33" spans="16:31">
      <c r="P33" s="682"/>
      <c r="Q33" s="681"/>
      <c r="U33" s="682"/>
      <c r="V33" s="678"/>
      <c r="W33" s="678"/>
      <c r="X33" s="678"/>
      <c r="Y33" s="678"/>
      <c r="Z33" s="678"/>
      <c r="AA33" s="678"/>
      <c r="AB33" s="678"/>
      <c r="AC33" s="678"/>
      <c r="AD33" s="678"/>
      <c r="AE33" s="678"/>
    </row>
    <row r="34" spans="16:31">
      <c r="P34" s="682"/>
      <c r="Q34" s="681"/>
      <c r="U34" s="682"/>
      <c r="V34" s="678"/>
      <c r="W34" s="678"/>
      <c r="X34" s="678"/>
      <c r="Y34" s="678"/>
      <c r="Z34" s="678"/>
      <c r="AA34" s="678"/>
      <c r="AB34" s="678"/>
      <c r="AC34" s="678"/>
      <c r="AD34" s="678"/>
      <c r="AE34" s="678"/>
    </row>
    <row r="35" spans="16:31">
      <c r="P35" s="682"/>
      <c r="Q35" s="681"/>
      <c r="U35" s="682"/>
      <c r="V35" s="678"/>
      <c r="W35" s="678"/>
      <c r="X35" s="678"/>
      <c r="Y35" s="678"/>
      <c r="Z35" s="678"/>
      <c r="AA35" s="678"/>
      <c r="AB35" s="678"/>
      <c r="AC35" s="678"/>
      <c r="AD35" s="678"/>
      <c r="AE35" s="678"/>
    </row>
    <row r="36" spans="16:31">
      <c r="P36" s="682"/>
      <c r="Q36" s="681"/>
      <c r="U36" s="682"/>
      <c r="V36" s="678"/>
      <c r="W36" s="678"/>
      <c r="X36" s="678"/>
      <c r="Y36" s="678"/>
      <c r="Z36" s="678"/>
      <c r="AA36" s="678"/>
      <c r="AB36" s="678"/>
      <c r="AC36" s="678"/>
      <c r="AD36" s="678"/>
      <c r="AE36" s="678"/>
    </row>
    <row r="37" spans="16:31">
      <c r="P37" s="682"/>
      <c r="Q37" s="681"/>
      <c r="U37" s="682"/>
      <c r="V37" s="678"/>
      <c r="W37" s="678"/>
      <c r="X37" s="678"/>
      <c r="Y37" s="678"/>
      <c r="Z37" s="678"/>
      <c r="AA37" s="678"/>
      <c r="AB37" s="678"/>
      <c r="AC37" s="678"/>
      <c r="AD37" s="678"/>
      <c r="AE37" s="678"/>
    </row>
    <row r="38" spans="16:31">
      <c r="P38" s="682"/>
      <c r="Q38" s="681"/>
      <c r="U38" s="682"/>
      <c r="V38" s="678"/>
      <c r="W38" s="678"/>
      <c r="X38" s="678"/>
      <c r="Y38" s="678"/>
      <c r="Z38" s="678"/>
      <c r="AA38" s="678"/>
      <c r="AB38" s="678"/>
      <c r="AC38" s="678"/>
      <c r="AD38" s="678"/>
      <c r="AE38" s="678"/>
    </row>
    <row r="39" spans="16:31">
      <c r="P39" s="685"/>
      <c r="Q39" s="681"/>
      <c r="U39" s="685"/>
      <c r="V39" s="678"/>
      <c r="W39" s="678"/>
      <c r="X39" s="678"/>
      <c r="Y39" s="678"/>
      <c r="Z39" s="678"/>
      <c r="AA39" s="678"/>
      <c r="AB39" s="678"/>
      <c r="AC39" s="678"/>
      <c r="AD39" s="678"/>
      <c r="AE39" s="678"/>
    </row>
    <row r="40" spans="16:31">
      <c r="P40" s="685"/>
      <c r="Q40" s="681"/>
      <c r="U40" s="685"/>
      <c r="V40" s="678"/>
      <c r="W40" s="678"/>
      <c r="X40" s="678"/>
      <c r="Y40" s="678"/>
      <c r="Z40" s="678"/>
      <c r="AA40" s="678"/>
      <c r="AB40" s="678"/>
      <c r="AC40" s="678"/>
      <c r="AD40" s="678"/>
      <c r="AE40" s="678"/>
    </row>
    <row r="41" spans="16:31">
      <c r="P41" s="682"/>
      <c r="Q41" s="681"/>
      <c r="U41" s="682"/>
      <c r="V41" s="678"/>
      <c r="W41" s="678"/>
      <c r="X41" s="678"/>
      <c r="Y41" s="678"/>
      <c r="Z41" s="678"/>
      <c r="AA41" s="678"/>
      <c r="AB41" s="678"/>
      <c r="AC41" s="678"/>
      <c r="AD41" s="678"/>
      <c r="AE41" s="678"/>
    </row>
    <row r="42" spans="16:31">
      <c r="P42" s="682"/>
      <c r="Q42" s="681"/>
      <c r="U42" s="682"/>
      <c r="V42" s="678"/>
      <c r="W42" s="678"/>
      <c r="X42" s="678"/>
      <c r="Y42" s="678"/>
      <c r="Z42" s="678"/>
      <c r="AA42" s="678"/>
      <c r="AB42" s="678"/>
      <c r="AC42" s="678"/>
      <c r="AD42" s="678"/>
      <c r="AE42" s="678"/>
    </row>
    <row r="43" spans="16:31">
      <c r="P43" s="682"/>
      <c r="Q43" s="681"/>
      <c r="U43" s="682"/>
      <c r="V43" s="678"/>
      <c r="W43" s="678"/>
      <c r="X43" s="678"/>
      <c r="Y43" s="678"/>
      <c r="Z43" s="678"/>
      <c r="AA43" s="678"/>
      <c r="AB43" s="678"/>
      <c r="AC43" s="678"/>
      <c r="AD43" s="678"/>
      <c r="AE43" s="678"/>
    </row>
    <row r="44" spans="16:31">
      <c r="P44" s="682"/>
      <c r="Q44" s="681"/>
      <c r="U44" s="682"/>
      <c r="V44" s="678"/>
      <c r="W44" s="678"/>
      <c r="X44" s="678"/>
      <c r="Y44" s="678"/>
      <c r="Z44" s="678"/>
      <c r="AA44" s="678"/>
      <c r="AB44" s="678"/>
      <c r="AC44" s="678"/>
      <c r="AD44" s="678"/>
      <c r="AE44" s="678"/>
    </row>
    <row r="45" spans="16:31">
      <c r="P45" s="682"/>
      <c r="Q45" s="681"/>
      <c r="U45" s="682"/>
      <c r="V45" s="678"/>
      <c r="W45" s="678"/>
      <c r="X45" s="678"/>
      <c r="Y45" s="678"/>
      <c r="Z45" s="678"/>
      <c r="AA45" s="678"/>
      <c r="AB45" s="678"/>
      <c r="AC45" s="678"/>
      <c r="AD45" s="678"/>
      <c r="AE45" s="678"/>
    </row>
    <row r="46" spans="16:31">
      <c r="P46" s="685"/>
      <c r="Q46" s="687"/>
      <c r="U46" s="685"/>
    </row>
    <row r="47" spans="16:31">
      <c r="P47" s="679"/>
      <c r="Q47" s="687"/>
    </row>
    <row r="48" spans="16:31" ht="12.75">
      <c r="Q48" s="688"/>
      <c r="R48" s="688"/>
      <c r="S48" s="688"/>
      <c r="T48" s="675"/>
      <c r="U48" s="675"/>
      <c r="V48" s="675"/>
      <c r="W48" s="675"/>
      <c r="X48" s="675"/>
      <c r="Y48" s="675"/>
      <c r="Z48" s="675"/>
      <c r="AA48" s="675"/>
    </row>
    <row r="49" spans="7:31">
      <c r="P49" s="685"/>
      <c r="Q49" s="678"/>
      <c r="R49" s="678"/>
      <c r="S49" s="678"/>
      <c r="T49" s="678"/>
      <c r="U49" s="678"/>
      <c r="V49" s="678"/>
      <c r="W49" s="687"/>
      <c r="X49" s="687"/>
      <c r="Y49" s="687"/>
      <c r="Z49" s="687"/>
      <c r="AA49" s="687"/>
    </row>
    <row r="50" spans="7:31" ht="12.75">
      <c r="G50" s="419"/>
      <c r="H50" s="419"/>
      <c r="P50" s="685"/>
      <c r="Q50" s="678"/>
      <c r="V50" s="688"/>
      <c r="W50" s="688"/>
      <c r="X50" s="688"/>
      <c r="Y50" s="688"/>
      <c r="Z50" s="688"/>
      <c r="AA50" s="688"/>
      <c r="AB50" s="688"/>
      <c r="AC50" s="688"/>
      <c r="AD50" s="688"/>
      <c r="AE50" s="688"/>
    </row>
    <row r="51" spans="7:31">
      <c r="P51" s="685"/>
      <c r="U51" s="685"/>
      <c r="V51" s="681"/>
      <c r="W51" s="681"/>
      <c r="X51" s="681"/>
      <c r="Y51" s="681"/>
      <c r="Z51" s="681"/>
      <c r="AA51" s="681"/>
      <c r="AB51" s="681"/>
      <c r="AC51" s="681"/>
      <c r="AD51" s="681"/>
      <c r="AE51" s="681"/>
    </row>
    <row r="52" spans="7:31">
      <c r="P52" s="685"/>
      <c r="U52" s="685"/>
      <c r="V52" s="681"/>
      <c r="W52" s="681"/>
      <c r="X52" s="681"/>
      <c r="Y52" s="681"/>
      <c r="Z52" s="681"/>
      <c r="AA52" s="681"/>
      <c r="AB52" s="681"/>
      <c r="AC52" s="681"/>
      <c r="AD52" s="681"/>
      <c r="AE52" s="681"/>
    </row>
    <row r="53" spans="7:31">
      <c r="P53" s="685"/>
      <c r="U53" s="685"/>
      <c r="V53" s="681"/>
      <c r="W53" s="681"/>
      <c r="X53" s="681"/>
      <c r="Y53" s="681"/>
      <c r="Z53" s="681"/>
      <c r="AA53" s="681"/>
      <c r="AB53" s="681"/>
      <c r="AC53" s="681"/>
      <c r="AD53" s="681"/>
      <c r="AE53" s="681"/>
    </row>
    <row r="54" spans="7:31">
      <c r="P54" s="685"/>
      <c r="U54" s="685"/>
      <c r="V54" s="681"/>
      <c r="W54" s="681"/>
      <c r="X54" s="681"/>
      <c r="Y54" s="681"/>
      <c r="Z54" s="681"/>
      <c r="AA54" s="681"/>
      <c r="AB54" s="681"/>
      <c r="AC54" s="681"/>
      <c r="AD54" s="681"/>
      <c r="AE54" s="681"/>
    </row>
    <row r="55" spans="7:31">
      <c r="P55" s="685"/>
      <c r="Q55" s="678"/>
      <c r="R55" s="678"/>
      <c r="S55" s="678"/>
      <c r="T55" s="678"/>
      <c r="U55" s="685"/>
      <c r="V55" s="681"/>
      <c r="W55" s="681"/>
      <c r="X55" s="681"/>
      <c r="Y55" s="681"/>
      <c r="Z55" s="681"/>
      <c r="AA55" s="681"/>
      <c r="AB55" s="681"/>
      <c r="AC55" s="681"/>
      <c r="AD55" s="681"/>
      <c r="AE55" s="681"/>
    </row>
    <row r="56" spans="7:31">
      <c r="U56" s="679"/>
      <c r="V56" s="681"/>
      <c r="W56" s="681"/>
      <c r="X56" s="681"/>
      <c r="Y56" s="681"/>
      <c r="Z56" s="681"/>
      <c r="AA56" s="681"/>
      <c r="AB56" s="681"/>
      <c r="AC56" s="681"/>
      <c r="AD56" s="681"/>
      <c r="AE56" s="681"/>
    </row>
  </sheetData>
  <mergeCells count="1">
    <mergeCell ref="A1:L1"/>
  </mergeCells>
  <conditionalFormatting sqref="B32">
    <cfRule type="cellIs" dxfId="1707" priority="132" operator="equal">
      <formula>0</formula>
    </cfRule>
  </conditionalFormatting>
  <conditionalFormatting sqref="C32">
    <cfRule type="cellIs" dxfId="1706" priority="131" operator="equal">
      <formula>0</formula>
    </cfRule>
  </conditionalFormatting>
  <conditionalFormatting sqref="F32">
    <cfRule type="cellIs" dxfId="1705" priority="130" operator="equal">
      <formula>0</formula>
    </cfRule>
  </conditionalFormatting>
  <conditionalFormatting sqref="D32">
    <cfRule type="cellIs" dxfId="1704" priority="129" operator="equal">
      <formula>0</formula>
    </cfRule>
  </conditionalFormatting>
  <conditionalFormatting sqref="E32">
    <cfRule type="cellIs" dxfId="1703" priority="128" operator="equal">
      <formula>0</formula>
    </cfRule>
  </conditionalFormatting>
  <conditionalFormatting sqref="G32">
    <cfRule type="cellIs" dxfId="1702" priority="127" operator="equal">
      <formula>0</formula>
    </cfRule>
  </conditionalFormatting>
  <conditionalFormatting sqref="H32">
    <cfRule type="cellIs" dxfId="1701" priority="126" operator="equal">
      <formula>0</formula>
    </cfRule>
  </conditionalFormatting>
  <conditionalFormatting sqref="I32">
    <cfRule type="cellIs" dxfId="1700" priority="125" operator="equal">
      <formula>0</formula>
    </cfRule>
  </conditionalFormatting>
  <conditionalFormatting sqref="J32">
    <cfRule type="cellIs" dxfId="1699" priority="124" operator="equal">
      <formula>0</formula>
    </cfRule>
  </conditionalFormatting>
  <conditionalFormatting sqref="K32">
    <cfRule type="cellIs" dxfId="1698" priority="123" operator="equal">
      <formula>0</formula>
    </cfRule>
  </conditionalFormatting>
  <conditionalFormatting sqref="L32">
    <cfRule type="cellIs" dxfId="1697" priority="122" operator="equal">
      <formula>0</formula>
    </cfRule>
  </conditionalFormatting>
  <conditionalFormatting sqref="B5:B6">
    <cfRule type="cellIs" dxfId="1696" priority="121" operator="equal">
      <formula>0</formula>
    </cfRule>
  </conditionalFormatting>
  <conditionalFormatting sqref="B7:B14">
    <cfRule type="expression" dxfId="1695" priority="119">
      <formula>B7=MAX(B$7:B$14)</formula>
    </cfRule>
    <cfRule type="expression" dxfId="1694" priority="120">
      <formula>B7=MIN(B$7:B$14)</formula>
    </cfRule>
  </conditionalFormatting>
  <conditionalFormatting sqref="B16:B23">
    <cfRule type="expression" dxfId="1693" priority="117">
      <formula>B16=MAX(B$16:B$23)</formula>
    </cfRule>
    <cfRule type="expression" dxfId="1692" priority="118">
      <formula>B16=MIN(B$16:B$23)</formula>
    </cfRule>
  </conditionalFormatting>
  <conditionalFormatting sqref="B26:B30">
    <cfRule type="expression" dxfId="1691" priority="115">
      <formula>B26=MAX(B$26:B$30)</formula>
    </cfRule>
    <cfRule type="expression" dxfId="1690" priority="116">
      <formula>B26=MIN(B$26:B$30)</formula>
    </cfRule>
  </conditionalFormatting>
  <conditionalFormatting sqref="B15">
    <cfRule type="cellIs" dxfId="1689" priority="114" operator="equal">
      <formula>0</formula>
    </cfRule>
  </conditionalFormatting>
  <conditionalFormatting sqref="B24">
    <cfRule type="cellIs" dxfId="1688" priority="113" operator="equal">
      <formula>0</formula>
    </cfRule>
  </conditionalFormatting>
  <conditionalFormatting sqref="B25">
    <cfRule type="cellIs" dxfId="1687" priority="112" operator="equal">
      <formula>0</formula>
    </cfRule>
  </conditionalFormatting>
  <conditionalFormatting sqref="B31">
    <cfRule type="cellIs" dxfId="1686" priority="111" operator="equal">
      <formula>0</formula>
    </cfRule>
  </conditionalFormatting>
  <conditionalFormatting sqref="C5:C6">
    <cfRule type="cellIs" dxfId="1685" priority="110" operator="equal">
      <formula>0</formula>
    </cfRule>
  </conditionalFormatting>
  <conditionalFormatting sqref="C7:C14">
    <cfRule type="expression" dxfId="1684" priority="108">
      <formula>C7=MAX(C$7:C$14)</formula>
    </cfRule>
    <cfRule type="expression" dxfId="1683" priority="109">
      <formula>C7=MIN(C$7:C$14)</formula>
    </cfRule>
  </conditionalFormatting>
  <conditionalFormatting sqref="C16:C23">
    <cfRule type="expression" dxfId="1682" priority="106">
      <formula>C16=MAX(C$16:C$23)</formula>
    </cfRule>
    <cfRule type="expression" dxfId="1681" priority="107">
      <formula>C16=MIN(C$16:C$23)</formula>
    </cfRule>
  </conditionalFormatting>
  <conditionalFormatting sqref="C26:C30">
    <cfRule type="expression" dxfId="1680" priority="104">
      <formula>C26=MAX(C$26:C$30)</formula>
    </cfRule>
    <cfRule type="expression" dxfId="1679" priority="105">
      <formula>C26=MIN(C$26:C$30)</formula>
    </cfRule>
  </conditionalFormatting>
  <conditionalFormatting sqref="C15">
    <cfRule type="cellIs" dxfId="1678" priority="103" operator="equal">
      <formula>0</formula>
    </cfRule>
  </conditionalFormatting>
  <conditionalFormatting sqref="C24">
    <cfRule type="cellIs" dxfId="1677" priority="102" operator="equal">
      <formula>0</formula>
    </cfRule>
  </conditionalFormatting>
  <conditionalFormatting sqref="C25">
    <cfRule type="cellIs" dxfId="1676" priority="101" operator="equal">
      <formula>0</formula>
    </cfRule>
  </conditionalFormatting>
  <conditionalFormatting sqref="C31">
    <cfRule type="cellIs" dxfId="1675" priority="100" operator="equal">
      <formula>0</formula>
    </cfRule>
  </conditionalFormatting>
  <conditionalFormatting sqref="D5:D6">
    <cfRule type="cellIs" dxfId="1674" priority="99" operator="equal">
      <formula>0</formula>
    </cfRule>
  </conditionalFormatting>
  <conditionalFormatting sqref="D7:D14">
    <cfRule type="expression" dxfId="1673" priority="97">
      <formula>D7=MAX(D$7:D$14)</formula>
    </cfRule>
    <cfRule type="expression" dxfId="1672" priority="98">
      <formula>D7=MIN(D$7:D$14)</formula>
    </cfRule>
  </conditionalFormatting>
  <conditionalFormatting sqref="D16:D23">
    <cfRule type="expression" dxfId="1671" priority="95">
      <formula>D16=MAX(D$16:D$23)</formula>
    </cfRule>
    <cfRule type="expression" dxfId="1670" priority="96">
      <formula>D16=MIN(D$16:D$23)</formula>
    </cfRule>
  </conditionalFormatting>
  <conditionalFormatting sqref="D26:D30">
    <cfRule type="expression" dxfId="1669" priority="93">
      <formula>D26=MAX(D$26:D$30)</formula>
    </cfRule>
    <cfRule type="expression" dxfId="1668" priority="94">
      <formula>D26=MIN(D$26:D$30)</formula>
    </cfRule>
  </conditionalFormatting>
  <conditionalFormatting sqref="D15">
    <cfRule type="cellIs" dxfId="1667" priority="92" operator="equal">
      <formula>0</formula>
    </cfRule>
  </conditionalFormatting>
  <conditionalFormatting sqref="D24">
    <cfRule type="cellIs" dxfId="1666" priority="91" operator="equal">
      <formula>0</formula>
    </cfRule>
  </conditionalFormatting>
  <conditionalFormatting sqref="D25">
    <cfRule type="cellIs" dxfId="1665" priority="90" operator="equal">
      <formula>0</formula>
    </cfRule>
  </conditionalFormatting>
  <conditionalFormatting sqref="D31">
    <cfRule type="cellIs" dxfId="1664" priority="89" operator="equal">
      <formula>0</formula>
    </cfRule>
  </conditionalFormatting>
  <conditionalFormatting sqref="E5:E6">
    <cfRule type="cellIs" dxfId="1663" priority="88" operator="equal">
      <formula>0</formula>
    </cfRule>
  </conditionalFormatting>
  <conditionalFormatting sqref="E7:E14">
    <cfRule type="expression" dxfId="1662" priority="86">
      <formula>E7=MAX(E$7:E$14)</formula>
    </cfRule>
    <cfRule type="expression" dxfId="1661" priority="87">
      <formula>E7=MIN(E$7:E$14)</formula>
    </cfRule>
  </conditionalFormatting>
  <conditionalFormatting sqref="E16:E23">
    <cfRule type="expression" dxfId="1660" priority="84">
      <formula>E16=MAX(E$16:E$23)</formula>
    </cfRule>
    <cfRule type="expression" dxfId="1659" priority="85">
      <formula>E16=MIN(E$16:E$23)</formula>
    </cfRule>
  </conditionalFormatting>
  <conditionalFormatting sqref="E26:E30">
    <cfRule type="expression" dxfId="1658" priority="82">
      <formula>E26=MAX(E$26:E$30)</formula>
    </cfRule>
    <cfRule type="expression" dxfId="1657" priority="83">
      <formula>E26=MIN(E$26:E$30)</formula>
    </cfRule>
  </conditionalFormatting>
  <conditionalFormatting sqref="E15">
    <cfRule type="cellIs" dxfId="1656" priority="81" operator="equal">
      <formula>0</formula>
    </cfRule>
  </conditionalFormatting>
  <conditionalFormatting sqref="E24">
    <cfRule type="cellIs" dxfId="1655" priority="80" operator="equal">
      <formula>0</formula>
    </cfRule>
  </conditionalFormatting>
  <conditionalFormatting sqref="E25">
    <cfRule type="cellIs" dxfId="1654" priority="79" operator="equal">
      <formula>0</formula>
    </cfRule>
  </conditionalFormatting>
  <conditionalFormatting sqref="E31">
    <cfRule type="cellIs" dxfId="1653" priority="78" operator="equal">
      <formula>0</formula>
    </cfRule>
  </conditionalFormatting>
  <conditionalFormatting sqref="F5:F6">
    <cfRule type="cellIs" dxfId="1652" priority="77" operator="equal">
      <formula>0</formula>
    </cfRule>
  </conditionalFormatting>
  <conditionalFormatting sqref="F7:F14">
    <cfRule type="expression" dxfId="1651" priority="75">
      <formula>F7=MAX(F$7:F$14)</formula>
    </cfRule>
    <cfRule type="expression" dxfId="1650" priority="76">
      <formula>F7=MIN(F$7:F$14)</formula>
    </cfRule>
  </conditionalFormatting>
  <conditionalFormatting sqref="F16:F23">
    <cfRule type="expression" dxfId="1649" priority="73">
      <formula>F16=MAX(F$16:F$23)</formula>
    </cfRule>
    <cfRule type="expression" dxfId="1648" priority="74">
      <formula>F16=MIN(F$16:F$23)</formula>
    </cfRule>
  </conditionalFormatting>
  <conditionalFormatting sqref="F26:F30">
    <cfRule type="expression" dxfId="1647" priority="71">
      <formula>F26=MAX(F$26:F$30)</formula>
    </cfRule>
    <cfRule type="expression" dxfId="1646" priority="72">
      <formula>F26=MIN(F$26:F$30)</formula>
    </cfRule>
  </conditionalFormatting>
  <conditionalFormatting sqref="F15">
    <cfRule type="cellIs" dxfId="1645" priority="70" operator="equal">
      <formula>0</formula>
    </cfRule>
  </conditionalFormatting>
  <conditionalFormatting sqref="F24">
    <cfRule type="cellIs" dxfId="1644" priority="69" operator="equal">
      <formula>0</formula>
    </cfRule>
  </conditionalFormatting>
  <conditionalFormatting sqref="F25">
    <cfRule type="cellIs" dxfId="1643" priority="68" operator="equal">
      <formula>0</formula>
    </cfRule>
  </conditionalFormatting>
  <conditionalFormatting sqref="F31">
    <cfRule type="cellIs" dxfId="1642" priority="67" operator="equal">
      <formula>0</formula>
    </cfRule>
  </conditionalFormatting>
  <conditionalFormatting sqref="G5:G6">
    <cfRule type="cellIs" dxfId="1641" priority="66" operator="equal">
      <formula>0</formula>
    </cfRule>
  </conditionalFormatting>
  <conditionalFormatting sqref="G7:G14">
    <cfRule type="expression" dxfId="1640" priority="64">
      <formula>G7=MAX(G$7:G$14)</formula>
    </cfRule>
    <cfRule type="expression" dxfId="1639" priority="65">
      <formula>G7=MIN(G$7:G$14)</formula>
    </cfRule>
  </conditionalFormatting>
  <conditionalFormatting sqref="G16:G23">
    <cfRule type="expression" dxfId="1638" priority="62">
      <formula>G16=MAX(G$16:G$23)</formula>
    </cfRule>
    <cfRule type="expression" dxfId="1637" priority="63">
      <formula>G16=MIN(G$16:G$23)</formula>
    </cfRule>
  </conditionalFormatting>
  <conditionalFormatting sqref="G26:G30">
    <cfRule type="expression" dxfId="1636" priority="60">
      <formula>G26=MAX(G$26:G$30)</formula>
    </cfRule>
    <cfRule type="expression" dxfId="1635" priority="61">
      <formula>G26=MIN(G$26:G$30)</formula>
    </cfRule>
  </conditionalFormatting>
  <conditionalFormatting sqref="G15">
    <cfRule type="cellIs" dxfId="1634" priority="59" operator="equal">
      <formula>0</formula>
    </cfRule>
  </conditionalFormatting>
  <conditionalFormatting sqref="G24">
    <cfRule type="cellIs" dxfId="1633" priority="58" operator="equal">
      <formula>0</formula>
    </cfRule>
  </conditionalFormatting>
  <conditionalFormatting sqref="G25">
    <cfRule type="cellIs" dxfId="1632" priority="57" operator="equal">
      <formula>0</formula>
    </cfRule>
  </conditionalFormatting>
  <conditionalFormatting sqref="G31">
    <cfRule type="cellIs" dxfId="1631" priority="56" operator="equal">
      <formula>0</formula>
    </cfRule>
  </conditionalFormatting>
  <conditionalFormatting sqref="H5:H6">
    <cfRule type="cellIs" dxfId="1630" priority="55" operator="equal">
      <formula>0</formula>
    </cfRule>
  </conditionalFormatting>
  <conditionalFormatting sqref="H7:H14">
    <cfRule type="expression" dxfId="1629" priority="53">
      <formula>H7=MAX(H$7:H$14)</formula>
    </cfRule>
    <cfRule type="expression" dxfId="1628" priority="54">
      <formula>H7=MIN(H$7:H$14)</formula>
    </cfRule>
  </conditionalFormatting>
  <conditionalFormatting sqref="H16:H23">
    <cfRule type="expression" dxfId="1627" priority="51">
      <formula>H16=MAX(H$16:H$23)</formula>
    </cfRule>
    <cfRule type="expression" dxfId="1626" priority="52">
      <formula>H16=MIN(H$16:H$23)</formula>
    </cfRule>
  </conditionalFormatting>
  <conditionalFormatting sqref="H26:H30">
    <cfRule type="expression" dxfId="1625" priority="49">
      <formula>H26=MAX(H$26:H$30)</formula>
    </cfRule>
    <cfRule type="expression" dxfId="1624" priority="50">
      <formula>H26=MIN(H$26:H$30)</formula>
    </cfRule>
  </conditionalFormatting>
  <conditionalFormatting sqref="H15">
    <cfRule type="cellIs" dxfId="1623" priority="48" operator="equal">
      <formula>0</formula>
    </cfRule>
  </conditionalFormatting>
  <conditionalFormatting sqref="H24">
    <cfRule type="cellIs" dxfId="1622" priority="47" operator="equal">
      <formula>0</formula>
    </cfRule>
  </conditionalFormatting>
  <conditionalFormatting sqref="H25">
    <cfRule type="cellIs" dxfId="1621" priority="46" operator="equal">
      <formula>0</formula>
    </cfRule>
  </conditionalFormatting>
  <conditionalFormatting sqref="H31">
    <cfRule type="cellIs" dxfId="1620" priority="45" operator="equal">
      <formula>0</formula>
    </cfRule>
  </conditionalFormatting>
  <conditionalFormatting sqref="I5:I6">
    <cfRule type="cellIs" dxfId="1619" priority="44" operator="equal">
      <formula>0</formula>
    </cfRule>
  </conditionalFormatting>
  <conditionalFormatting sqref="I7:I14">
    <cfRule type="expression" dxfId="1618" priority="42">
      <formula>I7=MAX(I$7:I$14)</formula>
    </cfRule>
    <cfRule type="expression" dxfId="1617" priority="43">
      <formula>I7=MIN(I$7:I$14)</formula>
    </cfRule>
  </conditionalFormatting>
  <conditionalFormatting sqref="I16:I23">
    <cfRule type="expression" dxfId="1616" priority="40">
      <formula>I16=MAX(I$16:I$23)</formula>
    </cfRule>
    <cfRule type="expression" dxfId="1615" priority="41">
      <formula>I16=MIN(I$16:I$23)</formula>
    </cfRule>
  </conditionalFormatting>
  <conditionalFormatting sqref="I26:I30">
    <cfRule type="expression" dxfId="1614" priority="38">
      <formula>I26=MAX(I$26:I$30)</formula>
    </cfRule>
    <cfRule type="expression" dxfId="1613" priority="39">
      <formula>I26=MIN(I$26:I$30)</formula>
    </cfRule>
  </conditionalFormatting>
  <conditionalFormatting sqref="I15">
    <cfRule type="cellIs" dxfId="1612" priority="37" operator="equal">
      <formula>0</formula>
    </cfRule>
  </conditionalFormatting>
  <conditionalFormatting sqref="I24">
    <cfRule type="cellIs" dxfId="1611" priority="36" operator="equal">
      <formula>0</formula>
    </cfRule>
  </conditionalFormatting>
  <conditionalFormatting sqref="I25">
    <cfRule type="cellIs" dxfId="1610" priority="35" operator="equal">
      <formula>0</formula>
    </cfRule>
  </conditionalFormatting>
  <conditionalFormatting sqref="I31">
    <cfRule type="cellIs" dxfId="1609" priority="34" operator="equal">
      <formula>0</formula>
    </cfRule>
  </conditionalFormatting>
  <conditionalFormatting sqref="J5:J6">
    <cfRule type="cellIs" dxfId="1608" priority="33" operator="equal">
      <formula>0</formula>
    </cfRule>
  </conditionalFormatting>
  <conditionalFormatting sqref="J7:J14">
    <cfRule type="expression" dxfId="1607" priority="31">
      <formula>J7=MAX(J$7:J$14)</formula>
    </cfRule>
    <cfRule type="expression" dxfId="1606" priority="32">
      <formula>J7=MIN(J$7:J$14)</formula>
    </cfRule>
  </conditionalFormatting>
  <conditionalFormatting sqref="J16:J23">
    <cfRule type="expression" dxfId="1605" priority="29">
      <formula>J16=MAX(J$16:J$23)</formula>
    </cfRule>
    <cfRule type="expression" dxfId="1604" priority="30">
      <formula>J16=MIN(J$16:J$23)</formula>
    </cfRule>
  </conditionalFormatting>
  <conditionalFormatting sqref="J26:J30">
    <cfRule type="expression" dxfId="1603" priority="27">
      <formula>J26=MAX(J$26:J$30)</formula>
    </cfRule>
    <cfRule type="expression" dxfId="1602" priority="28">
      <formula>J26=MIN(J$26:J$30)</formula>
    </cfRule>
  </conditionalFormatting>
  <conditionalFormatting sqref="J15">
    <cfRule type="cellIs" dxfId="1601" priority="26" operator="equal">
      <formula>0</formula>
    </cfRule>
  </conditionalFormatting>
  <conditionalFormatting sqref="J24">
    <cfRule type="cellIs" dxfId="1600" priority="25" operator="equal">
      <formula>0</formula>
    </cfRule>
  </conditionalFormatting>
  <conditionalFormatting sqref="J25">
    <cfRule type="cellIs" dxfId="1599" priority="24" operator="equal">
      <formula>0</formula>
    </cfRule>
  </conditionalFormatting>
  <conditionalFormatting sqref="J31">
    <cfRule type="cellIs" dxfId="1598" priority="23" operator="equal">
      <formula>0</formula>
    </cfRule>
  </conditionalFormatting>
  <conditionalFormatting sqref="K5:K6">
    <cfRule type="cellIs" dxfId="1597" priority="22" operator="equal">
      <formula>0</formula>
    </cfRule>
  </conditionalFormatting>
  <conditionalFormatting sqref="K7:K14">
    <cfRule type="expression" dxfId="1596" priority="20">
      <formula>K7=MAX(K$7:K$14)</formula>
    </cfRule>
    <cfRule type="expression" dxfId="1595" priority="21">
      <formula>K7=MIN(K$7:K$14)</formula>
    </cfRule>
  </conditionalFormatting>
  <conditionalFormatting sqref="K16:K23">
    <cfRule type="expression" dxfId="1594" priority="18">
      <formula>K16=MAX(K$16:K$23)</formula>
    </cfRule>
    <cfRule type="expression" dxfId="1593" priority="19">
      <formula>K16=MIN(K$16:K$23)</formula>
    </cfRule>
  </conditionalFormatting>
  <conditionalFormatting sqref="K26:K30">
    <cfRule type="expression" dxfId="1592" priority="16">
      <formula>K26=MAX(K$26:K$30)</formula>
    </cfRule>
    <cfRule type="expression" dxfId="1591" priority="17">
      <formula>K26=MIN(K$26:K$30)</formula>
    </cfRule>
  </conditionalFormatting>
  <conditionalFormatting sqref="K15">
    <cfRule type="cellIs" dxfId="1590" priority="15" operator="equal">
      <formula>0</formula>
    </cfRule>
  </conditionalFormatting>
  <conditionalFormatting sqref="K24">
    <cfRule type="cellIs" dxfId="1589" priority="14" operator="equal">
      <formula>0</formula>
    </cfRule>
  </conditionalFormatting>
  <conditionalFormatting sqref="K25">
    <cfRule type="cellIs" dxfId="1588" priority="13" operator="equal">
      <formula>0</formula>
    </cfRule>
  </conditionalFormatting>
  <conditionalFormatting sqref="K31">
    <cfRule type="cellIs" dxfId="1587" priority="12" operator="equal">
      <formula>0</formula>
    </cfRule>
  </conditionalFormatting>
  <conditionalFormatting sqref="L5:L6">
    <cfRule type="cellIs" dxfId="1586" priority="11" operator="equal">
      <formula>0</formula>
    </cfRule>
  </conditionalFormatting>
  <conditionalFormatting sqref="L7:L14">
    <cfRule type="expression" dxfId="1585" priority="9">
      <formula>L7=MAX(L$7:L$14)</formula>
    </cfRule>
    <cfRule type="expression" dxfId="1584" priority="10">
      <formula>L7=MIN(L$7:L$14)</formula>
    </cfRule>
  </conditionalFormatting>
  <conditionalFormatting sqref="L16:L23">
    <cfRule type="expression" dxfId="1583" priority="7">
      <formula>L16=MAX(L$16:L$23)</formula>
    </cfRule>
    <cfRule type="expression" dxfId="1582" priority="8">
      <formula>L16=MIN(L$16:L$23)</formula>
    </cfRule>
  </conditionalFormatting>
  <conditionalFormatting sqref="L26:L30">
    <cfRule type="expression" dxfId="1581" priority="5">
      <formula>L26=MAX(L$26:L$30)</formula>
    </cfRule>
    <cfRule type="expression" dxfId="1580" priority="6">
      <formula>L26=MIN(L$26:L$30)</formula>
    </cfRule>
  </conditionalFormatting>
  <conditionalFormatting sqref="L15">
    <cfRule type="cellIs" dxfId="1579" priority="4" operator="equal">
      <formula>0</formula>
    </cfRule>
  </conditionalFormatting>
  <conditionalFormatting sqref="L24">
    <cfRule type="cellIs" dxfId="1578" priority="3" operator="equal">
      <formula>0</formula>
    </cfRule>
  </conditionalFormatting>
  <conditionalFormatting sqref="L25">
    <cfRule type="cellIs" dxfId="1577" priority="2" operator="equal">
      <formula>0</formula>
    </cfRule>
  </conditionalFormatting>
  <conditionalFormatting sqref="L31">
    <cfRule type="cellIs" dxfId="1576" priority="1" operator="equal">
      <formula>0</formula>
    </cfRule>
  </conditionalFormatting>
  <printOptions horizontalCentered="1"/>
  <pageMargins left="0.19685039370078741" right="0.19685039370078741" top="1.5748031496062993" bottom="0.39370078740157483" header="0.51181102362204722" footer="0"/>
  <pageSetup paperSize="9" scale="85" fitToWidth="0" fitToHeight="0" orientation="portrait" r:id="rId1"/>
  <headerFooter>
    <oddHeader>&amp;C&amp;G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9684C-5689-477E-B9A7-29FC7A6BFCAB}">
  <sheetPr>
    <tabColor indexed="25"/>
  </sheetPr>
  <dimension ref="A1:AN60"/>
  <sheetViews>
    <sheetView showGridLines="0" workbookViewId="0">
      <selection activeCell="Y70" sqref="Y70"/>
    </sheetView>
  </sheetViews>
  <sheetFormatPr defaultColWidth="9.140625" defaultRowHeight="17.45" customHeight="1"/>
  <cols>
    <col min="1" max="1" width="26" style="2" customWidth="1"/>
    <col min="2" max="12" width="8.140625" style="2" customWidth="1"/>
    <col min="13" max="14" width="5.85546875" style="2" bestFit="1" customWidth="1"/>
    <col min="15" max="16" width="5.85546875" style="677" bestFit="1" customWidth="1"/>
    <col min="17" max="17" width="11.28515625" style="677" customWidth="1"/>
    <col min="18" max="18" width="5.85546875" style="677" bestFit="1" customWidth="1"/>
    <col min="19" max="19" width="7.42578125" style="677" bestFit="1" customWidth="1"/>
    <col min="20" max="20" width="7" style="677" bestFit="1" customWidth="1"/>
    <col min="21" max="21" width="7.42578125" style="677" bestFit="1" customWidth="1"/>
    <col min="22" max="22" width="6.5703125" style="677" bestFit="1" customWidth="1"/>
    <col min="23" max="23" width="5.85546875" style="677" bestFit="1" customWidth="1"/>
    <col min="24" max="40" width="9.140625" style="677"/>
    <col min="41" max="16384" width="9.140625" style="2"/>
  </cols>
  <sheetData>
    <row r="1" spans="1:40" s="1" customFormat="1" ht="36" customHeight="1">
      <c r="A1" s="988" t="s">
        <v>781</v>
      </c>
      <c r="B1" s="988"/>
      <c r="C1" s="988"/>
      <c r="D1" s="988"/>
      <c r="E1" s="988"/>
      <c r="F1" s="988"/>
      <c r="G1" s="988"/>
      <c r="H1" s="988"/>
      <c r="I1" s="988"/>
      <c r="J1" s="988"/>
      <c r="K1" s="988"/>
      <c r="L1" s="988"/>
      <c r="O1" s="690"/>
      <c r="P1" s="675"/>
      <c r="Q1" s="673"/>
      <c r="R1" s="673"/>
      <c r="S1" s="673"/>
      <c r="T1" s="673"/>
      <c r="U1" s="691"/>
      <c r="V1" s="673"/>
      <c r="W1" s="673"/>
      <c r="X1" s="673"/>
      <c r="Y1" s="673"/>
      <c r="Z1" s="673"/>
      <c r="AA1" s="673"/>
      <c r="AB1" s="673"/>
      <c r="AC1" s="673"/>
      <c r="AD1" s="673"/>
      <c r="AE1" s="673"/>
      <c r="AF1" s="673"/>
      <c r="AG1" s="673"/>
      <c r="AH1" s="673"/>
      <c r="AI1" s="673"/>
      <c r="AJ1" s="673"/>
      <c r="AK1" s="673"/>
      <c r="AL1" s="673"/>
      <c r="AM1" s="673"/>
      <c r="AN1" s="673"/>
    </row>
    <row r="2" spans="1:40" ht="15" customHeight="1">
      <c r="A2" s="9"/>
      <c r="B2" s="172"/>
      <c r="C2" s="172"/>
      <c r="D2" s="172"/>
      <c r="E2" s="172"/>
      <c r="F2" s="172"/>
      <c r="G2" s="172"/>
      <c r="H2" s="172"/>
      <c r="I2" s="172"/>
      <c r="J2" s="172"/>
      <c r="K2" s="172"/>
      <c r="L2" s="172"/>
      <c r="O2" s="692"/>
    </row>
    <row r="3" spans="1:40" ht="15" customHeight="1">
      <c r="A3" s="11" t="s">
        <v>41</v>
      </c>
      <c r="B3" s="172"/>
      <c r="C3" s="172"/>
      <c r="D3" s="172"/>
      <c r="E3" s="172"/>
      <c r="F3" s="172"/>
      <c r="G3" s="172"/>
      <c r="H3" s="172"/>
      <c r="I3" s="172"/>
      <c r="J3" s="172"/>
      <c r="K3" s="172"/>
      <c r="L3" s="172"/>
      <c r="O3" s="692"/>
      <c r="Q3" s="678"/>
      <c r="S3" s="678"/>
      <c r="T3" s="678"/>
      <c r="U3" s="678"/>
      <c r="V3" s="678"/>
      <c r="W3" s="678"/>
      <c r="X3" s="678"/>
      <c r="Y3" s="678"/>
      <c r="Z3" s="678"/>
      <c r="AA3" s="678"/>
    </row>
    <row r="4" spans="1:40" ht="20.25" customHeight="1" thickBot="1">
      <c r="A4" s="13"/>
      <c r="B4" s="14">
        <v>2014</v>
      </c>
      <c r="C4" s="14">
        <v>2015</v>
      </c>
      <c r="D4" s="14">
        <v>2016</v>
      </c>
      <c r="E4" s="14">
        <v>2017</v>
      </c>
      <c r="F4" s="14">
        <v>2018</v>
      </c>
      <c r="G4" s="14">
        <v>2019</v>
      </c>
      <c r="H4" s="14">
        <v>2020</v>
      </c>
      <c r="I4" s="14">
        <v>2021</v>
      </c>
      <c r="J4" s="14">
        <v>2022</v>
      </c>
      <c r="K4" s="14">
        <v>2023</v>
      </c>
      <c r="L4" s="14">
        <v>2024</v>
      </c>
      <c r="O4" s="649"/>
      <c r="P4" s="560">
        <f>+B4</f>
        <v>2014</v>
      </c>
      <c r="Q4" s="560">
        <f t="shared" ref="Q4:W4" si="0">+C4</f>
        <v>2015</v>
      </c>
      <c r="R4" s="560">
        <f t="shared" si="0"/>
        <v>2016</v>
      </c>
      <c r="S4" s="560">
        <f t="shared" si="0"/>
        <v>2017</v>
      </c>
      <c r="T4" s="560">
        <f t="shared" si="0"/>
        <v>2018</v>
      </c>
      <c r="U4" s="560">
        <f t="shared" si="0"/>
        <v>2019</v>
      </c>
      <c r="V4" s="560">
        <f t="shared" si="0"/>
        <v>2020</v>
      </c>
      <c r="W4" s="560">
        <f t="shared" si="0"/>
        <v>2021</v>
      </c>
      <c r="X4" s="560">
        <f>+J4</f>
        <v>2022</v>
      </c>
      <c r="Y4" s="560">
        <f t="shared" ref="Y4:Z4" si="1">+K4</f>
        <v>2023</v>
      </c>
      <c r="Z4" s="560">
        <f t="shared" si="1"/>
        <v>2024</v>
      </c>
      <c r="AA4" s="560">
        <f>+B4</f>
        <v>2014</v>
      </c>
      <c r="AB4" s="560">
        <f t="shared" ref="AB4:AJ4" si="2">+C4</f>
        <v>2015</v>
      </c>
      <c r="AC4" s="560">
        <f t="shared" si="2"/>
        <v>2016</v>
      </c>
      <c r="AD4" s="560">
        <f t="shared" si="2"/>
        <v>2017</v>
      </c>
      <c r="AE4" s="560">
        <f t="shared" si="2"/>
        <v>2018</v>
      </c>
      <c r="AF4" s="560">
        <f t="shared" si="2"/>
        <v>2019</v>
      </c>
      <c r="AG4" s="560">
        <f t="shared" si="2"/>
        <v>2020</v>
      </c>
      <c r="AH4" s="560">
        <f t="shared" si="2"/>
        <v>2021</v>
      </c>
      <c r="AI4" s="560">
        <f t="shared" si="2"/>
        <v>2022</v>
      </c>
      <c r="AJ4" s="560">
        <f t="shared" si="2"/>
        <v>2023</v>
      </c>
      <c r="AK4" s="560">
        <f>+L4</f>
        <v>2024</v>
      </c>
      <c r="AL4" s="693"/>
      <c r="AM4" s="693"/>
      <c r="AN4" s="693"/>
    </row>
    <row r="5" spans="1:40" ht="21" customHeight="1" thickTop="1">
      <c r="A5" s="113" t="s">
        <v>11</v>
      </c>
      <c r="B5" s="328">
        <v>110390.99999999996</v>
      </c>
      <c r="C5" s="328">
        <v>116010.9999999999</v>
      </c>
      <c r="D5" s="328">
        <v>127236.00000000019</v>
      </c>
      <c r="E5" s="328">
        <v>140295.00000000003</v>
      </c>
      <c r="F5" s="328">
        <v>169294.99999999988</v>
      </c>
      <c r="G5" s="328">
        <v>210582.99999999997</v>
      </c>
      <c r="H5" s="328">
        <v>217760.99999999983</v>
      </c>
      <c r="I5" s="328">
        <v>228523.00000000006</v>
      </c>
      <c r="J5" s="328">
        <v>322028.00000000017</v>
      </c>
      <c r="K5" s="328">
        <v>414782.99999999994</v>
      </c>
      <c r="L5" s="328">
        <v>509783.00000000012</v>
      </c>
      <c r="O5" s="2"/>
      <c r="P5" s="2"/>
      <c r="Q5" s="2"/>
      <c r="R5" s="2"/>
      <c r="S5" s="2"/>
      <c r="T5" s="2"/>
      <c r="U5" s="2"/>
      <c r="V5" s="2"/>
      <c r="W5" s="2"/>
      <c r="X5" s="2"/>
      <c r="Y5" s="2"/>
      <c r="Z5" s="2"/>
      <c r="AA5" s="2"/>
      <c r="AB5" s="2"/>
      <c r="AC5" s="2"/>
      <c r="AD5" s="2"/>
      <c r="AE5" s="2"/>
      <c r="AF5" s="2"/>
      <c r="AG5" s="2"/>
      <c r="AH5" s="2"/>
      <c r="AI5" s="2"/>
      <c r="AJ5" s="2"/>
      <c r="AK5" s="2"/>
    </row>
    <row r="6" spans="1:40" ht="20.100000000000001" customHeight="1">
      <c r="A6" s="15" t="s">
        <v>496</v>
      </c>
      <c r="B6" s="328">
        <v>12902.000000000002</v>
      </c>
      <c r="C6" s="328">
        <v>14033.000000000007</v>
      </c>
      <c r="D6" s="328">
        <v>14238.000000000002</v>
      </c>
      <c r="E6" s="328">
        <v>17437.999999999996</v>
      </c>
      <c r="F6" s="328">
        <v>22188.000000000004</v>
      </c>
      <c r="G6" s="328">
        <v>30453.000000000011</v>
      </c>
      <c r="H6" s="328">
        <v>33775.999999999993</v>
      </c>
      <c r="I6" s="328">
        <v>36947.000000000022</v>
      </c>
      <c r="J6" s="328">
        <v>61471.999999999993</v>
      </c>
      <c r="K6" s="328">
        <v>84585.999999999985</v>
      </c>
      <c r="L6" s="328">
        <v>108225.99999999999</v>
      </c>
      <c r="N6" s="559">
        <f>+(L6/B6-1)*100</f>
        <v>738.83118896295127</v>
      </c>
      <c r="O6" s="419">
        <f t="shared" ref="O6" si="3">+L6-B6</f>
        <v>95323.999999999985</v>
      </c>
      <c r="P6" s="559">
        <f>B6*100/B$5</f>
        <v>11.687546992055518</v>
      </c>
      <c r="Q6" s="559">
        <f t="shared" ref="Q6:Z6" si="4">C6*100/C$5</f>
        <v>12.096266733327029</v>
      </c>
      <c r="R6" s="559">
        <f t="shared" si="4"/>
        <v>11.190229180420621</v>
      </c>
      <c r="S6" s="559">
        <f t="shared" si="4"/>
        <v>12.429523504045042</v>
      </c>
      <c r="T6" s="559">
        <f t="shared" si="4"/>
        <v>13.106116542130613</v>
      </c>
      <c r="U6" s="559">
        <f t="shared" si="4"/>
        <v>14.461281300009979</v>
      </c>
      <c r="V6" s="559">
        <f t="shared" si="4"/>
        <v>15.510582703055192</v>
      </c>
      <c r="W6" s="559">
        <f t="shared" si="4"/>
        <v>16.167738039497124</v>
      </c>
      <c r="X6" s="559">
        <f t="shared" si="4"/>
        <v>19.089023314742803</v>
      </c>
      <c r="Y6" s="559">
        <f t="shared" si="4"/>
        <v>20.392831914519157</v>
      </c>
      <c r="Z6" s="559">
        <f t="shared" si="4"/>
        <v>21.229817392890691</v>
      </c>
      <c r="AA6" s="2">
        <f>+IFERROR(RANK(B6,(B$6,B$15,B$22,B$26,B$27,B$28,B$33),0),"")</f>
        <v>3</v>
      </c>
      <c r="AB6" s="2">
        <f>+IFERROR(RANK(C6,(C$6,C$15,C$22,C$26,C$27,C$28,C$33),0),"")</f>
        <v>3</v>
      </c>
      <c r="AC6" s="2">
        <f>+IFERROR(RANK(D6,(D$6,D$15,D$22,D$26,D$27,D$28,D$33),0),"")</f>
        <v>3</v>
      </c>
      <c r="AD6" s="2">
        <f>+IFERROR(RANK(E6,(E$6,E$15,E$22,E$26,E$27,E$28,E$33),0),"")</f>
        <v>3</v>
      </c>
      <c r="AE6" s="2">
        <f>+IFERROR(RANK(F6,(F$6,F$15,F$22,F$26,F$27,F$28,F$33),0),"")</f>
        <v>3</v>
      </c>
      <c r="AF6" s="2">
        <f>+IFERROR(RANK(G6,(G$6,G$15,G$22,G$26,G$27,G$28,G$33),0),"")</f>
        <v>2</v>
      </c>
      <c r="AG6" s="2">
        <f>+IFERROR(RANK(H6,(H$6,H$15,H$22,H$26,H$27,H$28,H$33),0),"")</f>
        <v>2</v>
      </c>
      <c r="AH6" s="2">
        <f>+IFERROR(RANK(I6,(I$6,I$15,I$22,I$26,I$27,I$28,I$33),0),"")</f>
        <v>2</v>
      </c>
      <c r="AI6" s="2">
        <f>+IFERROR(RANK(J6,(J$6,J$15,J$22,J$26,J$27,J$28,J$33),0),"")</f>
        <v>2</v>
      </c>
      <c r="AJ6" s="2">
        <f>+IFERROR(RANK(K6,(K$6,K$15,K$22,K$26,K$27,K$28,K$33),0),"")</f>
        <v>2</v>
      </c>
      <c r="AK6" s="2">
        <f>+IFERROR(RANK(L6,(L$6,L$15,L$22,L$26,L$27,L$28,L$33),0),"")</f>
        <v>2</v>
      </c>
    </row>
    <row r="7" spans="1:40" ht="18" customHeight="1">
      <c r="A7" s="572" t="s">
        <v>497</v>
      </c>
      <c r="B7" s="646">
        <v>1088</v>
      </c>
      <c r="C7" s="646">
        <v>1608.9999999999998</v>
      </c>
      <c r="D7" s="646">
        <v>1354</v>
      </c>
      <c r="E7" s="646">
        <v>1615</v>
      </c>
      <c r="F7" s="646">
        <v>2561</v>
      </c>
      <c r="G7" s="646">
        <v>3496</v>
      </c>
      <c r="H7" s="646">
        <v>3547</v>
      </c>
      <c r="I7" s="646">
        <v>3582</v>
      </c>
      <c r="J7" s="646">
        <v>5474</v>
      </c>
      <c r="K7" s="646">
        <v>7583</v>
      </c>
      <c r="L7" s="646">
        <v>8918</v>
      </c>
      <c r="N7" s="559">
        <f t="shared" ref="N7:N33" si="5">+(L7/B7-1)*100</f>
        <v>719.6691176470589</v>
      </c>
      <c r="O7" s="419">
        <f t="shared" ref="O7:O33" si="6">+L7-B7</f>
        <v>7830</v>
      </c>
      <c r="P7" s="559">
        <f t="shared" ref="P7:P33" si="7">B7*100/B$5</f>
        <v>0.98558759319147438</v>
      </c>
      <c r="Q7" s="559">
        <f t="shared" ref="Q7:Q33" si="8">C7*100/C$5</f>
        <v>1.3869374455870573</v>
      </c>
      <c r="R7" s="559">
        <f t="shared" ref="R7:R33" si="9">D7*100/D$5</f>
        <v>1.0641642302492988</v>
      </c>
      <c r="S7" s="559">
        <f t="shared" ref="S7:S33" si="10">E7*100/E$5</f>
        <v>1.1511457999215935</v>
      </c>
      <c r="T7" s="559">
        <f t="shared" ref="T7:T33" si="11">F7*100/F$5</f>
        <v>1.5127440266989585</v>
      </c>
      <c r="U7" s="559">
        <f t="shared" ref="U7:U33" si="12">G7*100/G$5</f>
        <v>1.660153003803726</v>
      </c>
      <c r="V7" s="559">
        <f t="shared" ref="V7:V33" si="13">H7*100/H$5</f>
        <v>1.6288499777278773</v>
      </c>
      <c r="W7" s="559">
        <f t="shared" ref="W7:W33" si="14">I7*100/I$5</f>
        <v>1.5674571049741159</v>
      </c>
      <c r="X7" s="559">
        <f t="shared" ref="X7:X33" si="15">J7*100/J$5</f>
        <v>1.6998521867663672</v>
      </c>
      <c r="Y7" s="559">
        <f t="shared" ref="Y7:Y33" si="16">K7*100/K$5</f>
        <v>1.8281848581065283</v>
      </c>
      <c r="Z7" s="559">
        <f t="shared" ref="Z7:Z33" si="17">L7*100/L$5</f>
        <v>1.7493717915269826</v>
      </c>
      <c r="AA7" s="2" t="str">
        <f>+IFERROR(RANK(B7,(B$6,B$15,B$22,B$26,B$27,B$28,B$33),0),"")</f>
        <v/>
      </c>
      <c r="AB7" s="2" t="str">
        <f>+IFERROR(RANK(C7,(C$6,C$15,C$22,C$26,C$27,C$28,C$33),0),"")</f>
        <v/>
      </c>
      <c r="AC7" s="2" t="str">
        <f>+IFERROR(RANK(D7,(D$6,D$15,D$22,D$26,D$27,D$28,D$33),0),"")</f>
        <v/>
      </c>
      <c r="AD7" s="2" t="str">
        <f>+IFERROR(RANK(E7,(E$6,E$15,E$22,E$26,E$27,E$28,E$33),0),"")</f>
        <v/>
      </c>
      <c r="AE7" s="2" t="str">
        <f>+IFERROR(RANK(F7,(F$6,F$15,F$22,F$26,F$27,F$28,F$33),0),"")</f>
        <v/>
      </c>
      <c r="AF7" s="2" t="str">
        <f>+IFERROR(RANK(G7,(G$6,G$15,G$22,G$26,G$27,G$28,G$33),0),"")</f>
        <v/>
      </c>
      <c r="AG7" s="2" t="str">
        <f>+IFERROR(RANK(H7,(H$6,H$15,H$22,H$26,H$27,H$28,H$33),0),"")</f>
        <v/>
      </c>
      <c r="AH7" s="2" t="str">
        <f>+IFERROR(RANK(I7,(I$6,I$15,I$22,I$26,I$27,I$28,I$33),0),"")</f>
        <v/>
      </c>
      <c r="AI7" s="2" t="str">
        <f>+IFERROR(RANK(J7,(J$6,J$15,J$22,J$26,J$27,J$28,J$33),0),"")</f>
        <v/>
      </c>
      <c r="AJ7" s="2" t="str">
        <f>+IFERROR(RANK(K7,(K$6,K$15,K$22,K$26,K$27,K$28,K$33),0),"")</f>
        <v/>
      </c>
      <c r="AK7" s="2" t="str">
        <f>+IFERROR(RANK(L7,(L$6,L$15,L$22,L$26,L$27,L$28,L$33),0),"")</f>
        <v/>
      </c>
    </row>
    <row r="8" spans="1:40" ht="18" customHeight="1">
      <c r="A8" s="572" t="s">
        <v>498</v>
      </c>
      <c r="B8" s="646">
        <v>1381</v>
      </c>
      <c r="C8" s="646">
        <v>1422.0000000000002</v>
      </c>
      <c r="D8" s="646">
        <v>1647</v>
      </c>
      <c r="E8" s="646">
        <v>1866.9999999999998</v>
      </c>
      <c r="F8" s="646">
        <v>2866</v>
      </c>
      <c r="G8" s="646">
        <v>4608</v>
      </c>
      <c r="H8" s="646">
        <v>5097</v>
      </c>
      <c r="I8" s="646">
        <v>5669</v>
      </c>
      <c r="J8" s="646">
        <v>9567</v>
      </c>
      <c r="K8" s="646">
        <v>13702.999999999998</v>
      </c>
      <c r="L8" s="646">
        <v>16614.999999999996</v>
      </c>
      <c r="N8" s="559">
        <f t="shared" si="5"/>
        <v>1103.1136857349743</v>
      </c>
      <c r="O8" s="419">
        <f t="shared" si="6"/>
        <v>15233.999999999996</v>
      </c>
      <c r="P8" s="559">
        <f t="shared" si="7"/>
        <v>1.2510077814314577</v>
      </c>
      <c r="Q8" s="559">
        <f t="shared" si="8"/>
        <v>1.2257458344467349</v>
      </c>
      <c r="R8" s="559">
        <f t="shared" si="9"/>
        <v>1.2944449684051664</v>
      </c>
      <c r="S8" s="559">
        <f t="shared" si="10"/>
        <v>1.3307673117359844</v>
      </c>
      <c r="T8" s="559">
        <f t="shared" si="11"/>
        <v>1.6929029209368274</v>
      </c>
      <c r="U8" s="559">
        <f t="shared" si="12"/>
        <v>2.1882108242355747</v>
      </c>
      <c r="V8" s="559">
        <f t="shared" si="13"/>
        <v>2.3406395084519285</v>
      </c>
      <c r="W8" s="559">
        <f t="shared" si="14"/>
        <v>2.4807131010882926</v>
      </c>
      <c r="X8" s="559">
        <f t="shared" si="15"/>
        <v>2.9708596767982893</v>
      </c>
      <c r="Y8" s="559">
        <f t="shared" si="16"/>
        <v>3.3036551642666163</v>
      </c>
      <c r="Z8" s="559">
        <f t="shared" si="17"/>
        <v>3.2592299076273612</v>
      </c>
      <c r="AA8" s="2" t="str">
        <f>+IFERROR(RANK(B8,(B$6,B$15,B$22,B$26,B$27,B$28,B$33),0),"")</f>
        <v/>
      </c>
      <c r="AB8" s="2" t="str">
        <f>+IFERROR(RANK(C8,(C$6,C$15,C$22,C$26,C$27,C$28,C$33),0),"")</f>
        <v/>
      </c>
      <c r="AC8" s="2" t="str">
        <f>+IFERROR(RANK(D8,(D$6,D$15,D$22,D$26,D$27,D$28,D$33),0),"")</f>
        <v/>
      </c>
      <c r="AD8" s="2" t="str">
        <f>+IFERROR(RANK(E8,(E$6,E$15,E$22,E$26,E$27,E$28,E$33),0),"")</f>
        <v/>
      </c>
      <c r="AE8" s="2" t="str">
        <f>+IFERROR(RANK(F8,(F$6,F$15,F$22,F$26,F$27,F$28,F$33),0),"")</f>
        <v/>
      </c>
      <c r="AF8" s="2" t="str">
        <f>+IFERROR(RANK(G8,(G$6,G$15,G$22,G$26,G$27,G$28,G$33),0),"")</f>
        <v/>
      </c>
      <c r="AG8" s="2" t="str">
        <f>+IFERROR(RANK(H8,(H$6,H$15,H$22,H$26,H$27,H$28,H$33),0),"")</f>
        <v/>
      </c>
      <c r="AH8" s="2" t="str">
        <f>+IFERROR(RANK(I8,(I$6,I$15,I$22,I$26,I$27,I$28,I$33),0),"")</f>
        <v/>
      </c>
      <c r="AI8" s="2" t="str">
        <f>+IFERROR(RANK(J8,(J$6,J$15,J$22,J$26,J$27,J$28,J$33),0),"")</f>
        <v/>
      </c>
      <c r="AJ8" s="2" t="str">
        <f>+IFERROR(RANK(K8,(K$6,K$15,K$22,K$26,K$27,K$28,K$33),0),"")</f>
        <v/>
      </c>
      <c r="AK8" s="2" t="str">
        <f>+IFERROR(RANK(L8,(L$6,L$15,L$22,L$26,L$27,L$28,L$33),0),"")</f>
        <v/>
      </c>
    </row>
    <row r="9" spans="1:40" ht="18" customHeight="1">
      <c r="A9" s="572" t="s">
        <v>499</v>
      </c>
      <c r="B9" s="646">
        <v>943.00000000000011</v>
      </c>
      <c r="C9" s="646">
        <v>1095</v>
      </c>
      <c r="D9" s="646">
        <v>1094</v>
      </c>
      <c r="E9" s="646">
        <v>1174</v>
      </c>
      <c r="F9" s="646">
        <v>1883</v>
      </c>
      <c r="G9" s="646">
        <v>2227</v>
      </c>
      <c r="H9" s="646">
        <v>2560</v>
      </c>
      <c r="I9" s="646">
        <v>2869.9999999999995</v>
      </c>
      <c r="J9" s="646">
        <v>5019</v>
      </c>
      <c r="K9" s="646">
        <v>6545.0000000000009</v>
      </c>
      <c r="L9" s="646">
        <v>8530</v>
      </c>
      <c r="M9" s="393"/>
      <c r="N9" s="559">
        <f t="shared" si="5"/>
        <v>804.55991516436893</v>
      </c>
      <c r="O9" s="419">
        <f t="shared" si="6"/>
        <v>7587</v>
      </c>
      <c r="P9" s="559">
        <f t="shared" si="7"/>
        <v>0.85423630549591956</v>
      </c>
      <c r="Q9" s="559">
        <f t="shared" si="8"/>
        <v>0.94387601175750657</v>
      </c>
      <c r="R9" s="559">
        <f t="shared" si="9"/>
        <v>0.85981954792668613</v>
      </c>
      <c r="S9" s="559">
        <f t="shared" si="10"/>
        <v>0.8368081542464092</v>
      </c>
      <c r="T9" s="559">
        <f t="shared" si="11"/>
        <v>1.112259665081663</v>
      </c>
      <c r="U9" s="559">
        <f t="shared" si="12"/>
        <v>1.057540257285726</v>
      </c>
      <c r="V9" s="559">
        <f t="shared" si="13"/>
        <v>1.1756007733248846</v>
      </c>
      <c r="W9" s="559">
        <f t="shared" si="14"/>
        <v>1.255891091925101</v>
      </c>
      <c r="X9" s="559">
        <f t="shared" si="15"/>
        <v>1.5585601252065029</v>
      </c>
      <c r="Y9" s="559">
        <f t="shared" si="16"/>
        <v>1.5779335218656507</v>
      </c>
      <c r="Z9" s="559">
        <f t="shared" si="17"/>
        <v>1.6732609757485044</v>
      </c>
      <c r="AA9" s="2" t="str">
        <f>+IFERROR(RANK(B9,(B$6,B$15,B$22,B$26,B$27,B$28,B$33),0),"")</f>
        <v/>
      </c>
      <c r="AB9" s="2" t="str">
        <f>+IFERROR(RANK(C9,(C$6,C$15,C$22,C$26,C$27,C$28,C$33),0),"")</f>
        <v/>
      </c>
      <c r="AC9" s="2" t="str">
        <f>+IFERROR(RANK(D9,(D$6,D$15,D$22,D$26,D$27,D$28,D$33),0),"")</f>
        <v/>
      </c>
      <c r="AD9" s="2" t="str">
        <f>+IFERROR(RANK(E9,(E$6,E$15,E$22,E$26,E$27,E$28,E$33),0),"")</f>
        <v/>
      </c>
      <c r="AE9" s="2" t="str">
        <f>+IFERROR(RANK(F9,(F$6,F$15,F$22,F$26,F$27,F$28,F$33),0),"")</f>
        <v/>
      </c>
      <c r="AF9" s="2" t="str">
        <f>+IFERROR(RANK(G9,(G$6,G$15,G$22,G$26,G$27,G$28,G$33),0),"")</f>
        <v/>
      </c>
      <c r="AG9" s="2" t="str">
        <f>+IFERROR(RANK(H9,(H$6,H$15,H$22,H$26,H$27,H$28,H$33),0),"")</f>
        <v/>
      </c>
      <c r="AH9" s="2" t="str">
        <f>+IFERROR(RANK(I9,(I$6,I$15,I$22,I$26,I$27,I$28,I$33),0),"")</f>
        <v/>
      </c>
      <c r="AI9" s="2" t="str">
        <f>+IFERROR(RANK(J9,(J$6,J$15,J$22,J$26,J$27,J$28,J$33),0),"")</f>
        <v/>
      </c>
      <c r="AJ9" s="2" t="str">
        <f>+IFERROR(RANK(K9,(K$6,K$15,K$22,K$26,K$27,K$28,K$33),0),"")</f>
        <v/>
      </c>
      <c r="AK9" s="2" t="str">
        <f>+IFERROR(RANK(L9,(L$6,L$15,L$22,L$26,L$27,L$28,L$33),0),"")</f>
        <v/>
      </c>
    </row>
    <row r="10" spans="1:40" ht="18" customHeight="1">
      <c r="A10" s="572" t="s">
        <v>500</v>
      </c>
      <c r="B10" s="646">
        <v>7776</v>
      </c>
      <c r="C10" s="646">
        <v>8118.0000000000009</v>
      </c>
      <c r="D10" s="646">
        <v>8429</v>
      </c>
      <c r="E10" s="646">
        <v>10923.000000000002</v>
      </c>
      <c r="F10" s="646">
        <v>12670</v>
      </c>
      <c r="G10" s="646">
        <v>17064</v>
      </c>
      <c r="H10" s="646">
        <v>18965</v>
      </c>
      <c r="I10" s="646">
        <v>20521</v>
      </c>
      <c r="J10" s="646">
        <v>34651.999999999993</v>
      </c>
      <c r="K10" s="646">
        <v>46134</v>
      </c>
      <c r="L10" s="646">
        <v>59436</v>
      </c>
      <c r="M10" s="393"/>
      <c r="N10" s="559">
        <f t="shared" si="5"/>
        <v>664.35185185185185</v>
      </c>
      <c r="O10" s="419">
        <f t="shared" si="6"/>
        <v>51660</v>
      </c>
      <c r="P10" s="559">
        <f t="shared" si="7"/>
        <v>7.0440525042802431</v>
      </c>
      <c r="Q10" s="559">
        <f t="shared" si="8"/>
        <v>6.9976122953857898</v>
      </c>
      <c r="R10" s="559">
        <f t="shared" si="9"/>
        <v>6.6246974126819351</v>
      </c>
      <c r="S10" s="559">
        <f t="shared" si="10"/>
        <v>7.7857371966214046</v>
      </c>
      <c r="T10" s="559">
        <f t="shared" si="11"/>
        <v>7.483977672110818</v>
      </c>
      <c r="U10" s="559">
        <f t="shared" si="12"/>
        <v>8.1032182084973634</v>
      </c>
      <c r="V10" s="559">
        <f t="shared" si="13"/>
        <v>8.7090893226978263</v>
      </c>
      <c r="W10" s="559">
        <f t="shared" si="14"/>
        <v>8.9798401036219531</v>
      </c>
      <c r="X10" s="559">
        <f t="shared" si="15"/>
        <v>10.760554982796519</v>
      </c>
      <c r="Y10" s="559">
        <f t="shared" si="16"/>
        <v>11.122442337318551</v>
      </c>
      <c r="Z10" s="559">
        <f t="shared" si="17"/>
        <v>11.659078470643388</v>
      </c>
      <c r="AA10" s="2" t="str">
        <f>+IFERROR(RANK(B10,(B$6,B$15,B$22,B$26,B$27,B$28,B$33),0),"")</f>
        <v/>
      </c>
      <c r="AB10" s="2" t="str">
        <f>+IFERROR(RANK(C10,(C$6,C$15,C$22,C$26,C$27,C$28,C$33),0),"")</f>
        <v/>
      </c>
      <c r="AC10" s="2" t="str">
        <f>+IFERROR(RANK(D10,(D$6,D$15,D$22,D$26,D$27,D$28,D$33),0),"")</f>
        <v/>
      </c>
      <c r="AD10" s="2" t="str">
        <f>+IFERROR(RANK(E10,(E$6,E$15,E$22,E$26,E$27,E$28,E$33),0),"")</f>
        <v/>
      </c>
      <c r="AE10" s="2" t="str">
        <f>+IFERROR(RANK(F10,(F$6,F$15,F$22,F$26,F$27,F$28,F$33),0),"")</f>
        <v/>
      </c>
      <c r="AF10" s="2" t="str">
        <f>+IFERROR(RANK(G10,(G$6,G$15,G$22,G$26,G$27,G$28,G$33),0),"")</f>
        <v/>
      </c>
      <c r="AG10" s="2" t="str">
        <f>+IFERROR(RANK(H10,(H$6,H$15,H$22,H$26,H$27,H$28,H$33),0),"")</f>
        <v/>
      </c>
      <c r="AH10" s="2" t="str">
        <f>+IFERROR(RANK(I10,(I$6,I$15,I$22,I$26,I$27,I$28,I$33),0),"")</f>
        <v/>
      </c>
      <c r="AI10" s="2" t="str">
        <f>+IFERROR(RANK(J10,(J$6,J$15,J$22,J$26,J$27,J$28,J$33),0),"")</f>
        <v/>
      </c>
      <c r="AJ10" s="2" t="str">
        <f>+IFERROR(RANK(K10,(K$6,K$15,K$22,K$26,K$27,K$28,K$33),0),"")</f>
        <v/>
      </c>
      <c r="AK10" s="2" t="str">
        <f>+IFERROR(RANK(L10,(L$6,L$15,L$22,L$26,L$27,L$28,L$33),0),"")</f>
        <v/>
      </c>
    </row>
    <row r="11" spans="1:40" ht="18" customHeight="1">
      <c r="A11" s="572" t="s">
        <v>501</v>
      </c>
      <c r="B11" s="646">
        <v>205.00000000000003</v>
      </c>
      <c r="C11" s="646">
        <v>180</v>
      </c>
      <c r="D11" s="646">
        <v>191</v>
      </c>
      <c r="E11" s="646">
        <v>227</v>
      </c>
      <c r="F11" s="646">
        <v>308</v>
      </c>
      <c r="G11" s="646">
        <v>333</v>
      </c>
      <c r="H11" s="646">
        <v>409</v>
      </c>
      <c r="I11" s="646">
        <v>364</v>
      </c>
      <c r="J11" s="646">
        <v>513</v>
      </c>
      <c r="K11" s="646">
        <v>689</v>
      </c>
      <c r="L11" s="646">
        <v>1000.9999999999999</v>
      </c>
      <c r="M11" s="393"/>
      <c r="N11" s="559">
        <f t="shared" si="5"/>
        <v>388.29268292682917</v>
      </c>
      <c r="O11" s="419">
        <f t="shared" si="6"/>
        <v>795.99999999999989</v>
      </c>
      <c r="P11" s="559">
        <f t="shared" si="7"/>
        <v>0.18570354467302599</v>
      </c>
      <c r="Q11" s="559">
        <f t="shared" si="8"/>
        <v>0.15515770056287778</v>
      </c>
      <c r="R11" s="559">
        <f t="shared" si="9"/>
        <v>0.15011474739853478</v>
      </c>
      <c r="S11" s="559">
        <f t="shared" si="10"/>
        <v>0.16180191738836019</v>
      </c>
      <c r="T11" s="559">
        <f t="shared" si="11"/>
        <v>0.1819309489352906</v>
      </c>
      <c r="U11" s="559">
        <f t="shared" si="12"/>
        <v>0.15813242284514897</v>
      </c>
      <c r="V11" s="559">
        <f t="shared" si="13"/>
        <v>0.18782059230073353</v>
      </c>
      <c r="W11" s="559">
        <f t="shared" si="14"/>
        <v>0.1592837482441592</v>
      </c>
      <c r="X11" s="559">
        <f t="shared" si="15"/>
        <v>0.15930291775870412</v>
      </c>
      <c r="Y11" s="559">
        <f t="shared" si="16"/>
        <v>0.16611095440266357</v>
      </c>
      <c r="Z11" s="559">
        <f t="shared" si="17"/>
        <v>0.19635805823262048</v>
      </c>
      <c r="AA11" s="2" t="str">
        <f>+IFERROR(RANK(B11,(B$6,B$15,B$22,B$26,B$27,B$28,B$33),0),"")</f>
        <v/>
      </c>
      <c r="AB11" s="2" t="str">
        <f>+IFERROR(RANK(C11,(C$6,C$15,C$22,C$26,C$27,C$28,C$33),0),"")</f>
        <v/>
      </c>
      <c r="AC11" s="2" t="str">
        <f>+IFERROR(RANK(D11,(D$6,D$15,D$22,D$26,D$27,D$28,D$33),0),"")</f>
        <v/>
      </c>
      <c r="AD11" s="2" t="str">
        <f>+IFERROR(RANK(E11,(E$6,E$15,E$22,E$26,E$27,E$28,E$33),0),"")</f>
        <v/>
      </c>
      <c r="AE11" s="2" t="str">
        <f>+IFERROR(RANK(F11,(F$6,F$15,F$22,F$26,F$27,F$28,F$33),0),"")</f>
        <v/>
      </c>
      <c r="AF11" s="2" t="str">
        <f>+IFERROR(RANK(G11,(G$6,G$15,G$22,G$26,G$27,G$28,G$33),0),"")</f>
        <v/>
      </c>
      <c r="AG11" s="2" t="str">
        <f>+IFERROR(RANK(H11,(H$6,H$15,H$22,H$26,H$27,H$28,H$33),0),"")</f>
        <v/>
      </c>
      <c r="AH11" s="2" t="str">
        <f>+IFERROR(RANK(I11,(I$6,I$15,I$22,I$26,I$27,I$28,I$33),0),"")</f>
        <v/>
      </c>
      <c r="AI11" s="2" t="str">
        <f>+IFERROR(RANK(J11,(J$6,J$15,J$22,J$26,J$27,J$28,J$33),0),"")</f>
        <v/>
      </c>
      <c r="AJ11" s="2" t="str">
        <f>+IFERROR(RANK(K11,(K$6,K$15,K$22,K$26,K$27,K$28,K$33),0),"")</f>
        <v/>
      </c>
      <c r="AK11" s="2" t="str">
        <f>+IFERROR(RANK(L11,(L$6,L$15,L$22,L$26,L$27,L$28,L$33),0),"")</f>
        <v/>
      </c>
    </row>
    <row r="12" spans="1:40" ht="18" customHeight="1">
      <c r="A12" s="572" t="s">
        <v>502</v>
      </c>
      <c r="B12" s="646">
        <v>533</v>
      </c>
      <c r="C12" s="646">
        <v>570</v>
      </c>
      <c r="D12" s="646">
        <v>565.99999999999989</v>
      </c>
      <c r="E12" s="646">
        <v>668.99999999999989</v>
      </c>
      <c r="F12" s="646">
        <v>887</v>
      </c>
      <c r="G12" s="646">
        <v>1470</v>
      </c>
      <c r="H12" s="646">
        <v>1959</v>
      </c>
      <c r="I12" s="646">
        <v>2510</v>
      </c>
      <c r="J12" s="646">
        <v>4305</v>
      </c>
      <c r="K12" s="646">
        <v>6611</v>
      </c>
      <c r="L12" s="646">
        <v>8817</v>
      </c>
      <c r="M12" s="393"/>
      <c r="N12" s="559">
        <f t="shared" si="5"/>
        <v>1554.2213883677298</v>
      </c>
      <c r="O12" s="419">
        <f t="shared" si="6"/>
        <v>8284</v>
      </c>
      <c r="P12" s="559">
        <f t="shared" si="7"/>
        <v>0.48282921614986746</v>
      </c>
      <c r="Q12" s="559">
        <f t="shared" si="8"/>
        <v>0.49133271844911303</v>
      </c>
      <c r="R12" s="559">
        <f t="shared" si="9"/>
        <v>0.44484265459461081</v>
      </c>
      <c r="S12" s="559">
        <f t="shared" si="10"/>
        <v>0.47685234684058569</v>
      </c>
      <c r="T12" s="559">
        <f t="shared" si="11"/>
        <v>0.52393750553767127</v>
      </c>
      <c r="U12" s="559">
        <f t="shared" si="12"/>
        <v>0.69806204679390083</v>
      </c>
      <c r="V12" s="559">
        <f t="shared" si="13"/>
        <v>0.89961012302478482</v>
      </c>
      <c r="W12" s="559">
        <f t="shared" si="14"/>
        <v>1.0983577145407681</v>
      </c>
      <c r="X12" s="559">
        <f t="shared" si="15"/>
        <v>1.3368402747587158</v>
      </c>
      <c r="Y12" s="559">
        <f t="shared" si="16"/>
        <v>1.5938454565399258</v>
      </c>
      <c r="Z12" s="559">
        <f t="shared" si="17"/>
        <v>1.729559439997018</v>
      </c>
      <c r="AA12" s="2" t="str">
        <f>+IFERROR(RANK(B12,(B$6,B$15,B$22,B$26,B$27,B$28,B$33),0),"")</f>
        <v/>
      </c>
      <c r="AB12" s="2" t="str">
        <f>+IFERROR(RANK(C12,(C$6,C$15,C$22,C$26,C$27,C$28,C$33),0),"")</f>
        <v/>
      </c>
      <c r="AC12" s="2" t="str">
        <f>+IFERROR(RANK(D12,(D$6,D$15,D$22,D$26,D$27,D$28,D$33),0),"")</f>
        <v/>
      </c>
      <c r="AD12" s="2" t="str">
        <f>+IFERROR(RANK(E12,(E$6,E$15,E$22,E$26,E$27,E$28,E$33),0),"")</f>
        <v/>
      </c>
      <c r="AE12" s="2" t="str">
        <f>+IFERROR(RANK(F12,(F$6,F$15,F$22,F$26,F$27,F$28,F$33),0),"")</f>
        <v/>
      </c>
      <c r="AF12" s="2" t="str">
        <f>+IFERROR(RANK(G12,(G$6,G$15,G$22,G$26,G$27,G$28,G$33),0),"")</f>
        <v/>
      </c>
      <c r="AG12" s="2" t="str">
        <f>+IFERROR(RANK(H12,(H$6,H$15,H$22,H$26,H$27,H$28,H$33),0),"")</f>
        <v/>
      </c>
      <c r="AH12" s="2" t="str">
        <f>+IFERROR(RANK(I12,(I$6,I$15,I$22,I$26,I$27,I$28,I$33),0),"")</f>
        <v/>
      </c>
      <c r="AI12" s="2" t="str">
        <f>+IFERROR(RANK(J12,(J$6,J$15,J$22,J$26,J$27,J$28,J$33),0),"")</f>
        <v/>
      </c>
      <c r="AJ12" s="2" t="str">
        <f>+IFERROR(RANK(K12,(K$6,K$15,K$22,K$26,K$27,K$28,K$33),0),"")</f>
        <v/>
      </c>
      <c r="AK12" s="2" t="str">
        <f>+IFERROR(RANK(L12,(L$6,L$15,L$22,L$26,L$27,L$28,L$33),0),"")</f>
        <v/>
      </c>
    </row>
    <row r="13" spans="1:40" ht="18" customHeight="1">
      <c r="A13" s="572" t="s">
        <v>503</v>
      </c>
      <c r="B13" s="646">
        <v>531</v>
      </c>
      <c r="C13" s="646">
        <v>563</v>
      </c>
      <c r="D13" s="646">
        <v>506</v>
      </c>
      <c r="E13" s="646">
        <v>488.99999999999994</v>
      </c>
      <c r="F13" s="646">
        <v>566</v>
      </c>
      <c r="G13" s="646">
        <v>690</v>
      </c>
      <c r="H13" s="646">
        <v>673.99999999999989</v>
      </c>
      <c r="I13" s="646">
        <v>865</v>
      </c>
      <c r="J13" s="646">
        <v>1199</v>
      </c>
      <c r="K13" s="646">
        <v>2246.9999999999995</v>
      </c>
      <c r="L13" s="646">
        <v>3321.0000000000005</v>
      </c>
      <c r="M13" s="393"/>
      <c r="N13" s="559">
        <f t="shared" si="5"/>
        <v>525.42372881355948</v>
      </c>
      <c r="O13" s="419">
        <f t="shared" si="6"/>
        <v>2790.0000000000005</v>
      </c>
      <c r="P13" s="559">
        <f t="shared" si="7"/>
        <v>0.48101747425061847</v>
      </c>
      <c r="Q13" s="559">
        <f t="shared" si="8"/>
        <v>0.48529880787166779</v>
      </c>
      <c r="R13" s="559">
        <f t="shared" si="9"/>
        <v>0.39768618944323875</v>
      </c>
      <c r="S13" s="559">
        <f t="shared" si="10"/>
        <v>0.34855126697316358</v>
      </c>
      <c r="T13" s="559">
        <f t="shared" si="11"/>
        <v>0.33432765291355349</v>
      </c>
      <c r="U13" s="559">
        <f t="shared" si="12"/>
        <v>0.32766177706652488</v>
      </c>
      <c r="V13" s="559">
        <f t="shared" si="13"/>
        <v>0.30951364110194224</v>
      </c>
      <c r="W13" s="559">
        <f t="shared" si="14"/>
        <v>0.37851769843735633</v>
      </c>
      <c r="X13" s="559">
        <f t="shared" si="15"/>
        <v>0.3723278721104995</v>
      </c>
      <c r="Y13" s="559">
        <f t="shared" si="16"/>
        <v>0.54172904868328731</v>
      </c>
      <c r="Z13" s="559">
        <f t="shared" si="17"/>
        <v>0.65145365773279995</v>
      </c>
      <c r="AA13" s="2" t="str">
        <f>+IFERROR(RANK(B13,(B$6,B$15,B$22,B$26,B$27,B$28,B$33),0),"")</f>
        <v/>
      </c>
      <c r="AB13" s="2" t="str">
        <f>+IFERROR(RANK(C13,(C$6,C$15,C$22,C$26,C$27,C$28,C$33),0),"")</f>
        <v/>
      </c>
      <c r="AC13" s="2" t="str">
        <f>+IFERROR(RANK(D13,(D$6,D$15,D$22,D$26,D$27,D$28,D$33),0),"")</f>
        <v/>
      </c>
      <c r="AD13" s="2" t="str">
        <f>+IFERROR(RANK(E13,(E$6,E$15,E$22,E$26,E$27,E$28,E$33),0),"")</f>
        <v/>
      </c>
      <c r="AE13" s="2" t="str">
        <f>+IFERROR(RANK(F13,(F$6,F$15,F$22,F$26,F$27,F$28,F$33),0),"")</f>
        <v/>
      </c>
      <c r="AF13" s="2" t="str">
        <f>+IFERROR(RANK(G13,(G$6,G$15,G$22,G$26,G$27,G$28,G$33),0),"")</f>
        <v/>
      </c>
      <c r="AG13" s="2" t="str">
        <f>+IFERROR(RANK(H13,(H$6,H$15,H$22,H$26,H$27,H$28,H$33),0),"")</f>
        <v/>
      </c>
      <c r="AH13" s="2" t="str">
        <f>+IFERROR(RANK(I13,(I$6,I$15,I$22,I$26,I$27,I$28,I$33),0),"")</f>
        <v/>
      </c>
      <c r="AI13" s="2" t="str">
        <f>+IFERROR(RANK(J13,(J$6,J$15,J$22,J$26,J$27,J$28,J$33),0),"")</f>
        <v/>
      </c>
      <c r="AJ13" s="2" t="str">
        <f>+IFERROR(RANK(K13,(K$6,K$15,K$22,K$26,K$27,K$28,K$33),0),"")</f>
        <v/>
      </c>
      <c r="AK13" s="2" t="str">
        <f>+IFERROR(RANK(L13,(L$6,L$15,L$22,L$26,L$27,L$28,L$33),0),"")</f>
        <v/>
      </c>
    </row>
    <row r="14" spans="1:40" ht="18" customHeight="1">
      <c r="A14" s="572" t="s">
        <v>504</v>
      </c>
      <c r="B14" s="646">
        <v>444.99999999999994</v>
      </c>
      <c r="C14" s="646">
        <v>476.00000000000006</v>
      </c>
      <c r="D14" s="646">
        <v>451</v>
      </c>
      <c r="E14" s="646">
        <v>474</v>
      </c>
      <c r="F14" s="646">
        <v>447.00000000000006</v>
      </c>
      <c r="G14" s="646">
        <v>565</v>
      </c>
      <c r="H14" s="646">
        <v>565</v>
      </c>
      <c r="I14" s="646">
        <v>566</v>
      </c>
      <c r="J14" s="646">
        <v>743</v>
      </c>
      <c r="K14" s="646">
        <v>1073.9999999999998</v>
      </c>
      <c r="L14" s="646">
        <v>1588</v>
      </c>
      <c r="M14" s="393"/>
      <c r="N14" s="559">
        <f t="shared" si="5"/>
        <v>256.85393258426973</v>
      </c>
      <c r="O14" s="419">
        <f t="shared" si="6"/>
        <v>1143</v>
      </c>
      <c r="P14" s="559">
        <f t="shared" si="7"/>
        <v>0.40311257258290994</v>
      </c>
      <c r="Q14" s="559">
        <f t="shared" si="8"/>
        <v>0.41030591926627691</v>
      </c>
      <c r="R14" s="559">
        <f t="shared" si="9"/>
        <v>0.35445942972114758</v>
      </c>
      <c r="S14" s="559">
        <f t="shared" si="10"/>
        <v>0.33785951031754508</v>
      </c>
      <c r="T14" s="559">
        <f t="shared" si="11"/>
        <v>0.26403614991582763</v>
      </c>
      <c r="U14" s="559">
        <f t="shared" si="12"/>
        <v>0.26830275948200949</v>
      </c>
      <c r="V14" s="559">
        <f t="shared" si="13"/>
        <v>0.2594587644252187</v>
      </c>
      <c r="W14" s="559">
        <f t="shared" si="14"/>
        <v>0.24767747666536841</v>
      </c>
      <c r="X14" s="559">
        <f t="shared" si="15"/>
        <v>0.23072527854720695</v>
      </c>
      <c r="Y14" s="559">
        <f t="shared" si="16"/>
        <v>0.25893057333593705</v>
      </c>
      <c r="Z14" s="559">
        <f t="shared" si="17"/>
        <v>0.31150509138201932</v>
      </c>
      <c r="AA14" s="2" t="str">
        <f>+IFERROR(RANK(B14,(B$6,B$15,B$22,B$26,B$27,B$28,B$33),0),"")</f>
        <v/>
      </c>
      <c r="AB14" s="2" t="str">
        <f>+IFERROR(RANK(C14,(C$6,C$15,C$22,C$26,C$27,C$28,C$33),0),"")</f>
        <v/>
      </c>
      <c r="AC14" s="2" t="str">
        <f>+IFERROR(RANK(D14,(D$6,D$15,D$22,D$26,D$27,D$28,D$33),0),"")</f>
        <v/>
      </c>
      <c r="AD14" s="2" t="str">
        <f>+IFERROR(RANK(E14,(E$6,E$15,E$22,E$26,E$27,E$28,E$33),0),"")</f>
        <v/>
      </c>
      <c r="AE14" s="2" t="str">
        <f>+IFERROR(RANK(F14,(F$6,F$15,F$22,F$26,F$27,F$28,F$33),0),"")</f>
        <v/>
      </c>
      <c r="AF14" s="2" t="str">
        <f>+IFERROR(RANK(G14,(G$6,G$15,G$22,G$26,G$27,G$28,G$33),0),"")</f>
        <v/>
      </c>
      <c r="AG14" s="2" t="str">
        <f>+IFERROR(RANK(H14,(H$6,H$15,H$22,H$26,H$27,H$28,H$33),0),"")</f>
        <v/>
      </c>
      <c r="AH14" s="2" t="str">
        <f>+IFERROR(RANK(I14,(I$6,I$15,I$22,I$26,I$27,I$28,I$33),0),"")</f>
        <v/>
      </c>
      <c r="AI14" s="2" t="str">
        <f>+IFERROR(RANK(J14,(J$6,J$15,J$22,J$26,J$27,J$28,J$33),0),"")</f>
        <v/>
      </c>
      <c r="AJ14" s="2" t="str">
        <f>+IFERROR(RANK(K14,(K$6,K$15,K$22,K$26,K$27,K$28,K$33),0),"")</f>
        <v/>
      </c>
      <c r="AK14" s="2" t="str">
        <f>+IFERROR(RANK(L14,(L$6,L$15,L$22,L$26,L$27,L$28,L$33),0),"")</f>
        <v/>
      </c>
    </row>
    <row r="15" spans="1:40" ht="20.100000000000001" customHeight="1">
      <c r="A15" s="15" t="s">
        <v>505</v>
      </c>
      <c r="B15" s="647">
        <v>9629.0000000000036</v>
      </c>
      <c r="C15" s="647">
        <v>9895</v>
      </c>
      <c r="D15" s="647">
        <v>10177.999999999998</v>
      </c>
      <c r="E15" s="647">
        <v>10932.999999999995</v>
      </c>
      <c r="F15" s="647">
        <v>13342.000000000004</v>
      </c>
      <c r="G15" s="647">
        <v>17468.000000000004</v>
      </c>
      <c r="H15" s="647">
        <v>19464.999999999996</v>
      </c>
      <c r="I15" s="647">
        <v>21496.000000000004</v>
      </c>
      <c r="J15" s="647">
        <v>33698.000000000007</v>
      </c>
      <c r="K15" s="647">
        <v>46558.999999999993</v>
      </c>
      <c r="L15" s="647">
        <v>57574.999999999993</v>
      </c>
      <c r="M15" s="393"/>
      <c r="N15" s="559">
        <f t="shared" si="5"/>
        <v>497.93332640980344</v>
      </c>
      <c r="O15" s="419">
        <f t="shared" si="6"/>
        <v>47945.999999999985</v>
      </c>
      <c r="P15" s="559">
        <f t="shared" si="7"/>
        <v>8.7226313739344761</v>
      </c>
      <c r="Q15" s="559">
        <f t="shared" si="8"/>
        <v>8.5293635948315316</v>
      </c>
      <c r="R15" s="559">
        <f t="shared" si="9"/>
        <v>7.9993083718444327</v>
      </c>
      <c r="S15" s="559">
        <f t="shared" si="10"/>
        <v>7.792865034391812</v>
      </c>
      <c r="T15" s="559">
        <f t="shared" si="11"/>
        <v>7.8809179243332723</v>
      </c>
      <c r="U15" s="559">
        <f t="shared" si="12"/>
        <v>8.2950665533305195</v>
      </c>
      <c r="V15" s="559">
        <f t="shared" si="13"/>
        <v>8.9386988487378414</v>
      </c>
      <c r="W15" s="559">
        <f t="shared" si="14"/>
        <v>9.4064930007045238</v>
      </c>
      <c r="X15" s="559">
        <f t="shared" si="15"/>
        <v>10.464307451525951</v>
      </c>
      <c r="Y15" s="559">
        <f t="shared" si="16"/>
        <v>11.224905553024112</v>
      </c>
      <c r="Z15" s="559">
        <f t="shared" si="17"/>
        <v>11.294021181561561</v>
      </c>
      <c r="AA15" s="2">
        <f>+IFERROR(RANK(B15,(B$6,B$15,B$22,B$26,B$27,B$28,B$33),0),"")</f>
        <v>4</v>
      </c>
      <c r="AB15" s="2">
        <f>+IFERROR(RANK(C15,(C$6,C$15,C$22,C$26,C$27,C$28,C$33),0),"")</f>
        <v>4</v>
      </c>
      <c r="AC15" s="2">
        <f>+IFERROR(RANK(D15,(D$6,D$15,D$22,D$26,D$27,D$28,D$33),0),"")</f>
        <v>4</v>
      </c>
      <c r="AD15" s="2">
        <f>+IFERROR(RANK(E15,(E$6,E$15,E$22,E$26,E$27,E$28,E$33),0),"")</f>
        <v>4</v>
      </c>
      <c r="AE15" s="2">
        <f>+IFERROR(RANK(F15,(F$6,F$15,F$22,F$26,F$27,F$28,F$33),0),"")</f>
        <v>5</v>
      </c>
      <c r="AF15" s="2">
        <f>+IFERROR(RANK(G15,(G$6,G$15,G$22,G$26,G$27,G$28,G$33),0),"")</f>
        <v>4</v>
      </c>
      <c r="AG15" s="2">
        <f>+IFERROR(RANK(H15,(H$6,H$15,H$22,H$26,H$27,H$28,H$33),0),"")</f>
        <v>5</v>
      </c>
      <c r="AH15" s="2">
        <f>+IFERROR(RANK(I15,(I$6,I$15,I$22,I$26,I$27,I$28,I$33),0),"")</f>
        <v>4</v>
      </c>
      <c r="AI15" s="2">
        <f>+IFERROR(RANK(J15,(J$6,J$15,J$22,J$26,J$27,J$28,J$33),0),"")</f>
        <v>4</v>
      </c>
      <c r="AJ15" s="2">
        <f>+IFERROR(RANK(K15,(K$6,K$15,K$22,K$26,K$27,K$28,K$33),0),"")</f>
        <v>3</v>
      </c>
      <c r="AK15" s="2">
        <f>+IFERROR(RANK(L15,(L$6,L$15,L$22,L$26,L$27,L$28,L$33),0),"")</f>
        <v>3</v>
      </c>
    </row>
    <row r="16" spans="1:40" ht="18" customHeight="1">
      <c r="A16" s="572" t="s">
        <v>506</v>
      </c>
      <c r="B16" s="646">
        <v>2309</v>
      </c>
      <c r="C16" s="646">
        <v>2311.9999999999995</v>
      </c>
      <c r="D16" s="646">
        <v>2429</v>
      </c>
      <c r="E16" s="646">
        <v>2616</v>
      </c>
      <c r="F16" s="646">
        <v>3538.9999999999995</v>
      </c>
      <c r="G16" s="646">
        <v>4939.0000000000009</v>
      </c>
      <c r="H16" s="646">
        <v>5784.0000000000009</v>
      </c>
      <c r="I16" s="646">
        <v>6065.9999999999991</v>
      </c>
      <c r="J16" s="646">
        <v>10322</v>
      </c>
      <c r="K16" s="646">
        <v>13965</v>
      </c>
      <c r="L16" s="646">
        <v>16595</v>
      </c>
      <c r="M16" s="393"/>
      <c r="N16" s="559">
        <f t="shared" si="5"/>
        <v>618.70939800779558</v>
      </c>
      <c r="O16" s="419">
        <f t="shared" si="6"/>
        <v>14286</v>
      </c>
      <c r="P16" s="559">
        <f t="shared" si="7"/>
        <v>2.0916560226830092</v>
      </c>
      <c r="Q16" s="559">
        <f t="shared" si="8"/>
        <v>1.9929144650076298</v>
      </c>
      <c r="R16" s="559">
        <f t="shared" si="9"/>
        <v>1.9090508975447171</v>
      </c>
      <c r="S16" s="559">
        <f t="shared" si="10"/>
        <v>1.8646423607398692</v>
      </c>
      <c r="T16" s="559">
        <f t="shared" si="11"/>
        <v>2.0904338580584199</v>
      </c>
      <c r="U16" s="559">
        <f t="shared" si="12"/>
        <v>2.345393502799372</v>
      </c>
      <c r="V16" s="559">
        <f t="shared" si="13"/>
        <v>2.6561229972309119</v>
      </c>
      <c r="W16" s="559">
        <f t="shared" si="14"/>
        <v>2.654437408926015</v>
      </c>
      <c r="X16" s="559">
        <f t="shared" si="15"/>
        <v>3.2053113393866353</v>
      </c>
      <c r="Y16" s="559">
        <f t="shared" si="16"/>
        <v>3.3668207231251044</v>
      </c>
      <c r="Z16" s="559">
        <f t="shared" si="17"/>
        <v>3.2553066697006368</v>
      </c>
      <c r="AA16" s="2" t="str">
        <f>+IFERROR(RANK(B16,(B$6,B$15,B$22,B$26,B$27,B$28,B$33),0),"")</f>
        <v/>
      </c>
      <c r="AB16" s="2" t="str">
        <f>+IFERROR(RANK(C16,(C$6,C$15,C$22,C$26,C$27,C$28,C$33),0),"")</f>
        <v/>
      </c>
      <c r="AC16" s="2" t="str">
        <f>+IFERROR(RANK(D16,(D$6,D$15,D$22,D$26,D$27,D$28,D$33),0),"")</f>
        <v/>
      </c>
      <c r="AD16" s="2" t="str">
        <f>+IFERROR(RANK(E16,(E$6,E$15,E$22,E$26,E$27,E$28,E$33),0),"")</f>
        <v/>
      </c>
      <c r="AE16" s="2" t="str">
        <f>+IFERROR(RANK(F16,(F$6,F$15,F$22,F$26,F$27,F$28,F$33),0),"")</f>
        <v/>
      </c>
      <c r="AF16" s="2" t="str">
        <f>+IFERROR(RANK(G16,(G$6,G$15,G$22,G$26,G$27,G$28,G$33),0),"")</f>
        <v/>
      </c>
      <c r="AG16" s="2" t="str">
        <f>+IFERROR(RANK(H16,(H$6,H$15,H$22,H$26,H$27,H$28,H$33),0),"")</f>
        <v/>
      </c>
      <c r="AH16" s="2" t="str">
        <f>+IFERROR(RANK(I16,(I$6,I$15,I$22,I$26,I$27,I$28,I$33),0),"")</f>
        <v/>
      </c>
      <c r="AI16" s="2" t="str">
        <f>+IFERROR(RANK(J16,(J$6,J$15,J$22,J$26,J$27,J$28,J$33),0),"")</f>
        <v/>
      </c>
      <c r="AJ16" s="2" t="str">
        <f>+IFERROR(RANK(K16,(K$6,K$15,K$22,K$26,K$27,K$28,K$33),0),"")</f>
        <v/>
      </c>
      <c r="AK16" s="2" t="str">
        <f>+IFERROR(RANK(L16,(L$6,L$15,L$22,L$26,L$27,L$28,L$33),0),"")</f>
        <v/>
      </c>
    </row>
    <row r="17" spans="1:40" ht="18" customHeight="1">
      <c r="A17" s="572" t="s">
        <v>507</v>
      </c>
      <c r="B17" s="646">
        <v>2017</v>
      </c>
      <c r="C17" s="646">
        <v>2181.0000000000005</v>
      </c>
      <c r="D17" s="646">
        <v>2257.9999999999995</v>
      </c>
      <c r="E17" s="646">
        <v>2477.9999999999995</v>
      </c>
      <c r="F17" s="646">
        <v>2776</v>
      </c>
      <c r="G17" s="646">
        <v>3640.0000000000009</v>
      </c>
      <c r="H17" s="646">
        <v>3973.9999999999995</v>
      </c>
      <c r="I17" s="646">
        <v>4436</v>
      </c>
      <c r="J17" s="646">
        <v>7026</v>
      </c>
      <c r="K17" s="646">
        <v>9698.0000000000018</v>
      </c>
      <c r="L17" s="646">
        <v>12388</v>
      </c>
      <c r="M17" s="393"/>
      <c r="N17" s="559">
        <f t="shared" si="5"/>
        <v>514.17947446703022</v>
      </c>
      <c r="O17" s="419">
        <f t="shared" si="6"/>
        <v>10371</v>
      </c>
      <c r="P17" s="559">
        <f t="shared" si="7"/>
        <v>1.8271417053926504</v>
      </c>
      <c r="Q17" s="559">
        <f t="shared" si="8"/>
        <v>1.8799941384868697</v>
      </c>
      <c r="R17" s="559">
        <f t="shared" si="9"/>
        <v>1.774654971863306</v>
      </c>
      <c r="S17" s="559">
        <f t="shared" si="10"/>
        <v>1.7662781995081784</v>
      </c>
      <c r="T17" s="559">
        <f t="shared" si="11"/>
        <v>1.6397412800141775</v>
      </c>
      <c r="U17" s="559">
        <f t="shared" si="12"/>
        <v>1.7285345920610884</v>
      </c>
      <c r="V17" s="559">
        <f t="shared" si="13"/>
        <v>1.8249365129660511</v>
      </c>
      <c r="W17" s="559">
        <f t="shared" si="14"/>
        <v>1.9411612835469509</v>
      </c>
      <c r="X17" s="559">
        <f t="shared" si="15"/>
        <v>2.181797856087047</v>
      </c>
      <c r="Y17" s="559">
        <f t="shared" si="16"/>
        <v>2.3380900374412654</v>
      </c>
      <c r="Z17" s="559">
        <f t="shared" si="17"/>
        <v>2.4300535718138887</v>
      </c>
      <c r="AA17" s="2" t="str">
        <f>+IFERROR(RANK(B17,(B$6,B$15,B$22,B$26,B$27,B$28,B$33),0),"")</f>
        <v/>
      </c>
      <c r="AB17" s="2" t="str">
        <f>+IFERROR(RANK(C17,(C$6,C$15,C$22,C$26,C$27,C$28,C$33),0),"")</f>
        <v/>
      </c>
      <c r="AC17" s="2" t="str">
        <f>+IFERROR(RANK(D17,(D$6,D$15,D$22,D$26,D$27,D$28,D$33),0),"")</f>
        <v/>
      </c>
      <c r="AD17" s="2" t="str">
        <f>+IFERROR(RANK(E17,(E$6,E$15,E$22,E$26,E$27,E$28,E$33),0),"")</f>
        <v/>
      </c>
      <c r="AE17" s="2" t="str">
        <f>+IFERROR(RANK(F17,(F$6,F$15,F$22,F$26,F$27,F$28,F$33),0),"")</f>
        <v/>
      </c>
      <c r="AF17" s="2" t="str">
        <f>+IFERROR(RANK(G17,(G$6,G$15,G$22,G$26,G$27,G$28,G$33),0),"")</f>
        <v/>
      </c>
      <c r="AG17" s="2" t="str">
        <f>+IFERROR(RANK(H17,(H$6,H$15,H$22,H$26,H$27,H$28,H$33),0),"")</f>
        <v/>
      </c>
      <c r="AH17" s="2" t="str">
        <f>+IFERROR(RANK(I17,(I$6,I$15,I$22,I$26,I$27,I$28,I$33),0),"")</f>
        <v/>
      </c>
      <c r="AI17" s="2" t="str">
        <f>+IFERROR(RANK(J17,(J$6,J$15,J$22,J$26,J$27,J$28,J$33),0),"")</f>
        <v/>
      </c>
      <c r="AJ17" s="2" t="str">
        <f>+IFERROR(RANK(K17,(K$6,K$15,K$22,K$26,K$27,K$28,K$33),0),"")</f>
        <v/>
      </c>
      <c r="AK17" s="2" t="str">
        <f>+IFERROR(RANK(L17,(L$6,L$15,L$22,L$26,L$27,L$28,L$33),0),"")</f>
        <v/>
      </c>
    </row>
    <row r="18" spans="1:40" ht="18" customHeight="1">
      <c r="A18" s="572" t="s">
        <v>508</v>
      </c>
      <c r="B18" s="646">
        <v>3297.9999999999995</v>
      </c>
      <c r="C18" s="646">
        <v>3394</v>
      </c>
      <c r="D18" s="646">
        <v>3494</v>
      </c>
      <c r="E18" s="646">
        <v>3760</v>
      </c>
      <c r="F18" s="646">
        <v>4520</v>
      </c>
      <c r="G18" s="646">
        <v>5528</v>
      </c>
      <c r="H18" s="646">
        <v>6041.9999999999991</v>
      </c>
      <c r="I18" s="646">
        <v>7051.9999999999991</v>
      </c>
      <c r="J18" s="646">
        <v>9828</v>
      </c>
      <c r="K18" s="646">
        <v>12503.000000000002</v>
      </c>
      <c r="L18" s="646">
        <v>15258</v>
      </c>
      <c r="M18" s="393"/>
      <c r="N18" s="559">
        <f t="shared" si="5"/>
        <v>362.6440266828381</v>
      </c>
      <c r="O18" s="419">
        <f t="shared" si="6"/>
        <v>11960</v>
      </c>
      <c r="P18" s="559">
        <f t="shared" si="7"/>
        <v>2.9875623918616561</v>
      </c>
      <c r="Q18" s="559">
        <f t="shared" si="8"/>
        <v>2.9255846428355956</v>
      </c>
      <c r="R18" s="559">
        <f t="shared" si="9"/>
        <v>2.7460781539815735</v>
      </c>
      <c r="S18" s="559">
        <f t="shared" si="10"/>
        <v>2.6800670016750412</v>
      </c>
      <c r="T18" s="559">
        <f t="shared" si="11"/>
        <v>2.6698957441153035</v>
      </c>
      <c r="U18" s="559">
        <f t="shared" si="12"/>
        <v>2.6250931936576078</v>
      </c>
      <c r="V18" s="559">
        <f t="shared" si="13"/>
        <v>2.7746015126675592</v>
      </c>
      <c r="W18" s="559">
        <f t="shared" si="14"/>
        <v>3.0859038258731055</v>
      </c>
      <c r="X18" s="559">
        <f t="shared" si="15"/>
        <v>3.0519085296930686</v>
      </c>
      <c r="Y18" s="559">
        <f t="shared" si="16"/>
        <v>3.0143472610979729</v>
      </c>
      <c r="Z18" s="559">
        <f t="shared" si="17"/>
        <v>2.9930382142990246</v>
      </c>
      <c r="AA18" s="2" t="str">
        <f>+IFERROR(RANK(B18,(B$6,B$15,B$22,B$26,B$27,B$28,B$33),0),"")</f>
        <v/>
      </c>
      <c r="AB18" s="2" t="str">
        <f>+IFERROR(RANK(C18,(C$6,C$15,C$22,C$26,C$27,C$28,C$33),0),"")</f>
        <v/>
      </c>
      <c r="AC18" s="2" t="str">
        <f>+IFERROR(RANK(D18,(D$6,D$15,D$22,D$26,D$27,D$28,D$33),0),"")</f>
        <v/>
      </c>
      <c r="AD18" s="2" t="str">
        <f>+IFERROR(RANK(E18,(E$6,E$15,E$22,E$26,E$27,E$28,E$33),0),"")</f>
        <v/>
      </c>
      <c r="AE18" s="2" t="str">
        <f>+IFERROR(RANK(F18,(F$6,F$15,F$22,F$26,F$27,F$28,F$33),0),"")</f>
        <v/>
      </c>
      <c r="AF18" s="2" t="str">
        <f>+IFERROR(RANK(G18,(G$6,G$15,G$22,G$26,G$27,G$28,G$33),0),"")</f>
        <v/>
      </c>
      <c r="AG18" s="2" t="str">
        <f>+IFERROR(RANK(H18,(H$6,H$15,H$22,H$26,H$27,H$28,H$33),0),"")</f>
        <v/>
      </c>
      <c r="AH18" s="2" t="str">
        <f>+IFERROR(RANK(I18,(I$6,I$15,I$22,I$26,I$27,I$28,I$33),0),"")</f>
        <v/>
      </c>
      <c r="AI18" s="2" t="str">
        <f>+IFERROR(RANK(J18,(J$6,J$15,J$22,J$26,J$27,J$28,J$33),0),"")</f>
        <v/>
      </c>
      <c r="AJ18" s="2" t="str">
        <f>+IFERROR(RANK(K18,(K$6,K$15,K$22,K$26,K$27,K$28,K$33),0),"")</f>
        <v/>
      </c>
      <c r="AK18" s="2" t="str">
        <f>+IFERROR(RANK(L18,(L$6,L$15,L$22,L$26,L$27,L$28,L$33),0),"")</f>
        <v/>
      </c>
    </row>
    <row r="19" spans="1:40" ht="18" customHeight="1">
      <c r="A19" s="572" t="s">
        <v>509</v>
      </c>
      <c r="B19" s="646">
        <v>975</v>
      </c>
      <c r="C19" s="646">
        <v>979</v>
      </c>
      <c r="D19" s="646">
        <v>1013</v>
      </c>
      <c r="E19" s="646">
        <v>1046</v>
      </c>
      <c r="F19" s="646">
        <v>1186</v>
      </c>
      <c r="G19" s="646">
        <v>1737</v>
      </c>
      <c r="H19" s="646">
        <v>1965.9999999999998</v>
      </c>
      <c r="I19" s="646">
        <v>2000</v>
      </c>
      <c r="J19" s="646">
        <v>3319</v>
      </c>
      <c r="K19" s="646">
        <v>4970</v>
      </c>
      <c r="L19" s="646">
        <v>6921</v>
      </c>
      <c r="M19" s="393"/>
      <c r="N19" s="559">
        <f t="shared" si="5"/>
        <v>609.84615384615392</v>
      </c>
      <c r="O19" s="419">
        <f t="shared" si="6"/>
        <v>5946</v>
      </c>
      <c r="P19" s="559">
        <f t="shared" si="7"/>
        <v>0.88322417588390389</v>
      </c>
      <c r="Q19" s="559">
        <f t="shared" si="8"/>
        <v>0.84388549361698528</v>
      </c>
      <c r="R19" s="559">
        <f t="shared" si="9"/>
        <v>0.79615831997233366</v>
      </c>
      <c r="S19" s="559">
        <f t="shared" si="10"/>
        <v>0.74557183078513123</v>
      </c>
      <c r="T19" s="559">
        <f t="shared" si="11"/>
        <v>0.70055229038069688</v>
      </c>
      <c r="U19" s="559">
        <f t="shared" si="12"/>
        <v>0.82485290835442571</v>
      </c>
      <c r="V19" s="559">
        <f t="shared" si="13"/>
        <v>0.90282465638934484</v>
      </c>
      <c r="W19" s="559">
        <f t="shared" si="14"/>
        <v>0.87518542991296255</v>
      </c>
      <c r="X19" s="559">
        <f t="shared" si="15"/>
        <v>1.0306557193784385</v>
      </c>
      <c r="Y19" s="559">
        <f t="shared" si="16"/>
        <v>1.1982168989568041</v>
      </c>
      <c r="Z19" s="559">
        <f t="shared" si="17"/>
        <v>1.357636484543423</v>
      </c>
      <c r="AA19" s="2" t="str">
        <f>+IFERROR(RANK(B19,(B$6,B$15,B$22,B$26,B$27,B$28,B$33),0),"")</f>
        <v/>
      </c>
      <c r="AB19" s="2" t="str">
        <f>+IFERROR(RANK(C19,(C$6,C$15,C$22,C$26,C$27,C$28,C$33),0),"")</f>
        <v/>
      </c>
      <c r="AC19" s="2" t="str">
        <f>+IFERROR(RANK(D19,(D$6,D$15,D$22,D$26,D$27,D$28,D$33),0),"")</f>
        <v/>
      </c>
      <c r="AD19" s="2" t="str">
        <f>+IFERROR(RANK(E19,(E$6,E$15,E$22,E$26,E$27,E$28,E$33),0),"")</f>
        <v/>
      </c>
      <c r="AE19" s="2" t="str">
        <f>+IFERROR(RANK(F19,(F$6,F$15,F$22,F$26,F$27,F$28,F$33),0),"")</f>
        <v/>
      </c>
      <c r="AF19" s="2" t="str">
        <f>+IFERROR(RANK(G19,(G$6,G$15,G$22,G$26,G$27,G$28,G$33),0),"")</f>
        <v/>
      </c>
      <c r="AG19" s="2" t="str">
        <f>+IFERROR(RANK(H19,(H$6,H$15,H$22,H$26,H$27,H$28,H$33),0),"")</f>
        <v/>
      </c>
      <c r="AH19" s="2" t="str">
        <f>+IFERROR(RANK(I19,(I$6,I$15,I$22,I$26,I$27,I$28,I$33),0),"")</f>
        <v/>
      </c>
      <c r="AI19" s="2" t="str">
        <f>+IFERROR(RANK(J19,(J$6,J$15,J$22,J$26,J$27,J$28,J$33),0),"")</f>
        <v/>
      </c>
      <c r="AJ19" s="2" t="str">
        <f>+IFERROR(RANK(K19,(K$6,K$15,K$22,K$26,K$27,K$28,K$33),0),"")</f>
        <v/>
      </c>
      <c r="AK19" s="2" t="str">
        <f>+IFERROR(RANK(L19,(L$6,L$15,L$22,L$26,L$27,L$28,L$33),0),"")</f>
        <v/>
      </c>
    </row>
    <row r="20" spans="1:40" ht="18" customHeight="1">
      <c r="A20" s="572" t="s">
        <v>510</v>
      </c>
      <c r="B20" s="646">
        <v>448</v>
      </c>
      <c r="C20" s="646">
        <v>422.00000000000011</v>
      </c>
      <c r="D20" s="646">
        <v>394</v>
      </c>
      <c r="E20" s="646">
        <v>477.99999999999989</v>
      </c>
      <c r="F20" s="646">
        <v>607</v>
      </c>
      <c r="G20" s="646">
        <v>745</v>
      </c>
      <c r="H20" s="646">
        <v>774</v>
      </c>
      <c r="I20" s="646">
        <v>833</v>
      </c>
      <c r="J20" s="646">
        <v>1434</v>
      </c>
      <c r="K20" s="646">
        <v>2151</v>
      </c>
      <c r="L20" s="646">
        <v>2616</v>
      </c>
      <c r="M20" s="393"/>
      <c r="N20" s="559">
        <f t="shared" si="5"/>
        <v>483.92857142857144</v>
      </c>
      <c r="O20" s="419">
        <f t="shared" si="6"/>
        <v>2168</v>
      </c>
      <c r="P20" s="559">
        <f t="shared" si="7"/>
        <v>0.40583018543178356</v>
      </c>
      <c r="Q20" s="559">
        <f t="shared" si="8"/>
        <v>0.36375860909741364</v>
      </c>
      <c r="R20" s="559">
        <f t="shared" si="9"/>
        <v>0.30966078782734402</v>
      </c>
      <c r="S20" s="559">
        <f t="shared" si="10"/>
        <v>0.34071064542570995</v>
      </c>
      <c r="T20" s="559">
        <f t="shared" si="11"/>
        <v>0.35854573377831622</v>
      </c>
      <c r="U20" s="559">
        <f t="shared" si="12"/>
        <v>0.35377974480371166</v>
      </c>
      <c r="V20" s="559">
        <f t="shared" si="13"/>
        <v>0.35543554630994562</v>
      </c>
      <c r="W20" s="559">
        <f t="shared" si="14"/>
        <v>0.36451473155874892</v>
      </c>
      <c r="X20" s="559">
        <f t="shared" si="15"/>
        <v>0.44530289291614372</v>
      </c>
      <c r="Y20" s="559">
        <f t="shared" si="16"/>
        <v>0.51858441642979591</v>
      </c>
      <c r="Z20" s="559">
        <f t="shared" si="17"/>
        <v>0.51315952081571947</v>
      </c>
      <c r="AA20" s="2" t="str">
        <f>+IFERROR(RANK(B20,(B$6,B$15,B$22,B$26,B$27,B$28,B$33),0),"")</f>
        <v/>
      </c>
      <c r="AB20" s="2" t="str">
        <f>+IFERROR(RANK(C20,(C$6,C$15,C$22,C$26,C$27,C$28,C$33),0),"")</f>
        <v/>
      </c>
      <c r="AC20" s="2" t="str">
        <f>+IFERROR(RANK(D20,(D$6,D$15,D$22,D$26,D$27,D$28,D$33),0),"")</f>
        <v/>
      </c>
      <c r="AD20" s="2" t="str">
        <f>+IFERROR(RANK(E20,(E$6,E$15,E$22,E$26,E$27,E$28,E$33),0),"")</f>
        <v/>
      </c>
      <c r="AE20" s="2" t="str">
        <f>+IFERROR(RANK(F20,(F$6,F$15,F$22,F$26,F$27,F$28,F$33),0),"")</f>
        <v/>
      </c>
      <c r="AF20" s="2" t="str">
        <f>+IFERROR(RANK(G20,(G$6,G$15,G$22,G$26,G$27,G$28,G$33),0),"")</f>
        <v/>
      </c>
      <c r="AG20" s="2" t="str">
        <f>+IFERROR(RANK(H20,(H$6,H$15,H$22,H$26,H$27,H$28,H$33),0),"")</f>
        <v/>
      </c>
      <c r="AH20" s="2" t="str">
        <f>+IFERROR(RANK(I20,(I$6,I$15,I$22,I$26,I$27,I$28,I$33),0),"")</f>
        <v/>
      </c>
      <c r="AI20" s="2" t="str">
        <f>+IFERROR(RANK(J20,(J$6,J$15,J$22,J$26,J$27,J$28,J$33),0),"")</f>
        <v/>
      </c>
      <c r="AJ20" s="2" t="str">
        <f>+IFERROR(RANK(K20,(K$6,K$15,K$22,K$26,K$27,K$28,K$33),0),"")</f>
        <v/>
      </c>
      <c r="AK20" s="2" t="str">
        <f>+IFERROR(RANK(L20,(L$6,L$15,L$22,L$26,L$27,L$28,L$33),0),"")</f>
        <v/>
      </c>
    </row>
    <row r="21" spans="1:40" ht="18" customHeight="1">
      <c r="A21" s="572" t="s">
        <v>511</v>
      </c>
      <c r="B21" s="646">
        <v>582</v>
      </c>
      <c r="C21" s="646">
        <v>607.00000000000011</v>
      </c>
      <c r="D21" s="646">
        <v>589.99999999999989</v>
      </c>
      <c r="E21" s="646">
        <v>555</v>
      </c>
      <c r="F21" s="646">
        <v>714.00000000000011</v>
      </c>
      <c r="G21" s="646">
        <v>878.99999999999989</v>
      </c>
      <c r="H21" s="646">
        <v>924.99999999999989</v>
      </c>
      <c r="I21" s="646">
        <v>1109</v>
      </c>
      <c r="J21" s="646">
        <v>1768.9999999999998</v>
      </c>
      <c r="K21" s="646">
        <v>3272</v>
      </c>
      <c r="L21" s="646">
        <v>3797</v>
      </c>
      <c r="M21" s="393"/>
      <c r="N21" s="559">
        <f t="shared" si="5"/>
        <v>552.40549828178689</v>
      </c>
      <c r="O21" s="419">
        <f t="shared" si="6"/>
        <v>3215</v>
      </c>
      <c r="P21" s="559">
        <f t="shared" si="7"/>
        <v>0.52721689268146876</v>
      </c>
      <c r="Q21" s="559">
        <f t="shared" si="8"/>
        <v>0.52322624578703802</v>
      </c>
      <c r="R21" s="559">
        <f t="shared" si="9"/>
        <v>0.46370524065515967</v>
      </c>
      <c r="S21" s="559">
        <f t="shared" si="10"/>
        <v>0.39559499625788508</v>
      </c>
      <c r="T21" s="559">
        <f t="shared" si="11"/>
        <v>0.42174901798635556</v>
      </c>
      <c r="U21" s="559">
        <f t="shared" si="12"/>
        <v>0.41741261165431204</v>
      </c>
      <c r="V21" s="559">
        <f t="shared" si="13"/>
        <v>0.42477762317403051</v>
      </c>
      <c r="W21" s="559">
        <f t="shared" si="14"/>
        <v>0.48529032088673774</v>
      </c>
      <c r="X21" s="559">
        <f t="shared" si="15"/>
        <v>0.5493311140646151</v>
      </c>
      <c r="Y21" s="559">
        <f t="shared" si="16"/>
        <v>0.78884621597317162</v>
      </c>
      <c r="Z21" s="559">
        <f t="shared" si="17"/>
        <v>0.74482672038887121</v>
      </c>
      <c r="AA21" s="2" t="str">
        <f>+IFERROR(RANK(B21,(B$6,B$15,B$22,B$26,B$27,B$28,B$33),0),"")</f>
        <v/>
      </c>
      <c r="AB21" s="2" t="str">
        <f>+IFERROR(RANK(C21,(C$6,C$15,C$22,C$26,C$27,C$28,C$33),0),"")</f>
        <v/>
      </c>
      <c r="AC21" s="2" t="str">
        <f>+IFERROR(RANK(D21,(D$6,D$15,D$22,D$26,D$27,D$28,D$33),0),"")</f>
        <v/>
      </c>
      <c r="AD21" s="2" t="str">
        <f>+IFERROR(RANK(E21,(E$6,E$15,E$22,E$26,E$27,E$28,E$33),0),"")</f>
        <v/>
      </c>
      <c r="AE21" s="2" t="str">
        <f>+IFERROR(RANK(F21,(F$6,F$15,F$22,F$26,F$27,F$28,F$33),0),"")</f>
        <v/>
      </c>
      <c r="AF21" s="2" t="str">
        <f>+IFERROR(RANK(G21,(G$6,G$15,G$22,G$26,G$27,G$28,G$33),0),"")</f>
        <v/>
      </c>
      <c r="AG21" s="2" t="str">
        <f>+IFERROR(RANK(H21,(H$6,H$15,H$22,H$26,H$27,H$28,H$33),0),"")</f>
        <v/>
      </c>
      <c r="AH21" s="2" t="str">
        <f>+IFERROR(RANK(I21,(I$6,I$15,I$22,I$26,I$27,I$28,I$33),0),"")</f>
        <v/>
      </c>
      <c r="AI21" s="2" t="str">
        <f>+IFERROR(RANK(J21,(J$6,J$15,J$22,J$26,J$27,J$28,J$33),0),"")</f>
        <v/>
      </c>
      <c r="AJ21" s="2" t="str">
        <f>+IFERROR(RANK(K21,(K$6,K$15,K$22,K$26,K$27,K$28,K$33),0),"")</f>
        <v/>
      </c>
      <c r="AK21" s="2" t="str">
        <f>+IFERROR(RANK(L21,(L$6,L$15,L$22,L$26,L$27,L$28,L$33),0),"")</f>
        <v/>
      </c>
    </row>
    <row r="22" spans="1:40" s="18" customFormat="1" ht="20.100000000000001" customHeight="1">
      <c r="A22" s="15" t="s">
        <v>512</v>
      </c>
      <c r="B22" s="647">
        <v>8347</v>
      </c>
      <c r="C22" s="647">
        <v>8413.0000000000018</v>
      </c>
      <c r="D22" s="647">
        <v>9215.0000000000018</v>
      </c>
      <c r="E22" s="647">
        <v>10242.999999999998</v>
      </c>
      <c r="F22" s="647">
        <v>13807.999999999998</v>
      </c>
      <c r="G22" s="647">
        <v>17449.000000000004</v>
      </c>
      <c r="H22" s="647">
        <v>19770</v>
      </c>
      <c r="I22" s="647">
        <v>20092.999999999996</v>
      </c>
      <c r="J22" s="647">
        <v>26288</v>
      </c>
      <c r="K22" s="647">
        <v>33797.000000000007</v>
      </c>
      <c r="L22" s="647">
        <v>40944.000000000007</v>
      </c>
      <c r="M22" s="393"/>
      <c r="N22" s="559">
        <f t="shared" si="5"/>
        <v>390.52354139211707</v>
      </c>
      <c r="O22" s="419">
        <f t="shared" si="6"/>
        <v>32597.000000000007</v>
      </c>
      <c r="P22" s="559">
        <f t="shared" si="7"/>
        <v>7.5613048165158423</v>
      </c>
      <c r="Q22" s="559">
        <f t="shared" si="8"/>
        <v>7.2518985268638403</v>
      </c>
      <c r="R22" s="559">
        <f t="shared" si="9"/>
        <v>7.2424471061649127</v>
      </c>
      <c r="S22" s="559">
        <f t="shared" si="10"/>
        <v>7.3010442282333621</v>
      </c>
      <c r="T22" s="559">
        <f t="shared" si="11"/>
        <v>8.1561770873327664</v>
      </c>
      <c r="U22" s="559">
        <f t="shared" si="12"/>
        <v>8.2860439826576719</v>
      </c>
      <c r="V22" s="559">
        <f t="shared" si="13"/>
        <v>9.0787606596222545</v>
      </c>
      <c r="W22" s="559">
        <f t="shared" si="14"/>
        <v>8.792550421620577</v>
      </c>
      <c r="X22" s="559">
        <f t="shared" si="15"/>
        <v>8.1632653061224438</v>
      </c>
      <c r="Y22" s="559">
        <f t="shared" si="16"/>
        <v>8.1481160028255779</v>
      </c>
      <c r="Z22" s="559">
        <f t="shared" si="17"/>
        <v>8.0316526835928226</v>
      </c>
      <c r="AA22" s="2">
        <f>+IFERROR(RANK(B22,(B$6,B$15,B$22,B$26,B$27,B$28,B$33),0),"")</f>
        <v>5</v>
      </c>
      <c r="AB22" s="2">
        <f>+IFERROR(RANK(C22,(C$6,C$15,C$22,C$26,C$27,C$28,C$33),0),"")</f>
        <v>5</v>
      </c>
      <c r="AC22" s="2">
        <f>+IFERROR(RANK(D22,(D$6,D$15,D$22,D$26,D$27,D$28,D$33),0),"")</f>
        <v>5</v>
      </c>
      <c r="AD22" s="2">
        <f>+IFERROR(RANK(E22,(E$6,E$15,E$22,E$26,E$27,E$28,E$33),0),"")</f>
        <v>5</v>
      </c>
      <c r="AE22" s="2">
        <f>+IFERROR(RANK(F22,(F$6,F$15,F$22,F$26,F$27,F$28,F$33),0),"")</f>
        <v>4</v>
      </c>
      <c r="AF22" s="2">
        <f>+IFERROR(RANK(G22,(G$6,G$15,G$22,G$26,G$27,G$28,G$33),0),"")</f>
        <v>5</v>
      </c>
      <c r="AG22" s="2">
        <f>+IFERROR(RANK(H22,(H$6,H$15,H$22,H$26,H$27,H$28,H$33),0),"")</f>
        <v>4</v>
      </c>
      <c r="AH22" s="2">
        <f>+IFERROR(RANK(I22,(I$6,I$15,I$22,I$26,I$27,I$28,I$33),0),"")</f>
        <v>5</v>
      </c>
      <c r="AI22" s="2">
        <f>+IFERROR(RANK(J22,(J$6,J$15,J$22,J$26,J$27,J$28,J$33),0),"")</f>
        <v>5</v>
      </c>
      <c r="AJ22" s="2">
        <f>+IFERROR(RANK(K22,(K$6,K$15,K$22,K$26,K$27,K$28,K$33),0),"")</f>
        <v>5</v>
      </c>
      <c r="AK22" s="2">
        <f>+IFERROR(RANK(L22,(L$6,L$15,L$22,L$26,L$27,L$28,L$33),0),"")</f>
        <v>5</v>
      </c>
      <c r="AL22" s="686"/>
      <c r="AM22" s="686"/>
      <c r="AN22" s="686"/>
    </row>
    <row r="23" spans="1:40" ht="18" customHeight="1">
      <c r="A23" s="572" t="s">
        <v>513</v>
      </c>
      <c r="B23" s="646">
        <v>3991</v>
      </c>
      <c r="C23" s="646">
        <v>4094</v>
      </c>
      <c r="D23" s="646">
        <v>4361</v>
      </c>
      <c r="E23" s="646">
        <v>4889.9999999999991</v>
      </c>
      <c r="F23" s="646">
        <v>6858</v>
      </c>
      <c r="G23" s="646">
        <v>8502.0000000000018</v>
      </c>
      <c r="H23" s="646">
        <v>9006</v>
      </c>
      <c r="I23" s="646">
        <v>8757</v>
      </c>
      <c r="J23" s="646">
        <v>11466</v>
      </c>
      <c r="K23" s="646">
        <v>15640</v>
      </c>
      <c r="L23" s="646">
        <v>18310</v>
      </c>
      <c r="N23" s="559">
        <f t="shared" si="5"/>
        <v>358.78226008519169</v>
      </c>
      <c r="O23" s="419">
        <f t="shared" si="6"/>
        <v>14319</v>
      </c>
      <c r="P23" s="559">
        <f t="shared" si="7"/>
        <v>3.6153309599514469</v>
      </c>
      <c r="Q23" s="559">
        <f t="shared" si="8"/>
        <v>3.5289757005801206</v>
      </c>
      <c r="R23" s="559">
        <f t="shared" si="9"/>
        <v>3.4274890754189014</v>
      </c>
      <c r="S23" s="559">
        <f t="shared" si="10"/>
        <v>3.4855126697316354</v>
      </c>
      <c r="T23" s="559">
        <f t="shared" si="11"/>
        <v>4.0509170383059185</v>
      </c>
      <c r="U23" s="559">
        <f t="shared" si="12"/>
        <v>4.037362940028399</v>
      </c>
      <c r="V23" s="559">
        <f t="shared" si="13"/>
        <v>4.1357267830327782</v>
      </c>
      <c r="W23" s="559">
        <f t="shared" si="14"/>
        <v>3.8319994048739066</v>
      </c>
      <c r="X23" s="559">
        <f t="shared" si="15"/>
        <v>3.5605599513085799</v>
      </c>
      <c r="Y23" s="559">
        <f t="shared" si="16"/>
        <v>3.7706463379646711</v>
      </c>
      <c r="Z23" s="559">
        <f t="shared" si="17"/>
        <v>3.591724321917364</v>
      </c>
      <c r="AA23" s="2" t="str">
        <f>+IFERROR(RANK(B23,(B$6,B$15,B$22,B$26,B$27,B$28,B$33),0),"")</f>
        <v/>
      </c>
      <c r="AB23" s="2" t="str">
        <f>+IFERROR(RANK(C23,(C$6,C$15,C$22,C$26,C$27,C$28,C$33),0),"")</f>
        <v/>
      </c>
      <c r="AC23" s="2" t="str">
        <f>+IFERROR(RANK(D23,(D$6,D$15,D$22,D$26,D$27,D$28,D$33),0),"")</f>
        <v/>
      </c>
      <c r="AD23" s="2" t="str">
        <f>+IFERROR(RANK(E23,(E$6,E$15,E$22,E$26,E$27,E$28,E$33),0),"")</f>
        <v/>
      </c>
      <c r="AE23" s="2" t="str">
        <f>+IFERROR(RANK(F23,(F$6,F$15,F$22,F$26,F$27,F$28,F$33),0),"")</f>
        <v/>
      </c>
      <c r="AF23" s="2" t="str">
        <f>+IFERROR(RANK(G23,(G$6,G$15,G$22,G$26,G$27,G$28,G$33),0),"")</f>
        <v/>
      </c>
      <c r="AG23" s="2" t="str">
        <f>+IFERROR(RANK(H23,(H$6,H$15,H$22,H$26,H$27,H$28,H$33),0),"")</f>
        <v/>
      </c>
      <c r="AH23" s="2" t="str">
        <f>+IFERROR(RANK(I23,(I$6,I$15,I$22,I$26,I$27,I$28,I$33),0),"")</f>
        <v/>
      </c>
      <c r="AI23" s="2" t="str">
        <f>+IFERROR(RANK(J23,(J$6,J$15,J$22,J$26,J$27,J$28,J$33),0),"")</f>
        <v/>
      </c>
      <c r="AJ23" s="2" t="str">
        <f>+IFERROR(RANK(K23,(K$6,K$15,K$22,K$26,K$27,K$28,K$33),0),"")</f>
        <v/>
      </c>
      <c r="AK23" s="2" t="str">
        <f>+IFERROR(RANK(L23,(L$6,L$15,L$22,L$26,L$27,L$28,L$33),0),"")</f>
        <v/>
      </c>
    </row>
    <row r="24" spans="1:40" ht="18" customHeight="1">
      <c r="A24" s="572" t="s">
        <v>514</v>
      </c>
      <c r="B24" s="646">
        <v>1277</v>
      </c>
      <c r="C24" s="646">
        <v>1321</v>
      </c>
      <c r="D24" s="646">
        <v>1282.0000000000002</v>
      </c>
      <c r="E24" s="646">
        <v>1401</v>
      </c>
      <c r="F24" s="646">
        <v>1753.9999999999998</v>
      </c>
      <c r="G24" s="646">
        <v>2364.0000000000005</v>
      </c>
      <c r="H24" s="646">
        <v>2390.0000000000005</v>
      </c>
      <c r="I24" s="646">
        <v>2549</v>
      </c>
      <c r="J24" s="646">
        <v>4000</v>
      </c>
      <c r="K24" s="646">
        <v>5486</v>
      </c>
      <c r="L24" s="646">
        <v>6903</v>
      </c>
      <c r="N24" s="559">
        <f t="shared" si="5"/>
        <v>440.56382145653873</v>
      </c>
      <c r="O24" s="419">
        <f t="shared" si="6"/>
        <v>5626</v>
      </c>
      <c r="P24" s="559">
        <f t="shared" si="7"/>
        <v>1.156797202670508</v>
      </c>
      <c r="Q24" s="559">
        <f t="shared" si="8"/>
        <v>1.1386851246864531</v>
      </c>
      <c r="R24" s="559">
        <f t="shared" si="9"/>
        <v>1.0075764720676526</v>
      </c>
      <c r="S24" s="559">
        <f t="shared" si="10"/>
        <v>0.99861007163476934</v>
      </c>
      <c r="T24" s="559">
        <f t="shared" si="11"/>
        <v>1.0360613130925314</v>
      </c>
      <c r="U24" s="559">
        <f t="shared" si="12"/>
        <v>1.1225977405583552</v>
      </c>
      <c r="V24" s="559">
        <f t="shared" si="13"/>
        <v>1.0975335344712793</v>
      </c>
      <c r="W24" s="559">
        <f t="shared" si="14"/>
        <v>1.1154238304240709</v>
      </c>
      <c r="X24" s="559">
        <f t="shared" si="15"/>
        <v>1.2421280137130926</v>
      </c>
      <c r="Y24" s="559">
        <f t="shared" si="16"/>
        <v>1.3226192973193214</v>
      </c>
      <c r="Z24" s="559">
        <f t="shared" si="17"/>
        <v>1.3541055704093699</v>
      </c>
      <c r="AA24" s="2" t="str">
        <f>+IFERROR(RANK(B24,(B$6,B$15,B$22,B$26,B$27,B$28,B$33),0),"")</f>
        <v/>
      </c>
      <c r="AB24" s="2" t="str">
        <f>+IFERROR(RANK(C24,(C$6,C$15,C$22,C$26,C$27,C$28,C$33),0),"")</f>
        <v/>
      </c>
      <c r="AC24" s="2" t="str">
        <f>+IFERROR(RANK(D24,(D$6,D$15,D$22,D$26,D$27,D$28,D$33),0),"")</f>
        <v/>
      </c>
      <c r="AD24" s="2" t="str">
        <f>+IFERROR(RANK(E24,(E$6,E$15,E$22,E$26,E$27,E$28,E$33),0),"")</f>
        <v/>
      </c>
      <c r="AE24" s="2" t="str">
        <f>+IFERROR(RANK(F24,(F$6,F$15,F$22,F$26,F$27,F$28,F$33),0),"")</f>
        <v/>
      </c>
      <c r="AF24" s="2" t="str">
        <f>+IFERROR(RANK(G24,(G$6,G$15,G$22,G$26,G$27,G$28,G$33),0),"")</f>
        <v/>
      </c>
      <c r="AG24" s="2" t="str">
        <f>+IFERROR(RANK(H24,(H$6,H$15,H$22,H$26,H$27,H$28,H$33),0),"")</f>
        <v/>
      </c>
      <c r="AH24" s="2" t="str">
        <f>+IFERROR(RANK(I24,(I$6,I$15,I$22,I$26,I$27,I$28,I$33),0),"")</f>
        <v/>
      </c>
      <c r="AI24" s="2" t="str">
        <f>+IFERROR(RANK(J24,(J$6,J$15,J$22,J$26,J$27,J$28,J$33),0),"")</f>
        <v/>
      </c>
      <c r="AJ24" s="2" t="str">
        <f>+IFERROR(RANK(K24,(K$6,K$15,K$22,K$26,K$27,K$28,K$33),0),"")</f>
        <v/>
      </c>
      <c r="AK24" s="2" t="str">
        <f>+IFERROR(RANK(L24,(L$6,L$15,L$22,L$26,L$27,L$28,L$33),0),"")</f>
        <v/>
      </c>
    </row>
    <row r="25" spans="1:40" ht="18" customHeight="1">
      <c r="A25" s="572" t="s">
        <v>515</v>
      </c>
      <c r="B25" s="646">
        <v>3079.0000000000005</v>
      </c>
      <c r="C25" s="646">
        <v>2998</v>
      </c>
      <c r="D25" s="646">
        <v>3572</v>
      </c>
      <c r="E25" s="646">
        <v>3951.9999999999991</v>
      </c>
      <c r="F25" s="646">
        <v>5196.0000000000009</v>
      </c>
      <c r="G25" s="646">
        <v>6583</v>
      </c>
      <c r="H25" s="646">
        <v>8374</v>
      </c>
      <c r="I25" s="646">
        <v>8787</v>
      </c>
      <c r="J25" s="646">
        <v>10822</v>
      </c>
      <c r="K25" s="646">
        <v>12671</v>
      </c>
      <c r="L25" s="646">
        <v>15731</v>
      </c>
      <c r="N25" s="559">
        <f t="shared" si="5"/>
        <v>410.91263397206876</v>
      </c>
      <c r="O25" s="419">
        <f t="shared" si="6"/>
        <v>12652</v>
      </c>
      <c r="P25" s="559">
        <f t="shared" si="7"/>
        <v>2.7891766538938878</v>
      </c>
      <c r="Q25" s="559">
        <f t="shared" si="8"/>
        <v>2.5842377015972646</v>
      </c>
      <c r="R25" s="559">
        <f t="shared" si="9"/>
        <v>2.8073815586783573</v>
      </c>
      <c r="S25" s="559">
        <f t="shared" si="10"/>
        <v>2.8169214868669576</v>
      </c>
      <c r="T25" s="559">
        <f t="shared" si="11"/>
        <v>3.0691987359343185</v>
      </c>
      <c r="U25" s="559">
        <f t="shared" si="12"/>
        <v>3.126083302070918</v>
      </c>
      <c r="V25" s="559">
        <f t="shared" si="13"/>
        <v>3.8455003421181968</v>
      </c>
      <c r="W25" s="559">
        <f t="shared" si="14"/>
        <v>3.8451271863226011</v>
      </c>
      <c r="X25" s="559">
        <f t="shared" si="15"/>
        <v>3.3605773411007722</v>
      </c>
      <c r="Y25" s="559">
        <f t="shared" si="16"/>
        <v>3.0548503675415826</v>
      </c>
      <c r="Z25" s="559">
        <f t="shared" si="17"/>
        <v>3.0858227912660872</v>
      </c>
      <c r="AA25" s="2" t="str">
        <f>+IFERROR(RANK(B25,(B$6,B$15,B$22,B$26,B$27,B$28,B$33),0),"")</f>
        <v/>
      </c>
      <c r="AB25" s="2" t="str">
        <f>+IFERROR(RANK(C25,(C$6,C$15,C$22,C$26,C$27,C$28,C$33),0),"")</f>
        <v/>
      </c>
      <c r="AC25" s="2" t="str">
        <f>+IFERROR(RANK(D25,(D$6,D$15,D$22,D$26,D$27,D$28,D$33),0),"")</f>
        <v/>
      </c>
      <c r="AD25" s="2" t="str">
        <f>+IFERROR(RANK(E25,(E$6,E$15,E$22,E$26,E$27,E$28,E$33),0),"")</f>
        <v/>
      </c>
      <c r="AE25" s="2" t="str">
        <f>+IFERROR(RANK(F25,(F$6,F$15,F$22,F$26,F$27,F$28,F$33),0),"")</f>
        <v/>
      </c>
      <c r="AF25" s="2" t="str">
        <f>+IFERROR(RANK(G25,(G$6,G$15,G$22,G$26,G$27,G$28,G$33),0),"")</f>
        <v/>
      </c>
      <c r="AG25" s="2" t="str">
        <f>+IFERROR(RANK(H25,(H$6,H$15,H$22,H$26,H$27,H$28,H$33),0),"")</f>
        <v/>
      </c>
      <c r="AH25" s="2" t="str">
        <f>+IFERROR(RANK(I25,(I$6,I$15,I$22,I$26,I$27,I$28,I$33),0),"")</f>
        <v/>
      </c>
      <c r="AI25" s="2" t="str">
        <f>+IFERROR(RANK(J25,(J$6,J$15,J$22,J$26,J$27,J$28,J$33),0),"")</f>
        <v/>
      </c>
      <c r="AJ25" s="2" t="str">
        <f>+IFERROR(RANK(K25,(K$6,K$15,K$22,K$26,K$27,K$28,K$33),0),"")</f>
        <v/>
      </c>
      <c r="AK25" s="2" t="str">
        <f>+IFERROR(RANK(L25,(L$6,L$15,L$22,L$26,L$27,L$28,L$33),0),"")</f>
        <v/>
      </c>
    </row>
    <row r="26" spans="1:40" ht="20.100000000000001" customHeight="1">
      <c r="A26" s="15" t="s">
        <v>516</v>
      </c>
      <c r="B26" s="647">
        <v>52168</v>
      </c>
      <c r="C26" s="647">
        <v>54154</v>
      </c>
      <c r="D26" s="647">
        <v>60813.999999999993</v>
      </c>
      <c r="E26" s="647">
        <v>64314</v>
      </c>
      <c r="F26" s="647">
        <v>75815</v>
      </c>
      <c r="G26" s="647">
        <v>89769</v>
      </c>
      <c r="H26" s="647">
        <v>90529</v>
      </c>
      <c r="I26" s="647">
        <v>93507</v>
      </c>
      <c r="J26" s="647">
        <v>125679</v>
      </c>
      <c r="K26" s="647">
        <v>158199.00000000006</v>
      </c>
      <c r="L26" s="647">
        <v>192040</v>
      </c>
      <c r="N26" s="559">
        <f t="shared" si="5"/>
        <v>268.11838675049836</v>
      </c>
      <c r="O26" s="419">
        <f t="shared" si="6"/>
        <v>139872</v>
      </c>
      <c r="P26" s="559">
        <f t="shared" si="7"/>
        <v>47.257475700011796</v>
      </c>
      <c r="Q26" s="559">
        <f t="shared" si="8"/>
        <v>46.680056201567133</v>
      </c>
      <c r="R26" s="559">
        <f t="shared" si="9"/>
        <v>47.796221195259122</v>
      </c>
      <c r="S26" s="559">
        <f t="shared" si="10"/>
        <v>45.841975836629949</v>
      </c>
      <c r="T26" s="559">
        <f t="shared" si="11"/>
        <v>44.782775628341092</v>
      </c>
      <c r="U26" s="559">
        <f t="shared" si="12"/>
        <v>42.628797196354888</v>
      </c>
      <c r="V26" s="559">
        <f t="shared" si="13"/>
        <v>41.572641565753315</v>
      </c>
      <c r="W26" s="559">
        <f t="shared" si="14"/>
        <v>40.917981997435696</v>
      </c>
      <c r="X26" s="559">
        <f t="shared" si="15"/>
        <v>39.027351658861939</v>
      </c>
      <c r="Y26" s="559">
        <f t="shared" si="16"/>
        <v>38.140184144480386</v>
      </c>
      <c r="Z26" s="559">
        <f t="shared" si="17"/>
        <v>37.670930572420019</v>
      </c>
      <c r="AA26" s="2">
        <f>+IFERROR(RANK(B26,(B$6,B$15,B$22,B$26,B$27,B$28,B$33),0),"")</f>
        <v>1</v>
      </c>
      <c r="AB26" s="2">
        <f>+IFERROR(RANK(C26,(C$6,C$15,C$22,C$26,C$27,C$28,C$33),0),"")</f>
        <v>1</v>
      </c>
      <c r="AC26" s="2">
        <f>+IFERROR(RANK(D26,(D$6,D$15,D$22,D$26,D$27,D$28,D$33),0),"")</f>
        <v>1</v>
      </c>
      <c r="AD26" s="2">
        <f>+IFERROR(RANK(E26,(E$6,E$15,E$22,E$26,E$27,E$28,E$33),0),"")</f>
        <v>1</v>
      </c>
      <c r="AE26" s="2">
        <f>+IFERROR(RANK(F26,(F$6,F$15,F$22,F$26,F$27,F$28,F$33),0),"")</f>
        <v>1</v>
      </c>
      <c r="AF26" s="2">
        <f>+IFERROR(RANK(G26,(G$6,G$15,G$22,G$26,G$27,G$28,G$33),0),"")</f>
        <v>1</v>
      </c>
      <c r="AG26" s="2">
        <f>+IFERROR(RANK(H26,(H$6,H$15,H$22,H$26,H$27,H$28,H$33),0),"")</f>
        <v>1</v>
      </c>
      <c r="AH26" s="2">
        <f>+IFERROR(RANK(I26,(I$6,I$15,I$22,I$26,I$27,I$28,I$33),0),"")</f>
        <v>1</v>
      </c>
      <c r="AI26" s="2">
        <f>+IFERROR(RANK(J26,(J$6,J$15,J$22,J$26,J$27,J$28,J$33),0),"")</f>
        <v>1</v>
      </c>
      <c r="AJ26" s="2">
        <f>+IFERROR(RANK(K26,(K$6,K$15,K$22,K$26,K$27,K$28,K$33),0),"")</f>
        <v>1</v>
      </c>
      <c r="AK26" s="2">
        <f>+IFERROR(RANK(L26,(L$6,L$15,L$22,L$26,L$27,L$28,L$33),0),"")</f>
        <v>1</v>
      </c>
    </row>
    <row r="27" spans="1:40" ht="20.100000000000001" customHeight="1">
      <c r="A27" s="15" t="s">
        <v>517</v>
      </c>
      <c r="B27" s="647">
        <v>7765</v>
      </c>
      <c r="C27" s="647">
        <v>8310</v>
      </c>
      <c r="D27" s="647">
        <v>8883.0000000000018</v>
      </c>
      <c r="E27" s="647">
        <v>9424</v>
      </c>
      <c r="F27" s="647">
        <v>11198</v>
      </c>
      <c r="G27" s="647">
        <v>13970.999999999996</v>
      </c>
      <c r="H27" s="647">
        <v>14333</v>
      </c>
      <c r="I27" s="647">
        <v>16184</v>
      </c>
      <c r="J27" s="647">
        <v>20850</v>
      </c>
      <c r="K27" s="647">
        <v>25751.999999999996</v>
      </c>
      <c r="L27" s="647">
        <v>33366</v>
      </c>
      <c r="N27" s="559">
        <f t="shared" si="5"/>
        <v>329.69735994848685</v>
      </c>
      <c r="O27" s="419">
        <f t="shared" si="6"/>
        <v>25601</v>
      </c>
      <c r="P27" s="559">
        <f t="shared" si="7"/>
        <v>7.034087923834373</v>
      </c>
      <c r="Q27" s="559">
        <f t="shared" si="8"/>
        <v>7.1631138426528578</v>
      </c>
      <c r="R27" s="559">
        <f t="shared" si="9"/>
        <v>6.9815146656606535</v>
      </c>
      <c r="S27" s="559">
        <f t="shared" si="10"/>
        <v>6.717274314836593</v>
      </c>
      <c r="T27" s="559">
        <f t="shared" si="11"/>
        <v>6.6144895005759219</v>
      </c>
      <c r="U27" s="559">
        <f t="shared" si="12"/>
        <v>6.6344386773861128</v>
      </c>
      <c r="V27" s="559">
        <f t="shared" si="13"/>
        <v>6.5819866734631143</v>
      </c>
      <c r="W27" s="559">
        <f t="shared" si="14"/>
        <v>7.0820004988556935</v>
      </c>
      <c r="X27" s="559">
        <f t="shared" si="15"/>
        <v>6.4745922714794952</v>
      </c>
      <c r="Y27" s="559">
        <f t="shared" si="16"/>
        <v>6.2085476019991175</v>
      </c>
      <c r="Z27" s="559">
        <f t="shared" si="17"/>
        <v>6.5451378331564589</v>
      </c>
      <c r="AA27" s="2">
        <f>+IFERROR(RANK(B27,(B$6,B$15,B$22,B$26,B$27,B$28,B$33),0),"")</f>
        <v>6</v>
      </c>
      <c r="AB27" s="2">
        <f>+IFERROR(RANK(C27,(C$6,C$15,C$22,C$26,C$27,C$28,C$33),0),"")</f>
        <v>6</v>
      </c>
      <c r="AC27" s="2">
        <f>+IFERROR(RANK(D27,(D$6,D$15,D$22,D$26,D$27,D$28,D$33),0),"")</f>
        <v>6</v>
      </c>
      <c r="AD27" s="2">
        <f>+IFERROR(RANK(E27,(E$6,E$15,E$22,E$26,E$27,E$28,E$33),0),"")</f>
        <v>6</v>
      </c>
      <c r="AE27" s="2">
        <f>+IFERROR(RANK(F27,(F$6,F$15,F$22,F$26,F$27,F$28,F$33),0),"")</f>
        <v>6</v>
      </c>
      <c r="AF27" s="2">
        <f>+IFERROR(RANK(G27,(G$6,G$15,G$22,G$26,G$27,G$28,G$33),0),"")</f>
        <v>6</v>
      </c>
      <c r="AG27" s="2">
        <f>+IFERROR(RANK(H27,(H$6,H$15,H$22,H$26,H$27,H$28,H$33),0),"")</f>
        <v>7</v>
      </c>
      <c r="AH27" s="2">
        <f>+IFERROR(RANK(I27,(I$6,I$15,I$22,I$26,I$27,I$28,I$33),0),"")</f>
        <v>6</v>
      </c>
      <c r="AI27" s="2">
        <f>+IFERROR(RANK(J27,(J$6,J$15,J$22,J$26,J$27,J$28,J$33),0),"")</f>
        <v>6</v>
      </c>
      <c r="AJ27" s="2">
        <f>+IFERROR(RANK(K27,(K$6,K$15,K$22,K$26,K$27,K$28,K$33),0),"")</f>
        <v>6</v>
      </c>
      <c r="AK27" s="2">
        <f>+IFERROR(RANK(L27,(L$6,L$15,L$22,L$26,L$27,L$28,L$33),0),"")</f>
        <v>6</v>
      </c>
    </row>
    <row r="28" spans="1:40" ht="20.100000000000001" customHeight="1">
      <c r="A28" s="15" t="s">
        <v>518</v>
      </c>
      <c r="B28" s="647">
        <v>4790</v>
      </c>
      <c r="C28" s="647">
        <v>5641</v>
      </c>
      <c r="D28" s="647">
        <v>6792.9999999999991</v>
      </c>
      <c r="E28" s="647">
        <v>8148.0000000000018</v>
      </c>
      <c r="F28" s="647">
        <v>8822.0000000000018</v>
      </c>
      <c r="G28" s="647">
        <v>12202.999999999998</v>
      </c>
      <c r="H28" s="647">
        <v>15676.000000000004</v>
      </c>
      <c r="I28" s="647">
        <v>15222.999999999998</v>
      </c>
      <c r="J28" s="647">
        <v>19339.000000000004</v>
      </c>
      <c r="K28" s="647">
        <v>22718.999999999989</v>
      </c>
      <c r="L28" s="647">
        <v>25468.000000000011</v>
      </c>
      <c r="N28" s="559">
        <f t="shared" si="5"/>
        <v>431.69102296450956</v>
      </c>
      <c r="O28" s="419">
        <f t="shared" si="6"/>
        <v>20678.000000000011</v>
      </c>
      <c r="P28" s="559">
        <f t="shared" si="7"/>
        <v>4.3391218487014358</v>
      </c>
      <c r="Q28" s="559">
        <f t="shared" si="8"/>
        <v>4.8624699381955203</v>
      </c>
      <c r="R28" s="559">
        <f t="shared" si="9"/>
        <v>5.3388977962211861</v>
      </c>
      <c r="S28" s="559">
        <f t="shared" si="10"/>
        <v>5.8077622153319792</v>
      </c>
      <c r="T28" s="559">
        <f t="shared" si="11"/>
        <v>5.2110221802179675</v>
      </c>
      <c r="U28" s="559">
        <f t="shared" si="12"/>
        <v>5.7948647326707281</v>
      </c>
      <c r="V28" s="559">
        <f t="shared" si="13"/>
        <v>7.1987178604066004</v>
      </c>
      <c r="W28" s="559">
        <f t="shared" si="14"/>
        <v>6.6614738997825134</v>
      </c>
      <c r="X28" s="559">
        <f t="shared" si="15"/>
        <v>6.0053784142993756</v>
      </c>
      <c r="Y28" s="559">
        <f t="shared" si="16"/>
        <v>5.4773218767403664</v>
      </c>
      <c r="Z28" s="559">
        <f t="shared" si="17"/>
        <v>4.9958511758924882</v>
      </c>
      <c r="AA28" s="2">
        <f>+IFERROR(RANK(B28,(B$6,B$15,B$22,B$26,B$27,B$28,B$33),0),"")</f>
        <v>7</v>
      </c>
      <c r="AB28" s="2">
        <f>+IFERROR(RANK(C28,(C$6,C$15,C$22,C$26,C$27,C$28,C$33),0),"")</f>
        <v>7</v>
      </c>
      <c r="AC28" s="2">
        <f>+IFERROR(RANK(D28,(D$6,D$15,D$22,D$26,D$27,D$28,D$33),0),"")</f>
        <v>7</v>
      </c>
      <c r="AD28" s="2">
        <f>+IFERROR(RANK(E28,(E$6,E$15,E$22,E$26,E$27,E$28,E$33),0),"")</f>
        <v>7</v>
      </c>
      <c r="AE28" s="2">
        <f>+IFERROR(RANK(F28,(F$6,F$15,F$22,F$26,F$27,F$28,F$33),0),"")</f>
        <v>7</v>
      </c>
      <c r="AF28" s="2">
        <f>+IFERROR(RANK(G28,(G$6,G$15,G$22,G$26,G$27,G$28,G$33),0),"")</f>
        <v>7</v>
      </c>
      <c r="AG28" s="2">
        <f>+IFERROR(RANK(H28,(H$6,H$15,H$22,H$26,H$27,H$28,H$33),0),"")</f>
        <v>6</v>
      </c>
      <c r="AH28" s="2">
        <f>+IFERROR(RANK(I28,(I$6,I$15,I$22,I$26,I$27,I$28,I$33),0),"")</f>
        <v>7</v>
      </c>
      <c r="AI28" s="2">
        <f>+IFERROR(RANK(J28,(J$6,J$15,J$22,J$26,J$27,J$28,J$33),0),"")</f>
        <v>7</v>
      </c>
      <c r="AJ28" s="2">
        <f>+IFERROR(RANK(K28,(K$6,K$15,K$22,K$26,K$27,K$28,K$33),0),"")</f>
        <v>7</v>
      </c>
      <c r="AK28" s="2">
        <f>+IFERROR(RANK(L28,(L$6,L$15,L$22,L$26,L$27,L$28,L$33),0),"")</f>
        <v>7</v>
      </c>
    </row>
    <row r="29" spans="1:40" ht="18" customHeight="1">
      <c r="A29" s="572" t="s">
        <v>519</v>
      </c>
      <c r="B29" s="646">
        <v>2196</v>
      </c>
      <c r="C29" s="646">
        <v>2940</v>
      </c>
      <c r="D29" s="646">
        <v>3624</v>
      </c>
      <c r="E29" s="646">
        <v>4439.9999999999991</v>
      </c>
      <c r="F29" s="646">
        <v>5219</v>
      </c>
      <c r="G29" s="646">
        <v>6854</v>
      </c>
      <c r="H29" s="646">
        <v>10026</v>
      </c>
      <c r="I29" s="646">
        <v>9885</v>
      </c>
      <c r="J29" s="646">
        <v>11408</v>
      </c>
      <c r="K29" s="646">
        <v>12212</v>
      </c>
      <c r="L29" s="646">
        <v>13062</v>
      </c>
      <c r="N29" s="559">
        <f t="shared" si="5"/>
        <v>494.80874316939889</v>
      </c>
      <c r="O29" s="419">
        <f t="shared" si="6"/>
        <v>10866</v>
      </c>
      <c r="P29" s="559">
        <f t="shared" si="7"/>
        <v>1.9892926053754389</v>
      </c>
      <c r="Q29" s="559">
        <f t="shared" si="8"/>
        <v>2.5342424425270038</v>
      </c>
      <c r="R29" s="559">
        <f t="shared" si="9"/>
        <v>2.8482504951428798</v>
      </c>
      <c r="S29" s="559">
        <f t="shared" si="10"/>
        <v>3.1647599700630797</v>
      </c>
      <c r="T29" s="559">
        <f t="shared" si="11"/>
        <v>3.0827844886145508</v>
      </c>
      <c r="U29" s="559">
        <f t="shared" si="12"/>
        <v>3.2547736521941473</v>
      </c>
      <c r="V29" s="559">
        <f t="shared" si="13"/>
        <v>4.6041302161544113</v>
      </c>
      <c r="W29" s="559">
        <f t="shared" si="14"/>
        <v>4.3256039873448175</v>
      </c>
      <c r="X29" s="559">
        <f t="shared" si="15"/>
        <v>3.5425490951097403</v>
      </c>
      <c r="Y29" s="559">
        <f t="shared" si="16"/>
        <v>2.9441900945795756</v>
      </c>
      <c r="Z29" s="559">
        <f t="shared" si="17"/>
        <v>2.5622666899445443</v>
      </c>
      <c r="AA29" s="2" t="str">
        <f>+IFERROR(RANK(B29,(B$6,B$15,B$22,B$26,B$27,B$28,B$33),0),"")</f>
        <v/>
      </c>
      <c r="AB29" s="2" t="str">
        <f>+IFERROR(RANK(C29,(C$6,C$15,C$22,C$26,C$27,C$28,C$33),0),"")</f>
        <v/>
      </c>
      <c r="AC29" s="2" t="str">
        <f>+IFERROR(RANK(D29,(D$6,D$15,D$22,D$26,D$27,D$28,D$33),0),"")</f>
        <v/>
      </c>
      <c r="AD29" s="2" t="str">
        <f>+IFERROR(RANK(E29,(E$6,E$15,E$22,E$26,E$27,E$28,E$33),0),"")</f>
        <v/>
      </c>
      <c r="AE29" s="2" t="str">
        <f>+IFERROR(RANK(F29,(F$6,F$15,F$22,F$26,F$27,F$28,F$33),0),"")</f>
        <v/>
      </c>
      <c r="AF29" s="2" t="str">
        <f>+IFERROR(RANK(G29,(G$6,G$15,G$22,G$26,G$27,G$28,G$33),0),"")</f>
        <v/>
      </c>
      <c r="AG29" s="2" t="str">
        <f>+IFERROR(RANK(H29,(H$6,H$15,H$22,H$26,H$27,H$28,H$33),0),"")</f>
        <v/>
      </c>
      <c r="AH29" s="2" t="str">
        <f>+IFERROR(RANK(I29,(I$6,I$15,I$22,I$26,I$27,I$28,I$33),0),"")</f>
        <v/>
      </c>
      <c r="AI29" s="2" t="str">
        <f>+IFERROR(RANK(J29,(J$6,J$15,J$22,J$26,J$27,J$28,J$33),0),"")</f>
        <v/>
      </c>
      <c r="AJ29" s="2" t="str">
        <f>+IFERROR(RANK(K29,(K$6,K$15,K$22,K$26,K$27,K$28,K$33),0),"")</f>
        <v/>
      </c>
      <c r="AK29" s="2" t="str">
        <f>+IFERROR(RANK(L29,(L$6,L$15,L$22,L$26,L$27,L$28,L$33),0),"")</f>
        <v/>
      </c>
    </row>
    <row r="30" spans="1:40" ht="18" customHeight="1">
      <c r="A30" s="572" t="s">
        <v>520</v>
      </c>
      <c r="B30" s="646">
        <v>961</v>
      </c>
      <c r="C30" s="646">
        <v>984.00000000000023</v>
      </c>
      <c r="D30" s="646">
        <v>1091.0000000000002</v>
      </c>
      <c r="E30" s="646">
        <v>1196</v>
      </c>
      <c r="F30" s="646">
        <v>1242</v>
      </c>
      <c r="G30" s="646">
        <v>2118</v>
      </c>
      <c r="H30" s="646">
        <v>2298</v>
      </c>
      <c r="I30" s="646">
        <v>2378</v>
      </c>
      <c r="J30" s="646">
        <v>3794.9999999999991</v>
      </c>
      <c r="K30" s="646">
        <v>4535</v>
      </c>
      <c r="L30" s="646">
        <v>5654.0000000000009</v>
      </c>
      <c r="N30" s="559">
        <f t="shared" si="5"/>
        <v>488.34547346514057</v>
      </c>
      <c r="O30" s="419">
        <f t="shared" si="6"/>
        <v>4693.0000000000009</v>
      </c>
      <c r="P30" s="559">
        <f t="shared" si="7"/>
        <v>0.87054198258916071</v>
      </c>
      <c r="Q30" s="559">
        <f t="shared" si="8"/>
        <v>0.84819542974373219</v>
      </c>
      <c r="R30" s="559">
        <f t="shared" si="9"/>
        <v>0.85746172466911774</v>
      </c>
      <c r="S30" s="559">
        <f t="shared" si="10"/>
        <v>0.85248939734131635</v>
      </c>
      <c r="T30" s="559">
        <f t="shared" si="11"/>
        <v>0.73363064473256789</v>
      </c>
      <c r="U30" s="559">
        <f t="shared" si="12"/>
        <v>1.0057791939520286</v>
      </c>
      <c r="V30" s="559">
        <f t="shared" si="13"/>
        <v>1.0552853816799159</v>
      </c>
      <c r="W30" s="559">
        <f t="shared" si="14"/>
        <v>1.0405954761665126</v>
      </c>
      <c r="X30" s="559">
        <f t="shared" si="15"/>
        <v>1.1784689530102963</v>
      </c>
      <c r="Y30" s="559">
        <f t="shared" si="16"/>
        <v>1.0933427840581704</v>
      </c>
      <c r="Z30" s="559">
        <f t="shared" si="17"/>
        <v>1.1090993618853513</v>
      </c>
      <c r="AA30" s="2" t="str">
        <f>+IFERROR(RANK(B30,(B$6,B$15,B$22,B$26,B$27,B$28,B$33),0),"")</f>
        <v/>
      </c>
      <c r="AB30" s="2" t="str">
        <f>+IFERROR(RANK(C30,(C$6,C$15,C$22,C$26,C$27,C$28,C$33),0),"")</f>
        <v/>
      </c>
      <c r="AC30" s="2" t="str">
        <f>+IFERROR(RANK(D30,(D$6,D$15,D$22,D$26,D$27,D$28,D$33),0),"")</f>
        <v/>
      </c>
      <c r="AD30" s="2" t="str">
        <f>+IFERROR(RANK(E30,(E$6,E$15,E$22,E$26,E$27,E$28,E$33),0),"")</f>
        <v/>
      </c>
      <c r="AE30" s="2" t="str">
        <f>+IFERROR(RANK(F30,(F$6,F$15,F$22,F$26,F$27,F$28,F$33),0),"")</f>
        <v/>
      </c>
      <c r="AF30" s="2" t="str">
        <f>+IFERROR(RANK(G30,(G$6,G$15,G$22,G$26,G$27,G$28,G$33),0),"")</f>
        <v/>
      </c>
      <c r="AG30" s="2" t="str">
        <f>+IFERROR(RANK(H30,(H$6,H$15,H$22,H$26,H$27,H$28,H$33),0),"")</f>
        <v/>
      </c>
      <c r="AH30" s="2" t="str">
        <f>+IFERROR(RANK(I30,(I$6,I$15,I$22,I$26,I$27,I$28,I$33),0),"")</f>
        <v/>
      </c>
      <c r="AI30" s="2" t="str">
        <f>+IFERROR(RANK(J30,(J$6,J$15,J$22,J$26,J$27,J$28,J$33),0),"")</f>
        <v/>
      </c>
      <c r="AJ30" s="2" t="str">
        <f>+IFERROR(RANK(K30,(K$6,K$15,K$22,K$26,K$27,K$28,K$33),0),"")</f>
        <v/>
      </c>
      <c r="AK30" s="2" t="str">
        <f>+IFERROR(RANK(L30,(L$6,L$15,L$22,L$26,L$27,L$28,L$33),0),"")</f>
        <v/>
      </c>
    </row>
    <row r="31" spans="1:40" ht="18" customHeight="1">
      <c r="A31" s="572" t="s">
        <v>521</v>
      </c>
      <c r="B31" s="646">
        <v>621.99999999999989</v>
      </c>
      <c r="C31" s="646">
        <v>657.99999999999989</v>
      </c>
      <c r="D31" s="646">
        <v>923</v>
      </c>
      <c r="E31" s="646">
        <v>1149</v>
      </c>
      <c r="F31" s="646">
        <v>784</v>
      </c>
      <c r="G31" s="646">
        <v>1303</v>
      </c>
      <c r="H31" s="646">
        <v>1359</v>
      </c>
      <c r="I31" s="646">
        <v>839</v>
      </c>
      <c r="J31" s="646">
        <v>1091</v>
      </c>
      <c r="K31" s="646">
        <v>1952.9999999999998</v>
      </c>
      <c r="L31" s="646">
        <v>1982</v>
      </c>
      <c r="N31" s="559">
        <f t="shared" si="5"/>
        <v>218.64951768488754</v>
      </c>
      <c r="O31" s="419">
        <f t="shared" si="6"/>
        <v>1360</v>
      </c>
      <c r="P31" s="559">
        <f t="shared" si="7"/>
        <v>0.56345173066644938</v>
      </c>
      <c r="Q31" s="559">
        <f t="shared" si="8"/>
        <v>0.5671875942798531</v>
      </c>
      <c r="R31" s="559">
        <f t="shared" si="9"/>
        <v>0.72542362224527546</v>
      </c>
      <c r="S31" s="559">
        <f t="shared" si="10"/>
        <v>0.81898855982037833</v>
      </c>
      <c r="T31" s="559">
        <f t="shared" si="11"/>
        <v>0.46309696092619423</v>
      </c>
      <c r="U31" s="559">
        <f t="shared" si="12"/>
        <v>0.6187583993009883</v>
      </c>
      <c r="V31" s="559">
        <f t="shared" si="13"/>
        <v>0.62407869177676489</v>
      </c>
      <c r="W31" s="559">
        <f t="shared" si="14"/>
        <v>0.36714028784848779</v>
      </c>
      <c r="X31" s="559">
        <f t="shared" si="15"/>
        <v>0.33879041574024599</v>
      </c>
      <c r="Y31" s="559">
        <f t="shared" si="16"/>
        <v>0.4708486124069694</v>
      </c>
      <c r="Z31" s="559">
        <f t="shared" si="17"/>
        <v>0.3887928785385153</v>
      </c>
      <c r="AA31" s="2" t="str">
        <f>+IFERROR(RANK(B31,(B$6,B$15,B$22,B$26,B$27,B$28,B$33),0),"")</f>
        <v/>
      </c>
      <c r="AB31" s="2" t="str">
        <f>+IFERROR(RANK(C31,(C$6,C$15,C$22,C$26,C$27,C$28,C$33),0),"")</f>
        <v/>
      </c>
      <c r="AC31" s="2" t="str">
        <f>+IFERROR(RANK(D31,(D$6,D$15,D$22,D$26,D$27,D$28,D$33),0),"")</f>
        <v/>
      </c>
      <c r="AD31" s="2" t="str">
        <f>+IFERROR(RANK(E31,(E$6,E$15,E$22,E$26,E$27,E$28,E$33),0),"")</f>
        <v/>
      </c>
      <c r="AE31" s="2" t="str">
        <f>+IFERROR(RANK(F31,(F$6,F$15,F$22,F$26,F$27,F$28,F$33),0),"")</f>
        <v/>
      </c>
      <c r="AF31" s="2" t="str">
        <f>+IFERROR(RANK(G31,(G$6,G$15,G$22,G$26,G$27,G$28,G$33),0),"")</f>
        <v/>
      </c>
      <c r="AG31" s="2" t="str">
        <f>+IFERROR(RANK(H31,(H$6,H$15,H$22,H$26,H$27,H$28,H$33),0),"")</f>
        <v/>
      </c>
      <c r="AH31" s="2" t="str">
        <f>+IFERROR(RANK(I31,(I$6,I$15,I$22,I$26,I$27,I$28,I$33),0),"")</f>
        <v/>
      </c>
      <c r="AI31" s="2" t="str">
        <f>+IFERROR(RANK(J31,(J$6,J$15,J$22,J$26,J$27,J$28,J$33),0),"")</f>
        <v/>
      </c>
      <c r="AJ31" s="2" t="str">
        <f>+IFERROR(RANK(K31,(K$6,K$15,K$22,K$26,K$27,K$28,K$33),0),"")</f>
        <v/>
      </c>
      <c r="AK31" s="2" t="str">
        <f>+IFERROR(RANK(L31,(L$6,L$15,L$22,L$26,L$27,L$28,L$33),0),"")</f>
        <v/>
      </c>
    </row>
    <row r="32" spans="1:40" ht="18" customHeight="1">
      <c r="A32" s="572" t="s">
        <v>522</v>
      </c>
      <c r="B32" s="646">
        <v>1011.0000000000001</v>
      </c>
      <c r="C32" s="646">
        <v>1059</v>
      </c>
      <c r="D32" s="646">
        <v>1154.9999999999998</v>
      </c>
      <c r="E32" s="646">
        <v>1363.0000000000002</v>
      </c>
      <c r="F32" s="646">
        <v>1577.0000000000002</v>
      </c>
      <c r="G32" s="646">
        <v>1928</v>
      </c>
      <c r="H32" s="646">
        <v>1992.9999999999995</v>
      </c>
      <c r="I32" s="646">
        <v>2121.0000000000005</v>
      </c>
      <c r="J32" s="646">
        <v>3045</v>
      </c>
      <c r="K32" s="646">
        <v>4019</v>
      </c>
      <c r="L32" s="646">
        <v>4770</v>
      </c>
      <c r="N32" s="559">
        <f t="shared" si="5"/>
        <v>371.81008902077144</v>
      </c>
      <c r="O32" s="419">
        <f t="shared" si="6"/>
        <v>3759</v>
      </c>
      <c r="P32" s="559">
        <f t="shared" si="7"/>
        <v>0.91583553007038665</v>
      </c>
      <c r="Q32" s="559">
        <f t="shared" si="8"/>
        <v>0.91284447164493099</v>
      </c>
      <c r="R32" s="559">
        <f t="shared" si="9"/>
        <v>0.90776195416391425</v>
      </c>
      <c r="S32" s="559">
        <f t="shared" si="10"/>
        <v>0.9715242881072027</v>
      </c>
      <c r="T32" s="559">
        <f t="shared" si="11"/>
        <v>0.93151008594465368</v>
      </c>
      <c r="U32" s="559">
        <f t="shared" si="12"/>
        <v>0.91555348722356522</v>
      </c>
      <c r="V32" s="559">
        <f t="shared" si="13"/>
        <v>0.91522357079550565</v>
      </c>
      <c r="W32" s="559">
        <f t="shared" si="14"/>
        <v>0.92813414842269704</v>
      </c>
      <c r="X32" s="559">
        <f t="shared" si="15"/>
        <v>0.94556995043909176</v>
      </c>
      <c r="Y32" s="559">
        <f t="shared" si="16"/>
        <v>0.96894038569565299</v>
      </c>
      <c r="Z32" s="559">
        <f t="shared" si="17"/>
        <v>0.93569224552407571</v>
      </c>
      <c r="AA32" s="2" t="str">
        <f>+IFERROR(RANK(B32,(B$6,B$15,B$22,B$26,B$27,B$28,B$33),0),"")</f>
        <v/>
      </c>
      <c r="AB32" s="2" t="str">
        <f>+IFERROR(RANK(C32,(C$6,C$15,C$22,C$26,C$27,C$28,C$33),0),"")</f>
        <v/>
      </c>
      <c r="AC32" s="2" t="str">
        <f>+IFERROR(RANK(D32,(D$6,D$15,D$22,D$26,D$27,D$28,D$33),0),"")</f>
        <v/>
      </c>
      <c r="AD32" s="2" t="str">
        <f>+IFERROR(RANK(E32,(E$6,E$15,E$22,E$26,E$27,E$28,E$33),0),"")</f>
        <v/>
      </c>
      <c r="AE32" s="2" t="str">
        <f>+IFERROR(RANK(F32,(F$6,F$15,F$22,F$26,F$27,F$28,F$33),0),"")</f>
        <v/>
      </c>
      <c r="AF32" s="2" t="str">
        <f>+IFERROR(RANK(G32,(G$6,G$15,G$22,G$26,G$27,G$28,G$33),0),"")</f>
        <v/>
      </c>
      <c r="AG32" s="2" t="str">
        <f>+IFERROR(RANK(H32,(H$6,H$15,H$22,H$26,H$27,H$28,H$33),0),"")</f>
        <v/>
      </c>
      <c r="AH32" s="2" t="str">
        <f>+IFERROR(RANK(I32,(I$6,I$15,I$22,I$26,I$27,I$28,I$33),0),"")</f>
        <v/>
      </c>
      <c r="AI32" s="2" t="str">
        <f>+IFERROR(RANK(J32,(J$6,J$15,J$22,J$26,J$27,J$28,J$33),0),"")</f>
        <v/>
      </c>
      <c r="AJ32" s="2" t="str">
        <f>+IFERROR(RANK(K32,(K$6,K$15,K$22,K$26,K$27,K$28,K$33),0),"")</f>
        <v/>
      </c>
      <c r="AK32" s="2" t="str">
        <f>+IFERROR(RANK(L32,(L$6,L$15,L$22,L$26,L$27,L$28,L$33),0),"")</f>
        <v/>
      </c>
    </row>
    <row r="33" spans="1:37" ht="20.100000000000001" customHeight="1">
      <c r="A33" s="17" t="s">
        <v>523</v>
      </c>
      <c r="B33" s="648">
        <v>14790.000000000004</v>
      </c>
      <c r="C33" s="648">
        <v>15565.000000000005</v>
      </c>
      <c r="D33" s="648">
        <v>17115</v>
      </c>
      <c r="E33" s="648">
        <v>19795</v>
      </c>
      <c r="F33" s="648">
        <v>24122</v>
      </c>
      <c r="G33" s="648">
        <v>29269.999999999993</v>
      </c>
      <c r="H33" s="648">
        <v>24212</v>
      </c>
      <c r="I33" s="648">
        <v>25073.000000000004</v>
      </c>
      <c r="J33" s="648">
        <v>34702</v>
      </c>
      <c r="K33" s="648">
        <v>43171.000000000007</v>
      </c>
      <c r="L33" s="648">
        <v>52164.000000000007</v>
      </c>
      <c r="N33" s="559">
        <f t="shared" si="5"/>
        <v>252.69776876267747</v>
      </c>
      <c r="O33" s="419">
        <f t="shared" si="6"/>
        <v>37374</v>
      </c>
      <c r="P33" s="559">
        <f t="shared" si="7"/>
        <v>13.397831344946608</v>
      </c>
      <c r="Q33" s="559">
        <f t="shared" si="8"/>
        <v>13.416831162562186</v>
      </c>
      <c r="R33" s="559">
        <f t="shared" si="9"/>
        <v>13.451381684428915</v>
      </c>
      <c r="S33" s="559">
        <f t="shared" si="10"/>
        <v>14.109554866531235</v>
      </c>
      <c r="T33" s="559">
        <f t="shared" si="11"/>
        <v>14.248501137068441</v>
      </c>
      <c r="U33" s="559">
        <f t="shared" si="12"/>
        <v>13.899507557590116</v>
      </c>
      <c r="V33" s="559">
        <f t="shared" si="13"/>
        <v>11.11861168896176</v>
      </c>
      <c r="W33" s="559">
        <f t="shared" si="14"/>
        <v>10.971762142103858</v>
      </c>
      <c r="X33" s="559">
        <f t="shared" si="15"/>
        <v>10.776081582967935</v>
      </c>
      <c r="Y33" s="559">
        <f t="shared" si="16"/>
        <v>10.408092906411309</v>
      </c>
      <c r="Z33" s="559">
        <f t="shared" si="17"/>
        <v>10.232589160485931</v>
      </c>
      <c r="AA33" s="2">
        <f>+IFERROR(RANK(B33,(B$6,B$15,B$22,B$26,B$27,B$28,B$33),0),"")</f>
        <v>2</v>
      </c>
      <c r="AB33" s="2">
        <f>+IFERROR(RANK(C33,(C$6,C$15,C$22,C$26,C$27,C$28,C$33),0),"")</f>
        <v>2</v>
      </c>
      <c r="AC33" s="2">
        <f>+IFERROR(RANK(D33,(D$6,D$15,D$22,D$26,D$27,D$28,D$33),0),"")</f>
        <v>2</v>
      </c>
      <c r="AD33" s="2">
        <f>+IFERROR(RANK(E33,(E$6,E$15,E$22,E$26,E$27,E$28,E$33),0),"")</f>
        <v>2</v>
      </c>
      <c r="AE33" s="2">
        <f>+IFERROR(RANK(F33,(F$6,F$15,F$22,F$26,F$27,F$28,F$33),0),"")</f>
        <v>2</v>
      </c>
      <c r="AF33" s="2">
        <f>+IFERROR(RANK(G33,(G$6,G$15,G$22,G$26,G$27,G$28,G$33),0),"")</f>
        <v>3</v>
      </c>
      <c r="AG33" s="2">
        <f>+IFERROR(RANK(H33,(H$6,H$15,H$22,H$26,H$27,H$28,H$33),0),"")</f>
        <v>3</v>
      </c>
      <c r="AH33" s="2">
        <f>+IFERROR(RANK(I33,(I$6,I$15,I$22,I$26,I$27,I$28,I$33),0),"")</f>
        <v>3</v>
      </c>
      <c r="AI33" s="2">
        <f>+IFERROR(RANK(J33,(J$6,J$15,J$22,J$26,J$27,J$28,J$33),0),"")</f>
        <v>3</v>
      </c>
      <c r="AJ33" s="2">
        <f>+IFERROR(RANK(K33,(K$6,K$15,K$22,K$26,K$27,K$28,K$33),0),"")</f>
        <v>4</v>
      </c>
      <c r="AK33" s="2">
        <f>+IFERROR(RANK(L33,(L$6,L$15,L$22,L$26,L$27,L$28,L$33),0),"")</f>
        <v>4</v>
      </c>
    </row>
    <row r="34" spans="1:37" ht="17.45" customHeight="1">
      <c r="A34" s="19" t="s">
        <v>769</v>
      </c>
      <c r="B34" s="16"/>
      <c r="C34" s="16"/>
      <c r="D34" s="16"/>
      <c r="E34" s="16"/>
      <c r="F34" s="16"/>
      <c r="G34" s="16"/>
      <c r="H34" s="16"/>
      <c r="I34" s="16"/>
      <c r="J34" s="16"/>
      <c r="K34" s="16"/>
      <c r="L34" s="16"/>
      <c r="P34" s="682"/>
      <c r="Q34" s="681"/>
      <c r="T34" s="682"/>
      <c r="V34" s="678"/>
      <c r="W34" s="678"/>
      <c r="X34" s="678"/>
      <c r="Y34" s="678"/>
      <c r="Z34" s="678"/>
      <c r="AA34" s="678"/>
      <c r="AB34" s="678"/>
      <c r="AC34" s="678"/>
      <c r="AD34" s="678"/>
      <c r="AE34" s="678"/>
    </row>
    <row r="35" spans="1:37" ht="17.45" customHeight="1">
      <c r="P35" s="682"/>
      <c r="Q35" s="681"/>
      <c r="T35" s="682"/>
      <c r="V35" s="678"/>
      <c r="W35" s="678"/>
      <c r="X35" s="678"/>
      <c r="Y35" s="678"/>
      <c r="Z35" s="678"/>
      <c r="AA35" s="678"/>
      <c r="AB35" s="678"/>
      <c r="AC35" s="678"/>
      <c r="AD35" s="678"/>
      <c r="AE35" s="678"/>
    </row>
    <row r="36" spans="1:37" ht="17.45" customHeight="1">
      <c r="P36" s="685"/>
      <c r="Q36" s="681"/>
      <c r="T36" s="682"/>
      <c r="V36" s="678"/>
      <c r="W36" s="678"/>
      <c r="X36" s="678"/>
      <c r="Y36" s="678"/>
      <c r="Z36" s="678"/>
      <c r="AA36" s="678"/>
      <c r="AB36" s="678"/>
      <c r="AC36" s="678"/>
      <c r="AD36" s="678"/>
      <c r="AE36" s="678"/>
    </row>
    <row r="37" spans="1:37" ht="17.45" customHeight="1">
      <c r="P37" s="682"/>
      <c r="Q37" s="681"/>
      <c r="T37" s="685"/>
      <c r="V37" s="678"/>
      <c r="W37" s="678"/>
      <c r="X37" s="678"/>
      <c r="Y37" s="678"/>
      <c r="Z37" s="678"/>
      <c r="AA37" s="678"/>
      <c r="AB37" s="678"/>
      <c r="AC37" s="678"/>
      <c r="AD37" s="678"/>
      <c r="AE37" s="678"/>
    </row>
    <row r="38" spans="1:37" ht="17.45" customHeight="1">
      <c r="P38" s="682"/>
      <c r="Q38" s="681"/>
      <c r="T38" s="682"/>
      <c r="V38" s="678"/>
      <c r="W38" s="678"/>
      <c r="X38" s="678"/>
      <c r="Y38" s="678"/>
      <c r="Z38" s="678"/>
      <c r="AA38" s="678"/>
      <c r="AB38" s="678"/>
      <c r="AC38" s="678"/>
      <c r="AD38" s="678"/>
      <c r="AE38" s="678"/>
    </row>
    <row r="39" spans="1:37" ht="17.45" customHeight="1">
      <c r="P39" s="682"/>
      <c r="Q39" s="681"/>
      <c r="T39" s="682"/>
      <c r="V39" s="678"/>
      <c r="W39" s="678"/>
      <c r="X39" s="678"/>
      <c r="Y39" s="678"/>
      <c r="Z39" s="678"/>
      <c r="AA39" s="678"/>
      <c r="AB39" s="678"/>
      <c r="AC39" s="678"/>
      <c r="AD39" s="678"/>
      <c r="AE39" s="678"/>
    </row>
    <row r="40" spans="1:37" ht="17.45" customHeight="1">
      <c r="P40" s="685"/>
      <c r="Q40" s="681"/>
      <c r="T40" s="682"/>
      <c r="V40" s="678"/>
      <c r="W40" s="678"/>
      <c r="X40" s="678"/>
      <c r="Y40" s="678"/>
      <c r="Z40" s="678"/>
      <c r="AA40" s="678"/>
      <c r="AB40" s="678"/>
      <c r="AC40" s="678"/>
      <c r="AD40" s="678"/>
      <c r="AE40" s="678"/>
    </row>
    <row r="41" spans="1:37" ht="17.45" customHeight="1">
      <c r="P41" s="685"/>
      <c r="Q41" s="681"/>
      <c r="T41" s="685"/>
      <c r="V41" s="678"/>
      <c r="W41" s="678"/>
      <c r="X41" s="678"/>
      <c r="Y41" s="678"/>
      <c r="Z41" s="678"/>
      <c r="AA41" s="678"/>
      <c r="AB41" s="678"/>
      <c r="AC41" s="678"/>
      <c r="AD41" s="678"/>
      <c r="AE41" s="678"/>
    </row>
    <row r="42" spans="1:37" ht="17.45" customHeight="1">
      <c r="P42" s="685"/>
      <c r="Q42" s="681"/>
      <c r="T42" s="685"/>
      <c r="V42" s="678"/>
      <c r="W42" s="678"/>
      <c r="X42" s="678"/>
      <c r="Y42" s="678"/>
      <c r="Z42" s="678"/>
      <c r="AA42" s="678"/>
      <c r="AB42" s="678"/>
      <c r="AC42" s="678"/>
      <c r="AD42" s="678"/>
      <c r="AE42" s="678"/>
    </row>
    <row r="43" spans="1:37" ht="17.45" customHeight="1">
      <c r="P43" s="682"/>
      <c r="Q43" s="681"/>
      <c r="T43" s="685"/>
      <c r="V43" s="678"/>
      <c r="W43" s="678"/>
      <c r="X43" s="678"/>
      <c r="Y43" s="678"/>
      <c r="Z43" s="678"/>
      <c r="AA43" s="678"/>
      <c r="AB43" s="678"/>
      <c r="AC43" s="678"/>
      <c r="AD43" s="678"/>
      <c r="AE43" s="678"/>
    </row>
    <row r="44" spans="1:37" ht="17.45" customHeight="1">
      <c r="P44" s="682"/>
      <c r="Q44" s="681"/>
      <c r="T44" s="682"/>
      <c r="V44" s="678"/>
      <c r="W44" s="678"/>
      <c r="X44" s="678"/>
      <c r="Y44" s="678"/>
      <c r="Z44" s="678"/>
      <c r="AA44" s="678"/>
      <c r="AB44" s="678"/>
      <c r="AC44" s="678"/>
      <c r="AD44" s="678"/>
      <c r="AE44" s="678"/>
    </row>
    <row r="45" spans="1:37" ht="17.45" customHeight="1">
      <c r="P45" s="682"/>
      <c r="Q45" s="681"/>
      <c r="T45" s="682"/>
      <c r="V45" s="678"/>
      <c r="W45" s="678"/>
      <c r="X45" s="678"/>
      <c r="Y45" s="678"/>
      <c r="Z45" s="678"/>
      <c r="AA45" s="678"/>
      <c r="AB45" s="678"/>
      <c r="AC45" s="678"/>
      <c r="AD45" s="678"/>
      <c r="AE45" s="678"/>
    </row>
    <row r="46" spans="1:37" ht="17.45" customHeight="1">
      <c r="P46" s="682"/>
      <c r="Q46" s="681"/>
      <c r="T46" s="682"/>
      <c r="V46" s="678"/>
      <c r="W46" s="678"/>
      <c r="X46" s="678"/>
      <c r="Y46" s="678"/>
      <c r="Z46" s="678"/>
      <c r="AA46" s="678"/>
      <c r="AB46" s="678"/>
      <c r="AC46" s="678"/>
      <c r="AD46" s="678"/>
      <c r="AE46" s="678"/>
    </row>
    <row r="47" spans="1:37" ht="17.45" customHeight="1">
      <c r="P47" s="685"/>
      <c r="Q47" s="681"/>
      <c r="T47" s="682"/>
      <c r="V47" s="678"/>
      <c r="W47" s="678"/>
      <c r="X47" s="678"/>
      <c r="Y47" s="678"/>
      <c r="Z47" s="678"/>
      <c r="AA47" s="678"/>
      <c r="AB47" s="678"/>
      <c r="AC47" s="678"/>
      <c r="AD47" s="678"/>
      <c r="AE47" s="678"/>
    </row>
    <row r="48" spans="1:37" ht="17.45" customHeight="1">
      <c r="P48" s="679"/>
      <c r="Q48" s="687"/>
      <c r="T48" s="685"/>
      <c r="V48" s="678"/>
      <c r="W48" s="678"/>
      <c r="X48" s="678"/>
      <c r="Y48" s="678"/>
      <c r="Z48" s="678"/>
      <c r="AA48" s="678"/>
      <c r="AB48" s="678"/>
      <c r="AC48" s="678"/>
      <c r="AD48" s="678"/>
      <c r="AE48" s="678"/>
    </row>
    <row r="51" spans="17:31" ht="17.45" customHeight="1">
      <c r="U51" s="700"/>
      <c r="V51" s="698"/>
      <c r="W51" s="698"/>
      <c r="X51" s="698"/>
      <c r="Y51" s="698"/>
      <c r="Z51" s="698"/>
      <c r="AA51" s="698"/>
      <c r="AB51" s="698"/>
      <c r="AC51" s="698"/>
      <c r="AD51" s="698"/>
      <c r="AE51" s="698"/>
    </row>
    <row r="52" spans="17:31" ht="17.45" customHeight="1">
      <c r="R52" s="675"/>
      <c r="S52" s="675"/>
      <c r="U52" s="698"/>
      <c r="V52" s="688"/>
      <c r="W52" s="688"/>
      <c r="X52" s="688"/>
      <c r="Y52" s="688"/>
      <c r="Z52" s="688"/>
      <c r="AA52" s="688"/>
      <c r="AB52" s="688"/>
      <c r="AC52" s="688"/>
      <c r="AD52" s="688"/>
      <c r="AE52" s="688"/>
    </row>
    <row r="53" spans="17:31" ht="17.45" customHeight="1">
      <c r="Q53" s="685"/>
      <c r="R53" s="678"/>
      <c r="S53" s="678"/>
      <c r="U53" s="696"/>
      <c r="V53" s="681"/>
      <c r="W53" s="681"/>
      <c r="X53" s="681"/>
      <c r="Y53" s="681"/>
      <c r="Z53" s="681"/>
      <c r="AA53" s="681"/>
      <c r="AB53" s="681"/>
      <c r="AC53" s="681"/>
      <c r="AD53" s="681"/>
      <c r="AE53" s="681"/>
    </row>
    <row r="54" spans="17:31" ht="17.45" customHeight="1">
      <c r="Q54" s="685"/>
      <c r="R54" s="678"/>
      <c r="U54" s="685"/>
      <c r="V54" s="681"/>
      <c r="W54" s="681"/>
      <c r="X54" s="681"/>
      <c r="Y54" s="681"/>
      <c r="Z54" s="681"/>
      <c r="AA54" s="681"/>
      <c r="AB54" s="681"/>
      <c r="AC54" s="681"/>
      <c r="AD54" s="681"/>
      <c r="AE54" s="681"/>
    </row>
    <row r="55" spans="17:31" ht="17.45" customHeight="1">
      <c r="Q55" s="685"/>
      <c r="U55" s="685"/>
      <c r="V55" s="681"/>
      <c r="W55" s="681"/>
      <c r="X55" s="681"/>
      <c r="Y55" s="681"/>
      <c r="Z55" s="681"/>
      <c r="AA55" s="681"/>
      <c r="AB55" s="681"/>
      <c r="AC55" s="681"/>
      <c r="AD55" s="681"/>
      <c r="AE55" s="681"/>
    </row>
    <row r="56" spans="17:31" ht="17.45" customHeight="1">
      <c r="Q56" s="685"/>
      <c r="U56" s="685"/>
      <c r="V56" s="681"/>
      <c r="W56" s="681"/>
      <c r="X56" s="681"/>
      <c r="Y56" s="681"/>
      <c r="Z56" s="681"/>
      <c r="AA56" s="681"/>
      <c r="AB56" s="681"/>
      <c r="AC56" s="681"/>
      <c r="AD56" s="681"/>
      <c r="AE56" s="681"/>
    </row>
    <row r="57" spans="17:31" ht="17.45" customHeight="1">
      <c r="Q57" s="685"/>
      <c r="U57" s="685"/>
      <c r="V57" s="681"/>
      <c r="W57" s="681"/>
      <c r="X57" s="681"/>
      <c r="Y57" s="681"/>
      <c r="Z57" s="681"/>
      <c r="AA57" s="681"/>
      <c r="AB57" s="681"/>
      <c r="AC57" s="681"/>
      <c r="AD57" s="681"/>
      <c r="AE57" s="681"/>
    </row>
    <row r="58" spans="17:31" ht="17.45" customHeight="1">
      <c r="Q58" s="685"/>
      <c r="U58" s="685"/>
      <c r="V58" s="681"/>
      <c r="W58" s="681"/>
      <c r="X58" s="681"/>
      <c r="Y58" s="681"/>
      <c r="Z58" s="681"/>
      <c r="AA58" s="681"/>
      <c r="AB58" s="681"/>
      <c r="AC58" s="681"/>
      <c r="AD58" s="681"/>
      <c r="AE58" s="681"/>
    </row>
    <row r="59" spans="17:31" ht="17.45" customHeight="1">
      <c r="Q59" s="685"/>
      <c r="R59" s="678"/>
      <c r="S59" s="678"/>
      <c r="T59" s="678"/>
      <c r="U59" s="685"/>
      <c r="V59" s="681"/>
      <c r="W59" s="681"/>
      <c r="X59" s="681"/>
      <c r="Y59" s="681"/>
      <c r="Z59" s="681"/>
      <c r="AA59" s="681"/>
      <c r="AB59" s="681"/>
      <c r="AC59" s="681"/>
      <c r="AD59" s="681"/>
      <c r="AE59" s="678"/>
    </row>
    <row r="60" spans="17:31" ht="17.45" customHeight="1">
      <c r="U60" s="685"/>
      <c r="V60" s="681"/>
      <c r="W60" s="681"/>
      <c r="X60" s="681"/>
      <c r="Y60" s="681"/>
      <c r="Z60" s="681"/>
      <c r="AA60" s="681"/>
      <c r="AB60" s="681"/>
      <c r="AC60" s="681"/>
      <c r="AD60" s="681"/>
      <c r="AE60" s="681"/>
    </row>
  </sheetData>
  <mergeCells count="1">
    <mergeCell ref="A1:L1"/>
  </mergeCells>
  <conditionalFormatting sqref="A1 M62:XFD1048576 M1:N3 AK1:XFD3 A35:D1048576 AK34:XFD61 AO4:XFD4 M34:N61 M4:M33 AL5:XFD33">
    <cfRule type="cellIs" dxfId="1575" priority="130" operator="equal">
      <formula>0</formula>
    </cfRule>
    <cfRule type="cellIs" priority="131" operator="equal">
      <formula>0</formula>
    </cfRule>
  </conditionalFormatting>
  <conditionalFormatting sqref="M4">
    <cfRule type="cellIs" dxfId="1574" priority="129" operator="equal">
      <formula>0</formula>
    </cfRule>
  </conditionalFormatting>
  <conditionalFormatting sqref="M4">
    <cfRule type="containsText" dxfId="1573" priority="128" operator="containsText" text="FALSO">
      <formula>NOT(ISERROR(SEARCH("FALSO",M4)))</formula>
    </cfRule>
  </conditionalFormatting>
  <conditionalFormatting sqref="G35:G1048576">
    <cfRule type="cellIs" dxfId="1572" priority="126" operator="equal">
      <formula>0</formula>
    </cfRule>
    <cfRule type="cellIs" priority="127" operator="equal">
      <formula>0</formula>
    </cfRule>
  </conditionalFormatting>
  <conditionalFormatting sqref="E35:E1048576">
    <cfRule type="cellIs" dxfId="1571" priority="124" operator="equal">
      <formula>0</formula>
    </cfRule>
    <cfRule type="cellIs" priority="125" operator="equal">
      <formula>0</formula>
    </cfRule>
  </conditionalFormatting>
  <conditionalFormatting sqref="F35:F1048576">
    <cfRule type="cellIs" dxfId="1570" priority="122" operator="equal">
      <formula>0</formula>
    </cfRule>
    <cfRule type="cellIs" priority="123" operator="equal">
      <formula>0</formula>
    </cfRule>
  </conditionalFormatting>
  <conditionalFormatting sqref="H35:H1048576">
    <cfRule type="cellIs" dxfId="1569" priority="120" operator="equal">
      <formula>0</formula>
    </cfRule>
    <cfRule type="cellIs" priority="121" operator="equal">
      <formula>0</formula>
    </cfRule>
  </conditionalFormatting>
  <conditionalFormatting sqref="J35:J1048576">
    <cfRule type="cellIs" dxfId="1568" priority="116" operator="equal">
      <formula>0</formula>
    </cfRule>
    <cfRule type="cellIs" priority="117" operator="equal">
      <formula>0</formula>
    </cfRule>
  </conditionalFormatting>
  <conditionalFormatting sqref="I35:I1048576">
    <cfRule type="cellIs" dxfId="1567" priority="118" operator="equal">
      <formula>0</formula>
    </cfRule>
    <cfRule type="cellIs" priority="119" operator="equal">
      <formula>0</formula>
    </cfRule>
  </conditionalFormatting>
  <conditionalFormatting sqref="K35:K1048576">
    <cfRule type="cellIs" dxfId="1566" priority="114" operator="equal">
      <formula>0</formula>
    </cfRule>
    <cfRule type="cellIs" priority="115" operator="equal">
      <formula>0</formula>
    </cfRule>
  </conditionalFormatting>
  <conditionalFormatting sqref="B34:C34">
    <cfRule type="cellIs" dxfId="1565" priority="113" operator="equal">
      <formula>0</formula>
    </cfRule>
  </conditionalFormatting>
  <conditionalFormatting sqref="D34">
    <cfRule type="cellIs" dxfId="1564" priority="112" operator="equal">
      <formula>0</formula>
    </cfRule>
  </conditionalFormatting>
  <conditionalFormatting sqref="G34">
    <cfRule type="cellIs" dxfId="1563" priority="111" operator="equal">
      <formula>0</formula>
    </cfRule>
  </conditionalFormatting>
  <conditionalFormatting sqref="E34">
    <cfRule type="cellIs" dxfId="1562" priority="110" operator="equal">
      <formula>0</formula>
    </cfRule>
  </conditionalFormatting>
  <conditionalFormatting sqref="F34">
    <cfRule type="cellIs" dxfId="1561" priority="109" operator="equal">
      <formula>0</formula>
    </cfRule>
  </conditionalFormatting>
  <conditionalFormatting sqref="H34">
    <cfRule type="cellIs" dxfId="1560" priority="108" operator="equal">
      <formula>0</formula>
    </cfRule>
  </conditionalFormatting>
  <conditionalFormatting sqref="I34">
    <cfRule type="cellIs" dxfId="1559" priority="107" operator="equal">
      <formula>0</formula>
    </cfRule>
  </conditionalFormatting>
  <conditionalFormatting sqref="J34">
    <cfRule type="cellIs" dxfId="1558" priority="106" operator="equal">
      <formula>0</formula>
    </cfRule>
  </conditionalFormatting>
  <conditionalFormatting sqref="K34">
    <cfRule type="cellIs" dxfId="1557" priority="105" operator="equal">
      <formula>0</formula>
    </cfRule>
  </conditionalFormatting>
  <conditionalFormatting sqref="L35:L1048576">
    <cfRule type="cellIs" dxfId="1556" priority="103" operator="equal">
      <formula>0</formula>
    </cfRule>
    <cfRule type="cellIs" priority="104" operator="equal">
      <formula>0</formula>
    </cfRule>
  </conditionalFormatting>
  <conditionalFormatting sqref="L34">
    <cfRule type="cellIs" dxfId="1555" priority="102" operator="equal">
      <formula>0</formula>
    </cfRule>
  </conditionalFormatting>
  <conditionalFormatting sqref="U51:AE51">
    <cfRule type="cellIs" dxfId="1554" priority="101" operator="equal">
      <formula>0</formula>
    </cfRule>
  </conditionalFormatting>
  <conditionalFormatting sqref="B5:B6">
    <cfRule type="cellIs" dxfId="1553" priority="99" operator="equal">
      <formula>0</formula>
    </cfRule>
  </conditionalFormatting>
  <conditionalFormatting sqref="B7:B14">
    <cfRule type="expression" dxfId="1552" priority="97">
      <formula>B7=MAX(B$7:B$14)</formula>
    </cfRule>
    <cfRule type="expression" dxfId="1551" priority="98">
      <formula>B7=MIN(B$7:B$14)</formula>
    </cfRule>
  </conditionalFormatting>
  <conditionalFormatting sqref="B16:B21">
    <cfRule type="expression" dxfId="1550" priority="95">
      <formula>B16=MAX(B$16:B$21)</formula>
    </cfRule>
    <cfRule type="expression" dxfId="1549" priority="96">
      <formula>B16=MIN(B$16:B$21)</formula>
    </cfRule>
  </conditionalFormatting>
  <conditionalFormatting sqref="B23:B25">
    <cfRule type="expression" dxfId="1548" priority="93">
      <formula>B23=MAX(B$23:B$25)</formula>
    </cfRule>
    <cfRule type="expression" dxfId="1547" priority="94">
      <formula>B23=MIN(B$23:B$25)</formula>
    </cfRule>
  </conditionalFormatting>
  <conditionalFormatting sqref="B29:B32">
    <cfRule type="expression" dxfId="1546" priority="91">
      <formula>B29=MAX(B$29:B$32)</formula>
    </cfRule>
    <cfRule type="expression" dxfId="1545" priority="92">
      <formula>B29=MIN(B$29:B$32)</formula>
    </cfRule>
  </conditionalFormatting>
  <conditionalFormatting sqref="C5:C6">
    <cfRule type="cellIs" dxfId="1544" priority="90" operator="equal">
      <formula>0</formula>
    </cfRule>
  </conditionalFormatting>
  <conditionalFormatting sqref="C7:C14">
    <cfRule type="expression" dxfId="1543" priority="88">
      <formula>C7=MAX(C$7:C$14)</formula>
    </cfRule>
    <cfRule type="expression" dxfId="1542" priority="89">
      <formula>C7=MIN(C$7:C$14)</formula>
    </cfRule>
  </conditionalFormatting>
  <conditionalFormatting sqref="C16:C21">
    <cfRule type="expression" dxfId="1541" priority="86">
      <formula>C16=MAX(C$16:C$21)</formula>
    </cfRule>
    <cfRule type="expression" dxfId="1540" priority="87">
      <formula>C16=MIN(C$16:C$21)</formula>
    </cfRule>
  </conditionalFormatting>
  <conditionalFormatting sqref="C23:C25">
    <cfRule type="expression" dxfId="1539" priority="84">
      <formula>C23=MAX(C$23:C$25)</formula>
    </cfRule>
    <cfRule type="expression" dxfId="1538" priority="85">
      <formula>C23=MIN(C$23:C$25)</formula>
    </cfRule>
  </conditionalFormatting>
  <conditionalFormatting sqref="C29:C32">
    <cfRule type="expression" dxfId="1537" priority="82">
      <formula>C29=MAX(C$29:C$32)</formula>
    </cfRule>
    <cfRule type="expression" dxfId="1536" priority="83">
      <formula>C29=MIN(C$29:C$32)</formula>
    </cfRule>
  </conditionalFormatting>
  <conditionalFormatting sqref="D5:D6">
    <cfRule type="cellIs" dxfId="1535" priority="81" operator="equal">
      <formula>0</formula>
    </cfRule>
  </conditionalFormatting>
  <conditionalFormatting sqref="D7:D14">
    <cfRule type="expression" dxfId="1534" priority="79">
      <formula>D7=MAX(D$7:D$14)</formula>
    </cfRule>
    <cfRule type="expression" dxfId="1533" priority="80">
      <formula>D7=MIN(D$7:D$14)</formula>
    </cfRule>
  </conditionalFormatting>
  <conditionalFormatting sqref="D16:D21">
    <cfRule type="expression" dxfId="1532" priority="77">
      <formula>D16=MAX(D$16:D$21)</formula>
    </cfRule>
    <cfRule type="expression" dxfId="1531" priority="78">
      <formula>D16=MIN(D$16:D$21)</formula>
    </cfRule>
  </conditionalFormatting>
  <conditionalFormatting sqref="D23:D25">
    <cfRule type="expression" dxfId="1530" priority="75">
      <formula>D23=MAX(D$23:D$25)</formula>
    </cfRule>
    <cfRule type="expression" dxfId="1529" priority="76">
      <formula>D23=MIN(D$23:D$25)</formula>
    </cfRule>
  </conditionalFormatting>
  <conditionalFormatting sqref="D29:D32">
    <cfRule type="expression" dxfId="1528" priority="73">
      <formula>D29=MAX(D$29:D$32)</formula>
    </cfRule>
    <cfRule type="expression" dxfId="1527" priority="74">
      <formula>D29=MIN(D$29:D$32)</formula>
    </cfRule>
  </conditionalFormatting>
  <conditionalFormatting sqref="E5:E6">
    <cfRule type="cellIs" dxfId="1526" priority="72" operator="equal">
      <formula>0</formula>
    </cfRule>
  </conditionalFormatting>
  <conditionalFormatting sqref="E7:E14">
    <cfRule type="expression" dxfId="1525" priority="70">
      <formula>E7=MAX(E$7:E$14)</formula>
    </cfRule>
    <cfRule type="expression" dxfId="1524" priority="71">
      <formula>E7=MIN(E$7:E$14)</formula>
    </cfRule>
  </conditionalFormatting>
  <conditionalFormatting sqref="E16:E21">
    <cfRule type="expression" dxfId="1523" priority="68">
      <formula>E16=MAX(E$16:E$21)</formula>
    </cfRule>
    <cfRule type="expression" dxfId="1522" priority="69">
      <formula>E16=MIN(E$16:E$21)</formula>
    </cfRule>
  </conditionalFormatting>
  <conditionalFormatting sqref="E23:E25">
    <cfRule type="expression" dxfId="1521" priority="66">
      <formula>E23=MAX(E$23:E$25)</formula>
    </cfRule>
    <cfRule type="expression" dxfId="1520" priority="67">
      <formula>E23=MIN(E$23:E$25)</formula>
    </cfRule>
  </conditionalFormatting>
  <conditionalFormatting sqref="E29:E32">
    <cfRule type="expression" dxfId="1519" priority="64">
      <formula>E29=MAX(E$29:E$32)</formula>
    </cfRule>
    <cfRule type="expression" dxfId="1518" priority="65">
      <formula>E29=MIN(E$29:E$32)</formula>
    </cfRule>
  </conditionalFormatting>
  <conditionalFormatting sqref="F5:F6">
    <cfRule type="cellIs" dxfId="1517" priority="63" operator="equal">
      <formula>0</formula>
    </cfRule>
  </conditionalFormatting>
  <conditionalFormatting sqref="F7:F14">
    <cfRule type="expression" dxfId="1516" priority="61">
      <formula>F7=MAX(F$7:F$14)</formula>
    </cfRule>
    <cfRule type="expression" dxfId="1515" priority="62">
      <formula>F7=MIN(F$7:F$14)</formula>
    </cfRule>
  </conditionalFormatting>
  <conditionalFormatting sqref="F16:F21">
    <cfRule type="expression" dxfId="1514" priority="59">
      <formula>F16=MAX(F$16:F$21)</formula>
    </cfRule>
    <cfRule type="expression" dxfId="1513" priority="60">
      <formula>F16=MIN(F$16:F$21)</formula>
    </cfRule>
  </conditionalFormatting>
  <conditionalFormatting sqref="F23:F25">
    <cfRule type="expression" dxfId="1512" priority="57">
      <formula>F23=MAX(F$23:F$25)</formula>
    </cfRule>
    <cfRule type="expression" dxfId="1511" priority="58">
      <formula>F23=MIN(F$23:F$25)</formula>
    </cfRule>
  </conditionalFormatting>
  <conditionalFormatting sqref="F29:F32">
    <cfRule type="expression" dxfId="1510" priority="55">
      <formula>F29=MAX(F$29:F$32)</formula>
    </cfRule>
    <cfRule type="expression" dxfId="1509" priority="56">
      <formula>F29=MIN(F$29:F$32)</formula>
    </cfRule>
  </conditionalFormatting>
  <conditionalFormatting sqref="G5:G6">
    <cfRule type="cellIs" dxfId="1508" priority="54" operator="equal">
      <formula>0</formula>
    </cfRule>
  </conditionalFormatting>
  <conditionalFormatting sqref="G7:G14">
    <cfRule type="expression" dxfId="1507" priority="52">
      <formula>G7=MAX(G$7:G$14)</formula>
    </cfRule>
    <cfRule type="expression" dxfId="1506" priority="53">
      <formula>G7=MIN(G$7:G$14)</formula>
    </cfRule>
  </conditionalFormatting>
  <conditionalFormatting sqref="G16:G21">
    <cfRule type="expression" dxfId="1505" priority="50">
      <formula>G16=MAX(G$16:G$21)</formula>
    </cfRule>
    <cfRule type="expression" dxfId="1504" priority="51">
      <formula>G16=MIN(G$16:G$21)</formula>
    </cfRule>
  </conditionalFormatting>
  <conditionalFormatting sqref="G23:G25">
    <cfRule type="expression" dxfId="1503" priority="48">
      <formula>G23=MAX(G$23:G$25)</formula>
    </cfRule>
    <cfRule type="expression" dxfId="1502" priority="49">
      <formula>G23=MIN(G$23:G$25)</formula>
    </cfRule>
  </conditionalFormatting>
  <conditionalFormatting sqref="G29:G32">
    <cfRule type="expression" dxfId="1501" priority="46">
      <formula>G29=MAX(G$29:G$32)</formula>
    </cfRule>
    <cfRule type="expression" dxfId="1500" priority="47">
      <formula>G29=MIN(G$29:G$32)</formula>
    </cfRule>
  </conditionalFormatting>
  <conditionalFormatting sqref="H5:H6">
    <cfRule type="cellIs" dxfId="1499" priority="45" operator="equal">
      <formula>0</formula>
    </cfRule>
  </conditionalFormatting>
  <conditionalFormatting sqref="H7:H14">
    <cfRule type="expression" dxfId="1498" priority="43">
      <formula>H7=MAX(H$7:H$14)</formula>
    </cfRule>
    <cfRule type="expression" dxfId="1497" priority="44">
      <formula>H7=MIN(H$7:H$14)</formula>
    </cfRule>
  </conditionalFormatting>
  <conditionalFormatting sqref="H16:H21">
    <cfRule type="expression" dxfId="1496" priority="41">
      <formula>H16=MAX(H$16:H$21)</formula>
    </cfRule>
    <cfRule type="expression" dxfId="1495" priority="42">
      <formula>H16=MIN(H$16:H$21)</formula>
    </cfRule>
  </conditionalFormatting>
  <conditionalFormatting sqref="H23:H25">
    <cfRule type="expression" dxfId="1494" priority="39">
      <formula>H23=MAX(H$23:H$25)</formula>
    </cfRule>
    <cfRule type="expression" dxfId="1493" priority="40">
      <formula>H23=MIN(H$23:H$25)</formula>
    </cfRule>
  </conditionalFormatting>
  <conditionalFormatting sqref="H29:H32">
    <cfRule type="expression" dxfId="1492" priority="37">
      <formula>H29=MAX(H$29:H$32)</formula>
    </cfRule>
    <cfRule type="expression" dxfId="1491" priority="38">
      <formula>H29=MIN(H$29:H$32)</formula>
    </cfRule>
  </conditionalFormatting>
  <conditionalFormatting sqref="I5:I6">
    <cfRule type="cellIs" dxfId="1490" priority="36" operator="equal">
      <formula>0</formula>
    </cfRule>
  </conditionalFormatting>
  <conditionalFormatting sqref="I7:I14">
    <cfRule type="expression" dxfId="1489" priority="34">
      <formula>I7=MAX(I$7:I$14)</formula>
    </cfRule>
    <cfRule type="expression" dxfId="1488" priority="35">
      <formula>I7=MIN(I$7:I$14)</formula>
    </cfRule>
  </conditionalFormatting>
  <conditionalFormatting sqref="I16:I21">
    <cfRule type="expression" dxfId="1487" priority="32">
      <formula>I16=MAX(I$16:I$21)</formula>
    </cfRule>
    <cfRule type="expression" dxfId="1486" priority="33">
      <formula>I16=MIN(I$16:I$21)</formula>
    </cfRule>
  </conditionalFormatting>
  <conditionalFormatting sqref="I23:I25">
    <cfRule type="expression" dxfId="1485" priority="30">
      <formula>I23=MAX(I$23:I$25)</formula>
    </cfRule>
    <cfRule type="expression" dxfId="1484" priority="31">
      <formula>I23=MIN(I$23:I$25)</formula>
    </cfRule>
  </conditionalFormatting>
  <conditionalFormatting sqref="I29:I32">
    <cfRule type="expression" dxfId="1483" priority="28">
      <formula>I29=MAX(I$29:I$32)</formula>
    </cfRule>
    <cfRule type="expression" dxfId="1482" priority="29">
      <formula>I29=MIN(I$29:I$32)</formula>
    </cfRule>
  </conditionalFormatting>
  <conditionalFormatting sqref="J5:J6">
    <cfRule type="cellIs" dxfId="1481" priority="27" operator="equal">
      <formula>0</formula>
    </cfRule>
  </conditionalFormatting>
  <conditionalFormatting sqref="J7:J14">
    <cfRule type="expression" dxfId="1480" priority="25">
      <formula>J7=MAX(J$7:J$14)</formula>
    </cfRule>
    <cfRule type="expression" dxfId="1479" priority="26">
      <formula>J7=MIN(J$7:J$14)</formula>
    </cfRule>
  </conditionalFormatting>
  <conditionalFormatting sqref="J16:J21">
    <cfRule type="expression" dxfId="1478" priority="23">
      <formula>J16=MAX(J$16:J$21)</formula>
    </cfRule>
    <cfRule type="expression" dxfId="1477" priority="24">
      <formula>J16=MIN(J$16:J$21)</formula>
    </cfRule>
  </conditionalFormatting>
  <conditionalFormatting sqref="J23:J25">
    <cfRule type="expression" dxfId="1476" priority="21">
      <formula>J23=MAX(J$23:J$25)</formula>
    </cfRule>
    <cfRule type="expression" dxfId="1475" priority="22">
      <formula>J23=MIN(J$23:J$25)</formula>
    </cfRule>
  </conditionalFormatting>
  <conditionalFormatting sqref="J29:J32">
    <cfRule type="expression" dxfId="1474" priority="19">
      <formula>J29=MAX(J$29:J$32)</formula>
    </cfRule>
    <cfRule type="expression" dxfId="1473" priority="20">
      <formula>J29=MIN(J$29:J$32)</formula>
    </cfRule>
  </conditionalFormatting>
  <conditionalFormatting sqref="K5:K6">
    <cfRule type="cellIs" dxfId="1472" priority="18" operator="equal">
      <formula>0</formula>
    </cfRule>
  </conditionalFormatting>
  <conditionalFormatting sqref="K7:K14">
    <cfRule type="expression" dxfId="1471" priority="16">
      <formula>K7=MAX(K$7:K$14)</formula>
    </cfRule>
    <cfRule type="expression" dxfId="1470" priority="17">
      <formula>K7=MIN(K$7:K$14)</formula>
    </cfRule>
  </conditionalFormatting>
  <conditionalFormatting sqref="K16:K21">
    <cfRule type="expression" dxfId="1469" priority="14">
      <formula>K16=MAX(K$16:K$21)</formula>
    </cfRule>
    <cfRule type="expression" dxfId="1468" priority="15">
      <formula>K16=MIN(K$16:K$21)</formula>
    </cfRule>
  </conditionalFormatting>
  <conditionalFormatting sqref="K23:K25">
    <cfRule type="expression" dxfId="1467" priority="12">
      <formula>K23=MAX(K$23:K$25)</formula>
    </cfRule>
    <cfRule type="expression" dxfId="1466" priority="13">
      <formula>K23=MIN(K$23:K$25)</formula>
    </cfRule>
  </conditionalFormatting>
  <conditionalFormatting sqref="K29:K32">
    <cfRule type="expression" dxfId="1465" priority="10">
      <formula>K29=MAX(K$29:K$32)</formula>
    </cfRule>
    <cfRule type="expression" dxfId="1464" priority="11">
      <formula>K29=MIN(K$29:K$32)</formula>
    </cfRule>
  </conditionalFormatting>
  <conditionalFormatting sqref="L5:L6">
    <cfRule type="cellIs" dxfId="1463" priority="9" operator="equal">
      <formula>0</formula>
    </cfRule>
  </conditionalFormatting>
  <conditionalFormatting sqref="L7:L14">
    <cfRule type="expression" dxfId="1462" priority="7">
      <formula>L7=MAX(L$7:L$14)</formula>
    </cfRule>
    <cfRule type="expression" dxfId="1461" priority="8">
      <formula>L7=MIN(L$7:L$14)</formula>
    </cfRule>
  </conditionalFormatting>
  <conditionalFormatting sqref="L16:L21">
    <cfRule type="expression" dxfId="1460" priority="5">
      <formula>L16=MAX(L$16:L$21)</formula>
    </cfRule>
    <cfRule type="expression" dxfId="1459" priority="6">
      <formula>L16=MIN(L$16:L$21)</formula>
    </cfRule>
  </conditionalFormatting>
  <conditionalFormatting sqref="L23:L25">
    <cfRule type="expression" dxfId="1458" priority="3">
      <formula>L23=MAX(L$23:L$25)</formula>
    </cfRule>
    <cfRule type="expression" dxfId="1457" priority="4">
      <formula>L23=MIN(L$23:L$25)</formula>
    </cfRule>
  </conditionalFormatting>
  <conditionalFormatting sqref="L29:L32">
    <cfRule type="expression" dxfId="1456" priority="1">
      <formula>L29=MAX(L$29:L$32)</formula>
    </cfRule>
    <cfRule type="expression" dxfId="1455" priority="2">
      <formula>L29=MIN(L$29:L$32)</formula>
    </cfRule>
  </conditionalFormatting>
  <printOptions horizontalCentered="1"/>
  <pageMargins left="0.19685039370078741" right="0.19685039370078741" top="1.5748031496062993" bottom="0.39370078740157483" header="0.51181102362204722" footer="0"/>
  <pageSetup paperSize="9" scale="85" fitToWidth="0" fitToHeight="0" orientation="portrait" r:id="rId1"/>
  <headerFooter>
    <oddHeader>&amp;C&amp;G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D7DB3-CE3F-47A1-A91E-22D99C44372C}">
  <sheetPr>
    <tabColor rgb="FFDBA9B3"/>
  </sheetPr>
  <dimension ref="A1:AN58"/>
  <sheetViews>
    <sheetView showGridLines="0" topLeftCell="A3" workbookViewId="0">
      <selection activeCell="Y70" sqref="Y70"/>
    </sheetView>
  </sheetViews>
  <sheetFormatPr defaultColWidth="9.140625" defaultRowHeight="11.25"/>
  <cols>
    <col min="1" max="1" width="25.28515625" style="2" customWidth="1"/>
    <col min="2" max="12" width="8.140625" style="2" customWidth="1"/>
    <col min="13" max="14" width="5.85546875" style="2" bestFit="1" customWidth="1"/>
    <col min="15" max="15" width="6.42578125" style="677" customWidth="1"/>
    <col min="16" max="16" width="13" style="677" customWidth="1"/>
    <col min="17" max="17" width="6.7109375" style="677" bestFit="1" customWidth="1"/>
    <col min="18" max="18" width="5.85546875" style="677" bestFit="1" customWidth="1"/>
    <col min="19" max="19" width="6.7109375" style="677" bestFit="1" customWidth="1"/>
    <col min="20" max="20" width="5.85546875" style="677" bestFit="1" customWidth="1"/>
    <col min="21" max="21" width="11.5703125" style="677" customWidth="1"/>
    <col min="22" max="22" width="7.42578125" style="677" bestFit="1" customWidth="1"/>
    <col min="23" max="23" width="5.85546875" style="677" bestFit="1" customWidth="1"/>
    <col min="24" max="40" width="9.140625" style="677"/>
    <col min="41" max="16384" width="9.140625" style="2"/>
  </cols>
  <sheetData>
    <row r="1" spans="1:40" s="1" customFormat="1" ht="34.5" customHeight="1">
      <c r="A1" s="988" t="s">
        <v>782</v>
      </c>
      <c r="B1" s="982"/>
      <c r="C1" s="982"/>
      <c r="D1" s="982"/>
      <c r="E1" s="982"/>
      <c r="F1" s="982"/>
      <c r="G1" s="982"/>
      <c r="H1" s="982"/>
      <c r="I1" s="982"/>
      <c r="J1" s="982"/>
      <c r="K1" s="982"/>
      <c r="L1" s="982"/>
      <c r="O1" s="690"/>
      <c r="P1" s="675"/>
      <c r="Q1" s="673"/>
      <c r="R1" s="673"/>
      <c r="S1" s="673"/>
      <c r="T1" s="673"/>
      <c r="U1" s="691"/>
      <c r="V1" s="673"/>
      <c r="W1" s="673"/>
      <c r="X1" s="673"/>
      <c r="Y1" s="673"/>
      <c r="Z1" s="673"/>
      <c r="AA1" s="673"/>
      <c r="AB1" s="673"/>
      <c r="AC1" s="673"/>
      <c r="AD1" s="673"/>
      <c r="AE1" s="673"/>
      <c r="AF1" s="673"/>
      <c r="AG1" s="673"/>
      <c r="AH1" s="673"/>
      <c r="AI1" s="673"/>
      <c r="AJ1" s="673"/>
      <c r="AK1" s="673"/>
      <c r="AL1" s="673"/>
      <c r="AM1" s="673"/>
      <c r="AN1" s="673"/>
    </row>
    <row r="2" spans="1:40" ht="11.25" customHeight="1">
      <c r="A2" s="9"/>
      <c r="B2" s="172"/>
      <c r="C2" s="172"/>
      <c r="D2" s="172"/>
      <c r="E2" s="172"/>
      <c r="F2" s="172"/>
      <c r="G2" s="172"/>
      <c r="H2" s="172"/>
      <c r="I2" s="172"/>
      <c r="J2" s="172"/>
      <c r="K2" s="172"/>
      <c r="L2" s="172"/>
      <c r="O2" s="692"/>
    </row>
    <row r="3" spans="1:40" ht="15" customHeight="1">
      <c r="A3" s="11" t="s">
        <v>41</v>
      </c>
      <c r="B3" s="172"/>
      <c r="C3" s="172"/>
      <c r="D3" s="172"/>
      <c r="E3" s="172"/>
      <c r="F3" s="172"/>
      <c r="G3" s="172"/>
      <c r="H3" s="172"/>
      <c r="I3" s="172"/>
      <c r="J3" s="172"/>
      <c r="K3" s="172"/>
      <c r="L3" s="172"/>
      <c r="O3" s="692"/>
      <c r="Q3" s="678"/>
      <c r="R3" s="678"/>
      <c r="S3" s="678"/>
      <c r="T3" s="678"/>
      <c r="U3" s="678"/>
      <c r="V3" s="678"/>
      <c r="W3" s="678"/>
      <c r="X3" s="678"/>
      <c r="Y3" s="678"/>
      <c r="Z3" s="678"/>
      <c r="AA3" s="678"/>
    </row>
    <row r="4" spans="1:40" ht="28.5" customHeight="1" thickBot="1">
      <c r="A4" s="13"/>
      <c r="B4" s="14">
        <v>2014</v>
      </c>
      <c r="C4" s="14">
        <v>2015</v>
      </c>
      <c r="D4" s="14">
        <v>2016</v>
      </c>
      <c r="E4" s="14">
        <v>2017</v>
      </c>
      <c r="F4" s="14">
        <v>2018</v>
      </c>
      <c r="G4" s="14">
        <v>2019</v>
      </c>
      <c r="H4" s="14">
        <v>2020</v>
      </c>
      <c r="I4" s="14">
        <v>2021</v>
      </c>
      <c r="J4" s="14">
        <v>2022</v>
      </c>
      <c r="K4" s="14">
        <v>2023</v>
      </c>
      <c r="L4" s="14">
        <v>2024</v>
      </c>
      <c r="O4" s="649"/>
      <c r="P4" s="560">
        <f>+B4</f>
        <v>2014</v>
      </c>
      <c r="Q4" s="560">
        <f t="shared" ref="Q4:W4" si="0">+C4</f>
        <v>2015</v>
      </c>
      <c r="R4" s="560">
        <f t="shared" si="0"/>
        <v>2016</v>
      </c>
      <c r="S4" s="560">
        <f t="shared" si="0"/>
        <v>2017</v>
      </c>
      <c r="T4" s="560">
        <f t="shared" si="0"/>
        <v>2018</v>
      </c>
      <c r="U4" s="560">
        <f t="shared" si="0"/>
        <v>2019</v>
      </c>
      <c r="V4" s="560">
        <f t="shared" si="0"/>
        <v>2020</v>
      </c>
      <c r="W4" s="560">
        <f t="shared" si="0"/>
        <v>2021</v>
      </c>
      <c r="X4" s="560">
        <f>+J4</f>
        <v>2022</v>
      </c>
      <c r="Y4" s="560">
        <f t="shared" ref="Y4:Z4" si="1">+K4</f>
        <v>2023</v>
      </c>
      <c r="Z4" s="560">
        <f t="shared" si="1"/>
        <v>2024</v>
      </c>
      <c r="AA4" s="560">
        <f>+B4</f>
        <v>2014</v>
      </c>
      <c r="AB4" s="560">
        <f t="shared" ref="AB4:AJ4" si="2">+C4</f>
        <v>2015</v>
      </c>
      <c r="AC4" s="560">
        <f t="shared" si="2"/>
        <v>2016</v>
      </c>
      <c r="AD4" s="560">
        <f t="shared" si="2"/>
        <v>2017</v>
      </c>
      <c r="AE4" s="560">
        <f t="shared" si="2"/>
        <v>2018</v>
      </c>
      <c r="AF4" s="560">
        <f t="shared" si="2"/>
        <v>2019</v>
      </c>
      <c r="AG4" s="560">
        <f t="shared" si="2"/>
        <v>2020</v>
      </c>
      <c r="AH4" s="560">
        <f t="shared" si="2"/>
        <v>2021</v>
      </c>
      <c r="AI4" s="560">
        <f t="shared" si="2"/>
        <v>2022</v>
      </c>
      <c r="AJ4" s="560">
        <f t="shared" si="2"/>
        <v>2023</v>
      </c>
      <c r="AK4" s="560">
        <f>+L4</f>
        <v>2024</v>
      </c>
      <c r="AL4" s="693"/>
      <c r="AM4" s="693"/>
      <c r="AN4" s="693"/>
    </row>
    <row r="5" spans="1:40" ht="20.25" customHeight="1" thickTop="1">
      <c r="A5" s="113" t="s">
        <v>11</v>
      </c>
      <c r="B5" s="328">
        <v>110390.99999999996</v>
      </c>
      <c r="C5" s="328">
        <v>116010.9999999999</v>
      </c>
      <c r="D5" s="328">
        <v>127236.00000000019</v>
      </c>
      <c r="E5" s="328">
        <v>140295.00000000003</v>
      </c>
      <c r="F5" s="328">
        <v>169294.99999999988</v>
      </c>
      <c r="G5" s="328">
        <v>210582.99999999997</v>
      </c>
      <c r="H5" s="328">
        <v>217760.99999999983</v>
      </c>
      <c r="I5" s="328">
        <v>228523.00000000006</v>
      </c>
      <c r="J5" s="328">
        <v>322028.00000000017</v>
      </c>
      <c r="K5" s="328">
        <v>414782.99999999994</v>
      </c>
      <c r="L5" s="328">
        <v>509783.00000000012</v>
      </c>
      <c r="O5" s="2"/>
      <c r="P5" s="2"/>
      <c r="Q5" s="2"/>
      <c r="R5" s="2"/>
      <c r="S5" s="2"/>
      <c r="T5" s="2"/>
      <c r="U5" s="2"/>
      <c r="V5" s="2"/>
      <c r="W5" s="2"/>
      <c r="X5" s="2"/>
      <c r="Y5" s="2"/>
      <c r="Z5" s="2"/>
      <c r="AA5" s="2"/>
      <c r="AB5" s="2"/>
      <c r="AC5" s="2"/>
      <c r="AD5" s="2"/>
      <c r="AE5" s="2"/>
      <c r="AF5" s="2"/>
      <c r="AG5" s="2"/>
      <c r="AH5" s="2"/>
      <c r="AI5" s="2"/>
      <c r="AJ5" s="2"/>
      <c r="AK5" s="2"/>
    </row>
    <row r="6" spans="1:40" ht="20.100000000000001" customHeight="1">
      <c r="A6" s="15" t="s">
        <v>496</v>
      </c>
      <c r="B6" s="328">
        <v>12902.000000000002</v>
      </c>
      <c r="C6" s="328">
        <v>14033.000000000007</v>
      </c>
      <c r="D6" s="328">
        <v>14238.000000000002</v>
      </c>
      <c r="E6" s="328">
        <v>17437.999999999996</v>
      </c>
      <c r="F6" s="328">
        <v>22188.000000000004</v>
      </c>
      <c r="G6" s="328">
        <v>30453.000000000011</v>
      </c>
      <c r="H6" s="328">
        <v>33775.999999999993</v>
      </c>
      <c r="I6" s="328">
        <v>36947.000000000022</v>
      </c>
      <c r="J6" s="328">
        <v>61471.999999999993</v>
      </c>
      <c r="K6" s="328">
        <v>84585.999999999985</v>
      </c>
      <c r="L6" s="328">
        <v>108225.99999999999</v>
      </c>
      <c r="N6" s="559">
        <f>+(L6/B6-1)*100</f>
        <v>738.83118896295127</v>
      </c>
      <c r="O6" s="419">
        <f t="shared" ref="O6" si="3">+L6-B6</f>
        <v>95323.999999999985</v>
      </c>
      <c r="P6" s="559">
        <f>B6*100/B$5</f>
        <v>11.687546992055518</v>
      </c>
      <c r="Q6" s="559">
        <f t="shared" ref="Q6:Z6" si="4">C6*100/C$5</f>
        <v>12.096266733327029</v>
      </c>
      <c r="R6" s="559">
        <f t="shared" si="4"/>
        <v>11.190229180420621</v>
      </c>
      <c r="S6" s="559">
        <f t="shared" si="4"/>
        <v>12.429523504045042</v>
      </c>
      <c r="T6" s="559">
        <f t="shared" si="4"/>
        <v>13.106116542130613</v>
      </c>
      <c r="U6" s="559">
        <f t="shared" si="4"/>
        <v>14.461281300009979</v>
      </c>
      <c r="V6" s="559">
        <f t="shared" si="4"/>
        <v>15.510582703055192</v>
      </c>
      <c r="W6" s="559">
        <f t="shared" si="4"/>
        <v>16.167738039497124</v>
      </c>
      <c r="X6" s="559">
        <f t="shared" si="4"/>
        <v>19.089023314742803</v>
      </c>
      <c r="Y6" s="559">
        <f t="shared" si="4"/>
        <v>20.392831914519157</v>
      </c>
      <c r="Z6" s="559">
        <f t="shared" si="4"/>
        <v>21.229817392890691</v>
      </c>
      <c r="AA6" s="2">
        <f>+IFERROR(RANK(B6,(B$6,B$15,B$22,B$26,B$27,B$28,B$33),0),"")</f>
        <v>2</v>
      </c>
      <c r="AB6" s="2">
        <f>+IFERROR(RANK(C6,(C$6,C$15,C$22,C$26,C$27,C$28,C$33),0),"")</f>
        <v>2</v>
      </c>
      <c r="AC6" s="2">
        <f>+IFERROR(RANK(D6,(D$6,D$15,D$22,D$26,D$27,D$28,D$33),0),"")</f>
        <v>2</v>
      </c>
      <c r="AD6" s="2">
        <f>+IFERROR(RANK(E6,(E$6,E$15,E$22,E$26,E$27,E$28,E$33),0),"")</f>
        <v>1</v>
      </c>
      <c r="AE6" s="2">
        <f>+IFERROR(RANK(F6,(F$6,F$15,F$22,F$26,F$27,F$28,F$33),0),"")</f>
        <v>1</v>
      </c>
      <c r="AF6" s="2">
        <f>+IFERROR(RANK(G6,(G$6,G$15,G$22,G$26,G$27,G$28,G$33),0),"")</f>
        <v>1</v>
      </c>
      <c r="AG6" s="2">
        <f>+IFERROR(RANK(H6,(H$6,H$15,H$22,H$26,H$27,H$28,H$33),0),"")</f>
        <v>1</v>
      </c>
      <c r="AH6" s="2">
        <f>+IFERROR(RANK(I6,(I$6,I$15,I$22,I$26,I$27,I$28,I$33),0),"")</f>
        <v>1</v>
      </c>
      <c r="AI6" s="2">
        <f>+IFERROR(RANK(J6,(J$6,J$15,J$22,J$26,J$27,J$28,J$33),0),"")</f>
        <v>1</v>
      </c>
      <c r="AJ6" s="2">
        <f>+IFERROR(RANK(K6,(K$6,K$15,K$22,K$26,K$27,K$28,K$33),0),"")</f>
        <v>1</v>
      </c>
      <c r="AK6" s="2">
        <f>+IFERROR(RANK(L6,(L$6,L$15,L$22,L$26,L$27,L$28,L$33),0),"")</f>
        <v>1</v>
      </c>
    </row>
    <row r="7" spans="1:40" ht="18" customHeight="1">
      <c r="A7" s="572" t="s">
        <v>497</v>
      </c>
      <c r="B7" s="646">
        <v>1088</v>
      </c>
      <c r="C7" s="646">
        <v>1608.9999999999998</v>
      </c>
      <c r="D7" s="646">
        <v>1354</v>
      </c>
      <c r="E7" s="646">
        <v>1615</v>
      </c>
      <c r="F7" s="646">
        <v>2561</v>
      </c>
      <c r="G7" s="646">
        <v>3496</v>
      </c>
      <c r="H7" s="646">
        <v>3547</v>
      </c>
      <c r="I7" s="646">
        <v>3582</v>
      </c>
      <c r="J7" s="646">
        <v>5474</v>
      </c>
      <c r="K7" s="646">
        <v>7583</v>
      </c>
      <c r="L7" s="646">
        <v>8918</v>
      </c>
      <c r="N7" s="559">
        <f t="shared" ref="N7:N31" si="5">+(L7/B7-1)*100</f>
        <v>719.6691176470589</v>
      </c>
      <c r="O7" s="419">
        <f t="shared" ref="O7:O31" si="6">+L7-B7</f>
        <v>7830</v>
      </c>
      <c r="P7" s="559">
        <f t="shared" ref="P7:P31" si="7">B7*100/B$5</f>
        <v>0.98558759319147438</v>
      </c>
      <c r="Q7" s="559">
        <f t="shared" ref="Q7:Q31" si="8">C7*100/C$5</f>
        <v>1.3869374455870573</v>
      </c>
      <c r="R7" s="559">
        <f t="shared" ref="R7:R31" si="9">D7*100/D$5</f>
        <v>1.0641642302492988</v>
      </c>
      <c r="S7" s="559">
        <f t="shared" ref="S7:S31" si="10">E7*100/E$5</f>
        <v>1.1511457999215935</v>
      </c>
      <c r="T7" s="559">
        <f t="shared" ref="T7:T31" si="11">F7*100/F$5</f>
        <v>1.5127440266989585</v>
      </c>
      <c r="U7" s="559">
        <f t="shared" ref="U7:U31" si="12">G7*100/G$5</f>
        <v>1.660153003803726</v>
      </c>
      <c r="V7" s="559">
        <f t="shared" ref="V7:V31" si="13">H7*100/H$5</f>
        <v>1.6288499777278773</v>
      </c>
      <c r="W7" s="559">
        <f t="shared" ref="W7:W31" si="14">I7*100/I$5</f>
        <v>1.5674571049741159</v>
      </c>
      <c r="X7" s="559">
        <f t="shared" ref="X7:X31" si="15">J7*100/J$5</f>
        <v>1.6998521867663672</v>
      </c>
      <c r="Y7" s="559">
        <f t="shared" ref="Y7:Y31" si="16">K7*100/K$5</f>
        <v>1.8281848581065283</v>
      </c>
      <c r="Z7" s="559">
        <f t="shared" ref="Z7:Z31" si="17">L7*100/L$5</f>
        <v>1.7493717915269826</v>
      </c>
      <c r="AA7" s="2" t="str">
        <f>+IFERROR(RANK(B7,(B$6,B$15,B$22,B$26,B$27,B$28,B$33),0),"")</f>
        <v/>
      </c>
      <c r="AB7" s="2" t="str">
        <f>+IFERROR(RANK(C7,(C$6,C$15,C$22,C$26,C$27,C$28,C$33),0),"")</f>
        <v/>
      </c>
      <c r="AC7" s="2" t="str">
        <f>+IFERROR(RANK(D7,(D$6,D$15,D$22,D$26,D$27,D$28,D$33),0),"")</f>
        <v/>
      </c>
      <c r="AD7" s="2" t="str">
        <f>+IFERROR(RANK(E7,(E$6,E$15,E$22,E$26,E$27,E$28,E$33),0),"")</f>
        <v/>
      </c>
      <c r="AE7" s="2" t="str">
        <f>+IFERROR(RANK(F7,(F$6,F$15,F$22,F$26,F$27,F$28,F$33),0),"")</f>
        <v/>
      </c>
      <c r="AF7" s="2" t="str">
        <f>+IFERROR(RANK(G7,(G$6,G$15,G$22,G$26,G$27,G$28,G$33),0),"")</f>
        <v/>
      </c>
      <c r="AG7" s="2" t="str">
        <f>+IFERROR(RANK(H7,(H$6,H$15,H$22,H$26,H$27,H$28,H$33),0),"")</f>
        <v/>
      </c>
      <c r="AH7" s="2" t="str">
        <f>+IFERROR(RANK(I7,(I$6,I$15,I$22,I$26,I$27,I$28,I$33),0),"")</f>
        <v/>
      </c>
      <c r="AI7" s="2" t="str">
        <f>+IFERROR(RANK(J7,(J$6,J$15,J$22,J$26,J$27,J$28,J$33),0),"")</f>
        <v/>
      </c>
      <c r="AJ7" s="2" t="str">
        <f>+IFERROR(RANK(K7,(K$6,K$15,K$22,K$26,K$27,K$28,K$33),0),"")</f>
        <v/>
      </c>
      <c r="AK7" s="2" t="str">
        <f>+IFERROR(RANK(L7,(L$6,L$15,L$22,L$26,L$27,L$28,L$33),0),"")</f>
        <v/>
      </c>
    </row>
    <row r="8" spans="1:40" ht="18" customHeight="1">
      <c r="A8" s="572" t="s">
        <v>498</v>
      </c>
      <c r="B8" s="646">
        <v>1381</v>
      </c>
      <c r="C8" s="646">
        <v>1422.0000000000002</v>
      </c>
      <c r="D8" s="646">
        <v>1647</v>
      </c>
      <c r="E8" s="646">
        <v>1866.9999999999998</v>
      </c>
      <c r="F8" s="646">
        <v>2866</v>
      </c>
      <c r="G8" s="646">
        <v>4608</v>
      </c>
      <c r="H8" s="646">
        <v>5097</v>
      </c>
      <c r="I8" s="646">
        <v>5669</v>
      </c>
      <c r="J8" s="646">
        <v>9567</v>
      </c>
      <c r="K8" s="646">
        <v>13702.999999999998</v>
      </c>
      <c r="L8" s="646">
        <v>16614.999999999996</v>
      </c>
      <c r="N8" s="559">
        <f t="shared" si="5"/>
        <v>1103.1136857349743</v>
      </c>
      <c r="O8" s="419">
        <f t="shared" si="6"/>
        <v>15233.999999999996</v>
      </c>
      <c r="P8" s="559">
        <f t="shared" si="7"/>
        <v>1.2510077814314577</v>
      </c>
      <c r="Q8" s="559">
        <f t="shared" si="8"/>
        <v>1.2257458344467349</v>
      </c>
      <c r="R8" s="559">
        <f t="shared" si="9"/>
        <v>1.2944449684051664</v>
      </c>
      <c r="S8" s="559">
        <f t="shared" si="10"/>
        <v>1.3307673117359844</v>
      </c>
      <c r="T8" s="559">
        <f t="shared" si="11"/>
        <v>1.6929029209368274</v>
      </c>
      <c r="U8" s="559">
        <f t="shared" si="12"/>
        <v>2.1882108242355747</v>
      </c>
      <c r="V8" s="559">
        <f t="shared" si="13"/>
        <v>2.3406395084519285</v>
      </c>
      <c r="W8" s="559">
        <f t="shared" si="14"/>
        <v>2.4807131010882926</v>
      </c>
      <c r="X8" s="559">
        <f t="shared" si="15"/>
        <v>2.9708596767982893</v>
      </c>
      <c r="Y8" s="559">
        <f t="shared" si="16"/>
        <v>3.3036551642666163</v>
      </c>
      <c r="Z8" s="559">
        <f t="shared" si="17"/>
        <v>3.2592299076273612</v>
      </c>
      <c r="AA8" s="2" t="str">
        <f>+IFERROR(RANK(B8,(B$6,B$15,B$22,B$26,B$27,B$28,B$33),0),"")</f>
        <v/>
      </c>
      <c r="AB8" s="2" t="str">
        <f>+IFERROR(RANK(C8,(C$6,C$15,C$22,C$26,C$27,C$28,C$33),0),"")</f>
        <v/>
      </c>
      <c r="AC8" s="2" t="str">
        <f>+IFERROR(RANK(D8,(D$6,D$15,D$22,D$26,D$27,D$28,D$33),0),"")</f>
        <v/>
      </c>
      <c r="AD8" s="2" t="str">
        <f>+IFERROR(RANK(E8,(E$6,E$15,E$22,E$26,E$27,E$28,E$33),0),"")</f>
        <v/>
      </c>
      <c r="AE8" s="2" t="str">
        <f>+IFERROR(RANK(F8,(F$6,F$15,F$22,F$26,F$27,F$28,F$33),0),"")</f>
        <v/>
      </c>
      <c r="AF8" s="2" t="str">
        <f>+IFERROR(RANK(G8,(G$6,G$15,G$22,G$26,G$27,G$28,G$33),0),"")</f>
        <v/>
      </c>
      <c r="AG8" s="2" t="str">
        <f>+IFERROR(RANK(H8,(H$6,H$15,H$22,H$26,H$27,H$28,H$33),0),"")</f>
        <v/>
      </c>
      <c r="AH8" s="2" t="str">
        <f>+IFERROR(RANK(I8,(I$6,I$15,I$22,I$26,I$27,I$28,I$33),0),"")</f>
        <v/>
      </c>
      <c r="AI8" s="2" t="str">
        <f>+IFERROR(RANK(J8,(J$6,J$15,J$22,J$26,J$27,J$28,J$33),0),"")</f>
        <v/>
      </c>
      <c r="AJ8" s="2" t="str">
        <f>+IFERROR(RANK(K8,(K$6,K$15,K$22,K$26,K$27,K$28,K$33),0),"")</f>
        <v/>
      </c>
      <c r="AK8" s="2" t="str">
        <f>+IFERROR(RANK(L8,(L$6,L$15,L$22,L$26,L$27,L$28,L$33),0),"")</f>
        <v/>
      </c>
    </row>
    <row r="9" spans="1:40" ht="18" customHeight="1">
      <c r="A9" s="572" t="s">
        <v>499</v>
      </c>
      <c r="B9" s="646">
        <v>943.00000000000011</v>
      </c>
      <c r="C9" s="646">
        <v>1095</v>
      </c>
      <c r="D9" s="646">
        <v>1094</v>
      </c>
      <c r="E9" s="646">
        <v>1174</v>
      </c>
      <c r="F9" s="646">
        <v>1883</v>
      </c>
      <c r="G9" s="646">
        <v>2227</v>
      </c>
      <c r="H9" s="646">
        <v>2560</v>
      </c>
      <c r="I9" s="646">
        <v>2869.9999999999995</v>
      </c>
      <c r="J9" s="646">
        <v>5019</v>
      </c>
      <c r="K9" s="646">
        <v>6545.0000000000009</v>
      </c>
      <c r="L9" s="646">
        <v>8530</v>
      </c>
      <c r="N9" s="559">
        <f t="shared" si="5"/>
        <v>804.55991516436893</v>
      </c>
      <c r="O9" s="419">
        <f t="shared" si="6"/>
        <v>7587</v>
      </c>
      <c r="P9" s="559">
        <f t="shared" si="7"/>
        <v>0.85423630549591956</v>
      </c>
      <c r="Q9" s="559">
        <f t="shared" si="8"/>
        <v>0.94387601175750657</v>
      </c>
      <c r="R9" s="559">
        <f t="shared" si="9"/>
        <v>0.85981954792668613</v>
      </c>
      <c r="S9" s="559">
        <f t="shared" si="10"/>
        <v>0.8368081542464092</v>
      </c>
      <c r="T9" s="559">
        <f t="shared" si="11"/>
        <v>1.112259665081663</v>
      </c>
      <c r="U9" s="559">
        <f t="shared" si="12"/>
        <v>1.057540257285726</v>
      </c>
      <c r="V9" s="559">
        <f t="shared" si="13"/>
        <v>1.1756007733248846</v>
      </c>
      <c r="W9" s="559">
        <f t="shared" si="14"/>
        <v>1.255891091925101</v>
      </c>
      <c r="X9" s="559">
        <f t="shared" si="15"/>
        <v>1.5585601252065029</v>
      </c>
      <c r="Y9" s="559">
        <f t="shared" si="16"/>
        <v>1.5779335218656507</v>
      </c>
      <c r="Z9" s="559">
        <f t="shared" si="17"/>
        <v>1.6732609757485044</v>
      </c>
      <c r="AA9" s="2" t="str">
        <f>+IFERROR(RANK(B9,(B$6,B$15,B$22,B$26,B$27,B$28,B$33),0),"")</f>
        <v/>
      </c>
      <c r="AB9" s="2" t="str">
        <f>+IFERROR(RANK(C9,(C$6,C$15,C$22,C$26,C$27,C$28,C$33),0),"")</f>
        <v/>
      </c>
      <c r="AC9" s="2" t="str">
        <f>+IFERROR(RANK(D9,(D$6,D$15,D$22,D$26,D$27,D$28,D$33),0),"")</f>
        <v/>
      </c>
      <c r="AD9" s="2" t="str">
        <f>+IFERROR(RANK(E9,(E$6,E$15,E$22,E$26,E$27,E$28,E$33),0),"")</f>
        <v/>
      </c>
      <c r="AE9" s="2" t="str">
        <f>+IFERROR(RANK(F9,(F$6,F$15,F$22,F$26,F$27,F$28,F$33),0),"")</f>
        <v/>
      </c>
      <c r="AF9" s="2" t="str">
        <f>+IFERROR(RANK(G9,(G$6,G$15,G$22,G$26,G$27,G$28,G$33),0),"")</f>
        <v/>
      </c>
      <c r="AG9" s="2" t="str">
        <f>+IFERROR(RANK(H9,(H$6,H$15,H$22,H$26,H$27,H$28,H$33),0),"")</f>
        <v/>
      </c>
      <c r="AH9" s="2" t="str">
        <f>+IFERROR(RANK(I9,(I$6,I$15,I$22,I$26,I$27,I$28,I$33),0),"")</f>
        <v/>
      </c>
      <c r="AI9" s="2" t="str">
        <f>+IFERROR(RANK(J9,(J$6,J$15,J$22,J$26,J$27,J$28,J$33),0),"")</f>
        <v/>
      </c>
      <c r="AJ9" s="2" t="str">
        <f>+IFERROR(RANK(K9,(K$6,K$15,K$22,K$26,K$27,K$28,K$33),0),"")</f>
        <v/>
      </c>
      <c r="AK9" s="2" t="str">
        <f>+IFERROR(RANK(L9,(L$6,L$15,L$22,L$26,L$27,L$28,L$33),0),"")</f>
        <v/>
      </c>
    </row>
    <row r="10" spans="1:40" ht="18" customHeight="1">
      <c r="A10" s="572" t="s">
        <v>500</v>
      </c>
      <c r="B10" s="646">
        <v>7776</v>
      </c>
      <c r="C10" s="646">
        <v>8118.0000000000009</v>
      </c>
      <c r="D10" s="646">
        <v>8429</v>
      </c>
      <c r="E10" s="646">
        <v>10923.000000000002</v>
      </c>
      <c r="F10" s="646">
        <v>12670</v>
      </c>
      <c r="G10" s="646">
        <v>17064</v>
      </c>
      <c r="H10" s="646">
        <v>18965</v>
      </c>
      <c r="I10" s="646">
        <v>20521</v>
      </c>
      <c r="J10" s="646">
        <v>34651.999999999993</v>
      </c>
      <c r="K10" s="646">
        <v>46134</v>
      </c>
      <c r="L10" s="646">
        <v>59436</v>
      </c>
      <c r="N10" s="559">
        <f t="shared" si="5"/>
        <v>664.35185185185185</v>
      </c>
      <c r="O10" s="419">
        <f t="shared" si="6"/>
        <v>51660</v>
      </c>
      <c r="P10" s="559">
        <f t="shared" si="7"/>
        <v>7.0440525042802431</v>
      </c>
      <c r="Q10" s="559">
        <f t="shared" si="8"/>
        <v>6.9976122953857898</v>
      </c>
      <c r="R10" s="559">
        <f t="shared" si="9"/>
        <v>6.6246974126819351</v>
      </c>
      <c r="S10" s="559">
        <f t="shared" si="10"/>
        <v>7.7857371966214046</v>
      </c>
      <c r="T10" s="559">
        <f t="shared" si="11"/>
        <v>7.483977672110818</v>
      </c>
      <c r="U10" s="559">
        <f t="shared" si="12"/>
        <v>8.1032182084973634</v>
      </c>
      <c r="V10" s="559">
        <f t="shared" si="13"/>
        <v>8.7090893226978263</v>
      </c>
      <c r="W10" s="559">
        <f t="shared" si="14"/>
        <v>8.9798401036219531</v>
      </c>
      <c r="X10" s="559">
        <f t="shared" si="15"/>
        <v>10.760554982796519</v>
      </c>
      <c r="Y10" s="559">
        <f t="shared" si="16"/>
        <v>11.122442337318551</v>
      </c>
      <c r="Z10" s="559">
        <f t="shared" si="17"/>
        <v>11.659078470643388</v>
      </c>
      <c r="AA10" s="2" t="str">
        <f>+IFERROR(RANK(B10,(B$6,B$15,B$22,B$26,B$27,B$28,B$33),0),"")</f>
        <v/>
      </c>
      <c r="AB10" s="2" t="str">
        <f>+IFERROR(RANK(C10,(C$6,C$15,C$22,C$26,C$27,C$28,C$33),0),"")</f>
        <v/>
      </c>
      <c r="AC10" s="2" t="str">
        <f>+IFERROR(RANK(D10,(D$6,D$15,D$22,D$26,D$27,D$28,D$33),0),"")</f>
        <v/>
      </c>
      <c r="AD10" s="2" t="str">
        <f>+IFERROR(RANK(E10,(E$6,E$15,E$22,E$26,E$27,E$28,E$33),0),"")</f>
        <v/>
      </c>
      <c r="AE10" s="2" t="str">
        <f>+IFERROR(RANK(F10,(F$6,F$15,F$22,F$26,F$27,F$28,F$33),0),"")</f>
        <v/>
      </c>
      <c r="AF10" s="2" t="str">
        <f>+IFERROR(RANK(G10,(G$6,G$15,G$22,G$26,G$27,G$28,G$33),0),"")</f>
        <v/>
      </c>
      <c r="AG10" s="2" t="str">
        <f>+IFERROR(RANK(H10,(H$6,H$15,H$22,H$26,H$27,H$28,H$33),0),"")</f>
        <v/>
      </c>
      <c r="AH10" s="2" t="str">
        <f>+IFERROR(RANK(I10,(I$6,I$15,I$22,I$26,I$27,I$28,I$33),0),"")</f>
        <v/>
      </c>
      <c r="AI10" s="2" t="str">
        <f>+IFERROR(RANK(J10,(J$6,J$15,J$22,J$26,J$27,J$28,J$33),0),"")</f>
        <v/>
      </c>
      <c r="AJ10" s="2" t="str">
        <f>+IFERROR(RANK(K10,(K$6,K$15,K$22,K$26,K$27,K$28,K$33),0),"")</f>
        <v/>
      </c>
      <c r="AK10" s="2" t="str">
        <f>+IFERROR(RANK(L10,(L$6,L$15,L$22,L$26,L$27,L$28,L$33),0),"")</f>
        <v/>
      </c>
    </row>
    <row r="11" spans="1:40" ht="18" customHeight="1">
      <c r="A11" s="572" t="s">
        <v>771</v>
      </c>
      <c r="B11" s="646">
        <v>205.00000000000003</v>
      </c>
      <c r="C11" s="646">
        <v>180</v>
      </c>
      <c r="D11" s="646">
        <v>191</v>
      </c>
      <c r="E11" s="646">
        <v>227</v>
      </c>
      <c r="F11" s="646">
        <v>308</v>
      </c>
      <c r="G11" s="646">
        <v>333</v>
      </c>
      <c r="H11" s="646">
        <v>409</v>
      </c>
      <c r="I11" s="646">
        <v>364</v>
      </c>
      <c r="J11" s="646">
        <v>513</v>
      </c>
      <c r="K11" s="646">
        <v>689</v>
      </c>
      <c r="L11" s="646">
        <v>1000.9999999999999</v>
      </c>
      <c r="N11" s="559">
        <f t="shared" si="5"/>
        <v>388.29268292682917</v>
      </c>
      <c r="O11" s="419">
        <f t="shared" si="6"/>
        <v>795.99999999999989</v>
      </c>
      <c r="P11" s="559">
        <f t="shared" si="7"/>
        <v>0.18570354467302599</v>
      </c>
      <c r="Q11" s="559">
        <f t="shared" si="8"/>
        <v>0.15515770056287778</v>
      </c>
      <c r="R11" s="559">
        <f t="shared" si="9"/>
        <v>0.15011474739853478</v>
      </c>
      <c r="S11" s="559">
        <f t="shared" si="10"/>
        <v>0.16180191738836019</v>
      </c>
      <c r="T11" s="559">
        <f t="shared" si="11"/>
        <v>0.1819309489352906</v>
      </c>
      <c r="U11" s="559">
        <f t="shared" si="12"/>
        <v>0.15813242284514897</v>
      </c>
      <c r="V11" s="559">
        <f t="shared" si="13"/>
        <v>0.18782059230073353</v>
      </c>
      <c r="W11" s="559">
        <f t="shared" si="14"/>
        <v>0.1592837482441592</v>
      </c>
      <c r="X11" s="559">
        <f t="shared" si="15"/>
        <v>0.15930291775870412</v>
      </c>
      <c r="Y11" s="559">
        <f t="shared" si="16"/>
        <v>0.16611095440266357</v>
      </c>
      <c r="Z11" s="559">
        <f t="shared" si="17"/>
        <v>0.19635805823262048</v>
      </c>
      <c r="AA11" s="2" t="str">
        <f>+IFERROR(RANK(B11,(B$6,B$15,B$22,B$26,B$27,B$28,B$33),0),"")</f>
        <v/>
      </c>
      <c r="AB11" s="2" t="str">
        <f>+IFERROR(RANK(C11,(C$6,C$15,C$22,C$26,C$27,C$28,C$33),0),"")</f>
        <v/>
      </c>
      <c r="AC11" s="2" t="str">
        <f>+IFERROR(RANK(D11,(D$6,D$15,D$22,D$26,D$27,D$28,D$33),0),"")</f>
        <v/>
      </c>
      <c r="AD11" s="2" t="str">
        <f>+IFERROR(RANK(E11,(E$6,E$15,E$22,E$26,E$27,E$28,E$33),0),"")</f>
        <v/>
      </c>
      <c r="AE11" s="2" t="str">
        <f>+IFERROR(RANK(F11,(F$6,F$15,F$22,F$26,F$27,F$28,F$33),0),"")</f>
        <v/>
      </c>
      <c r="AF11" s="2" t="str">
        <f>+IFERROR(RANK(G11,(G$6,G$15,G$22,G$26,G$27,G$28,G$33),0),"")</f>
        <v/>
      </c>
      <c r="AG11" s="2" t="str">
        <f>+IFERROR(RANK(H11,(H$6,H$15,H$22,H$26,H$27,H$28,H$33),0),"")</f>
        <v/>
      </c>
      <c r="AH11" s="2" t="str">
        <f>+IFERROR(RANK(I11,(I$6,I$15,I$22,I$26,I$27,I$28,I$33),0),"")</f>
        <v/>
      </c>
      <c r="AI11" s="2" t="str">
        <f>+IFERROR(RANK(J11,(J$6,J$15,J$22,J$26,J$27,J$28,J$33),0),"")</f>
        <v/>
      </c>
      <c r="AJ11" s="2" t="str">
        <f>+IFERROR(RANK(K11,(K$6,K$15,K$22,K$26,K$27,K$28,K$33),0),"")</f>
        <v/>
      </c>
      <c r="AK11" s="2" t="str">
        <f>+IFERROR(RANK(L11,(L$6,L$15,L$22,L$26,L$27,L$28,L$33),0),"")</f>
        <v/>
      </c>
    </row>
    <row r="12" spans="1:40" ht="18" customHeight="1">
      <c r="A12" s="572" t="s">
        <v>502</v>
      </c>
      <c r="B12" s="646">
        <v>533</v>
      </c>
      <c r="C12" s="646">
        <v>570</v>
      </c>
      <c r="D12" s="646">
        <v>565.99999999999989</v>
      </c>
      <c r="E12" s="646">
        <v>668.99999999999989</v>
      </c>
      <c r="F12" s="646">
        <v>887</v>
      </c>
      <c r="G12" s="646">
        <v>1470</v>
      </c>
      <c r="H12" s="646">
        <v>1959</v>
      </c>
      <c r="I12" s="646">
        <v>2510</v>
      </c>
      <c r="J12" s="646">
        <v>4305</v>
      </c>
      <c r="K12" s="646">
        <v>6611</v>
      </c>
      <c r="L12" s="646">
        <v>8817</v>
      </c>
      <c r="N12" s="559">
        <f t="shared" si="5"/>
        <v>1554.2213883677298</v>
      </c>
      <c r="O12" s="419">
        <f t="shared" si="6"/>
        <v>8284</v>
      </c>
      <c r="P12" s="559">
        <f t="shared" si="7"/>
        <v>0.48282921614986746</v>
      </c>
      <c r="Q12" s="559">
        <f t="shared" si="8"/>
        <v>0.49133271844911303</v>
      </c>
      <c r="R12" s="559">
        <f t="shared" si="9"/>
        <v>0.44484265459461081</v>
      </c>
      <c r="S12" s="559">
        <f t="shared" si="10"/>
        <v>0.47685234684058569</v>
      </c>
      <c r="T12" s="559">
        <f t="shared" si="11"/>
        <v>0.52393750553767127</v>
      </c>
      <c r="U12" s="559">
        <f t="shared" si="12"/>
        <v>0.69806204679390083</v>
      </c>
      <c r="V12" s="559">
        <f t="shared" si="13"/>
        <v>0.89961012302478482</v>
      </c>
      <c r="W12" s="559">
        <f t="shared" si="14"/>
        <v>1.0983577145407681</v>
      </c>
      <c r="X12" s="559">
        <f t="shared" si="15"/>
        <v>1.3368402747587158</v>
      </c>
      <c r="Y12" s="559">
        <f t="shared" si="16"/>
        <v>1.5938454565399258</v>
      </c>
      <c r="Z12" s="559">
        <f t="shared" si="17"/>
        <v>1.729559439997018</v>
      </c>
      <c r="AA12" s="2" t="str">
        <f>+IFERROR(RANK(B12,(B$6,B$15,B$22,B$26,B$27,B$28,B$33),0),"")</f>
        <v/>
      </c>
      <c r="AB12" s="2" t="str">
        <f>+IFERROR(RANK(C12,(C$6,C$15,C$22,C$26,C$27,C$28,C$33),0),"")</f>
        <v/>
      </c>
      <c r="AC12" s="2" t="str">
        <f>+IFERROR(RANK(D12,(D$6,D$15,D$22,D$26,D$27,D$28,D$33),0),"")</f>
        <v/>
      </c>
      <c r="AD12" s="2" t="str">
        <f>+IFERROR(RANK(E12,(E$6,E$15,E$22,E$26,E$27,E$28,E$33),0),"")</f>
        <v/>
      </c>
      <c r="AE12" s="2" t="str">
        <f>+IFERROR(RANK(F12,(F$6,F$15,F$22,F$26,F$27,F$28,F$33),0),"")</f>
        <v/>
      </c>
      <c r="AF12" s="2" t="str">
        <f>+IFERROR(RANK(G12,(G$6,G$15,G$22,G$26,G$27,G$28,G$33),0),"")</f>
        <v/>
      </c>
      <c r="AG12" s="2" t="str">
        <f>+IFERROR(RANK(H12,(H$6,H$15,H$22,H$26,H$27,H$28,H$33),0),"")</f>
        <v/>
      </c>
      <c r="AH12" s="2" t="str">
        <f>+IFERROR(RANK(I12,(I$6,I$15,I$22,I$26,I$27,I$28,I$33),0),"")</f>
        <v/>
      </c>
      <c r="AI12" s="2" t="str">
        <f>+IFERROR(RANK(J12,(J$6,J$15,J$22,J$26,J$27,J$28,J$33),0),"")</f>
        <v/>
      </c>
      <c r="AJ12" s="2" t="str">
        <f>+IFERROR(RANK(K12,(K$6,K$15,K$22,K$26,K$27,K$28,K$33),0),"")</f>
        <v/>
      </c>
      <c r="AK12" s="2" t="str">
        <f>+IFERROR(RANK(L12,(L$6,L$15,L$22,L$26,L$27,L$28,L$33),0),"")</f>
        <v/>
      </c>
    </row>
    <row r="13" spans="1:40" ht="18" customHeight="1">
      <c r="A13" s="572" t="s">
        <v>503</v>
      </c>
      <c r="B13" s="646">
        <v>531</v>
      </c>
      <c r="C13" s="646">
        <v>563</v>
      </c>
      <c r="D13" s="646">
        <v>506</v>
      </c>
      <c r="E13" s="646">
        <v>488.99999999999994</v>
      </c>
      <c r="F13" s="646">
        <v>566</v>
      </c>
      <c r="G13" s="646">
        <v>690</v>
      </c>
      <c r="H13" s="646">
        <v>673.99999999999989</v>
      </c>
      <c r="I13" s="646">
        <v>865</v>
      </c>
      <c r="J13" s="646">
        <v>1199</v>
      </c>
      <c r="K13" s="646">
        <v>2246.9999999999995</v>
      </c>
      <c r="L13" s="646">
        <v>3321.0000000000005</v>
      </c>
      <c r="N13" s="559">
        <f t="shared" si="5"/>
        <v>525.42372881355948</v>
      </c>
      <c r="O13" s="419">
        <f t="shared" si="6"/>
        <v>2790.0000000000005</v>
      </c>
      <c r="P13" s="559">
        <f t="shared" si="7"/>
        <v>0.48101747425061847</v>
      </c>
      <c r="Q13" s="559">
        <f t="shared" si="8"/>
        <v>0.48529880787166779</v>
      </c>
      <c r="R13" s="559">
        <f t="shared" si="9"/>
        <v>0.39768618944323875</v>
      </c>
      <c r="S13" s="559">
        <f t="shared" si="10"/>
        <v>0.34855126697316358</v>
      </c>
      <c r="T13" s="559">
        <f t="shared" si="11"/>
        <v>0.33432765291355349</v>
      </c>
      <c r="U13" s="559">
        <f t="shared" si="12"/>
        <v>0.32766177706652488</v>
      </c>
      <c r="V13" s="559">
        <f t="shared" si="13"/>
        <v>0.30951364110194224</v>
      </c>
      <c r="W13" s="559">
        <f t="shared" si="14"/>
        <v>0.37851769843735633</v>
      </c>
      <c r="X13" s="559">
        <f t="shared" si="15"/>
        <v>0.3723278721104995</v>
      </c>
      <c r="Y13" s="559">
        <f t="shared" si="16"/>
        <v>0.54172904868328731</v>
      </c>
      <c r="Z13" s="559">
        <f t="shared" si="17"/>
        <v>0.65145365773279995</v>
      </c>
      <c r="AA13" s="2" t="str">
        <f>+IFERROR(RANK(B13,(B$6,B$15,B$22,B$26,B$27,B$28,B$33),0),"")</f>
        <v/>
      </c>
      <c r="AB13" s="2" t="str">
        <f>+IFERROR(RANK(C13,(C$6,C$15,C$22,C$26,C$27,C$28,C$33),0),"")</f>
        <v/>
      </c>
      <c r="AC13" s="2" t="str">
        <f>+IFERROR(RANK(D13,(D$6,D$15,D$22,D$26,D$27,D$28,D$33),0),"")</f>
        <v/>
      </c>
      <c r="AD13" s="2" t="str">
        <f>+IFERROR(RANK(E13,(E$6,E$15,E$22,E$26,E$27,E$28,E$33),0),"")</f>
        <v/>
      </c>
      <c r="AE13" s="2" t="str">
        <f>+IFERROR(RANK(F13,(F$6,F$15,F$22,F$26,F$27,F$28,F$33),0),"")</f>
        <v/>
      </c>
      <c r="AF13" s="2" t="str">
        <f>+IFERROR(RANK(G13,(G$6,G$15,G$22,G$26,G$27,G$28,G$33),0),"")</f>
        <v/>
      </c>
      <c r="AG13" s="2" t="str">
        <f>+IFERROR(RANK(H13,(H$6,H$15,H$22,H$26,H$27,H$28,H$33),0),"")</f>
        <v/>
      </c>
      <c r="AH13" s="2" t="str">
        <f>+IFERROR(RANK(I13,(I$6,I$15,I$22,I$26,I$27,I$28,I$33),0),"")</f>
        <v/>
      </c>
      <c r="AI13" s="2" t="str">
        <f>+IFERROR(RANK(J13,(J$6,J$15,J$22,J$26,J$27,J$28,J$33),0),"")</f>
        <v/>
      </c>
      <c r="AJ13" s="2" t="str">
        <f>+IFERROR(RANK(K13,(K$6,K$15,K$22,K$26,K$27,K$28,K$33),0),"")</f>
        <v/>
      </c>
      <c r="AK13" s="2" t="str">
        <f>+IFERROR(RANK(L13,(L$6,L$15,L$22,L$26,L$27,L$28,L$33),0),"")</f>
        <v/>
      </c>
    </row>
    <row r="14" spans="1:40" ht="18" customHeight="1">
      <c r="A14" s="572" t="s">
        <v>504</v>
      </c>
      <c r="B14" s="646">
        <v>444.99999999999994</v>
      </c>
      <c r="C14" s="646">
        <v>476.00000000000006</v>
      </c>
      <c r="D14" s="646">
        <v>451</v>
      </c>
      <c r="E14" s="646">
        <v>474</v>
      </c>
      <c r="F14" s="646">
        <v>447.00000000000006</v>
      </c>
      <c r="G14" s="646">
        <v>565</v>
      </c>
      <c r="H14" s="646">
        <v>565</v>
      </c>
      <c r="I14" s="646">
        <v>566</v>
      </c>
      <c r="J14" s="646">
        <v>743</v>
      </c>
      <c r="K14" s="646">
        <v>1073.9999999999998</v>
      </c>
      <c r="L14" s="646">
        <v>1588</v>
      </c>
      <c r="N14" s="559">
        <f t="shared" si="5"/>
        <v>256.85393258426973</v>
      </c>
      <c r="O14" s="419">
        <f t="shared" si="6"/>
        <v>1143</v>
      </c>
      <c r="P14" s="559">
        <f t="shared" si="7"/>
        <v>0.40311257258290994</v>
      </c>
      <c r="Q14" s="559">
        <f t="shared" si="8"/>
        <v>0.41030591926627691</v>
      </c>
      <c r="R14" s="559">
        <f t="shared" si="9"/>
        <v>0.35445942972114758</v>
      </c>
      <c r="S14" s="559">
        <f t="shared" si="10"/>
        <v>0.33785951031754508</v>
      </c>
      <c r="T14" s="559">
        <f t="shared" si="11"/>
        <v>0.26403614991582763</v>
      </c>
      <c r="U14" s="559">
        <f t="shared" si="12"/>
        <v>0.26830275948200949</v>
      </c>
      <c r="V14" s="559">
        <f t="shared" si="13"/>
        <v>0.2594587644252187</v>
      </c>
      <c r="W14" s="559">
        <f t="shared" si="14"/>
        <v>0.24767747666536841</v>
      </c>
      <c r="X14" s="559">
        <f t="shared" si="15"/>
        <v>0.23072527854720695</v>
      </c>
      <c r="Y14" s="559">
        <f t="shared" si="16"/>
        <v>0.25893057333593705</v>
      </c>
      <c r="Z14" s="559">
        <f t="shared" si="17"/>
        <v>0.31150509138201932</v>
      </c>
      <c r="AA14" s="2" t="str">
        <f>+IFERROR(RANK(B14,(B$6,B$15,B$22,B$26,B$27,B$28,B$33),0),"")</f>
        <v/>
      </c>
      <c r="AB14" s="2" t="str">
        <f>+IFERROR(RANK(C14,(C$6,C$15,C$22,C$26,C$27,C$28,C$33),0),"")</f>
        <v/>
      </c>
      <c r="AC14" s="2" t="str">
        <f>+IFERROR(RANK(D14,(D$6,D$15,D$22,D$26,D$27,D$28,D$33),0),"")</f>
        <v/>
      </c>
      <c r="AD14" s="2" t="str">
        <f>+IFERROR(RANK(E14,(E$6,E$15,E$22,E$26,E$27,E$28,E$33),0),"")</f>
        <v/>
      </c>
      <c r="AE14" s="2" t="str">
        <f>+IFERROR(RANK(F14,(F$6,F$15,F$22,F$26,F$27,F$28,F$33),0),"")</f>
        <v/>
      </c>
      <c r="AF14" s="2" t="str">
        <f>+IFERROR(RANK(G14,(G$6,G$15,G$22,G$26,G$27,G$28,G$33),0),"")</f>
        <v/>
      </c>
      <c r="AG14" s="2" t="str">
        <f>+IFERROR(RANK(H14,(H$6,H$15,H$22,H$26,H$27,H$28,H$33),0),"")</f>
        <v/>
      </c>
      <c r="AH14" s="2" t="str">
        <f>+IFERROR(RANK(I14,(I$6,I$15,I$22,I$26,I$27,I$28,I$33),0),"")</f>
        <v/>
      </c>
      <c r="AI14" s="2" t="str">
        <f>+IFERROR(RANK(J14,(J$6,J$15,J$22,J$26,J$27,J$28,J$33),0),"")</f>
        <v/>
      </c>
      <c r="AJ14" s="2" t="str">
        <f>+IFERROR(RANK(K14,(K$6,K$15,K$22,K$26,K$27,K$28,K$33),0),"")</f>
        <v/>
      </c>
      <c r="AK14" s="2" t="str">
        <f>+IFERROR(RANK(L14,(L$6,L$15,L$22,L$26,L$27,L$28,L$33),0),"")</f>
        <v/>
      </c>
    </row>
    <row r="15" spans="1:40" ht="20.100000000000001" customHeight="1">
      <c r="A15" s="15" t="s">
        <v>505</v>
      </c>
      <c r="B15" s="328">
        <v>14897.000000000004</v>
      </c>
      <c r="C15" s="328">
        <v>15310.000000000002</v>
      </c>
      <c r="D15" s="328">
        <v>15820.999999999995</v>
      </c>
      <c r="E15" s="328">
        <v>17223.999999999993</v>
      </c>
      <c r="F15" s="328">
        <v>21954.000000000004</v>
      </c>
      <c r="G15" s="328">
        <v>28333.999999999996</v>
      </c>
      <c r="H15" s="328">
        <v>30860.999999999996</v>
      </c>
      <c r="I15" s="328">
        <v>32802.000000000007</v>
      </c>
      <c r="J15" s="328">
        <v>49164.000000000022</v>
      </c>
      <c r="K15" s="328">
        <v>67685.000000000015</v>
      </c>
      <c r="L15" s="328">
        <v>82788.000000000015</v>
      </c>
      <c r="N15" s="559">
        <f t="shared" si="5"/>
        <v>455.73605423910851</v>
      </c>
      <c r="O15" s="419">
        <f t="shared" si="6"/>
        <v>67891.000000000015</v>
      </c>
      <c r="P15" s="559">
        <f t="shared" si="7"/>
        <v>13.494759536556431</v>
      </c>
      <c r="Q15" s="559">
        <f t="shared" si="8"/>
        <v>13.197024420098108</v>
      </c>
      <c r="R15" s="559">
        <f t="shared" si="9"/>
        <v>12.434373919330985</v>
      </c>
      <c r="S15" s="559">
        <f t="shared" si="10"/>
        <v>12.276987775758217</v>
      </c>
      <c r="T15" s="559">
        <f t="shared" si="11"/>
        <v>12.967896275731723</v>
      </c>
      <c r="U15" s="559">
        <f t="shared" si="12"/>
        <v>13.455027233917267</v>
      </c>
      <c r="V15" s="559">
        <f t="shared" si="13"/>
        <v>14.171959166241898</v>
      </c>
      <c r="W15" s="559">
        <f t="shared" si="14"/>
        <v>14.353916236002503</v>
      </c>
      <c r="X15" s="559">
        <f t="shared" si="15"/>
        <v>15.266995416547626</v>
      </c>
      <c r="Y15" s="559">
        <f t="shared" si="16"/>
        <v>16.31817118830811</v>
      </c>
      <c r="Z15" s="559">
        <f t="shared" si="17"/>
        <v>16.2398510738883</v>
      </c>
      <c r="AA15" s="2">
        <f>+IFERROR(RANK(B15,(B$6,B$15,B$22,B$26,B$27,B$28,B$33),0),"")</f>
        <v>1</v>
      </c>
      <c r="AB15" s="2">
        <f>+IFERROR(RANK(C15,(C$6,C$15,C$22,C$26,C$27,C$28,C$33),0),"")</f>
        <v>1</v>
      </c>
      <c r="AC15" s="2">
        <f>+IFERROR(RANK(D15,(D$6,D$15,D$22,D$26,D$27,D$28,D$33),0),"")</f>
        <v>1</v>
      </c>
      <c r="AD15" s="2">
        <f>+IFERROR(RANK(E15,(E$6,E$15,E$22,E$26,E$27,E$28,E$33),0),"")</f>
        <v>2</v>
      </c>
      <c r="AE15" s="2">
        <f>+IFERROR(RANK(F15,(F$6,F$15,F$22,F$26,F$27,F$28,F$33),0),"")</f>
        <v>2</v>
      </c>
      <c r="AF15" s="2">
        <f>+IFERROR(RANK(G15,(G$6,G$15,G$22,G$26,G$27,G$28,G$33),0),"")</f>
        <v>2</v>
      </c>
      <c r="AG15" s="2">
        <f>+IFERROR(RANK(H15,(H$6,H$15,H$22,H$26,H$27,H$28,H$33),0),"")</f>
        <v>2</v>
      </c>
      <c r="AH15" s="2">
        <f>+IFERROR(RANK(I15,(I$6,I$15,I$22,I$26,I$27,I$28,I$33),0),"")</f>
        <v>2</v>
      </c>
      <c r="AI15" s="2">
        <f>+IFERROR(RANK(J15,(J$6,J$15,J$22,J$26,J$27,J$28,J$33),0),"")</f>
        <v>2</v>
      </c>
      <c r="AJ15" s="2">
        <f>+IFERROR(RANK(K15,(K$6,K$15,K$22,K$26,K$27,K$28,K$33),0),"")</f>
        <v>2</v>
      </c>
      <c r="AK15" s="2">
        <f>+IFERROR(RANK(L15,(L$6,L$15,L$22,L$26,L$27,L$28,L$33),0),"")</f>
        <v>2</v>
      </c>
    </row>
    <row r="16" spans="1:40" ht="18" customHeight="1">
      <c r="A16" s="572" t="s">
        <v>513</v>
      </c>
      <c r="B16" s="646">
        <v>3991</v>
      </c>
      <c r="C16" s="646">
        <v>4094</v>
      </c>
      <c r="D16" s="646">
        <v>4361</v>
      </c>
      <c r="E16" s="646">
        <v>4889.9999999999991</v>
      </c>
      <c r="F16" s="646">
        <v>6858</v>
      </c>
      <c r="G16" s="646">
        <v>8502.0000000000018</v>
      </c>
      <c r="H16" s="646">
        <v>9006</v>
      </c>
      <c r="I16" s="646">
        <v>8757</v>
      </c>
      <c r="J16" s="646">
        <v>11466</v>
      </c>
      <c r="K16" s="646">
        <v>15640</v>
      </c>
      <c r="L16" s="646">
        <v>18310</v>
      </c>
      <c r="N16" s="559">
        <f t="shared" si="5"/>
        <v>358.78226008519169</v>
      </c>
      <c r="O16" s="419">
        <f t="shared" si="6"/>
        <v>14319</v>
      </c>
      <c r="P16" s="559">
        <f t="shared" si="7"/>
        <v>3.6153309599514469</v>
      </c>
      <c r="Q16" s="559">
        <f t="shared" si="8"/>
        <v>3.5289757005801206</v>
      </c>
      <c r="R16" s="559">
        <f t="shared" si="9"/>
        <v>3.4274890754189014</v>
      </c>
      <c r="S16" s="559">
        <f t="shared" si="10"/>
        <v>3.4855126697316354</v>
      </c>
      <c r="T16" s="559">
        <f t="shared" si="11"/>
        <v>4.0509170383059185</v>
      </c>
      <c r="U16" s="559">
        <f t="shared" si="12"/>
        <v>4.037362940028399</v>
      </c>
      <c r="V16" s="559">
        <f t="shared" si="13"/>
        <v>4.1357267830327782</v>
      </c>
      <c r="W16" s="559">
        <f t="shared" si="14"/>
        <v>3.8319994048739066</v>
      </c>
      <c r="X16" s="559">
        <f t="shared" si="15"/>
        <v>3.5605599513085799</v>
      </c>
      <c r="Y16" s="559">
        <f t="shared" si="16"/>
        <v>3.7706463379646711</v>
      </c>
      <c r="Z16" s="559">
        <f t="shared" si="17"/>
        <v>3.591724321917364</v>
      </c>
      <c r="AA16" s="2" t="str">
        <f>+IFERROR(RANK(B16,(B$6,B$15,B$22,B$26,B$27,B$28,B$33),0),"")</f>
        <v/>
      </c>
      <c r="AB16" s="2" t="str">
        <f>+IFERROR(RANK(C16,(C$6,C$15,C$22,C$26,C$27,C$28,C$33),0),"")</f>
        <v/>
      </c>
      <c r="AC16" s="2" t="str">
        <f>+IFERROR(RANK(D16,(D$6,D$15,D$22,D$26,D$27,D$28,D$33),0),"")</f>
        <v/>
      </c>
      <c r="AD16" s="2" t="str">
        <f>+IFERROR(RANK(E16,(E$6,E$15,E$22,E$26,E$27,E$28,E$33),0),"")</f>
        <v/>
      </c>
      <c r="AE16" s="2" t="str">
        <f>+IFERROR(RANK(F16,(F$6,F$15,F$22,F$26,F$27,F$28,F$33),0),"")</f>
        <v/>
      </c>
      <c r="AF16" s="2" t="str">
        <f>+IFERROR(RANK(G16,(G$6,G$15,G$22,G$26,G$27,G$28,G$33),0),"")</f>
        <v/>
      </c>
      <c r="AG16" s="2" t="str">
        <f>+IFERROR(RANK(H16,(H$6,H$15,H$22,H$26,H$27,H$28,H$33),0),"")</f>
        <v/>
      </c>
      <c r="AH16" s="2" t="str">
        <f>+IFERROR(RANK(I16,(I$6,I$15,I$22,I$26,I$27,I$28,I$33),0),"")</f>
        <v/>
      </c>
      <c r="AI16" s="2" t="str">
        <f>+IFERROR(RANK(J16,(J$6,J$15,J$22,J$26,J$27,J$28,J$33),0),"")</f>
        <v/>
      </c>
      <c r="AJ16" s="2" t="str">
        <f>+IFERROR(RANK(K16,(K$6,K$15,K$22,K$26,K$27,K$28,K$33),0),"")</f>
        <v/>
      </c>
      <c r="AK16" s="2" t="str">
        <f>+IFERROR(RANK(L16,(L$6,L$15,L$22,L$26,L$27,L$28,L$33),0),"")</f>
        <v/>
      </c>
    </row>
    <row r="17" spans="1:40" ht="18" customHeight="1">
      <c r="A17" s="572" t="s">
        <v>506</v>
      </c>
      <c r="B17" s="646">
        <v>2309</v>
      </c>
      <c r="C17" s="646">
        <v>2311.9999999999995</v>
      </c>
      <c r="D17" s="646">
        <v>2429</v>
      </c>
      <c r="E17" s="646">
        <v>2616</v>
      </c>
      <c r="F17" s="646">
        <v>3538.9999999999995</v>
      </c>
      <c r="G17" s="646">
        <v>4939.0000000000009</v>
      </c>
      <c r="H17" s="646">
        <v>5784.0000000000009</v>
      </c>
      <c r="I17" s="646">
        <v>6065.9999999999991</v>
      </c>
      <c r="J17" s="646">
        <v>10322</v>
      </c>
      <c r="K17" s="646">
        <v>13965</v>
      </c>
      <c r="L17" s="646">
        <v>16595</v>
      </c>
      <c r="N17" s="559">
        <f t="shared" si="5"/>
        <v>618.70939800779558</v>
      </c>
      <c r="O17" s="419">
        <f t="shared" si="6"/>
        <v>14286</v>
      </c>
      <c r="P17" s="559">
        <f t="shared" si="7"/>
        <v>2.0916560226830092</v>
      </c>
      <c r="Q17" s="559">
        <f t="shared" si="8"/>
        <v>1.9929144650076298</v>
      </c>
      <c r="R17" s="559">
        <f t="shared" si="9"/>
        <v>1.9090508975447171</v>
      </c>
      <c r="S17" s="559">
        <f t="shared" si="10"/>
        <v>1.8646423607398692</v>
      </c>
      <c r="T17" s="559">
        <f t="shared" si="11"/>
        <v>2.0904338580584199</v>
      </c>
      <c r="U17" s="559">
        <f t="shared" si="12"/>
        <v>2.345393502799372</v>
      </c>
      <c r="V17" s="559">
        <f t="shared" si="13"/>
        <v>2.6561229972309119</v>
      </c>
      <c r="W17" s="559">
        <f t="shared" si="14"/>
        <v>2.654437408926015</v>
      </c>
      <c r="X17" s="559">
        <f t="shared" si="15"/>
        <v>3.2053113393866353</v>
      </c>
      <c r="Y17" s="559">
        <f t="shared" si="16"/>
        <v>3.3668207231251044</v>
      </c>
      <c r="Z17" s="559">
        <f t="shared" si="17"/>
        <v>3.2553066697006368</v>
      </c>
      <c r="AA17" s="2" t="str">
        <f>+IFERROR(RANK(B17,(B$6,B$15,B$22,B$26,B$27,B$28,B$33),0),"")</f>
        <v/>
      </c>
      <c r="AB17" s="2" t="str">
        <f>+IFERROR(RANK(C17,(C$6,C$15,C$22,C$26,C$27,C$28,C$33),0),"")</f>
        <v/>
      </c>
      <c r="AC17" s="2" t="str">
        <f>+IFERROR(RANK(D17,(D$6,D$15,D$22,D$26,D$27,D$28,D$33),0),"")</f>
        <v/>
      </c>
      <c r="AD17" s="2" t="str">
        <f>+IFERROR(RANK(E17,(E$6,E$15,E$22,E$26,E$27,E$28,E$33),0),"")</f>
        <v/>
      </c>
      <c r="AE17" s="2" t="str">
        <f>+IFERROR(RANK(F17,(F$6,F$15,F$22,F$26,F$27,F$28,F$33),0),"")</f>
        <v/>
      </c>
      <c r="AF17" s="2" t="str">
        <f>+IFERROR(RANK(G17,(G$6,G$15,G$22,G$26,G$27,G$28,G$33),0),"")</f>
        <v/>
      </c>
      <c r="AG17" s="2" t="str">
        <f>+IFERROR(RANK(H17,(H$6,H$15,H$22,H$26,H$27,H$28,H$33),0),"")</f>
        <v/>
      </c>
      <c r="AH17" s="2" t="str">
        <f>+IFERROR(RANK(I17,(I$6,I$15,I$22,I$26,I$27,I$28,I$33),0),"")</f>
        <v/>
      </c>
      <c r="AI17" s="2" t="str">
        <f>+IFERROR(RANK(J17,(J$6,J$15,J$22,J$26,J$27,J$28,J$33),0),"")</f>
        <v/>
      </c>
      <c r="AJ17" s="2" t="str">
        <f>+IFERROR(RANK(K17,(K$6,K$15,K$22,K$26,K$27,K$28,K$33),0),"")</f>
        <v/>
      </c>
      <c r="AK17" s="2" t="str">
        <f>+IFERROR(RANK(L17,(L$6,L$15,L$22,L$26,L$27,L$28,L$33),0),"")</f>
        <v/>
      </c>
    </row>
    <row r="18" spans="1:40" ht="18" customHeight="1">
      <c r="A18" s="572" t="s">
        <v>507</v>
      </c>
      <c r="B18" s="646">
        <v>2017</v>
      </c>
      <c r="C18" s="646">
        <v>2181.0000000000005</v>
      </c>
      <c r="D18" s="646">
        <v>2257.9999999999995</v>
      </c>
      <c r="E18" s="646">
        <v>2477.9999999999995</v>
      </c>
      <c r="F18" s="646">
        <v>2776</v>
      </c>
      <c r="G18" s="646">
        <v>3640.0000000000009</v>
      </c>
      <c r="H18" s="646">
        <v>3973.9999999999995</v>
      </c>
      <c r="I18" s="646">
        <v>4436</v>
      </c>
      <c r="J18" s="646">
        <v>7026</v>
      </c>
      <c r="K18" s="646">
        <v>9698.0000000000018</v>
      </c>
      <c r="L18" s="646">
        <v>12388</v>
      </c>
      <c r="N18" s="559">
        <f t="shared" si="5"/>
        <v>514.17947446703022</v>
      </c>
      <c r="O18" s="419">
        <f t="shared" si="6"/>
        <v>10371</v>
      </c>
      <c r="P18" s="559">
        <f t="shared" si="7"/>
        <v>1.8271417053926504</v>
      </c>
      <c r="Q18" s="559">
        <f t="shared" si="8"/>
        <v>1.8799941384868697</v>
      </c>
      <c r="R18" s="559">
        <f t="shared" si="9"/>
        <v>1.774654971863306</v>
      </c>
      <c r="S18" s="559">
        <f t="shared" si="10"/>
        <v>1.7662781995081784</v>
      </c>
      <c r="T18" s="559">
        <f t="shared" si="11"/>
        <v>1.6397412800141775</v>
      </c>
      <c r="U18" s="559">
        <f t="shared" si="12"/>
        <v>1.7285345920610884</v>
      </c>
      <c r="V18" s="559">
        <f t="shared" si="13"/>
        <v>1.8249365129660511</v>
      </c>
      <c r="W18" s="559">
        <f t="shared" si="14"/>
        <v>1.9411612835469509</v>
      </c>
      <c r="X18" s="559">
        <f t="shared" si="15"/>
        <v>2.181797856087047</v>
      </c>
      <c r="Y18" s="559">
        <f t="shared" si="16"/>
        <v>2.3380900374412654</v>
      </c>
      <c r="Z18" s="559">
        <f t="shared" si="17"/>
        <v>2.4300535718138887</v>
      </c>
      <c r="AA18" s="2" t="str">
        <f>+IFERROR(RANK(B18,(B$6,B$15,B$22,B$26,B$27,B$28,B$33),0),"")</f>
        <v/>
      </c>
      <c r="AB18" s="2" t="str">
        <f>+IFERROR(RANK(C18,(C$6,C$15,C$22,C$26,C$27,C$28,C$33),0),"")</f>
        <v/>
      </c>
      <c r="AC18" s="2" t="str">
        <f>+IFERROR(RANK(D18,(D$6,D$15,D$22,D$26,D$27,D$28,D$33),0),"")</f>
        <v/>
      </c>
      <c r="AD18" s="2" t="str">
        <f>+IFERROR(RANK(E18,(E$6,E$15,E$22,E$26,E$27,E$28,E$33),0),"")</f>
        <v/>
      </c>
      <c r="AE18" s="2" t="str">
        <f>+IFERROR(RANK(F18,(F$6,F$15,F$22,F$26,F$27,F$28,F$33),0),"")</f>
        <v/>
      </c>
      <c r="AF18" s="2" t="str">
        <f>+IFERROR(RANK(G18,(G$6,G$15,G$22,G$26,G$27,G$28,G$33),0),"")</f>
        <v/>
      </c>
      <c r="AG18" s="2" t="str">
        <f>+IFERROR(RANK(H18,(H$6,H$15,H$22,H$26,H$27,H$28,H$33),0),"")</f>
        <v/>
      </c>
      <c r="AH18" s="2" t="str">
        <f>+IFERROR(RANK(I18,(I$6,I$15,I$22,I$26,I$27,I$28,I$33),0),"")</f>
        <v/>
      </c>
      <c r="AI18" s="2" t="str">
        <f>+IFERROR(RANK(J18,(J$6,J$15,J$22,J$26,J$27,J$28,J$33),0),"")</f>
        <v/>
      </c>
      <c r="AJ18" s="2" t="str">
        <f>+IFERROR(RANK(K18,(K$6,K$15,K$22,K$26,K$27,K$28,K$33),0),"")</f>
        <v/>
      </c>
      <c r="AK18" s="2" t="str">
        <f>+IFERROR(RANK(L18,(L$6,L$15,L$22,L$26,L$27,L$28,L$33),0),"")</f>
        <v/>
      </c>
    </row>
    <row r="19" spans="1:40" ht="18" customHeight="1">
      <c r="A19" s="572" t="s">
        <v>508</v>
      </c>
      <c r="B19" s="646">
        <v>3297.9999999999995</v>
      </c>
      <c r="C19" s="646">
        <v>3394</v>
      </c>
      <c r="D19" s="646">
        <v>3494</v>
      </c>
      <c r="E19" s="646">
        <v>3760</v>
      </c>
      <c r="F19" s="646">
        <v>4520</v>
      </c>
      <c r="G19" s="646">
        <v>5528</v>
      </c>
      <c r="H19" s="646">
        <v>6041.9999999999991</v>
      </c>
      <c r="I19" s="646">
        <v>7051.9999999999991</v>
      </c>
      <c r="J19" s="646">
        <v>9828</v>
      </c>
      <c r="K19" s="646">
        <v>12503.000000000002</v>
      </c>
      <c r="L19" s="646">
        <v>15258</v>
      </c>
      <c r="N19" s="559">
        <f t="shared" si="5"/>
        <v>362.6440266828381</v>
      </c>
      <c r="O19" s="419">
        <f t="shared" si="6"/>
        <v>11960</v>
      </c>
      <c r="P19" s="559">
        <f t="shared" si="7"/>
        <v>2.9875623918616561</v>
      </c>
      <c r="Q19" s="559">
        <f t="shared" si="8"/>
        <v>2.9255846428355956</v>
      </c>
      <c r="R19" s="559">
        <f t="shared" si="9"/>
        <v>2.7460781539815735</v>
      </c>
      <c r="S19" s="559">
        <f t="shared" si="10"/>
        <v>2.6800670016750412</v>
      </c>
      <c r="T19" s="559">
        <f t="shared" si="11"/>
        <v>2.6698957441153035</v>
      </c>
      <c r="U19" s="559">
        <f t="shared" si="12"/>
        <v>2.6250931936576078</v>
      </c>
      <c r="V19" s="559">
        <f t="shared" si="13"/>
        <v>2.7746015126675592</v>
      </c>
      <c r="W19" s="559">
        <f t="shared" si="14"/>
        <v>3.0859038258731055</v>
      </c>
      <c r="X19" s="559">
        <f t="shared" si="15"/>
        <v>3.0519085296930686</v>
      </c>
      <c r="Y19" s="559">
        <f t="shared" si="16"/>
        <v>3.0143472610979729</v>
      </c>
      <c r="Z19" s="559">
        <f t="shared" si="17"/>
        <v>2.9930382142990246</v>
      </c>
      <c r="AA19" s="2" t="str">
        <f>+IFERROR(RANK(B19,(B$6,B$15,B$22,B$26,B$27,B$28,B$33),0),"")</f>
        <v/>
      </c>
      <c r="AB19" s="2" t="str">
        <f>+IFERROR(RANK(C19,(C$6,C$15,C$22,C$26,C$27,C$28,C$33),0),"")</f>
        <v/>
      </c>
      <c r="AC19" s="2" t="str">
        <f>+IFERROR(RANK(D19,(D$6,D$15,D$22,D$26,D$27,D$28,D$33),0),"")</f>
        <v/>
      </c>
      <c r="AD19" s="2" t="str">
        <f>+IFERROR(RANK(E19,(E$6,E$15,E$22,E$26,E$27,E$28,E$33),0),"")</f>
        <v/>
      </c>
      <c r="AE19" s="2" t="str">
        <f>+IFERROR(RANK(F19,(F$6,F$15,F$22,F$26,F$27,F$28,F$33),0),"")</f>
        <v/>
      </c>
      <c r="AF19" s="2" t="str">
        <f>+IFERROR(RANK(G19,(G$6,G$15,G$22,G$26,G$27,G$28,G$33),0),"")</f>
        <v/>
      </c>
      <c r="AG19" s="2" t="str">
        <f>+IFERROR(RANK(H19,(H$6,H$15,H$22,H$26,H$27,H$28,H$33),0),"")</f>
        <v/>
      </c>
      <c r="AH19" s="2" t="str">
        <f>+IFERROR(RANK(I19,(I$6,I$15,I$22,I$26,I$27,I$28,I$33),0),"")</f>
        <v/>
      </c>
      <c r="AI19" s="2" t="str">
        <f>+IFERROR(RANK(J19,(J$6,J$15,J$22,J$26,J$27,J$28,J$33),0),"")</f>
        <v/>
      </c>
      <c r="AJ19" s="2" t="str">
        <f>+IFERROR(RANK(K19,(K$6,K$15,K$22,K$26,K$27,K$28,K$33),0),"")</f>
        <v/>
      </c>
      <c r="AK19" s="2" t="str">
        <f>+IFERROR(RANK(L19,(L$6,L$15,L$22,L$26,L$27,L$28,L$33),0),"")</f>
        <v/>
      </c>
    </row>
    <row r="20" spans="1:40" ht="18" customHeight="1">
      <c r="A20" s="572" t="s">
        <v>509</v>
      </c>
      <c r="B20" s="646">
        <v>975</v>
      </c>
      <c r="C20" s="646">
        <v>979</v>
      </c>
      <c r="D20" s="646">
        <v>1013</v>
      </c>
      <c r="E20" s="646">
        <v>1046</v>
      </c>
      <c r="F20" s="646">
        <v>1186</v>
      </c>
      <c r="G20" s="646">
        <v>1737</v>
      </c>
      <c r="H20" s="646">
        <v>1965.9999999999998</v>
      </c>
      <c r="I20" s="646">
        <v>2000</v>
      </c>
      <c r="J20" s="646">
        <v>3319</v>
      </c>
      <c r="K20" s="646">
        <v>4970</v>
      </c>
      <c r="L20" s="646">
        <v>6921</v>
      </c>
      <c r="N20" s="559">
        <f t="shared" si="5"/>
        <v>609.84615384615392</v>
      </c>
      <c r="O20" s="419">
        <f t="shared" si="6"/>
        <v>5946</v>
      </c>
      <c r="P20" s="559">
        <f t="shared" si="7"/>
        <v>0.88322417588390389</v>
      </c>
      <c r="Q20" s="559">
        <f t="shared" si="8"/>
        <v>0.84388549361698528</v>
      </c>
      <c r="R20" s="559">
        <f t="shared" si="9"/>
        <v>0.79615831997233366</v>
      </c>
      <c r="S20" s="559">
        <f t="shared" si="10"/>
        <v>0.74557183078513123</v>
      </c>
      <c r="T20" s="559">
        <f t="shared" si="11"/>
        <v>0.70055229038069688</v>
      </c>
      <c r="U20" s="559">
        <f t="shared" si="12"/>
        <v>0.82485290835442571</v>
      </c>
      <c r="V20" s="559">
        <f t="shared" si="13"/>
        <v>0.90282465638934484</v>
      </c>
      <c r="W20" s="559">
        <f t="shared" si="14"/>
        <v>0.87518542991296255</v>
      </c>
      <c r="X20" s="559">
        <f t="shared" si="15"/>
        <v>1.0306557193784385</v>
      </c>
      <c r="Y20" s="559">
        <f t="shared" si="16"/>
        <v>1.1982168989568041</v>
      </c>
      <c r="Z20" s="559">
        <f t="shared" si="17"/>
        <v>1.357636484543423</v>
      </c>
      <c r="AA20" s="2" t="str">
        <f>+IFERROR(RANK(B20,(B$6,B$15,B$22,B$26,B$27,B$28,B$33),0),"")</f>
        <v/>
      </c>
      <c r="AB20" s="2" t="str">
        <f>+IFERROR(RANK(C20,(C$6,C$15,C$22,C$26,C$27,C$28,C$33),0),"")</f>
        <v/>
      </c>
      <c r="AC20" s="2" t="str">
        <f>+IFERROR(RANK(D20,(D$6,D$15,D$22,D$26,D$27,D$28,D$33),0),"")</f>
        <v/>
      </c>
      <c r="AD20" s="2" t="str">
        <f>+IFERROR(RANK(E20,(E$6,E$15,E$22,E$26,E$27,E$28,E$33),0),"")</f>
        <v/>
      </c>
      <c r="AE20" s="2" t="str">
        <f>+IFERROR(RANK(F20,(F$6,F$15,F$22,F$26,F$27,F$28,F$33),0),"")</f>
        <v/>
      </c>
      <c r="AF20" s="2" t="str">
        <f>+IFERROR(RANK(G20,(G$6,G$15,G$22,G$26,G$27,G$28,G$33),0),"")</f>
        <v/>
      </c>
      <c r="AG20" s="2" t="str">
        <f>+IFERROR(RANK(H20,(H$6,H$15,H$22,H$26,H$27,H$28,H$33),0),"")</f>
        <v/>
      </c>
      <c r="AH20" s="2" t="str">
        <f>+IFERROR(RANK(I20,(I$6,I$15,I$22,I$26,I$27,I$28,I$33),0),"")</f>
        <v/>
      </c>
      <c r="AI20" s="2" t="str">
        <f>+IFERROR(RANK(J20,(J$6,J$15,J$22,J$26,J$27,J$28,J$33),0),"")</f>
        <v/>
      </c>
      <c r="AJ20" s="2" t="str">
        <f>+IFERROR(RANK(K20,(K$6,K$15,K$22,K$26,K$27,K$28,K$33),0),"")</f>
        <v/>
      </c>
      <c r="AK20" s="2" t="str">
        <f>+IFERROR(RANK(L20,(L$6,L$15,L$22,L$26,L$27,L$28,L$33),0),"")</f>
        <v/>
      </c>
    </row>
    <row r="21" spans="1:40" ht="18" customHeight="1">
      <c r="A21" s="572" t="s">
        <v>510</v>
      </c>
      <c r="B21" s="646">
        <v>428</v>
      </c>
      <c r="C21" s="646">
        <v>393</v>
      </c>
      <c r="D21" s="646">
        <v>368</v>
      </c>
      <c r="E21" s="646">
        <v>440</v>
      </c>
      <c r="F21" s="646">
        <v>573.00000000000011</v>
      </c>
      <c r="G21" s="646">
        <v>699.00000000000011</v>
      </c>
      <c r="H21" s="646">
        <v>708</v>
      </c>
      <c r="I21" s="646">
        <v>769</v>
      </c>
      <c r="J21" s="646">
        <v>1323</v>
      </c>
      <c r="K21" s="646">
        <v>1950</v>
      </c>
      <c r="L21" s="646">
        <v>2305</v>
      </c>
      <c r="N21" s="559">
        <f t="shared" si="5"/>
        <v>438.55140186915884</v>
      </c>
      <c r="O21" s="419">
        <f t="shared" si="6"/>
        <v>1877</v>
      </c>
      <c r="P21" s="559">
        <f t="shared" si="7"/>
        <v>0.3877127664392932</v>
      </c>
      <c r="Q21" s="559">
        <f t="shared" si="8"/>
        <v>0.33876097956228318</v>
      </c>
      <c r="R21" s="559">
        <f t="shared" si="9"/>
        <v>0.28922631959508271</v>
      </c>
      <c r="S21" s="559">
        <f t="shared" si="10"/>
        <v>0.31362486189814315</v>
      </c>
      <c r="T21" s="559">
        <f t="shared" si="11"/>
        <v>0.33846244720753743</v>
      </c>
      <c r="U21" s="559">
        <f t="shared" si="12"/>
        <v>0.33193562633261003</v>
      </c>
      <c r="V21" s="559">
        <f t="shared" si="13"/>
        <v>0.32512708887266339</v>
      </c>
      <c r="W21" s="559">
        <f t="shared" si="14"/>
        <v>0.33650879780153409</v>
      </c>
      <c r="X21" s="559">
        <f t="shared" si="15"/>
        <v>0.4108338405356054</v>
      </c>
      <c r="Y21" s="559">
        <f t="shared" si="16"/>
        <v>0.47012534264904787</v>
      </c>
      <c r="Z21" s="559">
        <f t="shared" si="17"/>
        <v>0.45215317105513514</v>
      </c>
      <c r="AA21" s="2" t="str">
        <f>+IFERROR(RANK(B21,(B$6,B$15,B$22,B$26,B$27,B$28,B$33),0),"")</f>
        <v/>
      </c>
      <c r="AB21" s="2" t="str">
        <f>+IFERROR(RANK(C21,(C$6,C$15,C$22,C$26,C$27,C$28,C$33),0),"")</f>
        <v/>
      </c>
      <c r="AC21" s="2" t="str">
        <f>+IFERROR(RANK(D21,(D$6,D$15,D$22,D$26,D$27,D$28,D$33),0),"")</f>
        <v/>
      </c>
      <c r="AD21" s="2" t="str">
        <f>+IFERROR(RANK(E21,(E$6,E$15,E$22,E$26,E$27,E$28,E$33),0),"")</f>
        <v/>
      </c>
      <c r="AE21" s="2" t="str">
        <f>+IFERROR(RANK(F21,(F$6,F$15,F$22,F$26,F$27,F$28,F$33),0),"")</f>
        <v/>
      </c>
      <c r="AF21" s="2" t="str">
        <f>+IFERROR(RANK(G21,(G$6,G$15,G$22,G$26,G$27,G$28,G$33),0),"")</f>
        <v/>
      </c>
      <c r="AG21" s="2" t="str">
        <f>+IFERROR(RANK(H21,(H$6,H$15,H$22,H$26,H$27,H$28,H$33),0),"")</f>
        <v/>
      </c>
      <c r="AH21" s="2" t="str">
        <f>+IFERROR(RANK(I21,(I$6,I$15,I$22,I$26,I$27,I$28,I$33),0),"")</f>
        <v/>
      </c>
      <c r="AI21" s="2" t="str">
        <f>+IFERROR(RANK(J21,(J$6,J$15,J$22,J$26,J$27,J$28,J$33),0),"")</f>
        <v/>
      </c>
      <c r="AJ21" s="2" t="str">
        <f>+IFERROR(RANK(K21,(K$6,K$15,K$22,K$26,K$27,K$28,K$33),0),"")</f>
        <v/>
      </c>
      <c r="AK21" s="2" t="str">
        <f>+IFERROR(RANK(L21,(L$6,L$15,L$22,L$26,L$27,L$28,L$33),0),"")</f>
        <v/>
      </c>
    </row>
    <row r="22" spans="1:40" ht="18" customHeight="1">
      <c r="A22" s="572" t="s">
        <v>514</v>
      </c>
      <c r="B22" s="646">
        <v>1297</v>
      </c>
      <c r="C22" s="646">
        <v>1350</v>
      </c>
      <c r="D22" s="646">
        <v>1308</v>
      </c>
      <c r="E22" s="646">
        <v>1439</v>
      </c>
      <c r="F22" s="646">
        <v>1788</v>
      </c>
      <c r="G22" s="646">
        <v>2410.0000000000005</v>
      </c>
      <c r="H22" s="646">
        <v>2456</v>
      </c>
      <c r="I22" s="646">
        <v>2613</v>
      </c>
      <c r="J22" s="646">
        <v>4111</v>
      </c>
      <c r="K22" s="646">
        <v>5686.9999999999991</v>
      </c>
      <c r="L22" s="646">
        <v>7214</v>
      </c>
      <c r="N22" s="559">
        <f t="shared" si="5"/>
        <v>456.20663068619888</v>
      </c>
      <c r="O22" s="419">
        <f t="shared" si="6"/>
        <v>5917</v>
      </c>
      <c r="P22" s="559">
        <f t="shared" si="7"/>
        <v>1.1749146216629984</v>
      </c>
      <c r="Q22" s="559">
        <f t="shared" si="8"/>
        <v>1.1636827542215835</v>
      </c>
      <c r="R22" s="559">
        <f t="shared" si="9"/>
        <v>1.0280109402999136</v>
      </c>
      <c r="S22" s="559">
        <f t="shared" si="10"/>
        <v>1.0256958551623363</v>
      </c>
      <c r="T22" s="559">
        <f t="shared" si="11"/>
        <v>1.0561445996633103</v>
      </c>
      <c r="U22" s="559">
        <f t="shared" si="12"/>
        <v>1.1444418590294567</v>
      </c>
      <c r="V22" s="559">
        <f t="shared" si="13"/>
        <v>1.1278419919085612</v>
      </c>
      <c r="W22" s="559">
        <f t="shared" si="14"/>
        <v>1.1434297641812856</v>
      </c>
      <c r="X22" s="559">
        <f t="shared" si="15"/>
        <v>1.276597066093631</v>
      </c>
      <c r="Y22" s="559">
        <f t="shared" si="16"/>
        <v>1.3710783711000691</v>
      </c>
      <c r="Z22" s="559">
        <f t="shared" si="17"/>
        <v>1.4151119201699542</v>
      </c>
      <c r="AA22" s="2">
        <f>+IFERROR(RANK(B22,(B$6,B$15,B$22,B$26,B$27,B$28,B$33),0),"")</f>
        <v>5</v>
      </c>
      <c r="AB22" s="2">
        <f>+IFERROR(RANK(C22,(C$6,C$15,C$22,C$26,C$27,C$28,C$33),0),"")</f>
        <v>5</v>
      </c>
      <c r="AC22" s="2">
        <f>+IFERROR(RANK(D22,(D$6,D$15,D$22,D$26,D$27,D$28,D$33),0),"")</f>
        <v>5</v>
      </c>
      <c r="AD22" s="2">
        <f>+IFERROR(RANK(E22,(E$6,E$15,E$22,E$26,E$27,E$28,E$33),0),"")</f>
        <v>5</v>
      </c>
      <c r="AE22" s="2">
        <f>+IFERROR(RANK(F22,(F$6,F$15,F$22,F$26,F$27,F$28,F$33),0),"")</f>
        <v>5</v>
      </c>
      <c r="AF22" s="2">
        <f>+IFERROR(RANK(G22,(G$6,G$15,G$22,G$26,G$27,G$28,G$33),0),"")</f>
        <v>5</v>
      </c>
      <c r="AG22" s="2">
        <f>+IFERROR(RANK(H22,(H$6,H$15,H$22,H$26,H$27,H$28,H$33),0),"")</f>
        <v>5</v>
      </c>
      <c r="AH22" s="2">
        <f>+IFERROR(RANK(I22,(I$6,I$15,I$22,I$26,I$27,I$28,I$33),0),"")</f>
        <v>5</v>
      </c>
      <c r="AI22" s="2">
        <f>+IFERROR(RANK(J22,(J$6,J$15,J$22,J$26,J$27,J$28,J$33),0),"")</f>
        <v>5</v>
      </c>
      <c r="AJ22" s="2">
        <f>+IFERROR(RANK(K22,(K$6,K$15,K$22,K$26,K$27,K$28,K$33),0),"")</f>
        <v>5</v>
      </c>
      <c r="AK22" s="2">
        <f>+IFERROR(RANK(L22,(L$6,L$15,L$22,L$26,L$27,L$28,L$33),0),"")</f>
        <v>5</v>
      </c>
    </row>
    <row r="23" spans="1:40" ht="18" customHeight="1">
      <c r="A23" s="572" t="s">
        <v>511</v>
      </c>
      <c r="B23" s="646">
        <v>582</v>
      </c>
      <c r="C23" s="646">
        <v>607.00000000000011</v>
      </c>
      <c r="D23" s="646">
        <v>589.99999999999989</v>
      </c>
      <c r="E23" s="646">
        <v>555</v>
      </c>
      <c r="F23" s="646">
        <v>714.00000000000011</v>
      </c>
      <c r="G23" s="646">
        <v>878.99999999999989</v>
      </c>
      <c r="H23" s="646">
        <v>924.99999999999989</v>
      </c>
      <c r="I23" s="646">
        <v>1109</v>
      </c>
      <c r="J23" s="646">
        <v>1768.9999999999998</v>
      </c>
      <c r="K23" s="646">
        <v>3272</v>
      </c>
      <c r="L23" s="646">
        <v>3797</v>
      </c>
      <c r="N23" s="559">
        <f t="shared" si="5"/>
        <v>552.40549828178689</v>
      </c>
      <c r="O23" s="419">
        <f t="shared" si="6"/>
        <v>3215</v>
      </c>
      <c r="P23" s="559">
        <f t="shared" si="7"/>
        <v>0.52721689268146876</v>
      </c>
      <c r="Q23" s="559">
        <f t="shared" si="8"/>
        <v>0.52322624578703802</v>
      </c>
      <c r="R23" s="559">
        <f t="shared" si="9"/>
        <v>0.46370524065515967</v>
      </c>
      <c r="S23" s="559">
        <f t="shared" si="10"/>
        <v>0.39559499625788508</v>
      </c>
      <c r="T23" s="559">
        <f t="shared" si="11"/>
        <v>0.42174901798635556</v>
      </c>
      <c r="U23" s="559">
        <f t="shared" si="12"/>
        <v>0.41741261165431204</v>
      </c>
      <c r="V23" s="559">
        <f t="shared" si="13"/>
        <v>0.42477762317403051</v>
      </c>
      <c r="W23" s="559">
        <f t="shared" si="14"/>
        <v>0.48529032088673774</v>
      </c>
      <c r="X23" s="559">
        <f t="shared" si="15"/>
        <v>0.5493311140646151</v>
      </c>
      <c r="Y23" s="559">
        <f t="shared" si="16"/>
        <v>0.78884621597317162</v>
      </c>
      <c r="Z23" s="559">
        <f t="shared" si="17"/>
        <v>0.74482672038887121</v>
      </c>
      <c r="AA23" s="2" t="str">
        <f>+IFERROR(RANK(B23,(B$6,B$15,B$22,B$26,B$27,B$28,B$33),0),"")</f>
        <v/>
      </c>
      <c r="AB23" s="2" t="str">
        <f>+IFERROR(RANK(C23,(C$6,C$15,C$22,C$26,C$27,C$28,C$33),0),"")</f>
        <v/>
      </c>
      <c r="AC23" s="2" t="str">
        <f>+IFERROR(RANK(D23,(D$6,D$15,D$22,D$26,D$27,D$28,D$33),0),"")</f>
        <v/>
      </c>
      <c r="AD23" s="2" t="str">
        <f>+IFERROR(RANK(E23,(E$6,E$15,E$22,E$26,E$27,E$28,E$33),0),"")</f>
        <v/>
      </c>
      <c r="AE23" s="2" t="str">
        <f>+IFERROR(RANK(F23,(F$6,F$15,F$22,F$26,F$27,F$28,F$33),0),"")</f>
        <v/>
      </c>
      <c r="AF23" s="2" t="str">
        <f>+IFERROR(RANK(G23,(G$6,G$15,G$22,G$26,G$27,G$28,G$33),0),"")</f>
        <v/>
      </c>
      <c r="AG23" s="2" t="str">
        <f>+IFERROR(RANK(H23,(H$6,H$15,H$22,H$26,H$27,H$28,H$33),0),"")</f>
        <v/>
      </c>
      <c r="AH23" s="2" t="str">
        <f>+IFERROR(RANK(I23,(I$6,I$15,I$22,I$26,I$27,I$28,I$33),0),"")</f>
        <v/>
      </c>
      <c r="AI23" s="2" t="str">
        <f>+IFERROR(RANK(J23,(J$6,J$15,J$22,J$26,J$27,J$28,J$33),0),"")</f>
        <v/>
      </c>
      <c r="AJ23" s="2" t="str">
        <f>+IFERROR(RANK(K23,(K$6,K$15,K$22,K$26,K$27,K$28,K$33),0),"")</f>
        <v/>
      </c>
      <c r="AK23" s="2" t="str">
        <f>+IFERROR(RANK(L23,(L$6,L$15,L$22,L$26,L$27,L$28,L$33),0),"")</f>
        <v/>
      </c>
    </row>
    <row r="24" spans="1:40" ht="20.100000000000001" customHeight="1">
      <c r="A24" s="15" t="s">
        <v>772</v>
      </c>
      <c r="B24" s="328">
        <v>59933.000000000015</v>
      </c>
      <c r="C24" s="328">
        <v>62464</v>
      </c>
      <c r="D24" s="328">
        <v>69696.999999999985</v>
      </c>
      <c r="E24" s="328">
        <v>73738</v>
      </c>
      <c r="F24" s="328">
        <v>87013</v>
      </c>
      <c r="G24" s="328">
        <v>103740</v>
      </c>
      <c r="H24" s="328">
        <v>104861.99999999999</v>
      </c>
      <c r="I24" s="328">
        <v>109691</v>
      </c>
      <c r="J24" s="328">
        <v>146528.99999999997</v>
      </c>
      <c r="K24" s="328">
        <v>183951.00000000003</v>
      </c>
      <c r="L24" s="328">
        <v>225406.00000000003</v>
      </c>
      <c r="N24" s="559">
        <f t="shared" si="5"/>
        <v>276.09664124939513</v>
      </c>
      <c r="O24" s="419">
        <f t="shared" si="6"/>
        <v>165473</v>
      </c>
      <c r="P24" s="559">
        <f t="shared" si="7"/>
        <v>54.291563623846187</v>
      </c>
      <c r="Q24" s="559">
        <f t="shared" si="8"/>
        <v>53.843170044219995</v>
      </c>
      <c r="R24" s="559">
        <f t="shared" si="9"/>
        <v>54.777735860919769</v>
      </c>
      <c r="S24" s="559">
        <f t="shared" si="10"/>
        <v>52.559250151466543</v>
      </c>
      <c r="T24" s="559">
        <f t="shared" si="11"/>
        <v>51.397265128917013</v>
      </c>
      <c r="U24" s="559">
        <f t="shared" si="12"/>
        <v>49.263235873741003</v>
      </c>
      <c r="V24" s="559">
        <f t="shared" si="13"/>
        <v>48.154628239216422</v>
      </c>
      <c r="W24" s="559">
        <f t="shared" si="14"/>
        <v>47.999982496291388</v>
      </c>
      <c r="X24" s="559">
        <f t="shared" si="15"/>
        <v>45.501943930341426</v>
      </c>
      <c r="Y24" s="559">
        <f t="shared" si="16"/>
        <v>44.348731746479501</v>
      </c>
      <c r="Z24" s="559">
        <f t="shared" si="17"/>
        <v>44.216068405576486</v>
      </c>
      <c r="AA24" s="2" t="str">
        <f>+IFERROR(RANK(B24,(B$6,B$15,B$22,B$26,B$27,B$28,B$33),0),"")</f>
        <v/>
      </c>
      <c r="AB24" s="2" t="str">
        <f>+IFERROR(RANK(C24,(C$6,C$15,C$22,C$26,C$27,C$28,C$33),0),"")</f>
        <v/>
      </c>
      <c r="AC24" s="2" t="str">
        <f>+IFERROR(RANK(D24,(D$6,D$15,D$22,D$26,D$27,D$28,D$33),0),"")</f>
        <v/>
      </c>
      <c r="AD24" s="2" t="str">
        <f>+IFERROR(RANK(E24,(E$6,E$15,E$22,E$26,E$27,E$28,E$33),0),"")</f>
        <v/>
      </c>
      <c r="AE24" s="2" t="str">
        <f>+IFERROR(RANK(F24,(F$6,F$15,F$22,F$26,F$27,F$28,F$33),0),"")</f>
        <v/>
      </c>
      <c r="AF24" s="2" t="str">
        <f>+IFERROR(RANK(G24,(G$6,G$15,G$22,G$26,G$27,G$28,G$33),0),"")</f>
        <v/>
      </c>
      <c r="AG24" s="2" t="str">
        <f>+IFERROR(RANK(H24,(H$6,H$15,H$22,H$26,H$27,H$28,H$33),0),"")</f>
        <v/>
      </c>
      <c r="AH24" s="2" t="str">
        <f>+IFERROR(RANK(I24,(I$6,I$15,I$22,I$26,I$27,I$28,I$33),0),"")</f>
        <v/>
      </c>
      <c r="AI24" s="2" t="str">
        <f>+IFERROR(RANK(J24,(J$6,J$15,J$22,J$26,J$27,J$28,J$33),0),"")</f>
        <v/>
      </c>
      <c r="AJ24" s="2" t="str">
        <f>+IFERROR(RANK(K24,(K$6,K$15,K$22,K$26,K$27,K$28,K$33),0),"")</f>
        <v/>
      </c>
      <c r="AK24" s="2" t="str">
        <f>+IFERROR(RANK(L24,(L$6,L$15,L$22,L$26,L$27,L$28,L$33),0),"")</f>
        <v/>
      </c>
    </row>
    <row r="25" spans="1:40" ht="20.100000000000001" customHeight="1">
      <c r="A25" s="15" t="s">
        <v>518</v>
      </c>
      <c r="B25" s="328">
        <v>7868.9999999999991</v>
      </c>
      <c r="C25" s="328">
        <v>8639.0000000000055</v>
      </c>
      <c r="D25" s="328">
        <v>10365.000000000004</v>
      </c>
      <c r="E25" s="328">
        <v>12099.999999999998</v>
      </c>
      <c r="F25" s="328">
        <v>14018.000000000004</v>
      </c>
      <c r="G25" s="328">
        <v>18785.999999999996</v>
      </c>
      <c r="H25" s="328">
        <v>24049.999999999993</v>
      </c>
      <c r="I25" s="328">
        <v>24010</v>
      </c>
      <c r="J25" s="328">
        <v>30160.999999999985</v>
      </c>
      <c r="K25" s="328">
        <v>35390</v>
      </c>
      <c r="L25" s="328">
        <v>41198.999999999993</v>
      </c>
      <c r="N25" s="559">
        <f t="shared" si="5"/>
        <v>423.56080823484552</v>
      </c>
      <c r="O25" s="419">
        <f t="shared" si="6"/>
        <v>33329.999999999993</v>
      </c>
      <c r="P25" s="559">
        <f t="shared" si="7"/>
        <v>7.1282985025953218</v>
      </c>
      <c r="Q25" s="559">
        <f t="shared" si="8"/>
        <v>7.4467076397927903</v>
      </c>
      <c r="R25" s="559">
        <f t="shared" si="9"/>
        <v>8.1462793548995478</v>
      </c>
      <c r="S25" s="559">
        <f t="shared" si="10"/>
        <v>8.6246837021989347</v>
      </c>
      <c r="T25" s="559">
        <f t="shared" si="11"/>
        <v>8.2802209161522864</v>
      </c>
      <c r="U25" s="559">
        <f t="shared" si="12"/>
        <v>8.9209480347416452</v>
      </c>
      <c r="V25" s="559">
        <f t="shared" si="13"/>
        <v>11.044218202524791</v>
      </c>
      <c r="W25" s="559">
        <f t="shared" si="14"/>
        <v>10.506601086105116</v>
      </c>
      <c r="X25" s="559">
        <f t="shared" si="15"/>
        <v>9.365955755400142</v>
      </c>
      <c r="Y25" s="559">
        <f t="shared" si="16"/>
        <v>8.5321722442819503</v>
      </c>
      <c r="Z25" s="559">
        <f t="shared" si="17"/>
        <v>8.0816739671585722</v>
      </c>
      <c r="AA25" s="2" t="str">
        <f>+IFERROR(RANK(B25,(B$6,B$15,B$22,B$26,B$27,B$28,B$33),0),"")</f>
        <v/>
      </c>
      <c r="AB25" s="2" t="str">
        <f>+IFERROR(RANK(C25,(C$6,C$15,C$22,C$26,C$27,C$28,C$33),0),"")</f>
        <v/>
      </c>
      <c r="AC25" s="2" t="str">
        <f>+IFERROR(RANK(D25,(D$6,D$15,D$22,D$26,D$27,D$28,D$33),0),"")</f>
        <v/>
      </c>
      <c r="AD25" s="2" t="str">
        <f>+IFERROR(RANK(E25,(E$6,E$15,E$22,E$26,E$27,E$28,E$33),0),"")</f>
        <v/>
      </c>
      <c r="AE25" s="2" t="str">
        <f>+IFERROR(RANK(F25,(F$6,F$15,F$22,F$26,F$27,F$28,F$33),0),"")</f>
        <v/>
      </c>
      <c r="AF25" s="2" t="str">
        <f>+IFERROR(RANK(G25,(G$6,G$15,G$22,G$26,G$27,G$28,G$33),0),"")</f>
        <v/>
      </c>
      <c r="AG25" s="2" t="str">
        <f>+IFERROR(RANK(H25,(H$6,H$15,H$22,H$26,H$27,H$28,H$33),0),"")</f>
        <v/>
      </c>
      <c r="AH25" s="2" t="str">
        <f>+IFERROR(RANK(I25,(I$6,I$15,I$22,I$26,I$27,I$28,I$33),0),"")</f>
        <v/>
      </c>
      <c r="AI25" s="2" t="str">
        <f>+IFERROR(RANK(J25,(J$6,J$15,J$22,J$26,J$27,J$28,J$33),0),"")</f>
        <v/>
      </c>
      <c r="AJ25" s="2" t="str">
        <f>+IFERROR(RANK(K25,(K$6,K$15,K$22,K$26,K$27,K$28,K$33),0),"")</f>
        <v/>
      </c>
      <c r="AK25" s="2" t="str">
        <f>+IFERROR(RANK(L25,(L$6,L$15,L$22,L$26,L$27,L$28,L$33),0),"")</f>
        <v/>
      </c>
    </row>
    <row r="26" spans="1:40" ht="18" customHeight="1">
      <c r="A26" s="572" t="s">
        <v>519</v>
      </c>
      <c r="B26" s="646">
        <v>2196</v>
      </c>
      <c r="C26" s="646">
        <v>2940</v>
      </c>
      <c r="D26" s="646">
        <v>3624</v>
      </c>
      <c r="E26" s="646">
        <v>4439.9999999999991</v>
      </c>
      <c r="F26" s="646">
        <v>5219</v>
      </c>
      <c r="G26" s="646">
        <v>6854</v>
      </c>
      <c r="H26" s="646">
        <v>10026</v>
      </c>
      <c r="I26" s="646">
        <v>9885</v>
      </c>
      <c r="J26" s="646">
        <v>11408</v>
      </c>
      <c r="K26" s="646">
        <v>12212</v>
      </c>
      <c r="L26" s="646">
        <v>13062</v>
      </c>
      <c r="N26" s="559">
        <f t="shared" si="5"/>
        <v>494.80874316939889</v>
      </c>
      <c r="O26" s="419">
        <f t="shared" si="6"/>
        <v>10866</v>
      </c>
      <c r="P26" s="559">
        <f t="shared" si="7"/>
        <v>1.9892926053754389</v>
      </c>
      <c r="Q26" s="559">
        <f t="shared" si="8"/>
        <v>2.5342424425270038</v>
      </c>
      <c r="R26" s="559">
        <f t="shared" si="9"/>
        <v>2.8482504951428798</v>
      </c>
      <c r="S26" s="559">
        <f t="shared" si="10"/>
        <v>3.1647599700630797</v>
      </c>
      <c r="T26" s="559">
        <f t="shared" si="11"/>
        <v>3.0827844886145508</v>
      </c>
      <c r="U26" s="559">
        <f t="shared" si="12"/>
        <v>3.2547736521941473</v>
      </c>
      <c r="V26" s="559">
        <f t="shared" si="13"/>
        <v>4.6041302161544113</v>
      </c>
      <c r="W26" s="559">
        <f t="shared" si="14"/>
        <v>4.3256039873448175</v>
      </c>
      <c r="X26" s="559">
        <f t="shared" si="15"/>
        <v>3.5425490951097403</v>
      </c>
      <c r="Y26" s="559">
        <f t="shared" si="16"/>
        <v>2.9441900945795756</v>
      </c>
      <c r="Z26" s="559">
        <f t="shared" si="17"/>
        <v>2.5622666899445443</v>
      </c>
      <c r="AA26" s="2">
        <f>+IFERROR(RANK(B26,(B$6,B$15,B$22,B$26,B$27,B$28,B$33),0),"")</f>
        <v>4</v>
      </c>
      <c r="AB26" s="2">
        <f>+IFERROR(RANK(C26,(C$6,C$15,C$22,C$26,C$27,C$28,C$33),0),"")</f>
        <v>4</v>
      </c>
      <c r="AC26" s="2">
        <f>+IFERROR(RANK(D26,(D$6,D$15,D$22,D$26,D$27,D$28,D$33),0),"")</f>
        <v>3</v>
      </c>
      <c r="AD26" s="2">
        <f>+IFERROR(RANK(E26,(E$6,E$15,E$22,E$26,E$27,E$28,E$33),0),"")</f>
        <v>3</v>
      </c>
      <c r="AE26" s="2">
        <f>+IFERROR(RANK(F26,(F$6,F$15,F$22,F$26,F$27,F$28,F$33),0),"")</f>
        <v>3</v>
      </c>
      <c r="AF26" s="2">
        <f>+IFERROR(RANK(G26,(G$6,G$15,G$22,G$26,G$27,G$28,G$33),0),"")</f>
        <v>3</v>
      </c>
      <c r="AG26" s="2">
        <f>+IFERROR(RANK(H26,(H$6,H$15,H$22,H$26,H$27,H$28,H$33),0),"")</f>
        <v>3</v>
      </c>
      <c r="AH26" s="2">
        <f>+IFERROR(RANK(I26,(I$6,I$15,I$22,I$26,I$27,I$28,I$33),0),"")</f>
        <v>3</v>
      </c>
      <c r="AI26" s="2">
        <f>+IFERROR(RANK(J26,(J$6,J$15,J$22,J$26,J$27,J$28,J$33),0),"")</f>
        <v>3</v>
      </c>
      <c r="AJ26" s="2">
        <f>+IFERROR(RANK(K26,(K$6,K$15,K$22,K$26,K$27,K$28,K$33),0),"")</f>
        <v>4</v>
      </c>
      <c r="AK26" s="2">
        <f>+IFERROR(RANK(L26,(L$6,L$15,L$22,L$26,L$27,L$28,L$33),0),"")</f>
        <v>4</v>
      </c>
    </row>
    <row r="27" spans="1:40" ht="18" customHeight="1">
      <c r="A27" s="572" t="s">
        <v>520</v>
      </c>
      <c r="B27" s="646">
        <v>961</v>
      </c>
      <c r="C27" s="646">
        <v>984.00000000000023</v>
      </c>
      <c r="D27" s="646">
        <v>1091.0000000000002</v>
      </c>
      <c r="E27" s="646">
        <v>1196</v>
      </c>
      <c r="F27" s="646">
        <v>1242</v>
      </c>
      <c r="G27" s="646">
        <v>2118</v>
      </c>
      <c r="H27" s="646">
        <v>2298</v>
      </c>
      <c r="I27" s="646">
        <v>2378</v>
      </c>
      <c r="J27" s="646">
        <v>3794.9999999999991</v>
      </c>
      <c r="K27" s="646">
        <v>4535</v>
      </c>
      <c r="L27" s="646">
        <v>5654.0000000000009</v>
      </c>
      <c r="N27" s="559">
        <f t="shared" si="5"/>
        <v>488.34547346514057</v>
      </c>
      <c r="O27" s="419">
        <f t="shared" si="6"/>
        <v>4693.0000000000009</v>
      </c>
      <c r="P27" s="559">
        <f t="shared" si="7"/>
        <v>0.87054198258916071</v>
      </c>
      <c r="Q27" s="559">
        <f t="shared" si="8"/>
        <v>0.84819542974373219</v>
      </c>
      <c r="R27" s="559">
        <f t="shared" si="9"/>
        <v>0.85746172466911774</v>
      </c>
      <c r="S27" s="559">
        <f t="shared" si="10"/>
        <v>0.85248939734131635</v>
      </c>
      <c r="T27" s="559">
        <f t="shared" si="11"/>
        <v>0.73363064473256789</v>
      </c>
      <c r="U27" s="559">
        <f t="shared" si="12"/>
        <v>1.0057791939520286</v>
      </c>
      <c r="V27" s="559">
        <f t="shared" si="13"/>
        <v>1.0552853816799159</v>
      </c>
      <c r="W27" s="559">
        <f t="shared" si="14"/>
        <v>1.0405954761665126</v>
      </c>
      <c r="X27" s="559">
        <f t="shared" si="15"/>
        <v>1.1784689530102963</v>
      </c>
      <c r="Y27" s="559">
        <f t="shared" si="16"/>
        <v>1.0933427840581704</v>
      </c>
      <c r="Z27" s="559">
        <f t="shared" si="17"/>
        <v>1.1090993618853513</v>
      </c>
      <c r="AA27" s="2">
        <f>+IFERROR(RANK(B27,(B$6,B$15,B$22,B$26,B$27,B$28,B$33),0),"")</f>
        <v>6</v>
      </c>
      <c r="AB27" s="2">
        <f>+IFERROR(RANK(C27,(C$6,C$15,C$22,C$26,C$27,C$28,C$33),0),"")</f>
        <v>6</v>
      </c>
      <c r="AC27" s="2">
        <f>+IFERROR(RANK(D27,(D$6,D$15,D$22,D$26,D$27,D$28,D$33),0),"")</f>
        <v>6</v>
      </c>
      <c r="AD27" s="2">
        <f>+IFERROR(RANK(E27,(E$6,E$15,E$22,E$26,E$27,E$28,E$33),0),"")</f>
        <v>6</v>
      </c>
      <c r="AE27" s="2">
        <f>+IFERROR(RANK(F27,(F$6,F$15,F$22,F$26,F$27,F$28,F$33),0),"")</f>
        <v>6</v>
      </c>
      <c r="AF27" s="2">
        <f>+IFERROR(RANK(G27,(G$6,G$15,G$22,G$26,G$27,G$28,G$33),0),"")</f>
        <v>6</v>
      </c>
      <c r="AG27" s="2">
        <f>+IFERROR(RANK(H27,(H$6,H$15,H$22,H$26,H$27,H$28,H$33),0),"")</f>
        <v>6</v>
      </c>
      <c r="AH27" s="2">
        <f>+IFERROR(RANK(I27,(I$6,I$15,I$22,I$26,I$27,I$28,I$33),0),"")</f>
        <v>6</v>
      </c>
      <c r="AI27" s="2">
        <f>+IFERROR(RANK(J27,(J$6,J$15,J$22,J$26,J$27,J$28,J$33),0),"")</f>
        <v>6</v>
      </c>
      <c r="AJ27" s="2">
        <f>+IFERROR(RANK(K27,(K$6,K$15,K$22,K$26,K$27,K$28,K$33),0),"")</f>
        <v>6</v>
      </c>
      <c r="AK27" s="2">
        <f>+IFERROR(RANK(L27,(L$6,L$15,L$22,L$26,L$27,L$28,L$33),0),"")</f>
        <v>6</v>
      </c>
    </row>
    <row r="28" spans="1:40" ht="18" customHeight="1">
      <c r="A28" s="572" t="s">
        <v>515</v>
      </c>
      <c r="B28" s="646">
        <v>3079.0000000000005</v>
      </c>
      <c r="C28" s="646">
        <v>2998</v>
      </c>
      <c r="D28" s="646">
        <v>3572</v>
      </c>
      <c r="E28" s="646">
        <v>3951.9999999999991</v>
      </c>
      <c r="F28" s="646">
        <v>5196.0000000000009</v>
      </c>
      <c r="G28" s="646">
        <v>6583</v>
      </c>
      <c r="H28" s="646">
        <v>8374</v>
      </c>
      <c r="I28" s="646">
        <v>8787</v>
      </c>
      <c r="J28" s="646">
        <v>10822</v>
      </c>
      <c r="K28" s="646">
        <v>12671</v>
      </c>
      <c r="L28" s="646">
        <v>15731</v>
      </c>
      <c r="N28" s="559">
        <f t="shared" si="5"/>
        <v>410.91263397206876</v>
      </c>
      <c r="O28" s="419">
        <f t="shared" si="6"/>
        <v>12652</v>
      </c>
      <c r="P28" s="559">
        <f t="shared" si="7"/>
        <v>2.7891766538938878</v>
      </c>
      <c r="Q28" s="559">
        <f t="shared" si="8"/>
        <v>2.5842377015972646</v>
      </c>
      <c r="R28" s="559">
        <f t="shared" si="9"/>
        <v>2.8073815586783573</v>
      </c>
      <c r="S28" s="559">
        <f t="shared" si="10"/>
        <v>2.8169214868669576</v>
      </c>
      <c r="T28" s="559">
        <f t="shared" si="11"/>
        <v>3.0691987359343185</v>
      </c>
      <c r="U28" s="559">
        <f t="shared" si="12"/>
        <v>3.126083302070918</v>
      </c>
      <c r="V28" s="559">
        <f t="shared" si="13"/>
        <v>3.8455003421181968</v>
      </c>
      <c r="W28" s="559">
        <f t="shared" si="14"/>
        <v>3.8451271863226011</v>
      </c>
      <c r="X28" s="559">
        <f t="shared" si="15"/>
        <v>3.3605773411007722</v>
      </c>
      <c r="Y28" s="559">
        <f t="shared" si="16"/>
        <v>3.0548503675415826</v>
      </c>
      <c r="Z28" s="559">
        <f t="shared" si="17"/>
        <v>3.0858227912660872</v>
      </c>
      <c r="AA28" s="2">
        <f>+IFERROR(RANK(B28,(B$6,B$15,B$22,B$26,B$27,B$28,B$33),0),"")</f>
        <v>3</v>
      </c>
      <c r="AB28" s="2">
        <f>+IFERROR(RANK(C28,(C$6,C$15,C$22,C$26,C$27,C$28,C$33),0),"")</f>
        <v>3</v>
      </c>
      <c r="AC28" s="2">
        <f>+IFERROR(RANK(D28,(D$6,D$15,D$22,D$26,D$27,D$28,D$33),0),"")</f>
        <v>4</v>
      </c>
      <c r="AD28" s="2">
        <f>+IFERROR(RANK(E28,(E$6,E$15,E$22,E$26,E$27,E$28,E$33),0),"")</f>
        <v>4</v>
      </c>
      <c r="AE28" s="2">
        <f>+IFERROR(RANK(F28,(F$6,F$15,F$22,F$26,F$27,F$28,F$33),0),"")</f>
        <v>4</v>
      </c>
      <c r="AF28" s="2">
        <f>+IFERROR(RANK(G28,(G$6,G$15,G$22,G$26,G$27,G$28,G$33),0),"")</f>
        <v>4</v>
      </c>
      <c r="AG28" s="2">
        <f>+IFERROR(RANK(H28,(H$6,H$15,H$22,H$26,H$27,H$28,H$33),0),"")</f>
        <v>4</v>
      </c>
      <c r="AH28" s="2">
        <f>+IFERROR(RANK(I28,(I$6,I$15,I$22,I$26,I$27,I$28,I$33),0),"")</f>
        <v>4</v>
      </c>
      <c r="AI28" s="2">
        <f>+IFERROR(RANK(J28,(J$6,J$15,J$22,J$26,J$27,J$28,J$33),0),"")</f>
        <v>4</v>
      </c>
      <c r="AJ28" s="2">
        <f>+IFERROR(RANK(K28,(K$6,K$15,K$22,K$26,K$27,K$28,K$33),0),"")</f>
        <v>3</v>
      </c>
      <c r="AK28" s="2">
        <f>+IFERROR(RANK(L28,(L$6,L$15,L$22,L$26,L$27,L$28,L$33),0),"")</f>
        <v>3</v>
      </c>
    </row>
    <row r="29" spans="1:40" ht="18" customHeight="1">
      <c r="A29" s="572" t="s">
        <v>521</v>
      </c>
      <c r="B29" s="646">
        <v>621.99999999999989</v>
      </c>
      <c r="C29" s="646">
        <v>657.99999999999989</v>
      </c>
      <c r="D29" s="646">
        <v>923</v>
      </c>
      <c r="E29" s="646">
        <v>1149</v>
      </c>
      <c r="F29" s="646">
        <v>784</v>
      </c>
      <c r="G29" s="646">
        <v>1303</v>
      </c>
      <c r="H29" s="646">
        <v>1359</v>
      </c>
      <c r="I29" s="646">
        <v>839</v>
      </c>
      <c r="J29" s="646">
        <v>1091</v>
      </c>
      <c r="K29" s="646">
        <v>1952.9999999999998</v>
      </c>
      <c r="L29" s="646">
        <v>1982</v>
      </c>
      <c r="N29" s="559">
        <f t="shared" si="5"/>
        <v>218.64951768488754</v>
      </c>
      <c r="O29" s="419">
        <f t="shared" si="6"/>
        <v>1360</v>
      </c>
      <c r="P29" s="559">
        <f t="shared" si="7"/>
        <v>0.56345173066644938</v>
      </c>
      <c r="Q29" s="559">
        <f t="shared" si="8"/>
        <v>0.5671875942798531</v>
      </c>
      <c r="R29" s="559">
        <f t="shared" si="9"/>
        <v>0.72542362224527546</v>
      </c>
      <c r="S29" s="559">
        <f t="shared" si="10"/>
        <v>0.81898855982037833</v>
      </c>
      <c r="T29" s="559">
        <f t="shared" si="11"/>
        <v>0.46309696092619423</v>
      </c>
      <c r="U29" s="559">
        <f t="shared" si="12"/>
        <v>0.6187583993009883</v>
      </c>
      <c r="V29" s="559">
        <f t="shared" si="13"/>
        <v>0.62407869177676489</v>
      </c>
      <c r="W29" s="559">
        <f t="shared" si="14"/>
        <v>0.36714028784848779</v>
      </c>
      <c r="X29" s="559">
        <f t="shared" si="15"/>
        <v>0.33879041574024599</v>
      </c>
      <c r="Y29" s="559">
        <f t="shared" si="16"/>
        <v>0.4708486124069694</v>
      </c>
      <c r="Z29" s="559">
        <f t="shared" si="17"/>
        <v>0.3887928785385153</v>
      </c>
      <c r="AA29" s="2" t="str">
        <f>+IFERROR(RANK(B29,(B$6,B$15,B$22,B$26,B$27,B$28,B$33),0),"")</f>
        <v/>
      </c>
      <c r="AB29" s="2" t="str">
        <f>+IFERROR(RANK(C29,(C$6,C$15,C$22,C$26,C$27,C$28,C$33),0),"")</f>
        <v/>
      </c>
      <c r="AC29" s="2" t="str">
        <f>+IFERROR(RANK(D29,(D$6,D$15,D$22,D$26,D$27,D$28,D$33),0),"")</f>
        <v/>
      </c>
      <c r="AD29" s="2" t="str">
        <f>+IFERROR(RANK(E29,(E$6,E$15,E$22,E$26,E$27,E$28,E$33),0),"")</f>
        <v/>
      </c>
      <c r="AE29" s="2" t="str">
        <f>+IFERROR(RANK(F29,(F$6,F$15,F$22,F$26,F$27,F$28,F$33),0),"")</f>
        <v/>
      </c>
      <c r="AF29" s="2" t="str">
        <f>+IFERROR(RANK(G29,(G$6,G$15,G$22,G$26,G$27,G$28,G$33),0),"")</f>
        <v/>
      </c>
      <c r="AG29" s="2" t="str">
        <f>+IFERROR(RANK(H29,(H$6,H$15,H$22,H$26,H$27,H$28,H$33),0),"")</f>
        <v/>
      </c>
      <c r="AH29" s="2" t="str">
        <f>+IFERROR(RANK(I29,(I$6,I$15,I$22,I$26,I$27,I$28,I$33),0),"")</f>
        <v/>
      </c>
      <c r="AI29" s="2" t="str">
        <f>+IFERROR(RANK(J29,(J$6,J$15,J$22,J$26,J$27,J$28,J$33),0),"")</f>
        <v/>
      </c>
      <c r="AJ29" s="2" t="str">
        <f>+IFERROR(RANK(K29,(K$6,K$15,K$22,K$26,K$27,K$28,K$33),0),"")</f>
        <v/>
      </c>
      <c r="AK29" s="2" t="str">
        <f>+IFERROR(RANK(L29,(L$6,L$15,L$22,L$26,L$27,L$28,L$33),0),"")</f>
        <v/>
      </c>
    </row>
    <row r="30" spans="1:40" ht="18" customHeight="1">
      <c r="A30" s="572" t="s">
        <v>522</v>
      </c>
      <c r="B30" s="646">
        <v>1011.0000000000001</v>
      </c>
      <c r="C30" s="646">
        <v>1059</v>
      </c>
      <c r="D30" s="646">
        <v>1154.9999999999998</v>
      </c>
      <c r="E30" s="646">
        <v>1363.0000000000002</v>
      </c>
      <c r="F30" s="646">
        <v>1577.0000000000002</v>
      </c>
      <c r="G30" s="646">
        <v>1928</v>
      </c>
      <c r="H30" s="646">
        <v>1992.9999999999995</v>
      </c>
      <c r="I30" s="646">
        <v>2121.0000000000005</v>
      </c>
      <c r="J30" s="646">
        <v>3045</v>
      </c>
      <c r="K30" s="646">
        <v>4019</v>
      </c>
      <c r="L30" s="646">
        <v>4770</v>
      </c>
      <c r="N30" s="559">
        <f t="shared" si="5"/>
        <v>371.81008902077144</v>
      </c>
      <c r="O30" s="419">
        <f t="shared" si="6"/>
        <v>3759</v>
      </c>
      <c r="P30" s="559">
        <f t="shared" si="7"/>
        <v>0.91583553007038665</v>
      </c>
      <c r="Q30" s="559">
        <f t="shared" si="8"/>
        <v>0.91284447164493099</v>
      </c>
      <c r="R30" s="559">
        <f t="shared" si="9"/>
        <v>0.90776195416391425</v>
      </c>
      <c r="S30" s="559">
        <f t="shared" si="10"/>
        <v>0.9715242881072027</v>
      </c>
      <c r="T30" s="559">
        <f t="shared" si="11"/>
        <v>0.93151008594465368</v>
      </c>
      <c r="U30" s="559">
        <f t="shared" si="12"/>
        <v>0.91555348722356522</v>
      </c>
      <c r="V30" s="559">
        <f t="shared" si="13"/>
        <v>0.91522357079550565</v>
      </c>
      <c r="W30" s="559">
        <f t="shared" si="14"/>
        <v>0.92813414842269704</v>
      </c>
      <c r="X30" s="559">
        <f t="shared" si="15"/>
        <v>0.94556995043909176</v>
      </c>
      <c r="Y30" s="559">
        <f t="shared" si="16"/>
        <v>0.96894038569565299</v>
      </c>
      <c r="Z30" s="559">
        <f t="shared" si="17"/>
        <v>0.93569224552407571</v>
      </c>
      <c r="AA30" s="2" t="str">
        <f>+IFERROR(RANK(B30,(B$6,B$15,B$22,B$26,B$27,B$28,B$33),0),"")</f>
        <v/>
      </c>
      <c r="AB30" s="2" t="str">
        <f>+IFERROR(RANK(C30,(C$6,C$15,C$22,C$26,C$27,C$28,C$33),0),"")</f>
        <v/>
      </c>
      <c r="AC30" s="2" t="str">
        <f>+IFERROR(RANK(D30,(D$6,D$15,D$22,D$26,D$27,D$28,D$33),0),"")</f>
        <v/>
      </c>
      <c r="AD30" s="2" t="str">
        <f>+IFERROR(RANK(E30,(E$6,E$15,E$22,E$26,E$27,E$28,E$33),0),"")</f>
        <v/>
      </c>
      <c r="AE30" s="2" t="str">
        <f>+IFERROR(RANK(F30,(F$6,F$15,F$22,F$26,F$27,F$28,F$33),0),"")</f>
        <v/>
      </c>
      <c r="AF30" s="2" t="str">
        <f>+IFERROR(RANK(G30,(G$6,G$15,G$22,G$26,G$27,G$28,G$33),0),"")</f>
        <v/>
      </c>
      <c r="AG30" s="2" t="str">
        <f>+IFERROR(RANK(H30,(H$6,H$15,H$22,H$26,H$27,H$28,H$33),0),"")</f>
        <v/>
      </c>
      <c r="AH30" s="2" t="str">
        <f>+IFERROR(RANK(I30,(I$6,I$15,I$22,I$26,I$27,I$28,I$33),0),"")</f>
        <v/>
      </c>
      <c r="AI30" s="2" t="str">
        <f>+IFERROR(RANK(J30,(J$6,J$15,J$22,J$26,J$27,J$28,J$33),0),"")</f>
        <v/>
      </c>
      <c r="AJ30" s="2" t="str">
        <f>+IFERROR(RANK(K30,(K$6,K$15,K$22,K$26,K$27,K$28,K$33),0),"")</f>
        <v/>
      </c>
      <c r="AK30" s="2" t="str">
        <f>+IFERROR(RANK(L30,(L$6,L$15,L$22,L$26,L$27,L$28,L$33),0),"")</f>
        <v/>
      </c>
    </row>
    <row r="31" spans="1:40" s="18" customFormat="1" ht="20.100000000000001" customHeight="1">
      <c r="A31" s="17" t="s">
        <v>523</v>
      </c>
      <c r="B31" s="689">
        <v>14790.000000000004</v>
      </c>
      <c r="C31" s="689">
        <v>15565.000000000005</v>
      </c>
      <c r="D31" s="689">
        <v>17115</v>
      </c>
      <c r="E31" s="689">
        <v>19795</v>
      </c>
      <c r="F31" s="689">
        <v>24122</v>
      </c>
      <c r="G31" s="689">
        <v>29269.999999999993</v>
      </c>
      <c r="H31" s="689">
        <v>24212</v>
      </c>
      <c r="I31" s="689">
        <v>25073.000000000004</v>
      </c>
      <c r="J31" s="689">
        <v>34702</v>
      </c>
      <c r="K31" s="689">
        <v>43171.000000000007</v>
      </c>
      <c r="L31" s="689">
        <v>52164.000000000007</v>
      </c>
      <c r="N31" s="559">
        <f t="shared" si="5"/>
        <v>252.69776876267747</v>
      </c>
      <c r="O31" s="419">
        <f t="shared" si="6"/>
        <v>37374</v>
      </c>
      <c r="P31" s="559">
        <f t="shared" si="7"/>
        <v>13.397831344946608</v>
      </c>
      <c r="Q31" s="559">
        <f t="shared" si="8"/>
        <v>13.416831162562186</v>
      </c>
      <c r="R31" s="559">
        <f t="shared" si="9"/>
        <v>13.451381684428915</v>
      </c>
      <c r="S31" s="559">
        <f t="shared" si="10"/>
        <v>14.109554866531235</v>
      </c>
      <c r="T31" s="559">
        <f t="shared" si="11"/>
        <v>14.248501137068441</v>
      </c>
      <c r="U31" s="559">
        <f t="shared" si="12"/>
        <v>13.899507557590116</v>
      </c>
      <c r="V31" s="559">
        <f t="shared" si="13"/>
        <v>11.11861168896176</v>
      </c>
      <c r="W31" s="559">
        <f t="shared" si="14"/>
        <v>10.971762142103858</v>
      </c>
      <c r="X31" s="559">
        <f t="shared" si="15"/>
        <v>10.776081582967935</v>
      </c>
      <c r="Y31" s="559">
        <f t="shared" si="16"/>
        <v>10.408092906411309</v>
      </c>
      <c r="Z31" s="559">
        <f t="shared" si="17"/>
        <v>10.232589160485931</v>
      </c>
      <c r="AA31" s="2" t="str">
        <f>+IFERROR(RANK(B31,(B$6,B$15,B$22,B$26,B$27,B$28,B$33),0),"")</f>
        <v/>
      </c>
      <c r="AB31" s="2" t="str">
        <f>+IFERROR(RANK(C31,(C$6,C$15,C$22,C$26,C$27,C$28,C$33),0),"")</f>
        <v/>
      </c>
      <c r="AC31" s="2" t="str">
        <f>+IFERROR(RANK(D31,(D$6,D$15,D$22,D$26,D$27,D$28,D$33),0),"")</f>
        <v/>
      </c>
      <c r="AD31" s="2" t="str">
        <f>+IFERROR(RANK(E31,(E$6,E$15,E$22,E$26,E$27,E$28,E$33),0),"")</f>
        <v/>
      </c>
      <c r="AE31" s="2" t="str">
        <f>+IFERROR(RANK(F31,(F$6,F$15,F$22,F$26,F$27,F$28,F$33),0),"")</f>
        <v/>
      </c>
      <c r="AF31" s="2" t="str">
        <f>+IFERROR(RANK(G31,(G$6,G$15,G$22,G$26,G$27,G$28,G$33),0),"")</f>
        <v/>
      </c>
      <c r="AG31" s="2" t="str">
        <f>+IFERROR(RANK(H31,(H$6,H$15,H$22,H$26,H$27,H$28,H$33),0),"")</f>
        <v/>
      </c>
      <c r="AH31" s="2" t="str">
        <f>+IFERROR(RANK(I31,(I$6,I$15,I$22,I$26,I$27,I$28,I$33),0),"")</f>
        <v/>
      </c>
      <c r="AI31" s="2" t="str">
        <f>+IFERROR(RANK(J31,(J$6,J$15,J$22,J$26,J$27,J$28,J$33),0),"")</f>
        <v/>
      </c>
      <c r="AJ31" s="2" t="str">
        <f>+IFERROR(RANK(K31,(K$6,K$15,K$22,K$26,K$27,K$28,K$33),0),"")</f>
        <v/>
      </c>
      <c r="AK31" s="2" t="str">
        <f>+IFERROR(RANK(L31,(L$6,L$15,L$22,L$26,L$27,L$28,L$33),0),"")</f>
        <v/>
      </c>
      <c r="AL31" s="686"/>
      <c r="AM31" s="686"/>
      <c r="AN31" s="686"/>
    </row>
    <row r="32" spans="1:40" ht="15" customHeight="1">
      <c r="A32" s="19" t="s">
        <v>769</v>
      </c>
      <c r="B32" s="16"/>
      <c r="C32" s="16"/>
      <c r="D32" s="16"/>
      <c r="E32" s="16"/>
      <c r="F32" s="16"/>
      <c r="G32" s="16"/>
      <c r="H32" s="16"/>
      <c r="I32" s="16"/>
      <c r="J32" s="16"/>
      <c r="K32" s="16"/>
      <c r="L32" s="16"/>
      <c r="P32" s="682"/>
      <c r="Q32" s="681"/>
      <c r="U32" s="682"/>
      <c r="V32" s="678"/>
      <c r="W32" s="678"/>
      <c r="X32" s="678"/>
      <c r="Y32" s="678"/>
      <c r="Z32" s="678"/>
      <c r="AA32" s="678"/>
      <c r="AB32" s="678"/>
      <c r="AC32" s="678"/>
      <c r="AD32" s="678"/>
      <c r="AE32" s="678"/>
    </row>
    <row r="33" spans="16:31">
      <c r="P33" s="682"/>
      <c r="Q33" s="681"/>
      <c r="U33" s="682"/>
      <c r="V33" s="678"/>
      <c r="W33" s="678"/>
      <c r="X33" s="678"/>
      <c r="Y33" s="678"/>
      <c r="Z33" s="678"/>
      <c r="AA33" s="678"/>
      <c r="AB33" s="678"/>
      <c r="AC33" s="678"/>
      <c r="AD33" s="678"/>
      <c r="AE33" s="678"/>
    </row>
    <row r="34" spans="16:31">
      <c r="P34" s="682"/>
      <c r="Q34" s="681"/>
      <c r="U34" s="682"/>
      <c r="V34" s="678"/>
      <c r="W34" s="678"/>
      <c r="X34" s="678"/>
      <c r="Y34" s="678"/>
      <c r="Z34" s="678"/>
      <c r="AA34" s="678"/>
      <c r="AB34" s="678"/>
      <c r="AC34" s="678"/>
      <c r="AD34" s="678"/>
      <c r="AE34" s="678"/>
    </row>
    <row r="35" spans="16:31">
      <c r="P35" s="682"/>
      <c r="Q35" s="681"/>
      <c r="U35" s="682"/>
      <c r="V35" s="678"/>
      <c r="W35" s="678"/>
      <c r="X35" s="678"/>
      <c r="Y35" s="678"/>
      <c r="Z35" s="678"/>
      <c r="AA35" s="678"/>
      <c r="AB35" s="678"/>
      <c r="AC35" s="678"/>
      <c r="AD35" s="678"/>
      <c r="AE35" s="678"/>
    </row>
    <row r="36" spans="16:31">
      <c r="P36" s="682"/>
      <c r="Q36" s="681"/>
      <c r="U36" s="682"/>
      <c r="V36" s="678"/>
      <c r="W36" s="678"/>
      <c r="X36" s="678"/>
      <c r="Y36" s="678"/>
      <c r="Z36" s="678"/>
      <c r="AA36" s="678"/>
      <c r="AB36" s="678"/>
      <c r="AC36" s="678"/>
      <c r="AD36" s="678"/>
      <c r="AE36" s="678"/>
    </row>
    <row r="37" spans="16:31">
      <c r="P37" s="682"/>
      <c r="Q37" s="681"/>
      <c r="U37" s="682"/>
      <c r="V37" s="678"/>
      <c r="W37" s="678"/>
      <c r="X37" s="678"/>
      <c r="Y37" s="678"/>
      <c r="Z37" s="678"/>
      <c r="AA37" s="678"/>
      <c r="AB37" s="678"/>
      <c r="AC37" s="678"/>
      <c r="AD37" s="678"/>
      <c r="AE37" s="678"/>
    </row>
    <row r="38" spans="16:31">
      <c r="P38" s="682"/>
      <c r="Q38" s="681"/>
      <c r="U38" s="682"/>
      <c r="V38" s="678"/>
      <c r="W38" s="678"/>
      <c r="X38" s="678"/>
      <c r="Y38" s="678"/>
      <c r="Z38" s="678"/>
      <c r="AA38" s="678"/>
      <c r="AB38" s="678"/>
      <c r="AC38" s="678"/>
      <c r="AD38" s="678"/>
      <c r="AE38" s="678"/>
    </row>
    <row r="39" spans="16:31">
      <c r="P39" s="685"/>
      <c r="Q39" s="681"/>
      <c r="U39" s="685"/>
      <c r="V39" s="678"/>
      <c r="W39" s="678"/>
      <c r="X39" s="678"/>
      <c r="Y39" s="678"/>
      <c r="Z39" s="678"/>
      <c r="AA39" s="678"/>
      <c r="AB39" s="678"/>
      <c r="AC39" s="678"/>
      <c r="AD39" s="678"/>
      <c r="AE39" s="678"/>
    </row>
    <row r="40" spans="16:31">
      <c r="P40" s="685"/>
      <c r="Q40" s="681"/>
      <c r="U40" s="685"/>
      <c r="V40" s="678"/>
      <c r="W40" s="678"/>
      <c r="X40" s="678"/>
      <c r="Y40" s="678"/>
      <c r="Z40" s="678"/>
      <c r="AA40" s="678"/>
      <c r="AB40" s="678"/>
      <c r="AC40" s="678"/>
      <c r="AD40" s="678"/>
      <c r="AE40" s="678"/>
    </row>
    <row r="41" spans="16:31">
      <c r="P41" s="682"/>
      <c r="Q41" s="681"/>
      <c r="U41" s="682"/>
      <c r="V41" s="678"/>
      <c r="W41" s="678"/>
      <c r="X41" s="678"/>
      <c r="Y41" s="678"/>
      <c r="Z41" s="678"/>
      <c r="AA41" s="678"/>
      <c r="AB41" s="678"/>
      <c r="AC41" s="678"/>
      <c r="AD41" s="678"/>
      <c r="AE41" s="678"/>
    </row>
    <row r="42" spans="16:31">
      <c r="P42" s="682"/>
      <c r="Q42" s="681"/>
      <c r="U42" s="682"/>
      <c r="V42" s="678"/>
      <c r="W42" s="678"/>
      <c r="X42" s="678"/>
      <c r="Y42" s="678"/>
      <c r="Z42" s="678"/>
      <c r="AA42" s="678"/>
      <c r="AB42" s="678"/>
      <c r="AC42" s="678"/>
      <c r="AD42" s="678"/>
      <c r="AE42" s="678"/>
    </row>
    <row r="43" spans="16:31">
      <c r="P43" s="682"/>
      <c r="Q43" s="681"/>
      <c r="U43" s="682"/>
      <c r="V43" s="678"/>
      <c r="W43" s="678"/>
      <c r="X43" s="678"/>
      <c r="Y43" s="678"/>
      <c r="Z43" s="678"/>
      <c r="AA43" s="678"/>
      <c r="AB43" s="678"/>
      <c r="AC43" s="678"/>
      <c r="AD43" s="678"/>
      <c r="AE43" s="678"/>
    </row>
    <row r="44" spans="16:31">
      <c r="P44" s="682"/>
      <c r="Q44" s="681"/>
      <c r="U44" s="682"/>
      <c r="V44" s="678"/>
      <c r="W44" s="678"/>
      <c r="X44" s="678"/>
      <c r="Y44" s="678"/>
      <c r="Z44" s="678"/>
      <c r="AA44" s="678"/>
      <c r="AB44" s="678"/>
      <c r="AC44" s="678"/>
      <c r="AD44" s="678"/>
      <c r="AE44" s="678"/>
    </row>
    <row r="45" spans="16:31">
      <c r="P45" s="682"/>
      <c r="Q45" s="681"/>
      <c r="U45" s="682"/>
      <c r="V45" s="678"/>
      <c r="W45" s="678"/>
      <c r="X45" s="678"/>
      <c r="Y45" s="678"/>
      <c r="Z45" s="678"/>
      <c r="AA45" s="678"/>
      <c r="AB45" s="678"/>
      <c r="AC45" s="678"/>
      <c r="AD45" s="678"/>
      <c r="AE45" s="678"/>
    </row>
    <row r="46" spans="16:31">
      <c r="P46" s="685"/>
      <c r="Q46" s="681"/>
      <c r="U46" s="685"/>
    </row>
    <row r="47" spans="16:31">
      <c r="P47" s="679"/>
      <c r="Q47" s="687"/>
    </row>
    <row r="48" spans="16:31" ht="12.75">
      <c r="Q48" s="681"/>
      <c r="R48" s="688"/>
      <c r="S48" s="688"/>
      <c r="T48" s="675"/>
      <c r="U48" s="675"/>
      <c r="V48" s="675"/>
      <c r="W48" s="675"/>
      <c r="X48" s="675"/>
      <c r="Y48" s="675"/>
      <c r="Z48" s="675"/>
      <c r="AA48" s="675"/>
    </row>
    <row r="49" spans="7:31">
      <c r="P49" s="685"/>
      <c r="R49" s="678"/>
      <c r="S49" s="678"/>
      <c r="T49" s="678"/>
      <c r="U49" s="700"/>
      <c r="V49" s="698"/>
      <c r="W49" s="698"/>
      <c r="X49" s="698"/>
      <c r="Y49" s="698"/>
      <c r="Z49" s="698"/>
      <c r="AA49" s="698"/>
      <c r="AB49" s="698"/>
      <c r="AC49" s="698"/>
      <c r="AD49" s="698"/>
      <c r="AE49" s="698"/>
    </row>
    <row r="50" spans="7:31" ht="12.75">
      <c r="G50" s="419"/>
      <c r="H50" s="419"/>
      <c r="P50" s="685"/>
      <c r="Q50" s="678"/>
      <c r="U50" s="698"/>
      <c r="V50" s="688"/>
      <c r="W50" s="688"/>
      <c r="X50" s="688"/>
      <c r="Y50" s="688"/>
      <c r="Z50" s="688"/>
      <c r="AA50" s="688"/>
      <c r="AB50" s="688"/>
      <c r="AC50" s="688"/>
      <c r="AD50" s="688"/>
      <c r="AE50" s="688"/>
    </row>
    <row r="51" spans="7:31">
      <c r="P51" s="685"/>
      <c r="U51" s="696"/>
      <c r="V51" s="681"/>
      <c r="W51" s="681"/>
      <c r="X51" s="681"/>
      <c r="Y51" s="681"/>
      <c r="Z51" s="681"/>
      <c r="AA51" s="681"/>
      <c r="AB51" s="681"/>
      <c r="AC51" s="681"/>
      <c r="AD51" s="681"/>
      <c r="AE51" s="681"/>
    </row>
    <row r="52" spans="7:31">
      <c r="P52" s="685"/>
      <c r="U52" s="685"/>
      <c r="V52" s="681"/>
      <c r="W52" s="681"/>
      <c r="X52" s="681"/>
      <c r="Y52" s="681"/>
      <c r="Z52" s="681"/>
      <c r="AA52" s="681"/>
      <c r="AB52" s="681"/>
      <c r="AC52" s="681"/>
      <c r="AD52" s="681"/>
      <c r="AE52" s="681"/>
    </row>
    <row r="53" spans="7:31">
      <c r="P53" s="685"/>
      <c r="U53" s="685"/>
      <c r="V53" s="681"/>
      <c r="W53" s="681"/>
      <c r="X53" s="681"/>
      <c r="Y53" s="681"/>
      <c r="Z53" s="681"/>
      <c r="AA53" s="681"/>
      <c r="AB53" s="681"/>
      <c r="AC53" s="681"/>
      <c r="AD53" s="681"/>
      <c r="AE53" s="681"/>
    </row>
    <row r="54" spans="7:31">
      <c r="P54" s="685"/>
      <c r="U54" s="685"/>
      <c r="V54" s="681"/>
      <c r="W54" s="681"/>
      <c r="X54" s="681"/>
      <c r="Y54" s="681"/>
      <c r="Z54" s="681"/>
      <c r="AA54" s="681"/>
      <c r="AB54" s="681"/>
      <c r="AC54" s="681"/>
      <c r="AD54" s="681"/>
      <c r="AE54" s="681"/>
    </row>
    <row r="55" spans="7:31">
      <c r="P55" s="685"/>
      <c r="Q55" s="678"/>
      <c r="R55" s="678"/>
      <c r="S55" s="678"/>
      <c r="T55" s="678"/>
      <c r="U55" s="685"/>
      <c r="V55" s="681"/>
      <c r="W55" s="681"/>
      <c r="X55" s="681"/>
      <c r="Y55" s="681"/>
      <c r="Z55" s="681"/>
      <c r="AA55" s="681"/>
      <c r="AB55" s="681"/>
      <c r="AC55" s="681"/>
      <c r="AD55" s="681"/>
      <c r="AE55" s="681"/>
    </row>
    <row r="56" spans="7:31">
      <c r="U56" s="685"/>
      <c r="V56" s="681"/>
      <c r="W56" s="681"/>
      <c r="X56" s="681"/>
      <c r="Y56" s="681"/>
      <c r="Z56" s="681"/>
      <c r="AA56" s="681"/>
      <c r="AB56" s="681"/>
      <c r="AC56" s="681"/>
      <c r="AD56" s="681"/>
      <c r="AE56" s="681"/>
    </row>
    <row r="57" spans="7:31">
      <c r="U57" s="685"/>
      <c r="V57" s="681"/>
      <c r="W57" s="681"/>
      <c r="X57" s="681"/>
      <c r="Y57" s="681"/>
      <c r="Z57" s="681"/>
      <c r="AA57" s="681"/>
      <c r="AB57" s="681"/>
      <c r="AC57" s="681"/>
      <c r="AD57" s="681"/>
      <c r="AE57" s="678"/>
    </row>
    <row r="58" spans="7:31">
      <c r="U58" s="685"/>
      <c r="V58" s="681"/>
      <c r="W58" s="681"/>
      <c r="X58" s="681"/>
      <c r="Y58" s="681"/>
      <c r="Z58" s="681"/>
      <c r="AA58" s="681"/>
      <c r="AB58" s="681"/>
      <c r="AC58" s="681"/>
      <c r="AD58" s="681"/>
      <c r="AE58" s="681"/>
    </row>
  </sheetData>
  <mergeCells count="1">
    <mergeCell ref="A1:L1"/>
  </mergeCells>
  <conditionalFormatting sqref="B32">
    <cfRule type="cellIs" dxfId="1454" priority="136" operator="equal">
      <formula>0</formula>
    </cfRule>
  </conditionalFormatting>
  <conditionalFormatting sqref="C32">
    <cfRule type="cellIs" dxfId="1453" priority="135" operator="equal">
      <formula>0</formula>
    </cfRule>
  </conditionalFormatting>
  <conditionalFormatting sqref="F32">
    <cfRule type="cellIs" dxfId="1452" priority="134" operator="equal">
      <formula>0</formula>
    </cfRule>
  </conditionalFormatting>
  <conditionalFormatting sqref="D32">
    <cfRule type="cellIs" dxfId="1451" priority="133" operator="equal">
      <formula>0</formula>
    </cfRule>
  </conditionalFormatting>
  <conditionalFormatting sqref="E32">
    <cfRule type="cellIs" dxfId="1450" priority="132" operator="equal">
      <formula>0</formula>
    </cfRule>
  </conditionalFormatting>
  <conditionalFormatting sqref="G32">
    <cfRule type="cellIs" dxfId="1449" priority="131" operator="equal">
      <formula>0</formula>
    </cfRule>
  </conditionalFormatting>
  <conditionalFormatting sqref="H32">
    <cfRule type="cellIs" dxfId="1448" priority="130" operator="equal">
      <formula>0</formula>
    </cfRule>
  </conditionalFormatting>
  <conditionalFormatting sqref="I32">
    <cfRule type="cellIs" dxfId="1447" priority="129" operator="equal">
      <formula>0</formula>
    </cfRule>
  </conditionalFormatting>
  <conditionalFormatting sqref="J32">
    <cfRule type="cellIs" dxfId="1446" priority="128" operator="equal">
      <formula>0</formula>
    </cfRule>
  </conditionalFormatting>
  <conditionalFormatting sqref="K32">
    <cfRule type="cellIs" dxfId="1445" priority="127" operator="equal">
      <formula>0</formula>
    </cfRule>
  </conditionalFormatting>
  <conditionalFormatting sqref="L32">
    <cfRule type="cellIs" dxfId="1444" priority="126" operator="equal">
      <formula>0</formula>
    </cfRule>
  </conditionalFormatting>
  <conditionalFormatting sqref="U60:AE61">
    <cfRule type="cellIs" dxfId="1443" priority="123" operator="equal">
      <formula>0</formula>
    </cfRule>
    <cfRule type="cellIs" priority="124" operator="equal">
      <formula>0</formula>
    </cfRule>
  </conditionalFormatting>
  <conditionalFormatting sqref="U49:AE49">
    <cfRule type="cellIs" dxfId="1442" priority="122" operator="equal">
      <formula>0</formula>
    </cfRule>
  </conditionalFormatting>
  <conditionalFormatting sqref="B5:B6">
    <cfRule type="cellIs" dxfId="1441" priority="121" operator="equal">
      <formula>0</formula>
    </cfRule>
  </conditionalFormatting>
  <conditionalFormatting sqref="B7:B14">
    <cfRule type="expression" dxfId="1440" priority="119">
      <formula>B7=MAX(B$7:B$14)</formula>
    </cfRule>
    <cfRule type="expression" dxfId="1439" priority="120">
      <formula>B7=MIN(B$7:B$14)</formula>
    </cfRule>
  </conditionalFormatting>
  <conditionalFormatting sqref="B16:B23">
    <cfRule type="expression" dxfId="1438" priority="117">
      <formula>B16=MAX(B$16:B$23)</formula>
    </cfRule>
    <cfRule type="expression" dxfId="1437" priority="118">
      <formula>B16=MIN(B$16:B$23)</formula>
    </cfRule>
  </conditionalFormatting>
  <conditionalFormatting sqref="B26:B30">
    <cfRule type="expression" dxfId="1436" priority="115">
      <formula>B26=MAX(B$26:B$30)</formula>
    </cfRule>
    <cfRule type="expression" dxfId="1435" priority="116">
      <formula>B26=MIN(B$26:B$30)</formula>
    </cfRule>
  </conditionalFormatting>
  <conditionalFormatting sqref="B15">
    <cfRule type="cellIs" dxfId="1434" priority="114" operator="equal">
      <formula>0</formula>
    </cfRule>
  </conditionalFormatting>
  <conditionalFormatting sqref="B24">
    <cfRule type="cellIs" dxfId="1433" priority="113" operator="equal">
      <formula>0</formula>
    </cfRule>
  </conditionalFormatting>
  <conditionalFormatting sqref="B25">
    <cfRule type="cellIs" dxfId="1432" priority="112" operator="equal">
      <formula>0</formula>
    </cfRule>
  </conditionalFormatting>
  <conditionalFormatting sqref="B31">
    <cfRule type="cellIs" dxfId="1431" priority="111" operator="equal">
      <formula>0</formula>
    </cfRule>
  </conditionalFormatting>
  <conditionalFormatting sqref="C5:C6">
    <cfRule type="cellIs" dxfId="1430" priority="110" operator="equal">
      <formula>0</formula>
    </cfRule>
  </conditionalFormatting>
  <conditionalFormatting sqref="C7:C14">
    <cfRule type="expression" dxfId="1429" priority="108">
      <formula>C7=MAX(C$7:C$14)</formula>
    </cfRule>
    <cfRule type="expression" dxfId="1428" priority="109">
      <formula>C7=MIN(C$7:C$14)</formula>
    </cfRule>
  </conditionalFormatting>
  <conditionalFormatting sqref="C16:C23">
    <cfRule type="expression" dxfId="1427" priority="106">
      <formula>C16=MAX(C$16:C$23)</formula>
    </cfRule>
    <cfRule type="expression" dxfId="1426" priority="107">
      <formula>C16=MIN(C$16:C$23)</formula>
    </cfRule>
  </conditionalFormatting>
  <conditionalFormatting sqref="C26:C30">
    <cfRule type="expression" dxfId="1425" priority="104">
      <formula>C26=MAX(C$26:C$30)</formula>
    </cfRule>
    <cfRule type="expression" dxfId="1424" priority="105">
      <formula>C26=MIN(C$26:C$30)</formula>
    </cfRule>
  </conditionalFormatting>
  <conditionalFormatting sqref="C15">
    <cfRule type="cellIs" dxfId="1423" priority="103" operator="equal">
      <formula>0</formula>
    </cfRule>
  </conditionalFormatting>
  <conditionalFormatting sqref="C24">
    <cfRule type="cellIs" dxfId="1422" priority="102" operator="equal">
      <formula>0</formula>
    </cfRule>
  </conditionalFormatting>
  <conditionalFormatting sqref="C25">
    <cfRule type="cellIs" dxfId="1421" priority="101" operator="equal">
      <formula>0</formula>
    </cfRule>
  </conditionalFormatting>
  <conditionalFormatting sqref="C31">
    <cfRule type="cellIs" dxfId="1420" priority="100" operator="equal">
      <formula>0</formula>
    </cfRule>
  </conditionalFormatting>
  <conditionalFormatting sqref="D5:D6">
    <cfRule type="cellIs" dxfId="1419" priority="99" operator="equal">
      <formula>0</formula>
    </cfRule>
  </conditionalFormatting>
  <conditionalFormatting sqref="D7:D14">
    <cfRule type="expression" dxfId="1418" priority="97">
      <formula>D7=MAX(D$7:D$14)</formula>
    </cfRule>
    <cfRule type="expression" dxfId="1417" priority="98">
      <formula>D7=MIN(D$7:D$14)</formula>
    </cfRule>
  </conditionalFormatting>
  <conditionalFormatting sqref="D16:D23">
    <cfRule type="expression" dxfId="1416" priority="95">
      <formula>D16=MAX(D$16:D$23)</formula>
    </cfRule>
    <cfRule type="expression" dxfId="1415" priority="96">
      <formula>D16=MIN(D$16:D$23)</formula>
    </cfRule>
  </conditionalFormatting>
  <conditionalFormatting sqref="D26:D30">
    <cfRule type="expression" dxfId="1414" priority="93">
      <formula>D26=MAX(D$26:D$30)</formula>
    </cfRule>
    <cfRule type="expression" dxfId="1413" priority="94">
      <formula>D26=MIN(D$26:D$30)</formula>
    </cfRule>
  </conditionalFormatting>
  <conditionalFormatting sqref="D15">
    <cfRule type="cellIs" dxfId="1412" priority="92" operator="equal">
      <formula>0</formula>
    </cfRule>
  </conditionalFormatting>
  <conditionalFormatting sqref="D24">
    <cfRule type="cellIs" dxfId="1411" priority="91" operator="equal">
      <formula>0</formula>
    </cfRule>
  </conditionalFormatting>
  <conditionalFormatting sqref="D25">
    <cfRule type="cellIs" dxfId="1410" priority="90" operator="equal">
      <formula>0</formula>
    </cfRule>
  </conditionalFormatting>
  <conditionalFormatting sqref="D31">
    <cfRule type="cellIs" dxfId="1409" priority="89" operator="equal">
      <formula>0</formula>
    </cfRule>
  </conditionalFormatting>
  <conditionalFormatting sqref="E5:E6">
    <cfRule type="cellIs" dxfId="1408" priority="88" operator="equal">
      <formula>0</formula>
    </cfRule>
  </conditionalFormatting>
  <conditionalFormatting sqref="E7:E14">
    <cfRule type="expression" dxfId="1407" priority="86">
      <formula>E7=MAX(E$7:E$14)</formula>
    </cfRule>
    <cfRule type="expression" dxfId="1406" priority="87">
      <formula>E7=MIN(E$7:E$14)</formula>
    </cfRule>
  </conditionalFormatting>
  <conditionalFormatting sqref="E16:E23">
    <cfRule type="expression" dxfId="1405" priority="84">
      <formula>E16=MAX(E$16:E$23)</formula>
    </cfRule>
    <cfRule type="expression" dxfId="1404" priority="85">
      <formula>E16=MIN(E$16:E$23)</formula>
    </cfRule>
  </conditionalFormatting>
  <conditionalFormatting sqref="E26:E30">
    <cfRule type="expression" dxfId="1403" priority="82">
      <formula>E26=MAX(E$26:E$30)</formula>
    </cfRule>
    <cfRule type="expression" dxfId="1402" priority="83">
      <formula>E26=MIN(E$26:E$30)</formula>
    </cfRule>
  </conditionalFormatting>
  <conditionalFormatting sqref="E15">
    <cfRule type="cellIs" dxfId="1401" priority="81" operator="equal">
      <formula>0</formula>
    </cfRule>
  </conditionalFormatting>
  <conditionalFormatting sqref="E24">
    <cfRule type="cellIs" dxfId="1400" priority="80" operator="equal">
      <formula>0</formula>
    </cfRule>
  </conditionalFormatting>
  <conditionalFormatting sqref="E25">
    <cfRule type="cellIs" dxfId="1399" priority="79" operator="equal">
      <formula>0</formula>
    </cfRule>
  </conditionalFormatting>
  <conditionalFormatting sqref="E31">
    <cfRule type="cellIs" dxfId="1398" priority="78" operator="equal">
      <formula>0</formula>
    </cfRule>
  </conditionalFormatting>
  <conditionalFormatting sqref="F5:F6">
    <cfRule type="cellIs" dxfId="1397" priority="77" operator="equal">
      <formula>0</formula>
    </cfRule>
  </conditionalFormatting>
  <conditionalFormatting sqref="F7:F14">
    <cfRule type="expression" dxfId="1396" priority="75">
      <formula>F7=MAX(F$7:F$14)</formula>
    </cfRule>
    <cfRule type="expression" dxfId="1395" priority="76">
      <formula>F7=MIN(F$7:F$14)</formula>
    </cfRule>
  </conditionalFormatting>
  <conditionalFormatting sqref="F16:F23">
    <cfRule type="expression" dxfId="1394" priority="73">
      <formula>F16=MAX(F$16:F$23)</formula>
    </cfRule>
    <cfRule type="expression" dxfId="1393" priority="74">
      <formula>F16=MIN(F$16:F$23)</formula>
    </cfRule>
  </conditionalFormatting>
  <conditionalFormatting sqref="F26:F30">
    <cfRule type="expression" dxfId="1392" priority="71">
      <formula>F26=MAX(F$26:F$30)</formula>
    </cfRule>
    <cfRule type="expression" dxfId="1391" priority="72">
      <formula>F26=MIN(F$26:F$30)</formula>
    </cfRule>
  </conditionalFormatting>
  <conditionalFormatting sqref="F15">
    <cfRule type="cellIs" dxfId="1390" priority="70" operator="equal">
      <formula>0</formula>
    </cfRule>
  </conditionalFormatting>
  <conditionalFormatting sqref="F24">
    <cfRule type="cellIs" dxfId="1389" priority="69" operator="equal">
      <formula>0</formula>
    </cfRule>
  </conditionalFormatting>
  <conditionalFormatting sqref="F25">
    <cfRule type="cellIs" dxfId="1388" priority="68" operator="equal">
      <formula>0</formula>
    </cfRule>
  </conditionalFormatting>
  <conditionalFormatting sqref="F31">
    <cfRule type="cellIs" dxfId="1387" priority="67" operator="equal">
      <formula>0</formula>
    </cfRule>
  </conditionalFormatting>
  <conditionalFormatting sqref="G5:G6">
    <cfRule type="cellIs" dxfId="1386" priority="66" operator="equal">
      <formula>0</formula>
    </cfRule>
  </conditionalFormatting>
  <conditionalFormatting sqref="G7:G14">
    <cfRule type="expression" dxfId="1385" priority="64">
      <formula>G7=MAX(G$7:G$14)</formula>
    </cfRule>
    <cfRule type="expression" dxfId="1384" priority="65">
      <formula>G7=MIN(G$7:G$14)</formula>
    </cfRule>
  </conditionalFormatting>
  <conditionalFormatting sqref="G16:G23">
    <cfRule type="expression" dxfId="1383" priority="62">
      <formula>G16=MAX(G$16:G$23)</formula>
    </cfRule>
    <cfRule type="expression" dxfId="1382" priority="63">
      <formula>G16=MIN(G$16:G$23)</formula>
    </cfRule>
  </conditionalFormatting>
  <conditionalFormatting sqref="G26:G30">
    <cfRule type="expression" dxfId="1381" priority="60">
      <formula>G26=MAX(G$26:G$30)</formula>
    </cfRule>
    <cfRule type="expression" dxfId="1380" priority="61">
      <formula>G26=MIN(G$26:G$30)</formula>
    </cfRule>
  </conditionalFormatting>
  <conditionalFormatting sqref="G15">
    <cfRule type="cellIs" dxfId="1379" priority="59" operator="equal">
      <formula>0</formula>
    </cfRule>
  </conditionalFormatting>
  <conditionalFormatting sqref="G24">
    <cfRule type="cellIs" dxfId="1378" priority="58" operator="equal">
      <formula>0</formula>
    </cfRule>
  </conditionalFormatting>
  <conditionalFormatting sqref="G25">
    <cfRule type="cellIs" dxfId="1377" priority="57" operator="equal">
      <formula>0</formula>
    </cfRule>
  </conditionalFormatting>
  <conditionalFormatting sqref="G31">
    <cfRule type="cellIs" dxfId="1376" priority="56" operator="equal">
      <formula>0</formula>
    </cfRule>
  </conditionalFormatting>
  <conditionalFormatting sqref="H5:H6">
    <cfRule type="cellIs" dxfId="1375" priority="55" operator="equal">
      <formula>0</formula>
    </cfRule>
  </conditionalFormatting>
  <conditionalFormatting sqref="H7:H14">
    <cfRule type="expression" dxfId="1374" priority="53">
      <formula>H7=MAX(H$7:H$14)</formula>
    </cfRule>
    <cfRule type="expression" dxfId="1373" priority="54">
      <formula>H7=MIN(H$7:H$14)</formula>
    </cfRule>
  </conditionalFormatting>
  <conditionalFormatting sqref="H16:H23">
    <cfRule type="expression" dxfId="1372" priority="51">
      <formula>H16=MAX(H$16:H$23)</formula>
    </cfRule>
    <cfRule type="expression" dxfId="1371" priority="52">
      <formula>H16=MIN(H$16:H$23)</formula>
    </cfRule>
  </conditionalFormatting>
  <conditionalFormatting sqref="H26:H30">
    <cfRule type="expression" dxfId="1370" priority="49">
      <formula>H26=MAX(H$26:H$30)</formula>
    </cfRule>
    <cfRule type="expression" dxfId="1369" priority="50">
      <formula>H26=MIN(H$26:H$30)</formula>
    </cfRule>
  </conditionalFormatting>
  <conditionalFormatting sqref="H15">
    <cfRule type="cellIs" dxfId="1368" priority="48" operator="equal">
      <formula>0</formula>
    </cfRule>
  </conditionalFormatting>
  <conditionalFormatting sqref="H24">
    <cfRule type="cellIs" dxfId="1367" priority="47" operator="equal">
      <formula>0</formula>
    </cfRule>
  </conditionalFormatting>
  <conditionalFormatting sqref="H25">
    <cfRule type="cellIs" dxfId="1366" priority="46" operator="equal">
      <formula>0</formula>
    </cfRule>
  </conditionalFormatting>
  <conditionalFormatting sqref="H31">
    <cfRule type="cellIs" dxfId="1365" priority="45" operator="equal">
      <formula>0</formula>
    </cfRule>
  </conditionalFormatting>
  <conditionalFormatting sqref="I5:I6">
    <cfRule type="cellIs" dxfId="1364" priority="44" operator="equal">
      <formula>0</formula>
    </cfRule>
  </conditionalFormatting>
  <conditionalFormatting sqref="I7:I14">
    <cfRule type="expression" dxfId="1363" priority="42">
      <formula>I7=MAX(I$7:I$14)</formula>
    </cfRule>
    <cfRule type="expression" dxfId="1362" priority="43">
      <formula>I7=MIN(I$7:I$14)</formula>
    </cfRule>
  </conditionalFormatting>
  <conditionalFormatting sqref="I16:I23">
    <cfRule type="expression" dxfId="1361" priority="40">
      <formula>I16=MAX(I$16:I$23)</formula>
    </cfRule>
    <cfRule type="expression" dxfId="1360" priority="41">
      <formula>I16=MIN(I$16:I$23)</formula>
    </cfRule>
  </conditionalFormatting>
  <conditionalFormatting sqref="I26:I30">
    <cfRule type="expression" dxfId="1359" priority="38">
      <formula>I26=MAX(I$26:I$30)</formula>
    </cfRule>
    <cfRule type="expression" dxfId="1358" priority="39">
      <formula>I26=MIN(I$26:I$30)</formula>
    </cfRule>
  </conditionalFormatting>
  <conditionalFormatting sqref="I15">
    <cfRule type="cellIs" dxfId="1357" priority="37" operator="equal">
      <formula>0</formula>
    </cfRule>
  </conditionalFormatting>
  <conditionalFormatting sqref="I24">
    <cfRule type="cellIs" dxfId="1356" priority="36" operator="equal">
      <formula>0</formula>
    </cfRule>
  </conditionalFormatting>
  <conditionalFormatting sqref="I25">
    <cfRule type="cellIs" dxfId="1355" priority="35" operator="equal">
      <formula>0</formula>
    </cfRule>
  </conditionalFormatting>
  <conditionalFormatting sqref="I31">
    <cfRule type="cellIs" dxfId="1354" priority="34" operator="equal">
      <formula>0</formula>
    </cfRule>
  </conditionalFormatting>
  <conditionalFormatting sqref="J5:J6">
    <cfRule type="cellIs" dxfId="1353" priority="33" operator="equal">
      <formula>0</formula>
    </cfRule>
  </conditionalFormatting>
  <conditionalFormatting sqref="J7:J14">
    <cfRule type="expression" dxfId="1352" priority="31">
      <formula>J7=MAX(J$7:J$14)</formula>
    </cfRule>
    <cfRule type="expression" dxfId="1351" priority="32">
      <formula>J7=MIN(J$7:J$14)</formula>
    </cfRule>
  </conditionalFormatting>
  <conditionalFormatting sqref="J16:J23">
    <cfRule type="expression" dxfId="1350" priority="29">
      <formula>J16=MAX(J$16:J$23)</formula>
    </cfRule>
    <cfRule type="expression" dxfId="1349" priority="30">
      <formula>J16=MIN(J$16:J$23)</formula>
    </cfRule>
  </conditionalFormatting>
  <conditionalFormatting sqref="J26:J30">
    <cfRule type="expression" dxfId="1348" priority="27">
      <formula>J26=MAX(J$26:J$30)</formula>
    </cfRule>
    <cfRule type="expression" dxfId="1347" priority="28">
      <formula>J26=MIN(J$26:J$30)</formula>
    </cfRule>
  </conditionalFormatting>
  <conditionalFormatting sqref="J15">
    <cfRule type="cellIs" dxfId="1346" priority="26" operator="equal">
      <formula>0</formula>
    </cfRule>
  </conditionalFormatting>
  <conditionalFormatting sqref="J24">
    <cfRule type="cellIs" dxfId="1345" priority="25" operator="equal">
      <formula>0</formula>
    </cfRule>
  </conditionalFormatting>
  <conditionalFormatting sqref="J25">
    <cfRule type="cellIs" dxfId="1344" priority="24" operator="equal">
      <formula>0</formula>
    </cfRule>
  </conditionalFormatting>
  <conditionalFormatting sqref="J31">
    <cfRule type="cellIs" dxfId="1343" priority="23" operator="equal">
      <formula>0</formula>
    </cfRule>
  </conditionalFormatting>
  <conditionalFormatting sqref="K5:K6">
    <cfRule type="cellIs" dxfId="1342" priority="22" operator="equal">
      <formula>0</formula>
    </cfRule>
  </conditionalFormatting>
  <conditionalFormatting sqref="K7:K14">
    <cfRule type="expression" dxfId="1341" priority="20">
      <formula>K7=MAX(K$7:K$14)</formula>
    </cfRule>
    <cfRule type="expression" dxfId="1340" priority="21">
      <formula>K7=MIN(K$7:K$14)</formula>
    </cfRule>
  </conditionalFormatting>
  <conditionalFormatting sqref="K16:K23">
    <cfRule type="expression" dxfId="1339" priority="18">
      <formula>K16=MAX(K$16:K$23)</formula>
    </cfRule>
    <cfRule type="expression" dxfId="1338" priority="19">
      <formula>K16=MIN(K$16:K$23)</formula>
    </cfRule>
  </conditionalFormatting>
  <conditionalFormatting sqref="K26:K30">
    <cfRule type="expression" dxfId="1337" priority="16">
      <formula>K26=MAX(K$26:K$30)</formula>
    </cfRule>
    <cfRule type="expression" dxfId="1336" priority="17">
      <formula>K26=MIN(K$26:K$30)</formula>
    </cfRule>
  </conditionalFormatting>
  <conditionalFormatting sqref="K15">
    <cfRule type="cellIs" dxfId="1335" priority="15" operator="equal">
      <formula>0</formula>
    </cfRule>
  </conditionalFormatting>
  <conditionalFormatting sqref="K24">
    <cfRule type="cellIs" dxfId="1334" priority="14" operator="equal">
      <formula>0</formula>
    </cfRule>
  </conditionalFormatting>
  <conditionalFormatting sqref="K25">
    <cfRule type="cellIs" dxfId="1333" priority="13" operator="equal">
      <formula>0</formula>
    </cfRule>
  </conditionalFormatting>
  <conditionalFormatting sqref="K31">
    <cfRule type="cellIs" dxfId="1332" priority="12" operator="equal">
      <formula>0</formula>
    </cfRule>
  </conditionalFormatting>
  <conditionalFormatting sqref="L5:L6">
    <cfRule type="cellIs" dxfId="1331" priority="11" operator="equal">
      <formula>0</formula>
    </cfRule>
  </conditionalFormatting>
  <conditionalFormatting sqref="L7:L14">
    <cfRule type="expression" dxfId="1330" priority="9">
      <formula>L7=MAX(L$7:L$14)</formula>
    </cfRule>
    <cfRule type="expression" dxfId="1329" priority="10">
      <formula>L7=MIN(L$7:L$14)</formula>
    </cfRule>
  </conditionalFormatting>
  <conditionalFormatting sqref="L16:L23">
    <cfRule type="expression" dxfId="1328" priority="7">
      <formula>L16=MAX(L$16:L$23)</formula>
    </cfRule>
    <cfRule type="expression" dxfId="1327" priority="8">
      <formula>L16=MIN(L$16:L$23)</formula>
    </cfRule>
  </conditionalFormatting>
  <conditionalFormatting sqref="L26:L30">
    <cfRule type="expression" dxfId="1326" priority="5">
      <formula>L26=MAX(L$26:L$30)</formula>
    </cfRule>
    <cfRule type="expression" dxfId="1325" priority="6">
      <formula>L26=MIN(L$26:L$30)</formula>
    </cfRule>
  </conditionalFormatting>
  <conditionalFormatting sqref="L15">
    <cfRule type="cellIs" dxfId="1324" priority="4" operator="equal">
      <formula>0</formula>
    </cfRule>
  </conditionalFormatting>
  <conditionalFormatting sqref="L24">
    <cfRule type="cellIs" dxfId="1323" priority="3" operator="equal">
      <formula>0</formula>
    </cfRule>
  </conditionalFormatting>
  <conditionalFormatting sqref="L25">
    <cfRule type="cellIs" dxfId="1322" priority="2" operator="equal">
      <formula>0</formula>
    </cfRule>
  </conditionalFormatting>
  <conditionalFormatting sqref="L31">
    <cfRule type="cellIs" dxfId="1321" priority="1" operator="equal">
      <formula>0</formula>
    </cfRule>
  </conditionalFormatting>
  <printOptions horizontalCentered="1"/>
  <pageMargins left="0.19685039370078741" right="0.19685039370078741" top="1.5748031496062993" bottom="0.39370078740157483" header="0.51181102362204722" footer="0"/>
  <pageSetup paperSize="9" scale="85" fitToWidth="0" fitToHeight="0" orientation="portrait" r:id="rId1"/>
  <headerFooter>
    <oddHeader>&amp;C&amp;G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tabColor indexed="25"/>
    <pageSetUpPr fitToPage="1"/>
  </sheetPr>
  <dimension ref="A1:X47"/>
  <sheetViews>
    <sheetView showGridLines="0" zoomScaleNormal="100" workbookViewId="0">
      <selection activeCell="Y70" sqref="Y70"/>
    </sheetView>
  </sheetViews>
  <sheetFormatPr defaultColWidth="17.28515625" defaultRowHeight="11.25"/>
  <cols>
    <col min="1" max="1" width="14.7109375" style="59" customWidth="1"/>
    <col min="2" max="2" width="2.42578125" style="122" bestFit="1" customWidth="1"/>
    <col min="3" max="13" width="7.5703125" style="59" customWidth="1"/>
    <col min="14" max="15" width="7.85546875" style="651" customWidth="1"/>
    <col min="16" max="23" width="10.140625" style="651" customWidth="1"/>
    <col min="24" max="24" width="8.140625" style="651" customWidth="1"/>
    <col min="25" max="16384" width="17.28515625" style="59"/>
  </cols>
  <sheetData>
    <row r="1" spans="1:24" s="117" customFormat="1" ht="28.5" customHeight="1">
      <c r="A1" s="964" t="s">
        <v>580</v>
      </c>
      <c r="B1" s="964"/>
      <c r="C1" s="964"/>
      <c r="D1" s="964"/>
      <c r="E1" s="964"/>
      <c r="F1" s="964"/>
      <c r="G1" s="964"/>
      <c r="H1" s="964"/>
      <c r="I1" s="964"/>
      <c r="J1" s="964"/>
      <c r="K1" s="964"/>
      <c r="L1" s="964"/>
      <c r="M1" s="964"/>
      <c r="N1" s="652"/>
      <c r="O1" s="652"/>
      <c r="P1" s="652"/>
      <c r="Q1" s="652"/>
      <c r="R1" s="652"/>
      <c r="S1" s="652"/>
      <c r="T1" s="652"/>
      <c r="U1" s="652"/>
      <c r="V1" s="652"/>
      <c r="W1" s="652"/>
      <c r="X1" s="652"/>
    </row>
    <row r="2" spans="1:24" s="118" customFormat="1" ht="15" customHeight="1">
      <c r="A2" s="183"/>
      <c r="B2" s="184"/>
      <c r="C2" s="185"/>
      <c r="D2" s="183"/>
      <c r="E2" s="183"/>
      <c r="F2" s="183"/>
      <c r="G2" s="183"/>
      <c r="H2" s="183"/>
      <c r="I2" s="183"/>
      <c r="J2" s="183"/>
      <c r="K2" s="183"/>
      <c r="L2" s="183"/>
      <c r="M2" s="183"/>
      <c r="N2" s="653"/>
      <c r="O2" s="653"/>
      <c r="P2" s="653"/>
      <c r="Q2" s="653"/>
      <c r="R2" s="653"/>
      <c r="S2" s="653"/>
      <c r="T2" s="653"/>
      <c r="U2" s="653"/>
      <c r="V2" s="653"/>
      <c r="W2" s="653"/>
      <c r="X2" s="653"/>
    </row>
    <row r="3" spans="1:24" s="118" customFormat="1" ht="15" customHeight="1">
      <c r="A3" s="183" t="s">
        <v>13</v>
      </c>
      <c r="B3" s="184"/>
      <c r="C3" s="185"/>
      <c r="D3" s="183"/>
      <c r="E3" s="183"/>
      <c r="F3" s="183"/>
      <c r="G3" s="183"/>
      <c r="H3" s="183"/>
      <c r="I3" s="183"/>
      <c r="J3" s="183"/>
      <c r="K3" s="183"/>
      <c r="L3" s="183"/>
      <c r="M3" s="183"/>
      <c r="N3" s="653"/>
      <c r="O3" s="653"/>
      <c r="P3" s="653"/>
      <c r="Q3" s="653"/>
      <c r="R3" s="653"/>
      <c r="S3" s="653"/>
      <c r="T3" s="653"/>
      <c r="U3" s="653"/>
      <c r="V3" s="653"/>
      <c r="W3" s="653"/>
      <c r="X3" s="653"/>
    </row>
    <row r="4" spans="1:24" s="119" customFormat="1" ht="28.5" customHeight="1" thickBot="1">
      <c r="A4" s="67"/>
      <c r="B4" s="67"/>
      <c r="C4" s="67">
        <v>2014</v>
      </c>
      <c r="D4" s="67">
        <v>2015</v>
      </c>
      <c r="E4" s="67">
        <v>2016</v>
      </c>
      <c r="F4" s="67">
        <v>2017</v>
      </c>
      <c r="G4" s="67">
        <v>2018</v>
      </c>
      <c r="H4" s="67">
        <v>2019</v>
      </c>
      <c r="I4" s="67">
        <v>2020</v>
      </c>
      <c r="J4" s="67">
        <v>2021</v>
      </c>
      <c r="K4" s="67">
        <v>2022</v>
      </c>
      <c r="L4" s="67">
        <v>2023</v>
      </c>
      <c r="M4" s="67">
        <v>2024</v>
      </c>
      <c r="N4" s="654">
        <f>+C4</f>
        <v>2014</v>
      </c>
      <c r="O4" s="654">
        <f t="shared" ref="O4:X4" si="0">+D4</f>
        <v>2015</v>
      </c>
      <c r="P4" s="654">
        <f t="shared" si="0"/>
        <v>2016</v>
      </c>
      <c r="Q4" s="654">
        <f t="shared" si="0"/>
        <v>2017</v>
      </c>
      <c r="R4" s="654">
        <f t="shared" si="0"/>
        <v>2018</v>
      </c>
      <c r="S4" s="654">
        <f t="shared" si="0"/>
        <v>2019</v>
      </c>
      <c r="T4" s="654">
        <f t="shared" si="0"/>
        <v>2020</v>
      </c>
      <c r="U4" s="654">
        <f t="shared" si="0"/>
        <v>2021</v>
      </c>
      <c r="V4" s="654">
        <f t="shared" si="0"/>
        <v>2022</v>
      </c>
      <c r="W4" s="654">
        <f t="shared" si="0"/>
        <v>2023</v>
      </c>
      <c r="X4" s="654">
        <f t="shared" si="0"/>
        <v>2024</v>
      </c>
    </row>
    <row r="5" spans="1:24" s="120" customFormat="1" ht="16.5" customHeight="1" thickTop="1">
      <c r="A5" s="52" t="s">
        <v>11</v>
      </c>
      <c r="B5" s="52" t="s">
        <v>44</v>
      </c>
      <c r="C5" s="346">
        <v>2458163</v>
      </c>
      <c r="D5" s="346">
        <v>2537653</v>
      </c>
      <c r="E5" s="346">
        <v>2641919</v>
      </c>
      <c r="F5" s="346">
        <v>2767521</v>
      </c>
      <c r="G5" s="346">
        <v>2877918</v>
      </c>
      <c r="H5" s="346">
        <v>2930482</v>
      </c>
      <c r="I5" s="346">
        <v>2902825</v>
      </c>
      <c r="J5" s="346">
        <v>2922343</v>
      </c>
      <c r="K5" s="346">
        <v>3148147</v>
      </c>
      <c r="L5" s="346">
        <v>3296134</v>
      </c>
      <c r="M5" s="346">
        <v>3354136</v>
      </c>
      <c r="N5" s="654"/>
      <c r="O5" s="654"/>
      <c r="P5" s="654"/>
      <c r="Q5" s="654"/>
      <c r="R5" s="654"/>
      <c r="S5" s="654"/>
      <c r="T5" s="654"/>
      <c r="U5" s="654"/>
      <c r="V5" s="654"/>
      <c r="W5" s="654"/>
      <c r="X5" s="654"/>
    </row>
    <row r="6" spans="1:24" s="120" customFormat="1" ht="12.75" customHeight="1">
      <c r="A6" s="52"/>
      <c r="B6" s="52" t="s">
        <v>52</v>
      </c>
      <c r="C6" s="345">
        <v>1278921</v>
      </c>
      <c r="D6" s="345">
        <v>1311721</v>
      </c>
      <c r="E6" s="345">
        <v>1367705</v>
      </c>
      <c r="F6" s="345">
        <v>1437729</v>
      </c>
      <c r="G6" s="345">
        <v>1499993</v>
      </c>
      <c r="H6" s="345">
        <v>1529276</v>
      </c>
      <c r="I6" s="345">
        <v>1526297</v>
      </c>
      <c r="J6" s="345">
        <v>1530240</v>
      </c>
      <c r="K6" s="345">
        <v>1653917</v>
      </c>
      <c r="L6" s="345">
        <v>1743311</v>
      </c>
      <c r="M6" s="345">
        <v>1783712</v>
      </c>
      <c r="N6" s="654"/>
      <c r="O6" s="654"/>
      <c r="P6" s="654"/>
      <c r="Q6" s="654"/>
      <c r="R6" s="654"/>
      <c r="S6" s="654"/>
      <c r="T6" s="654"/>
      <c r="U6" s="654"/>
      <c r="V6" s="654"/>
      <c r="W6" s="654"/>
      <c r="X6" s="654"/>
    </row>
    <row r="7" spans="1:24" s="120" customFormat="1" ht="12.75" customHeight="1">
      <c r="A7" s="52"/>
      <c r="B7" s="52" t="s">
        <v>53</v>
      </c>
      <c r="C7" s="345">
        <v>1179242</v>
      </c>
      <c r="D7" s="345">
        <v>1225932</v>
      </c>
      <c r="E7" s="345">
        <v>1274214</v>
      </c>
      <c r="F7" s="345">
        <v>1329792</v>
      </c>
      <c r="G7" s="345">
        <v>1377925</v>
      </c>
      <c r="H7" s="345">
        <v>1401206</v>
      </c>
      <c r="I7" s="345">
        <v>1376528</v>
      </c>
      <c r="J7" s="345">
        <v>1392103</v>
      </c>
      <c r="K7" s="345">
        <v>1494230</v>
      </c>
      <c r="L7" s="345">
        <v>1552823</v>
      </c>
      <c r="M7" s="345">
        <v>1570424</v>
      </c>
      <c r="N7" s="655">
        <f>+C7/C5*100</f>
        <v>47.972490026088586</v>
      </c>
      <c r="O7" s="655">
        <f t="shared" ref="O7:X7" si="1">+D7/D5*100</f>
        <v>48.309678273585874</v>
      </c>
      <c r="P7" s="655">
        <f t="shared" si="1"/>
        <v>48.230623270433348</v>
      </c>
      <c r="Q7" s="655">
        <f t="shared" si="1"/>
        <v>48.049933496439593</v>
      </c>
      <c r="R7" s="655">
        <f t="shared" si="1"/>
        <v>47.879230749451516</v>
      </c>
      <c r="S7" s="655">
        <f t="shared" si="1"/>
        <v>47.814864585416323</v>
      </c>
      <c r="T7" s="655">
        <f t="shared" si="1"/>
        <v>47.420288856544914</v>
      </c>
      <c r="U7" s="655">
        <f t="shared" si="1"/>
        <v>47.636536847317373</v>
      </c>
      <c r="V7" s="655">
        <f t="shared" si="1"/>
        <v>47.463793780913029</v>
      </c>
      <c r="W7" s="655">
        <f t="shared" si="1"/>
        <v>47.110433010308441</v>
      </c>
      <c r="X7" s="655">
        <f t="shared" si="1"/>
        <v>46.820522483286311</v>
      </c>
    </row>
    <row r="8" spans="1:24" s="121" customFormat="1" ht="16.5" customHeight="1">
      <c r="A8" s="54" t="s">
        <v>54</v>
      </c>
      <c r="B8" s="52" t="s">
        <v>44</v>
      </c>
      <c r="C8" s="345">
        <v>687</v>
      </c>
      <c r="D8" s="345">
        <v>676</v>
      </c>
      <c r="E8" s="345">
        <v>865</v>
      </c>
      <c r="F8" s="345">
        <v>1270</v>
      </c>
      <c r="G8" s="345">
        <v>1466</v>
      </c>
      <c r="H8" s="345">
        <v>1544</v>
      </c>
      <c r="I8" s="345">
        <v>646</v>
      </c>
      <c r="J8" s="345">
        <v>995</v>
      </c>
      <c r="K8" s="345">
        <v>1420</v>
      </c>
      <c r="L8" s="345">
        <v>1132</v>
      </c>
      <c r="M8" s="345">
        <v>961</v>
      </c>
      <c r="N8" s="654"/>
      <c r="O8" s="654"/>
      <c r="P8" s="654"/>
      <c r="Q8" s="654"/>
      <c r="R8" s="654"/>
      <c r="S8" s="654"/>
      <c r="T8" s="654"/>
      <c r="U8" s="654"/>
      <c r="V8" s="654"/>
      <c r="W8" s="654"/>
      <c r="X8" s="654"/>
    </row>
    <row r="9" spans="1:24" s="121" customFormat="1" ht="12.75" customHeight="1">
      <c r="A9" s="55"/>
      <c r="B9" s="56" t="s">
        <v>52</v>
      </c>
      <c r="C9" s="347">
        <v>378</v>
      </c>
      <c r="D9" s="347">
        <v>357</v>
      </c>
      <c r="E9" s="347">
        <v>497</v>
      </c>
      <c r="F9" s="347">
        <v>714</v>
      </c>
      <c r="G9" s="347">
        <v>775</v>
      </c>
      <c r="H9" s="347">
        <v>811</v>
      </c>
      <c r="I9" s="347">
        <v>404</v>
      </c>
      <c r="J9" s="347">
        <v>568</v>
      </c>
      <c r="K9" s="347">
        <v>802</v>
      </c>
      <c r="L9" s="347">
        <v>648</v>
      </c>
      <c r="M9" s="347">
        <v>548</v>
      </c>
      <c r="N9" s="654"/>
      <c r="O9" s="654"/>
      <c r="P9" s="654"/>
      <c r="Q9" s="654"/>
      <c r="R9" s="654"/>
      <c r="S9" s="654"/>
      <c r="T9" s="654"/>
      <c r="U9" s="654"/>
      <c r="V9" s="654"/>
      <c r="W9" s="654"/>
      <c r="X9" s="654"/>
    </row>
    <row r="10" spans="1:24" s="121" customFormat="1" ht="12.75" customHeight="1">
      <c r="A10" s="54"/>
      <c r="B10" s="56" t="s">
        <v>53</v>
      </c>
      <c r="C10" s="347">
        <v>309</v>
      </c>
      <c r="D10" s="347">
        <v>319</v>
      </c>
      <c r="E10" s="347">
        <v>368</v>
      </c>
      <c r="F10" s="347">
        <v>556</v>
      </c>
      <c r="G10" s="347">
        <v>691</v>
      </c>
      <c r="H10" s="347">
        <v>733</v>
      </c>
      <c r="I10" s="347">
        <v>242</v>
      </c>
      <c r="J10" s="347">
        <v>427</v>
      </c>
      <c r="K10" s="347">
        <v>618</v>
      </c>
      <c r="L10" s="347">
        <v>484</v>
      </c>
      <c r="M10" s="347">
        <v>413</v>
      </c>
      <c r="N10" s="198"/>
      <c r="O10" s="198"/>
      <c r="P10" s="198"/>
      <c r="Q10" s="198"/>
      <c r="R10" s="198"/>
      <c r="S10" s="198"/>
      <c r="T10" s="198"/>
      <c r="U10" s="198"/>
      <c r="V10" s="198"/>
      <c r="W10" s="198"/>
      <c r="X10" s="198"/>
    </row>
    <row r="11" spans="1:24" s="121" customFormat="1" ht="16.5" customHeight="1">
      <c r="A11" s="54" t="s">
        <v>55</v>
      </c>
      <c r="B11" s="52" t="s">
        <v>44</v>
      </c>
      <c r="C11" s="345">
        <v>181616</v>
      </c>
      <c r="D11" s="345">
        <v>194897</v>
      </c>
      <c r="E11" s="345">
        <v>210709</v>
      </c>
      <c r="F11" s="345">
        <v>235752</v>
      </c>
      <c r="G11" s="345">
        <v>254057</v>
      </c>
      <c r="H11" s="345">
        <v>264849</v>
      </c>
      <c r="I11" s="345">
        <v>236534</v>
      </c>
      <c r="J11" s="345">
        <v>243610</v>
      </c>
      <c r="K11" s="345">
        <v>270997</v>
      </c>
      <c r="L11" s="345">
        <v>281461</v>
      </c>
      <c r="M11" s="345">
        <v>279014</v>
      </c>
      <c r="N11" s="198"/>
      <c r="O11" s="198"/>
      <c r="P11" s="198"/>
      <c r="Q11" s="198"/>
      <c r="R11" s="198"/>
      <c r="S11" s="198"/>
      <c r="T11" s="198"/>
      <c r="U11" s="198"/>
      <c r="V11" s="198"/>
      <c r="W11" s="198"/>
      <c r="X11" s="198"/>
    </row>
    <row r="12" spans="1:24" s="121" customFormat="1" ht="12.75" customHeight="1">
      <c r="A12" s="55"/>
      <c r="B12" s="56" t="s">
        <v>52</v>
      </c>
      <c r="C12" s="347">
        <v>96570</v>
      </c>
      <c r="D12" s="347">
        <v>103018</v>
      </c>
      <c r="E12" s="347">
        <v>112378</v>
      </c>
      <c r="F12" s="347">
        <v>126226</v>
      </c>
      <c r="G12" s="347">
        <v>137590</v>
      </c>
      <c r="H12" s="347">
        <v>143662</v>
      </c>
      <c r="I12" s="347">
        <v>130505</v>
      </c>
      <c r="J12" s="347">
        <v>131787</v>
      </c>
      <c r="K12" s="347">
        <v>146876</v>
      </c>
      <c r="L12" s="347">
        <v>154697</v>
      </c>
      <c r="M12" s="347">
        <v>154240</v>
      </c>
      <c r="N12" s="198"/>
      <c r="O12" s="198"/>
      <c r="P12" s="198"/>
      <c r="Q12" s="198"/>
      <c r="R12" s="198"/>
      <c r="S12" s="198"/>
      <c r="T12" s="198"/>
      <c r="U12" s="198"/>
      <c r="V12" s="198"/>
      <c r="W12" s="198"/>
      <c r="X12" s="198"/>
    </row>
    <row r="13" spans="1:24" s="121" customFormat="1" ht="12.75" customHeight="1">
      <c r="A13" s="54"/>
      <c r="B13" s="56" t="s">
        <v>53</v>
      </c>
      <c r="C13" s="347">
        <v>85046</v>
      </c>
      <c r="D13" s="347">
        <v>91879</v>
      </c>
      <c r="E13" s="347">
        <v>98331</v>
      </c>
      <c r="F13" s="347">
        <v>109526</v>
      </c>
      <c r="G13" s="347">
        <v>116467</v>
      </c>
      <c r="H13" s="347">
        <v>121187</v>
      </c>
      <c r="I13" s="347">
        <v>106029</v>
      </c>
      <c r="J13" s="347">
        <v>111823</v>
      </c>
      <c r="K13" s="347">
        <v>124121</v>
      </c>
      <c r="L13" s="347">
        <v>126764</v>
      </c>
      <c r="M13" s="347">
        <v>124774</v>
      </c>
      <c r="N13" s="6"/>
      <c r="O13" s="6"/>
      <c r="P13" s="6"/>
      <c r="Q13" s="6"/>
      <c r="R13" s="6"/>
      <c r="S13" s="6"/>
      <c r="T13" s="6"/>
      <c r="U13" s="6"/>
      <c r="V13" s="6"/>
      <c r="W13" s="6"/>
      <c r="X13" s="6"/>
    </row>
    <row r="14" spans="1:24" s="121" customFormat="1" ht="16.5" customHeight="1">
      <c r="A14" s="54" t="s">
        <v>56</v>
      </c>
      <c r="B14" s="52" t="s">
        <v>44</v>
      </c>
      <c r="C14" s="345">
        <v>282624</v>
      </c>
      <c r="D14" s="345">
        <v>287062</v>
      </c>
      <c r="E14" s="345">
        <v>300003</v>
      </c>
      <c r="F14" s="345">
        <v>315844</v>
      </c>
      <c r="G14" s="345">
        <v>332392</v>
      </c>
      <c r="H14" s="345">
        <v>343669</v>
      </c>
      <c r="I14" s="345">
        <v>335858</v>
      </c>
      <c r="J14" s="345">
        <v>337576</v>
      </c>
      <c r="K14" s="345">
        <v>371254</v>
      </c>
      <c r="L14" s="345">
        <v>394936</v>
      </c>
      <c r="M14" s="345">
        <v>411374</v>
      </c>
      <c r="N14" s="590">
        <f>+(C14+C17+C20+C23)/C5*100</f>
        <v>57.697597758976926</v>
      </c>
      <c r="O14" s="590">
        <f t="shared" ref="O14:X14" si="2">+(D14+D17+D20+D23)/D5*100</f>
        <v>56.559545375195107</v>
      </c>
      <c r="P14" s="590">
        <f t="shared" si="2"/>
        <v>55.377435871425277</v>
      </c>
      <c r="Q14" s="590">
        <f t="shared" si="2"/>
        <v>54.002444787230161</v>
      </c>
      <c r="R14" s="590">
        <f t="shared" si="2"/>
        <v>52.96506015807261</v>
      </c>
      <c r="S14" s="590">
        <f t="shared" si="2"/>
        <v>52.353367125271546</v>
      </c>
      <c r="T14" s="590">
        <f t="shared" si="2"/>
        <v>51.804569686426149</v>
      </c>
      <c r="U14" s="590">
        <f t="shared" si="2"/>
        <v>50.751948008840856</v>
      </c>
      <c r="V14" s="590">
        <f t="shared" si="2"/>
        <v>50.276654806779987</v>
      </c>
      <c r="W14" s="590">
        <f t="shared" si="2"/>
        <v>50.112525765032615</v>
      </c>
      <c r="X14" s="590">
        <f t="shared" si="2"/>
        <v>50.211112489177545</v>
      </c>
    </row>
    <row r="15" spans="1:24" s="121" customFormat="1" ht="12.75" customHeight="1">
      <c r="A15" s="55"/>
      <c r="B15" s="56" t="s">
        <v>52</v>
      </c>
      <c r="C15" s="347">
        <v>143426</v>
      </c>
      <c r="D15" s="347">
        <v>145066</v>
      </c>
      <c r="E15" s="347">
        <v>152746</v>
      </c>
      <c r="F15" s="347">
        <v>161880</v>
      </c>
      <c r="G15" s="347">
        <v>171342</v>
      </c>
      <c r="H15" s="347">
        <v>178722</v>
      </c>
      <c r="I15" s="347">
        <v>177492</v>
      </c>
      <c r="J15" s="347">
        <v>178073</v>
      </c>
      <c r="K15" s="347">
        <v>198012</v>
      </c>
      <c r="L15" s="347">
        <v>213975</v>
      </c>
      <c r="M15" s="347">
        <v>224480</v>
      </c>
      <c r="N15" s="198"/>
      <c r="O15" s="198"/>
      <c r="P15" s="556"/>
      <c r="Q15" s="6"/>
      <c r="R15" s="6"/>
      <c r="S15" s="6"/>
      <c r="T15" s="6"/>
      <c r="U15" s="6"/>
      <c r="V15" s="6"/>
      <c r="W15" s="6"/>
      <c r="X15" s="6"/>
    </row>
    <row r="16" spans="1:24" s="121" customFormat="1" ht="12.75" customHeight="1">
      <c r="A16" s="54"/>
      <c r="B16" s="56" t="s">
        <v>53</v>
      </c>
      <c r="C16" s="347">
        <v>139198</v>
      </c>
      <c r="D16" s="347">
        <v>141996</v>
      </c>
      <c r="E16" s="347">
        <v>147257</v>
      </c>
      <c r="F16" s="347">
        <v>153964</v>
      </c>
      <c r="G16" s="347">
        <v>161050</v>
      </c>
      <c r="H16" s="347">
        <v>164947</v>
      </c>
      <c r="I16" s="347">
        <v>158366</v>
      </c>
      <c r="J16" s="347">
        <v>159503</v>
      </c>
      <c r="K16" s="347">
        <v>173242</v>
      </c>
      <c r="L16" s="347">
        <v>180961</v>
      </c>
      <c r="M16" s="347">
        <v>186894</v>
      </c>
      <c r="N16" s="198"/>
      <c r="O16" s="198"/>
      <c r="P16" s="6"/>
      <c r="Q16" s="6"/>
      <c r="R16" s="6"/>
      <c r="S16" s="6"/>
      <c r="T16" s="6"/>
      <c r="U16" s="6"/>
      <c r="V16" s="6"/>
      <c r="W16" s="6"/>
      <c r="X16" s="6"/>
    </row>
    <row r="17" spans="1:24" s="121" customFormat="1" ht="16.5" customHeight="1">
      <c r="A17" s="54" t="s">
        <v>57</v>
      </c>
      <c r="B17" s="52" t="s">
        <v>44</v>
      </c>
      <c r="C17" s="345">
        <v>364306</v>
      </c>
      <c r="D17" s="345">
        <v>358742</v>
      </c>
      <c r="E17" s="345">
        <v>357287</v>
      </c>
      <c r="F17" s="345">
        <v>356743</v>
      </c>
      <c r="G17" s="345">
        <v>357880</v>
      </c>
      <c r="H17" s="345">
        <v>359925</v>
      </c>
      <c r="I17" s="345">
        <v>355278</v>
      </c>
      <c r="J17" s="345">
        <v>357312</v>
      </c>
      <c r="K17" s="345">
        <v>390147</v>
      </c>
      <c r="L17" s="345">
        <v>413020</v>
      </c>
      <c r="M17" s="345">
        <v>425403</v>
      </c>
      <c r="N17" s="198"/>
      <c r="O17" s="198"/>
      <c r="P17" s="6"/>
      <c r="Q17" s="6"/>
      <c r="R17" s="6"/>
      <c r="S17" s="6"/>
      <c r="T17" s="6"/>
      <c r="U17" s="6"/>
      <c r="V17" s="6"/>
      <c r="W17" s="6"/>
      <c r="X17" s="6"/>
    </row>
    <row r="18" spans="1:24" s="121" customFormat="1" ht="12.75" customHeight="1">
      <c r="A18" s="55"/>
      <c r="B18" s="56" t="s">
        <v>52</v>
      </c>
      <c r="C18" s="347">
        <v>184540</v>
      </c>
      <c r="D18" s="347">
        <v>180783</v>
      </c>
      <c r="E18" s="347">
        <v>181205</v>
      </c>
      <c r="F18" s="347">
        <v>182213</v>
      </c>
      <c r="G18" s="347">
        <v>184393</v>
      </c>
      <c r="H18" s="347">
        <v>187093</v>
      </c>
      <c r="I18" s="347">
        <v>187182</v>
      </c>
      <c r="J18" s="347">
        <v>188548</v>
      </c>
      <c r="K18" s="347">
        <v>208088</v>
      </c>
      <c r="L18" s="347">
        <v>222868</v>
      </c>
      <c r="M18" s="347">
        <v>232183</v>
      </c>
      <c r="N18" s="198"/>
      <c r="O18" s="198"/>
      <c r="P18" s="6"/>
      <c r="Q18" s="6"/>
      <c r="R18" s="6"/>
      <c r="S18" s="6"/>
      <c r="T18" s="6"/>
      <c r="U18" s="6"/>
      <c r="V18" s="6"/>
      <c r="W18" s="6"/>
      <c r="X18" s="6"/>
    </row>
    <row r="19" spans="1:24" s="121" customFormat="1" ht="12.75" customHeight="1">
      <c r="A19" s="54"/>
      <c r="B19" s="56" t="s">
        <v>53</v>
      </c>
      <c r="C19" s="347">
        <v>179766</v>
      </c>
      <c r="D19" s="347">
        <v>177959</v>
      </c>
      <c r="E19" s="347">
        <v>176082</v>
      </c>
      <c r="F19" s="347">
        <v>174530</v>
      </c>
      <c r="G19" s="347">
        <v>173487</v>
      </c>
      <c r="H19" s="347">
        <v>172832</v>
      </c>
      <c r="I19" s="347">
        <v>168096</v>
      </c>
      <c r="J19" s="347">
        <v>168764</v>
      </c>
      <c r="K19" s="347">
        <v>182059</v>
      </c>
      <c r="L19" s="347">
        <v>190152</v>
      </c>
      <c r="M19" s="347">
        <v>193220</v>
      </c>
      <c r="N19" s="198"/>
      <c r="O19" s="198"/>
      <c r="P19" s="6"/>
      <c r="Q19" s="6"/>
      <c r="R19" s="6"/>
      <c r="S19" s="6"/>
      <c r="T19" s="6"/>
      <c r="U19" s="6"/>
      <c r="V19" s="6"/>
      <c r="W19" s="6"/>
      <c r="X19" s="6"/>
    </row>
    <row r="20" spans="1:24" s="121" customFormat="1" ht="16.5" customHeight="1">
      <c r="A20" s="54" t="s">
        <v>58</v>
      </c>
      <c r="B20" s="52" t="s">
        <v>44</v>
      </c>
      <c r="C20" s="345">
        <v>402951</v>
      </c>
      <c r="D20" s="345">
        <v>403321</v>
      </c>
      <c r="E20" s="345">
        <v>401501</v>
      </c>
      <c r="F20" s="345">
        <v>401529</v>
      </c>
      <c r="G20" s="345">
        <v>404395</v>
      </c>
      <c r="H20" s="345">
        <v>402914</v>
      </c>
      <c r="I20" s="345">
        <v>390970</v>
      </c>
      <c r="J20" s="345">
        <v>380153</v>
      </c>
      <c r="K20" s="345">
        <v>398061</v>
      </c>
      <c r="L20" s="345">
        <v>409302</v>
      </c>
      <c r="M20" s="345">
        <v>413027</v>
      </c>
      <c r="N20" s="198"/>
      <c r="O20" s="198"/>
      <c r="P20" s="6"/>
      <c r="Q20" s="6"/>
      <c r="R20" s="6"/>
      <c r="S20" s="6"/>
      <c r="T20" s="6"/>
      <c r="U20" s="6"/>
      <c r="V20" s="6"/>
      <c r="W20" s="6"/>
      <c r="X20" s="6"/>
    </row>
    <row r="21" spans="1:24" s="121" customFormat="1" ht="12.75" customHeight="1">
      <c r="A21" s="55"/>
      <c r="B21" s="56" t="s">
        <v>52</v>
      </c>
      <c r="C21" s="347">
        <v>205809</v>
      </c>
      <c r="D21" s="347">
        <v>204090</v>
      </c>
      <c r="E21" s="347">
        <v>202948</v>
      </c>
      <c r="F21" s="347">
        <v>203280</v>
      </c>
      <c r="G21" s="347">
        <v>205696</v>
      </c>
      <c r="H21" s="347">
        <v>205891</v>
      </c>
      <c r="I21" s="347">
        <v>201984</v>
      </c>
      <c r="J21" s="347">
        <v>196795</v>
      </c>
      <c r="K21" s="347">
        <v>207992</v>
      </c>
      <c r="L21" s="347">
        <v>217026</v>
      </c>
      <c r="M21" s="347">
        <v>221855</v>
      </c>
      <c r="N21" s="198"/>
      <c r="O21" s="198"/>
      <c r="P21" s="6"/>
      <c r="Q21" s="6"/>
      <c r="R21" s="6"/>
      <c r="S21" s="6"/>
      <c r="T21" s="6"/>
      <c r="U21" s="6"/>
      <c r="V21" s="6"/>
      <c r="W21" s="6"/>
      <c r="X21" s="6"/>
    </row>
    <row r="22" spans="1:24" s="121" customFormat="1" ht="12.75" customHeight="1">
      <c r="A22" s="54"/>
      <c r="B22" s="56" t="s">
        <v>53</v>
      </c>
      <c r="C22" s="347">
        <v>197142</v>
      </c>
      <c r="D22" s="347">
        <v>199231</v>
      </c>
      <c r="E22" s="347">
        <v>198553</v>
      </c>
      <c r="F22" s="347">
        <v>198249</v>
      </c>
      <c r="G22" s="347">
        <v>198699</v>
      </c>
      <c r="H22" s="347">
        <v>197023</v>
      </c>
      <c r="I22" s="347">
        <v>188986</v>
      </c>
      <c r="J22" s="347">
        <v>183358</v>
      </c>
      <c r="K22" s="347">
        <v>190069</v>
      </c>
      <c r="L22" s="347">
        <v>192276</v>
      </c>
      <c r="M22" s="347">
        <v>191172</v>
      </c>
      <c r="N22" s="198"/>
      <c r="O22" s="198"/>
      <c r="P22" s="6"/>
      <c r="Q22" s="6"/>
      <c r="R22" s="6"/>
      <c r="S22" s="6"/>
      <c r="T22" s="6"/>
      <c r="U22" s="6"/>
      <c r="V22" s="6"/>
      <c r="W22" s="6"/>
      <c r="X22" s="6"/>
    </row>
    <row r="23" spans="1:24" s="121" customFormat="1" ht="16.5" customHeight="1">
      <c r="A23" s="54" t="s">
        <v>59</v>
      </c>
      <c r="B23" s="52" t="s">
        <v>44</v>
      </c>
      <c r="C23" s="345">
        <v>368420</v>
      </c>
      <c r="D23" s="345">
        <v>386160</v>
      </c>
      <c r="E23" s="345">
        <v>404236</v>
      </c>
      <c r="F23" s="345">
        <v>420413</v>
      </c>
      <c r="G23" s="345">
        <v>429624</v>
      </c>
      <c r="H23" s="345">
        <v>427698</v>
      </c>
      <c r="I23" s="345">
        <v>421690</v>
      </c>
      <c r="J23" s="345">
        <v>408105</v>
      </c>
      <c r="K23" s="345">
        <v>423321</v>
      </c>
      <c r="L23" s="345">
        <v>434518</v>
      </c>
      <c r="M23" s="345">
        <v>434345</v>
      </c>
      <c r="N23" s="198"/>
      <c r="O23" s="198"/>
      <c r="P23" s="6"/>
      <c r="Q23" s="6"/>
      <c r="R23" s="6"/>
      <c r="S23" s="6"/>
      <c r="T23" s="6"/>
      <c r="U23" s="6"/>
      <c r="V23" s="6"/>
      <c r="W23" s="6"/>
      <c r="X23" s="6"/>
    </row>
    <row r="24" spans="1:24" s="121" customFormat="1" ht="12.75" customHeight="1">
      <c r="A24" s="55"/>
      <c r="B24" s="56" t="s">
        <v>52</v>
      </c>
      <c r="C24" s="347">
        <v>189669</v>
      </c>
      <c r="D24" s="347">
        <v>197261</v>
      </c>
      <c r="E24" s="347">
        <v>205927</v>
      </c>
      <c r="F24" s="347">
        <v>214153</v>
      </c>
      <c r="G24" s="347">
        <v>218703</v>
      </c>
      <c r="H24" s="347">
        <v>218345</v>
      </c>
      <c r="I24" s="347">
        <v>216198</v>
      </c>
      <c r="J24" s="347">
        <v>208335</v>
      </c>
      <c r="K24" s="347">
        <v>216580</v>
      </c>
      <c r="L24" s="347">
        <v>223891</v>
      </c>
      <c r="M24" s="347">
        <v>225679</v>
      </c>
      <c r="N24" s="198"/>
      <c r="O24" s="198"/>
      <c r="P24" s="6"/>
      <c r="Q24" s="6"/>
      <c r="R24" s="6"/>
      <c r="S24" s="6"/>
      <c r="T24" s="6"/>
      <c r="U24" s="6"/>
      <c r="V24" s="6"/>
      <c r="W24" s="6"/>
      <c r="X24" s="6"/>
    </row>
    <row r="25" spans="1:24" s="121" customFormat="1" ht="12.75" customHeight="1">
      <c r="A25" s="54"/>
      <c r="B25" s="56" t="s">
        <v>53</v>
      </c>
      <c r="C25" s="347">
        <v>178751</v>
      </c>
      <c r="D25" s="347">
        <v>188899</v>
      </c>
      <c r="E25" s="347">
        <v>198309</v>
      </c>
      <c r="F25" s="347">
        <v>206260</v>
      </c>
      <c r="G25" s="347">
        <v>210921</v>
      </c>
      <c r="H25" s="347">
        <v>209353</v>
      </c>
      <c r="I25" s="347">
        <v>205492</v>
      </c>
      <c r="J25" s="347">
        <v>199770</v>
      </c>
      <c r="K25" s="347">
        <v>206741</v>
      </c>
      <c r="L25" s="347">
        <v>210627</v>
      </c>
      <c r="M25" s="347">
        <v>208666</v>
      </c>
      <c r="N25" s="198"/>
      <c r="O25" s="198"/>
      <c r="P25" s="6"/>
      <c r="Q25" s="6"/>
      <c r="R25" s="6"/>
      <c r="S25" s="6"/>
      <c r="T25" s="6"/>
      <c r="U25" s="6"/>
      <c r="V25" s="6"/>
      <c r="W25" s="6"/>
      <c r="X25" s="6"/>
    </row>
    <row r="26" spans="1:24" s="121" customFormat="1" ht="16.5" customHeight="1">
      <c r="A26" s="54" t="s">
        <v>60</v>
      </c>
      <c r="B26" s="52" t="s">
        <v>44</v>
      </c>
      <c r="C26" s="345">
        <v>310574</v>
      </c>
      <c r="D26" s="345">
        <v>322015</v>
      </c>
      <c r="E26" s="345">
        <v>340070</v>
      </c>
      <c r="F26" s="345">
        <v>357859</v>
      </c>
      <c r="G26" s="345">
        <v>375994</v>
      </c>
      <c r="H26" s="345">
        <v>385008</v>
      </c>
      <c r="I26" s="345">
        <v>395386</v>
      </c>
      <c r="J26" s="345">
        <v>401585</v>
      </c>
      <c r="K26" s="345">
        <v>429128</v>
      </c>
      <c r="L26" s="345">
        <v>441192</v>
      </c>
      <c r="M26" s="345">
        <v>440568</v>
      </c>
      <c r="N26" s="198"/>
      <c r="O26" s="198"/>
      <c r="P26" s="6"/>
      <c r="Q26" s="6"/>
      <c r="R26" s="6"/>
      <c r="S26" s="6"/>
      <c r="T26" s="6"/>
      <c r="U26" s="6"/>
      <c r="V26" s="6"/>
      <c r="W26" s="6"/>
      <c r="X26" s="6"/>
    </row>
    <row r="27" spans="1:24" s="121" customFormat="1" ht="12.75" customHeight="1">
      <c r="A27" s="55"/>
      <c r="B27" s="56" t="s">
        <v>52</v>
      </c>
      <c r="C27" s="347">
        <v>161147</v>
      </c>
      <c r="D27" s="347">
        <v>165714</v>
      </c>
      <c r="E27" s="347">
        <v>174784</v>
      </c>
      <c r="F27" s="347">
        <v>184319</v>
      </c>
      <c r="G27" s="347">
        <v>193294</v>
      </c>
      <c r="H27" s="347">
        <v>197447</v>
      </c>
      <c r="I27" s="347">
        <v>203550</v>
      </c>
      <c r="J27" s="347">
        <v>205394</v>
      </c>
      <c r="K27" s="347">
        <v>218880</v>
      </c>
      <c r="L27" s="347">
        <v>225057</v>
      </c>
      <c r="M27" s="347">
        <v>225468</v>
      </c>
      <c r="N27" s="198"/>
      <c r="O27" s="198"/>
      <c r="P27" s="6"/>
      <c r="Q27" s="6"/>
      <c r="R27" s="6"/>
      <c r="S27" s="6"/>
      <c r="T27" s="6"/>
      <c r="U27" s="6"/>
      <c r="V27" s="6"/>
      <c r="W27" s="6"/>
      <c r="X27" s="6"/>
    </row>
    <row r="28" spans="1:24" s="121" customFormat="1" ht="12.75" customHeight="1">
      <c r="A28" s="54"/>
      <c r="B28" s="56" t="s">
        <v>53</v>
      </c>
      <c r="C28" s="347">
        <v>149427</v>
      </c>
      <c r="D28" s="347">
        <v>156301</v>
      </c>
      <c r="E28" s="347">
        <v>165286</v>
      </c>
      <c r="F28" s="347">
        <v>173540</v>
      </c>
      <c r="G28" s="347">
        <v>182700</v>
      </c>
      <c r="H28" s="347">
        <v>187561</v>
      </c>
      <c r="I28" s="347">
        <v>191836</v>
      </c>
      <c r="J28" s="347">
        <v>196191</v>
      </c>
      <c r="K28" s="347">
        <v>210248</v>
      </c>
      <c r="L28" s="347">
        <v>216135</v>
      </c>
      <c r="M28" s="347">
        <v>215100</v>
      </c>
      <c r="N28" s="198"/>
      <c r="O28" s="198"/>
      <c r="P28" s="6"/>
      <c r="Q28" s="6"/>
      <c r="R28" s="6"/>
      <c r="S28" s="6"/>
      <c r="T28" s="6"/>
      <c r="U28" s="6"/>
      <c r="V28" s="6"/>
      <c r="W28" s="6"/>
      <c r="X28" s="6"/>
    </row>
    <row r="29" spans="1:24" s="121" customFormat="1" ht="16.5" customHeight="1">
      <c r="A29" s="54" t="s">
        <v>61</v>
      </c>
      <c r="B29" s="52" t="s">
        <v>44</v>
      </c>
      <c r="C29" s="345">
        <v>254771</v>
      </c>
      <c r="D29" s="345">
        <v>268173</v>
      </c>
      <c r="E29" s="345">
        <v>285691</v>
      </c>
      <c r="F29" s="345">
        <v>301821</v>
      </c>
      <c r="G29" s="345">
        <v>316767</v>
      </c>
      <c r="H29" s="345">
        <v>321211</v>
      </c>
      <c r="I29" s="345">
        <v>326029</v>
      </c>
      <c r="J29" s="345">
        <v>331946</v>
      </c>
      <c r="K29" s="345">
        <v>356932</v>
      </c>
      <c r="L29" s="345">
        <v>375154</v>
      </c>
      <c r="M29" s="345">
        <v>384639</v>
      </c>
      <c r="N29" s="198"/>
      <c r="O29" s="198"/>
      <c r="P29" s="6"/>
      <c r="Q29" s="6"/>
      <c r="R29" s="6"/>
      <c r="S29" s="6"/>
      <c r="T29" s="6"/>
      <c r="U29" s="6"/>
      <c r="V29" s="6"/>
      <c r="W29" s="6"/>
      <c r="X29" s="6"/>
    </row>
    <row r="30" spans="1:24" s="121" customFormat="1" ht="12.75" customHeight="1">
      <c r="A30" s="55"/>
      <c r="B30" s="56" t="s">
        <v>52</v>
      </c>
      <c r="C30" s="347">
        <v>134964</v>
      </c>
      <c r="D30" s="347">
        <v>141049</v>
      </c>
      <c r="E30" s="347">
        <v>149949</v>
      </c>
      <c r="F30" s="347">
        <v>157982</v>
      </c>
      <c r="G30" s="347">
        <v>165922</v>
      </c>
      <c r="H30" s="347">
        <v>166923</v>
      </c>
      <c r="I30" s="347">
        <v>169949</v>
      </c>
      <c r="J30" s="347">
        <v>171732</v>
      </c>
      <c r="K30" s="347">
        <v>183896</v>
      </c>
      <c r="L30" s="347">
        <v>192811</v>
      </c>
      <c r="M30" s="347">
        <v>197258</v>
      </c>
      <c r="N30" s="198"/>
      <c r="O30" s="198"/>
      <c r="P30" s="6"/>
      <c r="Q30" s="6"/>
      <c r="R30" s="6"/>
      <c r="S30" s="6"/>
      <c r="T30" s="6"/>
      <c r="U30" s="6"/>
      <c r="V30" s="6"/>
      <c r="W30" s="6"/>
      <c r="X30" s="6"/>
    </row>
    <row r="31" spans="1:24" s="121" customFormat="1" ht="12.75" customHeight="1">
      <c r="A31" s="54"/>
      <c r="B31" s="56" t="s">
        <v>53</v>
      </c>
      <c r="C31" s="347">
        <v>119807</v>
      </c>
      <c r="D31" s="347">
        <v>127124</v>
      </c>
      <c r="E31" s="347">
        <v>135742</v>
      </c>
      <c r="F31" s="347">
        <v>143839</v>
      </c>
      <c r="G31" s="347">
        <v>150845</v>
      </c>
      <c r="H31" s="347">
        <v>154288</v>
      </c>
      <c r="I31" s="347">
        <v>156080</v>
      </c>
      <c r="J31" s="347">
        <v>160214</v>
      </c>
      <c r="K31" s="347">
        <v>173036</v>
      </c>
      <c r="L31" s="347">
        <v>182343</v>
      </c>
      <c r="M31" s="347">
        <v>187381</v>
      </c>
      <c r="N31" s="198"/>
      <c r="O31" s="198"/>
      <c r="P31" s="6"/>
      <c r="Q31" s="6"/>
      <c r="R31" s="6"/>
      <c r="S31" s="6"/>
      <c r="T31" s="6"/>
      <c r="U31" s="6"/>
      <c r="V31" s="6"/>
      <c r="W31" s="6"/>
      <c r="X31" s="6"/>
    </row>
    <row r="32" spans="1:24" s="121" customFormat="1" ht="16.5" customHeight="1">
      <c r="A32" s="54" t="s">
        <v>62</v>
      </c>
      <c r="B32" s="52" t="s">
        <v>44</v>
      </c>
      <c r="C32" s="345">
        <v>181742</v>
      </c>
      <c r="D32" s="345">
        <v>194900</v>
      </c>
      <c r="E32" s="345">
        <v>208931</v>
      </c>
      <c r="F32" s="345">
        <v>226252</v>
      </c>
      <c r="G32" s="345">
        <v>242664</v>
      </c>
      <c r="H32" s="345">
        <v>250736</v>
      </c>
      <c r="I32" s="345">
        <v>260160</v>
      </c>
      <c r="J32" s="345">
        <v>266190</v>
      </c>
      <c r="K32" s="345">
        <v>285393</v>
      </c>
      <c r="L32" s="345">
        <v>300179</v>
      </c>
      <c r="M32" s="345">
        <v>305663</v>
      </c>
      <c r="N32" s="198"/>
      <c r="O32" s="198"/>
      <c r="P32" s="6"/>
      <c r="Q32" s="6"/>
      <c r="R32" s="6"/>
      <c r="S32" s="6"/>
      <c r="T32" s="6"/>
      <c r="U32" s="6"/>
      <c r="V32" s="6"/>
      <c r="W32" s="6"/>
      <c r="X32" s="6"/>
    </row>
    <row r="33" spans="1:24" s="121" customFormat="1" ht="12.75" customHeight="1">
      <c r="A33" s="55"/>
      <c r="B33" s="56" t="s">
        <v>52</v>
      </c>
      <c r="C33" s="347">
        <v>100043</v>
      </c>
      <c r="D33" s="347">
        <v>106199</v>
      </c>
      <c r="E33" s="347">
        <v>113202</v>
      </c>
      <c r="F33" s="347">
        <v>122797</v>
      </c>
      <c r="G33" s="347">
        <v>131577</v>
      </c>
      <c r="H33" s="347">
        <v>134804</v>
      </c>
      <c r="I33" s="347">
        <v>139411</v>
      </c>
      <c r="J33" s="347">
        <v>141593</v>
      </c>
      <c r="K33" s="347">
        <v>150231</v>
      </c>
      <c r="L33" s="347">
        <v>157204</v>
      </c>
      <c r="M33" s="347">
        <v>159778</v>
      </c>
      <c r="N33" s="198"/>
      <c r="O33" s="198"/>
      <c r="P33" s="6"/>
      <c r="Q33" s="6"/>
      <c r="R33" s="6"/>
      <c r="S33" s="6"/>
      <c r="T33" s="6"/>
      <c r="U33" s="6"/>
      <c r="V33" s="6"/>
      <c r="W33" s="6"/>
      <c r="X33" s="6"/>
    </row>
    <row r="34" spans="1:24" s="121" customFormat="1" ht="12.75" customHeight="1">
      <c r="A34" s="54"/>
      <c r="B34" s="56" t="s">
        <v>53</v>
      </c>
      <c r="C34" s="347">
        <v>81699</v>
      </c>
      <c r="D34" s="347">
        <v>88701</v>
      </c>
      <c r="E34" s="347">
        <v>95729</v>
      </c>
      <c r="F34" s="347">
        <v>103455</v>
      </c>
      <c r="G34" s="347">
        <v>111087</v>
      </c>
      <c r="H34" s="347">
        <v>115932</v>
      </c>
      <c r="I34" s="347">
        <v>120749</v>
      </c>
      <c r="J34" s="347">
        <v>124597</v>
      </c>
      <c r="K34" s="347">
        <v>135162</v>
      </c>
      <c r="L34" s="347">
        <v>142975</v>
      </c>
      <c r="M34" s="347">
        <v>145885</v>
      </c>
      <c r="N34" s="198"/>
      <c r="O34" s="198"/>
      <c r="P34" s="6"/>
      <c r="Q34" s="6"/>
      <c r="R34" s="6"/>
      <c r="S34" s="6"/>
      <c r="T34" s="6"/>
      <c r="U34" s="6"/>
      <c r="V34" s="6"/>
      <c r="W34" s="6"/>
      <c r="X34" s="6"/>
    </row>
    <row r="35" spans="1:24" s="121" customFormat="1" ht="16.5" customHeight="1">
      <c r="A35" s="54" t="s">
        <v>63</v>
      </c>
      <c r="B35" s="52" t="s">
        <v>44</v>
      </c>
      <c r="C35" s="345">
        <v>86375</v>
      </c>
      <c r="D35" s="345">
        <v>94453</v>
      </c>
      <c r="E35" s="345">
        <v>101937</v>
      </c>
      <c r="F35" s="345">
        <v>115424</v>
      </c>
      <c r="G35" s="345">
        <v>122990</v>
      </c>
      <c r="H35" s="345">
        <v>129982</v>
      </c>
      <c r="I35" s="345">
        <v>136328</v>
      </c>
      <c r="J35" s="345">
        <v>147017</v>
      </c>
      <c r="K35" s="345">
        <v>167283</v>
      </c>
      <c r="L35" s="345">
        <v>184566</v>
      </c>
      <c r="M35" s="345">
        <v>191925</v>
      </c>
      <c r="N35" s="198"/>
      <c r="O35" s="198"/>
      <c r="P35" s="6"/>
      <c r="Q35" s="6"/>
      <c r="R35" s="6"/>
      <c r="S35" s="6"/>
      <c r="T35" s="6"/>
      <c r="U35" s="6"/>
      <c r="V35" s="6"/>
      <c r="W35" s="6"/>
      <c r="X35" s="6"/>
    </row>
    <row r="36" spans="1:24" s="121" customFormat="1" ht="12.75" customHeight="1">
      <c r="A36" s="55"/>
      <c r="B36" s="56" t="s">
        <v>52</v>
      </c>
      <c r="C36" s="347">
        <v>48273</v>
      </c>
      <c r="D36" s="347">
        <v>52491</v>
      </c>
      <c r="E36" s="347">
        <v>56506</v>
      </c>
      <c r="F36" s="347">
        <v>64123</v>
      </c>
      <c r="G36" s="347">
        <v>67556</v>
      </c>
      <c r="H36" s="347">
        <v>70416</v>
      </c>
      <c r="I36" s="347">
        <v>73844</v>
      </c>
      <c r="J36" s="347">
        <v>79524</v>
      </c>
      <c r="K36" s="347">
        <v>90520</v>
      </c>
      <c r="L36" s="347">
        <v>99062</v>
      </c>
      <c r="M36" s="347">
        <v>102405</v>
      </c>
      <c r="N36" s="198"/>
      <c r="O36" s="198"/>
      <c r="P36" s="6"/>
      <c r="Q36" s="6"/>
      <c r="R36" s="6"/>
      <c r="S36" s="6"/>
      <c r="T36" s="6"/>
      <c r="U36" s="6"/>
      <c r="V36" s="6"/>
      <c r="W36" s="6"/>
      <c r="X36" s="6"/>
    </row>
    <row r="37" spans="1:24" s="121" customFormat="1" ht="12.75" customHeight="1">
      <c r="A37" s="54"/>
      <c r="B37" s="56" t="s">
        <v>53</v>
      </c>
      <c r="C37" s="347">
        <v>38102</v>
      </c>
      <c r="D37" s="347">
        <v>41962</v>
      </c>
      <c r="E37" s="347">
        <v>45431</v>
      </c>
      <c r="F37" s="347">
        <v>51301</v>
      </c>
      <c r="G37" s="347">
        <v>55434</v>
      </c>
      <c r="H37" s="347">
        <v>59566</v>
      </c>
      <c r="I37" s="347">
        <v>62484</v>
      </c>
      <c r="J37" s="347">
        <v>67493</v>
      </c>
      <c r="K37" s="347">
        <v>76763</v>
      </c>
      <c r="L37" s="347">
        <v>85504</v>
      </c>
      <c r="M37" s="347">
        <v>89520</v>
      </c>
      <c r="N37" s="198"/>
      <c r="O37" s="198"/>
      <c r="P37" s="6"/>
      <c r="Q37" s="6"/>
      <c r="R37" s="6"/>
      <c r="S37" s="6"/>
      <c r="T37" s="6"/>
      <c r="U37" s="6"/>
      <c r="V37" s="6"/>
      <c r="W37" s="6"/>
      <c r="X37" s="6"/>
    </row>
    <row r="38" spans="1:24" s="121" customFormat="1" ht="16.5" customHeight="1">
      <c r="A38" s="54" t="s">
        <v>64</v>
      </c>
      <c r="B38" s="52" t="s">
        <v>44</v>
      </c>
      <c r="C38" s="345">
        <v>21870</v>
      </c>
      <c r="D38" s="345">
        <v>24902</v>
      </c>
      <c r="E38" s="345">
        <v>28135</v>
      </c>
      <c r="F38" s="345">
        <v>31931</v>
      </c>
      <c r="G38" s="345">
        <v>36702</v>
      </c>
      <c r="H38" s="345">
        <v>42154</v>
      </c>
      <c r="I38" s="345">
        <v>43484</v>
      </c>
      <c r="J38" s="345">
        <v>46896</v>
      </c>
      <c r="K38" s="345">
        <v>53834</v>
      </c>
      <c r="L38" s="345">
        <v>60667</v>
      </c>
      <c r="M38" s="345">
        <v>66468</v>
      </c>
      <c r="N38" s="198"/>
      <c r="O38" s="198"/>
      <c r="P38" s="6"/>
      <c r="Q38" s="6"/>
      <c r="R38" s="6"/>
      <c r="S38" s="6"/>
      <c r="T38" s="6"/>
      <c r="U38" s="6"/>
      <c r="V38" s="6"/>
      <c r="W38" s="6"/>
      <c r="X38" s="6"/>
    </row>
    <row r="39" spans="1:24" s="121" customFormat="1" ht="12.75" customHeight="1">
      <c r="A39" s="55"/>
      <c r="B39" s="56" t="s">
        <v>52</v>
      </c>
      <c r="C39" s="347">
        <v>12687</v>
      </c>
      <c r="D39" s="347">
        <v>14235</v>
      </c>
      <c r="E39" s="347">
        <v>15954</v>
      </c>
      <c r="F39" s="347">
        <v>18372</v>
      </c>
      <c r="G39" s="347">
        <v>21276</v>
      </c>
      <c r="H39" s="347">
        <v>24844</v>
      </c>
      <c r="I39" s="347">
        <v>25548</v>
      </c>
      <c r="J39" s="347">
        <v>27505</v>
      </c>
      <c r="K39" s="347">
        <v>31840</v>
      </c>
      <c r="L39" s="347">
        <v>36069</v>
      </c>
      <c r="M39" s="347">
        <v>39491</v>
      </c>
      <c r="N39" s="198"/>
      <c r="O39" s="198"/>
      <c r="P39" s="6"/>
      <c r="Q39" s="6"/>
      <c r="R39" s="6"/>
      <c r="S39" s="6"/>
      <c r="T39" s="6"/>
      <c r="U39" s="6"/>
      <c r="V39" s="6"/>
      <c r="W39" s="6"/>
      <c r="X39" s="6"/>
    </row>
    <row r="40" spans="1:24" s="121" customFormat="1" ht="12.75" customHeight="1">
      <c r="A40" s="54"/>
      <c r="B40" s="56" t="s">
        <v>53</v>
      </c>
      <c r="C40" s="347">
        <v>9183</v>
      </c>
      <c r="D40" s="347">
        <v>10667</v>
      </c>
      <c r="E40" s="347">
        <v>12181</v>
      </c>
      <c r="F40" s="347">
        <v>13559</v>
      </c>
      <c r="G40" s="347">
        <v>15426</v>
      </c>
      <c r="H40" s="347">
        <v>17310</v>
      </c>
      <c r="I40" s="347">
        <v>17936</v>
      </c>
      <c r="J40" s="347">
        <v>19391</v>
      </c>
      <c r="K40" s="347">
        <v>21994</v>
      </c>
      <c r="L40" s="347">
        <v>24598</v>
      </c>
      <c r="M40" s="347">
        <v>26977</v>
      </c>
      <c r="N40" s="198"/>
      <c r="O40" s="198"/>
      <c r="P40" s="6"/>
      <c r="Q40" s="6"/>
      <c r="R40" s="6"/>
      <c r="S40" s="6"/>
      <c r="T40" s="6"/>
      <c r="U40" s="6"/>
      <c r="V40" s="6"/>
      <c r="W40" s="6"/>
      <c r="X40" s="6"/>
    </row>
    <row r="41" spans="1:24" s="121" customFormat="1" ht="16.5" customHeight="1">
      <c r="A41" s="54" t="s">
        <v>12</v>
      </c>
      <c r="B41" s="52" t="s">
        <v>44</v>
      </c>
      <c r="C41" s="345">
        <v>2227</v>
      </c>
      <c r="D41" s="345">
        <v>2352</v>
      </c>
      <c r="E41" s="345">
        <v>2554</v>
      </c>
      <c r="F41" s="345">
        <v>2683</v>
      </c>
      <c r="G41" s="345">
        <v>2987</v>
      </c>
      <c r="H41" s="345">
        <v>792</v>
      </c>
      <c r="I41" s="345">
        <v>462</v>
      </c>
      <c r="J41" s="345">
        <v>958</v>
      </c>
      <c r="K41" s="345">
        <v>377</v>
      </c>
      <c r="L41" s="345">
        <v>7</v>
      </c>
      <c r="M41" s="345">
        <v>749</v>
      </c>
      <c r="N41" s="198"/>
      <c r="O41" s="198"/>
      <c r="P41" s="6"/>
      <c r="Q41" s="6"/>
      <c r="R41" s="6"/>
      <c r="S41" s="6"/>
      <c r="T41" s="6"/>
      <c r="U41" s="6"/>
      <c r="V41" s="6"/>
      <c r="W41" s="6"/>
      <c r="X41" s="6"/>
    </row>
    <row r="42" spans="1:24" s="121" customFormat="1" ht="12.75" customHeight="1">
      <c r="A42" s="57"/>
      <c r="B42" s="56" t="s">
        <v>52</v>
      </c>
      <c r="C42" s="347">
        <v>1415</v>
      </c>
      <c r="D42" s="347">
        <v>1458</v>
      </c>
      <c r="E42" s="347">
        <v>1609</v>
      </c>
      <c r="F42" s="347">
        <v>1670</v>
      </c>
      <c r="G42" s="347">
        <v>1869</v>
      </c>
      <c r="H42" s="347">
        <v>318</v>
      </c>
      <c r="I42" s="347">
        <v>230</v>
      </c>
      <c r="J42" s="347">
        <v>386</v>
      </c>
      <c r="K42" s="347">
        <v>200</v>
      </c>
      <c r="L42" s="347">
        <v>3</v>
      </c>
      <c r="M42" s="347">
        <v>327</v>
      </c>
      <c r="N42" s="198"/>
      <c r="O42" s="198"/>
      <c r="P42" s="6"/>
      <c r="Q42" s="6"/>
      <c r="R42" s="6"/>
      <c r="S42" s="6"/>
      <c r="T42" s="6"/>
      <c r="U42" s="6"/>
      <c r="V42" s="6"/>
      <c r="W42" s="6"/>
      <c r="X42" s="6"/>
    </row>
    <row r="43" spans="1:24" s="121" customFormat="1" ht="12.75" customHeight="1">
      <c r="A43" s="7"/>
      <c r="B43" s="58" t="s">
        <v>53</v>
      </c>
      <c r="C43" s="348">
        <v>812</v>
      </c>
      <c r="D43" s="348">
        <v>894</v>
      </c>
      <c r="E43" s="348">
        <v>945</v>
      </c>
      <c r="F43" s="348">
        <v>1013</v>
      </c>
      <c r="G43" s="348">
        <v>1118</v>
      </c>
      <c r="H43" s="348">
        <v>474</v>
      </c>
      <c r="I43" s="348">
        <v>232</v>
      </c>
      <c r="J43" s="348">
        <v>572</v>
      </c>
      <c r="K43" s="348">
        <v>177</v>
      </c>
      <c r="L43" s="348">
        <v>4</v>
      </c>
      <c r="M43" s="348">
        <v>422</v>
      </c>
      <c r="N43" s="198"/>
      <c r="O43" s="198"/>
      <c r="P43" s="6"/>
      <c r="Q43" s="6"/>
      <c r="R43" s="6"/>
      <c r="S43" s="6"/>
      <c r="T43" s="6"/>
      <c r="U43" s="6"/>
      <c r="V43" s="6"/>
      <c r="W43" s="6"/>
      <c r="X43" s="6"/>
    </row>
    <row r="44" spans="1:24" ht="15" customHeight="1">
      <c r="A44" s="19" t="s">
        <v>769</v>
      </c>
      <c r="B44" s="33"/>
      <c r="C44" s="144"/>
      <c r="D44" s="53"/>
      <c r="E44" s="53"/>
      <c r="F44" s="53"/>
      <c r="G44" s="53"/>
      <c r="H44" s="53"/>
      <c r="I44" s="53"/>
      <c r="J44" s="53"/>
      <c r="K44" s="53"/>
      <c r="L44" s="53"/>
      <c r="M44" s="53"/>
    </row>
    <row r="45" spans="1:24" ht="15" customHeight="1">
      <c r="A45" s="204"/>
      <c r="B45" s="204"/>
      <c r="C45" s="197"/>
      <c r="D45" s="197"/>
      <c r="E45" s="197"/>
      <c r="F45" s="197"/>
      <c r="G45" s="197"/>
      <c r="H45" s="197"/>
      <c r="I45" s="197"/>
      <c r="J45" s="197"/>
      <c r="K45" s="197"/>
      <c r="L45" s="197"/>
      <c r="M45" s="197"/>
    </row>
    <row r="46" spans="1:24">
      <c r="C46" s="197"/>
      <c r="D46" s="197"/>
      <c r="E46" s="197"/>
      <c r="F46" s="197"/>
      <c r="G46" s="197"/>
      <c r="H46" s="197"/>
      <c r="I46" s="197"/>
      <c r="J46" s="197"/>
      <c r="K46" s="197"/>
      <c r="L46" s="197"/>
      <c r="M46" s="197"/>
    </row>
    <row r="47" spans="1:24">
      <c r="C47" s="197"/>
      <c r="D47" s="197"/>
      <c r="E47" s="197"/>
      <c r="F47" s="197"/>
      <c r="G47" s="197"/>
      <c r="H47" s="197"/>
      <c r="I47" s="197"/>
      <c r="J47" s="197"/>
      <c r="K47" s="197"/>
      <c r="L47" s="197"/>
      <c r="M47" s="197"/>
    </row>
  </sheetData>
  <mergeCells count="1">
    <mergeCell ref="A1:M1"/>
  </mergeCells>
  <phoneticPr fontId="24" type="noConversion"/>
  <conditionalFormatting sqref="A1 I2:I3 H4:I4 A45:F1048576 A2:G4 A5:J43 Y1:XFD1048576 B44:F44">
    <cfRule type="cellIs" dxfId="1320" priority="40" operator="equal">
      <formula>0</formula>
    </cfRule>
  </conditionalFormatting>
  <conditionalFormatting sqref="P15:X1048576 N44:O1048576 N1:X12">
    <cfRule type="cellIs" dxfId="1319" priority="2" operator="equal">
      <formula>0</formula>
    </cfRule>
  </conditionalFormatting>
  <conditionalFormatting sqref="A44">
    <cfRule type="cellIs" dxfId="1318"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tabColor indexed="25"/>
    <pageSetUpPr fitToPage="1"/>
  </sheetPr>
  <dimension ref="A1:Z46"/>
  <sheetViews>
    <sheetView showGridLines="0" workbookViewId="0">
      <selection activeCell="Y70" sqref="Y70"/>
    </sheetView>
  </sheetViews>
  <sheetFormatPr defaultColWidth="9.140625" defaultRowHeight="17.25" customHeight="1"/>
  <cols>
    <col min="1" max="1" width="25.7109375" style="49" customWidth="1"/>
    <col min="2" max="2" width="1.28515625" style="46" customWidth="1"/>
    <col min="3" max="13" width="7.5703125" style="49" customWidth="1"/>
    <col min="14" max="14" width="9.140625" style="49"/>
    <col min="15" max="25" width="9.140625" style="651"/>
    <col min="26" max="16384" width="9.140625" style="49"/>
  </cols>
  <sheetData>
    <row r="1" spans="1:25" s="47" customFormat="1" ht="28.5" customHeight="1">
      <c r="A1" s="947" t="s">
        <v>581</v>
      </c>
      <c r="B1" s="947"/>
      <c r="C1" s="947"/>
      <c r="D1" s="947"/>
      <c r="E1" s="947"/>
      <c r="F1" s="947"/>
      <c r="G1" s="947"/>
      <c r="H1" s="947"/>
      <c r="I1" s="947"/>
      <c r="J1" s="947"/>
      <c r="K1" s="947"/>
      <c r="L1" s="947"/>
      <c r="M1" s="947"/>
      <c r="O1" s="652"/>
      <c r="P1" s="652"/>
      <c r="Q1" s="652"/>
      <c r="R1" s="652"/>
      <c r="S1" s="652"/>
      <c r="T1" s="652"/>
      <c r="U1" s="652"/>
      <c r="V1" s="652"/>
      <c r="W1" s="652"/>
      <c r="X1" s="652"/>
      <c r="Y1" s="652"/>
    </row>
    <row r="2" spans="1:25" s="48" customFormat="1" ht="15" customHeight="1">
      <c r="A2" s="65"/>
      <c r="B2" s="40"/>
      <c r="C2" s="65"/>
      <c r="D2" s="183"/>
      <c r="E2" s="183"/>
      <c r="F2" s="183"/>
      <c r="G2" s="183"/>
      <c r="H2" s="183"/>
      <c r="I2" s="183"/>
      <c r="J2" s="183"/>
      <c r="K2" s="183"/>
      <c r="L2" s="183"/>
      <c r="M2" s="183"/>
      <c r="O2" s="653"/>
      <c r="P2" s="653"/>
      <c r="Q2" s="653"/>
      <c r="R2" s="653"/>
      <c r="S2" s="653"/>
      <c r="T2" s="653"/>
      <c r="U2" s="653"/>
      <c r="V2" s="653"/>
      <c r="W2" s="653"/>
      <c r="X2" s="653"/>
      <c r="Y2" s="653"/>
    </row>
    <row r="3" spans="1:25" s="48" customFormat="1" ht="15" customHeight="1">
      <c r="A3" s="70" t="s">
        <v>13</v>
      </c>
      <c r="B3" s="40"/>
      <c r="C3" s="65"/>
      <c r="D3" s="183"/>
      <c r="E3" s="183"/>
      <c r="F3" s="183"/>
      <c r="G3" s="183"/>
      <c r="H3" s="183"/>
      <c r="I3" s="183"/>
      <c r="J3" s="183"/>
      <c r="K3" s="183"/>
      <c r="L3" s="183"/>
      <c r="M3" s="183"/>
      <c r="O3" s="653"/>
      <c r="P3" s="653"/>
      <c r="Q3" s="653"/>
      <c r="R3" s="653"/>
      <c r="S3" s="653"/>
      <c r="T3" s="653"/>
      <c r="U3" s="653"/>
      <c r="V3" s="653"/>
      <c r="W3" s="653"/>
      <c r="X3" s="653"/>
      <c r="Y3" s="653"/>
    </row>
    <row r="4" spans="1:25" s="48" customFormat="1" ht="28.5" customHeight="1" thickBot="1">
      <c r="A4" s="41"/>
      <c r="B4" s="80"/>
      <c r="C4" s="41">
        <v>2014</v>
      </c>
      <c r="D4" s="41">
        <v>2015</v>
      </c>
      <c r="E4" s="41">
        <v>2016</v>
      </c>
      <c r="F4" s="41">
        <v>2017</v>
      </c>
      <c r="G4" s="41">
        <v>2018</v>
      </c>
      <c r="H4" s="41">
        <v>2019</v>
      </c>
      <c r="I4" s="41">
        <v>2020</v>
      </c>
      <c r="J4" s="41">
        <v>2021</v>
      </c>
      <c r="K4" s="41">
        <v>2022</v>
      </c>
      <c r="L4" s="41">
        <v>2023</v>
      </c>
      <c r="M4" s="41">
        <v>2024</v>
      </c>
      <c r="O4" s="653">
        <f>+C4</f>
        <v>2014</v>
      </c>
      <c r="P4" s="653">
        <f t="shared" ref="P4:Y4" si="0">+D4</f>
        <v>2015</v>
      </c>
      <c r="Q4" s="653">
        <f t="shared" si="0"/>
        <v>2016</v>
      </c>
      <c r="R4" s="653">
        <f t="shared" si="0"/>
        <v>2017</v>
      </c>
      <c r="S4" s="653">
        <f t="shared" si="0"/>
        <v>2018</v>
      </c>
      <c r="T4" s="653">
        <f t="shared" si="0"/>
        <v>2019</v>
      </c>
      <c r="U4" s="653">
        <f t="shared" si="0"/>
        <v>2020</v>
      </c>
      <c r="V4" s="653">
        <f t="shared" si="0"/>
        <v>2021</v>
      </c>
      <c r="W4" s="653">
        <f t="shared" si="0"/>
        <v>2022</v>
      </c>
      <c r="X4" s="653">
        <f t="shared" si="0"/>
        <v>2023</v>
      </c>
      <c r="Y4" s="653">
        <f t="shared" si="0"/>
        <v>2024</v>
      </c>
    </row>
    <row r="5" spans="1:25" s="39" customFormat="1" ht="20.25" customHeight="1" thickTop="1">
      <c r="A5" s="63" t="s">
        <v>11</v>
      </c>
      <c r="B5" s="369" t="s">
        <v>44</v>
      </c>
      <c r="C5" s="346">
        <v>2458163</v>
      </c>
      <c r="D5" s="346">
        <v>2537653</v>
      </c>
      <c r="E5" s="346">
        <v>2641919</v>
      </c>
      <c r="F5" s="346">
        <v>2767521</v>
      </c>
      <c r="G5" s="346">
        <v>2877918</v>
      </c>
      <c r="H5" s="346">
        <v>2930482</v>
      </c>
      <c r="I5" s="346">
        <v>2902825</v>
      </c>
      <c r="J5" s="346">
        <v>2922343</v>
      </c>
      <c r="K5" s="346">
        <v>3148147</v>
      </c>
      <c r="L5" s="346">
        <v>3296134</v>
      </c>
      <c r="M5" s="346">
        <v>3354136</v>
      </c>
      <c r="N5" s="48"/>
      <c r="O5" s="656">
        <f>+C5*100/C$5</f>
        <v>100</v>
      </c>
      <c r="P5" s="656">
        <f t="shared" ref="P5:Y5" si="1">+D5*100/D$5</f>
        <v>100</v>
      </c>
      <c r="Q5" s="656">
        <f t="shared" si="1"/>
        <v>100</v>
      </c>
      <c r="R5" s="656">
        <f t="shared" si="1"/>
        <v>100</v>
      </c>
      <c r="S5" s="656">
        <f t="shared" si="1"/>
        <v>100</v>
      </c>
      <c r="T5" s="656">
        <f t="shared" si="1"/>
        <v>100</v>
      </c>
      <c r="U5" s="656">
        <f t="shared" si="1"/>
        <v>100</v>
      </c>
      <c r="V5" s="656">
        <f t="shared" si="1"/>
        <v>100</v>
      </c>
      <c r="W5" s="656">
        <f t="shared" si="1"/>
        <v>100</v>
      </c>
      <c r="X5" s="656">
        <f t="shared" si="1"/>
        <v>100</v>
      </c>
      <c r="Y5" s="656">
        <f t="shared" si="1"/>
        <v>100</v>
      </c>
    </row>
    <row r="6" spans="1:25" s="39" customFormat="1" ht="15" customHeight="1">
      <c r="A6" s="38"/>
      <c r="B6" s="369" t="s">
        <v>45</v>
      </c>
      <c r="C6" s="345">
        <v>1278921</v>
      </c>
      <c r="D6" s="345">
        <v>1311721</v>
      </c>
      <c r="E6" s="345">
        <v>1367705</v>
      </c>
      <c r="F6" s="345">
        <v>1437729</v>
      </c>
      <c r="G6" s="345">
        <v>1499993</v>
      </c>
      <c r="H6" s="345">
        <v>1529276</v>
      </c>
      <c r="I6" s="345">
        <v>1526297</v>
      </c>
      <c r="J6" s="345">
        <v>1530240</v>
      </c>
      <c r="K6" s="345">
        <v>1653917</v>
      </c>
      <c r="L6" s="345">
        <v>1743311</v>
      </c>
      <c r="M6" s="345">
        <v>1783712</v>
      </c>
      <c r="N6" s="48"/>
      <c r="O6" s="653"/>
      <c r="P6" s="653"/>
      <c r="Q6" s="653"/>
      <c r="R6" s="653"/>
      <c r="S6" s="653"/>
      <c r="T6" s="653"/>
      <c r="U6" s="653"/>
      <c r="V6" s="653"/>
      <c r="W6" s="653"/>
      <c r="X6" s="653"/>
      <c r="Y6" s="653"/>
    </row>
    <row r="7" spans="1:25" s="39" customFormat="1" ht="15" customHeight="1">
      <c r="A7" s="38"/>
      <c r="B7" s="369" t="s">
        <v>46</v>
      </c>
      <c r="C7" s="345">
        <v>1179242</v>
      </c>
      <c r="D7" s="345">
        <v>1225932</v>
      </c>
      <c r="E7" s="345">
        <v>1274214</v>
      </c>
      <c r="F7" s="345">
        <v>1329792</v>
      </c>
      <c r="G7" s="345">
        <v>1377925</v>
      </c>
      <c r="H7" s="345">
        <v>1401206</v>
      </c>
      <c r="I7" s="345">
        <v>1376528</v>
      </c>
      <c r="J7" s="345">
        <v>1392103</v>
      </c>
      <c r="K7" s="345">
        <v>1494230</v>
      </c>
      <c r="L7" s="345">
        <v>1552823</v>
      </c>
      <c r="M7" s="345">
        <v>1570424</v>
      </c>
      <c r="N7" s="48"/>
      <c r="O7" s="656">
        <f>+C7/C5*100</f>
        <v>47.972490026088586</v>
      </c>
      <c r="P7" s="656">
        <f t="shared" ref="P7:Y7" si="2">+D7/D5*100</f>
        <v>48.309678273585874</v>
      </c>
      <c r="Q7" s="656">
        <f t="shared" si="2"/>
        <v>48.230623270433348</v>
      </c>
      <c r="R7" s="656">
        <f t="shared" si="2"/>
        <v>48.049933496439593</v>
      </c>
      <c r="S7" s="656">
        <f t="shared" si="2"/>
        <v>47.879230749451516</v>
      </c>
      <c r="T7" s="656">
        <f t="shared" si="2"/>
        <v>47.814864585416323</v>
      </c>
      <c r="U7" s="656">
        <f t="shared" si="2"/>
        <v>47.420288856544914</v>
      </c>
      <c r="V7" s="656">
        <f t="shared" si="2"/>
        <v>47.636536847317373</v>
      </c>
      <c r="W7" s="656">
        <f t="shared" si="2"/>
        <v>47.463793780913029</v>
      </c>
      <c r="X7" s="656">
        <f t="shared" si="2"/>
        <v>47.110433010308441</v>
      </c>
      <c r="Y7" s="656">
        <f t="shared" si="2"/>
        <v>46.820522483286311</v>
      </c>
    </row>
    <row r="8" spans="1:25" s="39" customFormat="1" ht="20.25" customHeight="1">
      <c r="A8" s="38" t="s">
        <v>47</v>
      </c>
      <c r="B8" s="369" t="s">
        <v>44</v>
      </c>
      <c r="C8" s="345">
        <v>198228</v>
      </c>
      <c r="D8" s="345">
        <v>204966</v>
      </c>
      <c r="E8" s="345">
        <v>212297</v>
      </c>
      <c r="F8" s="345">
        <v>220121</v>
      </c>
      <c r="G8" s="345">
        <v>233180</v>
      </c>
      <c r="H8" s="345">
        <v>247905</v>
      </c>
      <c r="I8" s="345">
        <v>262157</v>
      </c>
      <c r="J8" s="345">
        <v>275270</v>
      </c>
      <c r="K8" s="345">
        <v>297522</v>
      </c>
      <c r="L8" s="345">
        <v>315188</v>
      </c>
      <c r="M8" s="345">
        <v>333311</v>
      </c>
      <c r="N8" s="48"/>
      <c r="O8" s="656">
        <f>+C8*100/C$5</f>
        <v>8.064070608824558</v>
      </c>
      <c r="P8" s="656">
        <f t="shared" ref="P8:Y8" si="3">+D8*100/D$5</f>
        <v>8.0769908257748408</v>
      </c>
      <c r="Q8" s="656">
        <f t="shared" si="3"/>
        <v>8.0357119200096605</v>
      </c>
      <c r="R8" s="656">
        <f t="shared" si="3"/>
        <v>7.9537246510505248</v>
      </c>
      <c r="S8" s="656">
        <f t="shared" si="3"/>
        <v>8.1023851270258564</v>
      </c>
      <c r="T8" s="656">
        <f t="shared" si="3"/>
        <v>8.4595298657353979</v>
      </c>
      <c r="U8" s="656">
        <f t="shared" si="3"/>
        <v>9.0310990156140996</v>
      </c>
      <c r="V8" s="656">
        <f t="shared" si="3"/>
        <v>9.4194966162425153</v>
      </c>
      <c r="W8" s="656">
        <f t="shared" si="3"/>
        <v>9.450702270256123</v>
      </c>
      <c r="X8" s="656">
        <f t="shared" si="3"/>
        <v>9.5623539576971091</v>
      </c>
      <c r="Y8" s="656">
        <f t="shared" si="3"/>
        <v>9.9373132156835613</v>
      </c>
    </row>
    <row r="9" spans="1:25" s="45" customFormat="1" ht="15" customHeight="1">
      <c r="A9" s="64"/>
      <c r="B9" s="370" t="s">
        <v>45</v>
      </c>
      <c r="C9" s="347">
        <v>107935</v>
      </c>
      <c r="D9" s="347">
        <v>110245</v>
      </c>
      <c r="E9" s="347">
        <v>112923</v>
      </c>
      <c r="F9" s="347">
        <v>116590</v>
      </c>
      <c r="G9" s="347">
        <v>122652</v>
      </c>
      <c r="H9" s="347">
        <v>129834</v>
      </c>
      <c r="I9" s="347">
        <v>136643</v>
      </c>
      <c r="J9" s="347">
        <v>142391</v>
      </c>
      <c r="K9" s="347">
        <v>154897</v>
      </c>
      <c r="L9" s="347">
        <v>162389</v>
      </c>
      <c r="M9" s="347">
        <v>171641</v>
      </c>
      <c r="N9" s="48"/>
      <c r="O9" s="651"/>
      <c r="P9" s="651"/>
      <c r="Q9" s="651"/>
      <c r="R9" s="651"/>
      <c r="S9" s="651"/>
      <c r="T9" s="651"/>
      <c r="U9" s="651"/>
      <c r="V9" s="651"/>
      <c r="W9" s="651"/>
      <c r="X9" s="651"/>
      <c r="Y9" s="651"/>
    </row>
    <row r="10" spans="1:25" s="45" customFormat="1" ht="15" customHeight="1">
      <c r="A10" s="64"/>
      <c r="B10" s="370" t="s">
        <v>46</v>
      </c>
      <c r="C10" s="347">
        <v>90293</v>
      </c>
      <c r="D10" s="347">
        <v>94721</v>
      </c>
      <c r="E10" s="347">
        <v>99374</v>
      </c>
      <c r="F10" s="347">
        <v>103531</v>
      </c>
      <c r="G10" s="347">
        <v>110528</v>
      </c>
      <c r="H10" s="347">
        <v>118071</v>
      </c>
      <c r="I10" s="347">
        <v>125514</v>
      </c>
      <c r="J10" s="347">
        <v>132879</v>
      </c>
      <c r="K10" s="347">
        <v>142625</v>
      </c>
      <c r="L10" s="347">
        <v>152799</v>
      </c>
      <c r="M10" s="347">
        <v>161670</v>
      </c>
      <c r="O10" s="656">
        <f>+C10/C8*100</f>
        <v>45.550073652561693</v>
      </c>
      <c r="P10" s="656">
        <f t="shared" ref="P10:Y10" si="4">+D10/D8*100</f>
        <v>46.213030453831365</v>
      </c>
      <c r="Q10" s="656">
        <f t="shared" si="4"/>
        <v>46.808951610244137</v>
      </c>
      <c r="R10" s="656">
        <f t="shared" si="4"/>
        <v>47.033676932232723</v>
      </c>
      <c r="S10" s="656">
        <f t="shared" si="4"/>
        <v>47.400291620207561</v>
      </c>
      <c r="T10" s="656">
        <f t="shared" si="4"/>
        <v>47.627518605917594</v>
      </c>
      <c r="U10" s="656">
        <f t="shared" si="4"/>
        <v>47.877416967694927</v>
      </c>
      <c r="V10" s="656">
        <f t="shared" si="4"/>
        <v>48.272241798961019</v>
      </c>
      <c r="W10" s="656">
        <f t="shared" si="4"/>
        <v>47.937631502880457</v>
      </c>
      <c r="X10" s="656">
        <f t="shared" si="4"/>
        <v>48.478685736766629</v>
      </c>
      <c r="Y10" s="656">
        <f t="shared" si="4"/>
        <v>48.504249784735578</v>
      </c>
    </row>
    <row r="11" spans="1:25" s="39" customFormat="1" ht="20.25" customHeight="1">
      <c r="A11" s="38" t="s">
        <v>48</v>
      </c>
      <c r="B11" s="369" t="s">
        <v>44</v>
      </c>
      <c r="C11" s="345">
        <v>138984</v>
      </c>
      <c r="D11" s="345">
        <v>143200</v>
      </c>
      <c r="E11" s="345">
        <v>149778</v>
      </c>
      <c r="F11" s="345">
        <v>157495</v>
      </c>
      <c r="G11" s="345">
        <v>165603</v>
      </c>
      <c r="H11" s="345">
        <v>165392</v>
      </c>
      <c r="I11" s="345">
        <v>172837</v>
      </c>
      <c r="J11" s="345">
        <v>176658</v>
      </c>
      <c r="K11" s="345">
        <v>192362</v>
      </c>
      <c r="L11" s="345">
        <v>197236</v>
      </c>
      <c r="M11" s="345">
        <v>198969</v>
      </c>
      <c r="O11" s="656">
        <f>+C11*100/C$5</f>
        <v>5.6539781942857328</v>
      </c>
      <c r="P11" s="656">
        <f t="shared" ref="P11:Y11" si="5">+D11*100/D$5</f>
        <v>5.643009505239684</v>
      </c>
      <c r="Q11" s="656">
        <f t="shared" si="5"/>
        <v>5.669288119734178</v>
      </c>
      <c r="R11" s="656">
        <f t="shared" si="5"/>
        <v>5.6908330596226735</v>
      </c>
      <c r="S11" s="656">
        <f t="shared" si="5"/>
        <v>5.7542640200311475</v>
      </c>
      <c r="T11" s="656">
        <f t="shared" si="5"/>
        <v>5.6438497148250697</v>
      </c>
      <c r="U11" s="656">
        <f t="shared" si="5"/>
        <v>5.9540964405363743</v>
      </c>
      <c r="V11" s="656">
        <f t="shared" si="5"/>
        <v>6.0450809504565344</v>
      </c>
      <c r="W11" s="656">
        <f t="shared" si="5"/>
        <v>6.1103245814124945</v>
      </c>
      <c r="X11" s="656">
        <f t="shared" si="5"/>
        <v>5.9838586659401587</v>
      </c>
      <c r="Y11" s="656">
        <f t="shared" si="5"/>
        <v>5.9320492669349125</v>
      </c>
    </row>
    <row r="12" spans="1:25" s="45" customFormat="1" ht="15" customHeight="1">
      <c r="A12" s="64"/>
      <c r="B12" s="370" t="s">
        <v>45</v>
      </c>
      <c r="C12" s="347">
        <v>72941</v>
      </c>
      <c r="D12" s="347">
        <v>74247</v>
      </c>
      <c r="E12" s="347">
        <v>76819</v>
      </c>
      <c r="F12" s="347">
        <v>81167</v>
      </c>
      <c r="G12" s="347">
        <v>84803</v>
      </c>
      <c r="H12" s="347">
        <v>83836</v>
      </c>
      <c r="I12" s="347">
        <v>87718</v>
      </c>
      <c r="J12" s="347">
        <v>89330</v>
      </c>
      <c r="K12" s="347">
        <v>97684</v>
      </c>
      <c r="L12" s="347">
        <v>100757</v>
      </c>
      <c r="M12" s="347">
        <v>101765</v>
      </c>
      <c r="O12" s="651"/>
      <c r="P12" s="651"/>
      <c r="Q12" s="651"/>
      <c r="R12" s="651"/>
      <c r="S12" s="651"/>
      <c r="T12" s="651"/>
      <c r="U12" s="651"/>
      <c r="V12" s="651"/>
      <c r="W12" s="651"/>
      <c r="X12" s="651"/>
      <c r="Y12" s="651"/>
    </row>
    <row r="13" spans="1:25" s="45" customFormat="1" ht="15" customHeight="1">
      <c r="A13" s="64"/>
      <c r="B13" s="370" t="s">
        <v>46</v>
      </c>
      <c r="C13" s="347">
        <v>66043</v>
      </c>
      <c r="D13" s="347">
        <v>68953</v>
      </c>
      <c r="E13" s="347">
        <v>72959</v>
      </c>
      <c r="F13" s="347">
        <v>76328</v>
      </c>
      <c r="G13" s="347">
        <v>80800</v>
      </c>
      <c r="H13" s="347">
        <v>81556</v>
      </c>
      <c r="I13" s="347">
        <v>85119</v>
      </c>
      <c r="J13" s="347">
        <v>87328</v>
      </c>
      <c r="K13" s="347">
        <v>94678</v>
      </c>
      <c r="L13" s="347">
        <v>96479</v>
      </c>
      <c r="M13" s="347">
        <v>97204</v>
      </c>
      <c r="O13" s="656">
        <f>+C13/C11*100</f>
        <v>47.51841938640419</v>
      </c>
      <c r="P13" s="656">
        <f t="shared" ref="P13:Y13" si="6">+D13/D11*100</f>
        <v>48.15153631284916</v>
      </c>
      <c r="Q13" s="656">
        <f t="shared" si="6"/>
        <v>48.71142624417471</v>
      </c>
      <c r="R13" s="656">
        <f t="shared" si="6"/>
        <v>48.463760754309661</v>
      </c>
      <c r="S13" s="656">
        <f t="shared" si="6"/>
        <v>48.791386629469272</v>
      </c>
      <c r="T13" s="656">
        <f t="shared" si="6"/>
        <v>49.310728451194734</v>
      </c>
      <c r="U13" s="656">
        <f t="shared" si="6"/>
        <v>49.248135526536565</v>
      </c>
      <c r="V13" s="656">
        <f t="shared" si="6"/>
        <v>49.433368429394648</v>
      </c>
      <c r="W13" s="656">
        <f t="shared" si="6"/>
        <v>49.21866065023238</v>
      </c>
      <c r="X13" s="656">
        <f t="shared" si="6"/>
        <v>48.915512381106893</v>
      </c>
      <c r="Y13" s="656">
        <f t="shared" si="6"/>
        <v>48.853841553206777</v>
      </c>
    </row>
    <row r="14" spans="1:25" s="39" customFormat="1" ht="20.25" customHeight="1">
      <c r="A14" s="38" t="s">
        <v>69</v>
      </c>
      <c r="B14" s="369" t="s">
        <v>44</v>
      </c>
      <c r="C14" s="345">
        <v>121764</v>
      </c>
      <c r="D14" s="345">
        <v>123477</v>
      </c>
      <c r="E14" s="345">
        <v>130096</v>
      </c>
      <c r="F14" s="345">
        <v>136871</v>
      </c>
      <c r="G14" s="345">
        <v>144343</v>
      </c>
      <c r="H14" s="345">
        <v>138249</v>
      </c>
      <c r="I14" s="345">
        <v>135963</v>
      </c>
      <c r="J14" s="345">
        <v>141942</v>
      </c>
      <c r="K14" s="345">
        <v>156172</v>
      </c>
      <c r="L14" s="345">
        <v>169353</v>
      </c>
      <c r="M14" s="345">
        <v>160283</v>
      </c>
      <c r="O14" s="656">
        <f>+C14*100/C$5</f>
        <v>4.9534550800740229</v>
      </c>
      <c r="P14" s="656">
        <f t="shared" ref="P14:Y14" si="7">+D14*100/D$5</f>
        <v>4.8657952840676009</v>
      </c>
      <c r="Q14" s="656">
        <f t="shared" si="7"/>
        <v>4.924299344529488</v>
      </c>
      <c r="R14" s="656">
        <f t="shared" si="7"/>
        <v>4.9456173954958249</v>
      </c>
      <c r="S14" s="656">
        <f t="shared" si="7"/>
        <v>5.0155355364537835</v>
      </c>
      <c r="T14" s="656">
        <f t="shared" si="7"/>
        <v>4.7176198318228879</v>
      </c>
      <c r="U14" s="656">
        <f t="shared" si="7"/>
        <v>4.6838166269065482</v>
      </c>
      <c r="V14" s="656">
        <f t="shared" si="7"/>
        <v>4.8571300494158285</v>
      </c>
      <c r="W14" s="656">
        <f t="shared" si="7"/>
        <v>4.9607594562769783</v>
      </c>
      <c r="X14" s="656">
        <f t="shared" si="7"/>
        <v>5.1379282517033591</v>
      </c>
      <c r="Y14" s="656">
        <f t="shared" si="7"/>
        <v>4.7786672931568663</v>
      </c>
    </row>
    <row r="15" spans="1:25" s="45" customFormat="1" ht="15" customHeight="1">
      <c r="A15" s="64"/>
      <c r="B15" s="370" t="s">
        <v>45</v>
      </c>
      <c r="C15" s="347">
        <v>77240</v>
      </c>
      <c r="D15" s="347">
        <v>77620</v>
      </c>
      <c r="E15" s="347">
        <v>80653</v>
      </c>
      <c r="F15" s="347">
        <v>83817</v>
      </c>
      <c r="G15" s="347">
        <v>87877</v>
      </c>
      <c r="H15" s="347">
        <v>85329</v>
      </c>
      <c r="I15" s="347">
        <v>83980</v>
      </c>
      <c r="J15" s="347">
        <v>86890</v>
      </c>
      <c r="K15" s="347">
        <v>94376</v>
      </c>
      <c r="L15" s="347">
        <v>101143</v>
      </c>
      <c r="M15" s="347">
        <v>96673</v>
      </c>
      <c r="O15" s="651"/>
      <c r="P15" s="651"/>
      <c r="Q15" s="651"/>
      <c r="R15" s="651"/>
      <c r="S15" s="651"/>
      <c r="T15" s="651"/>
      <c r="U15" s="651"/>
      <c r="V15" s="651"/>
      <c r="W15" s="651"/>
      <c r="X15" s="651"/>
      <c r="Y15" s="651"/>
    </row>
    <row r="16" spans="1:25" s="45" customFormat="1" ht="15" customHeight="1">
      <c r="A16" s="64"/>
      <c r="B16" s="370" t="s">
        <v>46</v>
      </c>
      <c r="C16" s="347">
        <v>44524</v>
      </c>
      <c r="D16" s="347">
        <v>45857</v>
      </c>
      <c r="E16" s="347">
        <v>49443</v>
      </c>
      <c r="F16" s="347">
        <v>53054</v>
      </c>
      <c r="G16" s="347">
        <v>56466</v>
      </c>
      <c r="H16" s="347">
        <v>52920</v>
      </c>
      <c r="I16" s="347">
        <v>51983</v>
      </c>
      <c r="J16" s="347">
        <v>55052</v>
      </c>
      <c r="K16" s="347">
        <v>61796</v>
      </c>
      <c r="L16" s="347">
        <v>68210</v>
      </c>
      <c r="M16" s="347">
        <v>63610</v>
      </c>
      <c r="O16" s="656">
        <f>+C16/C14*100</f>
        <v>36.565815840478301</v>
      </c>
      <c r="P16" s="656">
        <f t="shared" ref="P16:Y16" si="8">+D16/D14*100</f>
        <v>37.138090494586038</v>
      </c>
      <c r="Q16" s="656">
        <f t="shared" si="8"/>
        <v>38.005011683679747</v>
      </c>
      <c r="R16" s="656">
        <f t="shared" si="8"/>
        <v>38.762046014130092</v>
      </c>
      <c r="S16" s="656">
        <f t="shared" si="8"/>
        <v>39.119319953167107</v>
      </c>
      <c r="T16" s="656">
        <f t="shared" si="8"/>
        <v>38.278757893366318</v>
      </c>
      <c r="U16" s="656">
        <f t="shared" si="8"/>
        <v>38.233195795915066</v>
      </c>
      <c r="V16" s="656">
        <f t="shared" si="8"/>
        <v>38.784855786166176</v>
      </c>
      <c r="W16" s="656">
        <f t="shared" si="8"/>
        <v>39.569192941116206</v>
      </c>
      <c r="X16" s="656">
        <f t="shared" si="8"/>
        <v>40.276818243550458</v>
      </c>
      <c r="Y16" s="656">
        <f t="shared" si="8"/>
        <v>39.686055289706331</v>
      </c>
    </row>
    <row r="17" spans="1:26" s="39" customFormat="1" ht="20.25" customHeight="1">
      <c r="A17" s="38" t="s">
        <v>68</v>
      </c>
      <c r="B17" s="369" t="s">
        <v>44</v>
      </c>
      <c r="C17" s="345">
        <v>182629</v>
      </c>
      <c r="D17" s="345">
        <v>189545</v>
      </c>
      <c r="E17" s="345">
        <v>201938</v>
      </c>
      <c r="F17" s="345">
        <v>213571</v>
      </c>
      <c r="G17" s="345">
        <v>223564</v>
      </c>
      <c r="H17" s="345">
        <v>243170</v>
      </c>
      <c r="I17" s="345">
        <v>254726</v>
      </c>
      <c r="J17" s="345">
        <v>263533</v>
      </c>
      <c r="K17" s="345">
        <v>284791</v>
      </c>
      <c r="L17" s="345">
        <v>296557</v>
      </c>
      <c r="M17" s="345">
        <v>314241</v>
      </c>
      <c r="O17" s="656">
        <f>+C17*100/C$5</f>
        <v>7.4294910467694777</v>
      </c>
      <c r="P17" s="656">
        <f t="shared" ref="P17:Y17" si="9">+D17*100/D$5</f>
        <v>7.4693033287056974</v>
      </c>
      <c r="Q17" s="656">
        <f t="shared" si="9"/>
        <v>7.6436105724664536</v>
      </c>
      <c r="R17" s="656">
        <f t="shared" si="9"/>
        <v>7.7170507468597345</v>
      </c>
      <c r="S17" s="656">
        <f t="shared" si="9"/>
        <v>7.7682546896749667</v>
      </c>
      <c r="T17" s="656">
        <f t="shared" si="9"/>
        <v>8.2979523505007027</v>
      </c>
      <c r="U17" s="656">
        <f t="shared" si="9"/>
        <v>8.7751070078285807</v>
      </c>
      <c r="V17" s="656">
        <f t="shared" si="9"/>
        <v>9.0178668280896535</v>
      </c>
      <c r="W17" s="656">
        <f t="shared" si="9"/>
        <v>9.0463056521820615</v>
      </c>
      <c r="X17" s="656">
        <f t="shared" si="9"/>
        <v>8.9971160153076308</v>
      </c>
      <c r="Y17" s="656">
        <f t="shared" si="9"/>
        <v>9.3687614336449094</v>
      </c>
    </row>
    <row r="18" spans="1:26" s="45" customFormat="1" ht="15" customHeight="1">
      <c r="A18" s="64"/>
      <c r="B18" s="370" t="s">
        <v>45</v>
      </c>
      <c r="C18" s="347">
        <v>91459</v>
      </c>
      <c r="D18" s="347">
        <v>93730</v>
      </c>
      <c r="E18" s="347">
        <v>99603</v>
      </c>
      <c r="F18" s="347">
        <v>106415</v>
      </c>
      <c r="G18" s="347">
        <v>110781</v>
      </c>
      <c r="H18" s="347">
        <v>121613</v>
      </c>
      <c r="I18" s="347">
        <v>125955</v>
      </c>
      <c r="J18" s="347">
        <v>129812</v>
      </c>
      <c r="K18" s="347">
        <v>141741</v>
      </c>
      <c r="L18" s="347">
        <v>149227</v>
      </c>
      <c r="M18" s="347">
        <v>158519</v>
      </c>
      <c r="O18" s="651"/>
      <c r="P18" s="651"/>
      <c r="Q18" s="651"/>
      <c r="R18" s="651"/>
      <c r="S18" s="651"/>
      <c r="T18" s="651"/>
      <c r="U18" s="651"/>
      <c r="V18" s="651"/>
      <c r="W18" s="651"/>
      <c r="X18" s="651"/>
      <c r="Y18" s="651"/>
    </row>
    <row r="19" spans="1:26" s="45" customFormat="1" ht="15" customHeight="1">
      <c r="A19" s="64"/>
      <c r="B19" s="370" t="s">
        <v>46</v>
      </c>
      <c r="C19" s="347">
        <v>91170</v>
      </c>
      <c r="D19" s="347">
        <v>95815</v>
      </c>
      <c r="E19" s="347">
        <v>102335</v>
      </c>
      <c r="F19" s="347">
        <v>107156</v>
      </c>
      <c r="G19" s="347">
        <v>112783</v>
      </c>
      <c r="H19" s="347">
        <v>121557</v>
      </c>
      <c r="I19" s="347">
        <v>128771</v>
      </c>
      <c r="J19" s="347">
        <v>133721</v>
      </c>
      <c r="K19" s="347">
        <v>143050</v>
      </c>
      <c r="L19" s="347">
        <v>147330</v>
      </c>
      <c r="M19" s="347">
        <v>155722</v>
      </c>
      <c r="O19" s="656">
        <f>+C19/C17*100</f>
        <v>49.920877845249109</v>
      </c>
      <c r="P19" s="656">
        <f t="shared" ref="P19:Y19" si="10">+D19/D17*100</f>
        <v>50.550001318948013</v>
      </c>
      <c r="Q19" s="656">
        <f t="shared" si="10"/>
        <v>50.67644524557042</v>
      </c>
      <c r="R19" s="656">
        <f t="shared" si="10"/>
        <v>50.173478608987175</v>
      </c>
      <c r="S19" s="656">
        <f t="shared" si="10"/>
        <v>50.447746506593191</v>
      </c>
      <c r="T19" s="656">
        <f t="shared" si="10"/>
        <v>49.988485421721428</v>
      </c>
      <c r="U19" s="656">
        <f t="shared" si="10"/>
        <v>50.552750798897641</v>
      </c>
      <c r="V19" s="656">
        <f t="shared" si="10"/>
        <v>50.741652848030419</v>
      </c>
      <c r="W19" s="656">
        <f t="shared" si="10"/>
        <v>50.229817655754573</v>
      </c>
      <c r="X19" s="656">
        <f t="shared" si="10"/>
        <v>49.680162666873485</v>
      </c>
      <c r="Y19" s="656">
        <f t="shared" si="10"/>
        <v>49.554959410134259</v>
      </c>
    </row>
    <row r="20" spans="1:26" s="39" customFormat="1" ht="20.25" customHeight="1">
      <c r="A20" s="38" t="s">
        <v>49</v>
      </c>
      <c r="B20" s="369" t="s">
        <v>44</v>
      </c>
      <c r="C20" s="345">
        <v>927748</v>
      </c>
      <c r="D20" s="345">
        <v>958705</v>
      </c>
      <c r="E20" s="345">
        <v>993716</v>
      </c>
      <c r="F20" s="345">
        <v>1092258</v>
      </c>
      <c r="G20" s="345">
        <v>1149282</v>
      </c>
      <c r="H20" s="345">
        <v>1091473</v>
      </c>
      <c r="I20" s="345">
        <v>1073089</v>
      </c>
      <c r="J20" s="345">
        <v>1066230</v>
      </c>
      <c r="K20" s="345">
        <v>1141072</v>
      </c>
      <c r="L20" s="345">
        <v>1179375</v>
      </c>
      <c r="M20" s="345">
        <v>1188274</v>
      </c>
      <c r="O20" s="656">
        <f>+C20*100/C$5</f>
        <v>37.741516734244229</v>
      </c>
      <c r="P20" s="656">
        <f t="shared" ref="P20:Y20" si="11">+D20*100/D$5</f>
        <v>37.779199914251478</v>
      </c>
      <c r="Q20" s="656">
        <f t="shared" si="11"/>
        <v>37.613416611183006</v>
      </c>
      <c r="R20" s="656">
        <f t="shared" si="11"/>
        <v>39.467017594446439</v>
      </c>
      <c r="S20" s="656">
        <f t="shared" si="11"/>
        <v>39.934494311512701</v>
      </c>
      <c r="T20" s="656">
        <f t="shared" si="11"/>
        <v>37.245511147995451</v>
      </c>
      <c r="U20" s="656">
        <f t="shared" si="11"/>
        <v>36.967057952167288</v>
      </c>
      <c r="V20" s="656">
        <f t="shared" si="11"/>
        <v>36.485450202115217</v>
      </c>
      <c r="W20" s="656">
        <f t="shared" si="11"/>
        <v>36.245829689655537</v>
      </c>
      <c r="X20" s="656">
        <f t="shared" si="11"/>
        <v>35.780553824571456</v>
      </c>
      <c r="Y20" s="656">
        <f t="shared" si="11"/>
        <v>35.42712638962761</v>
      </c>
      <c r="Z20" s="561">
        <f>+R20+R23</f>
        <v>60.032028663919803</v>
      </c>
    </row>
    <row r="21" spans="1:26" s="45" customFormat="1" ht="15" customHeight="1">
      <c r="A21" s="64"/>
      <c r="B21" s="370" t="s">
        <v>45</v>
      </c>
      <c r="C21" s="347">
        <v>541440</v>
      </c>
      <c r="D21" s="347">
        <v>558904</v>
      </c>
      <c r="E21" s="347">
        <v>577377</v>
      </c>
      <c r="F21" s="347">
        <v>623424</v>
      </c>
      <c r="G21" s="347">
        <v>656464</v>
      </c>
      <c r="H21" s="347">
        <v>631996</v>
      </c>
      <c r="I21" s="347">
        <v>627429</v>
      </c>
      <c r="J21" s="347">
        <v>617966</v>
      </c>
      <c r="K21" s="347">
        <v>660462</v>
      </c>
      <c r="L21" s="347">
        <v>686194</v>
      </c>
      <c r="M21" s="347">
        <v>696010</v>
      </c>
      <c r="O21" s="651"/>
      <c r="P21" s="651"/>
      <c r="Q21" s="651"/>
      <c r="R21" s="651"/>
      <c r="S21" s="651"/>
      <c r="T21" s="651"/>
      <c r="U21" s="651"/>
      <c r="V21" s="651"/>
      <c r="W21" s="651"/>
      <c r="X21" s="651"/>
      <c r="Y21" s="651"/>
    </row>
    <row r="22" spans="1:26" s="45" customFormat="1" ht="15" customHeight="1">
      <c r="A22" s="64"/>
      <c r="B22" s="370" t="s">
        <v>46</v>
      </c>
      <c r="C22" s="347">
        <v>386308</v>
      </c>
      <c r="D22" s="347">
        <v>399801</v>
      </c>
      <c r="E22" s="347">
        <v>416339</v>
      </c>
      <c r="F22" s="347">
        <v>468834</v>
      </c>
      <c r="G22" s="347">
        <v>492818</v>
      </c>
      <c r="H22" s="347">
        <v>459477</v>
      </c>
      <c r="I22" s="347">
        <v>445660</v>
      </c>
      <c r="J22" s="347">
        <v>448264</v>
      </c>
      <c r="K22" s="347">
        <v>480610</v>
      </c>
      <c r="L22" s="347">
        <v>493181</v>
      </c>
      <c r="M22" s="347">
        <v>492264</v>
      </c>
      <c r="O22" s="656">
        <f>+C22/C20*100</f>
        <v>41.639324471731548</v>
      </c>
      <c r="P22" s="656">
        <f t="shared" ref="P22:Y22" si="12">+D22/D20*100</f>
        <v>41.702192019442897</v>
      </c>
      <c r="Q22" s="656">
        <f t="shared" si="12"/>
        <v>41.897181891003065</v>
      </c>
      <c r="R22" s="656">
        <f t="shared" si="12"/>
        <v>42.923375246507696</v>
      </c>
      <c r="S22" s="656">
        <f t="shared" si="12"/>
        <v>42.880511484561666</v>
      </c>
      <c r="T22" s="656">
        <f t="shared" si="12"/>
        <v>42.096964377497201</v>
      </c>
      <c r="U22" s="656">
        <f t="shared" si="12"/>
        <v>41.530572021519184</v>
      </c>
      <c r="V22" s="656">
        <f t="shared" si="12"/>
        <v>42.041960927754801</v>
      </c>
      <c r="W22" s="656">
        <f t="shared" si="12"/>
        <v>42.119165135942346</v>
      </c>
      <c r="X22" s="656">
        <f t="shared" si="12"/>
        <v>41.817148913619498</v>
      </c>
      <c r="Y22" s="656">
        <f t="shared" si="12"/>
        <v>41.426808968301927</v>
      </c>
    </row>
    <row r="23" spans="1:26" s="39" customFormat="1" ht="20.25" customHeight="1">
      <c r="A23" s="38" t="s">
        <v>70</v>
      </c>
      <c r="B23" s="369" t="s">
        <v>44</v>
      </c>
      <c r="C23" s="345">
        <v>535910</v>
      </c>
      <c r="D23" s="345">
        <v>555223</v>
      </c>
      <c r="E23" s="345">
        <v>585440</v>
      </c>
      <c r="F23" s="345">
        <v>569141</v>
      </c>
      <c r="G23" s="345">
        <v>582366</v>
      </c>
      <c r="H23" s="345">
        <v>594326</v>
      </c>
      <c r="I23" s="345">
        <v>575153</v>
      </c>
      <c r="J23" s="345">
        <v>555639</v>
      </c>
      <c r="K23" s="345">
        <v>602364</v>
      </c>
      <c r="L23" s="345">
        <v>665042</v>
      </c>
      <c r="M23" s="345">
        <v>685414</v>
      </c>
      <c r="O23" s="656">
        <f>+C23*100/C$5</f>
        <v>21.801239380789639</v>
      </c>
      <c r="P23" s="656">
        <f t="shared" ref="P23:Y23" si="13">+D23*100/D$5</f>
        <v>21.879390129383331</v>
      </c>
      <c r="Q23" s="656">
        <f t="shared" si="13"/>
        <v>22.159649860574831</v>
      </c>
      <c r="R23" s="656">
        <f t="shared" si="13"/>
        <v>20.565011069473368</v>
      </c>
      <c r="S23" s="656">
        <f t="shared" si="13"/>
        <v>20.235670370038338</v>
      </c>
      <c r="T23" s="656">
        <f t="shared" si="13"/>
        <v>20.280827522571371</v>
      </c>
      <c r="U23" s="656">
        <f t="shared" si="13"/>
        <v>19.813560927716967</v>
      </c>
      <c r="V23" s="656">
        <f t="shared" si="13"/>
        <v>19.013476515248211</v>
      </c>
      <c r="W23" s="656">
        <f t="shared" si="13"/>
        <v>19.133922272371652</v>
      </c>
      <c r="X23" s="656">
        <f t="shared" si="13"/>
        <v>20.176424866222064</v>
      </c>
      <c r="Y23" s="656">
        <f t="shared" si="13"/>
        <v>20.434889938869503</v>
      </c>
    </row>
    <row r="24" spans="1:26" s="45" customFormat="1" ht="15" customHeight="1">
      <c r="A24" s="64"/>
      <c r="B24" s="370" t="s">
        <v>45</v>
      </c>
      <c r="C24" s="347">
        <v>233306</v>
      </c>
      <c r="D24" s="347">
        <v>237914</v>
      </c>
      <c r="E24" s="347">
        <v>254447</v>
      </c>
      <c r="F24" s="347">
        <v>248727</v>
      </c>
      <c r="G24" s="347">
        <v>255362</v>
      </c>
      <c r="H24" s="347">
        <v>257099</v>
      </c>
      <c r="I24" s="347">
        <v>251110</v>
      </c>
      <c r="J24" s="347">
        <v>240263</v>
      </c>
      <c r="K24" s="347">
        <v>260895</v>
      </c>
      <c r="L24" s="347">
        <v>289714</v>
      </c>
      <c r="M24" s="347">
        <v>300507</v>
      </c>
      <c r="O24" s="651"/>
      <c r="P24" s="651"/>
      <c r="Q24" s="651"/>
      <c r="R24" s="651"/>
      <c r="S24" s="651"/>
      <c r="T24" s="651"/>
      <c r="U24" s="651"/>
      <c r="V24" s="651"/>
      <c r="W24" s="651"/>
      <c r="X24" s="651"/>
      <c r="Y24" s="651"/>
    </row>
    <row r="25" spans="1:26" s="45" customFormat="1" ht="15" customHeight="1">
      <c r="A25" s="64"/>
      <c r="B25" s="370" t="s">
        <v>46</v>
      </c>
      <c r="C25" s="347">
        <v>302604</v>
      </c>
      <c r="D25" s="347">
        <v>317309</v>
      </c>
      <c r="E25" s="347">
        <v>330993</v>
      </c>
      <c r="F25" s="347">
        <v>320414</v>
      </c>
      <c r="G25" s="347">
        <v>327004</v>
      </c>
      <c r="H25" s="347">
        <v>337227</v>
      </c>
      <c r="I25" s="347">
        <v>324043</v>
      </c>
      <c r="J25" s="347">
        <v>315376</v>
      </c>
      <c r="K25" s="347">
        <v>341469</v>
      </c>
      <c r="L25" s="347">
        <v>375328</v>
      </c>
      <c r="M25" s="347">
        <v>384907</v>
      </c>
      <c r="O25" s="656">
        <f>+C25/C23*100</f>
        <v>56.465451288462617</v>
      </c>
      <c r="P25" s="656">
        <f t="shared" ref="P25:Y25" si="14">+D25/D23*100</f>
        <v>57.149829888171055</v>
      </c>
      <c r="Q25" s="656">
        <f t="shared" si="14"/>
        <v>56.537476086362389</v>
      </c>
      <c r="R25" s="656">
        <f t="shared" si="14"/>
        <v>56.297824264988819</v>
      </c>
      <c r="S25" s="656">
        <f t="shared" si="14"/>
        <v>56.150942877846575</v>
      </c>
      <c r="T25" s="656">
        <f t="shared" si="14"/>
        <v>56.741081493994884</v>
      </c>
      <c r="U25" s="656">
        <f t="shared" si="14"/>
        <v>56.340312925430283</v>
      </c>
      <c r="V25" s="656">
        <f t="shared" si="14"/>
        <v>56.759154774952805</v>
      </c>
      <c r="W25" s="656">
        <f t="shared" si="14"/>
        <v>56.68814869414507</v>
      </c>
      <c r="X25" s="656">
        <f t="shared" si="14"/>
        <v>56.436736326427507</v>
      </c>
      <c r="Y25" s="656">
        <f t="shared" si="14"/>
        <v>56.156862859527237</v>
      </c>
    </row>
    <row r="26" spans="1:26" s="39" customFormat="1" ht="20.25" customHeight="1">
      <c r="A26" s="38" t="s">
        <v>50</v>
      </c>
      <c r="B26" s="369" t="s">
        <v>44</v>
      </c>
      <c r="C26" s="345">
        <v>276984</v>
      </c>
      <c r="D26" s="345">
        <v>284805</v>
      </c>
      <c r="E26" s="345">
        <v>291322</v>
      </c>
      <c r="F26" s="345">
        <v>297838</v>
      </c>
      <c r="G26" s="345">
        <v>296301</v>
      </c>
      <c r="H26" s="345">
        <v>366355</v>
      </c>
      <c r="I26" s="345">
        <v>361526</v>
      </c>
      <c r="J26" s="345">
        <v>371122</v>
      </c>
      <c r="K26" s="345">
        <v>396732</v>
      </c>
      <c r="L26" s="345">
        <v>396317</v>
      </c>
      <c r="M26" s="345">
        <v>398694</v>
      </c>
      <c r="O26" s="656">
        <f>+C26*100/C$5</f>
        <v>11.267926496330796</v>
      </c>
      <c r="P26" s="656">
        <f t="shared" ref="P26:Y26" si="15">+D26*100/D$5</f>
        <v>11.223165657400756</v>
      </c>
      <c r="Q26" s="656">
        <f t="shared" si="15"/>
        <v>11.026908849211502</v>
      </c>
      <c r="R26" s="656">
        <f t="shared" si="15"/>
        <v>10.76190569104986</v>
      </c>
      <c r="S26" s="656">
        <f t="shared" si="15"/>
        <v>10.29567207960755</v>
      </c>
      <c r="T26" s="656">
        <f t="shared" si="15"/>
        <v>12.501527052546304</v>
      </c>
      <c r="U26" s="656">
        <f t="shared" si="15"/>
        <v>12.454281604988244</v>
      </c>
      <c r="V26" s="656">
        <f t="shared" si="15"/>
        <v>12.699467516304555</v>
      </c>
      <c r="W26" s="656">
        <f t="shared" si="15"/>
        <v>12.602079890170312</v>
      </c>
      <c r="X26" s="656">
        <f t="shared" si="15"/>
        <v>12.023691997958821</v>
      </c>
      <c r="Y26" s="656">
        <f t="shared" si="15"/>
        <v>11.886637870378541</v>
      </c>
    </row>
    <row r="27" spans="1:26" s="45" customFormat="1" ht="15" customHeight="1">
      <c r="A27" s="64"/>
      <c r="B27" s="370" t="s">
        <v>45</v>
      </c>
      <c r="C27" s="347">
        <v>117350</v>
      </c>
      <c r="D27" s="347">
        <v>120466</v>
      </c>
      <c r="E27" s="347">
        <v>127061</v>
      </c>
      <c r="F27" s="347">
        <v>136792</v>
      </c>
      <c r="G27" s="347">
        <v>139286</v>
      </c>
      <c r="H27" s="347">
        <v>175214</v>
      </c>
      <c r="I27" s="347">
        <v>175948</v>
      </c>
      <c r="J27" s="347">
        <v>183201</v>
      </c>
      <c r="K27" s="347">
        <v>202071</v>
      </c>
      <c r="L27" s="347">
        <v>210562</v>
      </c>
      <c r="M27" s="347">
        <v>215398</v>
      </c>
      <c r="O27" s="651"/>
      <c r="P27" s="651"/>
      <c r="Q27" s="651"/>
      <c r="R27" s="651"/>
      <c r="S27" s="651"/>
      <c r="T27" s="651"/>
      <c r="U27" s="651"/>
      <c r="V27" s="651"/>
      <c r="W27" s="651"/>
      <c r="X27" s="651"/>
      <c r="Y27" s="651"/>
    </row>
    <row r="28" spans="1:26" s="45" customFormat="1" ht="15" customHeight="1">
      <c r="A28" s="64"/>
      <c r="B28" s="370" t="s">
        <v>46</v>
      </c>
      <c r="C28" s="347">
        <v>159634</v>
      </c>
      <c r="D28" s="347">
        <v>164339</v>
      </c>
      <c r="E28" s="347">
        <v>164261</v>
      </c>
      <c r="F28" s="347">
        <v>161046</v>
      </c>
      <c r="G28" s="347">
        <v>157015</v>
      </c>
      <c r="H28" s="347">
        <v>191141</v>
      </c>
      <c r="I28" s="347">
        <v>185578</v>
      </c>
      <c r="J28" s="347">
        <v>187921</v>
      </c>
      <c r="K28" s="347">
        <v>194661</v>
      </c>
      <c r="L28" s="347">
        <v>185755</v>
      </c>
      <c r="M28" s="347">
        <v>183296</v>
      </c>
      <c r="O28" s="656">
        <f>+C28/C26*100</f>
        <v>57.63293186610057</v>
      </c>
      <c r="P28" s="656">
        <f t="shared" ref="P28:Y28" si="16">+D28/D26*100</f>
        <v>57.702287530064432</v>
      </c>
      <c r="Q28" s="656">
        <f t="shared" si="16"/>
        <v>56.38468773384777</v>
      </c>
      <c r="R28" s="656">
        <f t="shared" si="16"/>
        <v>54.071676548996436</v>
      </c>
      <c r="S28" s="656">
        <f t="shared" si="16"/>
        <v>52.991721256425052</v>
      </c>
      <c r="T28" s="656">
        <f t="shared" si="16"/>
        <v>52.173711290960952</v>
      </c>
      <c r="U28" s="656">
        <f t="shared" si="16"/>
        <v>51.331854417109703</v>
      </c>
      <c r="V28" s="656">
        <f t="shared" si="16"/>
        <v>50.635909485290554</v>
      </c>
      <c r="W28" s="656">
        <f t="shared" si="16"/>
        <v>49.066120202050755</v>
      </c>
      <c r="X28" s="656">
        <f t="shared" si="16"/>
        <v>46.870308364263963</v>
      </c>
      <c r="Y28" s="656">
        <f t="shared" si="16"/>
        <v>45.974105454308315</v>
      </c>
    </row>
    <row r="29" spans="1:26" s="39" customFormat="1" ht="20.25" customHeight="1">
      <c r="A29" s="38" t="s">
        <v>51</v>
      </c>
      <c r="B29" s="369" t="s">
        <v>44</v>
      </c>
      <c r="C29" s="345">
        <v>75916</v>
      </c>
      <c r="D29" s="345">
        <v>77732</v>
      </c>
      <c r="E29" s="345">
        <v>77332</v>
      </c>
      <c r="F29" s="345">
        <v>80226</v>
      </c>
      <c r="G29" s="345">
        <v>83279</v>
      </c>
      <c r="H29" s="345">
        <v>83612</v>
      </c>
      <c r="I29" s="345">
        <v>67374</v>
      </c>
      <c r="J29" s="345">
        <v>71949</v>
      </c>
      <c r="K29" s="345">
        <v>77132</v>
      </c>
      <c r="L29" s="345">
        <v>77066</v>
      </c>
      <c r="M29" s="345">
        <v>74950</v>
      </c>
      <c r="O29" s="656">
        <f>+C29*100/C$5</f>
        <v>3.0883224586815441</v>
      </c>
      <c r="P29" s="656">
        <f t="shared" ref="P29:Y29" si="17">+D29*100/D$5</f>
        <v>3.0631453551766139</v>
      </c>
      <c r="Q29" s="656">
        <f t="shared" si="17"/>
        <v>2.9271147222908804</v>
      </c>
      <c r="R29" s="656">
        <f t="shared" si="17"/>
        <v>2.8988397920015783</v>
      </c>
      <c r="S29" s="656">
        <f t="shared" si="17"/>
        <v>2.8937238656556579</v>
      </c>
      <c r="T29" s="656">
        <f t="shared" si="17"/>
        <v>2.8531825140028158</v>
      </c>
      <c r="U29" s="656">
        <f t="shared" si="17"/>
        <v>2.3209804242419021</v>
      </c>
      <c r="V29" s="656">
        <f t="shared" si="17"/>
        <v>2.4620313221274848</v>
      </c>
      <c r="W29" s="656">
        <f t="shared" si="17"/>
        <v>2.4500761876748447</v>
      </c>
      <c r="X29" s="656">
        <f t="shared" si="17"/>
        <v>2.3380724205994055</v>
      </c>
      <c r="Y29" s="656">
        <f t="shared" si="17"/>
        <v>2.234554591704093</v>
      </c>
    </row>
    <row r="30" spans="1:26" s="45" customFormat="1" ht="15" customHeight="1">
      <c r="A30" s="64"/>
      <c r="B30" s="370" t="s">
        <v>45</v>
      </c>
      <c r="C30" s="347">
        <v>37250</v>
      </c>
      <c r="D30" s="347">
        <v>38595</v>
      </c>
      <c r="E30" s="347">
        <v>38822</v>
      </c>
      <c r="F30" s="347">
        <v>40797</v>
      </c>
      <c r="G30" s="347">
        <v>42768</v>
      </c>
      <c r="H30" s="347">
        <v>44355</v>
      </c>
      <c r="I30" s="347">
        <v>37514</v>
      </c>
      <c r="J30" s="347">
        <v>40387</v>
      </c>
      <c r="K30" s="347">
        <v>41791</v>
      </c>
      <c r="L30" s="347">
        <v>43325</v>
      </c>
      <c r="M30" s="347">
        <v>43199</v>
      </c>
      <c r="O30" s="651"/>
      <c r="P30" s="651"/>
      <c r="Q30" s="651"/>
      <c r="R30" s="651"/>
      <c r="S30" s="651"/>
      <c r="T30" s="651"/>
      <c r="U30" s="651"/>
      <c r="V30" s="651"/>
      <c r="W30" s="651"/>
      <c r="X30" s="651"/>
      <c r="Y30" s="651"/>
    </row>
    <row r="31" spans="1:26" s="45" customFormat="1" ht="15" customHeight="1">
      <c r="A31" s="114"/>
      <c r="B31" s="83" t="s">
        <v>46</v>
      </c>
      <c r="C31" s="348">
        <v>38666</v>
      </c>
      <c r="D31" s="348">
        <v>39137</v>
      </c>
      <c r="E31" s="348">
        <v>38510</v>
      </c>
      <c r="F31" s="348">
        <v>39429</v>
      </c>
      <c r="G31" s="348">
        <v>40511</v>
      </c>
      <c r="H31" s="348">
        <v>39257</v>
      </c>
      <c r="I31" s="348">
        <v>29860</v>
      </c>
      <c r="J31" s="348">
        <v>31562</v>
      </c>
      <c r="K31" s="348">
        <v>35341</v>
      </c>
      <c r="L31" s="348">
        <v>33741</v>
      </c>
      <c r="M31" s="348">
        <v>31751</v>
      </c>
      <c r="O31" s="656">
        <f>+C31/C29*100</f>
        <v>50.932609726539859</v>
      </c>
      <c r="P31" s="656">
        <f t="shared" ref="P31:Y31" si="18">+D31/D29*100</f>
        <v>50.348633767303042</v>
      </c>
      <c r="Q31" s="656">
        <f t="shared" si="18"/>
        <v>49.798272384006623</v>
      </c>
      <c r="R31" s="656">
        <f t="shared" si="18"/>
        <v>49.147408570787526</v>
      </c>
      <c r="S31" s="656">
        <f t="shared" si="18"/>
        <v>48.644916485548578</v>
      </c>
      <c r="T31" s="656">
        <f t="shared" si="18"/>
        <v>46.951394536669376</v>
      </c>
      <c r="U31" s="656">
        <f t="shared" si="18"/>
        <v>44.319767269273015</v>
      </c>
      <c r="V31" s="656">
        <f t="shared" si="18"/>
        <v>43.867183699564968</v>
      </c>
      <c r="W31" s="656">
        <f t="shared" si="18"/>
        <v>45.818855987138932</v>
      </c>
      <c r="X31" s="656">
        <f t="shared" si="18"/>
        <v>43.781953131082446</v>
      </c>
      <c r="Y31" s="656">
        <f t="shared" si="18"/>
        <v>42.362908605737161</v>
      </c>
    </row>
    <row r="32" spans="1:26" ht="15" customHeight="1">
      <c r="A32" s="19" t="s">
        <v>769</v>
      </c>
      <c r="B32" s="102"/>
      <c r="C32" s="53"/>
    </row>
    <row r="46" spans="2:2" ht="17.25" customHeight="1">
      <c r="B46" s="50"/>
    </row>
  </sheetData>
  <mergeCells count="1">
    <mergeCell ref="A1:M1"/>
  </mergeCells>
  <phoneticPr fontId="24" type="noConversion"/>
  <conditionalFormatting sqref="A1 A33:F1048576 B32:F32 A2:F4 A5:I30 A31:E31 N32:N1048576 N1:N9 Z1:XFD1048576">
    <cfRule type="cellIs" dxfId="1317" priority="58" operator="equal">
      <formula>0</formula>
    </cfRule>
  </conditionalFormatting>
  <conditionalFormatting sqref="G32:G1048576 G2:G4 H4:I4">
    <cfRule type="cellIs" dxfId="1316" priority="53" operator="equal">
      <formula>0</formula>
    </cfRule>
  </conditionalFormatting>
  <conditionalFormatting sqref="I32:I1048576 I2:I3">
    <cfRule type="cellIs" dxfId="1315" priority="50" operator="equal">
      <formula>0</formula>
    </cfRule>
  </conditionalFormatting>
  <conditionalFormatting sqref="H32:H1048576 H2:H3">
    <cfRule type="cellIs" dxfId="1314" priority="46" operator="equal">
      <formula>0</formula>
    </cfRule>
  </conditionalFormatting>
  <conditionalFormatting sqref="J5:J7">
    <cfRule type="cellIs" dxfId="1313" priority="43" operator="equal">
      <formula>0</formula>
    </cfRule>
  </conditionalFormatting>
  <conditionalFormatting sqref="J4">
    <cfRule type="cellIs" dxfId="1312" priority="42" operator="equal">
      <formula>0</formula>
    </cfRule>
  </conditionalFormatting>
  <conditionalFormatting sqref="J8:J30">
    <cfRule type="cellIs" dxfId="1311" priority="40" operator="equal">
      <formula>0</formula>
    </cfRule>
  </conditionalFormatting>
  <conditionalFormatting sqref="J32:J1048576 J2:J3">
    <cfRule type="cellIs" dxfId="1310" priority="39" operator="equal">
      <formula>0</formula>
    </cfRule>
  </conditionalFormatting>
  <conditionalFormatting sqref="K5:K7">
    <cfRule type="cellIs" dxfId="1309" priority="38" operator="equal">
      <formula>0</formula>
    </cfRule>
  </conditionalFormatting>
  <conditionalFormatting sqref="K4">
    <cfRule type="cellIs" dxfId="1308" priority="37" operator="equal">
      <formula>0</formula>
    </cfRule>
  </conditionalFormatting>
  <conditionalFormatting sqref="K8:K30">
    <cfRule type="cellIs" dxfId="1307" priority="35" operator="equal">
      <formula>0</formula>
    </cfRule>
  </conditionalFormatting>
  <conditionalFormatting sqref="K32:K1048576 K2:K3">
    <cfRule type="cellIs" dxfId="1306" priority="34" operator="equal">
      <formula>0</formula>
    </cfRule>
  </conditionalFormatting>
  <conditionalFormatting sqref="L5:L7">
    <cfRule type="cellIs" dxfId="1305" priority="24" operator="equal">
      <formula>0</formula>
    </cfRule>
  </conditionalFormatting>
  <conditionalFormatting sqref="L4">
    <cfRule type="cellIs" dxfId="1304" priority="23" operator="equal">
      <formula>0</formula>
    </cfRule>
  </conditionalFormatting>
  <conditionalFormatting sqref="L8:L30">
    <cfRule type="cellIs" dxfId="1303" priority="21" operator="equal">
      <formula>0</formula>
    </cfRule>
  </conditionalFormatting>
  <conditionalFormatting sqref="L32:L1048576 L2:L3">
    <cfRule type="cellIs" dxfId="1302" priority="20" operator="equal">
      <formula>0</formula>
    </cfRule>
  </conditionalFormatting>
  <conditionalFormatting sqref="F31">
    <cfRule type="cellIs" dxfId="1301" priority="18" operator="equal">
      <formula>0</formula>
    </cfRule>
  </conditionalFormatting>
  <conditionalFormatting sqref="G31:I31">
    <cfRule type="cellIs" dxfId="1300" priority="17" operator="equal">
      <formula>0</formula>
    </cfRule>
  </conditionalFormatting>
  <conditionalFormatting sqref="J31">
    <cfRule type="cellIs" dxfId="1299" priority="16" operator="equal">
      <formula>0</formula>
    </cfRule>
  </conditionalFormatting>
  <conditionalFormatting sqref="K31">
    <cfRule type="cellIs" dxfId="1298" priority="15" operator="equal">
      <formula>0</formula>
    </cfRule>
  </conditionalFormatting>
  <conditionalFormatting sqref="L31">
    <cfRule type="cellIs" dxfId="1297" priority="14" operator="equal">
      <formula>0</formula>
    </cfRule>
  </conditionalFormatting>
  <conditionalFormatting sqref="M5:M7">
    <cfRule type="cellIs" dxfId="1296" priority="7" operator="equal">
      <formula>0</formula>
    </cfRule>
  </conditionalFormatting>
  <conditionalFormatting sqref="M4">
    <cfRule type="cellIs" dxfId="1295" priority="6" operator="equal">
      <formula>0</formula>
    </cfRule>
  </conditionalFormatting>
  <conditionalFormatting sqref="M8:M30">
    <cfRule type="cellIs" dxfId="1294" priority="5" operator="equal">
      <formula>0</formula>
    </cfRule>
  </conditionalFormatting>
  <conditionalFormatting sqref="M32:M1048576 M2:M3">
    <cfRule type="cellIs" dxfId="1293" priority="4" operator="equal">
      <formula>0</formula>
    </cfRule>
  </conditionalFormatting>
  <conditionalFormatting sqref="M31">
    <cfRule type="cellIs" dxfId="1292" priority="3" operator="equal">
      <formula>0</formula>
    </cfRule>
  </conditionalFormatting>
  <conditionalFormatting sqref="O1:Y1048576">
    <cfRule type="cellIs" dxfId="1291" priority="2" operator="equal">
      <formula>0</formula>
    </cfRule>
  </conditionalFormatting>
  <conditionalFormatting sqref="A32">
    <cfRule type="cellIs" dxfId="1290"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91" orientation="portrait" r:id="rId1"/>
  <headerFooter>
    <oddHeader xml:space="preserve">&amp;C&amp;G
</oddHeader>
  </headerFooter>
  <drawing r:id="rId2"/>
  <legacyDrawingHF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0F7DE-CB1B-4362-A205-00D067EA43C0}">
  <sheetPr>
    <tabColor rgb="FFFFFF00"/>
  </sheetPr>
  <dimension ref="A1:AB55"/>
  <sheetViews>
    <sheetView showGridLines="0" showRowColHeaders="0" zoomScaleNormal="100" zoomScaleSheetLayoutView="100" workbookViewId="0"/>
  </sheetViews>
  <sheetFormatPr defaultColWidth="0" defaultRowHeight="15" zeroHeight="1"/>
  <cols>
    <col min="1" max="11" width="8.42578125" style="894" customWidth="1"/>
    <col min="12" max="12" width="7" style="894" customWidth="1"/>
    <col min="13" max="23" width="8.7109375" style="894" customWidth="1"/>
    <col min="24" max="28" width="0" style="894" hidden="1" customWidth="1"/>
    <col min="29" max="16384" width="8.7109375" style="894" hidden="1"/>
  </cols>
  <sheetData>
    <row r="1" spans="1:28">
      <c r="A1" s="912"/>
      <c r="B1" s="912"/>
      <c r="C1" s="912"/>
      <c r="D1" s="912"/>
      <c r="E1" s="912"/>
      <c r="F1" s="912"/>
      <c r="G1" s="912"/>
      <c r="H1" s="912"/>
      <c r="I1" s="912"/>
      <c r="J1" s="912"/>
      <c r="K1" s="912"/>
      <c r="L1" s="912"/>
      <c r="M1" s="912"/>
      <c r="N1" s="912"/>
      <c r="O1" s="912"/>
      <c r="P1" s="912"/>
      <c r="Q1" s="912"/>
      <c r="R1" s="912"/>
      <c r="S1" s="912"/>
      <c r="T1" s="912"/>
      <c r="U1" s="912"/>
      <c r="V1" s="912"/>
      <c r="W1" s="912"/>
    </row>
    <row r="2" spans="1:28" ht="18.75" customHeight="1">
      <c r="A2" s="912"/>
      <c r="B2" s="912"/>
      <c r="C2" s="912"/>
      <c r="D2" s="912"/>
      <c r="E2" s="912"/>
      <c r="F2" s="912"/>
      <c r="G2" s="912"/>
      <c r="H2" s="912"/>
      <c r="I2" s="912"/>
      <c r="J2" s="912"/>
      <c r="K2" s="912"/>
      <c r="L2" s="912"/>
      <c r="M2" s="912"/>
      <c r="N2" s="912"/>
      <c r="O2" s="912"/>
      <c r="P2" s="912"/>
      <c r="Q2" s="912"/>
      <c r="R2" s="912"/>
      <c r="S2" s="912"/>
      <c r="T2" s="912"/>
      <c r="U2" s="912"/>
      <c r="V2" s="912"/>
      <c r="W2" s="912"/>
    </row>
    <row r="3" spans="1:28">
      <c r="A3" s="912"/>
      <c r="B3" s="912"/>
      <c r="C3" s="912"/>
      <c r="D3" s="912"/>
      <c r="E3" s="912"/>
      <c r="F3" s="912"/>
      <c r="G3" s="912"/>
      <c r="H3" s="912"/>
      <c r="I3" s="912"/>
      <c r="J3" s="912"/>
      <c r="K3" s="912"/>
      <c r="L3" s="912"/>
      <c r="M3" s="912"/>
      <c r="N3" s="912"/>
      <c r="O3" s="912"/>
      <c r="P3" s="912"/>
      <c r="Q3" s="912"/>
      <c r="R3" s="912"/>
      <c r="S3" s="912"/>
      <c r="T3" s="912"/>
      <c r="U3" s="912"/>
      <c r="V3" s="912"/>
      <c r="W3" s="912"/>
    </row>
    <row r="4" spans="1:28">
      <c r="A4" s="912"/>
      <c r="B4" s="912"/>
      <c r="C4" s="912"/>
      <c r="D4" s="912"/>
      <c r="E4" s="912"/>
      <c r="F4" s="912"/>
      <c r="G4" s="912"/>
      <c r="H4" s="912"/>
      <c r="I4" s="912"/>
      <c r="J4" s="912"/>
      <c r="K4" s="912"/>
      <c r="L4" s="912"/>
      <c r="M4" s="912"/>
      <c r="N4" s="912"/>
      <c r="O4" s="912"/>
      <c r="P4" s="912"/>
      <c r="Q4" s="912"/>
      <c r="R4" s="912"/>
      <c r="S4" s="912"/>
      <c r="T4" s="912"/>
      <c r="U4" s="912"/>
      <c r="V4" s="912"/>
      <c r="W4" s="912"/>
    </row>
    <row r="5" spans="1:28">
      <c r="A5" s="912"/>
      <c r="B5" s="912"/>
      <c r="C5" s="912"/>
      <c r="D5" s="912"/>
      <c r="E5" s="912"/>
      <c r="F5" s="912"/>
      <c r="G5" s="912"/>
      <c r="H5" s="912"/>
      <c r="I5" s="912"/>
      <c r="J5" s="912"/>
      <c r="K5" s="912"/>
      <c r="L5" s="912"/>
      <c r="M5" s="912"/>
      <c r="N5" s="912"/>
      <c r="O5" s="912"/>
      <c r="P5" s="912"/>
      <c r="Q5" s="912"/>
      <c r="R5" s="912"/>
      <c r="S5" s="912"/>
      <c r="T5" s="912"/>
      <c r="U5" s="912"/>
      <c r="V5" s="912"/>
      <c r="W5" s="912"/>
    </row>
    <row r="6" spans="1:28">
      <c r="A6" s="912"/>
      <c r="B6" s="912"/>
      <c r="C6" s="912"/>
      <c r="D6" s="912"/>
      <c r="E6" s="912"/>
      <c r="F6" s="912"/>
      <c r="G6" s="913"/>
      <c r="H6" s="912"/>
      <c r="I6" s="912"/>
      <c r="J6" s="912"/>
      <c r="K6" s="912"/>
      <c r="L6" s="937"/>
      <c r="M6" s="937"/>
      <c r="N6" s="937"/>
      <c r="O6" s="937"/>
      <c r="P6" s="937"/>
      <c r="Q6" s="937"/>
      <c r="R6" s="912"/>
      <c r="S6" s="912"/>
      <c r="T6" s="912"/>
      <c r="U6" s="912"/>
      <c r="V6" s="912"/>
      <c r="W6" s="912"/>
    </row>
    <row r="7" spans="1:28">
      <c r="A7" s="915"/>
      <c r="B7" s="915"/>
      <c r="C7" s="915"/>
      <c r="D7" s="915"/>
      <c r="E7" s="915"/>
      <c r="F7" s="915"/>
      <c r="G7" s="912"/>
      <c r="H7" s="912"/>
      <c r="I7" s="912"/>
      <c r="J7" s="912"/>
      <c r="K7" s="912"/>
      <c r="L7" s="912"/>
      <c r="M7" s="912"/>
      <c r="N7" s="912"/>
      <c r="O7" s="912"/>
      <c r="P7" s="912"/>
      <c r="Q7" s="912"/>
      <c r="R7" s="912"/>
      <c r="S7" s="912"/>
      <c r="T7" s="912"/>
      <c r="U7" s="912"/>
      <c r="V7" s="912"/>
      <c r="W7" s="912"/>
    </row>
    <row r="8" spans="1:28">
      <c r="A8" s="926"/>
      <c r="B8" s="926"/>
      <c r="C8" s="926"/>
      <c r="D8" s="926"/>
      <c r="E8" s="926"/>
      <c r="F8" s="926"/>
      <c r="G8" s="912"/>
      <c r="H8" s="912"/>
      <c r="I8" s="912"/>
      <c r="J8" s="912"/>
      <c r="K8" s="912"/>
      <c r="L8" s="912"/>
      <c r="M8" s="912"/>
      <c r="N8" s="912"/>
      <c r="O8" s="912"/>
      <c r="P8" s="912"/>
      <c r="Q8" s="912"/>
      <c r="R8" s="912"/>
      <c r="S8" s="912"/>
      <c r="T8" s="912"/>
      <c r="U8" s="912"/>
      <c r="V8" s="912"/>
      <c r="W8" s="912"/>
    </row>
    <row r="9" spans="1:28" ht="15" customHeight="1">
      <c r="A9" s="912"/>
      <c r="B9" s="912"/>
      <c r="C9" s="912"/>
      <c r="D9" s="912"/>
      <c r="E9" s="912"/>
      <c r="F9" s="916"/>
      <c r="G9" s="916"/>
      <c r="H9" s="912"/>
      <c r="I9" s="912"/>
      <c r="J9" s="912"/>
      <c r="K9" s="912"/>
      <c r="L9" s="912"/>
      <c r="M9" s="912"/>
      <c r="N9" s="912"/>
      <c r="O9" s="912"/>
      <c r="P9" s="912"/>
      <c r="Q9" s="912"/>
      <c r="R9" s="912"/>
      <c r="S9" s="912"/>
      <c r="T9" s="912"/>
      <c r="U9" s="912"/>
      <c r="V9" s="912"/>
      <c r="W9" s="912"/>
    </row>
    <row r="10" spans="1:28" ht="15" customHeight="1">
      <c r="A10" s="912"/>
      <c r="B10" s="912"/>
      <c r="C10" s="912"/>
      <c r="D10" s="912"/>
      <c r="E10" s="912"/>
      <c r="F10" s="916"/>
      <c r="G10" s="916"/>
      <c r="H10" s="912"/>
      <c r="I10" s="912"/>
      <c r="J10" s="912"/>
      <c r="K10" s="912"/>
      <c r="L10" s="912"/>
      <c r="M10" s="912"/>
      <c r="N10" s="912"/>
      <c r="O10" s="912"/>
      <c r="P10" s="912"/>
      <c r="Q10" s="912"/>
      <c r="R10" s="912"/>
      <c r="S10" s="912"/>
      <c r="T10" s="912"/>
      <c r="U10" s="912"/>
      <c r="V10" s="912"/>
      <c r="W10" s="912"/>
    </row>
    <row r="11" spans="1:28">
      <c r="A11" s="912"/>
      <c r="B11" s="912"/>
      <c r="C11" s="912"/>
      <c r="D11" s="912"/>
      <c r="E11" s="912"/>
      <c r="F11" s="916"/>
      <c r="G11" s="916"/>
      <c r="H11" s="912"/>
      <c r="I11" s="912"/>
      <c r="J11" s="912"/>
      <c r="K11" s="912"/>
      <c r="L11" s="912"/>
      <c r="M11" s="912"/>
      <c r="N11" s="912"/>
      <c r="O11" s="912"/>
      <c r="P11" s="912"/>
      <c r="Q11" s="912"/>
      <c r="R11" s="912"/>
      <c r="S11" s="912"/>
      <c r="T11" s="912"/>
      <c r="U11" s="912"/>
      <c r="V11" s="912"/>
      <c r="W11" s="912"/>
    </row>
    <row r="12" spans="1:28" ht="15" customHeight="1">
      <c r="A12" s="912"/>
      <c r="B12" s="912"/>
      <c r="C12" s="912"/>
      <c r="D12" s="912"/>
      <c r="E12" s="912"/>
      <c r="F12" s="916"/>
      <c r="G12" s="916"/>
      <c r="H12" s="912"/>
      <c r="I12" s="912"/>
      <c r="J12" s="912"/>
      <c r="K12" s="912"/>
      <c r="L12" s="912"/>
      <c r="M12" s="912"/>
      <c r="N12" s="912"/>
      <c r="O12" s="912"/>
      <c r="P12" s="912"/>
      <c r="Q12" s="912"/>
      <c r="R12" s="912"/>
      <c r="S12" s="912"/>
      <c r="T12" s="912"/>
      <c r="U12" s="912"/>
      <c r="V12" s="912"/>
      <c r="W12" s="912"/>
      <c r="AB12" s="900"/>
    </row>
    <row r="13" spans="1:28" ht="15" customHeight="1">
      <c r="A13" s="912"/>
      <c r="B13" s="912"/>
      <c r="C13" s="912"/>
      <c r="D13" s="912"/>
      <c r="E13" s="912"/>
      <c r="F13" s="916"/>
      <c r="G13" s="916"/>
      <c r="H13" s="912"/>
      <c r="I13" s="912"/>
      <c r="J13" s="912"/>
      <c r="K13" s="912"/>
      <c r="L13" s="912"/>
      <c r="M13" s="912"/>
      <c r="N13" s="912"/>
      <c r="O13" s="912"/>
      <c r="P13" s="912"/>
      <c r="Q13" s="912"/>
      <c r="R13" s="912"/>
      <c r="S13" s="912"/>
      <c r="T13" s="912"/>
      <c r="U13" s="912"/>
      <c r="V13" s="912"/>
      <c r="W13" s="912"/>
    </row>
    <row r="14" spans="1:28">
      <c r="A14" s="912"/>
      <c r="B14" s="912"/>
      <c r="C14" s="912"/>
      <c r="D14" s="912"/>
      <c r="E14" s="912"/>
      <c r="F14" s="916"/>
      <c r="G14" s="916"/>
      <c r="H14" s="912"/>
      <c r="I14" s="912"/>
      <c r="J14" s="912"/>
      <c r="K14" s="912"/>
      <c r="L14" s="912"/>
      <c r="M14" s="912"/>
      <c r="N14" s="912"/>
      <c r="O14" s="912"/>
      <c r="P14" s="912"/>
      <c r="Q14" s="912"/>
      <c r="R14" s="912"/>
      <c r="S14" s="912"/>
      <c r="T14" s="912"/>
      <c r="U14" s="912"/>
      <c r="V14" s="912"/>
      <c r="W14" s="912"/>
    </row>
    <row r="15" spans="1:28">
      <c r="A15" s="912"/>
      <c r="B15" s="912"/>
      <c r="C15" s="912"/>
      <c r="D15" s="912"/>
      <c r="E15" s="912"/>
      <c r="F15" s="912"/>
      <c r="G15" s="912"/>
      <c r="H15" s="912"/>
      <c r="I15" s="912"/>
      <c r="J15" s="912"/>
      <c r="K15" s="912"/>
      <c r="L15" s="912"/>
      <c r="M15" s="912"/>
      <c r="N15" s="912"/>
      <c r="O15" s="912"/>
      <c r="P15" s="912"/>
      <c r="Q15" s="912"/>
      <c r="R15" s="912"/>
      <c r="S15" s="912"/>
      <c r="T15" s="912"/>
      <c r="U15" s="912"/>
      <c r="V15" s="912"/>
      <c r="W15" s="912"/>
    </row>
    <row r="16" spans="1:28">
      <c r="A16" s="912"/>
      <c r="B16" s="912"/>
      <c r="C16" s="912"/>
      <c r="D16" s="912"/>
      <c r="E16" s="912"/>
      <c r="F16" s="912"/>
      <c r="G16" s="912"/>
      <c r="H16" s="912"/>
      <c r="I16" s="912"/>
      <c r="J16" s="912"/>
      <c r="K16" s="912"/>
      <c r="L16" s="912"/>
      <c r="M16" s="912"/>
      <c r="N16" s="912"/>
      <c r="O16" s="912"/>
      <c r="P16" s="912"/>
      <c r="Q16" s="912"/>
      <c r="R16" s="912"/>
      <c r="S16" s="912"/>
      <c r="T16" s="912"/>
      <c r="U16" s="912"/>
      <c r="V16" s="912"/>
      <c r="W16" s="912"/>
    </row>
    <row r="17" spans="1:25">
      <c r="A17" s="912"/>
      <c r="B17" s="912"/>
      <c r="C17" s="912"/>
      <c r="D17" s="912"/>
      <c r="E17" s="912"/>
      <c r="F17" s="912"/>
      <c r="G17" s="912"/>
      <c r="H17" s="912"/>
      <c r="I17" s="912"/>
      <c r="J17" s="912"/>
      <c r="K17" s="912"/>
      <c r="L17" s="912"/>
      <c r="M17" s="912"/>
      <c r="N17" s="912"/>
      <c r="O17" s="912"/>
      <c r="P17" s="912"/>
      <c r="Q17" s="912"/>
      <c r="R17" s="912"/>
      <c r="S17" s="912"/>
      <c r="T17" s="912"/>
      <c r="U17" s="912"/>
      <c r="V17" s="912"/>
      <c r="W17" s="912"/>
    </row>
    <row r="18" spans="1:25">
      <c r="A18" s="912"/>
      <c r="B18" s="912"/>
      <c r="C18" s="912"/>
      <c r="D18" s="912"/>
      <c r="E18" s="912"/>
      <c r="F18" s="912"/>
      <c r="G18" s="912"/>
      <c r="H18" s="912"/>
      <c r="I18" s="912"/>
      <c r="J18" s="912"/>
      <c r="K18" s="912"/>
      <c r="L18" s="912"/>
      <c r="M18" s="912"/>
      <c r="N18" s="912"/>
      <c r="O18" s="912"/>
      <c r="P18" s="912"/>
      <c r="Q18" s="912"/>
      <c r="R18" s="912"/>
      <c r="S18" s="912"/>
      <c r="T18" s="912"/>
      <c r="U18" s="912"/>
      <c r="V18" s="912"/>
      <c r="W18" s="912"/>
    </row>
    <row r="19" spans="1:25">
      <c r="A19" s="912"/>
      <c r="B19" s="912"/>
      <c r="C19" s="912"/>
      <c r="D19" s="912"/>
      <c r="E19" s="912"/>
      <c r="F19" s="912"/>
      <c r="G19" s="912"/>
      <c r="H19" s="912"/>
      <c r="I19" s="912"/>
      <c r="J19" s="912"/>
      <c r="K19" s="912"/>
      <c r="L19" s="912"/>
      <c r="M19" s="912"/>
      <c r="N19" s="912"/>
      <c r="O19" s="912"/>
      <c r="P19" s="912"/>
      <c r="Q19" s="912"/>
      <c r="R19" s="912"/>
      <c r="S19" s="912"/>
      <c r="T19" s="912"/>
      <c r="U19" s="912"/>
      <c r="V19" s="912"/>
      <c r="W19" s="912"/>
    </row>
    <row r="20" spans="1:25">
      <c r="A20" s="912"/>
      <c r="B20" s="912"/>
      <c r="C20" s="912"/>
      <c r="D20" s="912"/>
      <c r="E20" s="912"/>
      <c r="F20" s="912"/>
      <c r="G20" s="912"/>
      <c r="H20" s="912"/>
      <c r="I20" s="912"/>
      <c r="J20" s="912"/>
      <c r="K20" s="912"/>
      <c r="L20" s="912"/>
      <c r="M20" s="912"/>
      <c r="N20" s="912"/>
      <c r="O20" s="912"/>
      <c r="P20" s="912"/>
      <c r="Q20" s="912"/>
      <c r="R20" s="912"/>
      <c r="S20" s="912"/>
      <c r="T20" s="912"/>
      <c r="U20" s="912"/>
      <c r="V20" s="912"/>
      <c r="W20" s="912"/>
    </row>
    <row r="21" spans="1:25">
      <c r="A21" s="912"/>
      <c r="B21" s="912"/>
      <c r="C21" s="912"/>
      <c r="D21" s="912"/>
      <c r="E21" s="912"/>
      <c r="F21" s="912"/>
      <c r="G21" s="912"/>
      <c r="H21" s="912"/>
      <c r="I21" s="912"/>
      <c r="J21" s="912"/>
      <c r="K21" s="912"/>
      <c r="L21" s="912"/>
      <c r="M21" s="912"/>
      <c r="N21" s="912"/>
      <c r="O21" s="912"/>
      <c r="P21" s="912"/>
      <c r="Q21" s="912"/>
      <c r="R21" s="912"/>
      <c r="S21" s="912"/>
      <c r="T21" s="912"/>
      <c r="U21" s="912"/>
      <c r="V21" s="912"/>
      <c r="W21" s="912"/>
    </row>
    <row r="22" spans="1:25">
      <c r="A22" s="912"/>
      <c r="B22" s="912"/>
      <c r="C22" s="912"/>
      <c r="D22" s="912"/>
      <c r="E22" s="912"/>
      <c r="F22" s="912"/>
      <c r="G22" s="912"/>
      <c r="H22" s="912"/>
      <c r="I22" s="912"/>
      <c r="J22" s="912"/>
      <c r="K22" s="912"/>
      <c r="L22" s="912"/>
      <c r="M22" s="912"/>
      <c r="N22" s="912"/>
      <c r="O22" s="912"/>
      <c r="P22" s="912"/>
      <c r="Q22" s="912"/>
      <c r="R22" s="912"/>
      <c r="S22" s="912"/>
      <c r="T22" s="912"/>
      <c r="U22" s="912"/>
      <c r="V22" s="912"/>
      <c r="W22" s="912"/>
    </row>
    <row r="23" spans="1:25">
      <c r="A23" s="912"/>
      <c r="B23" s="912"/>
      <c r="C23" s="912"/>
      <c r="D23" s="912"/>
      <c r="E23" s="912"/>
      <c r="F23" s="912"/>
      <c r="G23" s="912"/>
      <c r="H23" s="912"/>
      <c r="I23" s="912"/>
      <c r="J23" s="912"/>
      <c r="K23" s="912"/>
      <c r="L23" s="912"/>
      <c r="M23" s="912"/>
      <c r="N23" s="912"/>
      <c r="O23" s="912"/>
      <c r="P23" s="912"/>
      <c r="Q23" s="912"/>
      <c r="R23" s="912"/>
      <c r="S23" s="912"/>
      <c r="T23" s="912"/>
      <c r="U23" s="912"/>
      <c r="V23" s="912"/>
      <c r="W23" s="912"/>
    </row>
    <row r="24" spans="1:25">
      <c r="A24" s="912"/>
      <c r="B24" s="912"/>
      <c r="C24" s="912"/>
      <c r="D24" s="912"/>
      <c r="E24" s="912"/>
      <c r="F24" s="912"/>
      <c r="G24" s="912"/>
      <c r="H24" s="912"/>
      <c r="I24" s="912"/>
      <c r="J24" s="912"/>
      <c r="K24" s="912"/>
      <c r="L24" s="912"/>
      <c r="M24" s="912"/>
      <c r="N24" s="912"/>
      <c r="O24" s="912"/>
      <c r="P24" s="912"/>
      <c r="Q24" s="912"/>
      <c r="R24" s="912"/>
      <c r="S24" s="912"/>
      <c r="T24" s="912"/>
      <c r="U24" s="912"/>
      <c r="V24" s="912"/>
      <c r="W24" s="912"/>
    </row>
    <row r="25" spans="1:25">
      <c r="A25" s="912"/>
      <c r="B25" s="912"/>
      <c r="C25" s="912"/>
      <c r="D25" s="912"/>
      <c r="E25" s="912"/>
      <c r="F25" s="912"/>
      <c r="G25" s="912"/>
      <c r="H25" s="912"/>
      <c r="I25" s="912"/>
      <c r="J25" s="912"/>
      <c r="K25" s="912"/>
      <c r="L25" s="912"/>
      <c r="M25" s="912"/>
      <c r="N25" s="912"/>
      <c r="O25" s="912"/>
      <c r="P25" s="912"/>
      <c r="Q25" s="912"/>
      <c r="R25" s="912"/>
      <c r="S25" s="912"/>
      <c r="T25" s="912"/>
      <c r="U25" s="912"/>
      <c r="V25" s="912"/>
      <c r="W25" s="912"/>
    </row>
    <row r="26" spans="1:25">
      <c r="A26" s="912"/>
      <c r="B26" s="912"/>
      <c r="C26" s="912"/>
      <c r="D26" s="912"/>
      <c r="E26" s="912"/>
      <c r="F26" s="912"/>
      <c r="G26" s="912"/>
      <c r="H26" s="912"/>
      <c r="I26" s="912"/>
      <c r="J26" s="912"/>
      <c r="K26" s="912"/>
      <c r="L26" s="912"/>
      <c r="M26" s="912"/>
      <c r="N26" s="912"/>
      <c r="O26" s="912"/>
      <c r="P26" s="912"/>
      <c r="Q26" s="912"/>
      <c r="R26" s="912"/>
      <c r="S26" s="912"/>
      <c r="T26" s="912"/>
      <c r="U26" s="912"/>
      <c r="V26" s="912"/>
      <c r="W26" s="912"/>
    </row>
    <row r="27" spans="1:25">
      <c r="A27" s="912"/>
      <c r="B27" s="912"/>
      <c r="C27" s="912"/>
      <c r="D27" s="912"/>
      <c r="E27" s="912"/>
      <c r="F27" s="912"/>
      <c r="G27" s="912"/>
      <c r="H27" s="912"/>
      <c r="I27" s="912"/>
      <c r="J27" s="912"/>
      <c r="K27" s="912"/>
      <c r="L27" s="912"/>
      <c r="M27" s="912"/>
      <c r="N27" s="912"/>
      <c r="O27" s="912"/>
      <c r="P27" s="912"/>
      <c r="Q27" s="912"/>
      <c r="R27" s="912"/>
      <c r="S27" s="912"/>
      <c r="T27" s="912"/>
      <c r="U27" s="912"/>
      <c r="V27" s="912"/>
      <c r="W27" s="912"/>
    </row>
    <row r="28" spans="1:25">
      <c r="A28" s="925"/>
      <c r="B28" s="925"/>
      <c r="C28" s="925"/>
      <c r="D28" s="925"/>
      <c r="E28" s="925"/>
      <c r="F28" s="925"/>
      <c r="G28" s="925"/>
      <c r="H28" s="912"/>
      <c r="I28" s="925"/>
      <c r="J28" s="925"/>
      <c r="K28" s="925"/>
      <c r="L28" s="925"/>
      <c r="M28" s="925"/>
      <c r="N28" s="925"/>
      <c r="O28" s="925"/>
      <c r="P28" s="912"/>
      <c r="Q28" s="925"/>
      <c r="R28" s="925"/>
      <c r="S28" s="925"/>
      <c r="T28" s="925"/>
      <c r="U28" s="925"/>
      <c r="V28" s="925"/>
      <c r="W28" s="925"/>
    </row>
    <row r="29" spans="1:25">
      <c r="A29" s="925"/>
      <c r="B29" s="925"/>
      <c r="C29" s="925"/>
      <c r="D29" s="925"/>
      <c r="E29" s="925"/>
      <c r="F29" s="925"/>
      <c r="G29" s="925"/>
      <c r="H29" s="912"/>
      <c r="I29" s="925"/>
      <c r="J29" s="925"/>
      <c r="K29" s="925"/>
      <c r="L29" s="925"/>
      <c r="M29" s="925"/>
      <c r="N29" s="925"/>
      <c r="O29" s="925"/>
      <c r="P29" s="912"/>
      <c r="Q29" s="925"/>
      <c r="R29" s="925"/>
      <c r="S29" s="925"/>
      <c r="T29" s="925"/>
      <c r="U29" s="925"/>
      <c r="V29" s="925"/>
      <c r="W29" s="925"/>
    </row>
    <row r="30" spans="1:25">
      <c r="A30" s="925"/>
      <c r="B30" s="925"/>
      <c r="C30" s="925"/>
      <c r="D30" s="925"/>
      <c r="E30" s="925"/>
      <c r="F30" s="925"/>
      <c r="G30" s="925"/>
      <c r="H30" s="912"/>
      <c r="I30" s="925"/>
      <c r="J30" s="925"/>
      <c r="K30" s="925"/>
      <c r="L30" s="925"/>
      <c r="M30" s="925"/>
      <c r="N30" s="925"/>
      <c r="O30" s="925"/>
      <c r="P30" s="917"/>
      <c r="Q30" s="917"/>
      <c r="R30" s="917"/>
      <c r="S30" s="917"/>
      <c r="T30" s="917"/>
      <c r="U30" s="917"/>
      <c r="V30" s="917"/>
      <c r="W30" s="917"/>
      <c r="X30" s="895"/>
      <c r="Y30" s="895"/>
    </row>
    <row r="31" spans="1:25">
      <c r="A31" s="912"/>
      <c r="B31" s="912"/>
      <c r="C31" s="912"/>
      <c r="D31" s="912"/>
      <c r="E31" s="912"/>
      <c r="F31" s="912"/>
      <c r="G31" s="912"/>
      <c r="H31" s="912"/>
      <c r="I31" s="912"/>
      <c r="J31" s="912"/>
      <c r="K31" s="912"/>
      <c r="L31" s="912"/>
      <c r="M31" s="912"/>
      <c r="N31" s="912"/>
      <c r="O31" s="912"/>
      <c r="P31" s="918"/>
      <c r="Q31" s="918"/>
      <c r="R31" s="918"/>
      <c r="S31" s="918"/>
      <c r="T31" s="918"/>
      <c r="U31" s="918"/>
      <c r="V31" s="912"/>
      <c r="W31" s="919"/>
      <c r="X31" s="896"/>
      <c r="Y31" s="896"/>
    </row>
    <row r="32" spans="1:25">
      <c r="A32" s="912"/>
      <c r="B32" s="912"/>
      <c r="C32" s="912"/>
      <c r="D32" s="912"/>
      <c r="E32" s="912"/>
      <c r="F32" s="912"/>
      <c r="G32" s="912"/>
      <c r="H32" s="912"/>
      <c r="I32" s="912"/>
      <c r="J32" s="912"/>
      <c r="K32" s="912"/>
      <c r="L32" s="912"/>
      <c r="M32" s="912"/>
      <c r="N32" s="912"/>
      <c r="O32" s="912"/>
      <c r="P32" s="912"/>
      <c r="Q32" s="912"/>
      <c r="R32" s="912"/>
      <c r="S32" s="912"/>
      <c r="T32" s="912"/>
      <c r="U32" s="912"/>
      <c r="V32" s="912"/>
      <c r="W32" s="912"/>
    </row>
    <row r="33" spans="1:23">
      <c r="A33" s="912"/>
      <c r="B33" s="912"/>
      <c r="C33" s="912"/>
      <c r="D33" s="912"/>
      <c r="E33" s="912"/>
      <c r="F33" s="912"/>
      <c r="G33" s="912"/>
      <c r="H33" s="927"/>
      <c r="I33" s="912"/>
      <c r="J33" s="912"/>
      <c r="K33" s="912"/>
      <c r="L33" s="912"/>
      <c r="M33" s="912"/>
      <c r="N33" s="912"/>
      <c r="O33" s="912"/>
      <c r="P33" s="920"/>
      <c r="Q33" s="912"/>
      <c r="R33" s="912"/>
      <c r="S33" s="912"/>
      <c r="T33" s="912"/>
      <c r="U33" s="912"/>
      <c r="V33" s="912"/>
      <c r="W33" s="912"/>
    </row>
    <row r="34" spans="1:23">
      <c r="A34" s="912"/>
      <c r="B34" s="912"/>
      <c r="C34" s="912"/>
      <c r="D34" s="912"/>
      <c r="E34" s="912"/>
      <c r="F34" s="912"/>
      <c r="G34" s="912"/>
      <c r="H34" s="912"/>
      <c r="I34" s="912"/>
      <c r="J34" s="912"/>
      <c r="K34" s="912"/>
      <c r="L34" s="912"/>
      <c r="M34" s="912"/>
      <c r="N34" s="912"/>
      <c r="O34" s="912"/>
      <c r="P34" s="919"/>
      <c r="Q34" s="912"/>
      <c r="R34" s="912"/>
      <c r="S34" s="912"/>
      <c r="T34" s="912"/>
      <c r="U34" s="912"/>
      <c r="V34" s="912"/>
      <c r="W34" s="912"/>
    </row>
    <row r="35" spans="1:23">
      <c r="A35" s="912"/>
      <c r="B35" s="912"/>
      <c r="C35" s="912"/>
      <c r="D35" s="912"/>
      <c r="E35" s="912"/>
      <c r="F35" s="912"/>
      <c r="G35" s="912"/>
      <c r="H35" s="912"/>
      <c r="I35" s="912"/>
      <c r="J35" s="912"/>
      <c r="K35" s="912"/>
      <c r="L35" s="912"/>
      <c r="M35" s="912"/>
      <c r="N35" s="912"/>
      <c r="O35" s="912"/>
      <c r="P35" s="919"/>
      <c r="Q35" s="912"/>
      <c r="R35" s="912"/>
      <c r="S35" s="912"/>
      <c r="T35" s="912"/>
      <c r="U35" s="912"/>
      <c r="V35" s="912"/>
      <c r="W35" s="912"/>
    </row>
    <row r="36" spans="1:23">
      <c r="A36" s="912"/>
      <c r="B36" s="912"/>
      <c r="C36" s="912"/>
      <c r="D36" s="912"/>
      <c r="E36" s="912"/>
      <c r="F36" s="912"/>
      <c r="G36" s="912"/>
      <c r="H36" s="912"/>
      <c r="I36" s="912"/>
      <c r="J36" s="912"/>
      <c r="K36" s="912"/>
      <c r="L36" s="912"/>
      <c r="M36" s="912"/>
      <c r="N36" s="912"/>
      <c r="O36" s="912"/>
      <c r="P36" s="919"/>
      <c r="Q36" s="912"/>
      <c r="R36" s="912"/>
      <c r="S36" s="912"/>
      <c r="T36" s="912"/>
      <c r="U36" s="912"/>
      <c r="V36" s="912"/>
      <c r="W36" s="912"/>
    </row>
    <row r="37" spans="1:23">
      <c r="A37" s="912"/>
      <c r="B37" s="912"/>
      <c r="C37" s="912"/>
      <c r="D37" s="912"/>
      <c r="E37" s="912"/>
      <c r="F37" s="912"/>
      <c r="G37" s="912"/>
      <c r="H37" s="921"/>
      <c r="I37" s="912"/>
      <c r="J37" s="920"/>
      <c r="K37" s="912"/>
      <c r="L37" s="912"/>
      <c r="M37" s="919"/>
      <c r="N37" s="919"/>
      <c r="O37" s="919"/>
      <c r="P37" s="919"/>
      <c r="Q37" s="912"/>
      <c r="R37" s="912"/>
      <c r="S37" s="912"/>
      <c r="T37" s="912"/>
      <c r="U37" s="912"/>
      <c r="V37" s="912"/>
      <c r="W37" s="912"/>
    </row>
    <row r="38" spans="1:23">
      <c r="A38" s="912"/>
      <c r="B38" s="912"/>
      <c r="C38" s="912"/>
      <c r="D38" s="912"/>
      <c r="E38" s="912"/>
      <c r="F38" s="912"/>
      <c r="G38" s="912"/>
      <c r="H38" s="921"/>
      <c r="I38" s="912"/>
      <c r="J38" s="920"/>
      <c r="K38" s="912"/>
      <c r="L38" s="912"/>
      <c r="M38" s="919"/>
      <c r="N38" s="919"/>
      <c r="O38" s="919"/>
      <c r="P38" s="919"/>
      <c r="Q38" s="912"/>
      <c r="R38" s="912"/>
      <c r="S38" s="912"/>
      <c r="T38" s="912"/>
      <c r="U38" s="912"/>
      <c r="V38" s="912"/>
      <c r="W38" s="912"/>
    </row>
    <row r="39" spans="1:23">
      <c r="A39" s="912"/>
      <c r="B39" s="912"/>
      <c r="C39" s="912"/>
      <c r="D39" s="912"/>
      <c r="E39" s="912"/>
      <c r="F39" s="912"/>
      <c r="G39" s="912"/>
      <c r="H39" s="912"/>
      <c r="I39" s="912"/>
      <c r="J39" s="920"/>
      <c r="K39" s="912"/>
      <c r="L39" s="912"/>
      <c r="M39" s="922"/>
      <c r="N39" s="921"/>
      <c r="O39" s="919"/>
      <c r="P39" s="919"/>
      <c r="Q39" s="912"/>
      <c r="R39" s="912"/>
      <c r="S39" s="912"/>
      <c r="T39" s="912"/>
      <c r="U39" s="912"/>
      <c r="V39" s="912"/>
      <c r="W39" s="912"/>
    </row>
    <row r="40" spans="1:23">
      <c r="A40" s="912"/>
      <c r="B40" s="912"/>
      <c r="C40" s="912"/>
      <c r="D40" s="912"/>
      <c r="E40" s="912"/>
      <c r="F40" s="912"/>
      <c r="G40" s="912"/>
      <c r="H40" s="921"/>
      <c r="I40" s="912"/>
      <c r="J40" s="920"/>
      <c r="K40" s="912"/>
      <c r="L40" s="912"/>
      <c r="M40" s="919"/>
      <c r="N40" s="919"/>
      <c r="O40" s="919"/>
      <c r="P40" s="919"/>
      <c r="Q40" s="912"/>
      <c r="R40" s="912"/>
      <c r="S40" s="912"/>
      <c r="T40" s="912"/>
      <c r="U40" s="912"/>
      <c r="V40" s="912"/>
      <c r="W40" s="912"/>
    </row>
    <row r="41" spans="1:23">
      <c r="A41" s="912"/>
      <c r="B41" s="912"/>
      <c r="C41" s="912"/>
      <c r="D41" s="912"/>
      <c r="E41" s="912"/>
      <c r="F41" s="912"/>
      <c r="G41" s="912"/>
      <c r="H41" s="920"/>
      <c r="I41" s="920"/>
      <c r="J41" s="920"/>
      <c r="K41" s="912"/>
      <c r="L41" s="919"/>
      <c r="M41" s="919"/>
      <c r="N41" s="919"/>
      <c r="O41" s="919"/>
      <c r="P41" s="919"/>
      <c r="Q41" s="912"/>
      <c r="R41" s="912"/>
      <c r="S41" s="912"/>
      <c r="T41" s="912"/>
      <c r="U41" s="912"/>
      <c r="V41" s="912"/>
      <c r="W41" s="912"/>
    </row>
    <row r="42" spans="1:23">
      <c r="A42" s="912"/>
      <c r="B42" s="912"/>
      <c r="C42" s="912"/>
      <c r="D42" s="912"/>
      <c r="E42" s="912"/>
      <c r="F42" s="912"/>
      <c r="G42" s="919"/>
      <c r="H42" s="919"/>
      <c r="I42" s="919"/>
      <c r="J42" s="919"/>
      <c r="K42" s="919"/>
      <c r="L42" s="919"/>
      <c r="M42" s="919"/>
      <c r="N42" s="919"/>
      <c r="O42" s="919"/>
      <c r="P42" s="919"/>
      <c r="Q42" s="912"/>
      <c r="R42" s="912"/>
      <c r="S42" s="912"/>
      <c r="T42" s="912"/>
      <c r="U42" s="912"/>
      <c r="V42" s="912"/>
      <c r="W42" s="912"/>
    </row>
    <row r="43" spans="1:23">
      <c r="A43" s="912"/>
      <c r="B43" s="912"/>
      <c r="C43" s="912"/>
      <c r="D43" s="912"/>
      <c r="E43" s="912"/>
      <c r="F43" s="912"/>
      <c r="G43" s="919"/>
      <c r="H43" s="919"/>
      <c r="I43" s="919"/>
      <c r="J43" s="919"/>
      <c r="K43" s="919"/>
      <c r="L43" s="919"/>
      <c r="M43" s="919"/>
      <c r="N43" s="919"/>
      <c r="O43" s="919"/>
      <c r="P43" s="919"/>
      <c r="Q43" s="912"/>
      <c r="R43" s="912"/>
      <c r="S43" s="912"/>
      <c r="T43" s="912"/>
      <c r="U43" s="912"/>
      <c r="V43" s="912"/>
      <c r="W43" s="912"/>
    </row>
    <row r="44" spans="1:23">
      <c r="A44" s="912"/>
      <c r="B44" s="912"/>
      <c r="C44" s="912"/>
      <c r="D44" s="912"/>
      <c r="E44" s="912"/>
      <c r="F44" s="912"/>
      <c r="G44" s="919"/>
      <c r="H44" s="919"/>
      <c r="I44" s="919"/>
      <c r="J44" s="919"/>
      <c r="K44" s="919"/>
      <c r="L44" s="919"/>
      <c r="M44" s="919"/>
      <c r="N44" s="919"/>
      <c r="O44" s="919"/>
      <c r="P44" s="919"/>
      <c r="Q44" s="912"/>
      <c r="R44" s="912"/>
      <c r="S44" s="912"/>
      <c r="T44" s="912"/>
      <c r="U44" s="912"/>
      <c r="V44" s="912"/>
      <c r="W44" s="912"/>
    </row>
    <row r="45" spans="1:23">
      <c r="A45" s="912"/>
      <c r="B45" s="912"/>
      <c r="C45" s="912"/>
      <c r="D45" s="912"/>
      <c r="E45" s="912"/>
      <c r="F45" s="912"/>
      <c r="G45" s="919"/>
      <c r="H45" s="919"/>
      <c r="I45" s="919"/>
      <c r="J45" s="919"/>
      <c r="K45" s="919"/>
      <c r="L45" s="919"/>
      <c r="M45" s="919"/>
      <c r="N45" s="919"/>
      <c r="O45" s="919"/>
      <c r="P45" s="919"/>
      <c r="Q45" s="912"/>
      <c r="R45" s="912"/>
      <c r="S45" s="912"/>
      <c r="T45" s="912"/>
      <c r="U45" s="912"/>
      <c r="V45" s="912"/>
      <c r="W45" s="912"/>
    </row>
    <row r="46" spans="1:23">
      <c r="A46" s="912"/>
      <c r="B46" s="912"/>
      <c r="C46" s="912"/>
      <c r="D46" s="912"/>
      <c r="E46" s="912"/>
      <c r="F46" s="912"/>
      <c r="G46" s="919"/>
      <c r="H46" s="919"/>
      <c r="I46" s="919"/>
      <c r="J46" s="919"/>
      <c r="K46" s="919"/>
      <c r="L46" s="919"/>
      <c r="M46" s="919"/>
      <c r="N46" s="919"/>
      <c r="O46" s="919"/>
      <c r="P46" s="919"/>
      <c r="Q46" s="912"/>
      <c r="R46" s="912"/>
      <c r="S46" s="912"/>
      <c r="T46" s="912"/>
      <c r="U46" s="912"/>
      <c r="V46" s="912"/>
      <c r="W46" s="912"/>
    </row>
    <row r="47" spans="1:23">
      <c r="A47" s="912"/>
      <c r="B47" s="912"/>
      <c r="C47" s="912"/>
      <c r="D47" s="912"/>
      <c r="E47" s="912"/>
      <c r="F47" s="912"/>
      <c r="G47" s="919"/>
      <c r="H47" s="919"/>
      <c r="I47" s="919"/>
      <c r="J47" s="919"/>
      <c r="K47" s="919"/>
      <c r="L47" s="919"/>
      <c r="M47" s="923"/>
      <c r="N47" s="919"/>
      <c r="O47" s="919"/>
      <c r="P47" s="924"/>
      <c r="Q47" s="924"/>
      <c r="R47" s="912"/>
      <c r="S47" s="912"/>
      <c r="T47" s="912"/>
      <c r="U47" s="912"/>
      <c r="V47" s="912"/>
      <c r="W47" s="912"/>
    </row>
    <row r="48" spans="1:23">
      <c r="A48" s="912"/>
      <c r="B48" s="912"/>
      <c r="C48" s="912"/>
      <c r="D48" s="912"/>
      <c r="E48" s="912"/>
      <c r="F48" s="912"/>
      <c r="G48" s="919"/>
      <c r="H48" s="919"/>
      <c r="I48" s="919"/>
      <c r="J48" s="919"/>
      <c r="K48" s="919"/>
      <c r="L48" s="919"/>
      <c r="M48" s="919"/>
      <c r="N48" s="919"/>
      <c r="O48" s="919"/>
      <c r="P48" s="919"/>
      <c r="Q48" s="912"/>
      <c r="R48" s="912"/>
      <c r="S48" s="912"/>
      <c r="T48" s="912"/>
      <c r="U48" s="912"/>
      <c r="V48" s="912"/>
      <c r="W48" s="912"/>
    </row>
    <row r="49" spans="1:25">
      <c r="A49" s="912"/>
      <c r="B49" s="912"/>
      <c r="C49" s="912"/>
      <c r="D49" s="912"/>
      <c r="E49" s="912"/>
      <c r="F49" s="912"/>
      <c r="G49" s="919"/>
      <c r="H49" s="919"/>
      <c r="I49" s="919"/>
      <c r="J49" s="919"/>
      <c r="K49" s="919"/>
      <c r="L49" s="919"/>
      <c r="M49" s="919"/>
      <c r="N49" s="919"/>
      <c r="O49" s="919"/>
      <c r="P49" s="919"/>
      <c r="Q49" s="912"/>
      <c r="R49" s="912"/>
      <c r="S49" s="912"/>
      <c r="T49" s="912"/>
      <c r="U49" s="912"/>
      <c r="V49" s="912"/>
      <c r="W49" s="912"/>
    </row>
    <row r="50" spans="1:25">
      <c r="A50" s="912"/>
      <c r="B50" s="912"/>
      <c r="C50" s="912"/>
      <c r="D50" s="912"/>
      <c r="E50" s="912"/>
      <c r="F50" s="912"/>
      <c r="G50" s="919"/>
      <c r="H50" s="919"/>
      <c r="I50" s="919"/>
      <c r="J50" s="919"/>
      <c r="K50" s="919"/>
      <c r="L50" s="919"/>
      <c r="M50" s="919"/>
      <c r="N50" s="919"/>
      <c r="O50" s="919"/>
      <c r="P50" s="919"/>
      <c r="Q50" s="912"/>
      <c r="R50" s="912"/>
      <c r="S50" s="912"/>
      <c r="T50" s="912"/>
      <c r="U50" s="912"/>
      <c r="V50" s="912"/>
      <c r="W50" s="912"/>
    </row>
    <row r="51" spans="1:25">
      <c r="A51" s="912"/>
      <c r="B51" s="912"/>
      <c r="C51" s="912"/>
      <c r="D51" s="912"/>
      <c r="E51" s="912"/>
      <c r="F51" s="912"/>
      <c r="G51" s="919"/>
      <c r="H51" s="919"/>
      <c r="I51" s="919"/>
      <c r="J51" s="919"/>
      <c r="K51" s="919"/>
      <c r="L51" s="925"/>
      <c r="M51" s="925"/>
      <c r="N51" s="925"/>
      <c r="O51" s="925"/>
      <c r="P51" s="919"/>
      <c r="Q51" s="919"/>
      <c r="R51" s="919"/>
      <c r="S51" s="919"/>
      <c r="T51" s="919"/>
      <c r="U51" s="919"/>
      <c r="V51" s="919"/>
      <c r="W51" s="919"/>
      <c r="X51" s="896"/>
      <c r="Y51" s="896"/>
    </row>
    <row r="52" spans="1:25">
      <c r="A52" s="912"/>
      <c r="B52" s="912"/>
      <c r="C52" s="912"/>
      <c r="D52" s="912"/>
      <c r="E52" s="912"/>
      <c r="F52" s="912"/>
      <c r="G52" s="919"/>
      <c r="H52" s="919"/>
      <c r="I52" s="919"/>
      <c r="J52" s="919"/>
      <c r="K52" s="919"/>
      <c r="L52" s="919"/>
      <c r="M52" s="919"/>
      <c r="N52" s="919"/>
      <c r="O52" s="919"/>
      <c r="P52" s="919"/>
      <c r="Q52" s="919"/>
      <c r="R52" s="919"/>
      <c r="S52" s="919"/>
      <c r="T52" s="919"/>
      <c r="U52" s="919"/>
      <c r="V52" s="919"/>
      <c r="W52" s="919"/>
      <c r="X52" s="896"/>
      <c r="Y52" s="896"/>
    </row>
    <row r="53" spans="1:25">
      <c r="A53" s="912"/>
      <c r="B53" s="912"/>
      <c r="C53" s="912"/>
      <c r="D53" s="912"/>
      <c r="E53" s="912"/>
      <c r="F53" s="912"/>
      <c r="G53" s="919"/>
      <c r="H53" s="919"/>
      <c r="I53" s="919"/>
      <c r="J53" s="919"/>
      <c r="K53" s="919"/>
      <c r="L53" s="919"/>
      <c r="M53" s="919"/>
      <c r="N53" s="919"/>
      <c r="O53" s="919"/>
      <c r="P53" s="912"/>
      <c r="Q53" s="912"/>
      <c r="R53" s="912"/>
      <c r="S53" s="912"/>
      <c r="T53" s="912"/>
      <c r="U53" s="912"/>
      <c r="V53" s="912"/>
      <c r="W53" s="912"/>
    </row>
    <row r="54" spans="1:25" ht="8.25" customHeight="1">
      <c r="A54" s="912"/>
      <c r="B54" s="912"/>
      <c r="C54" s="912"/>
      <c r="D54" s="912"/>
      <c r="E54" s="912"/>
      <c r="F54" s="912"/>
      <c r="G54" s="912"/>
      <c r="H54" s="912"/>
      <c r="I54" s="912"/>
      <c r="J54" s="912"/>
      <c r="K54" s="912"/>
      <c r="L54" s="912"/>
      <c r="M54" s="912"/>
      <c r="N54" s="912"/>
      <c r="O54" s="912"/>
      <c r="P54" s="912"/>
      <c r="Q54" s="912"/>
      <c r="R54" s="912"/>
      <c r="S54" s="912"/>
      <c r="T54" s="912"/>
      <c r="U54" s="912"/>
      <c r="V54" s="912"/>
      <c r="W54" s="912"/>
    </row>
    <row r="55" spans="1:25" ht="6.75" customHeight="1">
      <c r="A55" s="912"/>
      <c r="B55" s="912"/>
      <c r="C55" s="912"/>
      <c r="D55" s="912"/>
      <c r="E55" s="912"/>
      <c r="F55" s="912"/>
      <c r="G55" s="912"/>
      <c r="H55" s="912"/>
      <c r="I55" s="912"/>
      <c r="J55" s="912"/>
      <c r="K55" s="912"/>
      <c r="L55" s="912"/>
      <c r="M55" s="912"/>
      <c r="N55" s="912"/>
      <c r="O55" s="912"/>
      <c r="P55" s="912"/>
      <c r="Q55" s="912"/>
      <c r="R55" s="912"/>
      <c r="S55" s="912"/>
      <c r="T55" s="912"/>
      <c r="U55" s="912"/>
      <c r="V55" s="912"/>
      <c r="W55" s="912"/>
    </row>
  </sheetData>
  <sheetProtection algorithmName="SHA-512" hashValue="F63Ni21kMIg94mnuQ1jD8Q8C61JjuIgrabRFY/Kvt9jszAwuatPsES9+MD3S+uylE1v9qwOBrCbsVj7I/ivKiQ==" saltValue="eQCn0mdcTof4qmgd83kJ4g==" spinCount="100000" sheet="1" objects="1" scenarios="1"/>
  <mergeCells count="1">
    <mergeCell ref="L6:Q6"/>
  </mergeCells>
  <printOptions horizontalCentered="1" verticalCentered="1"/>
  <pageMargins left="0" right="0" top="0" bottom="0" header="0" footer="0"/>
  <pageSetup paperSize="9" scale="75" fitToWidth="0" fitToHeight="0"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288769" r:id="rId4" name="Drop Down 1">
              <controlPr defaultSize="0" autoLine="0" autoPict="0">
                <anchor moveWithCells="1">
                  <from>
                    <xdr:col>3</xdr:col>
                    <xdr:colOff>9525</xdr:colOff>
                    <xdr:row>24</xdr:row>
                    <xdr:rowOff>152400</xdr:rowOff>
                  </from>
                  <to>
                    <xdr:col>4</xdr:col>
                    <xdr:colOff>190500</xdr:colOff>
                    <xdr:row>25</xdr:row>
                    <xdr:rowOff>161925</xdr:rowOff>
                  </to>
                </anchor>
              </controlPr>
            </control>
          </mc:Choice>
        </mc:AlternateContent>
        <mc:AlternateContent xmlns:mc="http://schemas.openxmlformats.org/markup-compatibility/2006">
          <mc:Choice Requires="x14">
            <control shapeId="288770" r:id="rId5" name="Drop Down 2">
              <controlPr defaultSize="0" autoLine="0" autoPict="0">
                <anchor moveWithCells="1">
                  <from>
                    <xdr:col>11</xdr:col>
                    <xdr:colOff>19050</xdr:colOff>
                    <xdr:row>24</xdr:row>
                    <xdr:rowOff>123825</xdr:rowOff>
                  </from>
                  <to>
                    <xdr:col>12</xdr:col>
                    <xdr:colOff>295275</xdr:colOff>
                    <xdr:row>25</xdr:row>
                    <xdr:rowOff>133350</xdr:rowOff>
                  </to>
                </anchor>
              </controlPr>
            </control>
          </mc:Choice>
        </mc:AlternateContent>
        <mc:AlternateContent xmlns:mc="http://schemas.openxmlformats.org/markup-compatibility/2006">
          <mc:Choice Requires="x14">
            <control shapeId="288771" r:id="rId6" name="Drop Down 3">
              <controlPr defaultSize="0" autoLine="0" autoPict="0">
                <anchor moveWithCells="1">
                  <from>
                    <xdr:col>19</xdr:col>
                    <xdr:colOff>28575</xdr:colOff>
                    <xdr:row>24</xdr:row>
                    <xdr:rowOff>152400</xdr:rowOff>
                  </from>
                  <to>
                    <xdr:col>20</xdr:col>
                    <xdr:colOff>190500</xdr:colOff>
                    <xdr:row>25</xdr:row>
                    <xdr:rowOff>142875</xdr:rowOff>
                  </to>
                </anchor>
              </controlPr>
            </control>
          </mc:Choice>
        </mc:AlternateContent>
        <mc:AlternateContent xmlns:mc="http://schemas.openxmlformats.org/markup-compatibility/2006">
          <mc:Choice Requires="x14">
            <control shapeId="288772" r:id="rId7" name="Drop Down 4">
              <controlPr defaultSize="0" autoLine="0" autoPict="0">
                <anchor moveWithCells="1">
                  <from>
                    <xdr:col>3</xdr:col>
                    <xdr:colOff>295275</xdr:colOff>
                    <xdr:row>2</xdr:row>
                    <xdr:rowOff>171450</xdr:rowOff>
                  </from>
                  <to>
                    <xdr:col>5</xdr:col>
                    <xdr:colOff>495300</xdr:colOff>
                    <xdr:row>3</xdr:row>
                    <xdr:rowOff>180975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3F6BB-065D-4B17-81F9-5FA91E5FEA1E}">
  <sheetPr>
    <tabColor rgb="FFDBA9B3"/>
    <pageSetUpPr fitToPage="1"/>
  </sheetPr>
  <dimension ref="A1:X87"/>
  <sheetViews>
    <sheetView showGridLines="0" workbookViewId="0">
      <selection activeCell="Y70" sqref="Y70"/>
    </sheetView>
  </sheetViews>
  <sheetFormatPr defaultColWidth="9.140625" defaultRowHeight="11.25"/>
  <cols>
    <col min="1" max="1" width="3" style="614" customWidth="1"/>
    <col min="2" max="2" width="44.42578125" style="615" customWidth="1"/>
    <col min="3" max="13" width="7.7109375" style="596" customWidth="1"/>
    <col min="14" max="24" width="9.140625" style="576"/>
    <col min="25" max="16384" width="9.140625" style="596"/>
  </cols>
  <sheetData>
    <row r="1" spans="1:24" s="593" customFormat="1" ht="23.1" customHeight="1">
      <c r="A1" s="989" t="s">
        <v>582</v>
      </c>
      <c r="B1" s="989"/>
      <c r="C1" s="989"/>
      <c r="D1" s="989"/>
      <c r="E1" s="989"/>
      <c r="F1" s="989"/>
      <c r="G1" s="989"/>
      <c r="H1" s="989"/>
      <c r="I1" s="989"/>
      <c r="J1" s="989"/>
      <c r="K1" s="989"/>
      <c r="L1" s="989"/>
      <c r="M1" s="989"/>
      <c r="N1" s="573"/>
      <c r="O1" s="573"/>
      <c r="P1" s="573"/>
      <c r="Q1" s="573"/>
      <c r="R1" s="573"/>
      <c r="S1" s="573"/>
      <c r="T1" s="573"/>
      <c r="U1" s="573"/>
      <c r="V1" s="573"/>
      <c r="W1" s="573"/>
      <c r="X1" s="573"/>
    </row>
    <row r="2" spans="1:24" ht="9.6" customHeight="1">
      <c r="A2" s="594"/>
      <c r="B2" s="595"/>
      <c r="C2" s="595"/>
      <c r="D2" s="595"/>
      <c r="E2" s="595"/>
      <c r="F2" s="595"/>
      <c r="G2" s="595"/>
      <c r="H2" s="595"/>
      <c r="I2" s="595"/>
      <c r="J2" s="595"/>
      <c r="K2" s="595"/>
      <c r="L2" s="595"/>
      <c r="M2" s="595"/>
    </row>
    <row r="3" spans="1:24" s="115" customFormat="1" ht="15" customHeight="1">
      <c r="A3" s="597" t="s">
        <v>41</v>
      </c>
      <c r="B3" s="598"/>
      <c r="C3" s="29"/>
      <c r="D3" s="29"/>
      <c r="E3" s="29"/>
      <c r="F3" s="29"/>
      <c r="G3" s="29"/>
      <c r="H3" s="29"/>
      <c r="I3" s="29"/>
      <c r="J3" s="29"/>
      <c r="K3" s="29"/>
      <c r="L3" s="29"/>
      <c r="M3" s="29"/>
      <c r="N3" s="2"/>
      <c r="O3" s="2"/>
      <c r="P3" s="2"/>
      <c r="Q3" s="2"/>
      <c r="R3" s="2"/>
      <c r="S3" s="2"/>
      <c r="T3" s="2"/>
      <c r="U3" s="2"/>
      <c r="V3" s="2"/>
      <c r="W3" s="2"/>
      <c r="X3" s="2"/>
    </row>
    <row r="4" spans="1:24" s="115" customFormat="1" ht="22.5" customHeight="1" thickBot="1">
      <c r="A4" s="104" t="s">
        <v>583</v>
      </c>
      <c r="B4" s="599"/>
      <c r="C4" s="200">
        <v>2014</v>
      </c>
      <c r="D4" s="200">
        <v>2015</v>
      </c>
      <c r="E4" s="200">
        <v>2016</v>
      </c>
      <c r="F4" s="200">
        <v>2017</v>
      </c>
      <c r="G4" s="200">
        <v>2018</v>
      </c>
      <c r="H4" s="200">
        <v>2019</v>
      </c>
      <c r="I4" s="200">
        <v>2020</v>
      </c>
      <c r="J4" s="200">
        <v>2021</v>
      </c>
      <c r="K4" s="200">
        <v>2022</v>
      </c>
      <c r="L4" s="200">
        <v>2023</v>
      </c>
      <c r="M4" s="200">
        <v>2024</v>
      </c>
      <c r="N4" s="2">
        <f>+C4</f>
        <v>2014</v>
      </c>
      <c r="O4" s="2">
        <f t="shared" ref="O4:W4" si="0">+D4</f>
        <v>2015</v>
      </c>
      <c r="P4" s="2">
        <f t="shared" si="0"/>
        <v>2016</v>
      </c>
      <c r="Q4" s="2">
        <f t="shared" si="0"/>
        <v>2017</v>
      </c>
      <c r="R4" s="2">
        <f t="shared" si="0"/>
        <v>2018</v>
      </c>
      <c r="S4" s="2">
        <f t="shared" si="0"/>
        <v>2019</v>
      </c>
      <c r="T4" s="2">
        <f t="shared" si="0"/>
        <v>2020</v>
      </c>
      <c r="U4" s="2">
        <f t="shared" si="0"/>
        <v>2021</v>
      </c>
      <c r="V4" s="2">
        <f t="shared" si="0"/>
        <v>2022</v>
      </c>
      <c r="W4" s="2">
        <f t="shared" si="0"/>
        <v>2023</v>
      </c>
      <c r="X4" s="2">
        <f>+M4</f>
        <v>2024</v>
      </c>
    </row>
    <row r="5" spans="1:24" s="115" customFormat="1" ht="24" customHeight="1" thickTop="1">
      <c r="A5" s="600"/>
      <c r="B5" s="601" t="s">
        <v>11</v>
      </c>
      <c r="C5" s="602">
        <v>2458163</v>
      </c>
      <c r="D5" s="602">
        <v>2537653</v>
      </c>
      <c r="E5" s="602">
        <v>2641919</v>
      </c>
      <c r="F5" s="602">
        <v>2767521</v>
      </c>
      <c r="G5" s="602">
        <v>2877918</v>
      </c>
      <c r="H5" s="602">
        <v>2930482</v>
      </c>
      <c r="I5" s="602">
        <v>2902825</v>
      </c>
      <c r="J5" s="602">
        <v>2922343</v>
      </c>
      <c r="K5" s="602">
        <v>3148147</v>
      </c>
      <c r="L5" s="602">
        <v>3296134</v>
      </c>
      <c r="M5" s="602">
        <v>3354136</v>
      </c>
      <c r="N5" s="657">
        <f>+C5*100/C$5</f>
        <v>100</v>
      </c>
      <c r="O5" s="657">
        <f t="shared" ref="O5:X20" si="1">+D5*100/D$5</f>
        <v>100</v>
      </c>
      <c r="P5" s="657">
        <f t="shared" si="1"/>
        <v>100</v>
      </c>
      <c r="Q5" s="657">
        <f t="shared" si="1"/>
        <v>100</v>
      </c>
      <c r="R5" s="657">
        <f t="shared" si="1"/>
        <v>100</v>
      </c>
      <c r="S5" s="657">
        <f t="shared" si="1"/>
        <v>100</v>
      </c>
      <c r="T5" s="657">
        <f t="shared" si="1"/>
        <v>100</v>
      </c>
      <c r="U5" s="657">
        <f t="shared" si="1"/>
        <v>100</v>
      </c>
      <c r="V5" s="657">
        <f t="shared" si="1"/>
        <v>100</v>
      </c>
      <c r="W5" s="657">
        <f t="shared" si="1"/>
        <v>100</v>
      </c>
      <c r="X5" s="657">
        <f t="shared" si="1"/>
        <v>100</v>
      </c>
    </row>
    <row r="6" spans="1:24" s="115" customFormat="1" ht="24" customHeight="1">
      <c r="A6" s="600">
        <v>1</v>
      </c>
      <c r="B6" s="603" t="s">
        <v>584</v>
      </c>
      <c r="C6" s="5">
        <v>102919</v>
      </c>
      <c r="D6" s="5">
        <v>102237</v>
      </c>
      <c r="E6" s="5">
        <v>102101</v>
      </c>
      <c r="F6" s="5">
        <v>103477</v>
      </c>
      <c r="G6" s="5">
        <v>103469</v>
      </c>
      <c r="H6" s="5">
        <v>102017</v>
      </c>
      <c r="I6" s="5">
        <v>103372</v>
      </c>
      <c r="J6" s="5">
        <v>101914</v>
      </c>
      <c r="K6" s="5">
        <v>108618</v>
      </c>
      <c r="L6" s="5">
        <v>112926</v>
      </c>
      <c r="M6" s="5">
        <v>114787</v>
      </c>
      <c r="N6" s="657">
        <f t="shared" ref="N6:X42" si="2">+C6*100/C$5</f>
        <v>4.1868256905664918</v>
      </c>
      <c r="O6" s="657">
        <f t="shared" si="1"/>
        <v>4.0288014161116594</v>
      </c>
      <c r="P6" s="657">
        <f t="shared" si="1"/>
        <v>3.864652928420591</v>
      </c>
      <c r="Q6" s="657">
        <f t="shared" si="1"/>
        <v>3.738977951748153</v>
      </c>
      <c r="R6" s="657">
        <f t="shared" si="1"/>
        <v>3.5952726936625714</v>
      </c>
      <c r="S6" s="657">
        <f t="shared" si="1"/>
        <v>3.4812361925444346</v>
      </c>
      <c r="T6" s="657">
        <f t="shared" si="1"/>
        <v>3.5610827383669355</v>
      </c>
      <c r="U6" s="657">
        <f t="shared" si="1"/>
        <v>3.4874071934745512</v>
      </c>
      <c r="V6" s="657">
        <f t="shared" si="1"/>
        <v>3.4502200818449711</v>
      </c>
      <c r="W6" s="657">
        <f t="shared" si="1"/>
        <v>3.4260136268731793</v>
      </c>
      <c r="X6" s="657">
        <f t="shared" si="1"/>
        <v>3.4222524071772882</v>
      </c>
    </row>
    <row r="7" spans="1:24" s="115" customFormat="1" ht="21" customHeight="1">
      <c r="A7" s="604">
        <v>11</v>
      </c>
      <c r="B7" s="605" t="s">
        <v>585</v>
      </c>
      <c r="C7" s="606">
        <v>14566</v>
      </c>
      <c r="D7" s="606">
        <v>14586</v>
      </c>
      <c r="E7" s="606">
        <v>14773</v>
      </c>
      <c r="F7" s="606">
        <v>15327</v>
      </c>
      <c r="G7" s="606">
        <v>15542</v>
      </c>
      <c r="H7" s="606">
        <v>15291</v>
      </c>
      <c r="I7" s="606">
        <v>15291</v>
      </c>
      <c r="J7" s="606">
        <v>15593</v>
      </c>
      <c r="K7" s="606">
        <v>16594</v>
      </c>
      <c r="L7" s="606">
        <v>17071</v>
      </c>
      <c r="M7" s="606">
        <v>17579</v>
      </c>
      <c r="N7" s="559">
        <f t="shared" si="2"/>
        <v>0.59255631135933617</v>
      </c>
      <c r="O7" s="559">
        <f t="shared" si="1"/>
        <v>0.57478307711889687</v>
      </c>
      <c r="P7" s="559">
        <f t="shared" si="1"/>
        <v>0.55917687105471436</v>
      </c>
      <c r="Q7" s="559">
        <f t="shared" si="1"/>
        <v>0.5538169358064492</v>
      </c>
      <c r="R7" s="559">
        <f t="shared" si="1"/>
        <v>0.54004318399620832</v>
      </c>
      <c r="S7" s="559">
        <f t="shared" si="1"/>
        <v>0.52179129576636196</v>
      </c>
      <c r="T7" s="559">
        <f t="shared" si="1"/>
        <v>0.52676272252030354</v>
      </c>
      <c r="U7" s="559">
        <f t="shared" si="1"/>
        <v>0.53357870722225287</v>
      </c>
      <c r="V7" s="559">
        <f t="shared" si="1"/>
        <v>0.52710372164959263</v>
      </c>
      <c r="W7" s="559">
        <f t="shared" si="1"/>
        <v>0.51790976944505285</v>
      </c>
      <c r="X7" s="559">
        <f t="shared" si="1"/>
        <v>0.52409920170201807</v>
      </c>
    </row>
    <row r="8" spans="1:24" s="115" customFormat="1" ht="12.75" customHeight="1">
      <c r="A8" s="604">
        <v>12</v>
      </c>
      <c r="B8" s="605" t="s">
        <v>586</v>
      </c>
      <c r="C8" s="606">
        <v>34362</v>
      </c>
      <c r="D8" s="606">
        <v>34158</v>
      </c>
      <c r="E8" s="606">
        <v>34318</v>
      </c>
      <c r="F8" s="606">
        <v>35282</v>
      </c>
      <c r="G8" s="606">
        <v>34806</v>
      </c>
      <c r="H8" s="606">
        <v>34200</v>
      </c>
      <c r="I8" s="606">
        <v>35160</v>
      </c>
      <c r="J8" s="606">
        <v>34365</v>
      </c>
      <c r="K8" s="606">
        <v>36390</v>
      </c>
      <c r="L8" s="606">
        <v>37296</v>
      </c>
      <c r="M8" s="606">
        <v>38135</v>
      </c>
      <c r="N8" s="559">
        <f t="shared" si="2"/>
        <v>1.3978731272092209</v>
      </c>
      <c r="O8" s="559">
        <f t="shared" si="1"/>
        <v>1.3460469181562649</v>
      </c>
      <c r="P8" s="559">
        <f t="shared" si="1"/>
        <v>1.298980021719061</v>
      </c>
      <c r="Q8" s="559">
        <f t="shared" si="1"/>
        <v>1.2748593416273988</v>
      </c>
      <c r="R8" s="559">
        <f t="shared" si="1"/>
        <v>1.2094159736309373</v>
      </c>
      <c r="S8" s="559">
        <f t="shared" si="1"/>
        <v>1.1670435102484846</v>
      </c>
      <c r="T8" s="559">
        <f t="shared" si="1"/>
        <v>1.2112338842334622</v>
      </c>
      <c r="U8" s="559">
        <f t="shared" si="1"/>
        <v>1.1759399906171177</v>
      </c>
      <c r="V8" s="559">
        <f t="shared" si="1"/>
        <v>1.1559180686289428</v>
      </c>
      <c r="W8" s="559">
        <f t="shared" si="1"/>
        <v>1.1315073962405655</v>
      </c>
      <c r="X8" s="559">
        <f t="shared" si="1"/>
        <v>1.1369544943914021</v>
      </c>
    </row>
    <row r="9" spans="1:24" s="115" customFormat="1" ht="12.75" customHeight="1">
      <c r="A9" s="604">
        <v>13</v>
      </c>
      <c r="B9" s="605" t="s">
        <v>587</v>
      </c>
      <c r="C9" s="606">
        <v>25339</v>
      </c>
      <c r="D9" s="606">
        <v>24936</v>
      </c>
      <c r="E9" s="606">
        <v>25216</v>
      </c>
      <c r="F9" s="606">
        <v>24949</v>
      </c>
      <c r="G9" s="606">
        <v>25104</v>
      </c>
      <c r="H9" s="606">
        <v>24498</v>
      </c>
      <c r="I9" s="606">
        <v>25721</v>
      </c>
      <c r="J9" s="606">
        <v>25535</v>
      </c>
      <c r="K9" s="606">
        <v>26924</v>
      </c>
      <c r="L9" s="606">
        <v>27936</v>
      </c>
      <c r="M9" s="606">
        <v>28687</v>
      </c>
      <c r="N9" s="559">
        <f t="shared" si="2"/>
        <v>1.030810405982028</v>
      </c>
      <c r="O9" s="559">
        <f t="shared" si="1"/>
        <v>0.98264025853810588</v>
      </c>
      <c r="P9" s="559">
        <f t="shared" si="1"/>
        <v>0.95445772561535758</v>
      </c>
      <c r="Q9" s="559">
        <f t="shared" si="1"/>
        <v>0.90149270773374435</v>
      </c>
      <c r="R9" s="559">
        <f t="shared" si="1"/>
        <v>0.87229726489774895</v>
      </c>
      <c r="S9" s="559">
        <f t="shared" si="1"/>
        <v>0.83597169339378297</v>
      </c>
      <c r="T9" s="559">
        <f t="shared" si="1"/>
        <v>0.88606788214928556</v>
      </c>
      <c r="U9" s="559">
        <f t="shared" si="1"/>
        <v>0.87378517853653725</v>
      </c>
      <c r="V9" s="559">
        <f t="shared" si="1"/>
        <v>0.85523325308506881</v>
      </c>
      <c r="W9" s="559">
        <f t="shared" si="1"/>
        <v>0.84753835857401427</v>
      </c>
      <c r="X9" s="559">
        <f t="shared" si="1"/>
        <v>0.8552724159068088</v>
      </c>
    </row>
    <row r="10" spans="1:24" s="115" customFormat="1" ht="16.5" customHeight="1">
      <c r="A10" s="604">
        <v>14</v>
      </c>
      <c r="B10" s="605" t="s">
        <v>588</v>
      </c>
      <c r="C10" s="606">
        <v>28652</v>
      </c>
      <c r="D10" s="606">
        <v>28557</v>
      </c>
      <c r="E10" s="606">
        <v>27794</v>
      </c>
      <c r="F10" s="606">
        <v>27919</v>
      </c>
      <c r="G10" s="606">
        <v>28017</v>
      </c>
      <c r="H10" s="606">
        <v>28028</v>
      </c>
      <c r="I10" s="606">
        <v>27200</v>
      </c>
      <c r="J10" s="606">
        <v>26421</v>
      </c>
      <c r="K10" s="606">
        <v>28710</v>
      </c>
      <c r="L10" s="606">
        <v>30623</v>
      </c>
      <c r="M10" s="606">
        <v>30386</v>
      </c>
      <c r="N10" s="559">
        <f t="shared" si="2"/>
        <v>1.165585846015907</v>
      </c>
      <c r="O10" s="559">
        <f t="shared" si="1"/>
        <v>1.1253311622983915</v>
      </c>
      <c r="P10" s="559">
        <f t="shared" si="1"/>
        <v>1.0520383100314581</v>
      </c>
      <c r="Q10" s="559">
        <f t="shared" si="1"/>
        <v>1.0088089665805606</v>
      </c>
      <c r="R10" s="559">
        <f t="shared" si="1"/>
        <v>0.97351627113767658</v>
      </c>
      <c r="S10" s="559">
        <f t="shared" si="1"/>
        <v>0.95642969313580495</v>
      </c>
      <c r="T10" s="559">
        <f t="shared" si="1"/>
        <v>0.93701824946388435</v>
      </c>
      <c r="U10" s="559">
        <f t="shared" si="1"/>
        <v>0.90410331709864311</v>
      </c>
      <c r="V10" s="559">
        <f t="shared" si="1"/>
        <v>0.91196503848136701</v>
      </c>
      <c r="W10" s="559">
        <f t="shared" si="1"/>
        <v>0.92905810261354671</v>
      </c>
      <c r="X10" s="559">
        <f t="shared" si="1"/>
        <v>0.90592629517705903</v>
      </c>
    </row>
    <row r="11" spans="1:24" s="395" customFormat="1" ht="12.75" customHeight="1">
      <c r="A11" s="607">
        <v>2</v>
      </c>
      <c r="B11" s="608" t="s">
        <v>589</v>
      </c>
      <c r="C11" s="5">
        <v>257358</v>
      </c>
      <c r="D11" s="5">
        <v>268541</v>
      </c>
      <c r="E11" s="5">
        <v>279378</v>
      </c>
      <c r="F11" s="5">
        <v>293235</v>
      </c>
      <c r="G11" s="5">
        <v>314401</v>
      </c>
      <c r="H11" s="5">
        <v>332396</v>
      </c>
      <c r="I11" s="5">
        <v>345330</v>
      </c>
      <c r="J11" s="5">
        <v>358638</v>
      </c>
      <c r="K11" s="5">
        <v>394102</v>
      </c>
      <c r="L11" s="5">
        <v>416579</v>
      </c>
      <c r="M11" s="5">
        <v>441951</v>
      </c>
      <c r="N11" s="657">
        <f t="shared" si="2"/>
        <v>10.469525413896475</v>
      </c>
      <c r="O11" s="657">
        <f t="shared" si="1"/>
        <v>10.582258488453702</v>
      </c>
      <c r="P11" s="657">
        <f t="shared" si="1"/>
        <v>10.574813232351181</v>
      </c>
      <c r="Q11" s="657">
        <f t="shared" si="1"/>
        <v>10.595583556547538</v>
      </c>
      <c r="R11" s="657">
        <f t="shared" si="1"/>
        <v>10.924598963556294</v>
      </c>
      <c r="S11" s="657">
        <f t="shared" si="1"/>
        <v>11.342707445396355</v>
      </c>
      <c r="T11" s="657">
        <f t="shared" si="1"/>
        <v>11.896342356153058</v>
      </c>
      <c r="U11" s="657">
        <f t="shared" si="1"/>
        <v>12.272276046993799</v>
      </c>
      <c r="V11" s="657">
        <f t="shared" si="1"/>
        <v>12.518538683231755</v>
      </c>
      <c r="W11" s="657">
        <f t="shared" si="1"/>
        <v>12.638412151933144</v>
      </c>
      <c r="X11" s="657">
        <f t="shared" si="1"/>
        <v>13.176299351010215</v>
      </c>
    </row>
    <row r="12" spans="1:24" s="115" customFormat="1" ht="23.25" customHeight="1">
      <c r="A12" s="609">
        <v>21</v>
      </c>
      <c r="B12" s="605" t="s">
        <v>590</v>
      </c>
      <c r="C12" s="606">
        <v>53936</v>
      </c>
      <c r="D12" s="606">
        <v>57203</v>
      </c>
      <c r="E12" s="606">
        <v>58756</v>
      </c>
      <c r="F12" s="606">
        <v>61272</v>
      </c>
      <c r="G12" s="606">
        <v>65788</v>
      </c>
      <c r="H12" s="606">
        <v>70069</v>
      </c>
      <c r="I12" s="606">
        <v>71824</v>
      </c>
      <c r="J12" s="606">
        <v>73837</v>
      </c>
      <c r="K12" s="606">
        <v>81649</v>
      </c>
      <c r="L12" s="606">
        <v>85228</v>
      </c>
      <c r="M12" s="606">
        <v>89683</v>
      </c>
      <c r="N12" s="559">
        <f t="shared" si="2"/>
        <v>2.1941588088340764</v>
      </c>
      <c r="O12" s="559">
        <f t="shared" si="1"/>
        <v>2.2541695022920787</v>
      </c>
      <c r="P12" s="559">
        <f t="shared" si="1"/>
        <v>2.2239894561491096</v>
      </c>
      <c r="Q12" s="559">
        <f t="shared" si="1"/>
        <v>2.2139669400882593</v>
      </c>
      <c r="R12" s="559">
        <f t="shared" si="1"/>
        <v>2.2859581127745821</v>
      </c>
      <c r="S12" s="559">
        <f t="shared" si="1"/>
        <v>2.3910401087602655</v>
      </c>
      <c r="T12" s="559">
        <f t="shared" si="1"/>
        <v>2.4742793657902218</v>
      </c>
      <c r="U12" s="559">
        <f t="shared" si="1"/>
        <v>2.5266370169415433</v>
      </c>
      <c r="V12" s="559">
        <f t="shared" si="1"/>
        <v>2.5935574164738813</v>
      </c>
      <c r="W12" s="559">
        <f t="shared" si="1"/>
        <v>2.5856958485304298</v>
      </c>
      <c r="X12" s="559">
        <f t="shared" si="1"/>
        <v>2.6738033281894356</v>
      </c>
    </row>
    <row r="13" spans="1:24" s="115" customFormat="1" ht="12.75" customHeight="1">
      <c r="A13" s="609">
        <v>22</v>
      </c>
      <c r="B13" s="605" t="s">
        <v>591</v>
      </c>
      <c r="C13" s="606">
        <v>44788</v>
      </c>
      <c r="D13" s="606">
        <v>49436</v>
      </c>
      <c r="E13" s="606">
        <v>53612</v>
      </c>
      <c r="F13" s="606">
        <v>57092</v>
      </c>
      <c r="G13" s="606">
        <v>60819</v>
      </c>
      <c r="H13" s="606">
        <v>64767</v>
      </c>
      <c r="I13" s="606">
        <v>68337</v>
      </c>
      <c r="J13" s="606">
        <v>71562</v>
      </c>
      <c r="K13" s="606">
        <v>74125</v>
      </c>
      <c r="L13" s="606">
        <v>77078</v>
      </c>
      <c r="M13" s="606">
        <v>81063</v>
      </c>
      <c r="N13" s="559">
        <f t="shared" si="2"/>
        <v>1.8220109895072052</v>
      </c>
      <c r="O13" s="559">
        <f t="shared" si="1"/>
        <v>1.9480992870183591</v>
      </c>
      <c r="P13" s="559">
        <f t="shared" si="1"/>
        <v>2.0292825026051138</v>
      </c>
      <c r="Q13" s="559">
        <f t="shared" si="1"/>
        <v>2.0629292424519994</v>
      </c>
      <c r="R13" s="559">
        <f t="shared" si="1"/>
        <v>2.113298572092742</v>
      </c>
      <c r="S13" s="559">
        <f t="shared" si="1"/>
        <v>2.2101142405925032</v>
      </c>
      <c r="T13" s="559">
        <f t="shared" si="1"/>
        <v>2.3541550041769654</v>
      </c>
      <c r="U13" s="559">
        <f t="shared" si="1"/>
        <v>2.4487885234553235</v>
      </c>
      <c r="V13" s="559">
        <f t="shared" si="1"/>
        <v>2.3545596822511783</v>
      </c>
      <c r="W13" s="559">
        <f t="shared" si="1"/>
        <v>2.3384364834682083</v>
      </c>
      <c r="X13" s="559">
        <f t="shared" si="1"/>
        <v>2.4168071896905792</v>
      </c>
    </row>
    <row r="14" spans="1:24" s="115" customFormat="1" ht="12.75" customHeight="1">
      <c r="A14" s="609">
        <v>23</v>
      </c>
      <c r="B14" s="605" t="s">
        <v>592</v>
      </c>
      <c r="C14" s="606">
        <v>37921</v>
      </c>
      <c r="D14" s="606">
        <v>37898</v>
      </c>
      <c r="E14" s="606">
        <v>37561</v>
      </c>
      <c r="F14" s="606">
        <v>36741</v>
      </c>
      <c r="G14" s="606">
        <v>37838</v>
      </c>
      <c r="H14" s="606">
        <v>38064</v>
      </c>
      <c r="I14" s="606">
        <v>38061</v>
      </c>
      <c r="J14" s="606">
        <v>37418</v>
      </c>
      <c r="K14" s="606">
        <v>39217</v>
      </c>
      <c r="L14" s="606">
        <v>41141</v>
      </c>
      <c r="M14" s="606">
        <v>41395</v>
      </c>
      <c r="N14" s="559">
        <f t="shared" si="2"/>
        <v>1.5426560403032672</v>
      </c>
      <c r="O14" s="559">
        <f t="shared" si="1"/>
        <v>1.4934271943405975</v>
      </c>
      <c r="P14" s="559">
        <f t="shared" si="1"/>
        <v>1.4217317033565375</v>
      </c>
      <c r="Q14" s="559">
        <f t="shared" si="1"/>
        <v>1.3275780021181411</v>
      </c>
      <c r="R14" s="559">
        <f t="shared" si="1"/>
        <v>1.3147699135277655</v>
      </c>
      <c r="S14" s="559">
        <f t="shared" si="1"/>
        <v>1.2988989524590153</v>
      </c>
      <c r="T14" s="559">
        <f t="shared" si="1"/>
        <v>1.3111710144428272</v>
      </c>
      <c r="U14" s="559">
        <f t="shared" si="1"/>
        <v>1.280410957919724</v>
      </c>
      <c r="V14" s="559">
        <f t="shared" si="1"/>
        <v>1.2457169249085256</v>
      </c>
      <c r="W14" s="559">
        <f t="shared" si="1"/>
        <v>1.2481592071196135</v>
      </c>
      <c r="X14" s="559">
        <f t="shared" si="1"/>
        <v>1.2341479296009463</v>
      </c>
    </row>
    <row r="15" spans="1:24" s="115" customFormat="1" ht="20.25" customHeight="1">
      <c r="A15" s="609">
        <v>24</v>
      </c>
      <c r="B15" s="605" t="s">
        <v>593</v>
      </c>
      <c r="C15" s="606">
        <v>60284</v>
      </c>
      <c r="D15" s="606">
        <v>62197</v>
      </c>
      <c r="E15" s="606">
        <v>64163</v>
      </c>
      <c r="F15" s="606">
        <v>69115</v>
      </c>
      <c r="G15" s="606">
        <v>73962</v>
      </c>
      <c r="H15" s="606">
        <v>77524</v>
      </c>
      <c r="I15" s="606">
        <v>79819</v>
      </c>
      <c r="J15" s="606">
        <v>81725</v>
      </c>
      <c r="K15" s="606">
        <v>91927</v>
      </c>
      <c r="L15" s="606">
        <v>100382</v>
      </c>
      <c r="M15" s="606">
        <v>107376</v>
      </c>
      <c r="N15" s="559">
        <f t="shared" si="2"/>
        <v>2.4524004307281495</v>
      </c>
      <c r="O15" s="559">
        <f t="shared" si="1"/>
        <v>2.4509655181382168</v>
      </c>
      <c r="P15" s="559">
        <f t="shared" si="1"/>
        <v>2.4286512947596046</v>
      </c>
      <c r="Q15" s="559">
        <f t="shared" si="1"/>
        <v>2.4973613569689261</v>
      </c>
      <c r="R15" s="559">
        <f t="shared" si="1"/>
        <v>2.5699828834595011</v>
      </c>
      <c r="S15" s="559">
        <f t="shared" si="1"/>
        <v>2.645435119546887</v>
      </c>
      <c r="T15" s="559">
        <f t="shared" si="1"/>
        <v>2.7497007225719772</v>
      </c>
      <c r="U15" s="559">
        <f t="shared" si="1"/>
        <v>2.7965574198511263</v>
      </c>
      <c r="V15" s="559">
        <f t="shared" si="1"/>
        <v>2.9200351826010666</v>
      </c>
      <c r="W15" s="559">
        <f t="shared" si="1"/>
        <v>3.0454465746841604</v>
      </c>
      <c r="X15" s="559">
        <f t="shared" si="1"/>
        <v>3.2013013187300694</v>
      </c>
    </row>
    <row r="16" spans="1:24" s="115" customFormat="1" ht="24" customHeight="1">
      <c r="A16" s="609">
        <v>25</v>
      </c>
      <c r="B16" s="605" t="s">
        <v>594</v>
      </c>
      <c r="C16" s="606">
        <v>33107</v>
      </c>
      <c r="D16" s="606">
        <v>34612</v>
      </c>
      <c r="E16" s="606">
        <v>37200</v>
      </c>
      <c r="F16" s="606">
        <v>41013</v>
      </c>
      <c r="G16" s="606">
        <v>46836</v>
      </c>
      <c r="H16" s="606">
        <v>52225</v>
      </c>
      <c r="I16" s="606">
        <v>57060</v>
      </c>
      <c r="J16" s="606">
        <v>62968</v>
      </c>
      <c r="K16" s="606">
        <v>74050</v>
      </c>
      <c r="L16" s="606">
        <v>78822</v>
      </c>
      <c r="M16" s="606">
        <v>87734</v>
      </c>
      <c r="N16" s="559">
        <f t="shared" si="2"/>
        <v>1.3468187422884488</v>
      </c>
      <c r="O16" s="559">
        <f t="shared" si="1"/>
        <v>1.3639374650513683</v>
      </c>
      <c r="P16" s="559">
        <f t="shared" si="1"/>
        <v>1.4080673934363619</v>
      </c>
      <c r="Q16" s="559">
        <f t="shared" si="1"/>
        <v>1.4819399744392183</v>
      </c>
      <c r="R16" s="559">
        <f t="shared" si="1"/>
        <v>1.6274264937360967</v>
      </c>
      <c r="S16" s="559">
        <f t="shared" si="1"/>
        <v>1.7821300386762313</v>
      </c>
      <c r="T16" s="559">
        <f t="shared" si="1"/>
        <v>1.9656713718532808</v>
      </c>
      <c r="U16" s="559">
        <f t="shared" si="1"/>
        <v>2.1547094232265001</v>
      </c>
      <c r="V16" s="559">
        <f t="shared" si="1"/>
        <v>2.3521773284411434</v>
      </c>
      <c r="W16" s="559">
        <f t="shared" si="1"/>
        <v>2.391346953734284</v>
      </c>
      <c r="X16" s="559">
        <f t="shared" si="1"/>
        <v>2.6156959646239746</v>
      </c>
    </row>
    <row r="17" spans="1:24" s="115" customFormat="1" ht="21.6" customHeight="1">
      <c r="A17" s="609">
        <v>26</v>
      </c>
      <c r="B17" s="605" t="s">
        <v>595</v>
      </c>
      <c r="C17" s="606">
        <v>27322</v>
      </c>
      <c r="D17" s="606">
        <v>27195</v>
      </c>
      <c r="E17" s="606">
        <v>28086</v>
      </c>
      <c r="F17" s="606">
        <v>28002</v>
      </c>
      <c r="G17" s="606">
        <v>29158</v>
      </c>
      <c r="H17" s="606">
        <v>29747</v>
      </c>
      <c r="I17" s="606">
        <v>30229</v>
      </c>
      <c r="J17" s="606">
        <v>31128</v>
      </c>
      <c r="K17" s="606">
        <v>33134</v>
      </c>
      <c r="L17" s="606">
        <v>33928</v>
      </c>
      <c r="M17" s="606">
        <v>34700</v>
      </c>
      <c r="N17" s="559">
        <f t="shared" si="2"/>
        <v>1.1114804022353277</v>
      </c>
      <c r="O17" s="559">
        <f t="shared" si="1"/>
        <v>1.0716595216130811</v>
      </c>
      <c r="P17" s="559">
        <f t="shared" si="1"/>
        <v>1.0630908820444533</v>
      </c>
      <c r="Q17" s="559">
        <f t="shared" si="1"/>
        <v>1.0118080404809937</v>
      </c>
      <c r="R17" s="559">
        <f t="shared" si="1"/>
        <v>1.0131629879656057</v>
      </c>
      <c r="S17" s="559">
        <f t="shared" si="1"/>
        <v>1.0150889853614524</v>
      </c>
      <c r="T17" s="559">
        <f t="shared" si="1"/>
        <v>1.0413648773177853</v>
      </c>
      <c r="U17" s="559">
        <f t="shared" si="1"/>
        <v>1.0651727055995823</v>
      </c>
      <c r="V17" s="559">
        <f t="shared" si="1"/>
        <v>1.05249214855596</v>
      </c>
      <c r="W17" s="559">
        <f t="shared" si="1"/>
        <v>1.0293270843964475</v>
      </c>
      <c r="X17" s="559">
        <f t="shared" si="1"/>
        <v>1.0345436201752105</v>
      </c>
    </row>
    <row r="18" spans="1:24" s="395" customFormat="1" ht="12.75" customHeight="1">
      <c r="A18" s="607">
        <v>3</v>
      </c>
      <c r="B18" s="608" t="s">
        <v>596</v>
      </c>
      <c r="C18" s="5">
        <v>246049</v>
      </c>
      <c r="D18" s="5">
        <v>251040</v>
      </c>
      <c r="E18" s="5">
        <v>259812</v>
      </c>
      <c r="F18" s="5">
        <v>269831</v>
      </c>
      <c r="G18" s="5">
        <v>281971</v>
      </c>
      <c r="H18" s="5">
        <v>289631</v>
      </c>
      <c r="I18" s="5">
        <v>296724</v>
      </c>
      <c r="J18" s="5">
        <v>303361</v>
      </c>
      <c r="K18" s="5">
        <v>325171</v>
      </c>
      <c r="L18" s="5">
        <v>340854</v>
      </c>
      <c r="M18" s="5">
        <v>353603</v>
      </c>
      <c r="N18" s="657">
        <f t="shared" si="2"/>
        <v>10.009466418622361</v>
      </c>
      <c r="O18" s="657">
        <f t="shared" si="1"/>
        <v>9.8926054901911336</v>
      </c>
      <c r="P18" s="657">
        <f t="shared" si="1"/>
        <v>9.8342152049324749</v>
      </c>
      <c r="Q18" s="657">
        <f t="shared" si="1"/>
        <v>9.7499169834664308</v>
      </c>
      <c r="R18" s="657">
        <f t="shared" si="1"/>
        <v>9.7977426736967494</v>
      </c>
      <c r="S18" s="657">
        <f t="shared" si="1"/>
        <v>9.883391196397044</v>
      </c>
      <c r="T18" s="657">
        <f t="shared" si="1"/>
        <v>10.221904524041236</v>
      </c>
      <c r="U18" s="657">
        <f t="shared" si="1"/>
        <v>10.380745860427746</v>
      </c>
      <c r="V18" s="657">
        <f t="shared" si="1"/>
        <v>10.328964943504861</v>
      </c>
      <c r="W18" s="657">
        <f t="shared" si="1"/>
        <v>10.341023756922503</v>
      </c>
      <c r="X18" s="657">
        <f t="shared" si="1"/>
        <v>10.542297628957204</v>
      </c>
    </row>
    <row r="19" spans="1:24" s="115" customFormat="1" ht="21.75" customHeight="1">
      <c r="A19" s="609">
        <v>31</v>
      </c>
      <c r="B19" s="605" t="s">
        <v>597</v>
      </c>
      <c r="C19" s="606">
        <v>83627</v>
      </c>
      <c r="D19" s="606">
        <v>83071</v>
      </c>
      <c r="E19" s="606">
        <v>85723</v>
      </c>
      <c r="F19" s="606">
        <v>89328</v>
      </c>
      <c r="G19" s="606">
        <v>92148</v>
      </c>
      <c r="H19" s="606">
        <v>94638</v>
      </c>
      <c r="I19" s="606">
        <v>96148</v>
      </c>
      <c r="J19" s="606">
        <v>98883</v>
      </c>
      <c r="K19" s="606">
        <v>105038</v>
      </c>
      <c r="L19" s="606">
        <v>108851</v>
      </c>
      <c r="M19" s="606">
        <v>111326</v>
      </c>
      <c r="N19" s="559">
        <f t="shared" si="2"/>
        <v>3.4020119902545112</v>
      </c>
      <c r="O19" s="559">
        <f t="shared" si="1"/>
        <v>3.2735366104033923</v>
      </c>
      <c r="P19" s="559">
        <f t="shared" si="1"/>
        <v>3.244724762568421</v>
      </c>
      <c r="Q19" s="559">
        <f t="shared" si="1"/>
        <v>3.227726185275559</v>
      </c>
      <c r="R19" s="559">
        <f t="shared" si="1"/>
        <v>3.2018980387905422</v>
      </c>
      <c r="S19" s="559">
        <f t="shared" si="1"/>
        <v>3.2294346117805874</v>
      </c>
      <c r="T19" s="559">
        <f t="shared" si="1"/>
        <v>3.3122217150534392</v>
      </c>
      <c r="U19" s="559">
        <f t="shared" si="1"/>
        <v>3.383689046768295</v>
      </c>
      <c r="V19" s="559">
        <f t="shared" si="1"/>
        <v>3.3365023933126374</v>
      </c>
      <c r="W19" s="559">
        <f t="shared" si="1"/>
        <v>3.3023839443420688</v>
      </c>
      <c r="X19" s="559">
        <f t="shared" si="1"/>
        <v>3.3190663705943946</v>
      </c>
    </row>
    <row r="20" spans="1:24" s="115" customFormat="1" ht="12.75" customHeight="1">
      <c r="A20" s="609">
        <v>32</v>
      </c>
      <c r="B20" s="605" t="s">
        <v>598</v>
      </c>
      <c r="C20" s="606">
        <v>25957</v>
      </c>
      <c r="D20" s="606">
        <v>27510</v>
      </c>
      <c r="E20" s="606">
        <v>29401</v>
      </c>
      <c r="F20" s="606">
        <v>30282</v>
      </c>
      <c r="G20" s="606">
        <v>31997</v>
      </c>
      <c r="H20" s="606">
        <v>33339</v>
      </c>
      <c r="I20" s="606">
        <v>34286</v>
      </c>
      <c r="J20" s="606">
        <v>35389</v>
      </c>
      <c r="K20" s="606">
        <v>38640</v>
      </c>
      <c r="L20" s="606">
        <v>40419</v>
      </c>
      <c r="M20" s="606">
        <v>41611</v>
      </c>
      <c r="N20" s="559">
        <f t="shared" si="2"/>
        <v>1.0559511309868386</v>
      </c>
      <c r="O20" s="559">
        <f t="shared" si="1"/>
        <v>1.08407256626497</v>
      </c>
      <c r="P20" s="559">
        <f t="shared" si="1"/>
        <v>1.1128653073769483</v>
      </c>
      <c r="Q20" s="559">
        <f t="shared" si="1"/>
        <v>1.094192239191681</v>
      </c>
      <c r="R20" s="559">
        <f t="shared" si="1"/>
        <v>1.1118106909230909</v>
      </c>
      <c r="S20" s="559">
        <f t="shared" si="1"/>
        <v>1.1376626780167904</v>
      </c>
      <c r="T20" s="559">
        <f t="shared" si="1"/>
        <v>1.1811252831293653</v>
      </c>
      <c r="U20" s="559">
        <f t="shared" si="1"/>
        <v>1.2109803674654207</v>
      </c>
      <c r="V20" s="559">
        <f t="shared" si="1"/>
        <v>1.2273886829299903</v>
      </c>
      <c r="W20" s="559">
        <f t="shared" si="1"/>
        <v>1.2262547578466167</v>
      </c>
      <c r="X20" s="559">
        <f t="shared" si="1"/>
        <v>1.2405877400320082</v>
      </c>
    </row>
    <row r="21" spans="1:24" s="115" customFormat="1" ht="21" customHeight="1">
      <c r="A21" s="609">
        <v>33</v>
      </c>
      <c r="B21" s="605" t="s">
        <v>599</v>
      </c>
      <c r="C21" s="606">
        <v>98955</v>
      </c>
      <c r="D21" s="606">
        <v>101831</v>
      </c>
      <c r="E21" s="606">
        <v>103925</v>
      </c>
      <c r="F21" s="606">
        <v>107541</v>
      </c>
      <c r="G21" s="606">
        <v>112524</v>
      </c>
      <c r="H21" s="606">
        <v>116356</v>
      </c>
      <c r="I21" s="606">
        <v>117262</v>
      </c>
      <c r="J21" s="606">
        <v>119390</v>
      </c>
      <c r="K21" s="606">
        <v>129968</v>
      </c>
      <c r="L21" s="606">
        <v>136418</v>
      </c>
      <c r="M21" s="606">
        <v>143726</v>
      </c>
      <c r="N21" s="559">
        <f t="shared" si="2"/>
        <v>4.0255670596294877</v>
      </c>
      <c r="O21" s="559">
        <f t="shared" si="2"/>
        <v>4.0128023807825581</v>
      </c>
      <c r="P21" s="559">
        <f t="shared" si="2"/>
        <v>3.9336936522277934</v>
      </c>
      <c r="Q21" s="559">
        <f t="shared" si="2"/>
        <v>3.8858241726079044</v>
      </c>
      <c r="R21" s="559">
        <f t="shared" si="2"/>
        <v>3.9099098723452164</v>
      </c>
      <c r="S21" s="559">
        <f t="shared" si="2"/>
        <v>3.9705413648676227</v>
      </c>
      <c r="T21" s="559">
        <f t="shared" si="2"/>
        <v>4.0395821311997793</v>
      </c>
      <c r="U21" s="559">
        <f t="shared" si="2"/>
        <v>4.085420499920783</v>
      </c>
      <c r="V21" s="559">
        <f t="shared" si="2"/>
        <v>4.1283967997682449</v>
      </c>
      <c r="W21" s="559">
        <f t="shared" si="2"/>
        <v>4.1387273697003826</v>
      </c>
      <c r="X21" s="559">
        <f t="shared" si="2"/>
        <v>4.2850379352536692</v>
      </c>
    </row>
    <row r="22" spans="1:24" s="115" customFormat="1" ht="21.75" customHeight="1">
      <c r="A22" s="609">
        <v>34</v>
      </c>
      <c r="B22" s="605" t="s">
        <v>600</v>
      </c>
      <c r="C22" s="606">
        <v>12407</v>
      </c>
      <c r="D22" s="606">
        <v>13251</v>
      </c>
      <c r="E22" s="606">
        <v>13881</v>
      </c>
      <c r="F22" s="606">
        <v>14527</v>
      </c>
      <c r="G22" s="606">
        <v>15556</v>
      </c>
      <c r="H22" s="606">
        <v>16018</v>
      </c>
      <c r="I22" s="606">
        <v>16333</v>
      </c>
      <c r="J22" s="606">
        <v>16751</v>
      </c>
      <c r="K22" s="606">
        <v>18580</v>
      </c>
      <c r="L22" s="606">
        <v>19744</v>
      </c>
      <c r="M22" s="606">
        <v>20972</v>
      </c>
      <c r="N22" s="559">
        <f t="shared" si="2"/>
        <v>0.50472649698168914</v>
      </c>
      <c r="O22" s="559">
        <f t="shared" si="2"/>
        <v>0.52217541168946269</v>
      </c>
      <c r="P22" s="559">
        <f t="shared" si="2"/>
        <v>0.52541353463145535</v>
      </c>
      <c r="Q22" s="559">
        <f t="shared" si="2"/>
        <v>0.52491019941673434</v>
      </c>
      <c r="R22" s="559">
        <f t="shared" si="2"/>
        <v>0.5405296467793731</v>
      </c>
      <c r="S22" s="559">
        <f t="shared" si="2"/>
        <v>0.54659950137895408</v>
      </c>
      <c r="T22" s="559">
        <f t="shared" si="2"/>
        <v>0.56265878928285373</v>
      </c>
      <c r="U22" s="559">
        <f t="shared" si="2"/>
        <v>0.57320444588468911</v>
      </c>
      <c r="V22" s="559">
        <f t="shared" si="2"/>
        <v>0.59018845053931723</v>
      </c>
      <c r="W22" s="559">
        <f t="shared" si="2"/>
        <v>0.59900477347098147</v>
      </c>
      <c r="X22" s="559">
        <f t="shared" si="2"/>
        <v>0.62525789055661429</v>
      </c>
    </row>
    <row r="23" spans="1:24" s="115" customFormat="1" ht="12.75" customHeight="1">
      <c r="A23" s="609">
        <v>35</v>
      </c>
      <c r="B23" s="605" t="s">
        <v>601</v>
      </c>
      <c r="C23" s="606">
        <v>25103</v>
      </c>
      <c r="D23" s="606">
        <v>25377</v>
      </c>
      <c r="E23" s="606">
        <v>26882</v>
      </c>
      <c r="F23" s="606">
        <v>28153</v>
      </c>
      <c r="G23" s="606">
        <v>29746</v>
      </c>
      <c r="H23" s="606">
        <v>29280</v>
      </c>
      <c r="I23" s="606">
        <v>32695</v>
      </c>
      <c r="J23" s="606">
        <v>32948</v>
      </c>
      <c r="K23" s="606">
        <v>32945</v>
      </c>
      <c r="L23" s="606">
        <v>35422</v>
      </c>
      <c r="M23" s="606">
        <v>35968</v>
      </c>
      <c r="N23" s="559">
        <f t="shared" si="2"/>
        <v>1.0212097407698351</v>
      </c>
      <c r="O23" s="559">
        <f t="shared" si="2"/>
        <v>1.0000185210507504</v>
      </c>
      <c r="P23" s="559">
        <f t="shared" si="2"/>
        <v>1.0175179481278571</v>
      </c>
      <c r="Q23" s="559">
        <f t="shared" si="2"/>
        <v>1.0172641869745522</v>
      </c>
      <c r="R23" s="559">
        <f t="shared" si="2"/>
        <v>1.0335944248585263</v>
      </c>
      <c r="S23" s="559">
        <f t="shared" si="2"/>
        <v>0.99915304035308872</v>
      </c>
      <c r="T23" s="559">
        <f t="shared" si="2"/>
        <v>1.1263166053757978</v>
      </c>
      <c r="U23" s="559">
        <f t="shared" si="2"/>
        <v>1.1274515003885581</v>
      </c>
      <c r="V23" s="559">
        <f t="shared" si="2"/>
        <v>1.0464886169546721</v>
      </c>
      <c r="W23" s="559">
        <f t="shared" si="2"/>
        <v>1.0746529115624546</v>
      </c>
      <c r="X23" s="559">
        <f t="shared" si="2"/>
        <v>1.072347692520518</v>
      </c>
    </row>
    <row r="24" spans="1:24" s="395" customFormat="1" ht="12.75" customHeight="1">
      <c r="A24" s="607">
        <v>4</v>
      </c>
      <c r="B24" s="608" t="s">
        <v>602</v>
      </c>
      <c r="C24" s="5">
        <v>329818</v>
      </c>
      <c r="D24" s="5">
        <v>339590</v>
      </c>
      <c r="E24" s="5">
        <v>354101</v>
      </c>
      <c r="F24" s="5">
        <v>364437</v>
      </c>
      <c r="G24" s="5">
        <v>379700</v>
      </c>
      <c r="H24" s="5">
        <v>385649</v>
      </c>
      <c r="I24" s="5">
        <v>383564</v>
      </c>
      <c r="J24" s="5">
        <v>383195</v>
      </c>
      <c r="K24" s="5">
        <v>421193</v>
      </c>
      <c r="L24" s="5">
        <v>434712</v>
      </c>
      <c r="M24" s="5">
        <v>435944</v>
      </c>
      <c r="N24" s="657">
        <f t="shared" si="2"/>
        <v>13.417255080318107</v>
      </c>
      <c r="O24" s="657">
        <f t="shared" si="2"/>
        <v>13.382050264555478</v>
      </c>
      <c r="P24" s="657">
        <f t="shared" si="2"/>
        <v>13.403173980731431</v>
      </c>
      <c r="Q24" s="657">
        <f t="shared" si="2"/>
        <v>13.168355362073134</v>
      </c>
      <c r="R24" s="657">
        <f t="shared" si="2"/>
        <v>13.193565626261762</v>
      </c>
      <c r="S24" s="657">
        <f t="shared" si="2"/>
        <v>13.159917037538534</v>
      </c>
      <c r="T24" s="657">
        <f t="shared" si="2"/>
        <v>13.213473082256078</v>
      </c>
      <c r="U24" s="657">
        <f t="shared" si="2"/>
        <v>13.112594928110767</v>
      </c>
      <c r="V24" s="657">
        <f t="shared" si="2"/>
        <v>13.379076644133836</v>
      </c>
      <c r="W24" s="657">
        <f t="shared" si="2"/>
        <v>13.188541485267287</v>
      </c>
      <c r="X24" s="657">
        <f t="shared" si="2"/>
        <v>12.997207030364899</v>
      </c>
    </row>
    <row r="25" spans="1:24" s="115" customFormat="1" ht="22.5" customHeight="1">
      <c r="A25" s="609">
        <v>41</v>
      </c>
      <c r="B25" s="610" t="s">
        <v>603</v>
      </c>
      <c r="C25" s="606">
        <v>127415</v>
      </c>
      <c r="D25" s="606">
        <v>128408</v>
      </c>
      <c r="E25" s="606">
        <v>129773</v>
      </c>
      <c r="F25" s="606">
        <v>131357</v>
      </c>
      <c r="G25" s="606">
        <v>134432</v>
      </c>
      <c r="H25" s="606">
        <v>133588</v>
      </c>
      <c r="I25" s="606">
        <v>134498</v>
      </c>
      <c r="J25" s="606">
        <v>131641</v>
      </c>
      <c r="K25" s="606">
        <v>137034</v>
      </c>
      <c r="L25" s="606">
        <v>134608</v>
      </c>
      <c r="M25" s="606">
        <v>135447</v>
      </c>
      <c r="N25" s="559">
        <f t="shared" si="2"/>
        <v>5.1833421949642879</v>
      </c>
      <c r="O25" s="559">
        <f t="shared" si="2"/>
        <v>5.0601086909833617</v>
      </c>
      <c r="P25" s="559">
        <f t="shared" si="2"/>
        <v>4.9120733830219621</v>
      </c>
      <c r="Q25" s="559">
        <f t="shared" si="2"/>
        <v>4.7463777149297153</v>
      </c>
      <c r="R25" s="559">
        <f t="shared" si="2"/>
        <v>4.671154633314778</v>
      </c>
      <c r="S25" s="559">
        <f t="shared" si="2"/>
        <v>4.5585674984524731</v>
      </c>
      <c r="T25" s="559">
        <f t="shared" si="2"/>
        <v>4.6333485483968202</v>
      </c>
      <c r="U25" s="559">
        <f t="shared" si="2"/>
        <v>4.5046389147338282</v>
      </c>
      <c r="V25" s="559">
        <f t="shared" si="2"/>
        <v>4.3528462933910008</v>
      </c>
      <c r="W25" s="559">
        <f t="shared" si="2"/>
        <v>4.0838145536558894</v>
      </c>
      <c r="X25" s="559">
        <f t="shared" si="2"/>
        <v>4.0382083493334795</v>
      </c>
    </row>
    <row r="26" spans="1:24" s="115" customFormat="1" ht="12.75" customHeight="1">
      <c r="A26" s="609">
        <v>42</v>
      </c>
      <c r="B26" s="605" t="s">
        <v>604</v>
      </c>
      <c r="C26" s="606">
        <v>76136</v>
      </c>
      <c r="D26" s="606">
        <v>79863</v>
      </c>
      <c r="E26" s="606">
        <v>85134</v>
      </c>
      <c r="F26" s="606">
        <v>86371</v>
      </c>
      <c r="G26" s="606">
        <v>88218</v>
      </c>
      <c r="H26" s="606">
        <v>88739</v>
      </c>
      <c r="I26" s="606">
        <v>86178</v>
      </c>
      <c r="J26" s="606">
        <v>88505</v>
      </c>
      <c r="K26" s="606">
        <v>101022</v>
      </c>
      <c r="L26" s="606">
        <v>108751</v>
      </c>
      <c r="M26" s="606">
        <v>103493</v>
      </c>
      <c r="N26" s="559">
        <f t="shared" si="2"/>
        <v>3.0972722313369783</v>
      </c>
      <c r="O26" s="559">
        <f t="shared" si="2"/>
        <v>3.1471205874089168</v>
      </c>
      <c r="P26" s="559">
        <f t="shared" si="2"/>
        <v>3.2224303621723451</v>
      </c>
      <c r="Q26" s="559">
        <f t="shared" si="2"/>
        <v>3.1208796608950755</v>
      </c>
      <c r="R26" s="559">
        <f t="shared" si="2"/>
        <v>3.0653409860878593</v>
      </c>
      <c r="S26" s="559">
        <f t="shared" si="2"/>
        <v>3.0281366683023476</v>
      </c>
      <c r="T26" s="559">
        <f t="shared" si="2"/>
        <v>2.9687631875845084</v>
      </c>
      <c r="U26" s="559">
        <f t="shared" si="2"/>
        <v>3.0285630399990691</v>
      </c>
      <c r="V26" s="559">
        <f t="shared" si="2"/>
        <v>3.2089352879646342</v>
      </c>
      <c r="W26" s="559">
        <f t="shared" si="2"/>
        <v>3.2993500871020411</v>
      </c>
      <c r="X26" s="559">
        <f t="shared" si="2"/>
        <v>3.0855338006568607</v>
      </c>
    </row>
    <row r="27" spans="1:24" s="115" customFormat="1" ht="24.75" customHeight="1">
      <c r="A27" s="609">
        <v>43</v>
      </c>
      <c r="B27" s="605" t="s">
        <v>605</v>
      </c>
      <c r="C27" s="606">
        <v>94203</v>
      </c>
      <c r="D27" s="606">
        <v>97173</v>
      </c>
      <c r="E27" s="606">
        <v>102609</v>
      </c>
      <c r="F27" s="606">
        <v>107467</v>
      </c>
      <c r="G27" s="606">
        <v>112889</v>
      </c>
      <c r="H27" s="606">
        <v>116133</v>
      </c>
      <c r="I27" s="606">
        <v>114428</v>
      </c>
      <c r="J27" s="606">
        <v>113739</v>
      </c>
      <c r="K27" s="606">
        <v>126169</v>
      </c>
      <c r="L27" s="606">
        <v>129618</v>
      </c>
      <c r="M27" s="606">
        <v>130025</v>
      </c>
      <c r="N27" s="559">
        <f t="shared" si="2"/>
        <v>3.8322519702721096</v>
      </c>
      <c r="O27" s="559">
        <f t="shared" si="2"/>
        <v>3.8292469458984346</v>
      </c>
      <c r="P27" s="559">
        <f t="shared" si="2"/>
        <v>3.8838813756212813</v>
      </c>
      <c r="Q27" s="559">
        <f t="shared" si="2"/>
        <v>3.8831502994918559</v>
      </c>
      <c r="R27" s="559">
        <f t="shared" si="2"/>
        <v>3.922592652049155</v>
      </c>
      <c r="S27" s="559">
        <f t="shared" si="2"/>
        <v>3.9629316951955342</v>
      </c>
      <c r="T27" s="559">
        <f t="shared" si="2"/>
        <v>3.9419530974137262</v>
      </c>
      <c r="U27" s="559">
        <f t="shared" si="2"/>
        <v>3.8920482640128142</v>
      </c>
      <c r="V27" s="559">
        <f t="shared" si="2"/>
        <v>4.007722638110609</v>
      </c>
      <c r="W27" s="559">
        <f t="shared" si="2"/>
        <v>3.9324250773785288</v>
      </c>
      <c r="X27" s="559">
        <f t="shared" si="2"/>
        <v>3.8765571819389555</v>
      </c>
    </row>
    <row r="28" spans="1:24" s="115" customFormat="1" ht="12.75" customHeight="1">
      <c r="A28" s="609">
        <v>44</v>
      </c>
      <c r="B28" s="605" t="s">
        <v>606</v>
      </c>
      <c r="C28" s="606">
        <v>32064</v>
      </c>
      <c r="D28" s="606">
        <v>34146</v>
      </c>
      <c r="E28" s="606">
        <v>36585</v>
      </c>
      <c r="F28" s="606">
        <v>39242</v>
      </c>
      <c r="G28" s="606">
        <v>44161</v>
      </c>
      <c r="H28" s="606">
        <v>47189</v>
      </c>
      <c r="I28" s="606">
        <v>48460</v>
      </c>
      <c r="J28" s="606">
        <v>49310</v>
      </c>
      <c r="K28" s="606">
        <v>56968</v>
      </c>
      <c r="L28" s="606">
        <v>61735</v>
      </c>
      <c r="M28" s="606">
        <v>66979</v>
      </c>
      <c r="N28" s="559">
        <f t="shared" si="2"/>
        <v>1.3043886837447314</v>
      </c>
      <c r="O28" s="559">
        <f t="shared" si="2"/>
        <v>1.3455740402647642</v>
      </c>
      <c r="P28" s="559">
        <f t="shared" si="2"/>
        <v>1.3847888599158416</v>
      </c>
      <c r="Q28" s="559">
        <f t="shared" si="2"/>
        <v>1.4179476867564871</v>
      </c>
      <c r="R28" s="559">
        <f t="shared" si="2"/>
        <v>1.5344773548099702</v>
      </c>
      <c r="S28" s="559">
        <f t="shared" si="2"/>
        <v>1.6102811755881796</v>
      </c>
      <c r="T28" s="559">
        <f t="shared" si="2"/>
        <v>1.6694082488610233</v>
      </c>
      <c r="U28" s="559">
        <f t="shared" si="2"/>
        <v>1.687344709365054</v>
      </c>
      <c r="V28" s="559">
        <f t="shared" si="2"/>
        <v>1.8095724246675902</v>
      </c>
      <c r="W28" s="559">
        <f t="shared" si="2"/>
        <v>1.8729517671308267</v>
      </c>
      <c r="X28" s="559">
        <f t="shared" si="2"/>
        <v>1.9969076984356031</v>
      </c>
    </row>
    <row r="29" spans="1:24" s="395" customFormat="1" ht="12.75" customHeight="1">
      <c r="A29" s="607">
        <v>5</v>
      </c>
      <c r="B29" s="603" t="s">
        <v>607</v>
      </c>
      <c r="C29" s="5">
        <v>522200</v>
      </c>
      <c r="D29" s="5">
        <v>543846</v>
      </c>
      <c r="E29" s="5">
        <v>569034</v>
      </c>
      <c r="F29" s="5">
        <v>601609</v>
      </c>
      <c r="G29" s="5">
        <v>617409</v>
      </c>
      <c r="H29" s="5">
        <v>636383</v>
      </c>
      <c r="I29" s="5">
        <v>600680</v>
      </c>
      <c r="J29" s="5">
        <v>604817</v>
      </c>
      <c r="K29" s="5">
        <v>658740</v>
      </c>
      <c r="L29" s="5">
        <v>691852</v>
      </c>
      <c r="M29" s="5">
        <v>700751</v>
      </c>
      <c r="N29" s="657">
        <f t="shared" si="2"/>
        <v>21.2435058212169</v>
      </c>
      <c r="O29" s="657">
        <f t="shared" si="2"/>
        <v>21.431062481749869</v>
      </c>
      <c r="P29" s="657">
        <f t="shared" si="2"/>
        <v>21.538661859050183</v>
      </c>
      <c r="Q29" s="657">
        <f t="shared" si="2"/>
        <v>21.738190965849942</v>
      </c>
      <c r="R29" s="657">
        <f t="shared" si="2"/>
        <v>21.453321463641423</v>
      </c>
      <c r="S29" s="657">
        <f t="shared" si="2"/>
        <v>21.715983923463785</v>
      </c>
      <c r="T29" s="657">
        <f t="shared" si="2"/>
        <v>20.692945664998753</v>
      </c>
      <c r="U29" s="657">
        <f t="shared" si="2"/>
        <v>20.696304301035163</v>
      </c>
      <c r="V29" s="657">
        <f t="shared" si="2"/>
        <v>20.924689984298698</v>
      </c>
      <c r="W29" s="657">
        <f t="shared" si="2"/>
        <v>20.989801992273371</v>
      </c>
      <c r="X29" s="657">
        <f t="shared" si="2"/>
        <v>20.892146293412075</v>
      </c>
    </row>
    <row r="30" spans="1:24" s="115" customFormat="1" ht="12.75" customHeight="1">
      <c r="A30" s="609">
        <v>51</v>
      </c>
      <c r="B30" s="605" t="s">
        <v>608</v>
      </c>
      <c r="C30" s="606">
        <v>134873</v>
      </c>
      <c r="D30" s="606">
        <v>143866</v>
      </c>
      <c r="E30" s="606">
        <v>152750</v>
      </c>
      <c r="F30" s="606">
        <v>166640</v>
      </c>
      <c r="G30" s="606">
        <v>172287</v>
      </c>
      <c r="H30" s="606">
        <v>175785</v>
      </c>
      <c r="I30" s="606">
        <v>149906</v>
      </c>
      <c r="J30" s="606">
        <v>151093</v>
      </c>
      <c r="K30" s="606">
        <v>174365</v>
      </c>
      <c r="L30" s="606">
        <v>186103</v>
      </c>
      <c r="M30" s="606">
        <v>187410</v>
      </c>
      <c r="N30" s="559">
        <f t="shared" si="2"/>
        <v>5.4867394879835061</v>
      </c>
      <c r="O30" s="559">
        <f t="shared" si="2"/>
        <v>5.6692542282179632</v>
      </c>
      <c r="P30" s="559">
        <f t="shared" si="2"/>
        <v>5.7817821061130186</v>
      </c>
      <c r="Q30" s="559">
        <f t="shared" si="2"/>
        <v>6.0212731899776006</v>
      </c>
      <c r="R30" s="559">
        <f t="shared" si="2"/>
        <v>5.9865152516506726</v>
      </c>
      <c r="S30" s="559">
        <f t="shared" si="2"/>
        <v>5.99850127043947</v>
      </c>
      <c r="T30" s="559">
        <f t="shared" si="2"/>
        <v>5.1641418273578328</v>
      </c>
      <c r="U30" s="559">
        <f t="shared" si="2"/>
        <v>5.1702691983795193</v>
      </c>
      <c r="V30" s="559">
        <f t="shared" si="2"/>
        <v>5.5386549611565155</v>
      </c>
      <c r="W30" s="559">
        <f t="shared" si="2"/>
        <v>5.6460993394079244</v>
      </c>
      <c r="X30" s="559">
        <f t="shared" si="2"/>
        <v>5.5874299670615626</v>
      </c>
    </row>
    <row r="31" spans="1:24" s="127" customFormat="1" ht="12.75" customHeight="1">
      <c r="A31" s="609">
        <v>52</v>
      </c>
      <c r="B31" s="605" t="s">
        <v>609</v>
      </c>
      <c r="C31" s="606">
        <v>263151</v>
      </c>
      <c r="D31" s="606">
        <v>270985</v>
      </c>
      <c r="E31" s="606">
        <v>280655</v>
      </c>
      <c r="F31" s="606">
        <v>291243</v>
      </c>
      <c r="G31" s="606">
        <v>298789</v>
      </c>
      <c r="H31" s="606">
        <v>309982</v>
      </c>
      <c r="I31" s="606">
        <v>295149</v>
      </c>
      <c r="J31" s="606">
        <v>299247</v>
      </c>
      <c r="K31" s="606">
        <v>320061</v>
      </c>
      <c r="L31" s="606">
        <v>331326</v>
      </c>
      <c r="M31" s="606">
        <v>337310</v>
      </c>
      <c r="N31" s="559">
        <f t="shared" si="2"/>
        <v>10.705189200227975</v>
      </c>
      <c r="O31" s="559">
        <f t="shared" si="2"/>
        <v>10.678567952355976</v>
      </c>
      <c r="P31" s="559">
        <f t="shared" si="2"/>
        <v>10.623149309271026</v>
      </c>
      <c r="Q31" s="559">
        <f t="shared" si="2"/>
        <v>10.523605782937148</v>
      </c>
      <c r="R31" s="559">
        <f t="shared" si="2"/>
        <v>10.382123465644261</v>
      </c>
      <c r="S31" s="559">
        <f t="shared" si="2"/>
        <v>10.577850333153386</v>
      </c>
      <c r="T31" s="559">
        <f t="shared" si="2"/>
        <v>10.167647033493235</v>
      </c>
      <c r="U31" s="559">
        <f t="shared" si="2"/>
        <v>10.239968408910247</v>
      </c>
      <c r="V31" s="559">
        <f t="shared" si="2"/>
        <v>10.166647237247815</v>
      </c>
      <c r="W31" s="559">
        <f t="shared" si="2"/>
        <v>10.051957839092706</v>
      </c>
      <c r="X31" s="559">
        <f t="shared" si="2"/>
        <v>10.056539150469748</v>
      </c>
    </row>
    <row r="32" spans="1:24" s="115" customFormat="1" ht="12.75" customHeight="1">
      <c r="A32" s="609">
        <v>53</v>
      </c>
      <c r="B32" s="605" t="s">
        <v>610</v>
      </c>
      <c r="C32" s="606">
        <v>81286</v>
      </c>
      <c r="D32" s="606">
        <v>86092</v>
      </c>
      <c r="E32" s="606">
        <v>91219</v>
      </c>
      <c r="F32" s="606">
        <v>95144</v>
      </c>
      <c r="G32" s="606">
        <v>98128</v>
      </c>
      <c r="H32" s="606">
        <v>99748</v>
      </c>
      <c r="I32" s="606">
        <v>104516</v>
      </c>
      <c r="J32" s="606">
        <v>105485</v>
      </c>
      <c r="K32" s="606">
        <v>110716</v>
      </c>
      <c r="L32" s="606">
        <v>117247</v>
      </c>
      <c r="M32" s="606">
        <v>120581</v>
      </c>
      <c r="N32" s="559">
        <f t="shared" si="2"/>
        <v>3.3067782730437321</v>
      </c>
      <c r="O32" s="559">
        <f t="shared" si="2"/>
        <v>3.3925836195886516</v>
      </c>
      <c r="P32" s="559">
        <f t="shared" si="2"/>
        <v>3.4527553645664382</v>
      </c>
      <c r="Q32" s="559">
        <f t="shared" si="2"/>
        <v>3.4378781588287857</v>
      </c>
      <c r="R32" s="559">
        <f t="shared" si="2"/>
        <v>3.4096871418852102</v>
      </c>
      <c r="S32" s="559">
        <f t="shared" si="2"/>
        <v>3.4038086567329198</v>
      </c>
      <c r="T32" s="559">
        <f t="shared" si="2"/>
        <v>3.6004926235649757</v>
      </c>
      <c r="U32" s="559">
        <f t="shared" si="2"/>
        <v>3.6096036639094042</v>
      </c>
      <c r="V32" s="559">
        <f t="shared" si="2"/>
        <v>3.5168624590910147</v>
      </c>
      <c r="W32" s="559">
        <f t="shared" si="2"/>
        <v>3.5571065982147569</v>
      </c>
      <c r="X32" s="559">
        <f t="shared" si="2"/>
        <v>3.5949943592030853</v>
      </c>
    </row>
    <row r="33" spans="1:24" s="115" customFormat="1" ht="12.75" customHeight="1">
      <c r="A33" s="609">
        <v>54</v>
      </c>
      <c r="B33" s="605" t="s">
        <v>611</v>
      </c>
      <c r="C33" s="606">
        <v>42890</v>
      </c>
      <c r="D33" s="606">
        <v>42903</v>
      </c>
      <c r="E33" s="606">
        <v>44410</v>
      </c>
      <c r="F33" s="606">
        <v>48582</v>
      </c>
      <c r="G33" s="606">
        <v>48205</v>
      </c>
      <c r="H33" s="606">
        <v>50868</v>
      </c>
      <c r="I33" s="606">
        <v>51109</v>
      </c>
      <c r="J33" s="606">
        <v>48992</v>
      </c>
      <c r="K33" s="606">
        <v>53598</v>
      </c>
      <c r="L33" s="606">
        <v>57176</v>
      </c>
      <c r="M33" s="606">
        <v>55450</v>
      </c>
      <c r="N33" s="559">
        <f t="shared" si="2"/>
        <v>1.7447988599616868</v>
      </c>
      <c r="O33" s="559">
        <f t="shared" si="2"/>
        <v>1.6906566815872777</v>
      </c>
      <c r="P33" s="559">
        <f t="shared" si="2"/>
        <v>1.6809750790996998</v>
      </c>
      <c r="Q33" s="559">
        <f t="shared" si="2"/>
        <v>1.755433834106408</v>
      </c>
      <c r="R33" s="559">
        <f t="shared" si="2"/>
        <v>1.6749956044612806</v>
      </c>
      <c r="S33" s="559">
        <f t="shared" si="2"/>
        <v>1.7358236631380093</v>
      </c>
      <c r="T33" s="559">
        <f t="shared" si="2"/>
        <v>1.7606641805827081</v>
      </c>
      <c r="U33" s="559">
        <f t="shared" si="2"/>
        <v>1.6764630298359913</v>
      </c>
      <c r="V33" s="559">
        <f t="shared" si="2"/>
        <v>1.7025253268033544</v>
      </c>
      <c r="W33" s="559">
        <f t="shared" si="2"/>
        <v>1.734638215557984</v>
      </c>
      <c r="X33" s="559">
        <f t="shared" si="2"/>
        <v>1.6531828166776779</v>
      </c>
    </row>
    <row r="34" spans="1:24" s="395" customFormat="1" ht="16.5" customHeight="1">
      <c r="A34" s="600">
        <v>6</v>
      </c>
      <c r="B34" s="603" t="s">
        <v>612</v>
      </c>
      <c r="C34" s="5">
        <v>31493</v>
      </c>
      <c r="D34" s="5">
        <v>32226</v>
      </c>
      <c r="E34" s="5">
        <v>32914</v>
      </c>
      <c r="F34" s="5">
        <v>33535</v>
      </c>
      <c r="G34" s="5">
        <v>36393</v>
      </c>
      <c r="H34" s="5">
        <v>36879</v>
      </c>
      <c r="I34" s="5">
        <v>39132</v>
      </c>
      <c r="J34" s="5">
        <v>36652</v>
      </c>
      <c r="K34" s="5">
        <v>37073</v>
      </c>
      <c r="L34" s="5">
        <v>37292</v>
      </c>
      <c r="M34" s="5">
        <v>36010</v>
      </c>
      <c r="N34" s="657">
        <f t="shared" si="2"/>
        <v>1.2811599556253999</v>
      </c>
      <c r="O34" s="657">
        <f t="shared" si="2"/>
        <v>1.2699135776246793</v>
      </c>
      <c r="P34" s="657">
        <f t="shared" si="2"/>
        <v>1.2458368329990435</v>
      </c>
      <c r="Q34" s="657">
        <f t="shared" si="2"/>
        <v>1.2117342560363589</v>
      </c>
      <c r="R34" s="657">
        <f t="shared" si="2"/>
        <v>1.26456000483683</v>
      </c>
      <c r="S34" s="657">
        <f t="shared" si="2"/>
        <v>1.2584619185512826</v>
      </c>
      <c r="T34" s="657">
        <f t="shared" si="2"/>
        <v>1.3480661080154677</v>
      </c>
      <c r="U34" s="657">
        <f t="shared" si="2"/>
        <v>1.2541991135195287</v>
      </c>
      <c r="V34" s="657">
        <f t="shared" si="2"/>
        <v>1.177613370658994</v>
      </c>
      <c r="W34" s="657">
        <f t="shared" si="2"/>
        <v>1.1313860419509645</v>
      </c>
      <c r="X34" s="657">
        <f t="shared" si="2"/>
        <v>1.0735998778821134</v>
      </c>
    </row>
    <row r="35" spans="1:24" s="115" customFormat="1" ht="21.75" customHeight="1">
      <c r="A35" s="604">
        <v>61</v>
      </c>
      <c r="B35" s="605" t="s">
        <v>613</v>
      </c>
      <c r="C35" s="606">
        <v>23060</v>
      </c>
      <c r="D35" s="606">
        <v>23476</v>
      </c>
      <c r="E35" s="606">
        <v>24249</v>
      </c>
      <c r="F35" s="606">
        <v>24932</v>
      </c>
      <c r="G35" s="606">
        <v>27605</v>
      </c>
      <c r="H35" s="606">
        <v>28319</v>
      </c>
      <c r="I35" s="606">
        <v>30718</v>
      </c>
      <c r="J35" s="606">
        <v>29429</v>
      </c>
      <c r="K35" s="606">
        <v>29294</v>
      </c>
      <c r="L35" s="606">
        <v>29598</v>
      </c>
      <c r="M35" s="606">
        <v>28441</v>
      </c>
      <c r="N35" s="559">
        <f t="shared" si="2"/>
        <v>0.93809889742868968</v>
      </c>
      <c r="O35" s="559">
        <f t="shared" si="2"/>
        <v>0.92510678173887451</v>
      </c>
      <c r="P35" s="559">
        <f t="shared" si="2"/>
        <v>0.91785554364081567</v>
      </c>
      <c r="Q35" s="559">
        <f t="shared" si="2"/>
        <v>0.90087843958546299</v>
      </c>
      <c r="R35" s="559">
        <f t="shared" si="2"/>
        <v>0.95920036637597039</v>
      </c>
      <c r="S35" s="559">
        <f t="shared" si="2"/>
        <v>0.96635980019669121</v>
      </c>
      <c r="T35" s="559">
        <f t="shared" si="2"/>
        <v>1.0582105362879264</v>
      </c>
      <c r="U35" s="559">
        <f t="shared" si="2"/>
        <v>1.0070344240905329</v>
      </c>
      <c r="V35" s="559">
        <f t="shared" si="2"/>
        <v>0.93051563348217226</v>
      </c>
      <c r="W35" s="559">
        <f t="shared" si="2"/>
        <v>0.8979610659032673</v>
      </c>
      <c r="X35" s="559">
        <f t="shared" si="2"/>
        <v>0.84793818736032167</v>
      </c>
    </row>
    <row r="36" spans="1:24" s="115" customFormat="1" ht="22.5" customHeight="1">
      <c r="A36" s="604">
        <v>62</v>
      </c>
      <c r="B36" s="605" t="s">
        <v>614</v>
      </c>
      <c r="C36" s="606">
        <v>8433</v>
      </c>
      <c r="D36" s="606">
        <v>8750</v>
      </c>
      <c r="E36" s="606">
        <v>8665</v>
      </c>
      <c r="F36" s="606">
        <v>8603</v>
      </c>
      <c r="G36" s="606">
        <v>8788</v>
      </c>
      <c r="H36" s="606">
        <v>8560</v>
      </c>
      <c r="I36" s="606">
        <v>8414</v>
      </c>
      <c r="J36" s="606">
        <v>7223</v>
      </c>
      <c r="K36" s="606">
        <v>7779</v>
      </c>
      <c r="L36" s="606">
        <v>7694</v>
      </c>
      <c r="M36" s="606">
        <v>7569</v>
      </c>
      <c r="N36" s="559">
        <f t="shared" si="2"/>
        <v>0.34306105819671029</v>
      </c>
      <c r="O36" s="559">
        <f t="shared" si="2"/>
        <v>0.34480679588580471</v>
      </c>
      <c r="P36" s="559">
        <f t="shared" si="2"/>
        <v>0.32798128935822785</v>
      </c>
      <c r="Q36" s="559">
        <f t="shared" si="2"/>
        <v>0.31085581645089594</v>
      </c>
      <c r="R36" s="559">
        <f t="shared" si="2"/>
        <v>0.30535963846085956</v>
      </c>
      <c r="S36" s="559">
        <f t="shared" si="2"/>
        <v>0.29210211835459149</v>
      </c>
      <c r="T36" s="559">
        <f t="shared" si="2"/>
        <v>0.28985557172754128</v>
      </c>
      <c r="U36" s="559">
        <f t="shared" si="2"/>
        <v>0.24716468942899583</v>
      </c>
      <c r="V36" s="559">
        <f t="shared" si="2"/>
        <v>0.24709773717682179</v>
      </c>
      <c r="W36" s="559">
        <f t="shared" si="2"/>
        <v>0.2334249760476971</v>
      </c>
      <c r="X36" s="559">
        <f t="shared" si="2"/>
        <v>0.22566169052179161</v>
      </c>
    </row>
    <row r="37" spans="1:24" s="395" customFormat="1" ht="12.75" customHeight="1">
      <c r="A37" s="600">
        <v>7</v>
      </c>
      <c r="B37" s="603" t="s">
        <v>615</v>
      </c>
      <c r="C37" s="5">
        <v>368809</v>
      </c>
      <c r="D37" s="5">
        <v>376388</v>
      </c>
      <c r="E37" s="5">
        <v>384741</v>
      </c>
      <c r="F37" s="5">
        <v>400615</v>
      </c>
      <c r="G37" s="5">
        <v>413669</v>
      </c>
      <c r="H37" s="5">
        <v>416319</v>
      </c>
      <c r="I37" s="5">
        <v>417902</v>
      </c>
      <c r="J37" s="5">
        <v>412413</v>
      </c>
      <c r="K37" s="5">
        <v>440677</v>
      </c>
      <c r="L37" s="5">
        <v>457733</v>
      </c>
      <c r="M37" s="5">
        <v>457922</v>
      </c>
      <c r="N37" s="657">
        <f t="shared" si="2"/>
        <v>15.003439560354623</v>
      </c>
      <c r="O37" s="657">
        <f t="shared" si="2"/>
        <v>14.832130318841859</v>
      </c>
      <c r="P37" s="657">
        <f t="shared" si="2"/>
        <v>14.562937016615574</v>
      </c>
      <c r="Q37" s="657">
        <f t="shared" si="2"/>
        <v>14.475590248457012</v>
      </c>
      <c r="R37" s="657">
        <f t="shared" si="2"/>
        <v>14.373898074927778</v>
      </c>
      <c r="S37" s="657">
        <f t="shared" si="2"/>
        <v>14.206502548044998</v>
      </c>
      <c r="T37" s="657">
        <f t="shared" si="2"/>
        <v>14.396389723803535</v>
      </c>
      <c r="U37" s="657">
        <f t="shared" si="2"/>
        <v>14.11240911829994</v>
      </c>
      <c r="V37" s="657">
        <f t="shared" si="2"/>
        <v>13.99798039926344</v>
      </c>
      <c r="W37" s="657">
        <f t="shared" si="2"/>
        <v>13.886965760493961</v>
      </c>
      <c r="X37" s="657">
        <f t="shared" si="2"/>
        <v>13.65245774172544</v>
      </c>
    </row>
    <row r="38" spans="1:24" s="115" customFormat="1" ht="12.75" customHeight="1">
      <c r="A38" s="604">
        <v>71</v>
      </c>
      <c r="B38" s="605" t="s">
        <v>616</v>
      </c>
      <c r="C38" s="606">
        <v>98146</v>
      </c>
      <c r="D38" s="606">
        <v>100428</v>
      </c>
      <c r="E38" s="606">
        <v>103664</v>
      </c>
      <c r="F38" s="606">
        <v>110634</v>
      </c>
      <c r="G38" s="606">
        <v>116374</v>
      </c>
      <c r="H38" s="606">
        <v>121288</v>
      </c>
      <c r="I38" s="606">
        <v>126443</v>
      </c>
      <c r="J38" s="606">
        <v>125656</v>
      </c>
      <c r="K38" s="606">
        <v>137470</v>
      </c>
      <c r="L38" s="606">
        <v>149415</v>
      </c>
      <c r="M38" s="606">
        <v>155925</v>
      </c>
      <c r="N38" s="559">
        <f t="shared" si="2"/>
        <v>3.9926563047283681</v>
      </c>
      <c r="O38" s="559">
        <f t="shared" si="2"/>
        <v>3.9575150739679539</v>
      </c>
      <c r="P38" s="559">
        <f t="shared" si="2"/>
        <v>3.9238144697093289</v>
      </c>
      <c r="Q38" s="559">
        <f t="shared" si="2"/>
        <v>3.9975848421746392</v>
      </c>
      <c r="R38" s="559">
        <f t="shared" si="2"/>
        <v>4.043687137715529</v>
      </c>
      <c r="S38" s="559">
        <f t="shared" si="2"/>
        <v>4.1388413237139829</v>
      </c>
      <c r="T38" s="559">
        <f t="shared" si="2"/>
        <v>4.3558602395941888</v>
      </c>
      <c r="U38" s="559">
        <f t="shared" si="2"/>
        <v>4.2998374934085426</v>
      </c>
      <c r="V38" s="559">
        <f t="shared" si="2"/>
        <v>4.3666957102066704</v>
      </c>
      <c r="W38" s="559">
        <f t="shared" si="2"/>
        <v>4.5330377951867247</v>
      </c>
      <c r="X38" s="559">
        <f t="shared" si="2"/>
        <v>4.648738154922758</v>
      </c>
    </row>
    <row r="39" spans="1:24" s="115" customFormat="1" ht="12.75" customHeight="1">
      <c r="A39" s="604">
        <v>72</v>
      </c>
      <c r="B39" s="605" t="s">
        <v>617</v>
      </c>
      <c r="C39" s="606">
        <v>102263</v>
      </c>
      <c r="D39" s="606">
        <v>104231</v>
      </c>
      <c r="E39" s="606">
        <v>106329</v>
      </c>
      <c r="F39" s="606">
        <v>110705</v>
      </c>
      <c r="G39" s="606">
        <v>114993</v>
      </c>
      <c r="H39" s="606">
        <v>114006</v>
      </c>
      <c r="I39" s="606">
        <v>111881</v>
      </c>
      <c r="J39" s="606">
        <v>110688</v>
      </c>
      <c r="K39" s="606">
        <v>117004</v>
      </c>
      <c r="L39" s="606">
        <v>122278</v>
      </c>
      <c r="M39" s="606">
        <v>123040</v>
      </c>
      <c r="N39" s="559">
        <f t="shared" si="2"/>
        <v>4.1601390957393791</v>
      </c>
      <c r="O39" s="559">
        <f t="shared" si="2"/>
        <v>4.1073779590826645</v>
      </c>
      <c r="P39" s="559">
        <f t="shared" si="2"/>
        <v>4.0246881149649179</v>
      </c>
      <c r="Q39" s="559">
        <f t="shared" si="2"/>
        <v>4.0001503150292264</v>
      </c>
      <c r="R39" s="559">
        <f t="shared" si="2"/>
        <v>3.9957010588904898</v>
      </c>
      <c r="S39" s="559">
        <f t="shared" si="2"/>
        <v>3.890349778637098</v>
      </c>
      <c r="T39" s="559">
        <f t="shared" si="2"/>
        <v>3.8542109841275312</v>
      </c>
      <c r="U39" s="559">
        <f t="shared" si="2"/>
        <v>3.7876457349462402</v>
      </c>
      <c r="V39" s="559">
        <f t="shared" si="2"/>
        <v>3.7165990025243421</v>
      </c>
      <c r="W39" s="559">
        <f t="shared" si="2"/>
        <v>3.7097399559605284</v>
      </c>
      <c r="X39" s="559">
        <f t="shared" si="2"/>
        <v>3.6683068307307756</v>
      </c>
    </row>
    <row r="40" spans="1:24" s="115" customFormat="1" ht="23.25" customHeight="1">
      <c r="A40" s="604">
        <v>73</v>
      </c>
      <c r="B40" s="605" t="s">
        <v>618</v>
      </c>
      <c r="C40" s="606">
        <v>19495</v>
      </c>
      <c r="D40" s="606">
        <v>19592</v>
      </c>
      <c r="E40" s="606">
        <v>19618</v>
      </c>
      <c r="F40" s="606">
        <v>20340</v>
      </c>
      <c r="G40" s="606">
        <v>20903</v>
      </c>
      <c r="H40" s="606">
        <v>22916</v>
      </c>
      <c r="I40" s="606">
        <v>23331</v>
      </c>
      <c r="J40" s="606">
        <v>20621</v>
      </c>
      <c r="K40" s="606">
        <v>24295</v>
      </c>
      <c r="L40" s="606">
        <v>23570</v>
      </c>
      <c r="M40" s="606">
        <v>21769</v>
      </c>
      <c r="N40" s="559">
        <f t="shared" si="2"/>
        <v>0.79307189962585878</v>
      </c>
      <c r="O40" s="559">
        <f t="shared" si="2"/>
        <v>0.77205197085653554</v>
      </c>
      <c r="P40" s="559">
        <f t="shared" si="2"/>
        <v>0.74256629366759541</v>
      </c>
      <c r="Q40" s="559">
        <f t="shared" si="2"/>
        <v>0.73495377270849982</v>
      </c>
      <c r="R40" s="559">
        <f t="shared" si="2"/>
        <v>0.72632368260666214</v>
      </c>
      <c r="S40" s="559">
        <f t="shared" si="2"/>
        <v>0.7819874000249788</v>
      </c>
      <c r="T40" s="559">
        <f t="shared" si="2"/>
        <v>0.8037342933177164</v>
      </c>
      <c r="U40" s="559">
        <f t="shared" si="2"/>
        <v>0.7056324326063026</v>
      </c>
      <c r="V40" s="559">
        <f t="shared" si="2"/>
        <v>0.77172381086397812</v>
      </c>
      <c r="W40" s="559">
        <f t="shared" si="2"/>
        <v>0.71508015147442427</v>
      </c>
      <c r="X40" s="559">
        <f t="shared" si="2"/>
        <v>0.64901959848974522</v>
      </c>
    </row>
    <row r="41" spans="1:24" s="237" customFormat="1" ht="12.75" customHeight="1">
      <c r="A41" s="604">
        <v>74</v>
      </c>
      <c r="B41" s="605" t="s">
        <v>619</v>
      </c>
      <c r="C41" s="606">
        <v>33942</v>
      </c>
      <c r="D41" s="606">
        <v>34311</v>
      </c>
      <c r="E41" s="606">
        <v>34549</v>
      </c>
      <c r="F41" s="606">
        <v>35590</v>
      </c>
      <c r="G41" s="606">
        <v>37607</v>
      </c>
      <c r="H41" s="606">
        <v>38478</v>
      </c>
      <c r="I41" s="606">
        <v>39559</v>
      </c>
      <c r="J41" s="606">
        <v>39353</v>
      </c>
      <c r="K41" s="606">
        <v>42499</v>
      </c>
      <c r="L41" s="606">
        <v>45755</v>
      </c>
      <c r="M41" s="606">
        <v>45697</v>
      </c>
      <c r="N41" s="559">
        <f t="shared" si="2"/>
        <v>1.3807871975943011</v>
      </c>
      <c r="O41" s="559">
        <f t="shared" si="2"/>
        <v>1.3520761112728967</v>
      </c>
      <c r="P41" s="559">
        <f t="shared" si="2"/>
        <v>1.3077236660170126</v>
      </c>
      <c r="Q41" s="559">
        <f t="shared" si="2"/>
        <v>1.2859884351374389</v>
      </c>
      <c r="R41" s="559">
        <f t="shared" si="2"/>
        <v>1.3067432776055468</v>
      </c>
      <c r="S41" s="559">
        <f t="shared" si="2"/>
        <v>1.3130263212672864</v>
      </c>
      <c r="T41" s="559">
        <f t="shared" si="2"/>
        <v>1.3627759165640367</v>
      </c>
      <c r="U41" s="559">
        <f t="shared" si="2"/>
        <v>1.3466249512805308</v>
      </c>
      <c r="V41" s="559">
        <f t="shared" si="2"/>
        <v>1.3499687276356536</v>
      </c>
      <c r="W41" s="559">
        <f t="shared" si="2"/>
        <v>1.3881413801744711</v>
      </c>
      <c r="X41" s="559">
        <f t="shared" si="2"/>
        <v>1.3624074873529279</v>
      </c>
    </row>
    <row r="42" spans="1:24" s="237" customFormat="1" ht="22.5" customHeight="1">
      <c r="A42" s="604">
        <v>75</v>
      </c>
      <c r="B42" s="605" t="s">
        <v>620</v>
      </c>
      <c r="C42" s="606">
        <v>114963</v>
      </c>
      <c r="D42" s="606">
        <v>117826</v>
      </c>
      <c r="E42" s="606">
        <v>120581</v>
      </c>
      <c r="F42" s="606">
        <v>123346</v>
      </c>
      <c r="G42" s="606">
        <v>123792</v>
      </c>
      <c r="H42" s="606">
        <v>119631</v>
      </c>
      <c r="I42" s="606">
        <v>116688</v>
      </c>
      <c r="J42" s="606">
        <v>116095</v>
      </c>
      <c r="K42" s="606">
        <v>119409</v>
      </c>
      <c r="L42" s="606">
        <v>116715</v>
      </c>
      <c r="M42" s="606">
        <v>111491</v>
      </c>
      <c r="N42" s="559">
        <f t="shared" si="2"/>
        <v>4.6767850626667151</v>
      </c>
      <c r="O42" s="559">
        <f t="shared" si="2"/>
        <v>4.6431092036618091</v>
      </c>
      <c r="P42" s="559">
        <f t="shared" si="2"/>
        <v>4.5641444722567197</v>
      </c>
      <c r="Q42" s="559">
        <f t="shared" si="2"/>
        <v>4.4569128834072078</v>
      </c>
      <c r="R42" s="559">
        <f t="shared" si="2"/>
        <v>4.3014429181095499</v>
      </c>
      <c r="S42" s="559">
        <f t="shared" si="2"/>
        <v>4.0822977244016512</v>
      </c>
      <c r="T42" s="559">
        <f t="shared" si="2"/>
        <v>4.0198082902000634</v>
      </c>
      <c r="U42" s="559">
        <f t="shared" si="2"/>
        <v>3.9726685060583238</v>
      </c>
      <c r="V42" s="559">
        <f t="shared" si="2"/>
        <v>3.792993148032795</v>
      </c>
      <c r="W42" s="559">
        <f t="shared" ref="W42:X54" si="3">+L42*100/L$5</f>
        <v>3.540966477697812</v>
      </c>
      <c r="X42" s="559">
        <f t="shared" si="3"/>
        <v>3.3239856702292334</v>
      </c>
    </row>
    <row r="43" spans="1:24" s="262" customFormat="1" ht="12.75" customHeight="1">
      <c r="A43" s="600">
        <v>8</v>
      </c>
      <c r="B43" s="603" t="s">
        <v>621</v>
      </c>
      <c r="C43" s="5">
        <v>274804</v>
      </c>
      <c r="D43" s="5">
        <v>280377</v>
      </c>
      <c r="E43" s="5">
        <v>291313</v>
      </c>
      <c r="F43" s="5">
        <v>307015</v>
      </c>
      <c r="G43" s="5">
        <v>315599</v>
      </c>
      <c r="H43" s="5">
        <v>307042</v>
      </c>
      <c r="I43" s="5">
        <v>302090</v>
      </c>
      <c r="J43" s="5">
        <v>298377</v>
      </c>
      <c r="K43" s="5">
        <v>315144</v>
      </c>
      <c r="L43" s="5">
        <v>324386</v>
      </c>
      <c r="M43" s="5">
        <v>323244</v>
      </c>
      <c r="N43" s="657">
        <f t="shared" ref="N43:V54" si="4">+C43*100/C$5</f>
        <v>11.179242385472403</v>
      </c>
      <c r="O43" s="657">
        <f t="shared" si="4"/>
        <v>11.04867371543706</v>
      </c>
      <c r="P43" s="657">
        <f t="shared" si="4"/>
        <v>11.026568187745347</v>
      </c>
      <c r="Q43" s="657">
        <f t="shared" si="4"/>
        <v>11.093502090860376</v>
      </c>
      <c r="R43" s="657">
        <f t="shared" si="4"/>
        <v>10.966226278858535</v>
      </c>
      <c r="S43" s="657">
        <f t="shared" si="4"/>
        <v>10.477525540167113</v>
      </c>
      <c r="T43" s="657">
        <f t="shared" si="4"/>
        <v>10.406758933108264</v>
      </c>
      <c r="U43" s="657">
        <f t="shared" si="4"/>
        <v>10.210197776236397</v>
      </c>
      <c r="V43" s="657">
        <f t="shared" si="4"/>
        <v>10.010460121461927</v>
      </c>
      <c r="W43" s="657">
        <f t="shared" si="3"/>
        <v>9.8414081466348158</v>
      </c>
      <c r="X43" s="657">
        <f t="shared" si="3"/>
        <v>9.637176310084028</v>
      </c>
    </row>
    <row r="44" spans="1:24" s="237" customFormat="1" ht="12.75" customHeight="1">
      <c r="A44" s="604">
        <v>81</v>
      </c>
      <c r="B44" s="605" t="s">
        <v>622</v>
      </c>
      <c r="C44" s="606">
        <v>142396</v>
      </c>
      <c r="D44" s="606">
        <v>144184</v>
      </c>
      <c r="E44" s="606">
        <v>150285</v>
      </c>
      <c r="F44" s="606">
        <v>155358</v>
      </c>
      <c r="G44" s="606">
        <v>157097</v>
      </c>
      <c r="H44" s="606">
        <v>147320</v>
      </c>
      <c r="I44" s="606">
        <v>142969</v>
      </c>
      <c r="J44" s="606">
        <v>140883</v>
      </c>
      <c r="K44" s="606">
        <v>149878</v>
      </c>
      <c r="L44" s="606">
        <v>150252</v>
      </c>
      <c r="M44" s="606">
        <v>146720</v>
      </c>
      <c r="N44" s="559">
        <f t="shared" si="4"/>
        <v>5.792781032014557</v>
      </c>
      <c r="O44" s="559">
        <f t="shared" si="4"/>
        <v>5.681785492342728</v>
      </c>
      <c r="P44" s="559">
        <f t="shared" si="4"/>
        <v>5.6884787156608514</v>
      </c>
      <c r="Q44" s="559">
        <f t="shared" si="4"/>
        <v>5.6136159400416474</v>
      </c>
      <c r="R44" s="559">
        <f t="shared" si="4"/>
        <v>5.4587031319168924</v>
      </c>
      <c r="S44" s="559">
        <f t="shared" si="4"/>
        <v>5.0271593546727127</v>
      </c>
      <c r="T44" s="559">
        <f t="shared" si="4"/>
        <v>4.9251677245441936</v>
      </c>
      <c r="U44" s="559">
        <f t="shared" si="4"/>
        <v>4.8208920034369678</v>
      </c>
      <c r="V44" s="559">
        <f t="shared" si="4"/>
        <v>4.760832324538848</v>
      </c>
      <c r="W44" s="559">
        <f t="shared" si="3"/>
        <v>4.5584311802857531</v>
      </c>
      <c r="X44" s="559">
        <f t="shared" si="3"/>
        <v>4.3743008631731088</v>
      </c>
    </row>
    <row r="45" spans="1:24" s="237" customFormat="1" ht="12.75" customHeight="1">
      <c r="A45" s="604">
        <v>82</v>
      </c>
      <c r="B45" s="605" t="s">
        <v>623</v>
      </c>
      <c r="C45" s="606">
        <v>25968</v>
      </c>
      <c r="D45" s="606">
        <v>27366</v>
      </c>
      <c r="E45" s="606">
        <v>29220</v>
      </c>
      <c r="F45" s="606">
        <v>33912</v>
      </c>
      <c r="G45" s="606">
        <v>37327</v>
      </c>
      <c r="H45" s="606">
        <v>37999</v>
      </c>
      <c r="I45" s="606">
        <v>37725</v>
      </c>
      <c r="J45" s="606">
        <v>36829</v>
      </c>
      <c r="K45" s="606">
        <v>38654</v>
      </c>
      <c r="L45" s="606">
        <v>40754</v>
      </c>
      <c r="M45" s="606">
        <v>40591</v>
      </c>
      <c r="N45" s="559">
        <f t="shared" si="4"/>
        <v>1.0563986196196102</v>
      </c>
      <c r="O45" s="559">
        <f t="shared" si="4"/>
        <v>1.0783980315669637</v>
      </c>
      <c r="P45" s="559">
        <f t="shared" si="4"/>
        <v>1.1060142267798521</v>
      </c>
      <c r="Q45" s="559">
        <f t="shared" si="4"/>
        <v>1.2253565555600121</v>
      </c>
      <c r="R45" s="559">
        <f t="shared" si="4"/>
        <v>1.2970140219422512</v>
      </c>
      <c r="S45" s="559">
        <f t="shared" si="4"/>
        <v>1.2966808873079583</v>
      </c>
      <c r="T45" s="559">
        <f t="shared" si="4"/>
        <v>1.2995960831259203</v>
      </c>
      <c r="U45" s="559">
        <f t="shared" si="4"/>
        <v>1.2602558974083466</v>
      </c>
      <c r="V45" s="559">
        <f t="shared" si="4"/>
        <v>1.2278333889745301</v>
      </c>
      <c r="W45" s="559">
        <f t="shared" si="3"/>
        <v>1.2364181796007079</v>
      </c>
      <c r="X45" s="559">
        <f t="shared" si="3"/>
        <v>1.2101775241075496</v>
      </c>
    </row>
    <row r="46" spans="1:24" s="237" customFormat="1" ht="12.75" customHeight="1">
      <c r="A46" s="604">
        <v>83</v>
      </c>
      <c r="B46" s="605" t="s">
        <v>624</v>
      </c>
      <c r="C46" s="606">
        <v>106440</v>
      </c>
      <c r="D46" s="606">
        <v>108827</v>
      </c>
      <c r="E46" s="606">
        <v>111808</v>
      </c>
      <c r="F46" s="606">
        <v>117745</v>
      </c>
      <c r="G46" s="606">
        <v>121175</v>
      </c>
      <c r="H46" s="606">
        <v>121723</v>
      </c>
      <c r="I46" s="606">
        <v>121396</v>
      </c>
      <c r="J46" s="606">
        <v>120665</v>
      </c>
      <c r="K46" s="606">
        <v>126612</v>
      </c>
      <c r="L46" s="606">
        <v>133380</v>
      </c>
      <c r="M46" s="606">
        <v>135933</v>
      </c>
      <c r="N46" s="559">
        <f t="shared" si="4"/>
        <v>4.3300627338382363</v>
      </c>
      <c r="O46" s="559">
        <f t="shared" si="4"/>
        <v>4.2884901915273677</v>
      </c>
      <c r="P46" s="559">
        <f t="shared" si="4"/>
        <v>4.2320752453046442</v>
      </c>
      <c r="Q46" s="559">
        <f t="shared" si="4"/>
        <v>4.2545295952587168</v>
      </c>
      <c r="R46" s="559">
        <f t="shared" si="4"/>
        <v>4.2105091249993922</v>
      </c>
      <c r="S46" s="559">
        <f t="shared" si="4"/>
        <v>4.1536852981864421</v>
      </c>
      <c r="T46" s="559">
        <f t="shared" si="4"/>
        <v>4.1819951254381511</v>
      </c>
      <c r="U46" s="559">
        <f t="shared" si="4"/>
        <v>4.1290498753910816</v>
      </c>
      <c r="V46" s="559">
        <f t="shared" si="4"/>
        <v>4.0217944079485486</v>
      </c>
      <c r="W46" s="559">
        <f t="shared" si="3"/>
        <v>4.0465587867483546</v>
      </c>
      <c r="X46" s="559">
        <f t="shared" si="3"/>
        <v>4.052697922803369</v>
      </c>
    </row>
    <row r="47" spans="1:24" s="262" customFormat="1" ht="12.75" customHeight="1">
      <c r="A47" s="600">
        <v>9</v>
      </c>
      <c r="B47" s="603" t="s">
        <v>625</v>
      </c>
      <c r="C47" s="5">
        <v>322924</v>
      </c>
      <c r="D47" s="5">
        <v>341417</v>
      </c>
      <c r="E47" s="5">
        <v>366149</v>
      </c>
      <c r="F47" s="5">
        <v>391370</v>
      </c>
      <c r="G47" s="5">
        <v>413348</v>
      </c>
      <c r="H47" s="5">
        <v>422064</v>
      </c>
      <c r="I47" s="5">
        <v>411879</v>
      </c>
      <c r="J47" s="5">
        <v>420318</v>
      </c>
      <c r="K47" s="5">
        <v>444590</v>
      </c>
      <c r="L47" s="5">
        <v>477160</v>
      </c>
      <c r="M47" s="5">
        <v>485614</v>
      </c>
      <c r="N47" s="657">
        <f t="shared" si="4"/>
        <v>13.136801749924638</v>
      </c>
      <c r="O47" s="657">
        <f t="shared" si="4"/>
        <v>13.454045923536434</v>
      </c>
      <c r="P47" s="657">
        <f t="shared" si="4"/>
        <v>13.859206130089529</v>
      </c>
      <c r="Q47" s="657">
        <f t="shared" si="4"/>
        <v>14.141536776053371</v>
      </c>
      <c r="R47" s="657">
        <f t="shared" si="4"/>
        <v>14.362744178256643</v>
      </c>
      <c r="S47" s="657">
        <f t="shared" si="4"/>
        <v>14.402545383319195</v>
      </c>
      <c r="T47" s="657">
        <f t="shared" si="4"/>
        <v>14.188902190107912</v>
      </c>
      <c r="U47" s="657">
        <f t="shared" si="4"/>
        <v>14.382911246215793</v>
      </c>
      <c r="V47" s="657">
        <f t="shared" si="4"/>
        <v>14.122275738712329</v>
      </c>
      <c r="W47" s="657">
        <f t="shared" si="3"/>
        <v>14.476353206514055</v>
      </c>
      <c r="X47" s="657">
        <f t="shared" si="3"/>
        <v>14.478065290137311</v>
      </c>
    </row>
    <row r="48" spans="1:24" s="237" customFormat="1" ht="12.75" customHeight="1">
      <c r="A48" s="604">
        <v>91</v>
      </c>
      <c r="B48" s="605" t="s">
        <v>626</v>
      </c>
      <c r="C48" s="606">
        <v>123993</v>
      </c>
      <c r="D48" s="606">
        <v>125174</v>
      </c>
      <c r="E48" s="606">
        <v>130002</v>
      </c>
      <c r="F48" s="606">
        <v>134282</v>
      </c>
      <c r="G48" s="606">
        <v>135743</v>
      </c>
      <c r="H48" s="606">
        <v>138855</v>
      </c>
      <c r="I48" s="606">
        <v>134415</v>
      </c>
      <c r="J48" s="606">
        <v>133230</v>
      </c>
      <c r="K48" s="606">
        <v>140521</v>
      </c>
      <c r="L48" s="606">
        <v>151717</v>
      </c>
      <c r="M48" s="606">
        <v>152139</v>
      </c>
      <c r="N48" s="559">
        <f t="shared" si="4"/>
        <v>5.0441325493874896</v>
      </c>
      <c r="O48" s="559">
        <f t="shared" si="4"/>
        <v>4.9326680992239682</v>
      </c>
      <c r="P48" s="559">
        <f t="shared" si="4"/>
        <v>4.9207413247718801</v>
      </c>
      <c r="Q48" s="559">
        <f t="shared" si="4"/>
        <v>4.8520679698546099</v>
      </c>
      <c r="R48" s="559">
        <f t="shared" si="4"/>
        <v>4.7167083982239939</v>
      </c>
      <c r="S48" s="559">
        <f t="shared" si="4"/>
        <v>4.7382990238465892</v>
      </c>
      <c r="T48" s="559">
        <f t="shared" si="4"/>
        <v>4.6304892647679416</v>
      </c>
      <c r="U48" s="559">
        <f t="shared" si="4"/>
        <v>4.5590130932611261</v>
      </c>
      <c r="V48" s="559">
        <f t="shared" si="4"/>
        <v>4.463609863198891</v>
      </c>
      <c r="W48" s="559">
        <f t="shared" si="3"/>
        <v>4.602877188852152</v>
      </c>
      <c r="X48" s="559">
        <f t="shared" si="3"/>
        <v>4.5358625887560908</v>
      </c>
    </row>
    <row r="49" spans="1:24" s="237" customFormat="1" ht="12.75" customHeight="1">
      <c r="A49" s="604">
        <v>92</v>
      </c>
      <c r="B49" s="605" t="s">
        <v>627</v>
      </c>
      <c r="C49" s="606">
        <v>24043</v>
      </c>
      <c r="D49" s="606">
        <v>25268</v>
      </c>
      <c r="E49" s="606">
        <v>28435</v>
      </c>
      <c r="F49" s="606">
        <v>28434</v>
      </c>
      <c r="G49" s="606">
        <v>29855</v>
      </c>
      <c r="H49" s="606">
        <v>31428</v>
      </c>
      <c r="I49" s="606">
        <v>33347</v>
      </c>
      <c r="J49" s="606">
        <v>31818</v>
      </c>
      <c r="K49" s="606">
        <v>37089</v>
      </c>
      <c r="L49" s="606">
        <v>41365</v>
      </c>
      <c r="M49" s="606">
        <v>45439</v>
      </c>
      <c r="N49" s="559">
        <f t="shared" si="4"/>
        <v>0.97808810888456132</v>
      </c>
      <c r="O49" s="559">
        <f t="shared" si="4"/>
        <v>0.99572321353628723</v>
      </c>
      <c r="P49" s="559">
        <f t="shared" si="4"/>
        <v>1.0763009766764235</v>
      </c>
      <c r="Q49" s="559">
        <f t="shared" si="4"/>
        <v>1.0274176781314397</v>
      </c>
      <c r="R49" s="559">
        <f t="shared" si="4"/>
        <v>1.0373818850988805</v>
      </c>
      <c r="S49" s="559">
        <f t="shared" si="4"/>
        <v>1.0724515625757127</v>
      </c>
      <c r="T49" s="559">
        <f t="shared" si="4"/>
        <v>1.1487774840026526</v>
      </c>
      <c r="U49" s="559">
        <f t="shared" si="4"/>
        <v>1.0887838970305677</v>
      </c>
      <c r="V49" s="559">
        <f t="shared" si="4"/>
        <v>1.1781216061384681</v>
      </c>
      <c r="W49" s="559">
        <f t="shared" si="3"/>
        <v>1.2549550473372746</v>
      </c>
      <c r="X49" s="559">
        <f t="shared" si="3"/>
        <v>1.3547154915602706</v>
      </c>
    </row>
    <row r="50" spans="1:24" s="237" customFormat="1" ht="12.75" customHeight="1">
      <c r="A50" s="604">
        <v>93</v>
      </c>
      <c r="B50" s="605" t="s">
        <v>628</v>
      </c>
      <c r="C50" s="606">
        <v>80191</v>
      </c>
      <c r="D50" s="606">
        <v>83184</v>
      </c>
      <c r="E50" s="606">
        <v>89988</v>
      </c>
      <c r="F50" s="606">
        <v>96411</v>
      </c>
      <c r="G50" s="606">
        <v>98575</v>
      </c>
      <c r="H50" s="606">
        <v>99099</v>
      </c>
      <c r="I50" s="606">
        <v>99281</v>
      </c>
      <c r="J50" s="606">
        <v>98648</v>
      </c>
      <c r="K50" s="606">
        <v>103533</v>
      </c>
      <c r="L50" s="606">
        <v>109965</v>
      </c>
      <c r="M50" s="606">
        <v>113754</v>
      </c>
      <c r="N50" s="559">
        <f t="shared" si="4"/>
        <v>3.2622328136905487</v>
      </c>
      <c r="O50" s="559">
        <f t="shared" si="4"/>
        <v>3.2779895438816893</v>
      </c>
      <c r="P50" s="559">
        <f t="shared" si="4"/>
        <v>3.4061604462513801</v>
      </c>
      <c r="Q50" s="559">
        <f t="shared" si="4"/>
        <v>3.4836592025859967</v>
      </c>
      <c r="R50" s="559">
        <f t="shared" si="4"/>
        <v>3.4252192036048283</v>
      </c>
      <c r="S50" s="559">
        <f t="shared" si="4"/>
        <v>3.381662129301596</v>
      </c>
      <c r="T50" s="559">
        <f t="shared" si="4"/>
        <v>3.4201510597435258</v>
      </c>
      <c r="U50" s="559">
        <f t="shared" si="4"/>
        <v>3.3756475540345536</v>
      </c>
      <c r="V50" s="559">
        <f t="shared" si="4"/>
        <v>3.2886964935246037</v>
      </c>
      <c r="W50" s="559">
        <f t="shared" si="3"/>
        <v>3.3361811139959721</v>
      </c>
      <c r="X50" s="559">
        <f t="shared" si="3"/>
        <v>3.3914546100694785</v>
      </c>
    </row>
    <row r="51" spans="1:24" s="237" customFormat="1" ht="12.75" customHeight="1">
      <c r="A51" s="604">
        <v>94</v>
      </c>
      <c r="B51" s="605" t="s">
        <v>629</v>
      </c>
      <c r="C51" s="606">
        <v>32711</v>
      </c>
      <c r="D51" s="606">
        <v>35463</v>
      </c>
      <c r="E51" s="606">
        <v>37507</v>
      </c>
      <c r="F51" s="606">
        <v>39968</v>
      </c>
      <c r="G51" s="606">
        <v>43788</v>
      </c>
      <c r="H51" s="606">
        <v>45734</v>
      </c>
      <c r="I51" s="606">
        <v>38348</v>
      </c>
      <c r="J51" s="606">
        <v>39756</v>
      </c>
      <c r="K51" s="606">
        <v>48668</v>
      </c>
      <c r="L51" s="606">
        <v>58102</v>
      </c>
      <c r="M51" s="606">
        <v>63061</v>
      </c>
      <c r="N51" s="559">
        <f t="shared" si="4"/>
        <v>1.3307091515086673</v>
      </c>
      <c r="O51" s="559">
        <f t="shared" si="4"/>
        <v>1.3974723888569478</v>
      </c>
      <c r="P51" s="559">
        <f t="shared" si="4"/>
        <v>1.4196877345596137</v>
      </c>
      <c r="Q51" s="559">
        <f t="shared" si="4"/>
        <v>1.4441805500301534</v>
      </c>
      <c r="R51" s="559">
        <f t="shared" si="4"/>
        <v>1.5215165963727946</v>
      </c>
      <c r="S51" s="559">
        <f t="shared" si="4"/>
        <v>1.5606306402837486</v>
      </c>
      <c r="T51" s="559">
        <f t="shared" si="4"/>
        <v>1.3210579349426852</v>
      </c>
      <c r="U51" s="559">
        <f t="shared" si="4"/>
        <v>1.3604152558409468</v>
      </c>
      <c r="V51" s="559">
        <f t="shared" si="4"/>
        <v>1.5459252696903925</v>
      </c>
      <c r="W51" s="559">
        <f t="shared" si="3"/>
        <v>1.7627317336006363</v>
      </c>
      <c r="X51" s="559">
        <f t="shared" si="3"/>
        <v>1.8800966925610649</v>
      </c>
    </row>
    <row r="52" spans="1:24" s="237" customFormat="1" ht="12.75" customHeight="1">
      <c r="A52" s="604">
        <v>95</v>
      </c>
      <c r="B52" s="605" t="s">
        <v>630</v>
      </c>
      <c r="C52" s="606">
        <v>2668</v>
      </c>
      <c r="D52" s="606">
        <v>2669</v>
      </c>
      <c r="E52" s="606">
        <v>2817</v>
      </c>
      <c r="F52" s="606">
        <v>2793</v>
      </c>
      <c r="G52" s="606">
        <v>2886</v>
      </c>
      <c r="H52" s="606">
        <v>2899</v>
      </c>
      <c r="I52" s="606">
        <v>2689</v>
      </c>
      <c r="J52" s="606">
        <v>2613</v>
      </c>
      <c r="K52" s="606">
        <v>2616</v>
      </c>
      <c r="L52" s="606">
        <v>2716</v>
      </c>
      <c r="M52" s="606">
        <v>2678</v>
      </c>
      <c r="N52" s="559">
        <f t="shared" si="4"/>
        <v>0.1085363338395379</v>
      </c>
      <c r="O52" s="559">
        <f t="shared" si="4"/>
        <v>0.10517592436791004</v>
      </c>
      <c r="P52" s="559">
        <f t="shared" si="4"/>
        <v>0.10662703890618902</v>
      </c>
      <c r="Q52" s="559">
        <f t="shared" si="4"/>
        <v>0.10092064342059193</v>
      </c>
      <c r="R52" s="559">
        <f t="shared" si="4"/>
        <v>0.10028082801525269</v>
      </c>
      <c r="S52" s="559">
        <f t="shared" si="4"/>
        <v>9.8925705737144945E-2</v>
      </c>
      <c r="T52" s="559">
        <f t="shared" si="4"/>
        <v>9.263389973560239E-2</v>
      </c>
      <c r="U52" s="559">
        <f t="shared" si="4"/>
        <v>8.9414555375601015E-2</v>
      </c>
      <c r="V52" s="559">
        <f t="shared" si="4"/>
        <v>8.3096500894017974E-2</v>
      </c>
      <c r="W52" s="559">
        <f t="shared" si="3"/>
        <v>8.2399562639140278E-2</v>
      </c>
      <c r="X52" s="559">
        <f t="shared" si="3"/>
        <v>7.9841723770294346E-2</v>
      </c>
    </row>
    <row r="53" spans="1:24" s="237" customFormat="1" ht="12.75" customHeight="1">
      <c r="A53" s="604">
        <v>96</v>
      </c>
      <c r="B53" s="605" t="s">
        <v>631</v>
      </c>
      <c r="C53" s="606">
        <v>59318</v>
      </c>
      <c r="D53" s="606">
        <v>69659</v>
      </c>
      <c r="E53" s="606">
        <v>77400</v>
      </c>
      <c r="F53" s="606">
        <v>89482</v>
      </c>
      <c r="G53" s="606">
        <v>102501</v>
      </c>
      <c r="H53" s="606">
        <v>104049</v>
      </c>
      <c r="I53" s="606">
        <v>103799</v>
      </c>
      <c r="J53" s="606">
        <v>114253</v>
      </c>
      <c r="K53" s="606">
        <v>112163</v>
      </c>
      <c r="L53" s="606">
        <v>113295</v>
      </c>
      <c r="M53" s="606">
        <v>108543</v>
      </c>
      <c r="N53" s="559">
        <f t="shared" si="4"/>
        <v>2.413102792613834</v>
      </c>
      <c r="O53" s="559">
        <f t="shared" si="4"/>
        <v>2.7450167536696308</v>
      </c>
      <c r="P53" s="559">
        <f t="shared" si="4"/>
        <v>2.9296886089240433</v>
      </c>
      <c r="Q53" s="559">
        <f t="shared" si="4"/>
        <v>3.233290732030579</v>
      </c>
      <c r="R53" s="559">
        <f t="shared" si="4"/>
        <v>3.5616372669408927</v>
      </c>
      <c r="S53" s="559">
        <f t="shared" si="4"/>
        <v>3.5505763215744031</v>
      </c>
      <c r="T53" s="559">
        <f t="shared" si="4"/>
        <v>3.5757925469155047</v>
      </c>
      <c r="U53" s="559">
        <f t="shared" si="4"/>
        <v>3.9096368906729975</v>
      </c>
      <c r="V53" s="559">
        <f t="shared" si="4"/>
        <v>3.5628260052659551</v>
      </c>
      <c r="W53" s="559">
        <f t="shared" si="3"/>
        <v>3.4372085600888798</v>
      </c>
      <c r="X53" s="559">
        <f t="shared" si="3"/>
        <v>3.2360941834201116</v>
      </c>
    </row>
    <row r="54" spans="1:24" s="237" customFormat="1" ht="12.75" customHeight="1">
      <c r="A54" s="705" t="s">
        <v>632</v>
      </c>
      <c r="B54" s="706"/>
      <c r="C54" s="699">
        <v>1789</v>
      </c>
      <c r="D54" s="699">
        <v>1991</v>
      </c>
      <c r="E54" s="699">
        <v>2376</v>
      </c>
      <c r="F54" s="699">
        <v>2397</v>
      </c>
      <c r="G54" s="699">
        <v>1959</v>
      </c>
      <c r="H54" s="699">
        <v>2102</v>
      </c>
      <c r="I54" s="699">
        <v>2152</v>
      </c>
      <c r="J54" s="699">
        <v>2658</v>
      </c>
      <c r="K54" s="699">
        <v>2839</v>
      </c>
      <c r="L54" s="699">
        <v>2640</v>
      </c>
      <c r="M54" s="699">
        <v>4310</v>
      </c>
      <c r="N54" s="657">
        <f t="shared" si="4"/>
        <v>7.2777924002598693E-2</v>
      </c>
      <c r="O54" s="657">
        <f t="shared" si="4"/>
        <v>7.8458323498129964E-2</v>
      </c>
      <c r="P54" s="657">
        <f t="shared" si="4"/>
        <v>8.9934627064645056E-2</v>
      </c>
      <c r="Q54" s="657">
        <f t="shared" si="4"/>
        <v>8.661180890768308E-2</v>
      </c>
      <c r="R54" s="657">
        <f t="shared" si="4"/>
        <v>6.8070042301413725E-2</v>
      </c>
      <c r="S54" s="657">
        <f t="shared" si="4"/>
        <v>7.1728814577260672E-2</v>
      </c>
      <c r="T54" s="657">
        <f t="shared" si="4"/>
        <v>7.4134679148760263E-2</v>
      </c>
      <c r="U54" s="657">
        <f t="shared" si="4"/>
        <v>9.0954415686317458E-2</v>
      </c>
      <c r="V54" s="657">
        <f t="shared" si="4"/>
        <v>9.0180032889188466E-2</v>
      </c>
      <c r="W54" s="657">
        <f t="shared" si="3"/>
        <v>8.0093831136719557E-2</v>
      </c>
      <c r="X54" s="657">
        <f t="shared" si="3"/>
        <v>0.12849806924942817</v>
      </c>
    </row>
    <row r="55" spans="1:24" s="237" customFormat="1" ht="15" customHeight="1">
      <c r="A55" s="19" t="s">
        <v>769</v>
      </c>
      <c r="B55" s="613"/>
      <c r="C55" s="95"/>
      <c r="D55" s="95"/>
      <c r="E55" s="96"/>
      <c r="F55" s="96"/>
      <c r="G55" s="96"/>
      <c r="H55" s="96"/>
      <c r="I55" s="96"/>
      <c r="J55" s="96"/>
      <c r="K55" s="96"/>
      <c r="L55" s="96"/>
      <c r="M55" s="96"/>
      <c r="N55" s="559"/>
      <c r="O55" s="560"/>
      <c r="P55" s="651"/>
      <c r="Q55" s="651"/>
      <c r="R55" s="651"/>
      <c r="S55" s="651"/>
      <c r="T55" s="651"/>
      <c r="U55" s="651"/>
      <c r="V55" s="651"/>
      <c r="W55" s="651"/>
      <c r="X55" s="651"/>
    </row>
    <row r="56" spans="1:24" ht="10.5" customHeight="1">
      <c r="B56" s="205"/>
      <c r="C56" s="205"/>
      <c r="D56" s="205"/>
      <c r="E56" s="205"/>
      <c r="F56" s="205"/>
      <c r="G56" s="205"/>
      <c r="H56" s="205"/>
      <c r="I56" s="205"/>
      <c r="J56" s="205"/>
      <c r="K56" s="205"/>
      <c r="L56" s="592"/>
      <c r="M56" s="592"/>
      <c r="N56" s="651"/>
      <c r="O56" s="2"/>
    </row>
    <row r="57" spans="1:24" ht="15" customHeight="1">
      <c r="B57" s="205"/>
      <c r="N57" s="653"/>
      <c r="O57" s="2"/>
    </row>
    <row r="58" spans="1:24">
      <c r="N58" s="651"/>
      <c r="O58" s="2"/>
    </row>
    <row r="59" spans="1:24">
      <c r="N59" s="651"/>
      <c r="O59" s="2"/>
    </row>
    <row r="60" spans="1:24">
      <c r="N60" s="651"/>
      <c r="O60" s="560"/>
    </row>
    <row r="61" spans="1:24">
      <c r="N61" s="653"/>
      <c r="O61" s="2"/>
    </row>
    <row r="62" spans="1:24">
      <c r="N62" s="651"/>
      <c r="O62" s="2"/>
    </row>
    <row r="63" spans="1:24">
      <c r="N63" s="651"/>
      <c r="O63" s="2"/>
    </row>
    <row r="64" spans="1:24">
      <c r="N64" s="651"/>
      <c r="O64" s="2"/>
    </row>
    <row r="65" spans="14:15">
      <c r="N65" s="651"/>
      <c r="O65" s="560"/>
    </row>
    <row r="66" spans="14:15">
      <c r="N66" s="651"/>
      <c r="O66" s="2"/>
    </row>
    <row r="67" spans="14:15">
      <c r="N67" s="651"/>
      <c r="O67" s="2"/>
    </row>
    <row r="68" spans="14:15">
      <c r="N68" s="651"/>
      <c r="O68" s="560"/>
    </row>
    <row r="69" spans="14:15">
      <c r="N69" s="651"/>
      <c r="O69" s="2"/>
    </row>
    <row r="70" spans="14:15">
      <c r="N70" s="651"/>
      <c r="O70" s="2"/>
    </row>
    <row r="71" spans="14:15">
      <c r="O71" s="2"/>
    </row>
    <row r="72" spans="14:15">
      <c r="O72" s="651"/>
    </row>
    <row r="73" spans="14:15">
      <c r="O73" s="651"/>
    </row>
    <row r="74" spans="14:15">
      <c r="O74" s="653"/>
    </row>
    <row r="75" spans="14:15">
      <c r="O75" s="651"/>
    </row>
    <row r="76" spans="14:15">
      <c r="O76" s="651"/>
    </row>
    <row r="77" spans="14:15">
      <c r="O77" s="651"/>
    </row>
    <row r="78" spans="14:15">
      <c r="O78" s="653"/>
    </row>
    <row r="79" spans="14:15">
      <c r="O79" s="651"/>
    </row>
    <row r="80" spans="14:15">
      <c r="O80" s="651"/>
    </row>
    <row r="81" spans="15:15">
      <c r="O81" s="651"/>
    </row>
    <row r="82" spans="15:15">
      <c r="O82" s="651"/>
    </row>
    <row r="83" spans="15:15">
      <c r="O83" s="651"/>
    </row>
    <row r="84" spans="15:15">
      <c r="O84" s="651"/>
    </row>
    <row r="85" spans="15:15">
      <c r="O85" s="651"/>
    </row>
    <row r="86" spans="15:15">
      <c r="O86" s="651"/>
    </row>
    <row r="87" spans="15:15">
      <c r="O87" s="651"/>
    </row>
  </sheetData>
  <mergeCells count="1">
    <mergeCell ref="A1:M1"/>
  </mergeCells>
  <conditionalFormatting sqref="A1 A56:B56 E55 A2:C4 B55 A57:C1048576 C7:G53 A5:L6 C54:L54 Y1:XFD1048576">
    <cfRule type="cellIs" dxfId="1289" priority="37" operator="equal">
      <formula>0</formula>
    </cfRule>
  </conditionalFormatting>
  <conditionalFormatting sqref="C55">
    <cfRule type="cellIs" dxfId="1288" priority="36" operator="equal">
      <formula>0</formula>
    </cfRule>
  </conditionalFormatting>
  <conditionalFormatting sqref="E2:E4 E57:E1048576 F4:G4">
    <cfRule type="cellIs" dxfId="1287" priority="34" operator="equal">
      <formula>0</formula>
    </cfRule>
  </conditionalFormatting>
  <conditionalFormatting sqref="D2:D4 D57:D1048576">
    <cfRule type="cellIs" dxfId="1286" priority="33" operator="equal">
      <formula>0</formula>
    </cfRule>
  </conditionalFormatting>
  <conditionalFormatting sqref="D55">
    <cfRule type="cellIs" dxfId="1285" priority="32" operator="equal">
      <formula>0</formula>
    </cfRule>
  </conditionalFormatting>
  <conditionalFormatting sqref="G55">
    <cfRule type="cellIs" dxfId="1284" priority="31" operator="equal">
      <formula>0</formula>
    </cfRule>
  </conditionalFormatting>
  <conditionalFormatting sqref="G2:G3 G57:G1048576">
    <cfRule type="cellIs" dxfId="1283" priority="30" operator="equal">
      <formula>0</formula>
    </cfRule>
  </conditionalFormatting>
  <conditionalFormatting sqref="F55">
    <cfRule type="cellIs" dxfId="1282" priority="29" operator="equal">
      <formula>0</formula>
    </cfRule>
  </conditionalFormatting>
  <conditionalFormatting sqref="F2:F3 F57:F1048576">
    <cfRule type="cellIs" dxfId="1281" priority="28" operator="equal">
      <formula>0</formula>
    </cfRule>
  </conditionalFormatting>
  <conditionalFormatting sqref="H4">
    <cfRule type="cellIs" dxfId="1280" priority="27" operator="equal">
      <formula>0</formula>
    </cfRule>
  </conditionalFormatting>
  <conditionalFormatting sqref="H7:H53">
    <cfRule type="cellIs" dxfId="1279" priority="26" operator="equal">
      <formula>0</formula>
    </cfRule>
  </conditionalFormatting>
  <conditionalFormatting sqref="H55">
    <cfRule type="cellIs" dxfId="1278" priority="25" operator="equal">
      <formula>0</formula>
    </cfRule>
  </conditionalFormatting>
  <conditionalFormatting sqref="H2:H3 H57:H1048576">
    <cfRule type="cellIs" dxfId="1277" priority="24" operator="equal">
      <formula>0</formula>
    </cfRule>
  </conditionalFormatting>
  <conditionalFormatting sqref="I4">
    <cfRule type="cellIs" dxfId="1276" priority="23" operator="equal">
      <formula>0</formula>
    </cfRule>
  </conditionalFormatting>
  <conditionalFormatting sqref="I7:I53">
    <cfRule type="cellIs" dxfId="1275" priority="22" operator="equal">
      <formula>0</formula>
    </cfRule>
  </conditionalFormatting>
  <conditionalFormatting sqref="I55">
    <cfRule type="cellIs" dxfId="1274" priority="21" operator="equal">
      <formula>0</formula>
    </cfRule>
  </conditionalFormatting>
  <conditionalFormatting sqref="I2:I3 I57:I1048576">
    <cfRule type="cellIs" dxfId="1273" priority="20" operator="equal">
      <formula>0</formula>
    </cfRule>
  </conditionalFormatting>
  <conditionalFormatting sqref="J7:J53">
    <cfRule type="cellIs" dxfId="1272" priority="18" operator="equal">
      <formula>0</formula>
    </cfRule>
  </conditionalFormatting>
  <conditionalFormatting sqref="J4">
    <cfRule type="cellIs" dxfId="1271" priority="19" operator="equal">
      <formula>0</formula>
    </cfRule>
  </conditionalFormatting>
  <conditionalFormatting sqref="J55">
    <cfRule type="cellIs" dxfId="1270" priority="17" operator="equal">
      <formula>0</formula>
    </cfRule>
  </conditionalFormatting>
  <conditionalFormatting sqref="J2:J3 J57:J1048576">
    <cfRule type="cellIs" dxfId="1269" priority="16" operator="equal">
      <formula>0</formula>
    </cfRule>
  </conditionalFormatting>
  <conditionalFormatting sqref="K4">
    <cfRule type="cellIs" dxfId="1268" priority="15" operator="equal">
      <formula>0</formula>
    </cfRule>
  </conditionalFormatting>
  <conditionalFormatting sqref="K7:K53">
    <cfRule type="cellIs" dxfId="1267" priority="14" operator="equal">
      <formula>0</formula>
    </cfRule>
  </conditionalFormatting>
  <conditionalFormatting sqref="K55">
    <cfRule type="cellIs" dxfId="1266" priority="13" operator="equal">
      <formula>0</formula>
    </cfRule>
  </conditionalFormatting>
  <conditionalFormatting sqref="K2:K3 K57:K1048576">
    <cfRule type="cellIs" dxfId="1265" priority="12" operator="equal">
      <formula>0</formula>
    </cfRule>
  </conditionalFormatting>
  <conditionalFormatting sqref="L4">
    <cfRule type="cellIs" dxfId="1264" priority="11" operator="equal">
      <formula>0</formula>
    </cfRule>
  </conditionalFormatting>
  <conditionalFormatting sqref="L7:L53">
    <cfRule type="cellIs" dxfId="1263" priority="10" operator="equal">
      <formula>0</formula>
    </cfRule>
  </conditionalFormatting>
  <conditionalFormatting sqref="L55">
    <cfRule type="cellIs" dxfId="1262" priority="9" operator="equal">
      <formula>0</formula>
    </cfRule>
  </conditionalFormatting>
  <conditionalFormatting sqref="L2:L3 L57:L1048576">
    <cfRule type="cellIs" dxfId="1261" priority="8" operator="equal">
      <formula>0</formula>
    </cfRule>
  </conditionalFormatting>
  <conditionalFormatting sqref="M5:M6 M54">
    <cfRule type="cellIs" dxfId="1260" priority="7" operator="equal">
      <formula>0</formula>
    </cfRule>
  </conditionalFormatting>
  <conditionalFormatting sqref="M4">
    <cfRule type="cellIs" dxfId="1259" priority="6" operator="equal">
      <formula>0</formula>
    </cfRule>
  </conditionalFormatting>
  <conditionalFormatting sqref="M7:M53">
    <cfRule type="cellIs" dxfId="1258" priority="5" operator="equal">
      <formula>0</formula>
    </cfRule>
  </conditionalFormatting>
  <conditionalFormatting sqref="M55">
    <cfRule type="cellIs" dxfId="1257" priority="4" operator="equal">
      <formula>0</formula>
    </cfRule>
  </conditionalFormatting>
  <conditionalFormatting sqref="M2:M3 M57:M1048576">
    <cfRule type="cellIs" dxfId="1256" priority="3" operator="equal">
      <formula>0</formula>
    </cfRule>
  </conditionalFormatting>
  <conditionalFormatting sqref="N1:X3 N56:N77 O55:X1048576 N95:N1048576 P4:W4">
    <cfRule type="cellIs" dxfId="1255" priority="2" operator="equal">
      <formula>0</formula>
    </cfRule>
  </conditionalFormatting>
  <conditionalFormatting sqref="A55">
    <cfRule type="cellIs" dxfId="1254"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75" orientation="portrait" r:id="rId1"/>
  <headerFooter>
    <oddHeader>&amp;C&amp;G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tabColor indexed="25"/>
    <pageSetUpPr fitToPage="1"/>
  </sheetPr>
  <dimension ref="A1:P330"/>
  <sheetViews>
    <sheetView showGridLines="0" workbookViewId="0">
      <selection activeCell="Y70" sqref="Y70"/>
    </sheetView>
  </sheetViews>
  <sheetFormatPr defaultColWidth="9.140625" defaultRowHeight="17.25" customHeight="1"/>
  <cols>
    <col min="1" max="1" width="29.7109375" style="45" customWidth="1"/>
    <col min="2" max="2" width="7.5703125" style="45" customWidth="1"/>
    <col min="3" max="3" width="7.5703125" style="116" customWidth="1"/>
    <col min="4" max="4" width="7.5703125" style="195" customWidth="1"/>
    <col min="5" max="13" width="7.5703125" style="45" customWidth="1"/>
    <col min="14" max="16384" width="9.140625" style="45"/>
  </cols>
  <sheetData>
    <row r="1" spans="1:16" s="37" customFormat="1" ht="28.5" customHeight="1">
      <c r="A1" s="964" t="s">
        <v>633</v>
      </c>
      <c r="B1" s="964"/>
      <c r="C1" s="964"/>
      <c r="D1" s="964"/>
      <c r="E1" s="964"/>
      <c r="F1" s="964"/>
      <c r="G1" s="964"/>
      <c r="H1" s="964"/>
      <c r="I1" s="964"/>
      <c r="J1" s="964"/>
      <c r="K1" s="964"/>
      <c r="L1" s="964"/>
    </row>
    <row r="2" spans="1:16" s="39" customFormat="1" ht="15" customHeight="1">
      <c r="A2" s="155"/>
      <c r="B2" s="155"/>
      <c r="C2" s="155"/>
      <c r="D2" s="155"/>
      <c r="E2" s="155"/>
      <c r="F2" s="155"/>
      <c r="G2" s="155"/>
      <c r="H2" s="155"/>
      <c r="I2" s="155"/>
      <c r="J2" s="155"/>
      <c r="K2" s="155"/>
      <c r="L2" s="155"/>
    </row>
    <row r="3" spans="1:16" s="39" customFormat="1" ht="15" customHeight="1">
      <c r="A3" s="155" t="s">
        <v>13</v>
      </c>
      <c r="B3" s="155"/>
      <c r="C3" s="155"/>
      <c r="D3" s="155"/>
      <c r="E3" s="155"/>
      <c r="F3" s="155"/>
      <c r="G3" s="155"/>
      <c r="H3" s="155"/>
      <c r="I3" s="155"/>
      <c r="J3" s="155"/>
      <c r="K3" s="155"/>
      <c r="L3" s="155"/>
    </row>
    <row r="4" spans="1:16" s="42" customFormat="1" ht="28.5" customHeight="1" thickBot="1">
      <c r="A4" s="157"/>
      <c r="B4" s="157">
        <v>2014</v>
      </c>
      <c r="C4" s="157">
        <v>2015</v>
      </c>
      <c r="D4" s="157">
        <v>2016</v>
      </c>
      <c r="E4" s="157">
        <v>2017</v>
      </c>
      <c r="F4" s="157">
        <v>2018</v>
      </c>
      <c r="G4" s="157">
        <v>2019</v>
      </c>
      <c r="H4" s="157">
        <v>2020</v>
      </c>
      <c r="I4" s="157">
        <v>2021</v>
      </c>
      <c r="J4" s="157">
        <v>2022</v>
      </c>
      <c r="K4" s="157">
        <v>2023</v>
      </c>
      <c r="L4" s="157">
        <v>2024</v>
      </c>
    </row>
    <row r="5" spans="1:16" s="42" customFormat="1" ht="19.5" customHeight="1" thickTop="1">
      <c r="A5" s="15" t="s">
        <v>11</v>
      </c>
      <c r="B5" s="371">
        <v>2458163</v>
      </c>
      <c r="C5" s="371">
        <v>2537653</v>
      </c>
      <c r="D5" s="371">
        <v>2641919</v>
      </c>
      <c r="E5" s="371">
        <v>2767521</v>
      </c>
      <c r="F5" s="371">
        <v>2877918</v>
      </c>
      <c r="G5" s="371">
        <v>2930482</v>
      </c>
      <c r="H5" s="371">
        <v>2902825</v>
      </c>
      <c r="I5" s="371">
        <v>2922343</v>
      </c>
      <c r="J5" s="371">
        <v>3148147</v>
      </c>
      <c r="K5" s="371">
        <v>3296134</v>
      </c>
      <c r="L5" s="371">
        <v>3354136</v>
      </c>
    </row>
    <row r="6" spans="1:16" s="39" customFormat="1" ht="18" customHeight="1">
      <c r="A6" s="146" t="s">
        <v>196</v>
      </c>
      <c r="B6" s="349">
        <v>1802130</v>
      </c>
      <c r="C6" s="349">
        <v>1855203</v>
      </c>
      <c r="D6" s="349">
        <v>1911498</v>
      </c>
      <c r="E6" s="349">
        <v>1975887</v>
      </c>
      <c r="F6" s="349">
        <v>2073822</v>
      </c>
      <c r="G6" s="349">
        <v>2078465</v>
      </c>
      <c r="H6" s="349">
        <v>2014412</v>
      </c>
      <c r="I6" s="349">
        <v>2031422</v>
      </c>
      <c r="J6" s="349">
        <v>2174986</v>
      </c>
      <c r="K6" s="349">
        <v>2283826</v>
      </c>
      <c r="L6" s="349">
        <v>2309722</v>
      </c>
      <c r="N6" s="561">
        <f>+L6/$L$5*100</f>
        <v>68.861906613208291</v>
      </c>
      <c r="O6" s="561">
        <f>+B6/$B$5*100</f>
        <v>73.312062706988925</v>
      </c>
      <c r="P6" s="561">
        <f>+N6-O6</f>
        <v>-4.4501560937806346</v>
      </c>
    </row>
    <row r="7" spans="1:16" s="39" customFormat="1" ht="16.5" customHeight="1">
      <c r="A7" s="146" t="s">
        <v>197</v>
      </c>
      <c r="B7" s="349">
        <v>97038</v>
      </c>
      <c r="C7" s="349">
        <v>99532</v>
      </c>
      <c r="D7" s="349">
        <v>101183</v>
      </c>
      <c r="E7" s="349">
        <v>106693</v>
      </c>
      <c r="F7" s="349">
        <v>109690</v>
      </c>
      <c r="G7" s="349">
        <v>104297</v>
      </c>
      <c r="H7" s="349">
        <v>118636</v>
      </c>
      <c r="I7" s="349">
        <v>118983</v>
      </c>
      <c r="J7" s="349">
        <v>122759</v>
      </c>
      <c r="K7" s="349">
        <v>125278</v>
      </c>
      <c r="L7" s="349">
        <v>126087</v>
      </c>
      <c r="N7" s="561">
        <f t="shared" ref="N7:N10" si="0">+L7/$L$5*100</f>
        <v>3.7591498973208002</v>
      </c>
      <c r="O7" s="561">
        <f t="shared" ref="O7:O10" si="1">+B7/$B$5*100</f>
        <v>3.9475819951728179</v>
      </c>
      <c r="P7" s="561">
        <f t="shared" ref="P7:P10" si="2">+N7-O7</f>
        <v>-0.18843209785201775</v>
      </c>
    </row>
    <row r="8" spans="1:16" s="39" customFormat="1" ht="16.5" customHeight="1">
      <c r="A8" s="146" t="s">
        <v>141</v>
      </c>
      <c r="B8" s="349">
        <v>205896</v>
      </c>
      <c r="C8" s="349">
        <v>212238</v>
      </c>
      <c r="D8" s="349">
        <v>219677</v>
      </c>
      <c r="E8" s="349">
        <v>226793</v>
      </c>
      <c r="F8" s="349">
        <v>211503</v>
      </c>
      <c r="G8" s="349">
        <v>219272</v>
      </c>
      <c r="H8" s="349">
        <v>221568</v>
      </c>
      <c r="I8" s="349">
        <v>214401</v>
      </c>
      <c r="J8" s="349">
        <v>232081</v>
      </c>
      <c r="K8" s="349">
        <v>241230</v>
      </c>
      <c r="L8" s="349">
        <v>243628</v>
      </c>
      <c r="N8" s="561">
        <f t="shared" si="0"/>
        <v>7.2635098874941271</v>
      </c>
      <c r="O8" s="561">
        <f t="shared" si="1"/>
        <v>8.3760108666512352</v>
      </c>
      <c r="P8" s="561">
        <f t="shared" si="2"/>
        <v>-1.1125009791571081</v>
      </c>
    </row>
    <row r="9" spans="1:16" s="39" customFormat="1" ht="16.5" customHeight="1">
      <c r="A9" s="146" t="s">
        <v>43</v>
      </c>
      <c r="B9" s="349">
        <v>80029</v>
      </c>
      <c r="C9" s="349">
        <v>78163</v>
      </c>
      <c r="D9" s="349">
        <v>79933</v>
      </c>
      <c r="E9" s="349">
        <v>85752</v>
      </c>
      <c r="F9" s="349">
        <v>86043</v>
      </c>
      <c r="G9" s="349">
        <v>91984</v>
      </c>
      <c r="H9" s="349">
        <v>90179</v>
      </c>
      <c r="I9" s="349">
        <v>89882</v>
      </c>
      <c r="J9" s="349">
        <v>92151</v>
      </c>
      <c r="K9" s="349">
        <v>93763</v>
      </c>
      <c r="L9" s="349">
        <v>97792</v>
      </c>
      <c r="N9" s="561">
        <f t="shared" si="0"/>
        <v>2.9155645447888818</v>
      </c>
      <c r="O9" s="561">
        <f t="shared" si="1"/>
        <v>3.2556425265533653</v>
      </c>
      <c r="P9" s="561">
        <f t="shared" si="2"/>
        <v>-0.34007798176448345</v>
      </c>
    </row>
    <row r="10" spans="1:16" ht="15" customHeight="1">
      <c r="A10" s="187" t="s">
        <v>198</v>
      </c>
      <c r="B10" s="350">
        <v>273070</v>
      </c>
      <c r="C10" s="350">
        <v>292517</v>
      </c>
      <c r="D10" s="350">
        <v>329628</v>
      </c>
      <c r="E10" s="350">
        <v>372396</v>
      </c>
      <c r="F10" s="350">
        <v>396860</v>
      </c>
      <c r="G10" s="350">
        <v>436464</v>
      </c>
      <c r="H10" s="350">
        <v>458030</v>
      </c>
      <c r="I10" s="350">
        <v>467655</v>
      </c>
      <c r="J10" s="350">
        <v>526170</v>
      </c>
      <c r="K10" s="350">
        <v>552037</v>
      </c>
      <c r="L10" s="350">
        <v>576907</v>
      </c>
      <c r="N10" s="561">
        <f t="shared" si="0"/>
        <v>17.199869057187904</v>
      </c>
      <c r="O10" s="561">
        <f t="shared" si="1"/>
        <v>11.108701904633664</v>
      </c>
      <c r="P10" s="561">
        <f t="shared" si="2"/>
        <v>6.0911671525542399</v>
      </c>
    </row>
    <row r="11" spans="1:16" ht="15" customHeight="1">
      <c r="A11" s="19" t="s">
        <v>769</v>
      </c>
      <c r="B11" s="44"/>
      <c r="C11" s="188"/>
      <c r="D11" s="188"/>
      <c r="E11" s="143"/>
      <c r="F11" s="143"/>
      <c r="G11" s="143"/>
      <c r="H11" s="143"/>
      <c r="I11" s="143"/>
      <c r="J11" s="143"/>
      <c r="K11" s="143"/>
      <c r="L11" s="143"/>
    </row>
    <row r="12" spans="1:16" ht="15" customHeight="1">
      <c r="A12" s="36" t="s">
        <v>97</v>
      </c>
      <c r="B12" s="44"/>
      <c r="C12" s="188"/>
      <c r="D12" s="188"/>
      <c r="E12" s="143"/>
      <c r="F12" s="143"/>
      <c r="G12" s="143"/>
      <c r="H12" s="143"/>
      <c r="I12" s="143"/>
      <c r="J12" s="143"/>
      <c r="K12" s="143"/>
      <c r="L12" s="143"/>
    </row>
    <row r="13" spans="1:16" ht="22.5" customHeight="1">
      <c r="A13" s="990" t="s">
        <v>201</v>
      </c>
      <c r="B13" s="990"/>
      <c r="C13" s="990"/>
      <c r="D13" s="990"/>
      <c r="E13" s="990"/>
      <c r="F13" s="990"/>
      <c r="G13" s="990"/>
      <c r="H13" s="990"/>
      <c r="I13" s="990"/>
      <c r="J13" s="990"/>
      <c r="K13" s="990"/>
      <c r="L13" s="990"/>
    </row>
    <row r="14" spans="1:16" ht="17.25" customHeight="1">
      <c r="C14" s="143"/>
      <c r="D14" s="143"/>
    </row>
    <row r="15" spans="1:16" ht="17.25" customHeight="1">
      <c r="C15" s="204"/>
      <c r="D15" s="204"/>
    </row>
    <row r="16" spans="1:16" ht="17.25" customHeight="1">
      <c r="A16" s="76"/>
      <c r="B16" s="476"/>
      <c r="C16" s="476"/>
      <c r="D16" s="476"/>
      <c r="E16" s="476"/>
      <c r="F16" s="476"/>
      <c r="G16" s="476"/>
      <c r="H16" s="476"/>
      <c r="I16" s="476"/>
      <c r="J16" s="476"/>
      <c r="K16" s="476"/>
      <c r="L16" s="476"/>
    </row>
    <row r="17" spans="1:12" ht="17.25" customHeight="1">
      <c r="A17" s="146"/>
      <c r="B17" s="477"/>
      <c r="C17" s="477"/>
      <c r="D17" s="477"/>
      <c r="E17" s="477"/>
      <c r="F17" s="477"/>
      <c r="G17" s="477"/>
      <c r="H17" s="477"/>
      <c r="I17" s="477"/>
      <c r="J17" s="477"/>
      <c r="K17" s="477"/>
      <c r="L17" s="477"/>
    </row>
    <row r="18" spans="1:12" ht="17.25" customHeight="1">
      <c r="A18" s="146"/>
      <c r="B18" s="477"/>
      <c r="C18" s="477"/>
      <c r="D18" s="477"/>
      <c r="E18" s="477"/>
      <c r="F18" s="477"/>
      <c r="G18" s="477"/>
      <c r="H18" s="477"/>
      <c r="I18" s="477"/>
      <c r="J18" s="477"/>
      <c r="K18" s="477"/>
      <c r="L18" s="477"/>
    </row>
    <row r="19" spans="1:12" ht="17.25" customHeight="1">
      <c r="A19" s="146"/>
      <c r="B19" s="477"/>
      <c r="C19" s="477"/>
      <c r="D19" s="477"/>
      <c r="E19" s="477"/>
      <c r="F19" s="477"/>
      <c r="G19" s="477"/>
      <c r="H19" s="477"/>
      <c r="I19" s="477"/>
      <c r="J19" s="477"/>
      <c r="K19" s="477"/>
      <c r="L19" s="477"/>
    </row>
    <row r="20" spans="1:12" ht="17.25" customHeight="1">
      <c r="A20" s="146"/>
      <c r="B20" s="477"/>
      <c r="C20" s="477"/>
      <c r="D20" s="477"/>
      <c r="E20" s="477"/>
      <c r="F20" s="477"/>
      <c r="G20" s="477"/>
      <c r="H20" s="477"/>
      <c r="I20" s="477"/>
      <c r="J20" s="477"/>
      <c r="K20" s="477"/>
      <c r="L20" s="477"/>
    </row>
    <row r="21" spans="1:12" ht="17.25" customHeight="1">
      <c r="A21" s="146"/>
      <c r="B21" s="477"/>
      <c r="C21" s="477"/>
      <c r="D21" s="477"/>
      <c r="E21" s="477"/>
      <c r="F21" s="477"/>
      <c r="G21" s="477"/>
      <c r="H21" s="477"/>
      <c r="I21" s="477"/>
      <c r="J21" s="477"/>
      <c r="K21" s="477"/>
      <c r="L21" s="477"/>
    </row>
    <row r="25" spans="1:12" ht="17.25" customHeight="1">
      <c r="C25" s="204"/>
      <c r="D25" s="204"/>
    </row>
    <row r="26" spans="1:12" ht="17.25" customHeight="1">
      <c r="C26" s="204"/>
      <c r="D26" s="204"/>
    </row>
    <row r="27" spans="1:12" ht="17.25" customHeight="1">
      <c r="C27" s="204"/>
      <c r="D27" s="204"/>
    </row>
    <row r="28" spans="1:12" ht="17.25" customHeight="1">
      <c r="C28" s="204"/>
      <c r="D28" s="204"/>
    </row>
    <row r="29" spans="1:12" ht="17.25" customHeight="1">
      <c r="C29" s="204"/>
      <c r="D29" s="204"/>
    </row>
    <row r="30" spans="1:12" ht="17.25" customHeight="1">
      <c r="C30" s="204"/>
      <c r="D30" s="204"/>
    </row>
    <row r="31" spans="1:12" ht="17.25" customHeight="1">
      <c r="C31" s="204"/>
      <c r="D31" s="204"/>
    </row>
    <row r="32" spans="1:12" ht="17.25" customHeight="1">
      <c r="C32" s="204"/>
      <c r="D32" s="204"/>
    </row>
    <row r="33" spans="3:4" ht="17.25" customHeight="1">
      <c r="C33" s="204"/>
      <c r="D33" s="204"/>
    </row>
    <row r="34" spans="3:4" ht="17.25" customHeight="1">
      <c r="C34" s="204"/>
      <c r="D34" s="204"/>
    </row>
    <row r="35" spans="3:4" ht="17.25" customHeight="1">
      <c r="C35" s="204"/>
      <c r="D35" s="204"/>
    </row>
    <row r="36" spans="3:4" ht="17.25" customHeight="1">
      <c r="C36" s="204"/>
      <c r="D36" s="204"/>
    </row>
    <row r="37" spans="3:4" ht="17.25" customHeight="1">
      <c r="C37" s="204"/>
      <c r="D37" s="204"/>
    </row>
    <row r="38" spans="3:4" ht="17.25" customHeight="1">
      <c r="C38" s="204"/>
      <c r="D38" s="204"/>
    </row>
    <row r="39" spans="3:4" ht="17.25" customHeight="1">
      <c r="C39" s="204"/>
      <c r="D39" s="204"/>
    </row>
    <row r="40" spans="3:4" ht="17.25" customHeight="1">
      <c r="C40" s="204"/>
      <c r="D40" s="204"/>
    </row>
    <row r="41" spans="3:4" ht="17.25" customHeight="1">
      <c r="C41" s="204"/>
      <c r="D41" s="204"/>
    </row>
    <row r="42" spans="3:4" ht="17.25" customHeight="1">
      <c r="C42" s="204"/>
      <c r="D42" s="204"/>
    </row>
    <row r="43" spans="3:4" ht="17.25" customHeight="1">
      <c r="C43" s="204"/>
      <c r="D43" s="204"/>
    </row>
    <row r="44" spans="3:4" ht="17.25" customHeight="1">
      <c r="C44" s="204"/>
      <c r="D44" s="204"/>
    </row>
    <row r="45" spans="3:4" ht="17.25" customHeight="1">
      <c r="C45" s="204"/>
      <c r="D45" s="204"/>
    </row>
    <row r="46" spans="3:4" ht="17.25" customHeight="1">
      <c r="C46" s="204"/>
      <c r="D46" s="204"/>
    </row>
    <row r="47" spans="3:4" ht="17.25" customHeight="1">
      <c r="C47" s="204"/>
      <c r="D47" s="204"/>
    </row>
    <row r="48" spans="3:4" ht="17.25" customHeight="1">
      <c r="C48" s="204"/>
      <c r="D48" s="204"/>
    </row>
    <row r="49" spans="3:4" ht="17.25" customHeight="1">
      <c r="C49" s="204"/>
      <c r="D49" s="204"/>
    </row>
    <row r="50" spans="3:4" ht="17.25" customHeight="1">
      <c r="C50" s="204"/>
      <c r="D50" s="204"/>
    </row>
    <row r="51" spans="3:4" ht="17.25" customHeight="1">
      <c r="C51" s="204"/>
      <c r="D51" s="204"/>
    </row>
    <row r="52" spans="3:4" ht="17.25" customHeight="1">
      <c r="C52" s="204"/>
      <c r="D52" s="204"/>
    </row>
    <row r="53" spans="3:4" ht="17.25" customHeight="1">
      <c r="C53" s="204"/>
      <c r="D53" s="204"/>
    </row>
    <row r="54" spans="3:4" ht="17.25" customHeight="1">
      <c r="C54" s="204"/>
      <c r="D54" s="204"/>
    </row>
    <row r="55" spans="3:4" ht="17.25" customHeight="1">
      <c r="C55" s="204"/>
      <c r="D55" s="204"/>
    </row>
    <row r="56" spans="3:4" ht="17.25" customHeight="1">
      <c r="C56" s="204"/>
      <c r="D56" s="204"/>
    </row>
    <row r="57" spans="3:4" ht="17.25" customHeight="1">
      <c r="C57" s="204"/>
      <c r="D57" s="204"/>
    </row>
    <row r="58" spans="3:4" ht="17.25" customHeight="1">
      <c r="C58" s="204"/>
      <c r="D58" s="204"/>
    </row>
    <row r="59" spans="3:4" ht="17.25" customHeight="1">
      <c r="C59" s="204"/>
      <c r="D59" s="204"/>
    </row>
    <row r="60" spans="3:4" ht="17.25" customHeight="1">
      <c r="C60" s="204"/>
      <c r="D60" s="204"/>
    </row>
    <row r="61" spans="3:4" ht="17.25" customHeight="1">
      <c r="C61" s="204"/>
      <c r="D61" s="204"/>
    </row>
    <row r="62" spans="3:4" ht="17.25" customHeight="1">
      <c r="C62" s="204"/>
      <c r="D62" s="204"/>
    </row>
    <row r="63" spans="3:4" ht="17.25" customHeight="1">
      <c r="C63" s="204"/>
      <c r="D63" s="204"/>
    </row>
    <row r="64" spans="3:4" ht="17.25" customHeight="1">
      <c r="C64" s="204"/>
      <c r="D64" s="204"/>
    </row>
    <row r="65" spans="3:4" ht="17.25" customHeight="1">
      <c r="C65" s="204"/>
      <c r="D65" s="204"/>
    </row>
    <row r="66" spans="3:4" ht="17.25" customHeight="1">
      <c r="C66" s="204"/>
      <c r="D66" s="204"/>
    </row>
    <row r="67" spans="3:4" ht="17.25" customHeight="1">
      <c r="C67" s="204"/>
      <c r="D67" s="204"/>
    </row>
    <row r="68" spans="3:4" ht="17.25" customHeight="1">
      <c r="C68" s="204"/>
      <c r="D68" s="204"/>
    </row>
    <row r="69" spans="3:4" ht="17.25" customHeight="1">
      <c r="C69" s="204"/>
      <c r="D69" s="204"/>
    </row>
    <row r="70" spans="3:4" ht="17.25" customHeight="1">
      <c r="C70" s="204"/>
      <c r="D70" s="204"/>
    </row>
    <row r="71" spans="3:4" ht="17.25" customHeight="1">
      <c r="C71" s="204"/>
      <c r="D71" s="204"/>
    </row>
    <row r="72" spans="3:4" ht="17.25" customHeight="1">
      <c r="C72" s="204"/>
      <c r="D72" s="204"/>
    </row>
    <row r="73" spans="3:4" ht="17.25" customHeight="1">
      <c r="C73" s="204"/>
      <c r="D73" s="204"/>
    </row>
    <row r="74" spans="3:4" ht="17.25" customHeight="1">
      <c r="C74" s="204"/>
      <c r="D74" s="204"/>
    </row>
    <row r="75" spans="3:4" ht="17.25" customHeight="1">
      <c r="C75" s="204"/>
      <c r="D75" s="204"/>
    </row>
    <row r="76" spans="3:4" ht="17.25" customHeight="1">
      <c r="C76" s="204"/>
      <c r="D76" s="204"/>
    </row>
    <row r="77" spans="3:4" ht="17.25" customHeight="1">
      <c r="C77" s="204"/>
      <c r="D77" s="204"/>
    </row>
    <row r="78" spans="3:4" ht="17.25" customHeight="1">
      <c r="C78" s="204"/>
      <c r="D78" s="204"/>
    </row>
    <row r="79" spans="3:4" ht="17.25" customHeight="1">
      <c r="C79" s="204"/>
      <c r="D79" s="204"/>
    </row>
    <row r="80" spans="3:4" ht="17.25" customHeight="1">
      <c r="C80" s="204"/>
      <c r="D80" s="204"/>
    </row>
    <row r="81" spans="3:4" ht="17.25" customHeight="1">
      <c r="C81" s="204"/>
      <c r="D81" s="204"/>
    </row>
    <row r="82" spans="3:4" ht="17.25" customHeight="1">
      <c r="C82" s="204"/>
      <c r="D82" s="204"/>
    </row>
    <row r="83" spans="3:4" ht="17.25" customHeight="1">
      <c r="C83" s="204"/>
      <c r="D83" s="204"/>
    </row>
    <row r="84" spans="3:4" ht="17.25" customHeight="1">
      <c r="C84" s="204"/>
      <c r="D84" s="204"/>
    </row>
    <row r="85" spans="3:4" ht="17.25" customHeight="1">
      <c r="C85" s="204"/>
      <c r="D85" s="204"/>
    </row>
    <row r="86" spans="3:4" ht="17.25" customHeight="1">
      <c r="C86" s="204"/>
      <c r="D86" s="204"/>
    </row>
    <row r="87" spans="3:4" ht="17.25" customHeight="1">
      <c r="C87" s="204"/>
      <c r="D87" s="204"/>
    </row>
    <row r="88" spans="3:4" ht="17.25" customHeight="1">
      <c r="C88" s="204"/>
      <c r="D88" s="204"/>
    </row>
    <row r="89" spans="3:4" ht="17.25" customHeight="1">
      <c r="C89" s="204"/>
      <c r="D89" s="204"/>
    </row>
    <row r="90" spans="3:4" ht="17.25" customHeight="1">
      <c r="C90" s="204"/>
      <c r="D90" s="204"/>
    </row>
    <row r="91" spans="3:4" ht="17.25" customHeight="1">
      <c r="C91" s="204"/>
      <c r="D91" s="204"/>
    </row>
    <row r="92" spans="3:4" ht="17.25" customHeight="1">
      <c r="C92" s="204"/>
      <c r="D92" s="204"/>
    </row>
    <row r="93" spans="3:4" ht="17.25" customHeight="1">
      <c r="C93" s="204"/>
      <c r="D93" s="204"/>
    </row>
    <row r="94" spans="3:4" ht="17.25" customHeight="1">
      <c r="C94" s="204"/>
      <c r="D94" s="204"/>
    </row>
    <row r="95" spans="3:4" ht="17.25" customHeight="1">
      <c r="C95" s="204"/>
      <c r="D95" s="204"/>
    </row>
    <row r="96" spans="3:4" ht="17.25" customHeight="1">
      <c r="C96" s="204"/>
      <c r="D96" s="204"/>
    </row>
    <row r="97" spans="3:4" ht="17.25" customHeight="1">
      <c r="C97" s="204"/>
      <c r="D97" s="204"/>
    </row>
    <row r="98" spans="3:4" ht="17.25" customHeight="1">
      <c r="C98" s="204"/>
      <c r="D98" s="204"/>
    </row>
    <row r="99" spans="3:4" ht="17.25" customHeight="1">
      <c r="C99" s="204"/>
      <c r="D99" s="204"/>
    </row>
    <row r="100" spans="3:4" ht="17.25" customHeight="1">
      <c r="C100" s="204"/>
      <c r="D100" s="204"/>
    </row>
    <row r="101" spans="3:4" ht="17.25" customHeight="1">
      <c r="C101" s="204"/>
      <c r="D101" s="204"/>
    </row>
    <row r="102" spans="3:4" ht="17.25" customHeight="1">
      <c r="C102" s="204"/>
      <c r="D102" s="204"/>
    </row>
    <row r="103" spans="3:4" ht="17.25" customHeight="1">
      <c r="C103" s="204"/>
      <c r="D103" s="204"/>
    </row>
    <row r="104" spans="3:4" ht="17.25" customHeight="1">
      <c r="C104" s="204"/>
      <c r="D104" s="204"/>
    </row>
    <row r="105" spans="3:4" ht="17.25" customHeight="1">
      <c r="C105" s="204"/>
      <c r="D105" s="204"/>
    </row>
    <row r="106" spans="3:4" ht="17.25" customHeight="1">
      <c r="C106" s="204"/>
      <c r="D106" s="204"/>
    </row>
    <row r="107" spans="3:4" ht="17.25" customHeight="1">
      <c r="C107" s="204"/>
      <c r="D107" s="204"/>
    </row>
    <row r="108" spans="3:4" ht="17.25" customHeight="1">
      <c r="C108" s="204"/>
      <c r="D108" s="204"/>
    </row>
    <row r="109" spans="3:4" ht="17.25" customHeight="1">
      <c r="C109" s="204"/>
      <c r="D109" s="204"/>
    </row>
    <row r="110" spans="3:4" ht="17.25" customHeight="1">
      <c r="C110" s="204"/>
      <c r="D110" s="204"/>
    </row>
    <row r="111" spans="3:4" ht="17.25" customHeight="1">
      <c r="C111" s="204"/>
      <c r="D111" s="204"/>
    </row>
    <row r="112" spans="3:4" ht="17.25" customHeight="1">
      <c r="C112" s="204"/>
      <c r="D112" s="204"/>
    </row>
    <row r="113" spans="3:4" ht="17.25" customHeight="1">
      <c r="C113" s="204"/>
      <c r="D113" s="204"/>
    </row>
    <row r="114" spans="3:4" ht="17.25" customHeight="1">
      <c r="C114" s="204"/>
      <c r="D114" s="204"/>
    </row>
    <row r="115" spans="3:4" ht="17.25" customHeight="1">
      <c r="C115" s="204"/>
      <c r="D115" s="204"/>
    </row>
    <row r="116" spans="3:4" ht="17.25" customHeight="1">
      <c r="C116" s="204"/>
      <c r="D116" s="204"/>
    </row>
    <row r="117" spans="3:4" ht="17.25" customHeight="1">
      <c r="C117" s="204"/>
      <c r="D117" s="204"/>
    </row>
    <row r="118" spans="3:4" ht="17.25" customHeight="1">
      <c r="C118" s="204"/>
      <c r="D118" s="204"/>
    </row>
    <row r="119" spans="3:4" ht="17.25" customHeight="1">
      <c r="C119" s="204"/>
      <c r="D119" s="204"/>
    </row>
    <row r="120" spans="3:4" ht="17.25" customHeight="1">
      <c r="C120" s="204"/>
      <c r="D120" s="204"/>
    </row>
    <row r="121" spans="3:4" ht="17.25" customHeight="1">
      <c r="C121" s="204"/>
      <c r="D121" s="204"/>
    </row>
    <row r="122" spans="3:4" ht="17.25" customHeight="1">
      <c r="C122" s="204"/>
      <c r="D122" s="204"/>
    </row>
    <row r="123" spans="3:4" ht="17.25" customHeight="1">
      <c r="C123" s="204"/>
      <c r="D123" s="204"/>
    </row>
    <row r="124" spans="3:4" ht="17.25" customHeight="1">
      <c r="C124" s="204"/>
      <c r="D124" s="204"/>
    </row>
    <row r="125" spans="3:4" ht="17.25" customHeight="1">
      <c r="C125" s="204"/>
      <c r="D125" s="204"/>
    </row>
    <row r="126" spans="3:4" ht="17.25" customHeight="1">
      <c r="C126" s="204"/>
      <c r="D126" s="204"/>
    </row>
    <row r="127" spans="3:4" ht="17.25" customHeight="1">
      <c r="C127" s="204"/>
      <c r="D127" s="204"/>
    </row>
    <row r="128" spans="3:4" ht="17.25" customHeight="1">
      <c r="C128" s="204"/>
      <c r="D128" s="204"/>
    </row>
    <row r="129" spans="3:4" ht="17.25" customHeight="1">
      <c r="C129" s="204"/>
      <c r="D129" s="204"/>
    </row>
    <row r="130" spans="3:4" ht="17.25" customHeight="1">
      <c r="C130" s="204"/>
      <c r="D130" s="204"/>
    </row>
    <row r="131" spans="3:4" ht="17.25" customHeight="1">
      <c r="C131" s="204"/>
      <c r="D131" s="204"/>
    </row>
    <row r="132" spans="3:4" ht="17.25" customHeight="1">
      <c r="C132" s="204"/>
      <c r="D132" s="204"/>
    </row>
    <row r="133" spans="3:4" ht="17.25" customHeight="1">
      <c r="C133" s="204"/>
      <c r="D133" s="204"/>
    </row>
    <row r="134" spans="3:4" ht="17.25" customHeight="1">
      <c r="C134" s="204"/>
      <c r="D134" s="204"/>
    </row>
    <row r="135" spans="3:4" ht="17.25" customHeight="1">
      <c r="C135" s="204"/>
      <c r="D135" s="204"/>
    </row>
    <row r="136" spans="3:4" ht="17.25" customHeight="1">
      <c r="C136" s="204"/>
      <c r="D136" s="204"/>
    </row>
    <row r="137" spans="3:4" ht="17.25" customHeight="1">
      <c r="C137" s="204"/>
      <c r="D137" s="204"/>
    </row>
    <row r="138" spans="3:4" ht="17.25" customHeight="1">
      <c r="C138" s="204"/>
      <c r="D138" s="204"/>
    </row>
    <row r="139" spans="3:4" ht="17.25" customHeight="1">
      <c r="C139" s="204"/>
      <c r="D139" s="204"/>
    </row>
    <row r="140" spans="3:4" ht="17.25" customHeight="1">
      <c r="C140" s="204"/>
      <c r="D140" s="204"/>
    </row>
    <row r="141" spans="3:4" ht="17.25" customHeight="1">
      <c r="C141" s="204"/>
      <c r="D141" s="204"/>
    </row>
    <row r="142" spans="3:4" ht="17.25" customHeight="1">
      <c r="C142" s="204"/>
      <c r="D142" s="204"/>
    </row>
    <row r="143" spans="3:4" ht="17.25" customHeight="1">
      <c r="C143" s="204"/>
      <c r="D143" s="204"/>
    </row>
    <row r="144" spans="3:4" ht="17.25" customHeight="1">
      <c r="C144" s="204"/>
      <c r="D144" s="204"/>
    </row>
    <row r="145" spans="3:4" ht="17.25" customHeight="1">
      <c r="C145" s="204"/>
      <c r="D145" s="204"/>
    </row>
    <row r="146" spans="3:4" ht="17.25" customHeight="1">
      <c r="C146" s="204"/>
      <c r="D146" s="204"/>
    </row>
    <row r="147" spans="3:4" ht="17.25" customHeight="1">
      <c r="C147" s="204"/>
      <c r="D147" s="204"/>
    </row>
    <row r="148" spans="3:4" ht="17.25" customHeight="1">
      <c r="C148" s="204"/>
      <c r="D148" s="204"/>
    </row>
    <row r="149" spans="3:4" ht="17.25" customHeight="1">
      <c r="C149" s="204"/>
      <c r="D149" s="204"/>
    </row>
    <row r="150" spans="3:4" ht="17.25" customHeight="1">
      <c r="C150" s="204"/>
      <c r="D150" s="204"/>
    </row>
    <row r="151" spans="3:4" ht="17.25" customHeight="1">
      <c r="C151" s="204"/>
      <c r="D151" s="204"/>
    </row>
    <row r="152" spans="3:4" ht="17.25" customHeight="1">
      <c r="C152" s="204"/>
      <c r="D152" s="204"/>
    </row>
    <row r="153" spans="3:4" ht="17.25" customHeight="1">
      <c r="C153" s="204"/>
      <c r="D153" s="204"/>
    </row>
    <row r="154" spans="3:4" ht="17.25" customHeight="1">
      <c r="C154" s="204"/>
      <c r="D154" s="204"/>
    </row>
    <row r="155" spans="3:4" ht="17.25" customHeight="1">
      <c r="C155" s="204"/>
      <c r="D155" s="204"/>
    </row>
    <row r="156" spans="3:4" ht="17.25" customHeight="1">
      <c r="C156" s="204"/>
      <c r="D156" s="204"/>
    </row>
    <row r="157" spans="3:4" ht="17.25" customHeight="1">
      <c r="C157" s="204"/>
      <c r="D157" s="204"/>
    </row>
    <row r="158" spans="3:4" ht="17.25" customHeight="1">
      <c r="C158" s="204"/>
      <c r="D158" s="204"/>
    </row>
    <row r="159" spans="3:4" ht="17.25" customHeight="1">
      <c r="C159" s="204"/>
      <c r="D159" s="204"/>
    </row>
    <row r="160" spans="3:4" ht="17.25" customHeight="1">
      <c r="C160" s="204"/>
      <c r="D160" s="204"/>
    </row>
    <row r="161" spans="3:4" ht="17.25" customHeight="1">
      <c r="C161" s="204"/>
      <c r="D161" s="204"/>
    </row>
    <row r="162" spans="3:4" ht="17.25" customHeight="1">
      <c r="C162" s="204"/>
      <c r="D162" s="204"/>
    </row>
    <row r="163" spans="3:4" ht="17.25" customHeight="1">
      <c r="C163" s="204"/>
      <c r="D163" s="204"/>
    </row>
    <row r="164" spans="3:4" ht="17.25" customHeight="1">
      <c r="C164" s="204"/>
      <c r="D164" s="204"/>
    </row>
    <row r="165" spans="3:4" ht="17.25" customHeight="1">
      <c r="C165" s="204"/>
      <c r="D165" s="204"/>
    </row>
    <row r="166" spans="3:4" ht="17.25" customHeight="1">
      <c r="C166" s="204"/>
      <c r="D166" s="204"/>
    </row>
    <row r="167" spans="3:4" ht="17.25" customHeight="1">
      <c r="C167" s="204"/>
      <c r="D167" s="204"/>
    </row>
    <row r="168" spans="3:4" ht="17.25" customHeight="1">
      <c r="C168" s="204"/>
      <c r="D168" s="204"/>
    </row>
    <row r="169" spans="3:4" ht="17.25" customHeight="1">
      <c r="C169" s="204"/>
      <c r="D169" s="204"/>
    </row>
    <row r="170" spans="3:4" ht="17.25" customHeight="1">
      <c r="C170" s="204"/>
      <c r="D170" s="204"/>
    </row>
    <row r="171" spans="3:4" ht="17.25" customHeight="1">
      <c r="C171" s="204"/>
      <c r="D171" s="204"/>
    </row>
    <row r="172" spans="3:4" ht="17.25" customHeight="1">
      <c r="C172" s="204"/>
      <c r="D172" s="204"/>
    </row>
    <row r="173" spans="3:4" ht="17.25" customHeight="1">
      <c r="C173" s="204"/>
      <c r="D173" s="204"/>
    </row>
    <row r="174" spans="3:4" ht="17.25" customHeight="1">
      <c r="C174" s="204"/>
      <c r="D174" s="204"/>
    </row>
    <row r="175" spans="3:4" ht="17.25" customHeight="1">
      <c r="C175" s="204"/>
      <c r="D175" s="204"/>
    </row>
    <row r="176" spans="3:4" ht="17.25" customHeight="1">
      <c r="C176" s="204"/>
      <c r="D176" s="204"/>
    </row>
    <row r="177" spans="3:4" ht="17.25" customHeight="1">
      <c r="C177" s="204"/>
      <c r="D177" s="204"/>
    </row>
    <row r="178" spans="3:4" ht="17.25" customHeight="1">
      <c r="C178" s="204"/>
      <c r="D178" s="204"/>
    </row>
    <row r="179" spans="3:4" ht="17.25" customHeight="1">
      <c r="C179" s="204"/>
      <c r="D179" s="204"/>
    </row>
    <row r="180" spans="3:4" ht="17.25" customHeight="1">
      <c r="C180" s="204"/>
      <c r="D180" s="204"/>
    </row>
    <row r="181" spans="3:4" ht="17.25" customHeight="1">
      <c r="C181" s="204"/>
      <c r="D181" s="204"/>
    </row>
    <row r="182" spans="3:4" ht="17.25" customHeight="1">
      <c r="C182" s="204"/>
      <c r="D182" s="204"/>
    </row>
    <row r="183" spans="3:4" ht="17.25" customHeight="1">
      <c r="C183" s="204"/>
      <c r="D183" s="204"/>
    </row>
    <row r="184" spans="3:4" ht="17.25" customHeight="1">
      <c r="C184" s="204"/>
      <c r="D184" s="204"/>
    </row>
    <row r="185" spans="3:4" ht="17.25" customHeight="1">
      <c r="C185" s="204"/>
      <c r="D185" s="204"/>
    </row>
    <row r="186" spans="3:4" ht="17.25" customHeight="1">
      <c r="C186" s="204"/>
      <c r="D186" s="204"/>
    </row>
    <row r="187" spans="3:4" ht="17.25" customHeight="1">
      <c r="C187" s="204"/>
      <c r="D187" s="204"/>
    </row>
    <row r="188" spans="3:4" ht="17.25" customHeight="1">
      <c r="C188" s="204"/>
      <c r="D188" s="204"/>
    </row>
    <row r="189" spans="3:4" ht="17.25" customHeight="1">
      <c r="C189" s="204"/>
      <c r="D189" s="204"/>
    </row>
    <row r="190" spans="3:4" ht="17.25" customHeight="1">
      <c r="C190" s="204"/>
      <c r="D190" s="204"/>
    </row>
    <row r="191" spans="3:4" ht="17.25" customHeight="1">
      <c r="C191" s="204"/>
      <c r="D191" s="204"/>
    </row>
    <row r="192" spans="3:4" ht="17.25" customHeight="1">
      <c r="C192" s="204"/>
      <c r="D192" s="204"/>
    </row>
    <row r="193" spans="3:4" ht="17.25" customHeight="1">
      <c r="C193" s="204"/>
      <c r="D193" s="204"/>
    </row>
    <row r="194" spans="3:4" ht="17.25" customHeight="1">
      <c r="C194" s="204"/>
      <c r="D194" s="204"/>
    </row>
    <row r="195" spans="3:4" ht="17.25" customHeight="1">
      <c r="C195" s="204"/>
      <c r="D195" s="204"/>
    </row>
    <row r="196" spans="3:4" ht="17.25" customHeight="1">
      <c r="C196" s="204"/>
      <c r="D196" s="204"/>
    </row>
    <row r="197" spans="3:4" ht="17.25" customHeight="1">
      <c r="C197" s="204"/>
      <c r="D197" s="204"/>
    </row>
    <row r="198" spans="3:4" ht="17.25" customHeight="1">
      <c r="C198" s="204"/>
      <c r="D198" s="204"/>
    </row>
    <row r="199" spans="3:4" ht="17.25" customHeight="1">
      <c r="C199" s="204"/>
      <c r="D199" s="204"/>
    </row>
    <row r="200" spans="3:4" ht="17.25" customHeight="1">
      <c r="C200" s="204"/>
      <c r="D200" s="204"/>
    </row>
    <row r="201" spans="3:4" ht="17.25" customHeight="1">
      <c r="C201" s="204"/>
      <c r="D201" s="204"/>
    </row>
    <row r="202" spans="3:4" ht="17.25" customHeight="1">
      <c r="C202" s="204"/>
      <c r="D202" s="204"/>
    </row>
    <row r="203" spans="3:4" ht="17.25" customHeight="1">
      <c r="C203" s="204"/>
      <c r="D203" s="204"/>
    </row>
    <row r="204" spans="3:4" ht="17.25" customHeight="1">
      <c r="C204" s="204"/>
      <c r="D204" s="204"/>
    </row>
    <row r="205" spans="3:4" ht="17.25" customHeight="1">
      <c r="C205" s="204"/>
      <c r="D205" s="204"/>
    </row>
    <row r="206" spans="3:4" ht="17.25" customHeight="1">
      <c r="C206" s="204"/>
      <c r="D206" s="204"/>
    </row>
    <row r="207" spans="3:4" ht="17.25" customHeight="1">
      <c r="C207" s="204"/>
      <c r="D207" s="204"/>
    </row>
    <row r="208" spans="3:4" ht="17.25" customHeight="1">
      <c r="C208" s="204"/>
      <c r="D208" s="204"/>
    </row>
    <row r="209" spans="3:4" ht="17.25" customHeight="1">
      <c r="C209" s="204"/>
      <c r="D209" s="204"/>
    </row>
    <row r="210" spans="3:4" ht="17.25" customHeight="1">
      <c r="C210" s="204"/>
      <c r="D210" s="204"/>
    </row>
    <row r="211" spans="3:4" ht="17.25" customHeight="1">
      <c r="C211" s="204"/>
      <c r="D211" s="204"/>
    </row>
    <row r="212" spans="3:4" ht="17.25" customHeight="1">
      <c r="C212" s="204"/>
      <c r="D212" s="204"/>
    </row>
    <row r="213" spans="3:4" ht="17.25" customHeight="1">
      <c r="C213" s="204"/>
      <c r="D213" s="204"/>
    </row>
    <row r="214" spans="3:4" ht="17.25" customHeight="1">
      <c r="C214" s="204"/>
      <c r="D214" s="204"/>
    </row>
    <row r="215" spans="3:4" ht="17.25" customHeight="1">
      <c r="C215" s="204"/>
      <c r="D215" s="204"/>
    </row>
    <row r="216" spans="3:4" ht="17.25" customHeight="1">
      <c r="C216" s="204"/>
      <c r="D216" s="204"/>
    </row>
    <row r="217" spans="3:4" ht="17.25" customHeight="1">
      <c r="C217" s="204"/>
      <c r="D217" s="204"/>
    </row>
    <row r="218" spans="3:4" ht="17.25" customHeight="1">
      <c r="C218" s="204"/>
      <c r="D218" s="204"/>
    </row>
    <row r="219" spans="3:4" ht="17.25" customHeight="1">
      <c r="C219" s="204"/>
      <c r="D219" s="204"/>
    </row>
    <row r="220" spans="3:4" ht="17.25" customHeight="1">
      <c r="C220" s="204"/>
      <c r="D220" s="204"/>
    </row>
    <row r="221" spans="3:4" ht="17.25" customHeight="1">
      <c r="C221" s="204"/>
      <c r="D221" s="204"/>
    </row>
    <row r="222" spans="3:4" ht="17.25" customHeight="1">
      <c r="C222" s="204"/>
      <c r="D222" s="204"/>
    </row>
    <row r="223" spans="3:4" ht="17.25" customHeight="1">
      <c r="C223" s="204"/>
      <c r="D223" s="204"/>
    </row>
    <row r="224" spans="3:4" ht="17.25" customHeight="1">
      <c r="C224" s="204"/>
      <c r="D224" s="204"/>
    </row>
    <row r="225" spans="3:4" ht="17.25" customHeight="1">
      <c r="C225" s="204"/>
      <c r="D225" s="204"/>
    </row>
    <row r="226" spans="3:4" ht="17.25" customHeight="1">
      <c r="C226" s="204"/>
      <c r="D226" s="204"/>
    </row>
    <row r="227" spans="3:4" ht="17.25" customHeight="1">
      <c r="C227" s="204"/>
      <c r="D227" s="204"/>
    </row>
    <row r="228" spans="3:4" ht="17.25" customHeight="1">
      <c r="C228" s="204"/>
      <c r="D228" s="204"/>
    </row>
    <row r="229" spans="3:4" ht="17.25" customHeight="1">
      <c r="C229" s="204"/>
      <c r="D229" s="204"/>
    </row>
    <row r="230" spans="3:4" ht="17.25" customHeight="1">
      <c r="C230" s="204"/>
      <c r="D230" s="204"/>
    </row>
    <row r="231" spans="3:4" ht="17.25" customHeight="1">
      <c r="C231" s="204"/>
      <c r="D231" s="204"/>
    </row>
    <row r="232" spans="3:4" ht="17.25" customHeight="1">
      <c r="C232" s="204"/>
      <c r="D232" s="204"/>
    </row>
    <row r="233" spans="3:4" ht="17.25" customHeight="1">
      <c r="C233" s="204"/>
      <c r="D233" s="204"/>
    </row>
    <row r="234" spans="3:4" ht="17.25" customHeight="1">
      <c r="C234" s="204"/>
      <c r="D234" s="204"/>
    </row>
    <row r="235" spans="3:4" ht="17.25" customHeight="1">
      <c r="C235" s="204"/>
      <c r="D235" s="204"/>
    </row>
    <row r="236" spans="3:4" ht="17.25" customHeight="1">
      <c r="C236" s="204"/>
      <c r="D236" s="204"/>
    </row>
    <row r="237" spans="3:4" ht="17.25" customHeight="1">
      <c r="C237" s="204"/>
      <c r="D237" s="204"/>
    </row>
    <row r="238" spans="3:4" ht="17.25" customHeight="1">
      <c r="C238" s="204"/>
      <c r="D238" s="204"/>
    </row>
    <row r="239" spans="3:4" ht="17.25" customHeight="1">
      <c r="C239" s="204"/>
      <c r="D239" s="204"/>
    </row>
    <row r="240" spans="3:4" ht="17.25" customHeight="1">
      <c r="C240" s="204"/>
      <c r="D240" s="204"/>
    </row>
    <row r="241" spans="3:4" ht="17.25" customHeight="1">
      <c r="C241" s="204"/>
      <c r="D241" s="204"/>
    </row>
    <row r="242" spans="3:4" ht="17.25" customHeight="1">
      <c r="C242" s="204"/>
      <c r="D242" s="204"/>
    </row>
    <row r="243" spans="3:4" ht="17.25" customHeight="1">
      <c r="C243" s="204"/>
      <c r="D243" s="204"/>
    </row>
    <row r="244" spans="3:4" ht="17.25" customHeight="1">
      <c r="C244" s="204"/>
      <c r="D244" s="204"/>
    </row>
    <row r="245" spans="3:4" ht="17.25" customHeight="1">
      <c r="C245" s="204"/>
      <c r="D245" s="204"/>
    </row>
    <row r="246" spans="3:4" ht="17.25" customHeight="1">
      <c r="C246" s="204"/>
      <c r="D246" s="204"/>
    </row>
    <row r="247" spans="3:4" ht="17.25" customHeight="1">
      <c r="C247" s="204"/>
      <c r="D247" s="204"/>
    </row>
    <row r="248" spans="3:4" ht="17.25" customHeight="1">
      <c r="C248" s="204"/>
      <c r="D248" s="204"/>
    </row>
    <row r="249" spans="3:4" ht="17.25" customHeight="1">
      <c r="C249" s="204"/>
      <c r="D249" s="204"/>
    </row>
    <row r="250" spans="3:4" ht="17.25" customHeight="1">
      <c r="C250" s="204"/>
      <c r="D250" s="204"/>
    </row>
    <row r="251" spans="3:4" ht="17.25" customHeight="1">
      <c r="C251" s="204"/>
      <c r="D251" s="204"/>
    </row>
    <row r="252" spans="3:4" ht="17.25" customHeight="1">
      <c r="C252" s="204"/>
      <c r="D252" s="204"/>
    </row>
    <row r="253" spans="3:4" ht="17.25" customHeight="1">
      <c r="C253" s="204"/>
      <c r="D253" s="204"/>
    </row>
    <row r="254" spans="3:4" ht="17.25" customHeight="1">
      <c r="C254" s="204"/>
      <c r="D254" s="204"/>
    </row>
    <row r="255" spans="3:4" ht="17.25" customHeight="1">
      <c r="C255" s="204"/>
      <c r="D255" s="204"/>
    </row>
    <row r="256" spans="3:4" ht="17.25" customHeight="1">
      <c r="C256" s="204"/>
      <c r="D256" s="204"/>
    </row>
    <row r="257" spans="3:4" ht="17.25" customHeight="1">
      <c r="C257" s="204"/>
      <c r="D257" s="204"/>
    </row>
    <row r="258" spans="3:4" ht="17.25" customHeight="1">
      <c r="C258" s="204"/>
      <c r="D258" s="204"/>
    </row>
    <row r="259" spans="3:4" ht="17.25" customHeight="1">
      <c r="C259" s="204"/>
      <c r="D259" s="204"/>
    </row>
    <row r="260" spans="3:4" ht="17.25" customHeight="1">
      <c r="C260" s="204"/>
      <c r="D260" s="204"/>
    </row>
    <row r="261" spans="3:4" ht="17.25" customHeight="1">
      <c r="C261" s="204"/>
      <c r="D261" s="204"/>
    </row>
    <row r="262" spans="3:4" ht="17.25" customHeight="1">
      <c r="C262" s="204"/>
      <c r="D262" s="204"/>
    </row>
    <row r="263" spans="3:4" ht="17.25" customHeight="1">
      <c r="C263" s="204"/>
      <c r="D263" s="204"/>
    </row>
    <row r="264" spans="3:4" ht="17.25" customHeight="1">
      <c r="C264" s="204"/>
      <c r="D264" s="204"/>
    </row>
    <row r="265" spans="3:4" ht="17.25" customHeight="1">
      <c r="C265" s="204"/>
      <c r="D265" s="204"/>
    </row>
    <row r="266" spans="3:4" ht="17.25" customHeight="1">
      <c r="C266" s="204"/>
      <c r="D266" s="204"/>
    </row>
    <row r="267" spans="3:4" ht="17.25" customHeight="1">
      <c r="C267" s="204"/>
      <c r="D267" s="204"/>
    </row>
    <row r="268" spans="3:4" ht="17.25" customHeight="1">
      <c r="C268" s="204"/>
      <c r="D268" s="204"/>
    </row>
    <row r="269" spans="3:4" ht="17.25" customHeight="1">
      <c r="C269" s="204"/>
      <c r="D269" s="204"/>
    </row>
    <row r="270" spans="3:4" ht="17.25" customHeight="1">
      <c r="C270" s="204"/>
      <c r="D270" s="204"/>
    </row>
    <row r="271" spans="3:4" ht="17.25" customHeight="1">
      <c r="C271" s="204"/>
      <c r="D271" s="204"/>
    </row>
    <row r="272" spans="3:4" ht="17.25" customHeight="1">
      <c r="C272" s="204"/>
      <c r="D272" s="204"/>
    </row>
    <row r="273" spans="3:4" ht="17.25" customHeight="1">
      <c r="C273" s="204"/>
      <c r="D273" s="204"/>
    </row>
    <row r="274" spans="3:4" ht="17.25" customHeight="1">
      <c r="C274" s="204"/>
      <c r="D274" s="204"/>
    </row>
    <row r="275" spans="3:4" ht="17.25" customHeight="1">
      <c r="C275" s="204"/>
      <c r="D275" s="204"/>
    </row>
    <row r="276" spans="3:4" ht="17.25" customHeight="1">
      <c r="C276" s="204"/>
      <c r="D276" s="204"/>
    </row>
    <row r="277" spans="3:4" ht="17.25" customHeight="1">
      <c r="C277" s="204"/>
      <c r="D277" s="204"/>
    </row>
    <row r="278" spans="3:4" ht="17.25" customHeight="1">
      <c r="C278" s="204"/>
      <c r="D278" s="204"/>
    </row>
    <row r="279" spans="3:4" ht="17.25" customHeight="1">
      <c r="C279" s="204"/>
      <c r="D279" s="204"/>
    </row>
    <row r="280" spans="3:4" ht="17.25" customHeight="1">
      <c r="C280" s="204"/>
      <c r="D280" s="204"/>
    </row>
    <row r="281" spans="3:4" ht="17.25" customHeight="1">
      <c r="C281" s="204"/>
      <c r="D281" s="204"/>
    </row>
    <row r="282" spans="3:4" ht="17.25" customHeight="1">
      <c r="C282" s="204"/>
      <c r="D282" s="204"/>
    </row>
    <row r="283" spans="3:4" ht="17.25" customHeight="1">
      <c r="C283" s="204"/>
      <c r="D283" s="204"/>
    </row>
    <row r="284" spans="3:4" ht="17.25" customHeight="1">
      <c r="C284" s="204"/>
      <c r="D284" s="204"/>
    </row>
    <row r="285" spans="3:4" ht="17.25" customHeight="1">
      <c r="C285" s="204"/>
      <c r="D285" s="204"/>
    </row>
    <row r="286" spans="3:4" ht="17.25" customHeight="1">
      <c r="C286" s="204"/>
      <c r="D286" s="204"/>
    </row>
    <row r="287" spans="3:4" ht="17.25" customHeight="1">
      <c r="C287" s="204"/>
      <c r="D287" s="204"/>
    </row>
    <row r="288" spans="3:4" ht="17.25" customHeight="1">
      <c r="C288" s="204"/>
      <c r="D288" s="204"/>
    </row>
    <row r="289" spans="3:4" ht="17.25" customHeight="1">
      <c r="C289" s="204"/>
      <c r="D289" s="204"/>
    </row>
    <row r="290" spans="3:4" ht="17.25" customHeight="1">
      <c r="C290" s="204"/>
      <c r="D290" s="204"/>
    </row>
    <row r="291" spans="3:4" ht="17.25" customHeight="1">
      <c r="C291" s="204"/>
      <c r="D291" s="204"/>
    </row>
    <row r="292" spans="3:4" ht="17.25" customHeight="1">
      <c r="C292" s="204"/>
      <c r="D292" s="204"/>
    </row>
    <row r="293" spans="3:4" ht="17.25" customHeight="1">
      <c r="C293" s="204"/>
      <c r="D293" s="204"/>
    </row>
    <row r="294" spans="3:4" ht="17.25" customHeight="1">
      <c r="C294" s="204"/>
      <c r="D294" s="204"/>
    </row>
    <row r="295" spans="3:4" ht="17.25" customHeight="1">
      <c r="C295" s="204"/>
      <c r="D295" s="204"/>
    </row>
    <row r="296" spans="3:4" ht="17.25" customHeight="1">
      <c r="C296" s="204"/>
      <c r="D296" s="204"/>
    </row>
    <row r="297" spans="3:4" ht="17.25" customHeight="1">
      <c r="C297" s="204"/>
      <c r="D297" s="204"/>
    </row>
    <row r="298" spans="3:4" ht="17.25" customHeight="1">
      <c r="C298" s="204"/>
      <c r="D298" s="204"/>
    </row>
    <row r="299" spans="3:4" ht="17.25" customHeight="1">
      <c r="C299" s="204"/>
      <c r="D299" s="204"/>
    </row>
    <row r="300" spans="3:4" ht="17.25" customHeight="1">
      <c r="C300" s="204"/>
      <c r="D300" s="204"/>
    </row>
    <row r="301" spans="3:4" ht="17.25" customHeight="1">
      <c r="C301" s="204"/>
      <c r="D301" s="204"/>
    </row>
    <row r="302" spans="3:4" ht="17.25" customHeight="1">
      <c r="C302" s="204"/>
      <c r="D302" s="204"/>
    </row>
    <row r="303" spans="3:4" ht="17.25" customHeight="1">
      <c r="C303" s="204"/>
      <c r="D303" s="204"/>
    </row>
    <row r="304" spans="3:4" ht="17.25" customHeight="1">
      <c r="C304" s="204"/>
      <c r="D304" s="204"/>
    </row>
    <row r="305" spans="3:4" ht="17.25" customHeight="1">
      <c r="C305" s="204"/>
      <c r="D305" s="204"/>
    </row>
    <row r="306" spans="3:4" ht="17.25" customHeight="1">
      <c r="C306" s="204"/>
      <c r="D306" s="204"/>
    </row>
    <row r="307" spans="3:4" ht="17.25" customHeight="1">
      <c r="C307" s="204"/>
      <c r="D307" s="204"/>
    </row>
    <row r="308" spans="3:4" ht="17.25" customHeight="1">
      <c r="C308" s="204"/>
      <c r="D308" s="204"/>
    </row>
    <row r="309" spans="3:4" ht="17.25" customHeight="1">
      <c r="C309" s="204"/>
      <c r="D309" s="204"/>
    </row>
    <row r="310" spans="3:4" ht="17.25" customHeight="1">
      <c r="C310" s="204"/>
      <c r="D310" s="204"/>
    </row>
    <row r="311" spans="3:4" ht="17.25" customHeight="1">
      <c r="C311" s="204"/>
      <c r="D311" s="204"/>
    </row>
    <row r="312" spans="3:4" ht="17.25" customHeight="1">
      <c r="C312" s="204"/>
      <c r="D312" s="204"/>
    </row>
    <row r="313" spans="3:4" ht="17.25" customHeight="1">
      <c r="C313" s="204"/>
      <c r="D313" s="204"/>
    </row>
    <row r="314" spans="3:4" ht="17.25" customHeight="1">
      <c r="C314" s="204"/>
      <c r="D314" s="204"/>
    </row>
    <row r="315" spans="3:4" ht="17.25" customHeight="1">
      <c r="C315" s="204"/>
      <c r="D315" s="204"/>
    </row>
    <row r="316" spans="3:4" ht="17.25" customHeight="1">
      <c r="C316" s="204"/>
      <c r="D316" s="204"/>
    </row>
    <row r="317" spans="3:4" ht="17.25" customHeight="1">
      <c r="C317" s="204"/>
      <c r="D317" s="204"/>
    </row>
    <row r="318" spans="3:4" ht="17.25" customHeight="1">
      <c r="C318" s="204"/>
      <c r="D318" s="204"/>
    </row>
    <row r="319" spans="3:4" ht="17.25" customHeight="1">
      <c r="C319" s="204"/>
      <c r="D319" s="204"/>
    </row>
    <row r="320" spans="3:4" ht="17.25" customHeight="1">
      <c r="C320" s="204"/>
      <c r="D320" s="204"/>
    </row>
    <row r="321" spans="3:4" ht="17.25" customHeight="1">
      <c r="C321" s="204"/>
      <c r="D321" s="204"/>
    </row>
    <row r="322" spans="3:4" ht="17.25" customHeight="1">
      <c r="C322" s="204"/>
      <c r="D322" s="204"/>
    </row>
    <row r="323" spans="3:4" ht="17.25" customHeight="1">
      <c r="C323" s="204"/>
      <c r="D323" s="204"/>
    </row>
    <row r="324" spans="3:4" ht="17.25" customHeight="1">
      <c r="C324" s="204"/>
      <c r="D324" s="204"/>
    </row>
    <row r="325" spans="3:4" ht="17.25" customHeight="1">
      <c r="C325" s="204"/>
      <c r="D325" s="204"/>
    </row>
    <row r="326" spans="3:4" ht="17.25" customHeight="1">
      <c r="C326" s="204"/>
      <c r="D326" s="204"/>
    </row>
    <row r="327" spans="3:4" ht="17.25" customHeight="1">
      <c r="C327" s="204"/>
      <c r="D327" s="204"/>
    </row>
    <row r="328" spans="3:4" ht="17.25" customHeight="1">
      <c r="C328" s="204"/>
      <c r="D328" s="204"/>
    </row>
    <row r="329" spans="3:4" ht="17.25" customHeight="1">
      <c r="C329" s="204"/>
      <c r="D329" s="204"/>
    </row>
    <row r="330" spans="3:4" ht="17.25" customHeight="1">
      <c r="C330" s="204"/>
      <c r="D330" s="204"/>
    </row>
  </sheetData>
  <mergeCells count="2">
    <mergeCell ref="A13:L13"/>
    <mergeCell ref="A1:L1"/>
  </mergeCells>
  <phoneticPr fontId="24" type="noConversion"/>
  <conditionalFormatting sqref="A1 A6:A8 A2:E3 A4:D4 A12:A16 A25:E1048576 B11:J12 B6:H10 B5:K5 B14:L15 K22:L1048576 B17:L21 M1:XFD1048576">
    <cfRule type="cellIs" dxfId="1253" priority="70" operator="equal">
      <formula>0</formula>
    </cfRule>
  </conditionalFormatting>
  <conditionalFormatting sqref="E4">
    <cfRule type="cellIs" dxfId="1252" priority="68" operator="equal">
      <formula>0</formula>
    </cfRule>
  </conditionalFormatting>
  <conditionalFormatting sqref="F2:F3 F25:F1048576">
    <cfRule type="cellIs" dxfId="1251" priority="66" operator="equal">
      <formula>0</formula>
    </cfRule>
  </conditionalFormatting>
  <conditionalFormatting sqref="F4:H4">
    <cfRule type="cellIs" dxfId="1250" priority="65" operator="equal">
      <formula>0</formula>
    </cfRule>
  </conditionalFormatting>
  <conditionalFormatting sqref="H2:H3 H25:H1048576">
    <cfRule type="cellIs" dxfId="1249" priority="63" operator="equal">
      <formula>0</formula>
    </cfRule>
  </conditionalFormatting>
  <conditionalFormatting sqref="G2:G3 G25:G1048576">
    <cfRule type="cellIs" dxfId="1248" priority="60" operator="equal">
      <formula>0</formula>
    </cfRule>
  </conditionalFormatting>
  <conditionalFormatting sqref="I4">
    <cfRule type="cellIs" dxfId="1247" priority="57" operator="equal">
      <formula>0</formula>
    </cfRule>
  </conditionalFormatting>
  <conditionalFormatting sqref="I6:I8">
    <cfRule type="cellIs" dxfId="1246" priority="56" operator="equal">
      <formula>0</formula>
    </cfRule>
  </conditionalFormatting>
  <conditionalFormatting sqref="I2:I3 I25:I1048576">
    <cfRule type="cellIs" dxfId="1245" priority="55" operator="equal">
      <formula>0</formula>
    </cfRule>
  </conditionalFormatting>
  <conditionalFormatting sqref="J4">
    <cfRule type="cellIs" dxfId="1244" priority="54" operator="equal">
      <formula>0</formula>
    </cfRule>
  </conditionalFormatting>
  <conditionalFormatting sqref="J6:J8">
    <cfRule type="cellIs" dxfId="1243" priority="53" operator="equal">
      <formula>0</formula>
    </cfRule>
  </conditionalFormatting>
  <conditionalFormatting sqref="J2:J3 J25:J1048576">
    <cfRule type="cellIs" dxfId="1242" priority="52" operator="equal">
      <formula>0</formula>
    </cfRule>
  </conditionalFormatting>
  <conditionalFormatting sqref="A10">
    <cfRule type="cellIs" dxfId="1241" priority="51" operator="equal">
      <formula>0</formula>
    </cfRule>
  </conditionalFormatting>
  <conditionalFormatting sqref="I10">
    <cfRule type="cellIs" dxfId="1240" priority="49" operator="equal">
      <formula>0</formula>
    </cfRule>
  </conditionalFormatting>
  <conditionalFormatting sqref="J10">
    <cfRule type="cellIs" dxfId="1239" priority="48" operator="equal">
      <formula>0</formula>
    </cfRule>
  </conditionalFormatting>
  <conditionalFormatting sqref="A9">
    <cfRule type="cellIs" dxfId="1238" priority="47" operator="equal">
      <formula>0</formula>
    </cfRule>
  </conditionalFormatting>
  <conditionalFormatting sqref="I9:I10">
    <cfRule type="cellIs" dxfId="1237" priority="45" operator="equal">
      <formula>0</formula>
    </cfRule>
  </conditionalFormatting>
  <conditionalFormatting sqref="J9:J10">
    <cfRule type="cellIs" dxfId="1236" priority="44" operator="equal">
      <formula>0</formula>
    </cfRule>
  </conditionalFormatting>
  <conditionalFormatting sqref="K4">
    <cfRule type="cellIs" dxfId="1235" priority="43" operator="equal">
      <formula>0</formula>
    </cfRule>
  </conditionalFormatting>
  <conditionalFormatting sqref="K6:K8">
    <cfRule type="cellIs" dxfId="1234" priority="42" operator="equal">
      <formula>0</formula>
    </cfRule>
  </conditionalFormatting>
  <conditionalFormatting sqref="K2:K3 K11:K12">
    <cfRule type="cellIs" dxfId="1233" priority="41" operator="equal">
      <formula>0</formula>
    </cfRule>
  </conditionalFormatting>
  <conditionalFormatting sqref="K10">
    <cfRule type="cellIs" dxfId="1232" priority="40" operator="equal">
      <formula>0</formula>
    </cfRule>
  </conditionalFormatting>
  <conditionalFormatting sqref="K9:K10">
    <cfRule type="cellIs" dxfId="1231" priority="39" operator="equal">
      <formula>0</formula>
    </cfRule>
  </conditionalFormatting>
  <conditionalFormatting sqref="A5">
    <cfRule type="cellIs" dxfId="1230" priority="33" operator="equal">
      <formula>0</formula>
    </cfRule>
  </conditionalFormatting>
  <conditionalFormatting sqref="L5">
    <cfRule type="cellIs" dxfId="1229" priority="17" operator="equal">
      <formula>0</formula>
    </cfRule>
  </conditionalFormatting>
  <conditionalFormatting sqref="L4">
    <cfRule type="cellIs" dxfId="1228" priority="16" operator="equal">
      <formula>0</formula>
    </cfRule>
  </conditionalFormatting>
  <conditionalFormatting sqref="L6:L8">
    <cfRule type="cellIs" dxfId="1227" priority="15" operator="equal">
      <formula>0</formula>
    </cfRule>
  </conditionalFormatting>
  <conditionalFormatting sqref="L2:L3 L11:L12">
    <cfRule type="cellIs" dxfId="1226" priority="14" operator="equal">
      <formula>0</formula>
    </cfRule>
  </conditionalFormatting>
  <conditionalFormatting sqref="L10">
    <cfRule type="cellIs" dxfId="1225" priority="13" operator="equal">
      <formula>0</formula>
    </cfRule>
  </conditionalFormatting>
  <conditionalFormatting sqref="L9:L10">
    <cfRule type="cellIs" dxfId="1224" priority="12" operator="equal">
      <formula>0</formula>
    </cfRule>
  </conditionalFormatting>
  <conditionalFormatting sqref="A17:A19">
    <cfRule type="cellIs" dxfId="1223" priority="11" operator="equal">
      <formula>0</formula>
    </cfRule>
  </conditionalFormatting>
  <conditionalFormatting sqref="A21">
    <cfRule type="cellIs" dxfId="1222" priority="10" operator="equal">
      <formula>0</formula>
    </cfRule>
  </conditionalFormatting>
  <conditionalFormatting sqref="A20">
    <cfRule type="cellIs" dxfId="1221" priority="9" operator="equal">
      <formula>0</formula>
    </cfRule>
  </conditionalFormatting>
  <conditionalFormatting sqref="B16:D16">
    <cfRule type="cellIs" dxfId="1220" priority="8" operator="equal">
      <formula>0</formula>
    </cfRule>
  </conditionalFormatting>
  <conditionalFormatting sqref="E16">
    <cfRule type="cellIs" dxfId="1219" priority="7" operator="equal">
      <formula>0</formula>
    </cfRule>
  </conditionalFormatting>
  <conditionalFormatting sqref="F16:H16">
    <cfRule type="cellIs" dxfId="1218" priority="6" operator="equal">
      <formula>0</formula>
    </cfRule>
  </conditionalFormatting>
  <conditionalFormatting sqref="I16">
    <cfRule type="cellIs" dxfId="1217" priority="5" operator="equal">
      <formula>0</formula>
    </cfRule>
  </conditionalFormatting>
  <conditionalFormatting sqref="J16">
    <cfRule type="cellIs" dxfId="1216" priority="4" operator="equal">
      <formula>0</formula>
    </cfRule>
  </conditionalFormatting>
  <conditionalFormatting sqref="K16">
    <cfRule type="cellIs" dxfId="1215" priority="3" operator="equal">
      <formula>0</formula>
    </cfRule>
  </conditionalFormatting>
  <conditionalFormatting sqref="L16">
    <cfRule type="cellIs" dxfId="1214" priority="2" operator="equal">
      <formula>0</formula>
    </cfRule>
  </conditionalFormatting>
  <conditionalFormatting sqref="A11">
    <cfRule type="cellIs" dxfId="1213"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89" orientation="portrait" r:id="rId1"/>
  <headerFooter>
    <oddHeader>&amp;C&amp;G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36">
    <tabColor rgb="FFE1EAEF"/>
  </sheetPr>
  <dimension ref="A1"/>
  <sheetViews>
    <sheetView showGridLines="0" topLeftCell="A7" workbookViewId="0">
      <selection activeCell="Y70" sqref="Y70"/>
    </sheetView>
  </sheetViews>
  <sheetFormatPr defaultColWidth="8.7109375" defaultRowHeight="15"/>
  <cols>
    <col min="1" max="16384" width="8.7109375" style="377"/>
  </cols>
  <sheetData/>
  <pageMargins left="0.19685039370078741" right="0" top="0.74803149606299213" bottom="0.74803149606299213" header="0.31496062992125984" footer="0.31496062992125984"/>
  <pageSetup paperSize="9" orientation="portrait" horizontalDpi="300" verticalDpi="3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101">
    <tabColor rgb="FFE1EAEF"/>
    <pageSetUpPr fitToPage="1"/>
  </sheetPr>
  <dimension ref="A1:AB27"/>
  <sheetViews>
    <sheetView showGridLines="0" zoomScaleNormal="100" workbookViewId="0">
      <selection activeCell="Y70" sqref="Y70"/>
    </sheetView>
  </sheetViews>
  <sheetFormatPr defaultColWidth="9.140625" defaultRowHeight="11.25"/>
  <cols>
    <col min="1" max="1" width="16.7109375" style="6" customWidth="1"/>
    <col min="2" max="12" width="7.5703125" style="6" customWidth="1"/>
    <col min="13" max="13" width="8.5703125" style="6" customWidth="1"/>
    <col min="14" max="16384" width="9.140625" style="6"/>
  </cols>
  <sheetData>
    <row r="1" spans="1:14" s="224" customFormat="1" ht="28.5" customHeight="1">
      <c r="A1" s="991" t="s">
        <v>635</v>
      </c>
      <c r="B1" s="991"/>
      <c r="C1" s="991"/>
      <c r="D1" s="991"/>
      <c r="E1" s="991"/>
      <c r="F1" s="991"/>
      <c r="G1" s="991"/>
      <c r="H1" s="991"/>
      <c r="I1" s="991"/>
      <c r="J1" s="991"/>
      <c r="K1" s="991"/>
      <c r="L1" s="991"/>
    </row>
    <row r="2" spans="1:14" s="227" customFormat="1" ht="15" customHeight="1">
      <c r="A2" s="225"/>
      <c r="B2" s="265"/>
      <c r="C2" s="265"/>
      <c r="D2" s="265"/>
      <c r="E2" s="265"/>
      <c r="F2" s="265"/>
      <c r="G2" s="265"/>
      <c r="H2" s="265"/>
      <c r="I2" s="265"/>
      <c r="J2" s="265"/>
      <c r="K2" s="265"/>
      <c r="L2" s="265"/>
    </row>
    <row r="3" spans="1:14" s="227" customFormat="1" ht="14.25" customHeight="1">
      <c r="A3" s="293" t="s">
        <v>13</v>
      </c>
      <c r="B3" s="309"/>
      <c r="C3" s="265"/>
      <c r="D3" s="265"/>
      <c r="E3" s="265"/>
      <c r="F3" s="265"/>
      <c r="G3" s="265"/>
      <c r="H3" s="265"/>
      <c r="I3" s="265"/>
      <c r="J3" s="265"/>
      <c r="K3" s="265"/>
      <c r="L3" s="265"/>
    </row>
    <row r="4" spans="1:14" s="230" customFormat="1" ht="28.5" customHeight="1" thickBot="1">
      <c r="A4" s="228"/>
      <c r="B4" s="229">
        <v>2014</v>
      </c>
      <c r="C4" s="229">
        <v>2015</v>
      </c>
      <c r="D4" s="229">
        <v>2016</v>
      </c>
      <c r="E4" s="229">
        <v>2017</v>
      </c>
      <c r="F4" s="229">
        <v>2018</v>
      </c>
      <c r="G4" s="229">
        <v>2019</v>
      </c>
      <c r="H4" s="229">
        <v>2020</v>
      </c>
      <c r="I4" s="229">
        <v>2021</v>
      </c>
      <c r="J4" s="229">
        <v>2022</v>
      </c>
      <c r="K4" s="229">
        <v>2023</v>
      </c>
      <c r="L4" s="229">
        <v>2024</v>
      </c>
    </row>
    <row r="5" spans="1:14" s="318" customFormat="1" ht="16.5" customHeight="1" thickTop="1">
      <c r="A5" s="201" t="s">
        <v>11</v>
      </c>
      <c r="B5" s="716">
        <v>1928307</v>
      </c>
      <c r="C5" s="716">
        <v>1991131</v>
      </c>
      <c r="D5" s="716">
        <v>2054911</v>
      </c>
      <c r="E5" s="716">
        <v>2131943</v>
      </c>
      <c r="F5" s="716">
        <v>2205449</v>
      </c>
      <c r="G5" s="716">
        <v>2232400</v>
      </c>
      <c r="H5" s="716">
        <v>2164118</v>
      </c>
      <c r="I5" s="716">
        <v>2200594</v>
      </c>
      <c r="J5" s="716">
        <v>2376115</v>
      </c>
      <c r="K5" s="716">
        <v>2467600</v>
      </c>
      <c r="L5" s="716">
        <v>2506911</v>
      </c>
      <c r="M5" s="320"/>
      <c r="N5" s="230"/>
    </row>
    <row r="6" spans="1:14" ht="20.25" customHeight="1">
      <c r="A6" s="307" t="s">
        <v>117</v>
      </c>
      <c r="B6" s="717">
        <v>14553</v>
      </c>
      <c r="C6" s="717">
        <v>11605</v>
      </c>
      <c r="D6" s="717">
        <v>11074</v>
      </c>
      <c r="E6" s="717">
        <v>11491</v>
      </c>
      <c r="F6" s="717">
        <v>10293</v>
      </c>
      <c r="G6" s="717">
        <v>11154</v>
      </c>
      <c r="H6" s="717">
        <v>10068</v>
      </c>
      <c r="I6" s="717">
        <v>11022</v>
      </c>
      <c r="J6" s="717">
        <v>11373</v>
      </c>
      <c r="K6" s="717">
        <v>11105</v>
      </c>
      <c r="L6" s="717">
        <v>9681</v>
      </c>
      <c r="M6" s="222"/>
      <c r="N6" s="230"/>
    </row>
    <row r="7" spans="1:14" ht="15" customHeight="1">
      <c r="A7" s="307" t="s">
        <v>118</v>
      </c>
      <c r="B7" s="717">
        <v>392781</v>
      </c>
      <c r="C7" s="717">
        <v>366054</v>
      </c>
      <c r="D7" s="717">
        <v>454324</v>
      </c>
      <c r="E7" s="717">
        <v>487970</v>
      </c>
      <c r="F7" s="717">
        <v>492192</v>
      </c>
      <c r="G7" s="717">
        <v>468236</v>
      </c>
      <c r="H7" s="717">
        <v>516788</v>
      </c>
      <c r="I7" s="717">
        <v>516811</v>
      </c>
      <c r="J7" s="717">
        <v>554729</v>
      </c>
      <c r="K7" s="717">
        <v>508930</v>
      </c>
      <c r="L7" s="717">
        <v>511554</v>
      </c>
      <c r="M7" s="285"/>
      <c r="N7" s="230"/>
    </row>
    <row r="8" spans="1:14" ht="15" customHeight="1">
      <c r="A8" s="190" t="s">
        <v>634</v>
      </c>
      <c r="B8" s="717">
        <v>1044671</v>
      </c>
      <c r="C8" s="717">
        <v>1117809</v>
      </c>
      <c r="D8" s="717">
        <v>1076320</v>
      </c>
      <c r="E8" s="717">
        <v>1087248</v>
      </c>
      <c r="F8" s="717">
        <v>1109213</v>
      </c>
      <c r="G8" s="717">
        <v>1113985</v>
      </c>
      <c r="H8" s="717">
        <v>973331</v>
      </c>
      <c r="I8" s="717">
        <v>953371</v>
      </c>
      <c r="J8" s="717">
        <v>960637</v>
      </c>
      <c r="K8" s="717">
        <v>958282</v>
      </c>
      <c r="L8" s="717">
        <v>839240</v>
      </c>
      <c r="M8" s="222"/>
      <c r="N8" s="285"/>
    </row>
    <row r="9" spans="1:14" ht="15" customHeight="1">
      <c r="A9" s="307" t="s">
        <v>173</v>
      </c>
      <c r="B9" s="717">
        <v>260623</v>
      </c>
      <c r="C9" s="717">
        <v>272248</v>
      </c>
      <c r="D9" s="717">
        <v>282191</v>
      </c>
      <c r="E9" s="717">
        <v>301579</v>
      </c>
      <c r="F9" s="717">
        <v>327799</v>
      </c>
      <c r="G9" s="717">
        <v>350368</v>
      </c>
      <c r="H9" s="717">
        <v>366310</v>
      </c>
      <c r="I9" s="717">
        <v>395484</v>
      </c>
      <c r="J9" s="717">
        <v>462230</v>
      </c>
      <c r="K9" s="717">
        <v>539572</v>
      </c>
      <c r="L9" s="717">
        <v>623299</v>
      </c>
      <c r="M9" s="285"/>
      <c r="N9" s="285"/>
    </row>
    <row r="10" spans="1:14" ht="15" customHeight="1">
      <c r="A10" s="307" t="s">
        <v>174</v>
      </c>
      <c r="B10" s="717">
        <v>147728</v>
      </c>
      <c r="C10" s="717">
        <v>152155</v>
      </c>
      <c r="D10" s="717">
        <v>155880</v>
      </c>
      <c r="E10" s="717">
        <v>164581</v>
      </c>
      <c r="F10" s="717">
        <v>179358</v>
      </c>
      <c r="G10" s="717">
        <v>193721</v>
      </c>
      <c r="H10" s="717">
        <v>200290</v>
      </c>
      <c r="I10" s="717">
        <v>215755</v>
      </c>
      <c r="J10" s="717">
        <v>253765</v>
      </c>
      <c r="K10" s="717">
        <v>293708</v>
      </c>
      <c r="L10" s="717">
        <v>338485</v>
      </c>
      <c r="M10" s="222"/>
      <c r="N10" s="285"/>
    </row>
    <row r="11" spans="1:14" ht="15" customHeight="1">
      <c r="A11" s="307" t="s">
        <v>175</v>
      </c>
      <c r="B11" s="717">
        <v>45110</v>
      </c>
      <c r="C11" s="717">
        <v>47598</v>
      </c>
      <c r="D11" s="717">
        <v>50132</v>
      </c>
      <c r="E11" s="717">
        <v>53023</v>
      </c>
      <c r="F11" s="717">
        <v>58760</v>
      </c>
      <c r="G11" s="717">
        <v>64464</v>
      </c>
      <c r="H11" s="717">
        <v>66879</v>
      </c>
      <c r="I11" s="717">
        <v>74024</v>
      </c>
      <c r="J11" s="717">
        <v>89286</v>
      </c>
      <c r="K11" s="717">
        <v>102585</v>
      </c>
      <c r="L11" s="717">
        <v>117865</v>
      </c>
      <c r="M11" s="222"/>
      <c r="N11" s="285"/>
    </row>
    <row r="12" spans="1:14" ht="15" customHeight="1">
      <c r="A12" s="307" t="s">
        <v>176</v>
      </c>
      <c r="B12" s="717">
        <v>12151</v>
      </c>
      <c r="C12" s="717">
        <v>12533</v>
      </c>
      <c r="D12" s="717">
        <v>13548</v>
      </c>
      <c r="E12" s="717">
        <v>14082</v>
      </c>
      <c r="F12" s="717">
        <v>15054</v>
      </c>
      <c r="G12" s="717">
        <v>16385</v>
      </c>
      <c r="H12" s="717">
        <v>16730</v>
      </c>
      <c r="I12" s="717">
        <v>18882</v>
      </c>
      <c r="J12" s="717">
        <v>24268</v>
      </c>
      <c r="K12" s="717">
        <v>29098</v>
      </c>
      <c r="L12" s="717">
        <v>37577</v>
      </c>
      <c r="M12" s="222"/>
      <c r="N12" s="285"/>
    </row>
    <row r="13" spans="1:14" s="162" customFormat="1" ht="15" customHeight="1">
      <c r="A13" s="307" t="s">
        <v>177</v>
      </c>
      <c r="B13" s="717">
        <v>10690</v>
      </c>
      <c r="C13" s="717">
        <v>11129</v>
      </c>
      <c r="D13" s="717">
        <v>11442</v>
      </c>
      <c r="E13" s="717">
        <v>11969</v>
      </c>
      <c r="F13" s="717">
        <v>12780</v>
      </c>
      <c r="G13" s="717">
        <v>14087</v>
      </c>
      <c r="H13" s="717">
        <v>13722</v>
      </c>
      <c r="I13" s="717">
        <v>15245</v>
      </c>
      <c r="J13" s="717">
        <v>19827</v>
      </c>
      <c r="K13" s="717">
        <v>24320</v>
      </c>
      <c r="L13" s="717">
        <v>29210</v>
      </c>
      <c r="M13" s="222"/>
      <c r="N13" s="285"/>
    </row>
    <row r="14" spans="1:14" s="232" customFormat="1" ht="11.25" customHeight="1">
      <c r="A14" s="231"/>
      <c r="B14" s="150"/>
      <c r="C14" s="150"/>
      <c r="D14" s="150"/>
      <c r="E14" s="150"/>
      <c r="F14" s="150"/>
      <c r="G14" s="150"/>
      <c r="H14" s="150"/>
      <c r="I14" s="150"/>
      <c r="J14" s="150"/>
      <c r="K14" s="150"/>
      <c r="L14" s="150"/>
    </row>
    <row r="15" spans="1:14" s="230" customFormat="1">
      <c r="A15" s="233" t="s">
        <v>119</v>
      </c>
      <c r="B15" s="234"/>
      <c r="C15" s="234"/>
      <c r="D15" s="234"/>
      <c r="E15" s="234"/>
      <c r="F15" s="234"/>
      <c r="G15" s="234"/>
      <c r="H15" s="234"/>
      <c r="I15" s="234"/>
      <c r="J15" s="234"/>
      <c r="K15" s="234"/>
      <c r="L15" s="234"/>
    </row>
    <row r="16" spans="1:14" s="310" customFormat="1" ht="20.25" customHeight="1">
      <c r="A16" s="201" t="s">
        <v>11</v>
      </c>
      <c r="B16" s="319">
        <v>100</v>
      </c>
      <c r="C16" s="319">
        <v>100</v>
      </c>
      <c r="D16" s="319">
        <v>100</v>
      </c>
      <c r="E16" s="319">
        <v>100</v>
      </c>
      <c r="F16" s="319">
        <v>100</v>
      </c>
      <c r="G16" s="319">
        <v>100</v>
      </c>
      <c r="H16" s="319">
        <v>100</v>
      </c>
      <c r="I16" s="319">
        <v>100</v>
      </c>
      <c r="J16" s="319">
        <v>100</v>
      </c>
      <c r="K16" s="319">
        <v>100</v>
      </c>
      <c r="L16" s="319">
        <v>100</v>
      </c>
    </row>
    <row r="17" spans="1:28" s="310" customFormat="1" ht="20.25" customHeight="1">
      <c r="A17" s="307" t="s">
        <v>117</v>
      </c>
      <c r="B17" s="148">
        <v>0.75470347823245987</v>
      </c>
      <c r="C17" s="148">
        <v>0.58283457994476506</v>
      </c>
      <c r="D17" s="148">
        <v>0.53890411798856497</v>
      </c>
      <c r="E17" s="148">
        <v>0.53899189612480258</v>
      </c>
      <c r="F17" s="148">
        <v>0.46670768628066212</v>
      </c>
      <c r="G17" s="148">
        <v>0.49964164128292421</v>
      </c>
      <c r="H17" s="148">
        <v>0.46522416984656106</v>
      </c>
      <c r="I17" s="148">
        <v>0.50086476651304146</v>
      </c>
      <c r="J17" s="148">
        <v>0.47863844973833336</v>
      </c>
      <c r="K17" s="148">
        <v>0.45003242016534284</v>
      </c>
      <c r="L17" s="148">
        <v>0.38617246483820128</v>
      </c>
      <c r="R17" s="148"/>
      <c r="S17" s="148"/>
      <c r="T17" s="148"/>
      <c r="U17" s="148"/>
      <c r="V17" s="148"/>
      <c r="W17" s="148"/>
      <c r="X17" s="148"/>
      <c r="Y17" s="148"/>
      <c r="Z17" s="148"/>
      <c r="AA17" s="148"/>
      <c r="AB17" s="148"/>
    </row>
    <row r="18" spans="1:28" s="311" customFormat="1" ht="15" customHeight="1">
      <c r="A18" s="307" t="s">
        <v>118</v>
      </c>
      <c r="B18" s="148">
        <v>20.369215067932647</v>
      </c>
      <c r="C18" s="148">
        <v>18.384224845075487</v>
      </c>
      <c r="D18" s="148">
        <v>22.109181370872022</v>
      </c>
      <c r="E18" s="148">
        <v>22.888510621531626</v>
      </c>
      <c r="F18" s="148">
        <v>22.317088266380225</v>
      </c>
      <c r="G18" s="148">
        <v>20.974556531087618</v>
      </c>
      <c r="H18" s="148">
        <v>23.87984389021301</v>
      </c>
      <c r="I18" s="148">
        <v>23.485068122516012</v>
      </c>
      <c r="J18" s="148">
        <v>23.346050170130656</v>
      </c>
      <c r="K18" s="148">
        <v>20.62449343491652</v>
      </c>
      <c r="L18" s="148">
        <v>20.405750343749737</v>
      </c>
      <c r="M18" s="564">
        <f>+L18-B18</f>
        <v>3.6535275817090707E-2</v>
      </c>
      <c r="R18" s="148"/>
      <c r="S18" s="148"/>
      <c r="T18" s="148"/>
      <c r="U18" s="148"/>
      <c r="V18" s="148"/>
      <c r="W18" s="148"/>
      <c r="X18" s="148"/>
      <c r="Y18" s="148"/>
      <c r="Z18" s="148"/>
      <c r="AA18" s="148"/>
      <c r="AB18" s="148"/>
    </row>
    <row r="19" spans="1:28" s="311" customFormat="1" ht="15" customHeight="1">
      <c r="A19" s="190" t="s">
        <v>634</v>
      </c>
      <c r="B19" s="148">
        <v>54.17555399632942</v>
      </c>
      <c r="C19" s="148">
        <v>56.13940017005411</v>
      </c>
      <c r="D19" s="148">
        <v>52.377937535980877</v>
      </c>
      <c r="E19" s="148">
        <v>50.997986343912572</v>
      </c>
      <c r="F19" s="148">
        <v>50.294203130519001</v>
      </c>
      <c r="G19" s="148">
        <v>49.900779430209639</v>
      </c>
      <c r="H19" s="148">
        <v>44.975874698144921</v>
      </c>
      <c r="I19" s="148">
        <v>43.323348150544803</v>
      </c>
      <c r="J19" s="148">
        <v>40.428893382685601</v>
      </c>
      <c r="K19" s="148">
        <v>38.83457610633814</v>
      </c>
      <c r="L19" s="148">
        <v>33.477056026320838</v>
      </c>
      <c r="M19" s="564">
        <f>+L18+L19</f>
        <v>53.882806370070575</v>
      </c>
      <c r="N19" s="564">
        <f>+B18+B19</f>
        <v>74.54476906426207</v>
      </c>
      <c r="O19" s="564">
        <f>+M19-N19</f>
        <v>-20.661962694191494</v>
      </c>
      <c r="R19" s="148"/>
      <c r="S19" s="148"/>
      <c r="T19" s="148"/>
      <c r="U19" s="148"/>
      <c r="V19" s="148"/>
      <c r="W19" s="148"/>
      <c r="X19" s="148"/>
      <c r="Y19" s="148"/>
      <c r="Z19" s="148"/>
      <c r="AA19" s="148"/>
      <c r="AB19" s="148"/>
    </row>
    <row r="20" spans="1:28" s="311" customFormat="1" ht="15" customHeight="1">
      <c r="A20" s="307" t="s">
        <v>173</v>
      </c>
      <c r="B20" s="148">
        <v>13.515638329373903</v>
      </c>
      <c r="C20" s="148">
        <v>13.673033065127308</v>
      </c>
      <c r="D20" s="148">
        <v>13.732516882726308</v>
      </c>
      <c r="E20" s="148">
        <v>14.145734665514039</v>
      </c>
      <c r="F20" s="148">
        <v>14.863141246975106</v>
      </c>
      <c r="G20" s="148">
        <v>15.694678373051424</v>
      </c>
      <c r="H20" s="148">
        <v>16.926526187573877</v>
      </c>
      <c r="I20" s="148">
        <v>17.971693097409155</v>
      </c>
      <c r="J20" s="148">
        <v>19.453183031966045</v>
      </c>
      <c r="K20" s="148">
        <v>21.866266817960771</v>
      </c>
      <c r="L20" s="148">
        <v>24.863228092261753</v>
      </c>
      <c r="M20" s="564">
        <f>+L19-B19</f>
        <v>-20.698497970008582</v>
      </c>
      <c r="R20" s="148"/>
      <c r="S20" s="148"/>
      <c r="T20" s="148"/>
      <c r="U20" s="148"/>
      <c r="V20" s="148"/>
      <c r="W20" s="148"/>
      <c r="X20" s="148"/>
      <c r="Y20" s="148"/>
      <c r="Z20" s="148"/>
      <c r="AA20" s="148"/>
      <c r="AB20" s="148"/>
    </row>
    <row r="21" spans="1:28" s="311" customFormat="1" ht="15" customHeight="1">
      <c r="A21" s="307" t="s">
        <v>174</v>
      </c>
      <c r="B21" s="148">
        <v>7.6610207814419589</v>
      </c>
      <c r="C21" s="148">
        <v>7.6416368385605979</v>
      </c>
      <c r="D21" s="148">
        <v>7.5857299902526192</v>
      </c>
      <c r="E21" s="148">
        <v>7.7197654909160338</v>
      </c>
      <c r="F21" s="148">
        <v>8.1324936554869325</v>
      </c>
      <c r="G21" s="148">
        <v>8.677701128829959</v>
      </c>
      <c r="H21" s="148">
        <v>9.2550406216296892</v>
      </c>
      <c r="I21" s="148">
        <v>9.8043982670133598</v>
      </c>
      <c r="J21" s="148">
        <v>10.679828206968098</v>
      </c>
      <c r="K21" s="148">
        <v>11.902577403144756</v>
      </c>
      <c r="L21" s="148">
        <v>13.50207486424528</v>
      </c>
      <c r="R21" s="148"/>
      <c r="S21" s="148"/>
      <c r="T21" s="148"/>
      <c r="U21" s="148"/>
      <c r="V21" s="148"/>
      <c r="W21" s="148"/>
      <c r="X21" s="148"/>
      <c r="Y21" s="148"/>
      <c r="Z21" s="148"/>
      <c r="AA21" s="148"/>
      <c r="AB21" s="148"/>
    </row>
    <row r="22" spans="1:28" s="311" customFormat="1" ht="15" customHeight="1">
      <c r="A22" s="307" t="s">
        <v>175</v>
      </c>
      <c r="B22" s="148">
        <v>2.3393577889827712</v>
      </c>
      <c r="C22" s="148">
        <v>2.3905006752443709</v>
      </c>
      <c r="D22" s="148">
        <v>2.4396190394620496</v>
      </c>
      <c r="E22" s="148">
        <v>2.4870739977569758</v>
      </c>
      <c r="F22" s="148">
        <v>2.6643100792627714</v>
      </c>
      <c r="G22" s="148">
        <v>2.887654542196739</v>
      </c>
      <c r="H22" s="148">
        <v>3.0903582891505916</v>
      </c>
      <c r="I22" s="148">
        <v>3.3638190415860443</v>
      </c>
      <c r="J22" s="148">
        <v>3.7576464102116272</v>
      </c>
      <c r="K22" s="148">
        <v>4.1572783271194682</v>
      </c>
      <c r="L22" s="148">
        <v>4.7016028889737207</v>
      </c>
      <c r="R22" s="148"/>
      <c r="S22" s="148"/>
      <c r="T22" s="148"/>
      <c r="U22" s="148"/>
      <c r="V22" s="148"/>
      <c r="W22" s="148"/>
      <c r="X22" s="148"/>
      <c r="Y22" s="148"/>
      <c r="Z22" s="148"/>
      <c r="AA22" s="148"/>
      <c r="AB22" s="148"/>
    </row>
    <row r="23" spans="1:28" s="311" customFormat="1" ht="15" customHeight="1">
      <c r="A23" s="307" t="s">
        <v>176</v>
      </c>
      <c r="B23" s="148">
        <v>0.63013825080757369</v>
      </c>
      <c r="C23" s="148">
        <v>0.62944125725529865</v>
      </c>
      <c r="D23" s="148">
        <v>0.65929862655852256</v>
      </c>
      <c r="E23" s="148">
        <v>0.66052422602292837</v>
      </c>
      <c r="F23" s="148">
        <v>0.68258209552794014</v>
      </c>
      <c r="G23" s="148">
        <v>0.73396344741085828</v>
      </c>
      <c r="H23" s="148">
        <v>0.77306320635011583</v>
      </c>
      <c r="I23" s="148">
        <v>0.85804105618755666</v>
      </c>
      <c r="J23" s="148">
        <v>1.0213310382704541</v>
      </c>
      <c r="K23" s="148">
        <v>1.179202463932566</v>
      </c>
      <c r="L23" s="148">
        <v>1.4989363403806517</v>
      </c>
      <c r="R23" s="148"/>
      <c r="S23" s="148"/>
      <c r="T23" s="148"/>
      <c r="U23" s="148"/>
      <c r="V23" s="148"/>
      <c r="W23" s="148"/>
      <c r="X23" s="148"/>
      <c r="Y23" s="148"/>
      <c r="Z23" s="148"/>
      <c r="AA23" s="148"/>
      <c r="AB23" s="148"/>
    </row>
    <row r="24" spans="1:28" s="311" customFormat="1" ht="15" customHeight="1">
      <c r="A24" s="35" t="s">
        <v>177</v>
      </c>
      <c r="B24" s="148">
        <v>0.55437230689926442</v>
      </c>
      <c r="C24" s="148">
        <v>0.55892856873806895</v>
      </c>
      <c r="D24" s="148">
        <v>0.55681243615903553</v>
      </c>
      <c r="E24" s="148">
        <v>0.56141275822102188</v>
      </c>
      <c r="F24" s="148">
        <v>0.57947383956736243</v>
      </c>
      <c r="G24" s="148">
        <v>0.63102490593083682</v>
      </c>
      <c r="H24" s="148">
        <v>0.63406893709123069</v>
      </c>
      <c r="I24" s="148">
        <v>0.69276749823002337</v>
      </c>
      <c r="J24" s="148">
        <v>0.8344293100291863</v>
      </c>
      <c r="K24" s="148">
        <v>0.98557302642243472</v>
      </c>
      <c r="L24" s="148">
        <v>1.1651789792298171</v>
      </c>
      <c r="R24" s="148"/>
      <c r="S24" s="148"/>
      <c r="T24" s="148"/>
      <c r="U24" s="148"/>
      <c r="V24" s="148"/>
      <c r="W24" s="148"/>
      <c r="X24" s="148"/>
      <c r="Y24" s="148"/>
      <c r="Z24" s="148"/>
      <c r="AA24" s="148"/>
      <c r="AB24" s="148"/>
    </row>
    <row r="25" spans="1:28" ht="35.25" customHeight="1">
      <c r="A25" s="992" t="s">
        <v>783</v>
      </c>
      <c r="B25" s="992"/>
      <c r="C25" s="992"/>
      <c r="D25" s="992"/>
      <c r="E25" s="992"/>
      <c r="F25" s="992"/>
      <c r="G25" s="992"/>
      <c r="H25" s="992"/>
      <c r="I25" s="992"/>
      <c r="J25" s="992"/>
      <c r="K25" s="992"/>
      <c r="L25" s="992"/>
      <c r="R25" s="590"/>
      <c r="S25" s="590"/>
      <c r="T25" s="590"/>
      <c r="U25" s="590"/>
      <c r="V25" s="590"/>
      <c r="W25" s="590"/>
      <c r="X25" s="590"/>
      <c r="Y25" s="590"/>
      <c r="Z25" s="590"/>
      <c r="AA25" s="590"/>
      <c r="AB25" s="590"/>
    </row>
    <row r="26" spans="1:28" ht="15" customHeight="1">
      <c r="A26" s="19" t="s">
        <v>769</v>
      </c>
      <c r="B26" s="153"/>
      <c r="C26" s="153"/>
      <c r="D26" s="153"/>
      <c r="E26" s="297"/>
      <c r="F26" s="297"/>
      <c r="G26" s="297"/>
      <c r="H26" s="297"/>
      <c r="I26" s="297"/>
      <c r="J26" s="297"/>
      <c r="K26" s="297"/>
      <c r="L26" s="297"/>
    </row>
    <row r="27" spans="1:28" ht="11.25" customHeight="1">
      <c r="A27" s="993" t="s">
        <v>127</v>
      </c>
      <c r="B27" s="993"/>
      <c r="C27" s="993"/>
      <c r="D27" s="993"/>
      <c r="E27" s="993"/>
      <c r="F27" s="993"/>
      <c r="G27" s="993"/>
      <c r="H27" s="993"/>
      <c r="I27" s="993"/>
      <c r="J27" s="993"/>
      <c r="K27" s="993"/>
      <c r="L27" s="993"/>
    </row>
  </sheetData>
  <mergeCells count="3">
    <mergeCell ref="A1:L1"/>
    <mergeCell ref="A25:L25"/>
    <mergeCell ref="A27:L27"/>
  </mergeCells>
  <conditionalFormatting sqref="A27 E10:J12 N5:N7 B26:E26 A28:E1048576 B2:E4 B8:D8 B16:J24 B10:D15 B5:L7 B9:L9 M26:N1048576 M1:XFD4 O17:Q24 AC17:XFD24 O25:XFD1048576 A1:A24 O5:XFD16">
    <cfRule type="cellIs" dxfId="1212" priority="108" operator="equal">
      <formula>0</formula>
    </cfRule>
    <cfRule type="cellIs" priority="109" operator="equal">
      <formula>0</formula>
    </cfRule>
  </conditionalFormatting>
  <conditionalFormatting sqref="E13:H13">
    <cfRule type="cellIs" dxfId="1211" priority="106" operator="equal">
      <formula>0</formula>
    </cfRule>
    <cfRule type="cellIs" priority="107" operator="equal">
      <formula>0</formula>
    </cfRule>
  </conditionalFormatting>
  <conditionalFormatting sqref="E14:E15">
    <cfRule type="cellIs" dxfId="1210" priority="103" operator="equal">
      <formula>0</formula>
    </cfRule>
    <cfRule type="cellIs" priority="104" operator="equal">
      <formula>0</formula>
    </cfRule>
  </conditionalFormatting>
  <conditionalFormatting sqref="F2:F4 F26 F28:F1048576 G4:H4">
    <cfRule type="cellIs" dxfId="1209" priority="101" operator="equal">
      <formula>0</formula>
    </cfRule>
    <cfRule type="cellIs" priority="102" operator="equal">
      <formula>0</formula>
    </cfRule>
  </conditionalFormatting>
  <conditionalFormatting sqref="F14:F15">
    <cfRule type="cellIs" dxfId="1208" priority="99" operator="equal">
      <formula>0</formula>
    </cfRule>
    <cfRule type="cellIs" priority="100" operator="equal">
      <formula>0</formula>
    </cfRule>
  </conditionalFormatting>
  <conditionalFormatting sqref="E8:F8">
    <cfRule type="cellIs" dxfId="1207" priority="97" operator="equal">
      <formula>0</formula>
    </cfRule>
    <cfRule type="cellIs" priority="98" operator="equal">
      <formula>0</formula>
    </cfRule>
  </conditionalFormatting>
  <conditionalFormatting sqref="H2:H3 H26 H28:H1048576">
    <cfRule type="cellIs" dxfId="1206" priority="95" operator="equal">
      <formula>0</formula>
    </cfRule>
    <cfRule type="cellIs" priority="96" operator="equal">
      <formula>0</formula>
    </cfRule>
  </conditionalFormatting>
  <conditionalFormatting sqref="H14:H15">
    <cfRule type="cellIs" dxfId="1205" priority="93" operator="equal">
      <formula>0</formula>
    </cfRule>
    <cfRule type="cellIs" priority="94" operator="equal">
      <formula>0</formula>
    </cfRule>
  </conditionalFormatting>
  <conditionalFormatting sqref="H8">
    <cfRule type="cellIs" dxfId="1204" priority="91" operator="equal">
      <formula>0</formula>
    </cfRule>
    <cfRule type="cellIs" priority="92" operator="equal">
      <formula>0</formula>
    </cfRule>
  </conditionalFormatting>
  <conditionalFormatting sqref="G2:G3 G26 G28:G1048576">
    <cfRule type="cellIs" dxfId="1203" priority="84" operator="equal">
      <formula>0</formula>
    </cfRule>
    <cfRule type="cellIs" priority="85" operator="equal">
      <formula>0</formula>
    </cfRule>
  </conditionalFormatting>
  <conditionalFormatting sqref="G14:G15">
    <cfRule type="cellIs" dxfId="1202" priority="82" operator="equal">
      <formula>0</formula>
    </cfRule>
    <cfRule type="cellIs" priority="83" operator="equal">
      <formula>0</formula>
    </cfRule>
  </conditionalFormatting>
  <conditionalFormatting sqref="G8">
    <cfRule type="cellIs" dxfId="1201" priority="80" operator="equal">
      <formula>0</formula>
    </cfRule>
    <cfRule type="cellIs" priority="81" operator="equal">
      <formula>0</formula>
    </cfRule>
  </conditionalFormatting>
  <conditionalFormatting sqref="I13">
    <cfRule type="cellIs" dxfId="1200" priority="76" operator="equal">
      <formula>0</formula>
    </cfRule>
    <cfRule type="cellIs" priority="77" operator="equal">
      <formula>0</formula>
    </cfRule>
  </conditionalFormatting>
  <conditionalFormatting sqref="I4">
    <cfRule type="cellIs" dxfId="1199" priority="74" operator="equal">
      <formula>0</formula>
    </cfRule>
    <cfRule type="cellIs" priority="75" operator="equal">
      <formula>0</formula>
    </cfRule>
  </conditionalFormatting>
  <conditionalFormatting sqref="I2:I3 I26 I28:I1048576">
    <cfRule type="cellIs" dxfId="1198" priority="70" operator="equal">
      <formula>0</formula>
    </cfRule>
    <cfRule type="cellIs" priority="71" operator="equal">
      <formula>0</formula>
    </cfRule>
  </conditionalFormatting>
  <conditionalFormatting sqref="I14:I15">
    <cfRule type="cellIs" dxfId="1197" priority="68" operator="equal">
      <formula>0</formula>
    </cfRule>
    <cfRule type="cellIs" priority="69" operator="equal">
      <formula>0</formula>
    </cfRule>
  </conditionalFormatting>
  <conditionalFormatting sqref="I8">
    <cfRule type="cellIs" dxfId="1196" priority="66" operator="equal">
      <formula>0</formula>
    </cfRule>
    <cfRule type="cellIs" priority="67" operator="equal">
      <formula>0</formula>
    </cfRule>
  </conditionalFormatting>
  <conditionalFormatting sqref="J13">
    <cfRule type="cellIs" dxfId="1195" priority="60" operator="equal">
      <formula>0</formula>
    </cfRule>
    <cfRule type="cellIs" priority="61" operator="equal">
      <formula>0</formula>
    </cfRule>
  </conditionalFormatting>
  <conditionalFormatting sqref="J4">
    <cfRule type="cellIs" dxfId="1194" priority="58" operator="equal">
      <formula>0</formula>
    </cfRule>
    <cfRule type="cellIs" priority="59" operator="equal">
      <formula>0</formula>
    </cfRule>
  </conditionalFormatting>
  <conditionalFormatting sqref="J2:J3 J26 J28:J1048576">
    <cfRule type="cellIs" dxfId="1193" priority="54" operator="equal">
      <formula>0</formula>
    </cfRule>
    <cfRule type="cellIs" priority="55" operator="equal">
      <formula>0</formula>
    </cfRule>
  </conditionalFormatting>
  <conditionalFormatting sqref="J14:J15">
    <cfRule type="cellIs" dxfId="1192" priority="52" operator="equal">
      <formula>0</formula>
    </cfRule>
    <cfRule type="cellIs" priority="53" operator="equal">
      <formula>0</formula>
    </cfRule>
  </conditionalFormatting>
  <conditionalFormatting sqref="J8">
    <cfRule type="cellIs" dxfId="1191" priority="50" operator="equal">
      <formula>0</formula>
    </cfRule>
    <cfRule type="cellIs" priority="51" operator="equal">
      <formula>0</formula>
    </cfRule>
  </conditionalFormatting>
  <conditionalFormatting sqref="K10:K12 K16:K24">
    <cfRule type="cellIs" dxfId="1190" priority="46" operator="equal">
      <formula>0</formula>
    </cfRule>
    <cfRule type="cellIs" priority="47" operator="equal">
      <formula>0</formula>
    </cfRule>
  </conditionalFormatting>
  <conditionalFormatting sqref="K13">
    <cfRule type="cellIs" dxfId="1189" priority="42" operator="equal">
      <formula>0</formula>
    </cfRule>
    <cfRule type="cellIs" priority="43" operator="equal">
      <formula>0</formula>
    </cfRule>
  </conditionalFormatting>
  <conditionalFormatting sqref="K4">
    <cfRule type="cellIs" dxfId="1188" priority="40" operator="equal">
      <formula>0</formula>
    </cfRule>
    <cfRule type="cellIs" priority="41" operator="equal">
      <formula>0</formula>
    </cfRule>
  </conditionalFormatting>
  <conditionalFormatting sqref="K2:K3 K26 K28:K1048576">
    <cfRule type="cellIs" dxfId="1187" priority="36" operator="equal">
      <formula>0</formula>
    </cfRule>
    <cfRule type="cellIs" priority="37" operator="equal">
      <formula>0</formula>
    </cfRule>
  </conditionalFormatting>
  <conditionalFormatting sqref="K14:K15">
    <cfRule type="cellIs" dxfId="1186" priority="34" operator="equal">
      <formula>0</formula>
    </cfRule>
    <cfRule type="cellIs" priority="35" operator="equal">
      <formula>0</formula>
    </cfRule>
  </conditionalFormatting>
  <conditionalFormatting sqref="K8">
    <cfRule type="cellIs" dxfId="1185" priority="32" operator="equal">
      <formula>0</formula>
    </cfRule>
    <cfRule type="cellIs" priority="33" operator="equal">
      <formula>0</formula>
    </cfRule>
  </conditionalFormatting>
  <conditionalFormatting sqref="L10:L12 L16:L24">
    <cfRule type="cellIs" dxfId="1184" priority="28" operator="equal">
      <formula>0</formula>
    </cfRule>
    <cfRule type="cellIs" priority="29" operator="equal">
      <formula>0</formula>
    </cfRule>
  </conditionalFormatting>
  <conditionalFormatting sqref="L13">
    <cfRule type="cellIs" dxfId="1183" priority="24" operator="equal">
      <formula>0</formula>
    </cfRule>
    <cfRule type="cellIs" priority="25" operator="equal">
      <formula>0</formula>
    </cfRule>
  </conditionalFormatting>
  <conditionalFormatting sqref="L4">
    <cfRule type="cellIs" dxfId="1182" priority="22" operator="equal">
      <formula>0</formula>
    </cfRule>
    <cfRule type="cellIs" priority="23" operator="equal">
      <formula>0</formula>
    </cfRule>
  </conditionalFormatting>
  <conditionalFormatting sqref="L2:L3 L26 L28:L1048576">
    <cfRule type="cellIs" dxfId="1181" priority="20" operator="equal">
      <formula>0</formula>
    </cfRule>
    <cfRule type="cellIs" priority="21" operator="equal">
      <formula>0</formula>
    </cfRule>
  </conditionalFormatting>
  <conditionalFormatting sqref="L14:L15">
    <cfRule type="cellIs" dxfId="1180" priority="18" operator="equal">
      <formula>0</formula>
    </cfRule>
    <cfRule type="cellIs" priority="19" operator="equal">
      <formula>0</formula>
    </cfRule>
  </conditionalFormatting>
  <conditionalFormatting sqref="L8">
    <cfRule type="cellIs" dxfId="1179" priority="16" operator="equal">
      <formula>0</formula>
    </cfRule>
    <cfRule type="cellIs" priority="17" operator="equal">
      <formula>0</formula>
    </cfRule>
  </conditionalFormatting>
  <conditionalFormatting sqref="R17:AB24">
    <cfRule type="cellIs" dxfId="1178" priority="10" operator="equal">
      <formula>0</formula>
    </cfRule>
    <cfRule type="cellIs" priority="11" operator="equal">
      <formula>0</formula>
    </cfRule>
  </conditionalFormatting>
  <conditionalFormatting sqref="A26">
    <cfRule type="cellIs" dxfId="1177" priority="3" operator="equal">
      <formula>0</formula>
    </cfRule>
  </conditionalFormatting>
  <conditionalFormatting sqref="A25">
    <cfRule type="cellIs" dxfId="1176" priority="1" operator="equal">
      <formula>0</formula>
    </cfRule>
    <cfRule type="cellIs" priority="2"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14">
    <tabColor indexed="26"/>
    <pageSetUpPr fitToPage="1"/>
  </sheetPr>
  <dimension ref="A1:Q110"/>
  <sheetViews>
    <sheetView showGridLines="0" workbookViewId="0">
      <selection activeCell="Y70" sqref="Y70"/>
    </sheetView>
  </sheetViews>
  <sheetFormatPr defaultColWidth="9.140625" defaultRowHeight="11.25"/>
  <cols>
    <col min="1" max="1" width="2.28515625" style="129" customWidth="1"/>
    <col min="2" max="2" width="28.7109375" style="129" customWidth="1"/>
    <col min="3" max="13" width="6.42578125" style="129" customWidth="1"/>
    <col min="14" max="16384" width="9.140625" style="129"/>
  </cols>
  <sheetData>
    <row r="1" spans="1:17" s="235" customFormat="1" ht="28.5" customHeight="1">
      <c r="A1" s="991" t="s">
        <v>636</v>
      </c>
      <c r="B1" s="991"/>
      <c r="C1" s="991"/>
      <c r="D1" s="991"/>
      <c r="E1" s="991"/>
      <c r="F1" s="991"/>
      <c r="G1" s="991"/>
      <c r="H1" s="991"/>
      <c r="I1" s="991"/>
      <c r="J1" s="991"/>
      <c r="K1" s="991"/>
      <c r="L1" s="991"/>
      <c r="M1" s="991"/>
    </row>
    <row r="2" spans="1:17" s="237" customFormat="1" ht="15" customHeight="1">
      <c r="A2" s="277"/>
      <c r="B2" s="277"/>
      <c r="C2" s="277"/>
      <c r="D2" s="277"/>
      <c r="E2" s="277"/>
      <c r="F2" s="278"/>
      <c r="G2" s="278"/>
      <c r="H2" s="278"/>
      <c r="I2" s="278"/>
      <c r="J2" s="278"/>
      <c r="K2" s="278"/>
      <c r="L2" s="278"/>
      <c r="M2" s="278"/>
    </row>
    <row r="3" spans="1:17" s="115" customFormat="1" ht="15" customHeight="1">
      <c r="A3" s="28" t="s">
        <v>41</v>
      </c>
      <c r="B3" s="19"/>
      <c r="C3" s="29"/>
      <c r="E3" s="361"/>
      <c r="F3" s="361"/>
      <c r="G3" s="361"/>
      <c r="H3" s="361"/>
      <c r="I3" s="361"/>
      <c r="J3" s="361"/>
      <c r="K3" s="994" t="s">
        <v>67</v>
      </c>
      <c r="L3" s="994"/>
      <c r="M3" s="29"/>
    </row>
    <row r="4" spans="1:17" s="115" customFormat="1" ht="28.5" customHeight="1" thickBot="1">
      <c r="A4" s="104" t="s">
        <v>1</v>
      </c>
      <c r="B4" s="30"/>
      <c r="C4" s="4">
        <v>2014</v>
      </c>
      <c r="D4" s="4">
        <v>2015</v>
      </c>
      <c r="E4" s="4">
        <v>2016</v>
      </c>
      <c r="F4" s="4">
        <v>2017</v>
      </c>
      <c r="G4" s="4">
        <v>2018</v>
      </c>
      <c r="H4" s="4">
        <v>2019</v>
      </c>
      <c r="I4" s="4">
        <v>2020</v>
      </c>
      <c r="J4" s="4">
        <v>2021</v>
      </c>
      <c r="K4" s="4">
        <v>2022</v>
      </c>
      <c r="L4" s="4">
        <v>2023</v>
      </c>
      <c r="M4" s="4">
        <v>2024</v>
      </c>
    </row>
    <row r="5" spans="1:17" s="115" customFormat="1" ht="16.5" customHeight="1" thickTop="1">
      <c r="A5" s="220" t="s">
        <v>42</v>
      </c>
      <c r="B5" s="201"/>
      <c r="C5" s="163">
        <v>909.49</v>
      </c>
      <c r="D5" s="163">
        <v>913.93</v>
      </c>
      <c r="E5" s="163">
        <v>924.94</v>
      </c>
      <c r="F5" s="163">
        <v>943</v>
      </c>
      <c r="G5" s="163">
        <v>970.42</v>
      </c>
      <c r="H5" s="163">
        <v>1005.09</v>
      </c>
      <c r="I5" s="163">
        <v>1041.99</v>
      </c>
      <c r="J5" s="163">
        <v>1082.77</v>
      </c>
      <c r="K5" s="163">
        <v>1143.45</v>
      </c>
      <c r="L5" s="163">
        <v>1219.8699999999999</v>
      </c>
      <c r="M5" s="163">
        <v>1308.96</v>
      </c>
      <c r="N5" s="238"/>
      <c r="O5" s="559">
        <f>+(M5/C5-1)*100</f>
        <v>43.922418058472324</v>
      </c>
      <c r="P5" s="559">
        <f>+M5-L5</f>
        <v>89.090000000000146</v>
      </c>
      <c r="Q5" s="559">
        <f>+P5/L5*100</f>
        <v>7.3032372301966726</v>
      </c>
    </row>
    <row r="6" spans="1:17" s="115" customFormat="1" ht="16.5" customHeight="1">
      <c r="A6" s="201" t="s">
        <v>72</v>
      </c>
      <c r="B6" s="307" t="s">
        <v>169</v>
      </c>
      <c r="C6" s="163">
        <v>687.92</v>
      </c>
      <c r="D6" s="163">
        <v>701.34</v>
      </c>
      <c r="E6" s="163">
        <v>726.49</v>
      </c>
      <c r="F6" s="163">
        <v>738.39</v>
      </c>
      <c r="G6" s="163">
        <v>773.22</v>
      </c>
      <c r="H6" s="163">
        <v>823.08</v>
      </c>
      <c r="I6" s="163">
        <v>823.12</v>
      </c>
      <c r="J6" s="163">
        <v>872.68</v>
      </c>
      <c r="K6" s="163">
        <v>916.19</v>
      </c>
      <c r="L6" s="163">
        <v>969.65</v>
      </c>
      <c r="M6" s="163">
        <v>1041.6300000000001</v>
      </c>
      <c r="N6" s="238"/>
    </row>
    <row r="7" spans="1:17" s="115" customFormat="1" ht="12.75" customHeight="1">
      <c r="A7" s="201" t="s">
        <v>73</v>
      </c>
      <c r="B7" s="307" t="s">
        <v>101</v>
      </c>
      <c r="C7" s="163">
        <v>934.74</v>
      </c>
      <c r="D7" s="163">
        <v>937.81</v>
      </c>
      <c r="E7" s="163">
        <v>958.1</v>
      </c>
      <c r="F7" s="163">
        <v>986.18</v>
      </c>
      <c r="G7" s="163">
        <v>1036.73</v>
      </c>
      <c r="H7" s="163">
        <v>1083.24</v>
      </c>
      <c r="I7" s="163">
        <v>1099.73</v>
      </c>
      <c r="J7" s="163">
        <v>1159.45</v>
      </c>
      <c r="K7" s="163">
        <v>1221.07</v>
      </c>
      <c r="L7" s="163">
        <v>1316.39</v>
      </c>
      <c r="M7" s="163">
        <v>1434.33</v>
      </c>
      <c r="N7" s="238"/>
    </row>
    <row r="8" spans="1:17" s="115" customFormat="1" ht="12.75" customHeight="1">
      <c r="A8" s="201" t="s">
        <v>74</v>
      </c>
      <c r="B8" s="307" t="s">
        <v>100</v>
      </c>
      <c r="C8" s="163">
        <v>844.01</v>
      </c>
      <c r="D8" s="163">
        <v>856.12</v>
      </c>
      <c r="E8" s="163">
        <v>870.08</v>
      </c>
      <c r="F8" s="163">
        <v>895.89</v>
      </c>
      <c r="G8" s="163">
        <v>929.15</v>
      </c>
      <c r="H8" s="163">
        <v>964.71</v>
      </c>
      <c r="I8" s="163">
        <v>1003.21</v>
      </c>
      <c r="J8" s="163">
        <v>1031.03</v>
      </c>
      <c r="K8" s="163">
        <v>1095.17</v>
      </c>
      <c r="L8" s="163">
        <v>1172.58</v>
      </c>
      <c r="M8" s="163">
        <v>1262.53</v>
      </c>
      <c r="N8" s="238"/>
    </row>
    <row r="9" spans="1:17" s="115" customFormat="1" ht="12.75" customHeight="1">
      <c r="A9" s="103"/>
      <c r="B9" s="102" t="s">
        <v>87</v>
      </c>
      <c r="C9" s="718">
        <v>747.8</v>
      </c>
      <c r="D9" s="718">
        <v>760.19</v>
      </c>
      <c r="E9" s="718">
        <v>770.62</v>
      </c>
      <c r="F9" s="718">
        <v>796.38</v>
      </c>
      <c r="G9" s="718">
        <v>822.9</v>
      </c>
      <c r="H9" s="718">
        <v>849.91</v>
      </c>
      <c r="I9" s="718">
        <v>888.37</v>
      </c>
      <c r="J9" s="718">
        <v>926.13</v>
      </c>
      <c r="K9" s="718">
        <v>966.13</v>
      </c>
      <c r="L9" s="718">
        <v>1031.74</v>
      </c>
      <c r="M9" s="718">
        <v>1097.05</v>
      </c>
      <c r="N9" s="238"/>
    </row>
    <row r="10" spans="1:17" s="115" customFormat="1" ht="12.75" customHeight="1">
      <c r="A10" s="103"/>
      <c r="B10" s="102" t="s">
        <v>88</v>
      </c>
      <c r="C10" s="718">
        <v>1112.46</v>
      </c>
      <c r="D10" s="718">
        <v>1115.24</v>
      </c>
      <c r="E10" s="718">
        <v>1122.6099999999999</v>
      </c>
      <c r="F10" s="718">
        <v>1131.43</v>
      </c>
      <c r="G10" s="718">
        <v>1135.99</v>
      </c>
      <c r="H10" s="718">
        <v>1167.49</v>
      </c>
      <c r="I10" s="718">
        <v>1197.1600000000001</v>
      </c>
      <c r="J10" s="718">
        <v>1222.73</v>
      </c>
      <c r="K10" s="718">
        <v>1271.04</v>
      </c>
      <c r="L10" s="718">
        <v>1345.03</v>
      </c>
      <c r="M10" s="718">
        <v>1435.38</v>
      </c>
      <c r="N10" s="238"/>
    </row>
    <row r="11" spans="1:17" s="115" customFormat="1" ht="12.75" customHeight="1">
      <c r="A11" s="103"/>
      <c r="B11" s="102" t="s">
        <v>89</v>
      </c>
      <c r="C11" s="718">
        <v>1885.93</v>
      </c>
      <c r="D11" s="718">
        <v>1764.33</v>
      </c>
      <c r="E11" s="718">
        <v>1660.55</v>
      </c>
      <c r="F11" s="718">
        <v>1624.74</v>
      </c>
      <c r="G11" s="718">
        <v>1717.62</v>
      </c>
      <c r="H11" s="718">
        <v>1691.8</v>
      </c>
      <c r="I11" s="718">
        <v>1765.38</v>
      </c>
      <c r="J11" s="718">
        <v>1800.04</v>
      </c>
      <c r="K11" s="718">
        <v>1855.15</v>
      </c>
      <c r="L11" s="718">
        <v>2022.87</v>
      </c>
      <c r="M11" s="718">
        <v>2083.2800000000002</v>
      </c>
      <c r="N11" s="238"/>
    </row>
    <row r="12" spans="1:17" s="115" customFormat="1" ht="12.75" customHeight="1">
      <c r="A12" s="103"/>
      <c r="B12" s="102" t="s">
        <v>0</v>
      </c>
      <c r="C12" s="718">
        <v>696.68</v>
      </c>
      <c r="D12" s="718">
        <v>712.82</v>
      </c>
      <c r="E12" s="718">
        <v>732.98</v>
      </c>
      <c r="F12" s="718">
        <v>762.14</v>
      </c>
      <c r="G12" s="718">
        <v>794.24</v>
      </c>
      <c r="H12" s="718">
        <v>817.69</v>
      </c>
      <c r="I12" s="718">
        <v>854.64</v>
      </c>
      <c r="J12" s="718">
        <v>891.41</v>
      </c>
      <c r="K12" s="718">
        <v>952.77</v>
      </c>
      <c r="L12" s="718">
        <v>1020.11</v>
      </c>
      <c r="M12" s="718">
        <v>1093.3900000000001</v>
      </c>
      <c r="N12" s="238"/>
    </row>
    <row r="13" spans="1:17" s="115" customFormat="1" ht="12.75" customHeight="1">
      <c r="A13" s="103"/>
      <c r="B13" s="102" t="s">
        <v>90</v>
      </c>
      <c r="C13" s="718">
        <v>599.73</v>
      </c>
      <c r="D13" s="718">
        <v>608.79999999999995</v>
      </c>
      <c r="E13" s="718">
        <v>635.15</v>
      </c>
      <c r="F13" s="718">
        <v>666.45</v>
      </c>
      <c r="G13" s="718">
        <v>698.05</v>
      </c>
      <c r="H13" s="718">
        <v>728.51</v>
      </c>
      <c r="I13" s="718">
        <v>764.32</v>
      </c>
      <c r="J13" s="718">
        <v>802.15</v>
      </c>
      <c r="K13" s="718">
        <v>853.14</v>
      </c>
      <c r="L13" s="718">
        <v>922.78</v>
      </c>
      <c r="M13" s="718">
        <v>998.43</v>
      </c>
      <c r="N13" s="238"/>
    </row>
    <row r="14" spans="1:17" s="115" customFormat="1" ht="12.75" customHeight="1">
      <c r="A14" s="103"/>
      <c r="B14" s="102" t="s">
        <v>143</v>
      </c>
      <c r="C14" s="718">
        <v>630.91</v>
      </c>
      <c r="D14" s="718">
        <v>649.51</v>
      </c>
      <c r="E14" s="718">
        <v>672.79</v>
      </c>
      <c r="F14" s="718">
        <v>698.04</v>
      </c>
      <c r="G14" s="718">
        <v>730.56</v>
      </c>
      <c r="H14" s="718">
        <v>766.71</v>
      </c>
      <c r="I14" s="718">
        <v>797.31</v>
      </c>
      <c r="J14" s="718">
        <v>835.99</v>
      </c>
      <c r="K14" s="718">
        <v>888.04</v>
      </c>
      <c r="L14" s="718">
        <v>962.87</v>
      </c>
      <c r="M14" s="718">
        <v>1035.57</v>
      </c>
      <c r="N14" s="238"/>
    </row>
    <row r="15" spans="1:17" s="115" customFormat="1" ht="12.75" customHeight="1">
      <c r="A15" s="103"/>
      <c r="B15" s="102" t="s">
        <v>144</v>
      </c>
      <c r="C15" s="718">
        <v>825.69</v>
      </c>
      <c r="D15" s="718">
        <v>833.74</v>
      </c>
      <c r="E15" s="718">
        <v>857.45</v>
      </c>
      <c r="F15" s="718">
        <v>875.61</v>
      </c>
      <c r="G15" s="718">
        <v>900.19</v>
      </c>
      <c r="H15" s="718">
        <v>932.61</v>
      </c>
      <c r="I15" s="718">
        <v>964.05</v>
      </c>
      <c r="J15" s="718">
        <v>1002.66</v>
      </c>
      <c r="K15" s="718">
        <v>1055.1099999999999</v>
      </c>
      <c r="L15" s="718">
        <v>1134.57</v>
      </c>
      <c r="M15" s="718">
        <v>1202.48</v>
      </c>
      <c r="N15" s="238"/>
    </row>
    <row r="16" spans="1:17" s="115" customFormat="1" ht="12.75" customHeight="1">
      <c r="A16" s="103"/>
      <c r="B16" s="102" t="s">
        <v>145</v>
      </c>
      <c r="C16" s="718">
        <v>1117.3800000000001</v>
      </c>
      <c r="D16" s="718">
        <v>1130.68</v>
      </c>
      <c r="E16" s="718">
        <v>1110.49</v>
      </c>
      <c r="F16" s="718">
        <v>1117.58</v>
      </c>
      <c r="G16" s="718">
        <v>1125.7</v>
      </c>
      <c r="H16" s="718">
        <v>1161.6500000000001</v>
      </c>
      <c r="I16" s="718">
        <v>1197.77</v>
      </c>
      <c r="J16" s="718">
        <v>1228.26</v>
      </c>
      <c r="K16" s="718">
        <v>1265.78</v>
      </c>
      <c r="L16" s="718">
        <v>1344.17</v>
      </c>
      <c r="M16" s="718">
        <v>1427.71</v>
      </c>
      <c r="N16" s="238"/>
    </row>
    <row r="17" spans="1:14" s="115" customFormat="1" ht="12.75" customHeight="1">
      <c r="A17" s="103"/>
      <c r="B17" s="102" t="s">
        <v>146</v>
      </c>
      <c r="C17" s="718">
        <v>875.21</v>
      </c>
      <c r="D17" s="718">
        <v>877.75</v>
      </c>
      <c r="E17" s="718">
        <v>889.46</v>
      </c>
      <c r="F17" s="718">
        <v>901.84</v>
      </c>
      <c r="G17" s="718">
        <v>927.76</v>
      </c>
      <c r="H17" s="718">
        <v>956.11</v>
      </c>
      <c r="I17" s="718">
        <v>983.09</v>
      </c>
      <c r="J17" s="718">
        <v>1019.64</v>
      </c>
      <c r="K17" s="718">
        <v>1057.7</v>
      </c>
      <c r="L17" s="718">
        <v>1117.01</v>
      </c>
      <c r="M17" s="718">
        <v>1184.94</v>
      </c>
      <c r="N17" s="238"/>
    </row>
    <row r="18" spans="1:14" s="115" customFormat="1" ht="12.75" customHeight="1">
      <c r="A18" s="103"/>
      <c r="B18" s="102" t="s">
        <v>147</v>
      </c>
      <c r="C18" s="718">
        <v>2533.4299999999998</v>
      </c>
      <c r="D18" s="718">
        <v>2513.3000000000002</v>
      </c>
      <c r="E18" s="718">
        <v>2545.6</v>
      </c>
      <c r="F18" s="718">
        <v>2544.4699999999998</v>
      </c>
      <c r="G18" s="718">
        <v>2515.46</v>
      </c>
      <c r="H18" s="718">
        <v>2600.0700000000002</v>
      </c>
      <c r="I18" s="718">
        <v>2574.19</v>
      </c>
      <c r="J18" s="718">
        <v>2791.95</v>
      </c>
      <c r="K18" s="718">
        <v>2786.06</v>
      </c>
      <c r="L18" s="718">
        <v>2858.45</v>
      </c>
      <c r="M18" s="718">
        <v>3128.37</v>
      </c>
      <c r="N18" s="238"/>
    </row>
    <row r="19" spans="1:14" s="115" customFormat="1" ht="12.75" customHeight="1">
      <c r="A19" s="103"/>
      <c r="B19" s="102" t="s">
        <v>148</v>
      </c>
      <c r="C19" s="718">
        <v>1300.8499999999999</v>
      </c>
      <c r="D19" s="718">
        <v>1306</v>
      </c>
      <c r="E19" s="718">
        <v>1318.49</v>
      </c>
      <c r="F19" s="718">
        <v>1323.61</v>
      </c>
      <c r="G19" s="718">
        <v>1352.62</v>
      </c>
      <c r="H19" s="718">
        <v>1414.33</v>
      </c>
      <c r="I19" s="718">
        <v>1437.44</v>
      </c>
      <c r="J19" s="718">
        <v>1451.02</v>
      </c>
      <c r="K19" s="718">
        <v>1520.71</v>
      </c>
      <c r="L19" s="718">
        <v>1556.82</v>
      </c>
      <c r="M19" s="718">
        <v>1681.26</v>
      </c>
      <c r="N19" s="238"/>
    </row>
    <row r="20" spans="1:14" s="115" customFormat="1" ht="12.75" customHeight="1">
      <c r="A20" s="103"/>
      <c r="B20" s="102" t="s">
        <v>157</v>
      </c>
      <c r="C20" s="718">
        <v>1544.24</v>
      </c>
      <c r="D20" s="718">
        <v>1572.81</v>
      </c>
      <c r="E20" s="718">
        <v>1549.65</v>
      </c>
      <c r="F20" s="718">
        <v>1591.88</v>
      </c>
      <c r="G20" s="718">
        <v>1623.52</v>
      </c>
      <c r="H20" s="718">
        <v>1723.91</v>
      </c>
      <c r="I20" s="718">
        <v>1677.7</v>
      </c>
      <c r="J20" s="718">
        <v>1735.63</v>
      </c>
      <c r="K20" s="718">
        <v>1813.09</v>
      </c>
      <c r="L20" s="718">
        <v>1917.83</v>
      </c>
      <c r="M20" s="718">
        <v>2000.17</v>
      </c>
      <c r="N20" s="238"/>
    </row>
    <row r="21" spans="1:14" s="115" customFormat="1" ht="12.75" customHeight="1">
      <c r="A21" s="103"/>
      <c r="B21" s="102" t="s">
        <v>149</v>
      </c>
      <c r="C21" s="718">
        <v>910.81</v>
      </c>
      <c r="D21" s="718">
        <v>914.2</v>
      </c>
      <c r="E21" s="718">
        <v>938</v>
      </c>
      <c r="F21" s="718">
        <v>950.37</v>
      </c>
      <c r="G21" s="718">
        <v>986.7</v>
      </c>
      <c r="H21" s="718">
        <v>1019.55</v>
      </c>
      <c r="I21" s="718">
        <v>1036.42</v>
      </c>
      <c r="J21" s="718">
        <v>1069.6600000000001</v>
      </c>
      <c r="K21" s="718">
        <v>1122.1400000000001</v>
      </c>
      <c r="L21" s="718">
        <v>1198.07</v>
      </c>
      <c r="M21" s="718">
        <v>1274.81</v>
      </c>
      <c r="N21" s="238"/>
    </row>
    <row r="22" spans="1:14" s="115" customFormat="1" ht="12.75" customHeight="1">
      <c r="A22" s="103"/>
      <c r="B22" s="102" t="s">
        <v>156</v>
      </c>
      <c r="C22" s="718">
        <v>869.23</v>
      </c>
      <c r="D22" s="718">
        <v>877.28</v>
      </c>
      <c r="E22" s="718">
        <v>883.03</v>
      </c>
      <c r="F22" s="718">
        <v>902.94</v>
      </c>
      <c r="G22" s="718">
        <v>929.28</v>
      </c>
      <c r="H22" s="718">
        <v>961.82</v>
      </c>
      <c r="I22" s="718">
        <v>981.74</v>
      </c>
      <c r="J22" s="718">
        <v>1022.36</v>
      </c>
      <c r="K22" s="718">
        <v>1077.8699999999999</v>
      </c>
      <c r="L22" s="718">
        <v>1151.8900000000001</v>
      </c>
      <c r="M22" s="718">
        <v>1233.77</v>
      </c>
      <c r="N22" s="238"/>
    </row>
    <row r="23" spans="1:14" s="115" customFormat="1" ht="12.75" customHeight="1">
      <c r="A23" s="103"/>
      <c r="B23" s="102" t="s">
        <v>91</v>
      </c>
      <c r="C23" s="718">
        <v>996.46</v>
      </c>
      <c r="D23" s="718">
        <v>998.43</v>
      </c>
      <c r="E23" s="718">
        <v>1016.83</v>
      </c>
      <c r="F23" s="718">
        <v>1027.25</v>
      </c>
      <c r="G23" s="718">
        <v>1078.21</v>
      </c>
      <c r="H23" s="718">
        <v>1099.47</v>
      </c>
      <c r="I23" s="718">
        <v>1137.97</v>
      </c>
      <c r="J23" s="718">
        <v>1170.1600000000001</v>
      </c>
      <c r="K23" s="718">
        <v>1214.02</v>
      </c>
      <c r="L23" s="718">
        <v>1306.96</v>
      </c>
      <c r="M23" s="718">
        <v>1360.52</v>
      </c>
      <c r="N23" s="238"/>
    </row>
    <row r="24" spans="1:14" s="115" customFormat="1" ht="12.75" customHeight="1">
      <c r="A24" s="103"/>
      <c r="B24" s="102" t="s">
        <v>154</v>
      </c>
      <c r="C24" s="718">
        <v>855.25</v>
      </c>
      <c r="D24" s="718">
        <v>868.98</v>
      </c>
      <c r="E24" s="718">
        <v>878.59</v>
      </c>
      <c r="F24" s="718">
        <v>908.92</v>
      </c>
      <c r="G24" s="718">
        <v>938.82</v>
      </c>
      <c r="H24" s="718">
        <v>973</v>
      </c>
      <c r="I24" s="718">
        <v>992.93</v>
      </c>
      <c r="J24" s="718">
        <v>1023.45</v>
      </c>
      <c r="K24" s="718">
        <v>1082.54</v>
      </c>
      <c r="L24" s="718">
        <v>1151.1099999999999</v>
      </c>
      <c r="M24" s="718">
        <v>1215.3699999999999</v>
      </c>
      <c r="N24" s="238"/>
    </row>
    <row r="25" spans="1:14" s="115" customFormat="1" ht="12.75" customHeight="1">
      <c r="A25" s="103"/>
      <c r="B25" s="102" t="s">
        <v>155</v>
      </c>
      <c r="C25" s="718">
        <v>1080.3800000000001</v>
      </c>
      <c r="D25" s="718">
        <v>1123.73</v>
      </c>
      <c r="E25" s="718">
        <v>1131.29</v>
      </c>
      <c r="F25" s="718">
        <v>1145.3599999999999</v>
      </c>
      <c r="G25" s="718">
        <v>1182.54</v>
      </c>
      <c r="H25" s="718">
        <v>1225.2</v>
      </c>
      <c r="I25" s="718">
        <v>1256.75</v>
      </c>
      <c r="J25" s="718">
        <v>1289.67</v>
      </c>
      <c r="K25" s="718">
        <v>1419.9</v>
      </c>
      <c r="L25" s="718">
        <v>1537.8</v>
      </c>
      <c r="M25" s="718">
        <v>1706.46</v>
      </c>
      <c r="N25" s="238"/>
    </row>
    <row r="26" spans="1:14" s="115" customFormat="1" ht="12.75" customHeight="1">
      <c r="A26" s="103"/>
      <c r="B26" s="102" t="s">
        <v>150</v>
      </c>
      <c r="C26" s="718">
        <v>1109.3499999999999</v>
      </c>
      <c r="D26" s="718">
        <v>1162.27</v>
      </c>
      <c r="E26" s="718">
        <v>1170.6400000000001</v>
      </c>
      <c r="F26" s="718">
        <v>1200.67</v>
      </c>
      <c r="G26" s="718">
        <v>1233.32</v>
      </c>
      <c r="H26" s="718">
        <v>1198.56</v>
      </c>
      <c r="I26" s="718">
        <v>1354.55</v>
      </c>
      <c r="J26" s="718">
        <v>1275.7</v>
      </c>
      <c r="K26" s="718">
        <v>1459.52</v>
      </c>
      <c r="L26" s="718">
        <v>1597.27</v>
      </c>
      <c r="M26" s="718">
        <v>1735.42</v>
      </c>
      <c r="N26" s="238"/>
    </row>
    <row r="27" spans="1:14" s="115" customFormat="1" ht="12.75" customHeight="1">
      <c r="A27" s="103"/>
      <c r="B27" s="102" t="s">
        <v>158</v>
      </c>
      <c r="C27" s="718">
        <v>954.11</v>
      </c>
      <c r="D27" s="718">
        <v>972.06</v>
      </c>
      <c r="E27" s="718">
        <v>980.19</v>
      </c>
      <c r="F27" s="718">
        <v>1003.41</v>
      </c>
      <c r="G27" s="718">
        <v>1029.4100000000001</v>
      </c>
      <c r="H27" s="718">
        <v>1068.52</v>
      </c>
      <c r="I27" s="718">
        <v>1092.08</v>
      </c>
      <c r="J27" s="718">
        <v>1136.22</v>
      </c>
      <c r="K27" s="718">
        <v>1190.8900000000001</v>
      </c>
      <c r="L27" s="718">
        <v>1281.75</v>
      </c>
      <c r="M27" s="718">
        <v>1374.25</v>
      </c>
      <c r="N27" s="238"/>
    </row>
    <row r="28" spans="1:14" s="115" customFormat="1" ht="12.75" customHeight="1">
      <c r="A28" s="103"/>
      <c r="B28" s="102" t="s">
        <v>151</v>
      </c>
      <c r="C28" s="718">
        <v>1063.57</v>
      </c>
      <c r="D28" s="718">
        <v>1073.57</v>
      </c>
      <c r="E28" s="718">
        <v>1049.9100000000001</v>
      </c>
      <c r="F28" s="718">
        <v>1054.67</v>
      </c>
      <c r="G28" s="718">
        <v>1044.32</v>
      </c>
      <c r="H28" s="718">
        <v>1086.77</v>
      </c>
      <c r="I28" s="718">
        <v>1134.3800000000001</v>
      </c>
      <c r="J28" s="718">
        <v>1142.07</v>
      </c>
      <c r="K28" s="718">
        <v>1254.9100000000001</v>
      </c>
      <c r="L28" s="718">
        <v>1274.82</v>
      </c>
      <c r="M28" s="718">
        <v>1430.76</v>
      </c>
      <c r="N28" s="238"/>
    </row>
    <row r="29" spans="1:14" s="115" customFormat="1" ht="12.75" customHeight="1">
      <c r="A29" s="103"/>
      <c r="B29" s="102" t="s">
        <v>159</v>
      </c>
      <c r="C29" s="718">
        <v>901.95</v>
      </c>
      <c r="D29" s="718">
        <v>926.65</v>
      </c>
      <c r="E29" s="718">
        <v>912.66</v>
      </c>
      <c r="F29" s="718">
        <v>921.71</v>
      </c>
      <c r="G29" s="718">
        <v>954.8</v>
      </c>
      <c r="H29" s="718">
        <v>975.39</v>
      </c>
      <c r="I29" s="718">
        <v>1012.45</v>
      </c>
      <c r="J29" s="718">
        <v>1029.73</v>
      </c>
      <c r="K29" s="718">
        <v>1083.55</v>
      </c>
      <c r="L29" s="718">
        <v>1165.8699999999999</v>
      </c>
      <c r="M29" s="718">
        <v>1215.07</v>
      </c>
      <c r="N29" s="238"/>
    </row>
    <row r="30" spans="1:14" s="127" customFormat="1" ht="12.75" customHeight="1">
      <c r="A30" s="103"/>
      <c r="B30" s="102" t="s">
        <v>152</v>
      </c>
      <c r="C30" s="718">
        <v>658.7</v>
      </c>
      <c r="D30" s="718">
        <v>664.91</v>
      </c>
      <c r="E30" s="718">
        <v>682.18</v>
      </c>
      <c r="F30" s="718">
        <v>708.06</v>
      </c>
      <c r="G30" s="718">
        <v>739.02</v>
      </c>
      <c r="H30" s="718">
        <v>765.8</v>
      </c>
      <c r="I30" s="718">
        <v>795.34</v>
      </c>
      <c r="J30" s="718">
        <v>827.91</v>
      </c>
      <c r="K30" s="718">
        <v>883.72</v>
      </c>
      <c r="L30" s="718">
        <v>953.9</v>
      </c>
      <c r="M30" s="718">
        <v>1030.95</v>
      </c>
      <c r="N30" s="238"/>
    </row>
    <row r="31" spans="1:14" s="115" customFormat="1" ht="12.75" customHeight="1">
      <c r="A31" s="103"/>
      <c r="B31" s="102" t="s">
        <v>153</v>
      </c>
      <c r="C31" s="718">
        <v>805.15</v>
      </c>
      <c r="D31" s="718">
        <v>806.95</v>
      </c>
      <c r="E31" s="718">
        <v>836.75</v>
      </c>
      <c r="F31" s="718">
        <v>853.78</v>
      </c>
      <c r="G31" s="718">
        <v>885.17</v>
      </c>
      <c r="H31" s="718">
        <v>927.34</v>
      </c>
      <c r="I31" s="718">
        <v>948.2</v>
      </c>
      <c r="J31" s="718">
        <v>983.09</v>
      </c>
      <c r="K31" s="718">
        <v>1051.74</v>
      </c>
      <c r="L31" s="718">
        <v>1126.27</v>
      </c>
      <c r="M31" s="718">
        <v>1221.71</v>
      </c>
      <c r="N31" s="238"/>
    </row>
    <row r="32" spans="1:14" s="115" customFormat="1" ht="12.75" customHeight="1">
      <c r="A32" s="103"/>
      <c r="B32" s="102" t="s">
        <v>160</v>
      </c>
      <c r="C32" s="718">
        <v>1037.4100000000001</v>
      </c>
      <c r="D32" s="718">
        <v>1019.24</v>
      </c>
      <c r="E32" s="718">
        <v>1023.93</v>
      </c>
      <c r="F32" s="718">
        <v>1044.28</v>
      </c>
      <c r="G32" s="718">
        <v>1080.93</v>
      </c>
      <c r="H32" s="718">
        <v>1107.02</v>
      </c>
      <c r="I32" s="718">
        <v>1124.99</v>
      </c>
      <c r="J32" s="718">
        <v>1167.3800000000001</v>
      </c>
      <c r="K32" s="718">
        <v>1210.1099999999999</v>
      </c>
      <c r="L32" s="718">
        <v>1306.72</v>
      </c>
      <c r="M32" s="718">
        <v>1388.65</v>
      </c>
      <c r="N32" s="238"/>
    </row>
    <row r="33" spans="1:14" s="115" customFormat="1" ht="16.5" customHeight="1">
      <c r="A33" s="201" t="s">
        <v>75</v>
      </c>
      <c r="B33" s="307" t="s">
        <v>161</v>
      </c>
      <c r="C33" s="163">
        <v>2065.0700000000002</v>
      </c>
      <c r="D33" s="163">
        <v>2091.5</v>
      </c>
      <c r="E33" s="163">
        <v>2075.64</v>
      </c>
      <c r="F33" s="163">
        <v>2070.14</v>
      </c>
      <c r="G33" s="163">
        <v>2080.65</v>
      </c>
      <c r="H33" s="163">
        <v>2086.9</v>
      </c>
      <c r="I33" s="163">
        <v>2128.4699999999998</v>
      </c>
      <c r="J33" s="163">
        <v>2156.69</v>
      </c>
      <c r="K33" s="163">
        <v>2243.09</v>
      </c>
      <c r="L33" s="163">
        <v>2384.1999999999998</v>
      </c>
      <c r="M33" s="163">
        <v>2492.3000000000002</v>
      </c>
      <c r="N33" s="238"/>
    </row>
    <row r="34" spans="1:14" s="115" customFormat="1" ht="12.75" customHeight="1">
      <c r="A34" s="201" t="s">
        <v>76</v>
      </c>
      <c r="B34" s="307" t="s">
        <v>170</v>
      </c>
      <c r="C34" s="163">
        <v>885.35</v>
      </c>
      <c r="D34" s="163">
        <v>893.71</v>
      </c>
      <c r="E34" s="163">
        <v>883.84</v>
      </c>
      <c r="F34" s="163">
        <v>891.49</v>
      </c>
      <c r="G34" s="163">
        <v>920.04</v>
      </c>
      <c r="H34" s="163">
        <v>936.67</v>
      </c>
      <c r="I34" s="163">
        <v>970.37</v>
      </c>
      <c r="J34" s="163">
        <v>989.79</v>
      </c>
      <c r="K34" s="163">
        <v>1034.78</v>
      </c>
      <c r="L34" s="163">
        <v>1116.05</v>
      </c>
      <c r="M34" s="163">
        <v>1175.5899999999999</v>
      </c>
      <c r="N34" s="238"/>
    </row>
    <row r="35" spans="1:14" s="115" customFormat="1" ht="12.75" customHeight="1">
      <c r="A35" s="201" t="s">
        <v>77</v>
      </c>
      <c r="B35" s="307" t="s">
        <v>78</v>
      </c>
      <c r="C35" s="163">
        <v>800.21</v>
      </c>
      <c r="D35" s="163">
        <v>796.22</v>
      </c>
      <c r="E35" s="163">
        <v>798.87</v>
      </c>
      <c r="F35" s="163">
        <v>808.62</v>
      </c>
      <c r="G35" s="163">
        <v>824.76</v>
      </c>
      <c r="H35" s="163">
        <v>853.92</v>
      </c>
      <c r="I35" s="163">
        <v>880.77</v>
      </c>
      <c r="J35" s="163">
        <v>934.51</v>
      </c>
      <c r="K35" s="163">
        <v>973.22</v>
      </c>
      <c r="L35" s="163">
        <v>1035.72</v>
      </c>
      <c r="M35" s="163">
        <v>1114.46</v>
      </c>
      <c r="N35" s="238"/>
    </row>
    <row r="36" spans="1:14" s="115" customFormat="1" ht="12.75" customHeight="1">
      <c r="A36" s="201" t="s">
        <v>79</v>
      </c>
      <c r="B36" s="307" t="s">
        <v>171</v>
      </c>
      <c r="C36" s="163">
        <v>862.67</v>
      </c>
      <c r="D36" s="163">
        <v>867.89</v>
      </c>
      <c r="E36" s="163">
        <v>881.9</v>
      </c>
      <c r="F36" s="163">
        <v>900.4</v>
      </c>
      <c r="G36" s="163">
        <v>924.91</v>
      </c>
      <c r="H36" s="163">
        <v>959.33</v>
      </c>
      <c r="I36" s="163">
        <v>989.91</v>
      </c>
      <c r="J36" s="163">
        <v>1031.8499999999999</v>
      </c>
      <c r="K36" s="163">
        <v>1075.5999999999999</v>
      </c>
      <c r="L36" s="163">
        <v>1146.8499999999999</v>
      </c>
      <c r="M36" s="163">
        <v>1222.95</v>
      </c>
      <c r="N36" s="238"/>
    </row>
    <row r="37" spans="1:14" s="115" customFormat="1" ht="12.75" customHeight="1">
      <c r="A37" s="201" t="s">
        <v>52</v>
      </c>
      <c r="B37" s="307" t="s">
        <v>92</v>
      </c>
      <c r="C37" s="163">
        <v>977.22</v>
      </c>
      <c r="D37" s="163">
        <v>988.25</v>
      </c>
      <c r="E37" s="163">
        <v>994.98</v>
      </c>
      <c r="F37" s="163">
        <v>1002.64</v>
      </c>
      <c r="G37" s="163">
        <v>1033.97</v>
      </c>
      <c r="H37" s="163">
        <v>1071.3699999999999</v>
      </c>
      <c r="I37" s="163">
        <v>1033.25</v>
      </c>
      <c r="J37" s="163">
        <v>1056.1199999999999</v>
      </c>
      <c r="K37" s="163">
        <v>1184.24</v>
      </c>
      <c r="L37" s="163">
        <v>1269.02</v>
      </c>
      <c r="M37" s="163">
        <v>1347.49</v>
      </c>
      <c r="N37" s="238"/>
    </row>
    <row r="38" spans="1:14" s="115" customFormat="1" ht="12.75" customHeight="1">
      <c r="A38" s="201" t="s">
        <v>10</v>
      </c>
      <c r="B38" s="307" t="s">
        <v>162</v>
      </c>
      <c r="C38" s="163">
        <v>669.99</v>
      </c>
      <c r="D38" s="163">
        <v>673.94</v>
      </c>
      <c r="E38" s="163">
        <v>690.54</v>
      </c>
      <c r="F38" s="163">
        <v>713.45</v>
      </c>
      <c r="G38" s="163">
        <v>739.37</v>
      </c>
      <c r="H38" s="163">
        <v>764.08</v>
      </c>
      <c r="I38" s="163">
        <v>780.14</v>
      </c>
      <c r="J38" s="163">
        <v>822.39</v>
      </c>
      <c r="K38" s="163">
        <v>872.72</v>
      </c>
      <c r="L38" s="163">
        <v>929.8</v>
      </c>
      <c r="M38" s="163">
        <v>994.57</v>
      </c>
      <c r="N38" s="238"/>
    </row>
    <row r="39" spans="1:14" s="115" customFormat="1" ht="12.75" customHeight="1">
      <c r="A39" s="201" t="s">
        <v>80</v>
      </c>
      <c r="B39" s="307" t="s">
        <v>168</v>
      </c>
      <c r="C39" s="163">
        <v>1500.69</v>
      </c>
      <c r="D39" s="163">
        <v>1488.73</v>
      </c>
      <c r="E39" s="163">
        <v>1520.09</v>
      </c>
      <c r="F39" s="163">
        <v>1522.79</v>
      </c>
      <c r="G39" s="163">
        <v>1562.86</v>
      </c>
      <c r="H39" s="163">
        <v>1614.97</v>
      </c>
      <c r="I39" s="163">
        <v>1668.12</v>
      </c>
      <c r="J39" s="163">
        <v>1748.11</v>
      </c>
      <c r="K39" s="163">
        <v>1915.45</v>
      </c>
      <c r="L39" s="163">
        <v>2022.39</v>
      </c>
      <c r="M39" s="163">
        <v>2199</v>
      </c>
      <c r="N39" s="238"/>
    </row>
    <row r="40" spans="1:14" s="237" customFormat="1" ht="12.75" customHeight="1">
      <c r="A40" s="201" t="s">
        <v>81</v>
      </c>
      <c r="B40" s="307" t="s">
        <v>163</v>
      </c>
      <c r="C40" s="163">
        <v>1572.96</v>
      </c>
      <c r="D40" s="163">
        <v>1571.12</v>
      </c>
      <c r="E40" s="163">
        <v>1585.29</v>
      </c>
      <c r="F40" s="163">
        <v>1592.44</v>
      </c>
      <c r="G40" s="163">
        <v>1601.12</v>
      </c>
      <c r="H40" s="163">
        <v>1632.26</v>
      </c>
      <c r="I40" s="163">
        <v>1651.3</v>
      </c>
      <c r="J40" s="163">
        <v>1674.12</v>
      </c>
      <c r="K40" s="163">
        <v>1705.23</v>
      </c>
      <c r="L40" s="163">
        <v>1801.31</v>
      </c>
      <c r="M40" s="163">
        <v>1896.55</v>
      </c>
      <c r="N40" s="238"/>
    </row>
    <row r="41" spans="1:14" s="237" customFormat="1" ht="12.75" customHeight="1">
      <c r="A41" s="201" t="s">
        <v>82</v>
      </c>
      <c r="B41" s="307" t="s">
        <v>102</v>
      </c>
      <c r="C41" s="163">
        <v>951.85</v>
      </c>
      <c r="D41" s="163">
        <v>945.14</v>
      </c>
      <c r="E41" s="163">
        <v>969.55</v>
      </c>
      <c r="F41" s="163">
        <v>978.99</v>
      </c>
      <c r="G41" s="163">
        <v>1001.04</v>
      </c>
      <c r="H41" s="163">
        <v>1045.96</v>
      </c>
      <c r="I41" s="163">
        <v>1091.6400000000001</v>
      </c>
      <c r="J41" s="163">
        <v>1129.19</v>
      </c>
      <c r="K41" s="163">
        <v>1185.33</v>
      </c>
      <c r="L41" s="163">
        <v>1267.8800000000001</v>
      </c>
      <c r="M41" s="163">
        <v>1328.45</v>
      </c>
      <c r="N41" s="238"/>
    </row>
    <row r="42" spans="1:14" s="237" customFormat="1" ht="12.75" customHeight="1">
      <c r="A42" s="201" t="s">
        <v>53</v>
      </c>
      <c r="B42" s="307" t="s">
        <v>172</v>
      </c>
      <c r="C42" s="163">
        <v>1170.25</v>
      </c>
      <c r="D42" s="163">
        <v>1171.06</v>
      </c>
      <c r="E42" s="163">
        <v>1183.3900000000001</v>
      </c>
      <c r="F42" s="163">
        <v>1225.58</v>
      </c>
      <c r="G42" s="163">
        <v>1249.78</v>
      </c>
      <c r="H42" s="163">
        <v>1288.0899999999999</v>
      </c>
      <c r="I42" s="163">
        <v>1335.14</v>
      </c>
      <c r="J42" s="163">
        <v>1403.13</v>
      </c>
      <c r="K42" s="163">
        <v>1491.97</v>
      </c>
      <c r="L42" s="163">
        <v>1607.85</v>
      </c>
      <c r="M42" s="163">
        <v>1707.41</v>
      </c>
      <c r="N42" s="238"/>
    </row>
    <row r="43" spans="1:14" s="237" customFormat="1" ht="12.75" customHeight="1">
      <c r="A43" s="201" t="s">
        <v>84</v>
      </c>
      <c r="B43" s="307" t="s">
        <v>166</v>
      </c>
      <c r="C43" s="163">
        <v>772.15</v>
      </c>
      <c r="D43" s="163">
        <v>768.27</v>
      </c>
      <c r="E43" s="163">
        <v>772.59</v>
      </c>
      <c r="F43" s="163">
        <v>787.93</v>
      </c>
      <c r="G43" s="163">
        <v>807.44</v>
      </c>
      <c r="H43" s="163">
        <v>842.48</v>
      </c>
      <c r="I43" s="163">
        <v>864.18</v>
      </c>
      <c r="J43" s="163">
        <v>916.97</v>
      </c>
      <c r="K43" s="163">
        <v>970.39</v>
      </c>
      <c r="L43" s="163">
        <v>1056.28</v>
      </c>
      <c r="M43" s="163">
        <v>1139.6600000000001</v>
      </c>
      <c r="N43" s="238"/>
    </row>
    <row r="44" spans="1:14" s="237" customFormat="1" ht="12.75" customHeight="1">
      <c r="A44" s="201" t="s">
        <v>85</v>
      </c>
      <c r="B44" s="307" t="s">
        <v>167</v>
      </c>
      <c r="C44" s="163">
        <v>880.99</v>
      </c>
      <c r="D44" s="163">
        <v>849.2</v>
      </c>
      <c r="E44" s="163">
        <v>848.71</v>
      </c>
      <c r="F44" s="163">
        <v>866.69</v>
      </c>
      <c r="G44" s="163">
        <v>895.16</v>
      </c>
      <c r="H44" s="163">
        <v>950.41</v>
      </c>
      <c r="I44" s="163">
        <v>990.79</v>
      </c>
      <c r="J44" s="163">
        <v>1027.51</v>
      </c>
      <c r="K44" s="163">
        <v>1035.5</v>
      </c>
      <c r="L44" s="163">
        <v>1098.71</v>
      </c>
      <c r="M44" s="163">
        <v>1162.82</v>
      </c>
      <c r="N44" s="238"/>
    </row>
    <row r="45" spans="1:14" s="237" customFormat="1" ht="12.75" customHeight="1">
      <c r="A45" s="201" t="s">
        <v>93</v>
      </c>
      <c r="B45" s="307" t="s">
        <v>83</v>
      </c>
      <c r="C45" s="163">
        <v>1119.54</v>
      </c>
      <c r="D45" s="163">
        <v>1118.44</v>
      </c>
      <c r="E45" s="163">
        <v>1121.57</v>
      </c>
      <c r="F45" s="163">
        <v>1136.27</v>
      </c>
      <c r="G45" s="163">
        <v>1161.1400000000001</v>
      </c>
      <c r="H45" s="163">
        <v>1219.79</v>
      </c>
      <c r="I45" s="163">
        <v>1259.28</v>
      </c>
      <c r="J45" s="163">
        <v>1296.72</v>
      </c>
      <c r="K45" s="163">
        <v>1348.73</v>
      </c>
      <c r="L45" s="163">
        <v>1435.78</v>
      </c>
      <c r="M45" s="163">
        <v>1511.69</v>
      </c>
      <c r="N45" s="238"/>
    </row>
    <row r="46" spans="1:14" s="237" customFormat="1" ht="12.75" customHeight="1">
      <c r="A46" s="201" t="s">
        <v>86</v>
      </c>
      <c r="B46" s="307" t="s">
        <v>138</v>
      </c>
      <c r="C46" s="163">
        <v>821.86</v>
      </c>
      <c r="D46" s="163">
        <v>833.44</v>
      </c>
      <c r="E46" s="163">
        <v>851.36</v>
      </c>
      <c r="F46" s="163">
        <v>871</v>
      </c>
      <c r="G46" s="163">
        <v>891.94</v>
      </c>
      <c r="H46" s="163">
        <v>923.59</v>
      </c>
      <c r="I46" s="163">
        <v>942.71</v>
      </c>
      <c r="J46" s="163">
        <v>974.58</v>
      </c>
      <c r="K46" s="163">
        <v>1004.81</v>
      </c>
      <c r="L46" s="163">
        <v>1055.5</v>
      </c>
      <c r="M46" s="163">
        <v>1145.81</v>
      </c>
      <c r="N46" s="238"/>
    </row>
    <row r="47" spans="1:14" s="237" customFormat="1" ht="12.75" customHeight="1">
      <c r="A47" s="201" t="s">
        <v>94</v>
      </c>
      <c r="B47" s="307" t="s">
        <v>164</v>
      </c>
      <c r="C47" s="163">
        <v>1383.37</v>
      </c>
      <c r="D47" s="163">
        <v>1514.4</v>
      </c>
      <c r="E47" s="163">
        <v>1537.25</v>
      </c>
      <c r="F47" s="163">
        <v>1612.9</v>
      </c>
      <c r="G47" s="163">
        <v>1607.95</v>
      </c>
      <c r="H47" s="163">
        <v>1645.66</v>
      </c>
      <c r="I47" s="163">
        <v>1838.97</v>
      </c>
      <c r="J47" s="163">
        <v>1780.1</v>
      </c>
      <c r="K47" s="163">
        <v>1789.86</v>
      </c>
      <c r="L47" s="163">
        <v>1903.38</v>
      </c>
      <c r="M47" s="163">
        <v>1963.43</v>
      </c>
      <c r="N47" s="238"/>
    </row>
    <row r="48" spans="1:14" s="237" customFormat="1" ht="12.75" customHeight="1">
      <c r="A48" s="201" t="s">
        <v>95</v>
      </c>
      <c r="B48" s="307" t="s">
        <v>103</v>
      </c>
      <c r="C48" s="163">
        <v>847.6</v>
      </c>
      <c r="D48" s="163">
        <v>847.05</v>
      </c>
      <c r="E48" s="163">
        <v>857.44</v>
      </c>
      <c r="F48" s="163">
        <v>877.34</v>
      </c>
      <c r="G48" s="163">
        <v>901.62</v>
      </c>
      <c r="H48" s="163">
        <v>932.37</v>
      </c>
      <c r="I48" s="163">
        <v>987.51</v>
      </c>
      <c r="J48" s="163">
        <v>1012.59</v>
      </c>
      <c r="K48" s="163">
        <v>1053.43</v>
      </c>
      <c r="L48" s="163">
        <v>1105.46</v>
      </c>
      <c r="M48" s="163">
        <v>1180.2</v>
      </c>
      <c r="N48" s="238"/>
    </row>
    <row r="49" spans="1:14" s="237" customFormat="1" ht="12.75" customHeight="1">
      <c r="A49" s="34" t="s">
        <v>96</v>
      </c>
      <c r="B49" s="35" t="s">
        <v>165</v>
      </c>
      <c r="C49" s="719">
        <v>1772.71</v>
      </c>
      <c r="D49" s="719">
        <v>1910.54</v>
      </c>
      <c r="E49" s="719">
        <v>2028.96</v>
      </c>
      <c r="F49" s="719">
        <v>1986.43</v>
      </c>
      <c r="G49" s="719">
        <v>2136.13</v>
      </c>
      <c r="H49" s="719">
        <v>2160.36</v>
      </c>
      <c r="I49" s="719">
        <v>1978.98</v>
      </c>
      <c r="J49" s="719">
        <v>1886.51</v>
      </c>
      <c r="K49" s="719">
        <v>3156.84</v>
      </c>
      <c r="L49" s="719">
        <v>3347.61</v>
      </c>
      <c r="M49" s="719">
        <v>3203.52</v>
      </c>
      <c r="N49" s="238"/>
    </row>
    <row r="50" spans="1:14" s="237" customFormat="1" ht="15" customHeight="1">
      <c r="A50" s="19" t="s">
        <v>769</v>
      </c>
      <c r="B50" s="140"/>
      <c r="C50" s="163"/>
      <c r="D50" s="96"/>
      <c r="E50" s="96"/>
      <c r="F50" s="199"/>
      <c r="G50" s="96"/>
      <c r="H50" s="96"/>
      <c r="I50" s="96"/>
      <c r="J50" s="96"/>
      <c r="K50" s="96"/>
      <c r="L50" s="96"/>
      <c r="M50" s="96"/>
      <c r="N50" s="238"/>
    </row>
    <row r="51" spans="1:14" s="237" customFormat="1" ht="11.25" customHeight="1">
      <c r="B51" s="966" t="s">
        <v>131</v>
      </c>
      <c r="C51" s="966"/>
      <c r="D51" s="966"/>
      <c r="E51" s="966"/>
      <c r="F51" s="966"/>
      <c r="G51" s="966"/>
      <c r="H51" s="966"/>
      <c r="I51" s="966"/>
      <c r="J51" s="966"/>
      <c r="K51" s="966"/>
      <c r="L51" s="966"/>
      <c r="M51" s="966"/>
    </row>
    <row r="52" spans="1:14" s="237" customFormat="1" ht="14.25">
      <c r="B52" s="239"/>
      <c r="C52" s="240"/>
      <c r="D52" s="240"/>
      <c r="E52" s="240"/>
      <c r="N52" s="238"/>
    </row>
    <row r="53" spans="1:14" s="237" customFormat="1" ht="14.25">
      <c r="C53" s="240"/>
      <c r="D53" s="240"/>
      <c r="E53" s="240"/>
      <c r="N53" s="238"/>
    </row>
    <row r="54" spans="1:14" s="237" customFormat="1" ht="14.25">
      <c r="C54" s="240"/>
      <c r="D54" s="240"/>
      <c r="E54" s="240"/>
      <c r="N54" s="238"/>
    </row>
    <row r="55" spans="1:14" s="237" customFormat="1" ht="14.25">
      <c r="C55" s="240"/>
      <c r="D55" s="240"/>
      <c r="E55" s="240"/>
      <c r="N55" s="238"/>
    </row>
    <row r="56" spans="1:14" s="237" customFormat="1" ht="14.25">
      <c r="C56" s="240"/>
      <c r="D56" s="240"/>
      <c r="E56" s="240"/>
      <c r="N56" s="238"/>
    </row>
    <row r="57" spans="1:14" s="237" customFormat="1" ht="14.25">
      <c r="C57" s="240"/>
      <c r="D57" s="240"/>
      <c r="E57" s="240"/>
      <c r="N57" s="238"/>
    </row>
    <row r="58" spans="1:14" s="237" customFormat="1" ht="14.25">
      <c r="C58" s="240"/>
      <c r="D58" s="240"/>
      <c r="E58" s="240"/>
      <c r="N58" s="238"/>
    </row>
    <row r="59" spans="1:14" s="237" customFormat="1" ht="14.25">
      <c r="C59" s="129"/>
      <c r="D59" s="129"/>
      <c r="E59" s="129"/>
      <c r="N59" s="238"/>
    </row>
    <row r="60" spans="1:14" ht="14.25">
      <c r="N60" s="238"/>
    </row>
    <row r="61" spans="1:14" ht="14.25">
      <c r="N61" s="238"/>
    </row>
    <row r="62" spans="1:14" ht="14.25">
      <c r="N62" s="238"/>
    </row>
    <row r="63" spans="1:14" ht="14.25">
      <c r="N63" s="238"/>
    </row>
    <row r="64" spans="1:14" ht="14.25">
      <c r="N64" s="238"/>
    </row>
    <row r="65" spans="14:14" ht="14.25">
      <c r="N65" s="238"/>
    </row>
    <row r="66" spans="14:14" ht="14.25">
      <c r="N66" s="238"/>
    </row>
    <row r="67" spans="14:14" ht="14.25">
      <c r="N67" s="238"/>
    </row>
    <row r="68" spans="14:14" ht="14.25">
      <c r="N68" s="238"/>
    </row>
    <row r="69" spans="14:14" ht="14.25">
      <c r="N69" s="238"/>
    </row>
    <row r="70" spans="14:14" ht="14.25">
      <c r="N70" s="238"/>
    </row>
    <row r="71" spans="14:14" ht="14.25">
      <c r="N71" s="238"/>
    </row>
    <row r="72" spans="14:14" ht="14.25">
      <c r="N72" s="238"/>
    </row>
    <row r="73" spans="14:14" ht="14.25">
      <c r="N73" s="238"/>
    </row>
    <row r="74" spans="14:14" ht="14.25">
      <c r="N74" s="238"/>
    </row>
    <row r="75" spans="14:14" ht="14.25">
      <c r="N75" s="238"/>
    </row>
    <row r="76" spans="14:14" ht="14.25">
      <c r="N76" s="238"/>
    </row>
    <row r="77" spans="14:14" ht="14.25">
      <c r="N77" s="238"/>
    </row>
    <row r="78" spans="14:14" ht="14.25">
      <c r="N78" s="238"/>
    </row>
    <row r="79" spans="14:14" ht="14.25">
      <c r="N79" s="238"/>
    </row>
    <row r="80" spans="14:14" ht="14.25">
      <c r="N80" s="238"/>
    </row>
    <row r="81" spans="14:14" ht="14.25">
      <c r="N81" s="238"/>
    </row>
    <row r="82" spans="14:14" ht="14.25">
      <c r="N82" s="238"/>
    </row>
    <row r="83" spans="14:14" ht="14.25">
      <c r="N83" s="238"/>
    </row>
    <row r="84" spans="14:14" ht="14.25">
      <c r="N84" s="238"/>
    </row>
    <row r="85" spans="14:14" ht="14.25">
      <c r="N85" s="238"/>
    </row>
    <row r="86" spans="14:14" ht="14.25">
      <c r="N86" s="238"/>
    </row>
    <row r="87" spans="14:14" ht="14.25">
      <c r="N87" s="238"/>
    </row>
    <row r="88" spans="14:14" ht="14.25">
      <c r="N88" s="238"/>
    </row>
    <row r="89" spans="14:14" ht="14.25">
      <c r="N89" s="238"/>
    </row>
    <row r="90" spans="14:14" ht="14.25">
      <c r="N90" s="238"/>
    </row>
    <row r="91" spans="14:14" ht="14.25">
      <c r="N91" s="238"/>
    </row>
    <row r="92" spans="14:14" ht="14.25">
      <c r="N92" s="238"/>
    </row>
    <row r="93" spans="14:14" ht="14.25">
      <c r="N93" s="238"/>
    </row>
    <row r="94" spans="14:14" ht="14.25">
      <c r="N94" s="238"/>
    </row>
    <row r="95" spans="14:14" ht="14.25">
      <c r="N95" s="238"/>
    </row>
    <row r="96" spans="14:14" ht="14.25">
      <c r="N96" s="238"/>
    </row>
    <row r="97" spans="14:14" ht="14.25">
      <c r="N97" s="238"/>
    </row>
    <row r="98" spans="14:14" ht="14.25">
      <c r="N98" s="238"/>
    </row>
    <row r="99" spans="14:14" ht="14.25">
      <c r="N99" s="238"/>
    </row>
    <row r="100" spans="14:14" ht="14.25">
      <c r="N100" s="238"/>
    </row>
    <row r="101" spans="14:14" ht="14.25">
      <c r="N101" s="238"/>
    </row>
    <row r="102" spans="14:14" ht="14.25">
      <c r="N102" s="238"/>
    </row>
    <row r="103" spans="14:14" ht="14.25">
      <c r="N103" s="238"/>
    </row>
    <row r="104" spans="14:14" ht="14.25">
      <c r="N104" s="238"/>
    </row>
    <row r="105" spans="14:14" ht="14.25">
      <c r="N105" s="238"/>
    </row>
    <row r="106" spans="14:14" ht="14.25">
      <c r="N106" s="238"/>
    </row>
    <row r="107" spans="14:14" ht="14.25">
      <c r="N107" s="238"/>
    </row>
    <row r="108" spans="14:14" ht="14.25">
      <c r="N108" s="238"/>
    </row>
    <row r="109" spans="14:14" ht="14.25">
      <c r="N109" s="238"/>
    </row>
    <row r="110" spans="14:14" ht="14.25">
      <c r="N110" s="238"/>
    </row>
  </sheetData>
  <mergeCells count="3">
    <mergeCell ref="K3:L3"/>
    <mergeCell ref="B51:M51"/>
    <mergeCell ref="A1:M1"/>
  </mergeCells>
  <conditionalFormatting sqref="K3 A1 A51:B51 G50 F5:F50 A5:B5 A2:F2 A3:C3 A52:F1048576 B50:D50 A4:F4 C5:E49 N5:N50 N52:N1048576 O6:XFD1048576 N1:XFD4 R5:XFD5">
    <cfRule type="cellIs" dxfId="1175" priority="33" operator="equal">
      <formula>0</formula>
    </cfRule>
  </conditionalFormatting>
  <conditionalFormatting sqref="E50">
    <cfRule type="cellIs" dxfId="1174" priority="32" operator="equal">
      <formula>0</formula>
    </cfRule>
  </conditionalFormatting>
  <conditionalFormatting sqref="G2 G52:G1048576 G4:I4">
    <cfRule type="cellIs" dxfId="1173" priority="30" operator="equal">
      <formula>0</formula>
    </cfRule>
  </conditionalFormatting>
  <conditionalFormatting sqref="G5:I49">
    <cfRule type="cellIs" dxfId="1172" priority="28" operator="equal">
      <formula>0</formula>
    </cfRule>
  </conditionalFormatting>
  <conditionalFormatting sqref="I50">
    <cfRule type="cellIs" dxfId="1171" priority="27" operator="equal">
      <formula>0</formula>
    </cfRule>
  </conditionalFormatting>
  <conditionalFormatting sqref="I2 I52:I1048576">
    <cfRule type="cellIs" dxfId="1170" priority="26" operator="equal">
      <formula>0</formula>
    </cfRule>
  </conditionalFormatting>
  <conditionalFormatting sqref="H50">
    <cfRule type="cellIs" dxfId="1169" priority="24" operator="equal">
      <formula>0</formula>
    </cfRule>
  </conditionalFormatting>
  <conditionalFormatting sqref="H2 H52:H1048576">
    <cfRule type="cellIs" dxfId="1168" priority="23" operator="equal">
      <formula>0</formula>
    </cfRule>
  </conditionalFormatting>
  <conditionalFormatting sqref="J4">
    <cfRule type="cellIs" dxfId="1167" priority="21" operator="equal">
      <formula>0</formula>
    </cfRule>
  </conditionalFormatting>
  <conditionalFormatting sqref="J5:J49">
    <cfRule type="cellIs" dxfId="1166" priority="20" operator="equal">
      <formula>0</formula>
    </cfRule>
  </conditionalFormatting>
  <conditionalFormatting sqref="J50">
    <cfRule type="cellIs" dxfId="1165" priority="19" operator="equal">
      <formula>0</formula>
    </cfRule>
  </conditionalFormatting>
  <conditionalFormatting sqref="J2 J52:J1048576">
    <cfRule type="cellIs" dxfId="1164" priority="18" operator="equal">
      <formula>0</formula>
    </cfRule>
  </conditionalFormatting>
  <conditionalFormatting sqref="K4">
    <cfRule type="cellIs" dxfId="1163" priority="17" operator="equal">
      <formula>0</formula>
    </cfRule>
  </conditionalFormatting>
  <conditionalFormatting sqref="K5:K49">
    <cfRule type="cellIs" dxfId="1162" priority="16" operator="equal">
      <formula>0</formula>
    </cfRule>
  </conditionalFormatting>
  <conditionalFormatting sqref="K50">
    <cfRule type="cellIs" dxfId="1161" priority="15" operator="equal">
      <formula>0</formula>
    </cfRule>
  </conditionalFormatting>
  <conditionalFormatting sqref="K2 K52:K1048576">
    <cfRule type="cellIs" dxfId="1160" priority="14" operator="equal">
      <formula>0</formula>
    </cfRule>
  </conditionalFormatting>
  <conditionalFormatting sqref="L4">
    <cfRule type="cellIs" dxfId="1159" priority="10" operator="equal">
      <formula>0</formula>
    </cfRule>
  </conditionalFormatting>
  <conditionalFormatting sqref="L5:L49">
    <cfRule type="cellIs" dxfId="1158" priority="9" operator="equal">
      <formula>0</formula>
    </cfRule>
  </conditionalFormatting>
  <conditionalFormatting sqref="L50">
    <cfRule type="cellIs" dxfId="1157" priority="8" operator="equal">
      <formula>0</formula>
    </cfRule>
  </conditionalFormatting>
  <conditionalFormatting sqref="L2 L52:L1048576">
    <cfRule type="cellIs" dxfId="1156" priority="7" operator="equal">
      <formula>0</formula>
    </cfRule>
  </conditionalFormatting>
  <conditionalFormatting sqref="M4">
    <cfRule type="cellIs" dxfId="1155" priority="6" operator="equal">
      <formula>0</formula>
    </cfRule>
  </conditionalFormatting>
  <conditionalFormatting sqref="M5:M49">
    <cfRule type="cellIs" dxfId="1154" priority="5" operator="equal">
      <formula>0</formula>
    </cfRule>
  </conditionalFormatting>
  <conditionalFormatting sqref="M50">
    <cfRule type="cellIs" dxfId="1153" priority="4" operator="equal">
      <formula>0</formula>
    </cfRule>
  </conditionalFormatting>
  <conditionalFormatting sqref="M2 M52:M1048576">
    <cfRule type="cellIs" dxfId="1152" priority="3" operator="equal">
      <formula>0</formula>
    </cfRule>
  </conditionalFormatting>
  <conditionalFormatting sqref="O5">
    <cfRule type="cellIs" dxfId="1151" priority="2" operator="equal">
      <formula>0</formula>
    </cfRule>
  </conditionalFormatting>
  <conditionalFormatting sqref="A50">
    <cfRule type="cellIs" dxfId="1150"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98" orientation="portrait" r:id="rId1"/>
  <headerFooter>
    <oddHeader>&amp;C&amp;G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1">
    <tabColor indexed="26"/>
    <pageSetUpPr fitToPage="1"/>
  </sheetPr>
  <dimension ref="A1:FN43"/>
  <sheetViews>
    <sheetView showGridLines="0" topLeftCell="A5" workbookViewId="0">
      <selection activeCell="Y70" sqref="Y70"/>
    </sheetView>
  </sheetViews>
  <sheetFormatPr defaultColWidth="9.140625" defaultRowHeight="17.25" customHeight="1"/>
  <cols>
    <col min="1" max="1" width="14.7109375" style="129" customWidth="1"/>
    <col min="2" max="2" width="2.42578125" style="129" customWidth="1"/>
    <col min="3" max="13" width="6.42578125" style="129" customWidth="1"/>
    <col min="14" max="14" width="9.140625" style="133"/>
    <col min="15" max="170" width="9.140625" style="129"/>
    <col min="171" max="16384" width="9.140625" style="27"/>
  </cols>
  <sheetData>
    <row r="1" spans="1:14" s="134" customFormat="1" ht="28.5" customHeight="1">
      <c r="A1" s="952" t="s">
        <v>637</v>
      </c>
      <c r="B1" s="952"/>
      <c r="C1" s="952"/>
      <c r="D1" s="952"/>
      <c r="E1" s="952"/>
      <c r="F1" s="952"/>
      <c r="G1" s="952"/>
      <c r="H1" s="952"/>
      <c r="I1" s="952"/>
      <c r="J1" s="952"/>
      <c r="K1" s="952"/>
      <c r="L1" s="952"/>
      <c r="M1" s="952"/>
      <c r="N1" s="241"/>
    </row>
    <row r="2" spans="1:14" s="135" customFormat="1" ht="15" customHeight="1">
      <c r="A2" s="275"/>
      <c r="B2" s="275"/>
      <c r="C2" s="276"/>
      <c r="D2" s="276"/>
      <c r="E2" s="276"/>
      <c r="F2" s="276"/>
      <c r="G2" s="276"/>
      <c r="H2" s="276"/>
      <c r="I2" s="276"/>
      <c r="J2" s="276"/>
      <c r="K2" s="276"/>
      <c r="L2" s="276"/>
      <c r="M2" s="276"/>
      <c r="N2" s="137"/>
    </row>
    <row r="3" spans="1:14" s="237" customFormat="1" ht="15" customHeight="1">
      <c r="A3" s="242" t="s">
        <v>13</v>
      </c>
      <c r="B3" s="243"/>
      <c r="C3" s="221"/>
      <c r="D3" s="221"/>
      <c r="E3" s="313"/>
      <c r="F3" s="313"/>
      <c r="G3" s="313"/>
      <c r="H3" s="313"/>
      <c r="I3" s="313"/>
      <c r="J3" s="313"/>
      <c r="K3" s="313"/>
      <c r="L3" s="313"/>
      <c r="M3" s="313" t="s">
        <v>67</v>
      </c>
      <c r="N3" s="239"/>
    </row>
    <row r="4" spans="1:14" s="248" customFormat="1" ht="28.5" customHeight="1" thickBot="1">
      <c r="A4" s="246"/>
      <c r="B4" s="246"/>
      <c r="C4" s="229">
        <v>2014</v>
      </c>
      <c r="D4" s="229">
        <v>2015</v>
      </c>
      <c r="E4" s="229">
        <v>2016</v>
      </c>
      <c r="F4" s="229">
        <v>2017</v>
      </c>
      <c r="G4" s="229">
        <v>2018</v>
      </c>
      <c r="H4" s="229">
        <v>2019</v>
      </c>
      <c r="I4" s="229">
        <v>2020</v>
      </c>
      <c r="J4" s="229">
        <v>2021</v>
      </c>
      <c r="K4" s="229">
        <v>2022</v>
      </c>
      <c r="L4" s="229">
        <v>2023</v>
      </c>
      <c r="M4" s="229">
        <v>2024</v>
      </c>
      <c r="N4" s="247"/>
    </row>
    <row r="5" spans="1:14" s="250" customFormat="1" ht="16.5" customHeight="1" thickTop="1">
      <c r="A5" s="236" t="s">
        <v>11</v>
      </c>
      <c r="B5" s="372" t="s">
        <v>44</v>
      </c>
      <c r="C5" s="720">
        <v>909.49</v>
      </c>
      <c r="D5" s="720">
        <v>913.93</v>
      </c>
      <c r="E5" s="720">
        <v>924.94</v>
      </c>
      <c r="F5" s="720">
        <v>943</v>
      </c>
      <c r="G5" s="720">
        <v>970.42</v>
      </c>
      <c r="H5" s="720">
        <v>1005.09</v>
      </c>
      <c r="I5" s="720">
        <v>1041.99</v>
      </c>
      <c r="J5" s="720">
        <v>1082.77</v>
      </c>
      <c r="K5" s="720">
        <v>1143.45</v>
      </c>
      <c r="L5" s="720">
        <v>1219.8699999999999</v>
      </c>
      <c r="M5" s="720">
        <v>1308.96</v>
      </c>
      <c r="N5" s="249"/>
    </row>
    <row r="6" spans="1:14" s="250" customFormat="1" ht="12.75" customHeight="1">
      <c r="A6" s="226"/>
      <c r="B6" s="372" t="s">
        <v>52</v>
      </c>
      <c r="C6" s="721">
        <v>985.02</v>
      </c>
      <c r="D6" s="721">
        <v>990.05</v>
      </c>
      <c r="E6" s="721">
        <v>997.38</v>
      </c>
      <c r="F6" s="721">
        <v>1012.25</v>
      </c>
      <c r="G6" s="721">
        <v>1039.08</v>
      </c>
      <c r="H6" s="721">
        <v>1073.82</v>
      </c>
      <c r="I6" s="721">
        <v>1109.21</v>
      </c>
      <c r="J6" s="721">
        <v>1152.24</v>
      </c>
      <c r="K6" s="721">
        <v>1217.33</v>
      </c>
      <c r="L6" s="721">
        <v>1294.03</v>
      </c>
      <c r="M6" s="721">
        <v>1383.38</v>
      </c>
    </row>
    <row r="7" spans="1:14" s="250" customFormat="1" ht="12.75" customHeight="1">
      <c r="A7" s="226"/>
      <c r="B7" s="372" t="s">
        <v>53</v>
      </c>
      <c r="C7" s="721">
        <v>820.25</v>
      </c>
      <c r="D7" s="721">
        <v>824.99</v>
      </c>
      <c r="E7" s="721">
        <v>840.26</v>
      </c>
      <c r="F7" s="721">
        <v>861.17</v>
      </c>
      <c r="G7" s="721">
        <v>888.56</v>
      </c>
      <c r="H7" s="721">
        <v>922.63</v>
      </c>
      <c r="I7" s="721">
        <v>960.27</v>
      </c>
      <c r="J7" s="721">
        <v>999.33</v>
      </c>
      <c r="K7" s="721">
        <v>1054.3599999999999</v>
      </c>
      <c r="L7" s="721">
        <v>1129.6400000000001</v>
      </c>
      <c r="M7" s="721">
        <v>1216.8499999999999</v>
      </c>
    </row>
    <row r="8" spans="1:14" s="250" customFormat="1" ht="16.5" customHeight="1">
      <c r="A8" s="251" t="s">
        <v>31</v>
      </c>
      <c r="B8" s="372" t="s">
        <v>44</v>
      </c>
      <c r="C8" s="721">
        <v>696.74</v>
      </c>
      <c r="D8" s="721">
        <v>695.43</v>
      </c>
      <c r="E8" s="721">
        <v>713.56</v>
      </c>
      <c r="F8" s="721">
        <v>735.67</v>
      </c>
      <c r="G8" s="721">
        <v>760.35</v>
      </c>
      <c r="H8" s="721">
        <v>790.84</v>
      </c>
      <c r="I8" s="721">
        <v>826.78</v>
      </c>
      <c r="J8" s="721">
        <v>864.27</v>
      </c>
      <c r="K8" s="721">
        <v>911.82</v>
      </c>
      <c r="L8" s="721">
        <v>979.57</v>
      </c>
      <c r="M8" s="721">
        <v>1053.02</v>
      </c>
    </row>
    <row r="9" spans="1:14" s="250" customFormat="1" ht="12.75" customHeight="1">
      <c r="A9" s="244"/>
      <c r="B9" s="258" t="s">
        <v>52</v>
      </c>
      <c r="C9" s="722">
        <v>734.19</v>
      </c>
      <c r="D9" s="722">
        <v>733.24</v>
      </c>
      <c r="E9" s="722">
        <v>748.98</v>
      </c>
      <c r="F9" s="722">
        <v>771.32</v>
      </c>
      <c r="G9" s="722">
        <v>796.38</v>
      </c>
      <c r="H9" s="722">
        <v>828.72</v>
      </c>
      <c r="I9" s="722">
        <v>865.07</v>
      </c>
      <c r="J9" s="722">
        <v>905.46</v>
      </c>
      <c r="K9" s="722">
        <v>955.23</v>
      </c>
      <c r="L9" s="722">
        <v>1022.88</v>
      </c>
      <c r="M9" s="722">
        <v>1100.01</v>
      </c>
    </row>
    <row r="10" spans="1:14" s="250" customFormat="1" ht="12.75" customHeight="1">
      <c r="A10" s="244"/>
      <c r="B10" s="258" t="s">
        <v>53</v>
      </c>
      <c r="C10" s="722">
        <v>658.71</v>
      </c>
      <c r="D10" s="722">
        <v>658.01</v>
      </c>
      <c r="E10" s="722">
        <v>677.99</v>
      </c>
      <c r="F10" s="722">
        <v>699.8</v>
      </c>
      <c r="G10" s="722">
        <v>723.93</v>
      </c>
      <c r="H10" s="722">
        <v>752.31</v>
      </c>
      <c r="I10" s="722">
        <v>786.91</v>
      </c>
      <c r="J10" s="722">
        <v>821.89</v>
      </c>
      <c r="K10" s="722">
        <v>867.35</v>
      </c>
      <c r="L10" s="722">
        <v>935.22</v>
      </c>
      <c r="M10" s="722">
        <v>1004.12</v>
      </c>
    </row>
    <row r="11" spans="1:14" s="252" customFormat="1" ht="16.5" customHeight="1">
      <c r="A11" s="251" t="s">
        <v>32</v>
      </c>
      <c r="B11" s="372" t="s">
        <v>44</v>
      </c>
      <c r="C11" s="721">
        <v>790.93</v>
      </c>
      <c r="D11" s="721">
        <v>788.81</v>
      </c>
      <c r="E11" s="721">
        <v>797.98</v>
      </c>
      <c r="F11" s="721">
        <v>812.39</v>
      </c>
      <c r="G11" s="721">
        <v>834.91</v>
      </c>
      <c r="H11" s="721">
        <v>857.51</v>
      </c>
      <c r="I11" s="721">
        <v>895.07</v>
      </c>
      <c r="J11" s="721">
        <v>929.09</v>
      </c>
      <c r="K11" s="721">
        <v>974.65</v>
      </c>
      <c r="L11" s="721">
        <v>1038.05</v>
      </c>
      <c r="M11" s="721">
        <v>1103.8499999999999</v>
      </c>
    </row>
    <row r="12" spans="1:14" s="250" customFormat="1" ht="12.75" customHeight="1">
      <c r="A12" s="244"/>
      <c r="B12" s="258" t="s">
        <v>52</v>
      </c>
      <c r="C12" s="722">
        <v>825.8</v>
      </c>
      <c r="D12" s="722">
        <v>821.42</v>
      </c>
      <c r="E12" s="722">
        <v>829.27</v>
      </c>
      <c r="F12" s="722">
        <v>841.69</v>
      </c>
      <c r="G12" s="722">
        <v>865.63</v>
      </c>
      <c r="H12" s="722">
        <v>887.47</v>
      </c>
      <c r="I12" s="722">
        <v>923.87</v>
      </c>
      <c r="J12" s="722">
        <v>958.76</v>
      </c>
      <c r="K12" s="722">
        <v>1007.55</v>
      </c>
      <c r="L12" s="722">
        <v>1071.22</v>
      </c>
      <c r="M12" s="722">
        <v>1137.44</v>
      </c>
    </row>
    <row r="13" spans="1:14" s="250" customFormat="1" ht="12.75" customHeight="1">
      <c r="A13" s="244"/>
      <c r="B13" s="258" t="s">
        <v>53</v>
      </c>
      <c r="C13" s="722">
        <v>749.43</v>
      </c>
      <c r="D13" s="722">
        <v>750.43</v>
      </c>
      <c r="E13" s="722">
        <v>760.95</v>
      </c>
      <c r="F13" s="722">
        <v>778.07</v>
      </c>
      <c r="G13" s="722">
        <v>798.79</v>
      </c>
      <c r="H13" s="722">
        <v>822.06</v>
      </c>
      <c r="I13" s="722">
        <v>859.95</v>
      </c>
      <c r="J13" s="722">
        <v>893.49</v>
      </c>
      <c r="K13" s="722">
        <v>935.49</v>
      </c>
      <c r="L13" s="722">
        <v>998.37</v>
      </c>
      <c r="M13" s="722">
        <v>1063.52</v>
      </c>
    </row>
    <row r="14" spans="1:14" s="252" customFormat="1" ht="16.5" customHeight="1">
      <c r="A14" s="251" t="s">
        <v>33</v>
      </c>
      <c r="B14" s="372" t="s">
        <v>44</v>
      </c>
      <c r="C14" s="721">
        <v>837.94</v>
      </c>
      <c r="D14" s="721">
        <v>837.01</v>
      </c>
      <c r="E14" s="721">
        <v>844.79</v>
      </c>
      <c r="F14" s="721">
        <v>861.51</v>
      </c>
      <c r="G14" s="721">
        <v>883.23</v>
      </c>
      <c r="H14" s="721">
        <v>908.83</v>
      </c>
      <c r="I14" s="721">
        <v>952.08</v>
      </c>
      <c r="J14" s="721">
        <v>983.94</v>
      </c>
      <c r="K14" s="721">
        <v>1031.22</v>
      </c>
      <c r="L14" s="721">
        <v>1095.53</v>
      </c>
      <c r="M14" s="721">
        <v>1167.53</v>
      </c>
    </row>
    <row r="15" spans="1:14" s="250" customFormat="1" ht="12.75" customHeight="1">
      <c r="A15" s="244"/>
      <c r="B15" s="258" t="s">
        <v>52</v>
      </c>
      <c r="C15" s="722">
        <v>888.5</v>
      </c>
      <c r="D15" s="722">
        <v>888.6</v>
      </c>
      <c r="E15" s="722">
        <v>891.34</v>
      </c>
      <c r="F15" s="722">
        <v>905.07</v>
      </c>
      <c r="G15" s="722">
        <v>925.08</v>
      </c>
      <c r="H15" s="722">
        <v>952.55</v>
      </c>
      <c r="I15" s="722">
        <v>992.62</v>
      </c>
      <c r="J15" s="722">
        <v>1026.97</v>
      </c>
      <c r="K15" s="722">
        <v>1075.83</v>
      </c>
      <c r="L15" s="722">
        <v>1137.3900000000001</v>
      </c>
      <c r="M15" s="722">
        <v>1210.95</v>
      </c>
    </row>
    <row r="16" spans="1:14" s="250" customFormat="1" ht="12.75" customHeight="1">
      <c r="A16" s="244"/>
      <c r="B16" s="258" t="s">
        <v>53</v>
      </c>
      <c r="C16" s="722">
        <v>774.14</v>
      </c>
      <c r="D16" s="722">
        <v>772.94</v>
      </c>
      <c r="E16" s="722">
        <v>786.44</v>
      </c>
      <c r="F16" s="722">
        <v>806.2</v>
      </c>
      <c r="G16" s="722">
        <v>830.19</v>
      </c>
      <c r="H16" s="722">
        <v>852.82</v>
      </c>
      <c r="I16" s="722">
        <v>897.43</v>
      </c>
      <c r="J16" s="722">
        <v>927.52</v>
      </c>
      <c r="K16" s="722">
        <v>973.23</v>
      </c>
      <c r="L16" s="722">
        <v>1041.17</v>
      </c>
      <c r="M16" s="722">
        <v>1110.58</v>
      </c>
    </row>
    <row r="17" spans="1:14" s="252" customFormat="1" ht="16.5" customHeight="1">
      <c r="A17" s="251" t="s">
        <v>34</v>
      </c>
      <c r="B17" s="372" t="s">
        <v>44</v>
      </c>
      <c r="C17" s="721">
        <v>902.52</v>
      </c>
      <c r="D17" s="721">
        <v>903.57</v>
      </c>
      <c r="E17" s="721">
        <v>909.77</v>
      </c>
      <c r="F17" s="721">
        <v>922.03</v>
      </c>
      <c r="G17" s="721">
        <v>946.48</v>
      </c>
      <c r="H17" s="721">
        <v>976.82</v>
      </c>
      <c r="I17" s="721">
        <v>1017.48</v>
      </c>
      <c r="J17" s="721">
        <v>1053.24</v>
      </c>
      <c r="K17" s="721">
        <v>1097.82</v>
      </c>
      <c r="L17" s="721">
        <v>1175.05</v>
      </c>
      <c r="M17" s="721">
        <v>1246.21</v>
      </c>
    </row>
    <row r="18" spans="1:14" s="250" customFormat="1" ht="12.75" customHeight="1">
      <c r="A18" s="244"/>
      <c r="B18" s="258" t="s">
        <v>52</v>
      </c>
      <c r="C18" s="722">
        <v>989.39</v>
      </c>
      <c r="D18" s="722">
        <v>985.06</v>
      </c>
      <c r="E18" s="722">
        <v>987.49</v>
      </c>
      <c r="F18" s="722">
        <v>994.57</v>
      </c>
      <c r="G18" s="722">
        <v>1014.74</v>
      </c>
      <c r="H18" s="722">
        <v>1044.2</v>
      </c>
      <c r="I18" s="722">
        <v>1086.75</v>
      </c>
      <c r="J18" s="722">
        <v>1124.78</v>
      </c>
      <c r="K18" s="722">
        <v>1169.52</v>
      </c>
      <c r="L18" s="722">
        <v>1247.47</v>
      </c>
      <c r="M18" s="722">
        <v>1317.27</v>
      </c>
    </row>
    <row r="19" spans="1:14" s="250" customFormat="1" ht="12.75" customHeight="1">
      <c r="A19" s="244"/>
      <c r="B19" s="258" t="s">
        <v>53</v>
      </c>
      <c r="C19" s="722">
        <v>803.03</v>
      </c>
      <c r="D19" s="722">
        <v>809.18</v>
      </c>
      <c r="E19" s="722">
        <v>819.84</v>
      </c>
      <c r="F19" s="722">
        <v>837.14</v>
      </c>
      <c r="G19" s="722">
        <v>865.33</v>
      </c>
      <c r="H19" s="722">
        <v>894.09</v>
      </c>
      <c r="I19" s="722">
        <v>930.69</v>
      </c>
      <c r="J19" s="722">
        <v>964.76</v>
      </c>
      <c r="K19" s="722">
        <v>1009.12</v>
      </c>
      <c r="L19" s="722">
        <v>1084.4000000000001</v>
      </c>
      <c r="M19" s="722">
        <v>1155.6500000000001</v>
      </c>
    </row>
    <row r="20" spans="1:14" s="252" customFormat="1" ht="16.5" customHeight="1">
      <c r="A20" s="251" t="s">
        <v>35</v>
      </c>
      <c r="B20" s="372" t="s">
        <v>44</v>
      </c>
      <c r="C20" s="721">
        <v>951.36</v>
      </c>
      <c r="D20" s="721">
        <v>956.59</v>
      </c>
      <c r="E20" s="721">
        <v>961.1</v>
      </c>
      <c r="F20" s="721">
        <v>983.11</v>
      </c>
      <c r="G20" s="721">
        <v>1008.03</v>
      </c>
      <c r="H20" s="721">
        <v>1039.8599999999999</v>
      </c>
      <c r="I20" s="721">
        <v>1078.0899999999999</v>
      </c>
      <c r="J20" s="721">
        <v>1129.73</v>
      </c>
      <c r="K20" s="721">
        <v>1176.08</v>
      </c>
      <c r="L20" s="721">
        <v>1252.82</v>
      </c>
      <c r="M20" s="721">
        <v>1334.17</v>
      </c>
    </row>
    <row r="21" spans="1:14" s="250" customFormat="1" ht="12.75" customHeight="1">
      <c r="A21" s="244"/>
      <c r="B21" s="258" t="s">
        <v>52</v>
      </c>
      <c r="C21" s="722">
        <v>1060.06</v>
      </c>
      <c r="D21" s="722">
        <v>1064.98</v>
      </c>
      <c r="E21" s="722">
        <v>1062.98</v>
      </c>
      <c r="F21" s="722">
        <v>1080.4100000000001</v>
      </c>
      <c r="G21" s="722">
        <v>1106.8900000000001</v>
      </c>
      <c r="H21" s="722">
        <v>1136.51</v>
      </c>
      <c r="I21" s="722">
        <v>1173.3800000000001</v>
      </c>
      <c r="J21" s="722">
        <v>1231.8699999999999</v>
      </c>
      <c r="K21" s="722">
        <v>1276.74</v>
      </c>
      <c r="L21" s="722">
        <v>1348.73</v>
      </c>
      <c r="M21" s="722">
        <v>1432.91</v>
      </c>
    </row>
    <row r="22" spans="1:14" s="250" customFormat="1" ht="12.75" customHeight="1">
      <c r="A22" s="244"/>
      <c r="B22" s="258" t="s">
        <v>53</v>
      </c>
      <c r="C22" s="722">
        <v>831.36</v>
      </c>
      <c r="D22" s="722">
        <v>838.95</v>
      </c>
      <c r="E22" s="722">
        <v>850.09</v>
      </c>
      <c r="F22" s="722">
        <v>873.11</v>
      </c>
      <c r="G22" s="722">
        <v>896.68</v>
      </c>
      <c r="H22" s="722">
        <v>930.59</v>
      </c>
      <c r="I22" s="722">
        <v>968.45</v>
      </c>
      <c r="J22" s="722">
        <v>1012.22</v>
      </c>
      <c r="K22" s="722">
        <v>1060.06</v>
      </c>
      <c r="L22" s="722">
        <v>1139.9000000000001</v>
      </c>
      <c r="M22" s="722">
        <v>1218.57</v>
      </c>
    </row>
    <row r="23" spans="1:14" s="252" customFormat="1" ht="16.5" customHeight="1">
      <c r="A23" s="251" t="s">
        <v>36</v>
      </c>
      <c r="B23" s="372" t="s">
        <v>44</v>
      </c>
      <c r="C23" s="721">
        <v>1065.22</v>
      </c>
      <c r="D23" s="721">
        <v>1065.9100000000001</v>
      </c>
      <c r="E23" s="721">
        <v>1076.5999999999999</v>
      </c>
      <c r="F23" s="721">
        <v>1057.27</v>
      </c>
      <c r="G23" s="721">
        <v>1089.54</v>
      </c>
      <c r="H23" s="721">
        <v>1131.8800000000001</v>
      </c>
      <c r="I23" s="721">
        <v>1160.8399999999999</v>
      </c>
      <c r="J23" s="721">
        <v>1199.01</v>
      </c>
      <c r="K23" s="721">
        <v>1283.57</v>
      </c>
      <c r="L23" s="721">
        <v>1364.01</v>
      </c>
      <c r="M23" s="721">
        <v>1446.62</v>
      </c>
    </row>
    <row r="24" spans="1:14" s="250" customFormat="1" ht="12.75" customHeight="1">
      <c r="A24" s="244"/>
      <c r="B24" s="258" t="s">
        <v>52</v>
      </c>
      <c r="C24" s="722">
        <v>1163.1099999999999</v>
      </c>
      <c r="D24" s="722">
        <v>1167.3900000000001</v>
      </c>
      <c r="E24" s="722">
        <v>1179.1600000000001</v>
      </c>
      <c r="F24" s="722">
        <v>1137.29</v>
      </c>
      <c r="G24" s="722">
        <v>1162.06</v>
      </c>
      <c r="H24" s="722">
        <v>1203.04</v>
      </c>
      <c r="I24" s="722">
        <v>1233.1400000000001</v>
      </c>
      <c r="J24" s="722">
        <v>1275.3399999999999</v>
      </c>
      <c r="K24" s="722">
        <v>1365.35</v>
      </c>
      <c r="L24" s="722">
        <v>1452.46</v>
      </c>
      <c r="M24" s="722">
        <v>1528.26</v>
      </c>
    </row>
    <row r="25" spans="1:14" s="250" customFormat="1" ht="12.75" customHeight="1">
      <c r="A25" s="244"/>
      <c r="B25" s="258" t="s">
        <v>53</v>
      </c>
      <c r="C25" s="722">
        <v>938.07</v>
      </c>
      <c r="D25" s="722">
        <v>937.35</v>
      </c>
      <c r="E25" s="722">
        <v>947.41</v>
      </c>
      <c r="F25" s="722">
        <v>955.36</v>
      </c>
      <c r="G25" s="722">
        <v>996.1</v>
      </c>
      <c r="H25" s="722">
        <v>1039.75</v>
      </c>
      <c r="I25" s="722">
        <v>1066.71</v>
      </c>
      <c r="J25" s="722">
        <v>1102.06</v>
      </c>
      <c r="K25" s="722">
        <v>1178.24</v>
      </c>
      <c r="L25" s="722">
        <v>1249.79</v>
      </c>
      <c r="M25" s="722">
        <v>1337.23</v>
      </c>
    </row>
    <row r="26" spans="1:14" s="253" customFormat="1" ht="16.5" customHeight="1">
      <c r="A26" s="251" t="s">
        <v>37</v>
      </c>
      <c r="B26" s="372" t="s">
        <v>44</v>
      </c>
      <c r="C26" s="721">
        <v>1150.77</v>
      </c>
      <c r="D26" s="721">
        <v>1113.17</v>
      </c>
      <c r="E26" s="721">
        <v>1181.73</v>
      </c>
      <c r="F26" s="721">
        <v>1143.67</v>
      </c>
      <c r="G26" s="721">
        <v>1167.72</v>
      </c>
      <c r="H26" s="721">
        <v>1132.98</v>
      </c>
      <c r="I26" s="721">
        <v>1203.42</v>
      </c>
      <c r="J26" s="721">
        <v>1223.83</v>
      </c>
      <c r="K26" s="721">
        <v>1297.98</v>
      </c>
      <c r="L26" s="721">
        <v>1399.26</v>
      </c>
      <c r="M26" s="721">
        <v>1479.62</v>
      </c>
      <c r="N26" s="252"/>
    </row>
    <row r="27" spans="1:14" s="240" customFormat="1" ht="12.75" customHeight="1">
      <c r="A27" s="244"/>
      <c r="B27" s="258" t="s">
        <v>52</v>
      </c>
      <c r="C27" s="722">
        <v>1269.47</v>
      </c>
      <c r="D27" s="722">
        <v>1202.9100000000001</v>
      </c>
      <c r="E27" s="722">
        <v>1320.46</v>
      </c>
      <c r="F27" s="722">
        <v>1263.27</v>
      </c>
      <c r="G27" s="722">
        <v>1272.71</v>
      </c>
      <c r="H27" s="722">
        <v>1200</v>
      </c>
      <c r="I27" s="722">
        <v>1252.3699999999999</v>
      </c>
      <c r="J27" s="722">
        <v>1287.6099999999999</v>
      </c>
      <c r="K27" s="722">
        <v>1367.03</v>
      </c>
      <c r="L27" s="722">
        <v>1465.63</v>
      </c>
      <c r="M27" s="722">
        <v>1541.31</v>
      </c>
      <c r="N27" s="250"/>
    </row>
    <row r="28" spans="1:14" s="240" customFormat="1" ht="12.75" customHeight="1">
      <c r="A28" s="244"/>
      <c r="B28" s="258" t="s">
        <v>53</v>
      </c>
      <c r="C28" s="722">
        <v>988.94</v>
      </c>
      <c r="D28" s="722">
        <v>980.29</v>
      </c>
      <c r="E28" s="722">
        <v>992.04</v>
      </c>
      <c r="F28" s="722">
        <v>993.43</v>
      </c>
      <c r="G28" s="722">
        <v>1030.51</v>
      </c>
      <c r="H28" s="722">
        <v>1043.67</v>
      </c>
      <c r="I28" s="722">
        <v>1135.6600000000001</v>
      </c>
      <c r="J28" s="722">
        <v>1141.72</v>
      </c>
      <c r="K28" s="722">
        <v>1207.1500000000001</v>
      </c>
      <c r="L28" s="722">
        <v>1307.8800000000001</v>
      </c>
      <c r="M28" s="722">
        <v>1396.05</v>
      </c>
      <c r="N28" s="250"/>
    </row>
    <row r="29" spans="1:14" s="253" customFormat="1" ht="16.5" customHeight="1">
      <c r="A29" s="251" t="s">
        <v>38</v>
      </c>
      <c r="B29" s="372" t="s">
        <v>44</v>
      </c>
      <c r="C29" s="721">
        <v>1129.4000000000001</v>
      </c>
      <c r="D29" s="721">
        <v>1238.4000000000001</v>
      </c>
      <c r="E29" s="721">
        <v>1141.8</v>
      </c>
      <c r="F29" s="721">
        <v>1242.6400000000001</v>
      </c>
      <c r="G29" s="721">
        <v>1279.05</v>
      </c>
      <c r="H29" s="721">
        <v>1355.47</v>
      </c>
      <c r="I29" s="721">
        <v>1417.19</v>
      </c>
      <c r="J29" s="721">
        <v>1368.96</v>
      </c>
      <c r="K29" s="721">
        <v>1387.29</v>
      </c>
      <c r="L29" s="721">
        <v>1417.91</v>
      </c>
      <c r="M29" s="721">
        <v>1463.16</v>
      </c>
      <c r="N29" s="252"/>
    </row>
    <row r="30" spans="1:14" s="240" customFormat="1" ht="12.75" customHeight="1">
      <c r="A30" s="244"/>
      <c r="B30" s="258" t="s">
        <v>52</v>
      </c>
      <c r="C30" s="722">
        <v>1221.75</v>
      </c>
      <c r="D30" s="722">
        <v>1374.84</v>
      </c>
      <c r="E30" s="722">
        <v>1219.8499999999999</v>
      </c>
      <c r="F30" s="722">
        <v>1410.31</v>
      </c>
      <c r="G30" s="722">
        <v>1442.88</v>
      </c>
      <c r="H30" s="722">
        <v>1542.57</v>
      </c>
      <c r="I30" s="722">
        <v>1617.74</v>
      </c>
      <c r="J30" s="722">
        <v>1495.84</v>
      </c>
      <c r="K30" s="722">
        <v>1497.44</v>
      </c>
      <c r="L30" s="722">
        <v>1531.7</v>
      </c>
      <c r="M30" s="722">
        <v>1526.34</v>
      </c>
      <c r="N30" s="250"/>
    </row>
    <row r="31" spans="1:14" s="240" customFormat="1" ht="12.75" customHeight="1">
      <c r="A31" s="244"/>
      <c r="B31" s="258" t="s">
        <v>53</v>
      </c>
      <c r="C31" s="722">
        <v>999.46</v>
      </c>
      <c r="D31" s="722">
        <v>1047.96</v>
      </c>
      <c r="E31" s="722">
        <v>1027.58</v>
      </c>
      <c r="F31" s="722">
        <v>997.44</v>
      </c>
      <c r="G31" s="722">
        <v>1030.94</v>
      </c>
      <c r="H31" s="722">
        <v>1077.26</v>
      </c>
      <c r="I31" s="722">
        <v>1128.5999999999999</v>
      </c>
      <c r="J31" s="722">
        <v>1191.1500000000001</v>
      </c>
      <c r="K31" s="722">
        <v>1234.1099999999999</v>
      </c>
      <c r="L31" s="722">
        <v>1272.6099999999999</v>
      </c>
      <c r="M31" s="722">
        <v>1380.85</v>
      </c>
      <c r="N31" s="250"/>
    </row>
    <row r="32" spans="1:14" s="253" customFormat="1" ht="16.5" customHeight="1">
      <c r="A32" s="251" t="s">
        <v>39</v>
      </c>
      <c r="B32" s="372" t="s">
        <v>44</v>
      </c>
      <c r="C32" s="721">
        <v>1107.1600000000001</v>
      </c>
      <c r="D32" s="721">
        <v>1110.6300000000001</v>
      </c>
      <c r="E32" s="721">
        <v>1147.77</v>
      </c>
      <c r="F32" s="721">
        <v>1183.8599999999999</v>
      </c>
      <c r="G32" s="721">
        <v>1191.1300000000001</v>
      </c>
      <c r="H32" s="721">
        <v>1200.06</v>
      </c>
      <c r="I32" s="721">
        <v>1260.1400000000001</v>
      </c>
      <c r="J32" s="721">
        <v>1325.88</v>
      </c>
      <c r="K32" s="721">
        <v>1379.27</v>
      </c>
      <c r="L32" s="721">
        <v>1496.23</v>
      </c>
      <c r="M32" s="721">
        <v>1619.04</v>
      </c>
      <c r="N32" s="252"/>
    </row>
    <row r="33" spans="1:14" s="240" customFormat="1" ht="12.75" customHeight="1">
      <c r="A33" s="244"/>
      <c r="B33" s="258" t="s">
        <v>52</v>
      </c>
      <c r="C33" s="722">
        <v>1181.6400000000001</v>
      </c>
      <c r="D33" s="722">
        <v>1193.47</v>
      </c>
      <c r="E33" s="722">
        <v>1223.47</v>
      </c>
      <c r="F33" s="722">
        <v>1248.28</v>
      </c>
      <c r="G33" s="722">
        <v>1247.98</v>
      </c>
      <c r="H33" s="722">
        <v>1263.1199999999999</v>
      </c>
      <c r="I33" s="722">
        <v>1329.87</v>
      </c>
      <c r="J33" s="722">
        <v>1416.71</v>
      </c>
      <c r="K33" s="722">
        <v>1473.34</v>
      </c>
      <c r="L33" s="722">
        <v>1596.8</v>
      </c>
      <c r="M33" s="722">
        <v>1734.07</v>
      </c>
      <c r="N33" s="250"/>
    </row>
    <row r="34" spans="1:14" s="240" customFormat="1" ht="12.75" customHeight="1">
      <c r="A34" s="244"/>
      <c r="B34" s="258" t="s">
        <v>53</v>
      </c>
      <c r="C34" s="722">
        <v>998.27</v>
      </c>
      <c r="D34" s="722">
        <v>994.81</v>
      </c>
      <c r="E34" s="722">
        <v>1041.3599999999999</v>
      </c>
      <c r="F34" s="722">
        <v>1089.52</v>
      </c>
      <c r="G34" s="722">
        <v>1107.1500000000001</v>
      </c>
      <c r="H34" s="722">
        <v>1107.43</v>
      </c>
      <c r="I34" s="722">
        <v>1157.77</v>
      </c>
      <c r="J34" s="722">
        <v>1192.02</v>
      </c>
      <c r="K34" s="722">
        <v>1241.33</v>
      </c>
      <c r="L34" s="722">
        <v>1350.62</v>
      </c>
      <c r="M34" s="722">
        <v>1450.31</v>
      </c>
      <c r="N34" s="250"/>
    </row>
    <row r="35" spans="1:14" s="253" customFormat="1" ht="16.5" customHeight="1">
      <c r="A35" s="251" t="s">
        <v>40</v>
      </c>
      <c r="B35" s="372" t="s">
        <v>44</v>
      </c>
      <c r="C35" s="721">
        <v>1158.53</v>
      </c>
      <c r="D35" s="721">
        <v>1150.6600000000001</v>
      </c>
      <c r="E35" s="721">
        <v>1151.6300000000001</v>
      </c>
      <c r="F35" s="721">
        <v>1117.5999999999999</v>
      </c>
      <c r="G35" s="721">
        <v>1159.3699999999999</v>
      </c>
      <c r="H35" s="721">
        <v>1254.9100000000001</v>
      </c>
      <c r="I35" s="721">
        <v>1260.71</v>
      </c>
      <c r="J35" s="721">
        <v>1306.3599999999999</v>
      </c>
      <c r="K35" s="721">
        <v>1407.92</v>
      </c>
      <c r="L35" s="721">
        <v>1494</v>
      </c>
      <c r="M35" s="721">
        <v>1611.87</v>
      </c>
      <c r="N35" s="252"/>
    </row>
    <row r="36" spans="1:14" s="240" customFormat="1" ht="12.75" customHeight="1">
      <c r="A36" s="244"/>
      <c r="B36" s="258" t="s">
        <v>52</v>
      </c>
      <c r="C36" s="722">
        <v>1234.33</v>
      </c>
      <c r="D36" s="722">
        <v>1221.46</v>
      </c>
      <c r="E36" s="722">
        <v>1215.42</v>
      </c>
      <c r="F36" s="722">
        <v>1177.68</v>
      </c>
      <c r="G36" s="722">
        <v>1237.74</v>
      </c>
      <c r="H36" s="722">
        <v>1338.61</v>
      </c>
      <c r="I36" s="722">
        <v>1346.59</v>
      </c>
      <c r="J36" s="722">
        <v>1386.46</v>
      </c>
      <c r="K36" s="722">
        <v>1477.34</v>
      </c>
      <c r="L36" s="722">
        <v>1551.09</v>
      </c>
      <c r="M36" s="722">
        <v>1657.29</v>
      </c>
      <c r="N36" s="250"/>
    </row>
    <row r="37" spans="1:14" s="240" customFormat="1" ht="12.75" customHeight="1">
      <c r="A37" s="254"/>
      <c r="B37" s="258" t="s">
        <v>53</v>
      </c>
      <c r="C37" s="722">
        <v>1063.48</v>
      </c>
      <c r="D37" s="722">
        <v>1061.69</v>
      </c>
      <c r="E37" s="722">
        <v>1068.5899999999999</v>
      </c>
      <c r="F37" s="722">
        <v>1047.3800000000001</v>
      </c>
      <c r="G37" s="722">
        <v>1066.8499999999999</v>
      </c>
      <c r="H37" s="722">
        <v>1155.71</v>
      </c>
      <c r="I37" s="722">
        <v>1153.23</v>
      </c>
      <c r="J37" s="722">
        <v>1206.52</v>
      </c>
      <c r="K37" s="722">
        <v>1319.36</v>
      </c>
      <c r="L37" s="722">
        <v>1416.39</v>
      </c>
      <c r="M37" s="722">
        <v>1543.89</v>
      </c>
      <c r="N37" s="250"/>
    </row>
    <row r="38" spans="1:14" s="253" customFormat="1" ht="16.5" customHeight="1">
      <c r="A38" s="255" t="s">
        <v>71</v>
      </c>
      <c r="B38" s="372" t="s">
        <v>44</v>
      </c>
      <c r="C38" s="721">
        <v>991.35</v>
      </c>
      <c r="D38" s="721">
        <v>1013.65</v>
      </c>
      <c r="E38" s="721">
        <v>1020.06</v>
      </c>
      <c r="F38" s="721">
        <v>1043.55</v>
      </c>
      <c r="G38" s="721">
        <v>1089.1099999999999</v>
      </c>
      <c r="H38" s="721">
        <v>1142.99</v>
      </c>
      <c r="I38" s="721">
        <v>1113.47</v>
      </c>
      <c r="J38" s="721">
        <v>1198.32</v>
      </c>
      <c r="K38" s="721">
        <v>1315.25</v>
      </c>
      <c r="L38" s="721">
        <v>1384.68</v>
      </c>
      <c r="M38" s="721">
        <v>1548.32</v>
      </c>
      <c r="N38" s="252"/>
    </row>
    <row r="39" spans="1:14" s="240" customFormat="1" ht="12.75" customHeight="1">
      <c r="A39" s="254"/>
      <c r="B39" s="258" t="s">
        <v>52</v>
      </c>
      <c r="C39" s="722">
        <v>1075.68</v>
      </c>
      <c r="D39" s="722">
        <v>1106.82</v>
      </c>
      <c r="E39" s="722">
        <v>1107.8599999999999</v>
      </c>
      <c r="F39" s="722">
        <v>1112.99</v>
      </c>
      <c r="G39" s="722">
        <v>1165.6199999999999</v>
      </c>
      <c r="H39" s="722">
        <v>1232.67</v>
      </c>
      <c r="I39" s="722">
        <v>1180.98</v>
      </c>
      <c r="J39" s="722">
        <v>1275.42</v>
      </c>
      <c r="K39" s="722">
        <v>1445.56</v>
      </c>
      <c r="L39" s="722">
        <v>1522.18</v>
      </c>
      <c r="M39" s="722">
        <v>1687.78</v>
      </c>
      <c r="N39" s="250"/>
    </row>
    <row r="40" spans="1:14" s="240" customFormat="1" ht="12.75" customHeight="1">
      <c r="A40" s="256"/>
      <c r="B40" s="257" t="s">
        <v>53</v>
      </c>
      <c r="C40" s="723">
        <v>902.85</v>
      </c>
      <c r="D40" s="723">
        <v>921.23</v>
      </c>
      <c r="E40" s="723">
        <v>937.91</v>
      </c>
      <c r="F40" s="723">
        <v>971.03</v>
      </c>
      <c r="G40" s="723">
        <v>1008.24</v>
      </c>
      <c r="H40" s="723">
        <v>1052.75</v>
      </c>
      <c r="I40" s="723">
        <v>1053.3599999999999</v>
      </c>
      <c r="J40" s="723">
        <v>1127.6400000000001</v>
      </c>
      <c r="K40" s="723">
        <v>1189.99</v>
      </c>
      <c r="L40" s="723">
        <v>1253.51</v>
      </c>
      <c r="M40" s="723">
        <v>1409.71</v>
      </c>
      <c r="N40" s="250"/>
    </row>
    <row r="41" spans="1:14" s="237" customFormat="1" ht="14.25" customHeight="1">
      <c r="A41" s="19" t="s">
        <v>769</v>
      </c>
      <c r="B41" s="258"/>
      <c r="C41" s="259"/>
      <c r="D41" s="249"/>
      <c r="E41" s="249"/>
      <c r="G41" s="249"/>
      <c r="H41" s="249"/>
      <c r="I41" s="249"/>
      <c r="J41" s="249"/>
      <c r="K41" s="249"/>
      <c r="L41" s="249"/>
      <c r="M41" s="249"/>
      <c r="N41" s="239"/>
    </row>
    <row r="42" spans="1:14" s="237" customFormat="1" ht="29.25" customHeight="1">
      <c r="A42" s="953" t="s">
        <v>130</v>
      </c>
      <c r="B42" s="953"/>
      <c r="C42" s="953"/>
      <c r="D42" s="953"/>
      <c r="E42" s="953"/>
      <c r="F42" s="953"/>
      <c r="G42" s="953"/>
      <c r="H42" s="953"/>
      <c r="I42" s="953"/>
      <c r="J42" s="953"/>
      <c r="K42" s="953"/>
      <c r="L42" s="953"/>
      <c r="M42" s="953"/>
      <c r="N42" s="239"/>
    </row>
    <row r="43" spans="1:14" s="135" customFormat="1" ht="17.25" customHeight="1">
      <c r="A43" s="136"/>
      <c r="B43" s="136"/>
      <c r="N43" s="137"/>
    </row>
  </sheetData>
  <mergeCells count="2">
    <mergeCell ref="A42:M42"/>
    <mergeCell ref="A1:M1"/>
  </mergeCells>
  <conditionalFormatting sqref="A42 F2 E3 A1 F43:F1048576 G41 N6:N16 A2:D4 A43:D1048576 B41:D41 A5:I40 O5:O16 N4:O4 N17:O1048576 P4:XFD1048576 N1:XFD3">
    <cfRule type="cellIs" dxfId="1149" priority="57" operator="equal">
      <formula>0</formula>
    </cfRule>
  </conditionalFormatting>
  <conditionalFormatting sqref="E2 E43:E1048576 E41 E4:F4">
    <cfRule type="cellIs" dxfId="1148" priority="56" operator="equal">
      <formula>0</formula>
    </cfRule>
  </conditionalFormatting>
  <conditionalFormatting sqref="G2 G43:G1048576">
    <cfRule type="cellIs" dxfId="1147" priority="54" operator="equal">
      <formula>0</formula>
    </cfRule>
  </conditionalFormatting>
  <conditionalFormatting sqref="G4:I4">
    <cfRule type="cellIs" dxfId="1146" priority="53" operator="equal">
      <formula>0</formula>
    </cfRule>
  </conditionalFormatting>
  <conditionalFormatting sqref="I41">
    <cfRule type="cellIs" dxfId="1145" priority="51" operator="equal">
      <formula>0</formula>
    </cfRule>
  </conditionalFormatting>
  <conditionalFormatting sqref="I2 I43:I1048576">
    <cfRule type="cellIs" dxfId="1144" priority="50" operator="equal">
      <formula>0</formula>
    </cfRule>
  </conditionalFormatting>
  <conditionalFormatting sqref="N5">
    <cfRule type="cellIs" dxfId="1143" priority="47" operator="equal">
      <formula>0</formula>
    </cfRule>
  </conditionalFormatting>
  <conditionalFormatting sqref="H41">
    <cfRule type="cellIs" dxfId="1142" priority="43" operator="equal">
      <formula>0</formula>
    </cfRule>
  </conditionalFormatting>
  <conditionalFormatting sqref="H2 H43:H1048576">
    <cfRule type="cellIs" dxfId="1141" priority="42" operator="equal">
      <formula>0</formula>
    </cfRule>
  </conditionalFormatting>
  <conditionalFormatting sqref="J8:J40">
    <cfRule type="cellIs" dxfId="1140" priority="38" operator="equal">
      <formula>0</formula>
    </cfRule>
  </conditionalFormatting>
  <conditionalFormatting sqref="J4">
    <cfRule type="cellIs" dxfId="1139" priority="37" operator="equal">
      <formula>0</formula>
    </cfRule>
  </conditionalFormatting>
  <conditionalFormatting sqref="J5:J7">
    <cfRule type="cellIs" dxfId="1138" priority="36" operator="equal">
      <formula>0</formula>
    </cfRule>
  </conditionalFormatting>
  <conditionalFormatting sqref="J41">
    <cfRule type="cellIs" dxfId="1137" priority="35" operator="equal">
      <formula>0</formula>
    </cfRule>
  </conditionalFormatting>
  <conditionalFormatting sqref="J2 J43:J1048576">
    <cfRule type="cellIs" dxfId="1136" priority="34" operator="equal">
      <formula>0</formula>
    </cfRule>
  </conditionalFormatting>
  <conditionalFormatting sqref="K8:K40">
    <cfRule type="cellIs" dxfId="1135" priority="33" operator="equal">
      <formula>0</formula>
    </cfRule>
  </conditionalFormatting>
  <conditionalFormatting sqref="K4">
    <cfRule type="cellIs" dxfId="1134" priority="32" operator="equal">
      <formula>0</formula>
    </cfRule>
  </conditionalFormatting>
  <conditionalFormatting sqref="K5:K7">
    <cfRule type="cellIs" dxfId="1133" priority="31" operator="equal">
      <formula>0</formula>
    </cfRule>
  </conditionalFormatting>
  <conditionalFormatting sqref="K41">
    <cfRule type="cellIs" dxfId="1132" priority="30" operator="equal">
      <formula>0</formula>
    </cfRule>
  </conditionalFormatting>
  <conditionalFormatting sqref="K2 K43:K1048576">
    <cfRule type="cellIs" dxfId="1131" priority="29" operator="equal">
      <formula>0</formula>
    </cfRule>
  </conditionalFormatting>
  <conditionalFormatting sqref="L8:L40">
    <cfRule type="cellIs" dxfId="1130" priority="27" operator="equal">
      <formula>0</formula>
    </cfRule>
  </conditionalFormatting>
  <conditionalFormatting sqref="L4">
    <cfRule type="cellIs" dxfId="1129" priority="26" operator="equal">
      <formula>0</formula>
    </cfRule>
  </conditionalFormatting>
  <conditionalFormatting sqref="L5:L7">
    <cfRule type="cellIs" dxfId="1128" priority="25" operator="equal">
      <formula>0</formula>
    </cfRule>
  </conditionalFormatting>
  <conditionalFormatting sqref="L41">
    <cfRule type="cellIs" dxfId="1127" priority="24" operator="equal">
      <formula>0</formula>
    </cfRule>
  </conditionalFormatting>
  <conditionalFormatting sqref="L2 L43:L1048576">
    <cfRule type="cellIs" dxfId="1126" priority="23" operator="equal">
      <formula>0</formula>
    </cfRule>
  </conditionalFormatting>
  <conditionalFormatting sqref="K3">
    <cfRule type="cellIs" dxfId="1125" priority="22" operator="equal">
      <formula>0</formula>
    </cfRule>
  </conditionalFormatting>
  <conditionalFormatting sqref="L3">
    <cfRule type="cellIs" dxfId="1124" priority="21" operator="equal">
      <formula>0</formula>
    </cfRule>
  </conditionalFormatting>
  <conditionalFormatting sqref="M8:M40">
    <cfRule type="cellIs" dxfId="1123" priority="15" operator="equal">
      <formula>0</formula>
    </cfRule>
  </conditionalFormatting>
  <conditionalFormatting sqref="M4">
    <cfRule type="cellIs" dxfId="1122" priority="14" operator="equal">
      <formula>0</formula>
    </cfRule>
  </conditionalFormatting>
  <conditionalFormatting sqref="M5:M7">
    <cfRule type="cellIs" dxfId="1121" priority="13" operator="equal">
      <formula>0</formula>
    </cfRule>
  </conditionalFormatting>
  <conditionalFormatting sqref="M41">
    <cfRule type="cellIs" dxfId="1120" priority="12" operator="equal">
      <formula>0</formula>
    </cfRule>
  </conditionalFormatting>
  <conditionalFormatting sqref="M2 M43:M1048576">
    <cfRule type="cellIs" dxfId="1119" priority="11" operator="equal">
      <formula>0</formula>
    </cfRule>
  </conditionalFormatting>
  <conditionalFormatting sqref="M3">
    <cfRule type="cellIs" dxfId="1118" priority="10" operator="equal">
      <formula>0</formula>
    </cfRule>
  </conditionalFormatting>
  <conditionalFormatting sqref="A41">
    <cfRule type="cellIs" dxfId="1117"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2">
    <tabColor indexed="26"/>
    <pageSetUpPr fitToPage="1"/>
  </sheetPr>
  <dimension ref="A1:GI25"/>
  <sheetViews>
    <sheetView showGridLines="0" workbookViewId="0">
      <selection activeCell="Y70" sqref="Y70"/>
    </sheetView>
  </sheetViews>
  <sheetFormatPr defaultColWidth="9.140625" defaultRowHeight="15.75" customHeight="1"/>
  <cols>
    <col min="1" max="1" width="17.140625" style="79" customWidth="1"/>
    <col min="2" max="4" width="6.42578125" style="84" customWidth="1"/>
    <col min="5" max="12" width="6.42578125" style="79" customWidth="1"/>
    <col min="13" max="191" width="9.140625" style="79"/>
    <col min="192" max="16384" width="9.140625" style="6"/>
  </cols>
  <sheetData>
    <row r="1" spans="1:48" s="86" customFormat="1" ht="28.5" customHeight="1">
      <c r="A1" s="952" t="s">
        <v>638</v>
      </c>
      <c r="B1" s="952"/>
      <c r="C1" s="952"/>
      <c r="D1" s="952"/>
      <c r="E1" s="952"/>
      <c r="F1" s="952"/>
      <c r="G1" s="952"/>
      <c r="H1" s="952"/>
      <c r="I1" s="952"/>
      <c r="J1" s="952"/>
      <c r="K1" s="952"/>
      <c r="L1" s="952"/>
    </row>
    <row r="2" spans="1:48" s="2" customFormat="1" ht="15" customHeight="1">
      <c r="A2" s="279"/>
      <c r="B2" s="280"/>
      <c r="C2" s="280"/>
      <c r="D2" s="280"/>
      <c r="E2" s="172"/>
      <c r="F2" s="172"/>
      <c r="G2" s="172"/>
      <c r="H2" s="172"/>
      <c r="I2" s="172"/>
      <c r="J2" s="172"/>
      <c r="K2" s="172"/>
      <c r="L2" s="172"/>
    </row>
    <row r="3" spans="1:48" s="2" customFormat="1" ht="15" customHeight="1">
      <c r="A3" s="11" t="s">
        <v>13</v>
      </c>
      <c r="B3" s="221"/>
      <c r="C3" s="221"/>
      <c r="E3" s="313"/>
      <c r="F3" s="313"/>
      <c r="G3" s="313"/>
      <c r="H3" s="313"/>
      <c r="I3" s="313"/>
      <c r="J3" s="313"/>
      <c r="K3" s="313"/>
      <c r="L3" s="313" t="s">
        <v>67</v>
      </c>
    </row>
    <row r="4" spans="1:48" s="2" customFormat="1" ht="28.5" customHeight="1" thickBot="1">
      <c r="A4" s="13"/>
      <c r="B4" s="14">
        <v>2014</v>
      </c>
      <c r="C4" s="14">
        <v>2015</v>
      </c>
      <c r="D4" s="14">
        <v>2016</v>
      </c>
      <c r="E4" s="14">
        <v>2017</v>
      </c>
      <c r="F4" s="14">
        <v>2018</v>
      </c>
      <c r="G4" s="14">
        <v>2019</v>
      </c>
      <c r="H4" s="14">
        <v>2020</v>
      </c>
      <c r="I4" s="14">
        <v>2021</v>
      </c>
      <c r="J4" s="14">
        <v>2022</v>
      </c>
      <c r="K4" s="14">
        <v>2023</v>
      </c>
      <c r="L4" s="14">
        <v>2024</v>
      </c>
      <c r="O4" s="378"/>
      <c r="P4" s="560">
        <f>+B4</f>
        <v>2014</v>
      </c>
      <c r="Q4" s="560">
        <f t="shared" ref="Q4:W4" si="0">+C4</f>
        <v>2015</v>
      </c>
      <c r="R4" s="560">
        <f t="shared" si="0"/>
        <v>2016</v>
      </c>
      <c r="S4" s="560">
        <f t="shared" si="0"/>
        <v>2017</v>
      </c>
      <c r="T4" s="560">
        <f t="shared" si="0"/>
        <v>2018</v>
      </c>
      <c r="U4" s="560">
        <f t="shared" si="0"/>
        <v>2019</v>
      </c>
      <c r="V4" s="560">
        <f t="shared" si="0"/>
        <v>2020</v>
      </c>
      <c r="W4" s="560">
        <f t="shared" si="0"/>
        <v>2021</v>
      </c>
      <c r="X4" s="560">
        <f>+J4</f>
        <v>2022</v>
      </c>
      <c r="Y4" s="560">
        <f t="shared" ref="Y4:Z4" si="1">+K4</f>
        <v>2023</v>
      </c>
      <c r="Z4" s="560">
        <f t="shared" si="1"/>
        <v>2024</v>
      </c>
      <c r="AA4" s="560">
        <f>+B4</f>
        <v>2014</v>
      </c>
      <c r="AB4" s="560">
        <f t="shared" ref="AB4:AJ4" si="2">+C4</f>
        <v>2015</v>
      </c>
      <c r="AC4" s="560">
        <f t="shared" si="2"/>
        <v>2016</v>
      </c>
      <c r="AD4" s="560">
        <f t="shared" si="2"/>
        <v>2017</v>
      </c>
      <c r="AE4" s="560">
        <f t="shared" si="2"/>
        <v>2018</v>
      </c>
      <c r="AF4" s="560">
        <f t="shared" si="2"/>
        <v>2019</v>
      </c>
      <c r="AG4" s="560">
        <f t="shared" si="2"/>
        <v>2020</v>
      </c>
      <c r="AH4" s="560">
        <f t="shared" si="2"/>
        <v>2021</v>
      </c>
      <c r="AI4" s="560">
        <f t="shared" si="2"/>
        <v>2022</v>
      </c>
      <c r="AJ4" s="560">
        <f t="shared" si="2"/>
        <v>2023</v>
      </c>
      <c r="AK4" s="560">
        <f>+L4</f>
        <v>2024</v>
      </c>
      <c r="AL4" s="560">
        <f>+B4</f>
        <v>2014</v>
      </c>
      <c r="AM4" s="560">
        <f t="shared" ref="AM4:AV4" si="3">+C4</f>
        <v>2015</v>
      </c>
      <c r="AN4" s="560">
        <f t="shared" si="3"/>
        <v>2016</v>
      </c>
      <c r="AO4" s="560">
        <f t="shared" si="3"/>
        <v>2017</v>
      </c>
      <c r="AP4" s="560">
        <f t="shared" si="3"/>
        <v>2018</v>
      </c>
      <c r="AQ4" s="560">
        <f t="shared" si="3"/>
        <v>2019</v>
      </c>
      <c r="AR4" s="560">
        <f t="shared" si="3"/>
        <v>2020</v>
      </c>
      <c r="AS4" s="560">
        <f t="shared" si="3"/>
        <v>2021</v>
      </c>
      <c r="AT4" s="560">
        <f t="shared" si="3"/>
        <v>2022</v>
      </c>
      <c r="AU4" s="560">
        <f t="shared" si="3"/>
        <v>2023</v>
      </c>
      <c r="AV4" s="560">
        <f t="shared" si="3"/>
        <v>2024</v>
      </c>
    </row>
    <row r="5" spans="1:48" s="2" customFormat="1" ht="20.25" customHeight="1" thickTop="1">
      <c r="A5" s="15" t="s">
        <v>11</v>
      </c>
      <c r="B5" s="712">
        <v>909.49</v>
      </c>
      <c r="C5" s="712">
        <v>913.93</v>
      </c>
      <c r="D5" s="712">
        <v>924.94</v>
      </c>
      <c r="E5" s="712">
        <v>943</v>
      </c>
      <c r="F5" s="712">
        <v>970.42</v>
      </c>
      <c r="G5" s="712">
        <v>1005.09</v>
      </c>
      <c r="H5" s="712">
        <v>1041.99</v>
      </c>
      <c r="I5" s="712">
        <v>1082.77</v>
      </c>
      <c r="J5" s="712">
        <v>1143.45</v>
      </c>
      <c r="K5" s="712">
        <v>1219.8699999999999</v>
      </c>
      <c r="L5" s="712">
        <v>1308.96</v>
      </c>
    </row>
    <row r="6" spans="1:48" s="2" customFormat="1" ht="20.25" customHeight="1">
      <c r="A6" s="15" t="s">
        <v>14</v>
      </c>
      <c r="B6" s="724">
        <v>822.65</v>
      </c>
      <c r="C6" s="724">
        <v>833.48</v>
      </c>
      <c r="D6" s="724">
        <v>848.25</v>
      </c>
      <c r="E6" s="724">
        <v>866.17</v>
      </c>
      <c r="F6" s="724">
        <v>898.45</v>
      </c>
      <c r="G6" s="724">
        <v>933.57</v>
      </c>
      <c r="H6" s="724">
        <v>962.64</v>
      </c>
      <c r="I6" s="724">
        <v>993.48</v>
      </c>
      <c r="J6" s="724">
        <v>1052.8</v>
      </c>
      <c r="K6" s="724">
        <v>1126.52</v>
      </c>
      <c r="L6" s="724">
        <v>1204.6300000000001</v>
      </c>
      <c r="N6" s="559">
        <f>+(L6/B6-1)*100</f>
        <v>46.432869385522423</v>
      </c>
      <c r="O6" s="419">
        <f t="shared" ref="O6:O10" si="4">+L6-B6</f>
        <v>381.98000000000013</v>
      </c>
      <c r="P6" s="559">
        <f>B6*100/B$5</f>
        <v>90.451791663459744</v>
      </c>
      <c r="Q6" s="559">
        <f t="shared" ref="Q6:Z21" si="5">C6*100/C$5</f>
        <v>91.197356471502204</v>
      </c>
      <c r="R6" s="559">
        <f t="shared" si="5"/>
        <v>91.708651371980878</v>
      </c>
      <c r="S6" s="559">
        <f t="shared" si="5"/>
        <v>91.852598091198303</v>
      </c>
      <c r="T6" s="559">
        <f t="shared" si="5"/>
        <v>92.583623585663943</v>
      </c>
      <c r="U6" s="559">
        <f t="shared" si="5"/>
        <v>92.884219323642654</v>
      </c>
      <c r="V6" s="559">
        <f t="shared" si="5"/>
        <v>92.384763769326</v>
      </c>
      <c r="W6" s="559">
        <f t="shared" si="5"/>
        <v>91.753558004008241</v>
      </c>
      <c r="X6" s="559">
        <f t="shared" si="5"/>
        <v>92.072237526782985</v>
      </c>
      <c r="Y6" s="559">
        <f t="shared" si="5"/>
        <v>92.347545230229457</v>
      </c>
      <c r="Z6" s="559">
        <f t="shared" si="5"/>
        <v>92.029550177239955</v>
      </c>
      <c r="AA6" s="2">
        <f>+RANK(B6,B$6:B$23,0)</f>
        <v>4</v>
      </c>
      <c r="AB6" s="2">
        <f t="shared" ref="AB6:AK21" si="6">+RANK(C6,C$6:C$23,0)</f>
        <v>4</v>
      </c>
      <c r="AC6" s="2">
        <f t="shared" si="6"/>
        <v>4</v>
      </c>
      <c r="AD6" s="2">
        <f t="shared" si="6"/>
        <v>4</v>
      </c>
      <c r="AE6" s="2">
        <f t="shared" si="6"/>
        <v>4</v>
      </c>
      <c r="AF6" s="2">
        <f t="shared" si="6"/>
        <v>4</v>
      </c>
      <c r="AG6" s="2">
        <f t="shared" si="6"/>
        <v>4</v>
      </c>
      <c r="AH6" s="2">
        <f t="shared" si="6"/>
        <v>4</v>
      </c>
      <c r="AI6" s="2">
        <f t="shared" si="6"/>
        <v>4</v>
      </c>
      <c r="AJ6" s="2">
        <f t="shared" si="6"/>
        <v>4</v>
      </c>
      <c r="AK6" s="2">
        <f>+RANK(L6,L$6:L$23,0)</f>
        <v>4</v>
      </c>
      <c r="AL6" s="559">
        <f>+(B6/B$5-1)*100</f>
        <v>-9.5482083365402648</v>
      </c>
      <c r="AM6" s="559">
        <f t="shared" ref="AM6:AV6" si="7">+(C6/C$5-1)*100</f>
        <v>-8.8026435284978</v>
      </c>
      <c r="AN6" s="559">
        <f t="shared" si="7"/>
        <v>-8.291348628019124</v>
      </c>
      <c r="AO6" s="559">
        <f t="shared" si="7"/>
        <v>-8.1474019088016991</v>
      </c>
      <c r="AP6" s="559">
        <f t="shared" si="7"/>
        <v>-7.4163764143360567</v>
      </c>
      <c r="AQ6" s="559">
        <f t="shared" si="7"/>
        <v>-7.1157806763573417</v>
      </c>
      <c r="AR6" s="559">
        <f t="shared" si="7"/>
        <v>-7.6152362306740056</v>
      </c>
      <c r="AS6" s="559">
        <f t="shared" si="7"/>
        <v>-8.2464419959917592</v>
      </c>
      <c r="AT6" s="559">
        <f t="shared" si="7"/>
        <v>-7.927762473217026</v>
      </c>
      <c r="AU6" s="559">
        <f t="shared" si="7"/>
        <v>-7.6524547697705447</v>
      </c>
      <c r="AV6" s="559">
        <f t="shared" si="7"/>
        <v>-7.9704498227600507</v>
      </c>
    </row>
    <row r="7" spans="1:48" s="2" customFormat="1" ht="15" customHeight="1">
      <c r="A7" s="15" t="s">
        <v>15</v>
      </c>
      <c r="B7" s="724">
        <v>766.65</v>
      </c>
      <c r="C7" s="724">
        <v>771.56</v>
      </c>
      <c r="D7" s="724">
        <v>774.75</v>
      </c>
      <c r="E7" s="724">
        <v>798.43</v>
      </c>
      <c r="F7" s="724">
        <v>825.41</v>
      </c>
      <c r="G7" s="724">
        <v>846.78</v>
      </c>
      <c r="H7" s="724">
        <v>870.72</v>
      </c>
      <c r="I7" s="724">
        <v>905.26</v>
      </c>
      <c r="J7" s="724">
        <v>947.74</v>
      </c>
      <c r="K7" s="724">
        <v>1003.83</v>
      </c>
      <c r="L7" s="724">
        <v>1076.04</v>
      </c>
      <c r="N7" s="559">
        <f t="shared" ref="N7:N23" si="8">+(L7/B7-1)*100</f>
        <v>40.356094697710823</v>
      </c>
      <c r="O7" s="419">
        <f t="shared" si="4"/>
        <v>309.39</v>
      </c>
      <c r="P7" s="559">
        <f t="shared" ref="P7:Z23" si="9">B7*100/B$5</f>
        <v>84.294494716819315</v>
      </c>
      <c r="Q7" s="559">
        <f t="shared" si="5"/>
        <v>84.422220520171138</v>
      </c>
      <c r="R7" s="559">
        <f t="shared" si="5"/>
        <v>83.762189979890579</v>
      </c>
      <c r="S7" s="559">
        <f t="shared" si="5"/>
        <v>84.669141039236479</v>
      </c>
      <c r="T7" s="559">
        <f t="shared" si="5"/>
        <v>85.056985635085837</v>
      </c>
      <c r="U7" s="559">
        <f t="shared" si="5"/>
        <v>84.24917171596573</v>
      </c>
      <c r="V7" s="559">
        <f t="shared" si="5"/>
        <v>83.563181988310831</v>
      </c>
      <c r="W7" s="559">
        <f t="shared" si="5"/>
        <v>83.6059366255068</v>
      </c>
      <c r="X7" s="559">
        <f t="shared" si="5"/>
        <v>82.884253793344698</v>
      </c>
      <c r="Y7" s="559">
        <f t="shared" si="5"/>
        <v>82.289916138604937</v>
      </c>
      <c r="Z7" s="559">
        <f t="shared" si="5"/>
        <v>82.205720572057203</v>
      </c>
      <c r="AA7" s="2">
        <f t="shared" ref="AA7:AK23" si="10">+RANK(B7,B$6:B$23,0)</f>
        <v>10</v>
      </c>
      <c r="AB7" s="2">
        <f t="shared" si="6"/>
        <v>10</v>
      </c>
      <c r="AC7" s="2">
        <f t="shared" si="6"/>
        <v>10</v>
      </c>
      <c r="AD7" s="2">
        <f t="shared" si="6"/>
        <v>10</v>
      </c>
      <c r="AE7" s="2">
        <f t="shared" si="6"/>
        <v>10</v>
      </c>
      <c r="AF7" s="2">
        <f t="shared" si="6"/>
        <v>11</v>
      </c>
      <c r="AG7" s="2">
        <f t="shared" si="6"/>
        <v>11</v>
      </c>
      <c r="AH7" s="2">
        <f t="shared" si="6"/>
        <v>12</v>
      </c>
      <c r="AI7" s="2">
        <f t="shared" si="6"/>
        <v>12</v>
      </c>
      <c r="AJ7" s="2">
        <f t="shared" si="6"/>
        <v>12</v>
      </c>
      <c r="AK7" s="2">
        <f t="shared" si="6"/>
        <v>12</v>
      </c>
      <c r="AL7" s="559">
        <f t="shared" ref="AL7:AL23" si="11">+(B7/B$5-1)*100</f>
        <v>-15.705505283180688</v>
      </c>
      <c r="AM7" s="559">
        <f t="shared" ref="AM7:AM23" si="12">+(C7/C$5-1)*100</f>
        <v>-15.577779479828868</v>
      </c>
      <c r="AN7" s="559">
        <f t="shared" ref="AN7:AN23" si="13">+(D7/D$5-1)*100</f>
        <v>-16.237810020109421</v>
      </c>
      <c r="AO7" s="559">
        <f t="shared" ref="AO7:AO23" si="14">+(E7/E$5-1)*100</f>
        <v>-15.330858960763527</v>
      </c>
      <c r="AP7" s="559">
        <f t="shared" ref="AP7:AP23" si="15">+(F7/F$5-1)*100</f>
        <v>-14.943014364914164</v>
      </c>
      <c r="AQ7" s="559">
        <f t="shared" ref="AQ7:AQ23" si="16">+(G7/G$5-1)*100</f>
        <v>-15.750828284034268</v>
      </c>
      <c r="AR7" s="559">
        <f t="shared" ref="AR7:AR23" si="17">+(H7/H$5-1)*100</f>
        <v>-16.436818011689169</v>
      </c>
      <c r="AS7" s="559">
        <f t="shared" ref="AS7:AS23" si="18">+(I7/I$5-1)*100</f>
        <v>-16.394063374493197</v>
      </c>
      <c r="AT7" s="559">
        <f t="shared" ref="AT7:AT23" si="19">+(J7/J$5-1)*100</f>
        <v>-17.115746206655302</v>
      </c>
      <c r="AU7" s="559">
        <f t="shared" ref="AU7:AU23" si="20">+(K7/K$5-1)*100</f>
        <v>-17.710083861395056</v>
      </c>
      <c r="AV7" s="559">
        <f t="shared" ref="AV7:AV23" si="21">+(L7/L$5-1)*100</f>
        <v>-17.794279427942794</v>
      </c>
    </row>
    <row r="8" spans="1:48" s="2" customFormat="1" ht="15" customHeight="1">
      <c r="A8" s="15" t="s">
        <v>65</v>
      </c>
      <c r="B8" s="724">
        <v>739.18</v>
      </c>
      <c r="C8" s="724">
        <v>743.72</v>
      </c>
      <c r="D8" s="724">
        <v>761.02</v>
      </c>
      <c r="E8" s="724">
        <v>787.65</v>
      </c>
      <c r="F8" s="724">
        <v>818.11</v>
      </c>
      <c r="G8" s="724">
        <v>855.14</v>
      </c>
      <c r="H8" s="724">
        <v>897.25</v>
      </c>
      <c r="I8" s="724">
        <v>943.61</v>
      </c>
      <c r="J8" s="724">
        <v>988</v>
      </c>
      <c r="K8" s="724">
        <v>1059.8900000000001</v>
      </c>
      <c r="L8" s="724">
        <v>1146.02</v>
      </c>
      <c r="N8" s="559">
        <f t="shared" si="8"/>
        <v>55.039367948267007</v>
      </c>
      <c r="O8" s="419">
        <f t="shared" si="4"/>
        <v>406.84000000000003</v>
      </c>
      <c r="P8" s="559">
        <f t="shared" si="9"/>
        <v>81.274120661029812</v>
      </c>
      <c r="Q8" s="559">
        <f t="shared" si="5"/>
        <v>81.376035363758717</v>
      </c>
      <c r="R8" s="559">
        <f t="shared" si="5"/>
        <v>82.277769368823925</v>
      </c>
      <c r="S8" s="559">
        <f t="shared" si="5"/>
        <v>83.525980911983027</v>
      </c>
      <c r="T8" s="559">
        <f t="shared" si="5"/>
        <v>84.304734032686881</v>
      </c>
      <c r="U8" s="559">
        <f t="shared" si="5"/>
        <v>85.08093802545045</v>
      </c>
      <c r="V8" s="559">
        <f t="shared" si="5"/>
        <v>86.109271682069888</v>
      </c>
      <c r="W8" s="559">
        <f t="shared" si="5"/>
        <v>87.14777838322081</v>
      </c>
      <c r="X8" s="559">
        <f t="shared" si="5"/>
        <v>86.405177314268215</v>
      </c>
      <c r="Y8" s="559">
        <f t="shared" si="5"/>
        <v>86.885487797880117</v>
      </c>
      <c r="Z8" s="559">
        <f t="shared" si="5"/>
        <v>87.551949639408377</v>
      </c>
      <c r="AA8" s="2">
        <f t="shared" si="10"/>
        <v>13</v>
      </c>
      <c r="AB8" s="2">
        <f t="shared" si="6"/>
        <v>13</v>
      </c>
      <c r="AC8" s="2">
        <f t="shared" si="6"/>
        <v>12</v>
      </c>
      <c r="AD8" s="2">
        <f t="shared" si="6"/>
        <v>11</v>
      </c>
      <c r="AE8" s="2">
        <f t="shared" si="6"/>
        <v>11</v>
      </c>
      <c r="AF8" s="2">
        <f t="shared" si="6"/>
        <v>10</v>
      </c>
      <c r="AG8" s="2">
        <f t="shared" si="6"/>
        <v>9</v>
      </c>
      <c r="AH8" s="2">
        <f t="shared" si="6"/>
        <v>7</v>
      </c>
      <c r="AI8" s="2">
        <f t="shared" si="6"/>
        <v>7</v>
      </c>
      <c r="AJ8" s="2">
        <f t="shared" si="6"/>
        <v>7</v>
      </c>
      <c r="AK8" s="2">
        <f t="shared" si="6"/>
        <v>6</v>
      </c>
      <c r="AL8" s="559">
        <f t="shared" si="11"/>
        <v>-18.725879338970199</v>
      </c>
      <c r="AM8" s="559">
        <f t="shared" si="12"/>
        <v>-18.623964636241276</v>
      </c>
      <c r="AN8" s="559">
        <f t="shared" si="13"/>
        <v>-17.722230631176082</v>
      </c>
      <c r="AO8" s="559">
        <f t="shared" si="14"/>
        <v>-16.474019088016966</v>
      </c>
      <c r="AP8" s="559">
        <f t="shared" si="15"/>
        <v>-15.695265967313121</v>
      </c>
      <c r="AQ8" s="559">
        <f t="shared" si="16"/>
        <v>-14.919061974549553</v>
      </c>
      <c r="AR8" s="559">
        <f t="shared" si="17"/>
        <v>-13.890728317930112</v>
      </c>
      <c r="AS8" s="559">
        <f t="shared" si="18"/>
        <v>-12.852221616779181</v>
      </c>
      <c r="AT8" s="559">
        <f t="shared" si="19"/>
        <v>-13.594822685731778</v>
      </c>
      <c r="AU8" s="559">
        <f t="shared" si="20"/>
        <v>-13.114512202119876</v>
      </c>
      <c r="AV8" s="559">
        <f t="shared" si="21"/>
        <v>-12.448050360591623</v>
      </c>
    </row>
    <row r="9" spans="1:48" s="2" customFormat="1" ht="15" customHeight="1">
      <c r="A9" s="15" t="s">
        <v>16</v>
      </c>
      <c r="B9" s="724">
        <v>706.01</v>
      </c>
      <c r="C9" s="724">
        <v>708.23</v>
      </c>
      <c r="D9" s="724">
        <v>726.98</v>
      </c>
      <c r="E9" s="724">
        <v>745.83</v>
      </c>
      <c r="F9" s="724">
        <v>766.61</v>
      </c>
      <c r="G9" s="724">
        <v>793.8</v>
      </c>
      <c r="H9" s="724">
        <v>827.36</v>
      </c>
      <c r="I9" s="724">
        <v>858.77</v>
      </c>
      <c r="J9" s="724">
        <v>892.75</v>
      </c>
      <c r="K9" s="724">
        <v>958.36</v>
      </c>
      <c r="L9" s="724">
        <v>1026.18</v>
      </c>
      <c r="N9" s="559">
        <f t="shared" si="8"/>
        <v>45.349216016770313</v>
      </c>
      <c r="O9" s="419">
        <f t="shared" si="4"/>
        <v>320.17000000000007</v>
      </c>
      <c r="P9" s="559">
        <f t="shared" si="9"/>
        <v>77.627021737457255</v>
      </c>
      <c r="Q9" s="559">
        <f t="shared" si="5"/>
        <v>77.492805794754531</v>
      </c>
      <c r="R9" s="559">
        <f t="shared" si="5"/>
        <v>78.597530650636799</v>
      </c>
      <c r="S9" s="559">
        <f t="shared" si="5"/>
        <v>79.091198303287385</v>
      </c>
      <c r="T9" s="559">
        <f t="shared" si="5"/>
        <v>78.997753550009278</v>
      </c>
      <c r="U9" s="559">
        <f t="shared" si="5"/>
        <v>78.978001969972837</v>
      </c>
      <c r="V9" s="559">
        <f t="shared" si="5"/>
        <v>79.401913646004274</v>
      </c>
      <c r="W9" s="559">
        <f t="shared" si="5"/>
        <v>79.312319329128073</v>
      </c>
      <c r="X9" s="559">
        <f t="shared" si="5"/>
        <v>78.075123529668986</v>
      </c>
      <c r="Y9" s="559">
        <f t="shared" si="5"/>
        <v>78.562469771369081</v>
      </c>
      <c r="Z9" s="559">
        <f t="shared" si="5"/>
        <v>78.396589658965894</v>
      </c>
      <c r="AA9" s="2">
        <f t="shared" si="10"/>
        <v>17</v>
      </c>
      <c r="AB9" s="2">
        <f t="shared" si="6"/>
        <v>17</v>
      </c>
      <c r="AC9" s="2">
        <f t="shared" si="6"/>
        <v>17</v>
      </c>
      <c r="AD9" s="2">
        <f t="shared" si="6"/>
        <v>17</v>
      </c>
      <c r="AE9" s="2">
        <f t="shared" si="6"/>
        <v>18</v>
      </c>
      <c r="AF9" s="2">
        <f t="shared" si="6"/>
        <v>18</v>
      </c>
      <c r="AG9" s="2">
        <f t="shared" si="6"/>
        <v>17</v>
      </c>
      <c r="AH9" s="2">
        <f t="shared" si="6"/>
        <v>18</v>
      </c>
      <c r="AI9" s="2">
        <f t="shared" si="6"/>
        <v>18</v>
      </c>
      <c r="AJ9" s="2">
        <f t="shared" si="6"/>
        <v>18</v>
      </c>
      <c r="AK9" s="2">
        <f t="shared" si="6"/>
        <v>18</v>
      </c>
      <c r="AL9" s="559">
        <f t="shared" si="11"/>
        <v>-22.372978262542741</v>
      </c>
      <c r="AM9" s="559">
        <f t="shared" si="12"/>
        <v>-22.507194205245472</v>
      </c>
      <c r="AN9" s="559">
        <f t="shared" si="13"/>
        <v>-21.402469349363209</v>
      </c>
      <c r="AO9" s="559">
        <f t="shared" si="14"/>
        <v>-20.908801696712619</v>
      </c>
      <c r="AP9" s="559">
        <f t="shared" si="15"/>
        <v>-21.002246449990725</v>
      </c>
      <c r="AQ9" s="559">
        <f t="shared" si="16"/>
        <v>-21.021998030027166</v>
      </c>
      <c r="AR9" s="559">
        <f t="shared" si="17"/>
        <v>-20.598086353995715</v>
      </c>
      <c r="AS9" s="559">
        <f t="shared" si="18"/>
        <v>-20.687680670871934</v>
      </c>
      <c r="AT9" s="559">
        <f t="shared" si="19"/>
        <v>-21.924876470331021</v>
      </c>
      <c r="AU9" s="559">
        <f t="shared" si="20"/>
        <v>-21.437530228630909</v>
      </c>
      <c r="AV9" s="559">
        <f t="shared" si="21"/>
        <v>-21.603410341034103</v>
      </c>
    </row>
    <row r="10" spans="1:48" s="2" customFormat="1" ht="15" customHeight="1">
      <c r="A10" s="15" t="s">
        <v>17</v>
      </c>
      <c r="B10" s="724">
        <v>720.73</v>
      </c>
      <c r="C10" s="724">
        <v>727.47</v>
      </c>
      <c r="D10" s="724">
        <v>746.22</v>
      </c>
      <c r="E10" s="724">
        <v>764.32</v>
      </c>
      <c r="F10" s="724">
        <v>784.68</v>
      </c>
      <c r="G10" s="724">
        <v>816.49</v>
      </c>
      <c r="H10" s="724">
        <v>854.55</v>
      </c>
      <c r="I10" s="724">
        <v>893.36</v>
      </c>
      <c r="J10" s="724">
        <v>932.85</v>
      </c>
      <c r="K10" s="724">
        <v>991.05</v>
      </c>
      <c r="L10" s="724">
        <v>1066.6099999999999</v>
      </c>
      <c r="N10" s="559">
        <f t="shared" si="8"/>
        <v>47.990232125761366</v>
      </c>
      <c r="O10" s="419">
        <f t="shared" si="4"/>
        <v>345.87999999999988</v>
      </c>
      <c r="P10" s="559">
        <f t="shared" si="9"/>
        <v>79.245511220574173</v>
      </c>
      <c r="Q10" s="559">
        <f t="shared" si="5"/>
        <v>79.597999846815412</v>
      </c>
      <c r="R10" s="559">
        <f t="shared" si="5"/>
        <v>80.677665578307781</v>
      </c>
      <c r="S10" s="559">
        <f t="shared" si="5"/>
        <v>81.051961823966067</v>
      </c>
      <c r="T10" s="559">
        <f t="shared" si="5"/>
        <v>80.859833886358487</v>
      </c>
      <c r="U10" s="559">
        <f t="shared" si="5"/>
        <v>81.23551124774896</v>
      </c>
      <c r="V10" s="559">
        <f t="shared" si="5"/>
        <v>82.01134367892206</v>
      </c>
      <c r="W10" s="559">
        <f t="shared" si="5"/>
        <v>82.506903589866738</v>
      </c>
      <c r="X10" s="559">
        <f t="shared" si="5"/>
        <v>81.582054309327035</v>
      </c>
      <c r="Y10" s="559">
        <f t="shared" si="5"/>
        <v>81.242263519883267</v>
      </c>
      <c r="Z10" s="559">
        <f t="shared" si="5"/>
        <v>81.485301307908557</v>
      </c>
      <c r="AA10" s="2">
        <f t="shared" si="10"/>
        <v>16</v>
      </c>
      <c r="AB10" s="2">
        <f t="shared" si="6"/>
        <v>16</v>
      </c>
      <c r="AC10" s="2">
        <f t="shared" si="6"/>
        <v>16</v>
      </c>
      <c r="AD10" s="2">
        <f t="shared" si="6"/>
        <v>16</v>
      </c>
      <c r="AE10" s="2">
        <f t="shared" si="6"/>
        <v>16</v>
      </c>
      <c r="AF10" s="2">
        <f t="shared" si="6"/>
        <v>16</v>
      </c>
      <c r="AG10" s="2">
        <f t="shared" si="6"/>
        <v>14</v>
      </c>
      <c r="AH10" s="2">
        <f t="shared" si="6"/>
        <v>15</v>
      </c>
      <c r="AI10" s="2">
        <f t="shared" si="6"/>
        <v>14</v>
      </c>
      <c r="AJ10" s="2">
        <f t="shared" si="6"/>
        <v>15</v>
      </c>
      <c r="AK10" s="2">
        <f t="shared" si="6"/>
        <v>14</v>
      </c>
      <c r="AL10" s="559">
        <f t="shared" si="11"/>
        <v>-20.754488779425827</v>
      </c>
      <c r="AM10" s="559">
        <f t="shared" si="12"/>
        <v>-20.402000153184595</v>
      </c>
      <c r="AN10" s="559">
        <f t="shared" si="13"/>
        <v>-19.322334421692222</v>
      </c>
      <c r="AO10" s="559">
        <f t="shared" si="14"/>
        <v>-18.948038176033933</v>
      </c>
      <c r="AP10" s="559">
        <f t="shared" si="15"/>
        <v>-19.14016611364152</v>
      </c>
      <c r="AQ10" s="559">
        <f t="shared" si="16"/>
        <v>-18.76448875225104</v>
      </c>
      <c r="AR10" s="559">
        <f t="shared" si="17"/>
        <v>-17.988656321077944</v>
      </c>
      <c r="AS10" s="559">
        <f t="shared" si="18"/>
        <v>-17.493096410133269</v>
      </c>
      <c r="AT10" s="559">
        <f t="shared" si="19"/>
        <v>-18.417945690672965</v>
      </c>
      <c r="AU10" s="559">
        <f t="shared" si="20"/>
        <v>-18.757736480116726</v>
      </c>
      <c r="AV10" s="559">
        <f t="shared" si="21"/>
        <v>-18.514698692091436</v>
      </c>
    </row>
    <row r="11" spans="1:48" s="2" customFormat="1" ht="15" customHeight="1">
      <c r="A11" s="15" t="s">
        <v>18</v>
      </c>
      <c r="B11" s="724">
        <v>802.91</v>
      </c>
      <c r="C11" s="724">
        <v>802.08</v>
      </c>
      <c r="D11" s="724">
        <v>816.41</v>
      </c>
      <c r="E11" s="724">
        <v>834.25</v>
      </c>
      <c r="F11" s="724">
        <v>862.98</v>
      </c>
      <c r="G11" s="724">
        <v>896.42</v>
      </c>
      <c r="H11" s="724">
        <v>924.4</v>
      </c>
      <c r="I11" s="724">
        <v>969.39</v>
      </c>
      <c r="J11" s="724">
        <v>1016.07</v>
      </c>
      <c r="K11" s="724">
        <v>1085.1500000000001</v>
      </c>
      <c r="L11" s="724">
        <v>1158.92</v>
      </c>
      <c r="N11" s="559">
        <f t="shared" si="8"/>
        <v>44.339963383193663</v>
      </c>
      <c r="O11" s="419">
        <f t="shared" ref="O11:O23" si="22">+L11-B11</f>
        <v>356.0100000000001</v>
      </c>
      <c r="P11" s="559">
        <f t="shared" si="9"/>
        <v>88.281344489768998</v>
      </c>
      <c r="Q11" s="559">
        <f t="shared" si="5"/>
        <v>87.761644764916355</v>
      </c>
      <c r="R11" s="559">
        <f t="shared" si="5"/>
        <v>88.266265919951564</v>
      </c>
      <c r="S11" s="559">
        <f t="shared" si="5"/>
        <v>88.467656415694591</v>
      </c>
      <c r="T11" s="559">
        <f t="shared" si="5"/>
        <v>88.928505183322685</v>
      </c>
      <c r="U11" s="559">
        <f t="shared" si="5"/>
        <v>89.188032912475492</v>
      </c>
      <c r="V11" s="559">
        <f t="shared" si="5"/>
        <v>88.714862906553805</v>
      </c>
      <c r="W11" s="559">
        <f t="shared" si="5"/>
        <v>89.528708774716705</v>
      </c>
      <c r="X11" s="559">
        <f t="shared" si="5"/>
        <v>88.860028860028862</v>
      </c>
      <c r="Y11" s="559">
        <f t="shared" si="5"/>
        <v>88.956200250846422</v>
      </c>
      <c r="Z11" s="559">
        <f t="shared" si="5"/>
        <v>88.537464857596873</v>
      </c>
      <c r="AA11" s="2">
        <f t="shared" si="10"/>
        <v>5</v>
      </c>
      <c r="AB11" s="2">
        <f t="shared" si="6"/>
        <v>5</v>
      </c>
      <c r="AC11" s="2">
        <f t="shared" si="6"/>
        <v>5</v>
      </c>
      <c r="AD11" s="2">
        <f t="shared" si="6"/>
        <v>5</v>
      </c>
      <c r="AE11" s="2">
        <f t="shared" si="6"/>
        <v>5</v>
      </c>
      <c r="AF11" s="2">
        <f t="shared" si="6"/>
        <v>5</v>
      </c>
      <c r="AG11" s="2">
        <f t="shared" si="6"/>
        <v>5</v>
      </c>
      <c r="AH11" s="2">
        <f t="shared" si="6"/>
        <v>5</v>
      </c>
      <c r="AI11" s="2">
        <f t="shared" si="6"/>
        <v>5</v>
      </c>
      <c r="AJ11" s="2">
        <f t="shared" si="6"/>
        <v>5</v>
      </c>
      <c r="AK11" s="2">
        <f t="shared" si="6"/>
        <v>5</v>
      </c>
      <c r="AL11" s="559">
        <f t="shared" si="11"/>
        <v>-11.718655510231013</v>
      </c>
      <c r="AM11" s="559">
        <f t="shared" si="12"/>
        <v>-12.238355235083642</v>
      </c>
      <c r="AN11" s="559">
        <f t="shared" si="13"/>
        <v>-11.733734080048441</v>
      </c>
      <c r="AO11" s="559">
        <f t="shared" si="14"/>
        <v>-11.532343584305405</v>
      </c>
      <c r="AP11" s="559">
        <f t="shared" si="15"/>
        <v>-11.071494816677308</v>
      </c>
      <c r="AQ11" s="559">
        <f t="shared" si="16"/>
        <v>-10.81196708752451</v>
      </c>
      <c r="AR11" s="559">
        <f t="shared" si="17"/>
        <v>-11.285137093446195</v>
      </c>
      <c r="AS11" s="559">
        <f t="shared" si="18"/>
        <v>-10.471291225283297</v>
      </c>
      <c r="AT11" s="559">
        <f t="shared" si="19"/>
        <v>-11.139971139971138</v>
      </c>
      <c r="AU11" s="559">
        <f t="shared" si="20"/>
        <v>-11.043799749153582</v>
      </c>
      <c r="AV11" s="559">
        <f t="shared" si="21"/>
        <v>-11.46253514240313</v>
      </c>
    </row>
    <row r="12" spans="1:48" s="2" customFormat="1" ht="15" customHeight="1">
      <c r="A12" s="15" t="s">
        <v>19</v>
      </c>
      <c r="B12" s="724">
        <v>791.91</v>
      </c>
      <c r="C12" s="724">
        <v>796.55</v>
      </c>
      <c r="D12" s="724">
        <v>804.02</v>
      </c>
      <c r="E12" s="724">
        <v>819.6</v>
      </c>
      <c r="F12" s="724">
        <v>839.16</v>
      </c>
      <c r="G12" s="724">
        <v>861.13</v>
      </c>
      <c r="H12" s="724">
        <v>898.01</v>
      </c>
      <c r="I12" s="724">
        <v>931.83</v>
      </c>
      <c r="J12" s="724">
        <v>984.11</v>
      </c>
      <c r="K12" s="724">
        <v>1049.8499999999999</v>
      </c>
      <c r="L12" s="724">
        <v>1125.55</v>
      </c>
      <c r="N12" s="559">
        <f t="shared" si="8"/>
        <v>42.131050245608726</v>
      </c>
      <c r="O12" s="419">
        <f t="shared" si="22"/>
        <v>333.64</v>
      </c>
      <c r="P12" s="559">
        <f t="shared" si="9"/>
        <v>87.071875446678902</v>
      </c>
      <c r="Q12" s="559">
        <f t="shared" si="5"/>
        <v>87.156565601304266</v>
      </c>
      <c r="R12" s="559">
        <f t="shared" si="5"/>
        <v>86.926719570999197</v>
      </c>
      <c r="S12" s="559">
        <f t="shared" si="5"/>
        <v>86.914103923647929</v>
      </c>
      <c r="T12" s="559">
        <f t="shared" si="5"/>
        <v>86.473897899878409</v>
      </c>
      <c r="U12" s="559">
        <f t="shared" si="5"/>
        <v>85.676904555810921</v>
      </c>
      <c r="V12" s="559">
        <f t="shared" si="5"/>
        <v>86.182209042313261</v>
      </c>
      <c r="W12" s="559">
        <f t="shared" si="5"/>
        <v>86.059828033654426</v>
      </c>
      <c r="X12" s="559">
        <f t="shared" si="5"/>
        <v>86.064978792251523</v>
      </c>
      <c r="Y12" s="559">
        <f t="shared" si="5"/>
        <v>86.062449277382015</v>
      </c>
      <c r="Z12" s="559">
        <f t="shared" si="5"/>
        <v>85.988112700158908</v>
      </c>
      <c r="AA12" s="2">
        <f t="shared" si="10"/>
        <v>7</v>
      </c>
      <c r="AB12" s="2">
        <f t="shared" si="6"/>
        <v>7</v>
      </c>
      <c r="AC12" s="2">
        <f t="shared" si="6"/>
        <v>7</v>
      </c>
      <c r="AD12" s="2">
        <f t="shared" si="6"/>
        <v>8</v>
      </c>
      <c r="AE12" s="2">
        <f t="shared" si="6"/>
        <v>8</v>
      </c>
      <c r="AF12" s="2">
        <f t="shared" si="6"/>
        <v>9</v>
      </c>
      <c r="AG12" s="2">
        <f t="shared" si="6"/>
        <v>8</v>
      </c>
      <c r="AH12" s="2">
        <f t="shared" si="6"/>
        <v>9</v>
      </c>
      <c r="AI12" s="2">
        <f t="shared" si="6"/>
        <v>8</v>
      </c>
      <c r="AJ12" s="2">
        <f t="shared" si="6"/>
        <v>8</v>
      </c>
      <c r="AK12" s="2">
        <f t="shared" si="6"/>
        <v>8</v>
      </c>
      <c r="AL12" s="559">
        <f t="shared" si="11"/>
        <v>-12.928124553321096</v>
      </c>
      <c r="AM12" s="559">
        <f t="shared" si="12"/>
        <v>-12.843434398695742</v>
      </c>
      <c r="AN12" s="559">
        <f t="shared" si="13"/>
        <v>-13.07328042900081</v>
      </c>
      <c r="AO12" s="559">
        <f t="shared" si="14"/>
        <v>-13.085896076352066</v>
      </c>
      <c r="AP12" s="559">
        <f t="shared" si="15"/>
        <v>-13.526102100121594</v>
      </c>
      <c r="AQ12" s="559">
        <f t="shared" si="16"/>
        <v>-14.323095444189082</v>
      </c>
      <c r="AR12" s="559">
        <f t="shared" si="17"/>
        <v>-13.817790957686737</v>
      </c>
      <c r="AS12" s="559">
        <f t="shared" si="18"/>
        <v>-13.940171966345572</v>
      </c>
      <c r="AT12" s="559">
        <f t="shared" si="19"/>
        <v>-13.935021207748488</v>
      </c>
      <c r="AU12" s="559">
        <f t="shared" si="20"/>
        <v>-13.937550722617987</v>
      </c>
      <c r="AV12" s="559">
        <f t="shared" si="21"/>
        <v>-14.011887299841097</v>
      </c>
    </row>
    <row r="13" spans="1:48" s="2" customFormat="1" ht="15" customHeight="1">
      <c r="A13" s="15" t="s">
        <v>20</v>
      </c>
      <c r="B13" s="724">
        <v>780.52</v>
      </c>
      <c r="C13" s="724">
        <v>781.12</v>
      </c>
      <c r="D13" s="724">
        <v>793.76</v>
      </c>
      <c r="E13" s="724">
        <v>810.99</v>
      </c>
      <c r="F13" s="724">
        <v>836.09</v>
      </c>
      <c r="G13" s="724">
        <v>861.15</v>
      </c>
      <c r="H13" s="724">
        <v>897.18</v>
      </c>
      <c r="I13" s="724">
        <v>928.44</v>
      </c>
      <c r="J13" s="724">
        <v>965.83</v>
      </c>
      <c r="K13" s="724">
        <v>1031.25</v>
      </c>
      <c r="L13" s="724">
        <v>1095.01</v>
      </c>
      <c r="N13" s="559">
        <f t="shared" si="8"/>
        <v>40.292369189770923</v>
      </c>
      <c r="O13" s="419">
        <f t="shared" si="22"/>
        <v>314.49</v>
      </c>
      <c r="P13" s="559">
        <f t="shared" si="9"/>
        <v>85.819525228424723</v>
      </c>
      <c r="Q13" s="559">
        <f t="shared" si="5"/>
        <v>85.468252491985169</v>
      </c>
      <c r="R13" s="559">
        <f t="shared" si="5"/>
        <v>85.817458429735979</v>
      </c>
      <c r="S13" s="559">
        <f t="shared" si="5"/>
        <v>86.001060445387068</v>
      </c>
      <c r="T13" s="559">
        <f t="shared" si="5"/>
        <v>86.157540034211991</v>
      </c>
      <c r="U13" s="559">
        <f t="shared" si="5"/>
        <v>85.67889442736471</v>
      </c>
      <c r="V13" s="559">
        <f t="shared" si="5"/>
        <v>86.102553767310624</v>
      </c>
      <c r="W13" s="559">
        <f t="shared" si="5"/>
        <v>85.746742152072926</v>
      </c>
      <c r="X13" s="559">
        <f t="shared" si="5"/>
        <v>84.466308102671732</v>
      </c>
      <c r="Y13" s="559">
        <f t="shared" si="5"/>
        <v>84.537696639805887</v>
      </c>
      <c r="Z13" s="559">
        <f t="shared" si="5"/>
        <v>83.654962718494076</v>
      </c>
      <c r="AA13" s="2">
        <f t="shared" si="10"/>
        <v>9</v>
      </c>
      <c r="AB13" s="2">
        <f t="shared" si="6"/>
        <v>9</v>
      </c>
      <c r="AC13" s="2">
        <f t="shared" si="6"/>
        <v>9</v>
      </c>
      <c r="AD13" s="2">
        <f t="shared" si="6"/>
        <v>9</v>
      </c>
      <c r="AE13" s="2">
        <f t="shared" si="6"/>
        <v>9</v>
      </c>
      <c r="AF13" s="2">
        <f t="shared" si="6"/>
        <v>8</v>
      </c>
      <c r="AG13" s="2">
        <f t="shared" si="6"/>
        <v>10</v>
      </c>
      <c r="AH13" s="2">
        <f t="shared" si="6"/>
        <v>10</v>
      </c>
      <c r="AI13" s="2">
        <f t="shared" si="6"/>
        <v>10</v>
      </c>
      <c r="AJ13" s="2">
        <f t="shared" si="6"/>
        <v>10</v>
      </c>
      <c r="AK13" s="2">
        <f t="shared" si="6"/>
        <v>11</v>
      </c>
      <c r="AL13" s="559">
        <f t="shared" si="11"/>
        <v>-14.18047477157528</v>
      </c>
      <c r="AM13" s="559">
        <f t="shared" si="12"/>
        <v>-14.531747508014837</v>
      </c>
      <c r="AN13" s="559">
        <f t="shared" si="13"/>
        <v>-14.182541570264018</v>
      </c>
      <c r="AO13" s="559">
        <f t="shared" si="14"/>
        <v>-13.998939554612932</v>
      </c>
      <c r="AP13" s="559">
        <f t="shared" si="15"/>
        <v>-13.842459965788001</v>
      </c>
      <c r="AQ13" s="559">
        <f t="shared" si="16"/>
        <v>-14.321105572635295</v>
      </c>
      <c r="AR13" s="559">
        <f t="shared" si="17"/>
        <v>-13.897446232689381</v>
      </c>
      <c r="AS13" s="559">
        <f t="shared" si="18"/>
        <v>-14.25325784792707</v>
      </c>
      <c r="AT13" s="559">
        <f t="shared" si="19"/>
        <v>-15.533691897328261</v>
      </c>
      <c r="AU13" s="559">
        <f t="shared" si="20"/>
        <v>-15.462303360194108</v>
      </c>
      <c r="AV13" s="559">
        <f t="shared" si="21"/>
        <v>-16.345037281505938</v>
      </c>
    </row>
    <row r="14" spans="1:48" s="2" customFormat="1" ht="15" customHeight="1">
      <c r="A14" s="15" t="s">
        <v>21</v>
      </c>
      <c r="B14" s="724">
        <v>700.01</v>
      </c>
      <c r="C14" s="724">
        <v>704.55</v>
      </c>
      <c r="D14" s="724">
        <v>721.53</v>
      </c>
      <c r="E14" s="724">
        <v>744.13</v>
      </c>
      <c r="F14" s="724">
        <v>769.55</v>
      </c>
      <c r="G14" s="724">
        <v>795.04</v>
      </c>
      <c r="H14" s="724">
        <v>827</v>
      </c>
      <c r="I14" s="724">
        <v>864.42</v>
      </c>
      <c r="J14" s="724">
        <v>905.21</v>
      </c>
      <c r="K14" s="724">
        <v>966.87</v>
      </c>
      <c r="L14" s="724">
        <v>1045.71</v>
      </c>
      <c r="N14" s="559">
        <f t="shared" si="8"/>
        <v>49.385008785588781</v>
      </c>
      <c r="O14" s="419">
        <f t="shared" si="22"/>
        <v>345.70000000000005</v>
      </c>
      <c r="P14" s="559">
        <f t="shared" si="9"/>
        <v>76.967311350317203</v>
      </c>
      <c r="Q14" s="559">
        <f t="shared" si="5"/>
        <v>77.090149136148284</v>
      </c>
      <c r="R14" s="559">
        <f t="shared" si="5"/>
        <v>78.008303241291316</v>
      </c>
      <c r="S14" s="559">
        <f t="shared" si="5"/>
        <v>78.910922587486738</v>
      </c>
      <c r="T14" s="559">
        <f t="shared" si="5"/>
        <v>79.300715154263102</v>
      </c>
      <c r="U14" s="559">
        <f t="shared" si="5"/>
        <v>79.101374006307893</v>
      </c>
      <c r="V14" s="559">
        <f t="shared" si="5"/>
        <v>79.367364370099523</v>
      </c>
      <c r="W14" s="559">
        <f t="shared" si="5"/>
        <v>79.834129131763902</v>
      </c>
      <c r="X14" s="559">
        <f t="shared" si="5"/>
        <v>79.164808255717347</v>
      </c>
      <c r="Y14" s="559">
        <f t="shared" si="5"/>
        <v>79.260085091034298</v>
      </c>
      <c r="Z14" s="559">
        <f t="shared" si="5"/>
        <v>79.888613861386133</v>
      </c>
      <c r="AA14" s="2">
        <f t="shared" si="10"/>
        <v>18</v>
      </c>
      <c r="AB14" s="2">
        <f t="shared" si="6"/>
        <v>18</v>
      </c>
      <c r="AC14" s="2">
        <f t="shared" si="6"/>
        <v>18</v>
      </c>
      <c r="AD14" s="2">
        <f t="shared" si="6"/>
        <v>18</v>
      </c>
      <c r="AE14" s="2">
        <f t="shared" si="6"/>
        <v>17</v>
      </c>
      <c r="AF14" s="2">
        <f t="shared" si="6"/>
        <v>17</v>
      </c>
      <c r="AG14" s="2">
        <f t="shared" si="6"/>
        <v>18</v>
      </c>
      <c r="AH14" s="2">
        <f t="shared" si="6"/>
        <v>17</v>
      </c>
      <c r="AI14" s="2">
        <f t="shared" si="6"/>
        <v>17</v>
      </c>
      <c r="AJ14" s="2">
        <f t="shared" si="6"/>
        <v>17</v>
      </c>
      <c r="AK14" s="2">
        <f t="shared" si="6"/>
        <v>17</v>
      </c>
      <c r="AL14" s="559">
        <f t="shared" si="11"/>
        <v>-23.032688649682786</v>
      </c>
      <c r="AM14" s="559">
        <f t="shared" si="12"/>
        <v>-22.909850863851723</v>
      </c>
      <c r="AN14" s="559">
        <f t="shared" si="13"/>
        <v>-21.991696758708677</v>
      </c>
      <c r="AO14" s="559">
        <f t="shared" si="14"/>
        <v>-21.089077412513259</v>
      </c>
      <c r="AP14" s="559">
        <f t="shared" si="15"/>
        <v>-20.699284845736898</v>
      </c>
      <c r="AQ14" s="559">
        <f t="shared" si="16"/>
        <v>-20.898625993692111</v>
      </c>
      <c r="AR14" s="559">
        <f t="shared" si="17"/>
        <v>-20.632635629900477</v>
      </c>
      <c r="AS14" s="559">
        <f t="shared" si="18"/>
        <v>-20.165870868236102</v>
      </c>
      <c r="AT14" s="559">
        <f t="shared" si="19"/>
        <v>-20.835191744282653</v>
      </c>
      <c r="AU14" s="559">
        <f t="shared" si="20"/>
        <v>-20.739914908965705</v>
      </c>
      <c r="AV14" s="559">
        <f t="shared" si="21"/>
        <v>-20.111386138613863</v>
      </c>
    </row>
    <row r="15" spans="1:48" s="2" customFormat="1" ht="15" customHeight="1">
      <c r="A15" s="15" t="s">
        <v>22</v>
      </c>
      <c r="B15" s="724">
        <v>794.29</v>
      </c>
      <c r="C15" s="724">
        <v>799.95</v>
      </c>
      <c r="D15" s="724">
        <v>815.1</v>
      </c>
      <c r="E15" s="724">
        <v>833.68</v>
      </c>
      <c r="F15" s="724">
        <v>861.02</v>
      </c>
      <c r="G15" s="724">
        <v>887.38</v>
      </c>
      <c r="H15" s="724">
        <v>918.08</v>
      </c>
      <c r="I15" s="724">
        <v>961.21</v>
      </c>
      <c r="J15" s="724">
        <v>1007.35</v>
      </c>
      <c r="K15" s="724">
        <v>1070.77</v>
      </c>
      <c r="L15" s="724">
        <v>1144.0999999999999</v>
      </c>
      <c r="N15" s="559">
        <f t="shared" si="8"/>
        <v>44.040589709048319</v>
      </c>
      <c r="O15" s="419">
        <f t="shared" si="22"/>
        <v>349.80999999999995</v>
      </c>
      <c r="P15" s="559">
        <f t="shared" si="9"/>
        <v>87.333560566911132</v>
      </c>
      <c r="Q15" s="559">
        <f t="shared" si="5"/>
        <v>87.528585340233946</v>
      </c>
      <c r="R15" s="559">
        <f t="shared" si="5"/>
        <v>88.124635111466688</v>
      </c>
      <c r="S15" s="559">
        <f t="shared" si="5"/>
        <v>88.40721102863202</v>
      </c>
      <c r="T15" s="559">
        <f t="shared" si="5"/>
        <v>88.726530780486797</v>
      </c>
      <c r="U15" s="559">
        <f t="shared" si="5"/>
        <v>88.288610970161869</v>
      </c>
      <c r="V15" s="559">
        <f t="shared" si="5"/>
        <v>88.108331174003595</v>
      </c>
      <c r="W15" s="559">
        <f t="shared" si="5"/>
        <v>88.773239007360758</v>
      </c>
      <c r="X15" s="559">
        <f t="shared" si="5"/>
        <v>88.097424461060825</v>
      </c>
      <c r="Y15" s="559">
        <f t="shared" si="5"/>
        <v>87.777386114913895</v>
      </c>
      <c r="Z15" s="559">
        <f t="shared" si="5"/>
        <v>87.405268304608228</v>
      </c>
      <c r="AA15" s="2">
        <f t="shared" si="10"/>
        <v>6</v>
      </c>
      <c r="AB15" s="2">
        <f t="shared" si="6"/>
        <v>6</v>
      </c>
      <c r="AC15" s="2">
        <f t="shared" si="6"/>
        <v>6</v>
      </c>
      <c r="AD15" s="2">
        <f t="shared" si="6"/>
        <v>6</v>
      </c>
      <c r="AE15" s="2">
        <f t="shared" si="6"/>
        <v>6</v>
      </c>
      <c r="AF15" s="2">
        <f t="shared" si="6"/>
        <v>6</v>
      </c>
      <c r="AG15" s="2">
        <f t="shared" si="6"/>
        <v>6</v>
      </c>
      <c r="AH15" s="2">
        <f t="shared" si="6"/>
        <v>6</v>
      </c>
      <c r="AI15" s="2">
        <f t="shared" si="6"/>
        <v>6</v>
      </c>
      <c r="AJ15" s="2">
        <f t="shared" si="6"/>
        <v>6</v>
      </c>
      <c r="AK15" s="2">
        <f t="shared" si="6"/>
        <v>7</v>
      </c>
      <c r="AL15" s="559">
        <f t="shared" si="11"/>
        <v>-12.666439433088883</v>
      </c>
      <c r="AM15" s="559">
        <f t="shared" si="12"/>
        <v>-12.471414659766056</v>
      </c>
      <c r="AN15" s="559">
        <f t="shared" si="13"/>
        <v>-11.875364888533312</v>
      </c>
      <c r="AO15" s="559">
        <f t="shared" si="14"/>
        <v>-11.592788971367984</v>
      </c>
      <c r="AP15" s="559">
        <f t="shared" si="15"/>
        <v>-11.273469219513199</v>
      </c>
      <c r="AQ15" s="559">
        <f t="shared" si="16"/>
        <v>-11.711389029838127</v>
      </c>
      <c r="AR15" s="559">
        <f t="shared" si="17"/>
        <v>-11.891668825996405</v>
      </c>
      <c r="AS15" s="559">
        <f t="shared" si="18"/>
        <v>-11.226760992639239</v>
      </c>
      <c r="AT15" s="559">
        <f t="shared" si="19"/>
        <v>-11.902575538939175</v>
      </c>
      <c r="AU15" s="559">
        <f t="shared" si="20"/>
        <v>-12.222613885086108</v>
      </c>
      <c r="AV15" s="559">
        <f t="shared" si="21"/>
        <v>-12.59473169539177</v>
      </c>
    </row>
    <row r="16" spans="1:48" s="2" customFormat="1" ht="15" customHeight="1">
      <c r="A16" s="15" t="s">
        <v>23</v>
      </c>
      <c r="B16" s="724">
        <v>1150.47</v>
      </c>
      <c r="C16" s="724">
        <v>1151.6400000000001</v>
      </c>
      <c r="D16" s="724">
        <v>1155.93</v>
      </c>
      <c r="E16" s="724">
        <v>1171.8800000000001</v>
      </c>
      <c r="F16" s="724">
        <v>1194.22</v>
      </c>
      <c r="G16" s="724">
        <v>1230.1300000000001</v>
      </c>
      <c r="H16" s="724">
        <v>1266.69</v>
      </c>
      <c r="I16" s="724">
        <v>1312.07</v>
      </c>
      <c r="J16" s="724">
        <v>1388.37</v>
      </c>
      <c r="K16" s="724">
        <v>1474.84</v>
      </c>
      <c r="L16" s="724">
        <v>1567.76</v>
      </c>
      <c r="N16" s="559">
        <f t="shared" si="8"/>
        <v>36.271263049014756</v>
      </c>
      <c r="O16" s="419">
        <f t="shared" si="22"/>
        <v>417.28999999999996</v>
      </c>
      <c r="P16" s="559">
        <f t="shared" si="9"/>
        <v>126.49616818216802</v>
      </c>
      <c r="Q16" s="559">
        <f t="shared" si="5"/>
        <v>126.00965062969814</v>
      </c>
      <c r="R16" s="559">
        <f t="shared" si="5"/>
        <v>124.9735117953597</v>
      </c>
      <c r="S16" s="559">
        <f t="shared" si="5"/>
        <v>124.27147401908803</v>
      </c>
      <c r="T16" s="559">
        <f t="shared" si="5"/>
        <v>123.06217926258734</v>
      </c>
      <c r="U16" s="559">
        <f t="shared" si="5"/>
        <v>122.39003472325862</v>
      </c>
      <c r="V16" s="559">
        <f t="shared" si="5"/>
        <v>121.56450637722051</v>
      </c>
      <c r="W16" s="559">
        <f t="shared" si="5"/>
        <v>121.17716597245953</v>
      </c>
      <c r="X16" s="559">
        <f t="shared" si="5"/>
        <v>121.41938869211596</v>
      </c>
      <c r="Y16" s="559">
        <f t="shared" si="5"/>
        <v>120.90140752703158</v>
      </c>
      <c r="Z16" s="559">
        <f t="shared" si="5"/>
        <v>119.7714215866031</v>
      </c>
      <c r="AA16" s="2">
        <f t="shared" si="10"/>
        <v>1</v>
      </c>
      <c r="AB16" s="2">
        <f t="shared" si="6"/>
        <v>1</v>
      </c>
      <c r="AC16" s="2">
        <f t="shared" si="6"/>
        <v>1</v>
      </c>
      <c r="AD16" s="2">
        <f t="shared" si="6"/>
        <v>1</v>
      </c>
      <c r="AE16" s="2">
        <f t="shared" si="6"/>
        <v>1</v>
      </c>
      <c r="AF16" s="2">
        <f t="shared" si="6"/>
        <v>1</v>
      </c>
      <c r="AG16" s="2">
        <f t="shared" si="6"/>
        <v>1</v>
      </c>
      <c r="AH16" s="2">
        <f t="shared" si="6"/>
        <v>1</v>
      </c>
      <c r="AI16" s="2">
        <f t="shared" si="6"/>
        <v>1</v>
      </c>
      <c r="AJ16" s="2">
        <f t="shared" si="6"/>
        <v>1</v>
      </c>
      <c r="AK16" s="2">
        <f t="shared" si="6"/>
        <v>1</v>
      </c>
      <c r="AL16" s="559">
        <f t="shared" si="11"/>
        <v>26.496168182168024</v>
      </c>
      <c r="AM16" s="559">
        <f t="shared" si="12"/>
        <v>26.009650629698132</v>
      </c>
      <c r="AN16" s="559">
        <f t="shared" si="13"/>
        <v>24.973511795359691</v>
      </c>
      <c r="AO16" s="559">
        <f t="shared" si="14"/>
        <v>24.271474019088025</v>
      </c>
      <c r="AP16" s="559">
        <f t="shared" si="15"/>
        <v>23.062179262587335</v>
      </c>
      <c r="AQ16" s="559">
        <f t="shared" si="16"/>
        <v>22.390034723258623</v>
      </c>
      <c r="AR16" s="559">
        <f t="shared" si="17"/>
        <v>21.564506377220518</v>
      </c>
      <c r="AS16" s="559">
        <f t="shared" si="18"/>
        <v>21.177165972459512</v>
      </c>
      <c r="AT16" s="559">
        <f t="shared" si="19"/>
        <v>21.419388692115948</v>
      </c>
      <c r="AU16" s="559">
        <f t="shared" si="20"/>
        <v>20.90140752703158</v>
      </c>
      <c r="AV16" s="559">
        <f t="shared" si="21"/>
        <v>19.7714215866031</v>
      </c>
    </row>
    <row r="17" spans="1:48" s="2" customFormat="1" ht="15" customHeight="1">
      <c r="A17" s="15" t="s">
        <v>24</v>
      </c>
      <c r="B17" s="724">
        <v>754.22</v>
      </c>
      <c r="C17" s="724">
        <v>755.71</v>
      </c>
      <c r="D17" s="724">
        <v>767.83</v>
      </c>
      <c r="E17" s="724">
        <v>783.59</v>
      </c>
      <c r="F17" s="724">
        <v>805.96</v>
      </c>
      <c r="G17" s="724">
        <v>828.76</v>
      </c>
      <c r="H17" s="724">
        <v>863.38</v>
      </c>
      <c r="I17" s="724">
        <v>899.36</v>
      </c>
      <c r="J17" s="724">
        <v>939.13</v>
      </c>
      <c r="K17" s="724">
        <v>990.36</v>
      </c>
      <c r="L17" s="724">
        <v>1064.08</v>
      </c>
      <c r="N17" s="559">
        <f t="shared" si="8"/>
        <v>41.083503487046215</v>
      </c>
      <c r="O17" s="419">
        <f t="shared" si="22"/>
        <v>309.8599999999999</v>
      </c>
      <c r="P17" s="559">
        <f t="shared" si="9"/>
        <v>82.927794698127528</v>
      </c>
      <c r="Q17" s="559">
        <f t="shared" si="5"/>
        <v>82.68795203133719</v>
      </c>
      <c r="R17" s="559">
        <f t="shared" si="5"/>
        <v>83.0140333427033</v>
      </c>
      <c r="S17" s="559">
        <f t="shared" si="5"/>
        <v>83.09544008483563</v>
      </c>
      <c r="T17" s="559">
        <f t="shared" si="5"/>
        <v>83.052698831433815</v>
      </c>
      <c r="U17" s="559">
        <f t="shared" si="5"/>
        <v>82.456297445999851</v>
      </c>
      <c r="V17" s="559">
        <f t="shared" si="5"/>
        <v>82.858760640697128</v>
      </c>
      <c r="W17" s="559">
        <f t="shared" si="5"/>
        <v>83.061037893550804</v>
      </c>
      <c r="X17" s="559">
        <f t="shared" si="5"/>
        <v>82.131269403996669</v>
      </c>
      <c r="Y17" s="559">
        <f t="shared" si="5"/>
        <v>81.185700115586101</v>
      </c>
      <c r="Z17" s="559">
        <f t="shared" si="5"/>
        <v>81.292018090697951</v>
      </c>
      <c r="AA17" s="2">
        <f t="shared" si="10"/>
        <v>11</v>
      </c>
      <c r="AB17" s="2">
        <f t="shared" si="6"/>
        <v>11</v>
      </c>
      <c r="AC17" s="2">
        <f t="shared" si="6"/>
        <v>11</v>
      </c>
      <c r="AD17" s="2">
        <f t="shared" si="6"/>
        <v>12</v>
      </c>
      <c r="AE17" s="2">
        <f t="shared" si="6"/>
        <v>12</v>
      </c>
      <c r="AF17" s="2">
        <f t="shared" si="6"/>
        <v>13</v>
      </c>
      <c r="AG17" s="2">
        <f t="shared" si="6"/>
        <v>13</v>
      </c>
      <c r="AH17" s="2">
        <f t="shared" si="6"/>
        <v>14</v>
      </c>
      <c r="AI17" s="2">
        <f t="shared" si="6"/>
        <v>13</v>
      </c>
      <c r="AJ17" s="2">
        <f t="shared" si="6"/>
        <v>16</v>
      </c>
      <c r="AK17" s="2">
        <f t="shared" si="6"/>
        <v>16</v>
      </c>
      <c r="AL17" s="559">
        <f t="shared" si="11"/>
        <v>-17.072205301872479</v>
      </c>
      <c r="AM17" s="559">
        <f t="shared" si="12"/>
        <v>-17.312047968662803</v>
      </c>
      <c r="AN17" s="559">
        <f t="shared" si="13"/>
        <v>-16.985966657296693</v>
      </c>
      <c r="AO17" s="559">
        <f t="shared" si="14"/>
        <v>-16.904559915164363</v>
      </c>
      <c r="AP17" s="559">
        <f t="shared" si="15"/>
        <v>-16.947301168566177</v>
      </c>
      <c r="AQ17" s="559">
        <f t="shared" si="16"/>
        <v>-17.543702554000141</v>
      </c>
      <c r="AR17" s="559">
        <f t="shared" si="17"/>
        <v>-17.141239359302872</v>
      </c>
      <c r="AS17" s="559">
        <f t="shared" si="18"/>
        <v>-16.938962106449196</v>
      </c>
      <c r="AT17" s="559">
        <f t="shared" si="19"/>
        <v>-17.868730596003324</v>
      </c>
      <c r="AU17" s="559">
        <f t="shared" si="20"/>
        <v>-18.814299884413909</v>
      </c>
      <c r="AV17" s="559">
        <f t="shared" si="21"/>
        <v>-18.707981909302053</v>
      </c>
    </row>
    <row r="18" spans="1:48" s="2" customFormat="1" ht="15" customHeight="1">
      <c r="A18" s="15" t="s">
        <v>25</v>
      </c>
      <c r="B18" s="724">
        <v>870.08</v>
      </c>
      <c r="C18" s="724">
        <v>879.09</v>
      </c>
      <c r="D18" s="724">
        <v>891.71</v>
      </c>
      <c r="E18" s="724">
        <v>908.25</v>
      </c>
      <c r="F18" s="724">
        <v>944.92</v>
      </c>
      <c r="G18" s="724">
        <v>983.5</v>
      </c>
      <c r="H18" s="724">
        <v>1030.3399999999999</v>
      </c>
      <c r="I18" s="724">
        <v>1072.1600000000001</v>
      </c>
      <c r="J18" s="724">
        <v>1135.73</v>
      </c>
      <c r="K18" s="724">
        <v>1212.5</v>
      </c>
      <c r="L18" s="724">
        <v>1321.62</v>
      </c>
      <c r="N18" s="559">
        <f t="shared" si="8"/>
        <v>51.896377344611963</v>
      </c>
      <c r="O18" s="419">
        <f t="shared" si="22"/>
        <v>451.53999999999985</v>
      </c>
      <c r="P18" s="559">
        <f t="shared" si="9"/>
        <v>95.666802273801807</v>
      </c>
      <c r="Q18" s="559">
        <f t="shared" si="5"/>
        <v>96.187891851673541</v>
      </c>
      <c r="R18" s="559">
        <f t="shared" si="5"/>
        <v>96.407334529807329</v>
      </c>
      <c r="S18" s="559">
        <f t="shared" si="5"/>
        <v>96.314952279957581</v>
      </c>
      <c r="T18" s="559">
        <f t="shared" si="5"/>
        <v>97.372271799839254</v>
      </c>
      <c r="U18" s="559">
        <f t="shared" si="5"/>
        <v>97.851933657682395</v>
      </c>
      <c r="V18" s="559">
        <f t="shared" si="5"/>
        <v>98.881947043637638</v>
      </c>
      <c r="W18" s="559">
        <f t="shared" si="5"/>
        <v>99.020105839652018</v>
      </c>
      <c r="X18" s="559">
        <f t="shared" si="5"/>
        <v>99.324850233941135</v>
      </c>
      <c r="Y18" s="559">
        <f t="shared" si="5"/>
        <v>99.395837261347523</v>
      </c>
      <c r="Z18" s="559">
        <f t="shared" si="5"/>
        <v>100.96718005133846</v>
      </c>
      <c r="AA18" s="2">
        <f t="shared" si="10"/>
        <v>3</v>
      </c>
      <c r="AB18" s="2">
        <f t="shared" si="6"/>
        <v>3</v>
      </c>
      <c r="AC18" s="2">
        <f t="shared" si="6"/>
        <v>3</v>
      </c>
      <c r="AD18" s="2">
        <f t="shared" si="6"/>
        <v>3</v>
      </c>
      <c r="AE18" s="2">
        <f t="shared" si="6"/>
        <v>3</v>
      </c>
      <c r="AF18" s="2">
        <f t="shared" si="6"/>
        <v>3</v>
      </c>
      <c r="AG18" s="2">
        <f t="shared" si="6"/>
        <v>3</v>
      </c>
      <c r="AH18" s="2">
        <f t="shared" si="6"/>
        <v>3</v>
      </c>
      <c r="AI18" s="2">
        <f t="shared" si="6"/>
        <v>2</v>
      </c>
      <c r="AJ18" s="2">
        <f t="shared" si="6"/>
        <v>2</v>
      </c>
      <c r="AK18" s="2">
        <f t="shared" si="6"/>
        <v>2</v>
      </c>
      <c r="AL18" s="559">
        <f t="shared" si="11"/>
        <v>-4.3331977261981898</v>
      </c>
      <c r="AM18" s="559">
        <f t="shared" si="12"/>
        <v>-3.8121081483264541</v>
      </c>
      <c r="AN18" s="559">
        <f t="shared" si="13"/>
        <v>-3.5926654701926575</v>
      </c>
      <c r="AO18" s="559">
        <f t="shared" si="14"/>
        <v>-3.6850477200424225</v>
      </c>
      <c r="AP18" s="559">
        <f t="shared" si="15"/>
        <v>-2.6277282001607505</v>
      </c>
      <c r="AQ18" s="559">
        <f t="shared" si="16"/>
        <v>-2.1480663423176116</v>
      </c>
      <c r="AR18" s="559">
        <f t="shared" si="17"/>
        <v>-1.1180529563623587</v>
      </c>
      <c r="AS18" s="559">
        <f t="shared" si="18"/>
        <v>-0.97989416034798271</v>
      </c>
      <c r="AT18" s="559">
        <f t="shared" si="19"/>
        <v>-0.6751497660588579</v>
      </c>
      <c r="AU18" s="559">
        <f t="shared" si="20"/>
        <v>-0.6041627386524695</v>
      </c>
      <c r="AV18" s="559">
        <f t="shared" si="21"/>
        <v>0.96718005133844542</v>
      </c>
    </row>
    <row r="19" spans="1:48" s="2" customFormat="1" ht="15" customHeight="1">
      <c r="A19" s="15" t="s">
        <v>26</v>
      </c>
      <c r="B19" s="724">
        <v>786.64</v>
      </c>
      <c r="C19" s="724">
        <v>793.64</v>
      </c>
      <c r="D19" s="724">
        <v>799.15</v>
      </c>
      <c r="E19" s="724">
        <v>823.03</v>
      </c>
      <c r="F19" s="724">
        <v>842.95</v>
      </c>
      <c r="G19" s="724">
        <v>867.34</v>
      </c>
      <c r="H19" s="724">
        <v>899.19</v>
      </c>
      <c r="I19" s="724">
        <v>933.03</v>
      </c>
      <c r="J19" s="724">
        <v>975.12</v>
      </c>
      <c r="K19" s="724">
        <v>1038.8499999999999</v>
      </c>
      <c r="L19" s="724">
        <v>1107.74</v>
      </c>
      <c r="N19" s="559">
        <f t="shared" si="8"/>
        <v>40.819180311197002</v>
      </c>
      <c r="O19" s="419">
        <f t="shared" si="22"/>
        <v>321.10000000000002</v>
      </c>
      <c r="P19" s="559">
        <f t="shared" si="9"/>
        <v>86.49242982330756</v>
      </c>
      <c r="Q19" s="559">
        <f t="shared" si="5"/>
        <v>86.838160471808564</v>
      </c>
      <c r="R19" s="559">
        <f t="shared" si="5"/>
        <v>86.400198931822601</v>
      </c>
      <c r="S19" s="559">
        <f t="shared" si="5"/>
        <v>87.277836691410386</v>
      </c>
      <c r="T19" s="559">
        <f t="shared" si="5"/>
        <v>86.864450444137589</v>
      </c>
      <c r="U19" s="559">
        <f t="shared" si="5"/>
        <v>86.294759673263087</v>
      </c>
      <c r="V19" s="559">
        <f t="shared" si="5"/>
        <v>86.295453891112203</v>
      </c>
      <c r="W19" s="559">
        <f t="shared" si="5"/>
        <v>86.170654894391234</v>
      </c>
      <c r="X19" s="559">
        <f t="shared" si="5"/>
        <v>85.27876164239801</v>
      </c>
      <c r="Y19" s="559">
        <f t="shared" si="5"/>
        <v>85.160713846557414</v>
      </c>
      <c r="Z19" s="559">
        <f t="shared" si="5"/>
        <v>84.627490526830456</v>
      </c>
      <c r="AA19" s="2">
        <f t="shared" si="10"/>
        <v>8</v>
      </c>
      <c r="AB19" s="2">
        <f t="shared" si="6"/>
        <v>8</v>
      </c>
      <c r="AC19" s="2">
        <f t="shared" si="6"/>
        <v>8</v>
      </c>
      <c r="AD19" s="2">
        <f t="shared" si="6"/>
        <v>7</v>
      </c>
      <c r="AE19" s="2">
        <f t="shared" si="6"/>
        <v>7</v>
      </c>
      <c r="AF19" s="2">
        <f t="shared" si="6"/>
        <v>7</v>
      </c>
      <c r="AG19" s="2">
        <f t="shared" si="6"/>
        <v>7</v>
      </c>
      <c r="AH19" s="2">
        <f t="shared" si="6"/>
        <v>8</v>
      </c>
      <c r="AI19" s="2">
        <f t="shared" si="6"/>
        <v>9</v>
      </c>
      <c r="AJ19" s="2">
        <f t="shared" si="6"/>
        <v>9</v>
      </c>
      <c r="AK19" s="2">
        <f t="shared" si="6"/>
        <v>9</v>
      </c>
      <c r="AL19" s="559">
        <f t="shared" si="11"/>
        <v>-13.507570176692429</v>
      </c>
      <c r="AM19" s="559">
        <f t="shared" si="12"/>
        <v>-13.161839528191432</v>
      </c>
      <c r="AN19" s="559">
        <f t="shared" si="13"/>
        <v>-13.599801068177397</v>
      </c>
      <c r="AO19" s="559">
        <f t="shared" si="14"/>
        <v>-12.722163308589607</v>
      </c>
      <c r="AP19" s="559">
        <f t="shared" si="15"/>
        <v>-13.135549555862402</v>
      </c>
      <c r="AQ19" s="559">
        <f t="shared" si="16"/>
        <v>-13.705240326736911</v>
      </c>
      <c r="AR19" s="559">
        <f t="shared" si="17"/>
        <v>-13.704546108887794</v>
      </c>
      <c r="AS19" s="559">
        <f t="shared" si="18"/>
        <v>-13.829345105608759</v>
      </c>
      <c r="AT19" s="559">
        <f t="shared" si="19"/>
        <v>-14.721238357601996</v>
      </c>
      <c r="AU19" s="559">
        <f t="shared" si="20"/>
        <v>-14.839286153442577</v>
      </c>
      <c r="AV19" s="559">
        <f t="shared" si="21"/>
        <v>-15.372509473169538</v>
      </c>
    </row>
    <row r="20" spans="1:48" s="2" customFormat="1" ht="15" customHeight="1">
      <c r="A20" s="15" t="s">
        <v>27</v>
      </c>
      <c r="B20" s="724">
        <v>945.37</v>
      </c>
      <c r="C20" s="724">
        <v>958.98</v>
      </c>
      <c r="D20" s="724">
        <v>979.51</v>
      </c>
      <c r="E20" s="724">
        <v>989.54</v>
      </c>
      <c r="F20" s="724">
        <v>1000.04</v>
      </c>
      <c r="G20" s="724">
        <v>1024.46</v>
      </c>
      <c r="H20" s="724">
        <v>1059.24</v>
      </c>
      <c r="I20" s="724">
        <v>1079.74</v>
      </c>
      <c r="J20" s="724">
        <v>1127.3900000000001</v>
      </c>
      <c r="K20" s="724">
        <v>1192.6099999999999</v>
      </c>
      <c r="L20" s="724">
        <v>1278.47</v>
      </c>
      <c r="N20" s="559">
        <f t="shared" si="8"/>
        <v>35.234881580756735</v>
      </c>
      <c r="O20" s="419">
        <f t="shared" si="22"/>
        <v>333.1</v>
      </c>
      <c r="P20" s="559">
        <f t="shared" si="9"/>
        <v>103.94506811509747</v>
      </c>
      <c r="Q20" s="559">
        <f t="shared" si="5"/>
        <v>104.92926154081823</v>
      </c>
      <c r="R20" s="559">
        <f t="shared" si="5"/>
        <v>105.89984215192337</v>
      </c>
      <c r="S20" s="559">
        <f t="shared" si="5"/>
        <v>104.93531283138918</v>
      </c>
      <c r="T20" s="559">
        <f t="shared" si="5"/>
        <v>103.05228663877497</v>
      </c>
      <c r="U20" s="559">
        <f t="shared" si="5"/>
        <v>101.92719059984678</v>
      </c>
      <c r="V20" s="559">
        <f t="shared" si="5"/>
        <v>101.65548613710304</v>
      </c>
      <c r="W20" s="559">
        <f t="shared" si="5"/>
        <v>99.720162176639548</v>
      </c>
      <c r="X20" s="559">
        <f t="shared" si="5"/>
        <v>98.59547859547861</v>
      </c>
      <c r="Y20" s="559">
        <f t="shared" si="5"/>
        <v>97.765335650520129</v>
      </c>
      <c r="Z20" s="559">
        <f t="shared" si="5"/>
        <v>97.670669844762244</v>
      </c>
      <c r="AA20" s="2">
        <f t="shared" si="10"/>
        <v>2</v>
      </c>
      <c r="AB20" s="2">
        <f t="shared" si="6"/>
        <v>2</v>
      </c>
      <c r="AC20" s="2">
        <f t="shared" si="6"/>
        <v>2</v>
      </c>
      <c r="AD20" s="2">
        <f t="shared" si="6"/>
        <v>2</v>
      </c>
      <c r="AE20" s="2">
        <f t="shared" si="6"/>
        <v>2</v>
      </c>
      <c r="AF20" s="2">
        <f t="shared" si="6"/>
        <v>2</v>
      </c>
      <c r="AG20" s="2">
        <f t="shared" si="6"/>
        <v>2</v>
      </c>
      <c r="AH20" s="2">
        <f t="shared" si="6"/>
        <v>2</v>
      </c>
      <c r="AI20" s="2">
        <f t="shared" si="6"/>
        <v>3</v>
      </c>
      <c r="AJ20" s="2">
        <f t="shared" si="6"/>
        <v>3</v>
      </c>
      <c r="AK20" s="2">
        <f t="shared" si="6"/>
        <v>3</v>
      </c>
      <c r="AL20" s="559">
        <f t="shared" si="11"/>
        <v>3.945068115097472</v>
      </c>
      <c r="AM20" s="559">
        <f t="shared" si="12"/>
        <v>4.9292615408182305</v>
      </c>
      <c r="AN20" s="559">
        <f t="shared" si="13"/>
        <v>5.8998421519233624</v>
      </c>
      <c r="AO20" s="559">
        <f t="shared" si="14"/>
        <v>4.9353128313891714</v>
      </c>
      <c r="AP20" s="559">
        <f t="shared" si="15"/>
        <v>3.0522866387749703</v>
      </c>
      <c r="AQ20" s="559">
        <f t="shared" si="16"/>
        <v>1.9271905998467842</v>
      </c>
      <c r="AR20" s="559">
        <f t="shared" si="17"/>
        <v>1.655486137103046</v>
      </c>
      <c r="AS20" s="559">
        <f t="shared" si="18"/>
        <v>-0.27983782336045149</v>
      </c>
      <c r="AT20" s="559">
        <f t="shared" si="19"/>
        <v>-1.4045214045213972</v>
      </c>
      <c r="AU20" s="559">
        <f t="shared" si="20"/>
        <v>-2.2346643494798646</v>
      </c>
      <c r="AV20" s="559">
        <f t="shared" si="21"/>
        <v>-2.3293301552377521</v>
      </c>
    </row>
    <row r="21" spans="1:48" s="2" customFormat="1" ht="15" customHeight="1">
      <c r="A21" s="15" t="s">
        <v>28</v>
      </c>
      <c r="B21" s="724">
        <v>729.89</v>
      </c>
      <c r="C21" s="724">
        <v>741.65</v>
      </c>
      <c r="D21" s="724">
        <v>746.72</v>
      </c>
      <c r="E21" s="724">
        <v>782.27</v>
      </c>
      <c r="F21" s="724">
        <v>802.92</v>
      </c>
      <c r="G21" s="724">
        <v>834.97</v>
      </c>
      <c r="H21" s="724">
        <v>865.76</v>
      </c>
      <c r="I21" s="724">
        <v>907.38</v>
      </c>
      <c r="J21" s="724">
        <v>955.67</v>
      </c>
      <c r="K21" s="724">
        <v>1022.16</v>
      </c>
      <c r="L21" s="724">
        <v>1098.82</v>
      </c>
      <c r="N21" s="559">
        <f t="shared" si="8"/>
        <v>50.545972680814913</v>
      </c>
      <c r="O21" s="419">
        <f t="shared" si="22"/>
        <v>368.92999999999995</v>
      </c>
      <c r="P21" s="559">
        <f t="shared" si="9"/>
        <v>80.252669078274636</v>
      </c>
      <c r="Q21" s="559">
        <f t="shared" si="5"/>
        <v>81.149540993292703</v>
      </c>
      <c r="R21" s="559">
        <f t="shared" si="5"/>
        <v>80.731723138798188</v>
      </c>
      <c r="S21" s="559">
        <f t="shared" si="5"/>
        <v>82.955461293743369</v>
      </c>
      <c r="T21" s="559">
        <f t="shared" si="5"/>
        <v>82.739432410708773</v>
      </c>
      <c r="U21" s="559">
        <f t="shared" si="5"/>
        <v>83.074152563452031</v>
      </c>
      <c r="V21" s="559">
        <f t="shared" si="5"/>
        <v>83.087169742511918</v>
      </c>
      <c r="W21" s="559">
        <f t="shared" si="5"/>
        <v>83.801730746141843</v>
      </c>
      <c r="X21" s="559">
        <f t="shared" si="5"/>
        <v>83.577769032314478</v>
      </c>
      <c r="Y21" s="559">
        <f t="shared" si="5"/>
        <v>83.792535270151745</v>
      </c>
      <c r="Z21" s="559">
        <f t="shared" si="5"/>
        <v>83.946033492238115</v>
      </c>
      <c r="AA21" s="2">
        <f t="shared" si="10"/>
        <v>15</v>
      </c>
      <c r="AB21" s="2">
        <f t="shared" si="6"/>
        <v>14</v>
      </c>
      <c r="AC21" s="2">
        <f t="shared" si="6"/>
        <v>15</v>
      </c>
      <c r="AD21" s="2">
        <f t="shared" si="6"/>
        <v>13</v>
      </c>
      <c r="AE21" s="2">
        <f t="shared" si="6"/>
        <v>13</v>
      </c>
      <c r="AF21" s="2">
        <f t="shared" si="6"/>
        <v>12</v>
      </c>
      <c r="AG21" s="2">
        <f t="shared" si="6"/>
        <v>12</v>
      </c>
      <c r="AH21" s="2">
        <f t="shared" si="6"/>
        <v>11</v>
      </c>
      <c r="AI21" s="2">
        <f t="shared" si="6"/>
        <v>11</v>
      </c>
      <c r="AJ21" s="2">
        <f t="shared" si="6"/>
        <v>11</v>
      </c>
      <c r="AK21" s="2">
        <f t="shared" si="6"/>
        <v>10</v>
      </c>
      <c r="AL21" s="559">
        <f t="shared" si="11"/>
        <v>-19.747330921725371</v>
      </c>
      <c r="AM21" s="559">
        <f t="shared" si="12"/>
        <v>-18.850459006707297</v>
      </c>
      <c r="AN21" s="559">
        <f t="shared" si="13"/>
        <v>-19.268276861201805</v>
      </c>
      <c r="AO21" s="559">
        <f t="shared" si="14"/>
        <v>-17.044538706256628</v>
      </c>
      <c r="AP21" s="559">
        <f t="shared" si="15"/>
        <v>-17.260567589291231</v>
      </c>
      <c r="AQ21" s="559">
        <f t="shared" si="16"/>
        <v>-16.925847436547969</v>
      </c>
      <c r="AR21" s="559">
        <f t="shared" si="17"/>
        <v>-16.912830257488075</v>
      </c>
      <c r="AS21" s="559">
        <f t="shared" si="18"/>
        <v>-16.198269253858154</v>
      </c>
      <c r="AT21" s="559">
        <f t="shared" si="19"/>
        <v>-16.422230967685525</v>
      </c>
      <c r="AU21" s="559">
        <f t="shared" si="20"/>
        <v>-16.207464729848255</v>
      </c>
      <c r="AV21" s="559">
        <f t="shared" si="21"/>
        <v>-16.053966507761896</v>
      </c>
    </row>
    <row r="22" spans="1:48" s="2" customFormat="1" ht="15" customHeight="1">
      <c r="A22" s="15" t="s">
        <v>29</v>
      </c>
      <c r="B22" s="724">
        <v>740.77</v>
      </c>
      <c r="C22" s="724">
        <v>744.14</v>
      </c>
      <c r="D22" s="724">
        <v>756.43</v>
      </c>
      <c r="E22" s="724">
        <v>776.75</v>
      </c>
      <c r="F22" s="724">
        <v>799.21</v>
      </c>
      <c r="G22" s="724">
        <v>826.76</v>
      </c>
      <c r="H22" s="724">
        <v>851.92</v>
      </c>
      <c r="I22" s="724">
        <v>878.43</v>
      </c>
      <c r="J22" s="724">
        <v>927.79</v>
      </c>
      <c r="K22" s="724">
        <v>997.39</v>
      </c>
      <c r="L22" s="724">
        <v>1064.3399999999999</v>
      </c>
      <c r="N22" s="559">
        <f t="shared" si="8"/>
        <v>43.680224631127061</v>
      </c>
      <c r="O22" s="419">
        <f t="shared" si="22"/>
        <v>323.56999999999994</v>
      </c>
      <c r="P22" s="559">
        <f t="shared" si="9"/>
        <v>81.448943913621918</v>
      </c>
      <c r="Q22" s="559">
        <f t="shared" si="9"/>
        <v>81.421990743273554</v>
      </c>
      <c r="R22" s="559">
        <f t="shared" si="9"/>
        <v>81.781520963521956</v>
      </c>
      <c r="S22" s="559">
        <f t="shared" si="9"/>
        <v>82.370095440084839</v>
      </c>
      <c r="T22" s="559">
        <f t="shared" si="9"/>
        <v>82.357123719626557</v>
      </c>
      <c r="U22" s="559">
        <f t="shared" si="9"/>
        <v>82.257310290620737</v>
      </c>
      <c r="V22" s="559">
        <f t="shared" si="9"/>
        <v>81.758942024395623</v>
      </c>
      <c r="W22" s="559">
        <f t="shared" si="9"/>
        <v>81.128032730866209</v>
      </c>
      <c r="X22" s="559">
        <f t="shared" si="9"/>
        <v>81.139533866806588</v>
      </c>
      <c r="Y22" s="559">
        <f t="shared" si="9"/>
        <v>81.761991031831272</v>
      </c>
      <c r="Z22" s="559">
        <f t="shared" si="9"/>
        <v>81.311881188118804</v>
      </c>
      <c r="AA22" s="2">
        <f t="shared" si="10"/>
        <v>12</v>
      </c>
      <c r="AB22" s="2">
        <f t="shared" si="10"/>
        <v>12</v>
      </c>
      <c r="AC22" s="2">
        <f t="shared" si="10"/>
        <v>13</v>
      </c>
      <c r="AD22" s="2">
        <f t="shared" si="10"/>
        <v>14</v>
      </c>
      <c r="AE22" s="2">
        <f t="shared" si="10"/>
        <v>14</v>
      </c>
      <c r="AF22" s="2">
        <f t="shared" si="10"/>
        <v>14</v>
      </c>
      <c r="AG22" s="2">
        <f t="shared" si="10"/>
        <v>16</v>
      </c>
      <c r="AH22" s="2">
        <f t="shared" si="10"/>
        <v>16</v>
      </c>
      <c r="AI22" s="2">
        <f t="shared" si="10"/>
        <v>16</v>
      </c>
      <c r="AJ22" s="2">
        <f t="shared" si="10"/>
        <v>14</v>
      </c>
      <c r="AK22" s="2">
        <f t="shared" si="10"/>
        <v>15</v>
      </c>
      <c r="AL22" s="559">
        <f t="shared" si="11"/>
        <v>-18.551056086378082</v>
      </c>
      <c r="AM22" s="559">
        <f t="shared" si="12"/>
        <v>-18.578009256726446</v>
      </c>
      <c r="AN22" s="559">
        <f t="shared" si="13"/>
        <v>-18.218479036478051</v>
      </c>
      <c r="AO22" s="559">
        <f t="shared" si="14"/>
        <v>-17.629904559915165</v>
      </c>
      <c r="AP22" s="559">
        <f t="shared" si="15"/>
        <v>-17.642876280373443</v>
      </c>
      <c r="AQ22" s="559">
        <f t="shared" si="16"/>
        <v>-17.742689709379267</v>
      </c>
      <c r="AR22" s="559">
        <f t="shared" si="17"/>
        <v>-18.241057975604381</v>
      </c>
      <c r="AS22" s="559">
        <f t="shared" si="18"/>
        <v>-18.871967269133794</v>
      </c>
      <c r="AT22" s="559">
        <f t="shared" si="19"/>
        <v>-18.860466133193409</v>
      </c>
      <c r="AU22" s="559">
        <f t="shared" si="20"/>
        <v>-18.238008968168728</v>
      </c>
      <c r="AV22" s="559">
        <f t="shared" si="21"/>
        <v>-18.688118811881193</v>
      </c>
    </row>
    <row r="23" spans="1:48" s="18" customFormat="1" ht="15" customHeight="1">
      <c r="A23" s="17" t="s">
        <v>30</v>
      </c>
      <c r="B23" s="725">
        <v>734.34</v>
      </c>
      <c r="C23" s="725">
        <v>737.12</v>
      </c>
      <c r="D23" s="725">
        <v>749.63</v>
      </c>
      <c r="E23" s="725">
        <v>768.57</v>
      </c>
      <c r="F23" s="725">
        <v>793.7</v>
      </c>
      <c r="G23" s="725">
        <v>822.97</v>
      </c>
      <c r="H23" s="725">
        <v>854.37</v>
      </c>
      <c r="I23" s="725">
        <v>902.63</v>
      </c>
      <c r="J23" s="725">
        <v>932.68</v>
      </c>
      <c r="K23" s="725">
        <v>998.93</v>
      </c>
      <c r="L23" s="725">
        <v>1067.4100000000001</v>
      </c>
      <c r="N23" s="559">
        <f t="shared" si="8"/>
        <v>45.356374431462278</v>
      </c>
      <c r="O23" s="419">
        <f t="shared" si="22"/>
        <v>333.07000000000005</v>
      </c>
      <c r="P23" s="559">
        <f t="shared" si="9"/>
        <v>80.741954282070168</v>
      </c>
      <c r="Q23" s="559">
        <f t="shared" si="9"/>
        <v>80.65387939995405</v>
      </c>
      <c r="R23" s="559">
        <f t="shared" si="9"/>
        <v>81.04633814085237</v>
      </c>
      <c r="S23" s="559">
        <f t="shared" si="9"/>
        <v>81.50265111346765</v>
      </c>
      <c r="T23" s="559">
        <f t="shared" si="9"/>
        <v>81.789328332062411</v>
      </c>
      <c r="U23" s="559">
        <f t="shared" si="9"/>
        <v>81.880229631177301</v>
      </c>
      <c r="V23" s="559">
        <f t="shared" si="9"/>
        <v>81.994069040969677</v>
      </c>
      <c r="W23" s="559">
        <f t="shared" si="9"/>
        <v>83.363041089058626</v>
      </c>
      <c r="X23" s="559">
        <f t="shared" si="9"/>
        <v>81.567187021732479</v>
      </c>
      <c r="Y23" s="559">
        <f t="shared" si="9"/>
        <v>81.888233992146709</v>
      </c>
      <c r="Z23" s="559">
        <f t="shared" si="9"/>
        <v>81.546418530741974</v>
      </c>
      <c r="AA23" s="2">
        <f t="shared" si="10"/>
        <v>14</v>
      </c>
      <c r="AB23" s="2">
        <f t="shared" si="10"/>
        <v>15</v>
      </c>
      <c r="AC23" s="2">
        <f t="shared" si="10"/>
        <v>14</v>
      </c>
      <c r="AD23" s="2">
        <f t="shared" si="10"/>
        <v>15</v>
      </c>
      <c r="AE23" s="2">
        <f t="shared" si="10"/>
        <v>15</v>
      </c>
      <c r="AF23" s="2">
        <f t="shared" si="10"/>
        <v>15</v>
      </c>
      <c r="AG23" s="2">
        <f t="shared" si="10"/>
        <v>15</v>
      </c>
      <c r="AH23" s="2">
        <f t="shared" si="10"/>
        <v>13</v>
      </c>
      <c r="AI23" s="2">
        <f t="shared" si="10"/>
        <v>15</v>
      </c>
      <c r="AJ23" s="2">
        <f t="shared" si="10"/>
        <v>13</v>
      </c>
      <c r="AK23" s="2">
        <f t="shared" si="10"/>
        <v>13</v>
      </c>
      <c r="AL23" s="559">
        <f t="shared" si="11"/>
        <v>-19.258045717929829</v>
      </c>
      <c r="AM23" s="559">
        <f t="shared" si="12"/>
        <v>-19.346120600045946</v>
      </c>
      <c r="AN23" s="559">
        <f t="shared" si="13"/>
        <v>-18.95366185914763</v>
      </c>
      <c r="AO23" s="559">
        <f t="shared" si="14"/>
        <v>-18.49734888653234</v>
      </c>
      <c r="AP23" s="559">
        <f t="shared" si="15"/>
        <v>-18.210671667937582</v>
      </c>
      <c r="AQ23" s="559">
        <f t="shared" si="16"/>
        <v>-18.119770368822696</v>
      </c>
      <c r="AR23" s="559">
        <f t="shared" si="17"/>
        <v>-18.005930959030316</v>
      </c>
      <c r="AS23" s="559">
        <f t="shared" si="18"/>
        <v>-16.636958910941381</v>
      </c>
      <c r="AT23" s="559">
        <f t="shared" si="19"/>
        <v>-18.432812978267531</v>
      </c>
      <c r="AU23" s="559">
        <f t="shared" si="20"/>
        <v>-18.111766007853291</v>
      </c>
      <c r="AV23" s="559">
        <f t="shared" si="21"/>
        <v>-18.45358146925803</v>
      </c>
    </row>
    <row r="24" spans="1:48" s="2" customFormat="1" ht="15" customHeight="1">
      <c r="A24" s="19" t="s">
        <v>769</v>
      </c>
      <c r="B24" s="296"/>
      <c r="C24" s="296"/>
      <c r="D24" s="296"/>
      <c r="E24" s="140"/>
      <c r="F24" s="140"/>
      <c r="G24" s="140"/>
      <c r="H24" s="140"/>
      <c r="I24" s="140"/>
      <c r="J24" s="140"/>
      <c r="K24" s="140"/>
      <c r="L24" s="140"/>
    </row>
    <row r="25" spans="1:48" s="2" customFormat="1" ht="25.5" customHeight="1">
      <c r="A25" s="995" t="s">
        <v>129</v>
      </c>
      <c r="B25" s="995"/>
      <c r="C25" s="995"/>
      <c r="D25" s="995"/>
      <c r="E25" s="995"/>
      <c r="F25" s="995"/>
      <c r="G25" s="995"/>
      <c r="H25" s="995"/>
      <c r="I25" s="995"/>
      <c r="J25" s="995"/>
      <c r="K25" s="995"/>
      <c r="L25" s="995"/>
    </row>
  </sheetData>
  <mergeCells count="2">
    <mergeCell ref="A25:L25"/>
    <mergeCell ref="A1:L1"/>
  </mergeCells>
  <conditionalFormatting sqref="A1 A25 I3 A5:A23 A2:E2 A26:E1048576 A4:D4 A3:C3 B5:E24 M24:XFD1048576 M1:XFD3 M4:M23 AL4:XFD23">
    <cfRule type="cellIs" dxfId="1116" priority="39" operator="equal">
      <formula>0</formula>
    </cfRule>
  </conditionalFormatting>
  <conditionalFormatting sqref="E4">
    <cfRule type="cellIs" dxfId="1115" priority="37" operator="equal">
      <formula>0</formula>
    </cfRule>
  </conditionalFormatting>
  <conditionalFormatting sqref="H2 H24 H26:H1048576">
    <cfRule type="cellIs" dxfId="1114" priority="36" operator="equal">
      <formula>0</formula>
    </cfRule>
  </conditionalFormatting>
  <conditionalFormatting sqref="F2 F24 F26:F1048576">
    <cfRule type="cellIs" dxfId="1113" priority="33" operator="equal">
      <formula>0</formula>
    </cfRule>
  </conditionalFormatting>
  <conditionalFormatting sqref="F4:H4">
    <cfRule type="cellIs" dxfId="1112" priority="32" operator="equal">
      <formula>0</formula>
    </cfRule>
  </conditionalFormatting>
  <conditionalFormatting sqref="F5:H23">
    <cfRule type="cellIs" dxfId="1111" priority="31" operator="equal">
      <formula>0</formula>
    </cfRule>
  </conditionalFormatting>
  <conditionalFormatting sqref="G2 G24 G26:G1048576">
    <cfRule type="cellIs" dxfId="1110" priority="27" operator="equal">
      <formula>0</formula>
    </cfRule>
  </conditionalFormatting>
  <conditionalFormatting sqref="I2 I24 I26:I1048576">
    <cfRule type="cellIs" dxfId="1109" priority="24" operator="equal">
      <formula>0</formula>
    </cfRule>
  </conditionalFormatting>
  <conditionalFormatting sqref="I4">
    <cfRule type="cellIs" dxfId="1108" priority="23" operator="equal">
      <formula>0</formula>
    </cfRule>
  </conditionalFormatting>
  <conditionalFormatting sqref="I5:I23">
    <cfRule type="cellIs" dxfId="1107" priority="22" operator="equal">
      <formula>0</formula>
    </cfRule>
  </conditionalFormatting>
  <conditionalFormatting sqref="J3">
    <cfRule type="cellIs" dxfId="1106" priority="21" operator="equal">
      <formula>0</formula>
    </cfRule>
  </conditionalFormatting>
  <conditionalFormatting sqref="J2 J24 J26:J1048576">
    <cfRule type="cellIs" dxfId="1105" priority="20" operator="equal">
      <formula>0</formula>
    </cfRule>
  </conditionalFormatting>
  <conditionalFormatting sqref="J4">
    <cfRule type="cellIs" dxfId="1104" priority="19" operator="equal">
      <formula>0</formula>
    </cfRule>
  </conditionalFormatting>
  <conditionalFormatting sqref="J5:J23">
    <cfRule type="cellIs" dxfId="1103" priority="18" operator="equal">
      <formula>0</formula>
    </cfRule>
  </conditionalFormatting>
  <conditionalFormatting sqref="K3">
    <cfRule type="cellIs" dxfId="1102" priority="15" operator="equal">
      <formula>0</formula>
    </cfRule>
  </conditionalFormatting>
  <conditionalFormatting sqref="K2 K24 K26:K1048576">
    <cfRule type="cellIs" dxfId="1101" priority="14" operator="equal">
      <formula>0</formula>
    </cfRule>
  </conditionalFormatting>
  <conditionalFormatting sqref="K4">
    <cfRule type="cellIs" dxfId="1100" priority="13" operator="equal">
      <formula>0</formula>
    </cfRule>
  </conditionalFormatting>
  <conditionalFormatting sqref="K5:K23">
    <cfRule type="cellIs" dxfId="1099" priority="12" operator="equal">
      <formula>0</formula>
    </cfRule>
  </conditionalFormatting>
  <conditionalFormatting sqref="L3">
    <cfRule type="cellIs" dxfId="1098" priority="5" operator="equal">
      <formula>0</formula>
    </cfRule>
  </conditionalFormatting>
  <conditionalFormatting sqref="L2 L24 L26:L1048576">
    <cfRule type="cellIs" dxfId="1097" priority="4" operator="equal">
      <formula>0</formula>
    </cfRule>
  </conditionalFormatting>
  <conditionalFormatting sqref="L4">
    <cfRule type="cellIs" dxfId="1096" priority="3" operator="equal">
      <formula>0</formula>
    </cfRule>
  </conditionalFormatting>
  <conditionalFormatting sqref="L5:L23">
    <cfRule type="cellIs" dxfId="1095" priority="2" operator="equal">
      <formula>0</formula>
    </cfRule>
  </conditionalFormatting>
  <conditionalFormatting sqref="A24">
    <cfRule type="cellIs" dxfId="1094"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FA27-1AFD-4A93-A38A-AACE63DB8FCA}">
  <sheetPr>
    <tabColor indexed="26"/>
    <pageSetUpPr fitToPage="1"/>
  </sheetPr>
  <dimension ref="A1:GG42"/>
  <sheetViews>
    <sheetView showGridLines="0" workbookViewId="0">
      <selection activeCell="Y70" sqref="Y70"/>
    </sheetView>
  </sheetViews>
  <sheetFormatPr defaultColWidth="9.140625" defaultRowHeight="15.75" customHeight="1"/>
  <cols>
    <col min="1" max="1" width="25.5703125" style="576" customWidth="1"/>
    <col min="2" max="3" width="6.42578125" style="577" customWidth="1"/>
    <col min="4" max="12" width="6.42578125" style="576" customWidth="1"/>
    <col min="13" max="13" width="9.140625" style="576"/>
    <col min="14" max="14" width="5.85546875" style="2" bestFit="1" customWidth="1"/>
    <col min="15" max="37" width="9.140625" style="2"/>
    <col min="38" max="189" width="9.140625" style="576"/>
    <col min="190" max="16384" width="9.140625" style="578"/>
  </cols>
  <sheetData>
    <row r="1" spans="1:37" s="573" customFormat="1" ht="28.5" customHeight="1">
      <c r="A1" s="996" t="s">
        <v>639</v>
      </c>
      <c r="B1" s="996"/>
      <c r="C1" s="996"/>
      <c r="D1" s="996"/>
      <c r="E1" s="996"/>
      <c r="F1" s="996"/>
      <c r="G1" s="996"/>
      <c r="H1" s="996"/>
      <c r="I1" s="996"/>
      <c r="J1" s="996"/>
      <c r="K1" s="996"/>
      <c r="L1" s="996"/>
      <c r="N1" s="1"/>
      <c r="O1" s="1"/>
      <c r="P1" s="1"/>
      <c r="Q1" s="1"/>
      <c r="R1" s="1"/>
      <c r="S1" s="1"/>
      <c r="T1" s="1"/>
      <c r="U1" s="1"/>
      <c r="V1" s="1"/>
      <c r="W1" s="1"/>
      <c r="X1" s="1"/>
      <c r="Y1" s="1"/>
      <c r="Z1" s="1"/>
      <c r="AA1" s="1"/>
      <c r="AB1" s="1"/>
      <c r="AC1" s="1"/>
      <c r="AD1" s="1"/>
      <c r="AE1" s="1"/>
      <c r="AF1" s="1"/>
      <c r="AG1" s="1"/>
      <c r="AH1" s="1"/>
      <c r="AI1" s="1"/>
      <c r="AJ1" s="1"/>
      <c r="AK1" s="1"/>
    </row>
    <row r="2" spans="1:37" s="2" customFormat="1" ht="15" customHeight="1">
      <c r="A2" s="279"/>
      <c r="B2" s="280"/>
      <c r="C2" s="280"/>
      <c r="D2" s="172"/>
      <c r="E2" s="172"/>
      <c r="F2" s="172"/>
      <c r="G2" s="172"/>
      <c r="H2" s="172"/>
      <c r="I2" s="172"/>
      <c r="J2" s="172"/>
      <c r="K2" s="172"/>
      <c r="L2" s="172"/>
    </row>
    <row r="3" spans="1:37" s="2" customFormat="1" ht="15" customHeight="1">
      <c r="A3" s="11" t="s">
        <v>13</v>
      </c>
      <c r="B3" s="574"/>
      <c r="D3" s="575"/>
      <c r="E3" s="575"/>
      <c r="F3" s="575"/>
      <c r="G3" s="575"/>
      <c r="H3" s="575"/>
      <c r="I3" s="575"/>
      <c r="J3" s="575"/>
      <c r="K3" s="575"/>
      <c r="L3" s="575" t="s">
        <v>67</v>
      </c>
    </row>
    <row r="4" spans="1:37" s="2" customFormat="1" ht="28.5" customHeight="1" thickBot="1">
      <c r="A4" s="13"/>
      <c r="B4" s="14">
        <v>2014</v>
      </c>
      <c r="C4" s="14">
        <v>2015</v>
      </c>
      <c r="D4" s="14">
        <v>2016</v>
      </c>
      <c r="E4" s="14">
        <v>2017</v>
      </c>
      <c r="F4" s="14">
        <v>2018</v>
      </c>
      <c r="G4" s="14">
        <v>2019</v>
      </c>
      <c r="H4" s="14">
        <v>2020</v>
      </c>
      <c r="I4" s="14">
        <v>2021</v>
      </c>
      <c r="J4" s="14">
        <v>2022</v>
      </c>
      <c r="K4" s="14">
        <v>2023</v>
      </c>
      <c r="L4" s="14">
        <v>2024</v>
      </c>
      <c r="O4" s="649"/>
      <c r="P4" s="560">
        <f>+B4</f>
        <v>2014</v>
      </c>
      <c r="Q4" s="560">
        <f t="shared" ref="Q4:W4" si="0">+C4</f>
        <v>2015</v>
      </c>
      <c r="R4" s="560">
        <f t="shared" si="0"/>
        <v>2016</v>
      </c>
      <c r="S4" s="560">
        <f t="shared" si="0"/>
        <v>2017</v>
      </c>
      <c r="T4" s="560">
        <f t="shared" si="0"/>
        <v>2018</v>
      </c>
      <c r="U4" s="560">
        <f t="shared" si="0"/>
        <v>2019</v>
      </c>
      <c r="V4" s="560">
        <f t="shared" si="0"/>
        <v>2020</v>
      </c>
      <c r="W4" s="560">
        <f t="shared" si="0"/>
        <v>2021</v>
      </c>
      <c r="X4" s="560">
        <f>+J4</f>
        <v>2022</v>
      </c>
      <c r="Y4" s="560">
        <f t="shared" ref="Y4:Z4" si="1">+K4</f>
        <v>2023</v>
      </c>
      <c r="Z4" s="560">
        <f t="shared" si="1"/>
        <v>2024</v>
      </c>
      <c r="AA4" s="560">
        <f>+B4</f>
        <v>2014</v>
      </c>
      <c r="AB4" s="560">
        <f t="shared" ref="AB4:AJ4" si="2">+C4</f>
        <v>2015</v>
      </c>
      <c r="AC4" s="560">
        <f t="shared" si="2"/>
        <v>2016</v>
      </c>
      <c r="AD4" s="560">
        <f t="shared" si="2"/>
        <v>2017</v>
      </c>
      <c r="AE4" s="560">
        <f t="shared" si="2"/>
        <v>2018</v>
      </c>
      <c r="AF4" s="560">
        <f t="shared" si="2"/>
        <v>2019</v>
      </c>
      <c r="AG4" s="560">
        <f t="shared" si="2"/>
        <v>2020</v>
      </c>
      <c r="AH4" s="560">
        <f t="shared" si="2"/>
        <v>2021</v>
      </c>
      <c r="AI4" s="560">
        <f t="shared" si="2"/>
        <v>2022</v>
      </c>
      <c r="AJ4" s="560">
        <f t="shared" si="2"/>
        <v>2023</v>
      </c>
      <c r="AK4" s="560">
        <f>+L4</f>
        <v>2024</v>
      </c>
    </row>
    <row r="5" spans="1:37" s="2" customFormat="1" ht="20.25" customHeight="1" thickTop="1">
      <c r="A5" s="113" t="s">
        <v>11</v>
      </c>
      <c r="B5" s="712">
        <v>909.49</v>
      </c>
      <c r="C5" s="712">
        <v>913.93</v>
      </c>
      <c r="D5" s="712">
        <v>924.94</v>
      </c>
      <c r="E5" s="712">
        <v>943</v>
      </c>
      <c r="F5" s="712">
        <v>970.42</v>
      </c>
      <c r="G5" s="712">
        <v>1005.09</v>
      </c>
      <c r="H5" s="712">
        <v>1041.99</v>
      </c>
      <c r="I5" s="712">
        <v>1082.77</v>
      </c>
      <c r="J5" s="712">
        <v>1143.45</v>
      </c>
      <c r="K5" s="712">
        <v>1219.8699999999999</v>
      </c>
      <c r="L5" s="712">
        <v>1308.96</v>
      </c>
    </row>
    <row r="6" spans="1:37" s="2" customFormat="1" ht="20.25" customHeight="1">
      <c r="A6" s="15" t="s">
        <v>496</v>
      </c>
      <c r="B6" s="296">
        <v>812.01</v>
      </c>
      <c r="C6" s="296">
        <v>820.07</v>
      </c>
      <c r="D6" s="296">
        <v>834.01</v>
      </c>
      <c r="E6" s="296">
        <v>854.76</v>
      </c>
      <c r="F6" s="296">
        <v>887.44</v>
      </c>
      <c r="G6" s="296">
        <v>924.5</v>
      </c>
      <c r="H6" s="296">
        <v>965.76</v>
      </c>
      <c r="I6" s="296">
        <v>1006.75</v>
      </c>
      <c r="J6" s="296">
        <v>1063.21</v>
      </c>
      <c r="K6" s="296">
        <v>1137.22</v>
      </c>
      <c r="L6" s="296">
        <v>1233.0899999999999</v>
      </c>
      <c r="N6" s="559">
        <f>+(L6/B6-1)*100</f>
        <v>51.856504230243459</v>
      </c>
      <c r="O6" s="419">
        <f t="shared" ref="O6:O33" si="3">+L6-B6</f>
        <v>421.07999999999993</v>
      </c>
      <c r="P6" s="559">
        <f>B6*100/B$5</f>
        <v>89.281905243598061</v>
      </c>
      <c r="Q6" s="559">
        <f t="shared" ref="Q6:Z21" si="4">C6*100/C$5</f>
        <v>89.730066854135444</v>
      </c>
      <c r="R6" s="559">
        <f t="shared" si="4"/>
        <v>90.169092049214001</v>
      </c>
      <c r="S6" s="559">
        <f t="shared" si="4"/>
        <v>90.642629904559911</v>
      </c>
      <c r="T6" s="559">
        <f t="shared" si="4"/>
        <v>91.449063292182771</v>
      </c>
      <c r="U6" s="559">
        <f t="shared" si="4"/>
        <v>91.98181257399834</v>
      </c>
      <c r="V6" s="559">
        <f t="shared" si="4"/>
        <v>92.684190827167242</v>
      </c>
      <c r="W6" s="559">
        <f t="shared" si="4"/>
        <v>92.979118372322844</v>
      </c>
      <c r="X6" s="559">
        <f t="shared" si="4"/>
        <v>92.982640255367528</v>
      </c>
      <c r="Y6" s="559">
        <f t="shared" si="4"/>
        <v>93.224687876577022</v>
      </c>
      <c r="Z6" s="559">
        <f t="shared" si="4"/>
        <v>94.203795379537937</v>
      </c>
      <c r="AA6" s="2">
        <f>+IFERROR(RANK(B6,(B$6,B$15,B$22,B$26,B$27,B$28,B$33),0),"")</f>
        <v>3</v>
      </c>
      <c r="AB6" s="2">
        <f>+IFERROR(RANK(C6,(C$6,C$15,C$22,C$26,C$27,C$28,C$33),0),"")</f>
        <v>3</v>
      </c>
      <c r="AC6" s="2">
        <f>+IFERROR(RANK(D6,(D$6,D$15,D$22,D$26,D$27,D$28,D$33),0),"")</f>
        <v>3</v>
      </c>
      <c r="AD6" s="2">
        <f>+IFERROR(RANK(E6,(E$6,E$15,E$22,E$26,E$27,E$28,E$33),0),"")</f>
        <v>3</v>
      </c>
      <c r="AE6" s="2">
        <f>+IFERROR(RANK(F6,(F$6,F$15,F$22,F$26,F$27,F$28,F$33),0),"")</f>
        <v>3</v>
      </c>
      <c r="AF6" s="2">
        <f>+IFERROR(RANK(G6,(G$6,G$15,G$22,G$26,G$27,G$28,G$33),0),"")</f>
        <v>3</v>
      </c>
      <c r="AG6" s="2">
        <f>+IFERROR(RANK(H6,(H$6,H$15,H$22,H$26,H$27,H$28,H$33),0),"")</f>
        <v>3</v>
      </c>
      <c r="AH6" s="2">
        <f>+IFERROR(RANK(I6,(I$6,I$15,I$22,I$26,I$27,I$28,I$33),0),"")</f>
        <v>3</v>
      </c>
      <c r="AI6" s="2">
        <f>+IFERROR(RANK(J6,(J$6,J$15,J$22,J$26,J$27,J$28,J$33),0),"")</f>
        <v>3</v>
      </c>
      <c r="AJ6" s="2">
        <f>+IFERROR(RANK(K6,(K$6,K$15,K$22,K$26,K$27,K$28,K$33),0),"")</f>
        <v>3</v>
      </c>
      <c r="AK6" s="2">
        <f>+IFERROR(RANK(L6,(L$6,L$15,L$22,L$26,L$27,L$28,L$33),0),"")</f>
        <v>3</v>
      </c>
    </row>
    <row r="7" spans="1:37" s="2" customFormat="1" ht="15" customHeight="1">
      <c r="A7" s="572" t="s">
        <v>497</v>
      </c>
      <c r="B7" s="713">
        <v>729.89</v>
      </c>
      <c r="C7" s="713">
        <v>741.65</v>
      </c>
      <c r="D7" s="713">
        <v>746.72</v>
      </c>
      <c r="E7" s="713">
        <v>782.27</v>
      </c>
      <c r="F7" s="713">
        <v>802.92</v>
      </c>
      <c r="G7" s="713">
        <v>834.97</v>
      </c>
      <c r="H7" s="713">
        <v>865.76</v>
      </c>
      <c r="I7" s="713">
        <v>907.38</v>
      </c>
      <c r="J7" s="713">
        <v>955.67</v>
      </c>
      <c r="K7" s="713">
        <v>1022.16</v>
      </c>
      <c r="L7" s="713">
        <v>1098.82</v>
      </c>
      <c r="N7" s="559">
        <f t="shared" ref="N7:N33" si="5">+(L7/B7-1)*100</f>
        <v>50.545972680814913</v>
      </c>
      <c r="O7" s="419">
        <f t="shared" si="3"/>
        <v>368.92999999999995</v>
      </c>
      <c r="P7" s="559">
        <f t="shared" ref="P7:Z23" si="6">B7*100/B$5</f>
        <v>80.252669078274636</v>
      </c>
      <c r="Q7" s="559">
        <f t="shared" si="4"/>
        <v>81.149540993292703</v>
      </c>
      <c r="R7" s="559">
        <f t="shared" si="4"/>
        <v>80.731723138798188</v>
      </c>
      <c r="S7" s="559">
        <f t="shared" si="4"/>
        <v>82.955461293743369</v>
      </c>
      <c r="T7" s="559">
        <f t="shared" si="4"/>
        <v>82.739432410708773</v>
      </c>
      <c r="U7" s="559">
        <f t="shared" si="4"/>
        <v>83.074152563452031</v>
      </c>
      <c r="V7" s="559">
        <f t="shared" si="4"/>
        <v>83.087169742511918</v>
      </c>
      <c r="W7" s="559">
        <f t="shared" si="4"/>
        <v>83.801730746141843</v>
      </c>
      <c r="X7" s="559">
        <f t="shared" si="4"/>
        <v>83.577769032314478</v>
      </c>
      <c r="Y7" s="559">
        <f t="shared" si="4"/>
        <v>83.792535270151745</v>
      </c>
      <c r="Z7" s="559">
        <f t="shared" si="4"/>
        <v>83.946033492238115</v>
      </c>
      <c r="AA7" s="2" t="str">
        <f>+IFERROR(RANK(B7,(B$6,B$15,B$22,B$26,B$27,B$28,B$33),0),"")</f>
        <v/>
      </c>
      <c r="AB7" s="2" t="str">
        <f>+IFERROR(RANK(C7,(C$6,C$15,C$22,C$26,C$27,C$28,C$33),0),"")</f>
        <v/>
      </c>
      <c r="AC7" s="2" t="str">
        <f>+IFERROR(RANK(D7,(D$6,D$15,D$22,D$26,D$27,D$28,D$33),0),"")</f>
        <v/>
      </c>
      <c r="AD7" s="2" t="str">
        <f>+IFERROR(RANK(E7,(E$6,E$15,E$22,E$26,E$27,E$28,E$33),0),"")</f>
        <v/>
      </c>
      <c r="AE7" s="2" t="str">
        <f>+IFERROR(RANK(F7,(F$6,F$15,F$22,F$26,F$27,F$28,F$33),0),"")</f>
        <v/>
      </c>
      <c r="AF7" s="2" t="str">
        <f>+IFERROR(RANK(G7,(G$6,G$15,G$22,G$26,G$27,G$28,G$33),0),"")</f>
        <v/>
      </c>
      <c r="AG7" s="2" t="str">
        <f>+IFERROR(RANK(H7,(H$6,H$15,H$22,H$26,H$27,H$28,H$33),0),"")</f>
        <v/>
      </c>
      <c r="AH7" s="2" t="str">
        <f>+IFERROR(RANK(I7,(I$6,I$15,I$22,I$26,I$27,I$28,I$33),0),"")</f>
        <v/>
      </c>
      <c r="AI7" s="2" t="str">
        <f>+IFERROR(RANK(J7,(J$6,J$15,J$22,J$26,J$27,J$28,J$33),0),"")</f>
        <v/>
      </c>
      <c r="AJ7" s="2" t="str">
        <f>+IFERROR(RANK(K7,(K$6,K$15,K$22,K$26,K$27,K$28,K$33),0),"")</f>
        <v/>
      </c>
      <c r="AK7" s="2" t="str">
        <f>+IFERROR(RANK(L7,(L$6,L$15,L$22,L$26,L$27,L$28,L$33),0),"")</f>
        <v/>
      </c>
    </row>
    <row r="8" spans="1:37" s="2" customFormat="1" ht="15" customHeight="1">
      <c r="A8" s="572" t="s">
        <v>498</v>
      </c>
      <c r="B8" s="713">
        <v>759.84</v>
      </c>
      <c r="C8" s="713">
        <v>761.41</v>
      </c>
      <c r="D8" s="713">
        <v>779.14</v>
      </c>
      <c r="E8" s="713">
        <v>804.2</v>
      </c>
      <c r="F8" s="713">
        <v>837.41</v>
      </c>
      <c r="G8" s="713">
        <v>882.73</v>
      </c>
      <c r="H8" s="713">
        <v>926.11</v>
      </c>
      <c r="I8" s="713">
        <v>973.97</v>
      </c>
      <c r="J8" s="713">
        <v>1014.07</v>
      </c>
      <c r="K8" s="713">
        <v>1092.31</v>
      </c>
      <c r="L8" s="713">
        <v>1183.58</v>
      </c>
      <c r="N8" s="559">
        <f t="shared" si="5"/>
        <v>55.767003579700969</v>
      </c>
      <c r="O8" s="419">
        <f t="shared" si="3"/>
        <v>423.7399999999999</v>
      </c>
      <c r="P8" s="559">
        <f t="shared" si="6"/>
        <v>83.545723427415368</v>
      </c>
      <c r="Q8" s="559">
        <f t="shared" si="4"/>
        <v>83.311632181895774</v>
      </c>
      <c r="R8" s="559">
        <f t="shared" si="4"/>
        <v>84.236815360996388</v>
      </c>
      <c r="S8" s="559">
        <f t="shared" si="4"/>
        <v>85.281018027571577</v>
      </c>
      <c r="T8" s="559">
        <f t="shared" si="4"/>
        <v>86.293563611632081</v>
      </c>
      <c r="U8" s="559">
        <f t="shared" si="4"/>
        <v>87.825965833905414</v>
      </c>
      <c r="V8" s="559">
        <f t="shared" si="4"/>
        <v>88.878971967101407</v>
      </c>
      <c r="W8" s="559">
        <f t="shared" si="4"/>
        <v>89.951697959862202</v>
      </c>
      <c r="X8" s="559">
        <f t="shared" si="4"/>
        <v>88.685119594210505</v>
      </c>
      <c r="Y8" s="559">
        <f t="shared" si="4"/>
        <v>89.543148040364969</v>
      </c>
      <c r="Z8" s="559">
        <f t="shared" si="4"/>
        <v>90.421403251436246</v>
      </c>
      <c r="AA8" s="2" t="str">
        <f>+IFERROR(RANK(B8,(B$6,B$15,B$22,B$26,B$27,B$28,B$33),0),"")</f>
        <v/>
      </c>
      <c r="AB8" s="2" t="str">
        <f>+IFERROR(RANK(C8,(C$6,C$15,C$22,C$26,C$27,C$28,C$33),0),"")</f>
        <v/>
      </c>
      <c r="AC8" s="2" t="str">
        <f>+IFERROR(RANK(D8,(D$6,D$15,D$22,D$26,D$27,D$28,D$33),0),"")</f>
        <v/>
      </c>
      <c r="AD8" s="2" t="str">
        <f>+IFERROR(RANK(E8,(E$6,E$15,E$22,E$26,E$27,E$28,E$33),0),"")</f>
        <v/>
      </c>
      <c r="AE8" s="2" t="str">
        <f>+IFERROR(RANK(F8,(F$6,F$15,F$22,F$26,F$27,F$28,F$33),0),"")</f>
        <v/>
      </c>
      <c r="AF8" s="2" t="str">
        <f>+IFERROR(RANK(G8,(G$6,G$15,G$22,G$26,G$27,G$28,G$33),0),"")</f>
        <v/>
      </c>
      <c r="AG8" s="2" t="str">
        <f>+IFERROR(RANK(H8,(H$6,H$15,H$22,H$26,H$27,H$28,H$33),0),"")</f>
        <v/>
      </c>
      <c r="AH8" s="2" t="str">
        <f>+IFERROR(RANK(I8,(I$6,I$15,I$22,I$26,I$27,I$28,I$33),0),"")</f>
        <v/>
      </c>
      <c r="AI8" s="2" t="str">
        <f>+IFERROR(RANK(J8,(J$6,J$15,J$22,J$26,J$27,J$28,J$33),0),"")</f>
        <v/>
      </c>
      <c r="AJ8" s="2" t="str">
        <f>+IFERROR(RANK(K8,(K$6,K$15,K$22,K$26,K$27,K$28,K$33),0),"")</f>
        <v/>
      </c>
      <c r="AK8" s="2" t="str">
        <f>+IFERROR(RANK(L8,(L$6,L$15,L$22,L$26,L$27,L$28,L$33),0),"")</f>
        <v/>
      </c>
    </row>
    <row r="9" spans="1:37" s="2" customFormat="1" ht="15" customHeight="1">
      <c r="A9" s="572" t="s">
        <v>499</v>
      </c>
      <c r="B9" s="713">
        <v>721.62</v>
      </c>
      <c r="C9" s="713">
        <v>730.34</v>
      </c>
      <c r="D9" s="713">
        <v>747.36</v>
      </c>
      <c r="E9" s="713">
        <v>775.08</v>
      </c>
      <c r="F9" s="713">
        <v>802.78</v>
      </c>
      <c r="G9" s="713">
        <v>830.45</v>
      </c>
      <c r="H9" s="713">
        <v>871.56</v>
      </c>
      <c r="I9" s="713">
        <v>916.46</v>
      </c>
      <c r="J9" s="713">
        <v>964.07</v>
      </c>
      <c r="K9" s="713">
        <v>1028.49</v>
      </c>
      <c r="L9" s="713">
        <v>1109.23</v>
      </c>
      <c r="N9" s="559">
        <f t="shared" si="5"/>
        <v>53.713866023668963</v>
      </c>
      <c r="O9" s="419">
        <f t="shared" si="3"/>
        <v>387.61</v>
      </c>
      <c r="P9" s="559">
        <f t="shared" si="6"/>
        <v>79.343368261333268</v>
      </c>
      <c r="Q9" s="559">
        <f t="shared" si="4"/>
        <v>79.912028273500169</v>
      </c>
      <c r="R9" s="559">
        <f t="shared" si="4"/>
        <v>80.800916816225907</v>
      </c>
      <c r="S9" s="559">
        <f t="shared" si="4"/>
        <v>82.193001060445383</v>
      </c>
      <c r="T9" s="559">
        <f t="shared" si="4"/>
        <v>82.725005667649057</v>
      </c>
      <c r="U9" s="559">
        <f t="shared" si="4"/>
        <v>82.624441592295213</v>
      </c>
      <c r="V9" s="559">
        <f t="shared" si="4"/>
        <v>83.643796965421927</v>
      </c>
      <c r="W9" s="559">
        <f t="shared" si="4"/>
        <v>84.640320659050403</v>
      </c>
      <c r="X9" s="559">
        <f t="shared" si="4"/>
        <v>84.312387948751578</v>
      </c>
      <c r="Y9" s="559">
        <f t="shared" si="4"/>
        <v>84.311443022617169</v>
      </c>
      <c r="Z9" s="559">
        <f t="shared" si="4"/>
        <v>84.741321354357652</v>
      </c>
      <c r="AA9" s="2" t="str">
        <f>+IFERROR(RANK(B9,(B$6,B$15,B$22,B$26,B$27,B$28,B$33),0),"")</f>
        <v/>
      </c>
      <c r="AB9" s="2" t="str">
        <f>+IFERROR(RANK(C9,(C$6,C$15,C$22,C$26,C$27,C$28,C$33),0),"")</f>
        <v/>
      </c>
      <c r="AC9" s="2" t="str">
        <f>+IFERROR(RANK(D9,(D$6,D$15,D$22,D$26,D$27,D$28,D$33),0),"")</f>
        <v/>
      </c>
      <c r="AD9" s="2" t="str">
        <f>+IFERROR(RANK(E9,(E$6,E$15,E$22,E$26,E$27,E$28,E$33),0),"")</f>
        <v/>
      </c>
      <c r="AE9" s="2" t="str">
        <f>+IFERROR(RANK(F9,(F$6,F$15,F$22,F$26,F$27,F$28,F$33),0),"")</f>
        <v/>
      </c>
      <c r="AF9" s="2" t="str">
        <f>+IFERROR(RANK(G9,(G$6,G$15,G$22,G$26,G$27,G$28,G$33),0),"")</f>
        <v/>
      </c>
      <c r="AG9" s="2" t="str">
        <f>+IFERROR(RANK(H9,(H$6,H$15,H$22,H$26,H$27,H$28,H$33),0),"")</f>
        <v/>
      </c>
      <c r="AH9" s="2" t="str">
        <f>+IFERROR(RANK(I9,(I$6,I$15,I$22,I$26,I$27,I$28,I$33),0),"")</f>
        <v/>
      </c>
      <c r="AI9" s="2" t="str">
        <f>+IFERROR(RANK(J9,(J$6,J$15,J$22,J$26,J$27,J$28,J$33),0),"")</f>
        <v/>
      </c>
      <c r="AJ9" s="2" t="str">
        <f>+IFERROR(RANK(K9,(K$6,K$15,K$22,K$26,K$27,K$28,K$33),0),"")</f>
        <v/>
      </c>
      <c r="AK9" s="2" t="str">
        <f>+IFERROR(RANK(L9,(L$6,L$15,L$22,L$26,L$27,L$28,L$33),0),"")</f>
        <v/>
      </c>
    </row>
    <row r="10" spans="1:37" s="2" customFormat="1" ht="15" customHeight="1">
      <c r="A10" s="572" t="s">
        <v>500</v>
      </c>
      <c r="B10" s="713">
        <v>899.59</v>
      </c>
      <c r="C10" s="713">
        <v>909.44</v>
      </c>
      <c r="D10" s="713">
        <v>922.09</v>
      </c>
      <c r="E10" s="713">
        <v>937.69</v>
      </c>
      <c r="F10" s="713">
        <v>975.29</v>
      </c>
      <c r="G10" s="713">
        <v>1012.56</v>
      </c>
      <c r="H10" s="713">
        <v>1057.6600000000001</v>
      </c>
      <c r="I10" s="713">
        <v>1099.93</v>
      </c>
      <c r="J10" s="713">
        <v>1165.44</v>
      </c>
      <c r="K10" s="713">
        <v>1242.23</v>
      </c>
      <c r="L10" s="713">
        <v>1351.51</v>
      </c>
      <c r="N10" s="559">
        <f t="shared" si="5"/>
        <v>50.236218721862173</v>
      </c>
      <c r="O10" s="419">
        <f t="shared" si="3"/>
        <v>451.91999999999996</v>
      </c>
      <c r="P10" s="559">
        <f t="shared" si="6"/>
        <v>98.911477861218927</v>
      </c>
      <c r="Q10" s="559">
        <f t="shared" si="4"/>
        <v>99.508715109472291</v>
      </c>
      <c r="R10" s="559">
        <f t="shared" si="4"/>
        <v>99.69187190520465</v>
      </c>
      <c r="S10" s="559">
        <f t="shared" si="4"/>
        <v>99.436903499469778</v>
      </c>
      <c r="T10" s="559">
        <f t="shared" si="4"/>
        <v>100.50184456214835</v>
      </c>
      <c r="U10" s="559">
        <f t="shared" si="4"/>
        <v>100.74321702534101</v>
      </c>
      <c r="V10" s="559">
        <f t="shared" si="4"/>
        <v>101.50385320396551</v>
      </c>
      <c r="W10" s="559">
        <f t="shared" si="4"/>
        <v>101.58482410853644</v>
      </c>
      <c r="X10" s="559">
        <f t="shared" si="4"/>
        <v>101.92312737767283</v>
      </c>
      <c r="Y10" s="559">
        <f t="shared" si="4"/>
        <v>101.83298220302164</v>
      </c>
      <c r="Z10" s="559">
        <f t="shared" si="4"/>
        <v>103.25067228945116</v>
      </c>
      <c r="AA10" s="2" t="str">
        <f>+IFERROR(RANK(B10,(B$6,B$15,B$22,B$26,B$27,B$28,B$33),0),"")</f>
        <v/>
      </c>
      <c r="AB10" s="2" t="str">
        <f>+IFERROR(RANK(C10,(C$6,C$15,C$22,C$26,C$27,C$28,C$33),0),"")</f>
        <v/>
      </c>
      <c r="AC10" s="2" t="str">
        <f>+IFERROR(RANK(D10,(D$6,D$15,D$22,D$26,D$27,D$28,D$33),0),"")</f>
        <v/>
      </c>
      <c r="AD10" s="2" t="str">
        <f>+IFERROR(RANK(E10,(E$6,E$15,E$22,E$26,E$27,E$28,E$33),0),"")</f>
        <v/>
      </c>
      <c r="AE10" s="2" t="str">
        <f>+IFERROR(RANK(F10,(F$6,F$15,F$22,F$26,F$27,F$28,F$33),0),"")</f>
        <v/>
      </c>
      <c r="AF10" s="2" t="str">
        <f>+IFERROR(RANK(G10,(G$6,G$15,G$22,G$26,G$27,G$28,G$33),0),"")</f>
        <v/>
      </c>
      <c r="AG10" s="2" t="str">
        <f>+IFERROR(RANK(H10,(H$6,H$15,H$22,H$26,H$27,H$28,H$33),0),"")</f>
        <v/>
      </c>
      <c r="AH10" s="2" t="str">
        <f>+IFERROR(RANK(I10,(I$6,I$15,I$22,I$26,I$27,I$28,I$33),0),"")</f>
        <v/>
      </c>
      <c r="AI10" s="2" t="str">
        <f>+IFERROR(RANK(J10,(J$6,J$15,J$22,J$26,J$27,J$28,J$33),0),"")</f>
        <v/>
      </c>
      <c r="AJ10" s="2" t="str">
        <f>+IFERROR(RANK(K10,(K$6,K$15,K$22,K$26,K$27,K$28,K$33),0),"")</f>
        <v/>
      </c>
      <c r="AK10" s="2" t="str">
        <f>+IFERROR(RANK(L10,(L$6,L$15,L$22,L$26,L$27,L$28,L$33),0),"")</f>
        <v/>
      </c>
    </row>
    <row r="11" spans="1:37" s="2" customFormat="1" ht="15" customHeight="1">
      <c r="A11" s="572" t="s">
        <v>501</v>
      </c>
      <c r="B11" s="713">
        <v>689.68</v>
      </c>
      <c r="C11" s="713">
        <v>689.75</v>
      </c>
      <c r="D11" s="713">
        <v>723.25</v>
      </c>
      <c r="E11" s="713">
        <v>757.29</v>
      </c>
      <c r="F11" s="713">
        <v>779.47</v>
      </c>
      <c r="G11" s="713">
        <v>802.55</v>
      </c>
      <c r="H11" s="713">
        <v>831.23</v>
      </c>
      <c r="I11" s="713">
        <v>852.76</v>
      </c>
      <c r="J11" s="713">
        <v>892.27</v>
      </c>
      <c r="K11" s="713">
        <v>964</v>
      </c>
      <c r="L11" s="713">
        <v>1024.3399999999999</v>
      </c>
      <c r="N11" s="559">
        <f t="shared" si="5"/>
        <v>48.523953137687045</v>
      </c>
      <c r="O11" s="419">
        <f t="shared" si="3"/>
        <v>334.65999999999997</v>
      </c>
      <c r="P11" s="559">
        <f t="shared" si="6"/>
        <v>75.831509967124433</v>
      </c>
      <c r="Q11" s="559">
        <f t="shared" si="4"/>
        <v>75.470769096101449</v>
      </c>
      <c r="R11" s="559">
        <f t="shared" si="4"/>
        <v>78.194261249378329</v>
      </c>
      <c r="S11" s="559">
        <f t="shared" si="4"/>
        <v>80.306468716861076</v>
      </c>
      <c r="T11" s="559">
        <f t="shared" si="4"/>
        <v>80.322952948207998</v>
      </c>
      <c r="U11" s="559">
        <f t="shared" si="4"/>
        <v>79.848570774756482</v>
      </c>
      <c r="V11" s="559">
        <f t="shared" si="4"/>
        <v>79.773318361980444</v>
      </c>
      <c r="W11" s="559">
        <f t="shared" si="4"/>
        <v>78.757261468271196</v>
      </c>
      <c r="X11" s="559">
        <f t="shared" si="4"/>
        <v>78.03314530587258</v>
      </c>
      <c r="Y11" s="559">
        <f t="shared" si="4"/>
        <v>79.024814119537339</v>
      </c>
      <c r="Z11" s="559">
        <f t="shared" si="4"/>
        <v>78.25602004644908</v>
      </c>
      <c r="AA11" s="2" t="str">
        <f>+IFERROR(RANK(B11,(B$6,B$15,B$22,B$26,B$27,B$28,B$33),0),"")</f>
        <v/>
      </c>
      <c r="AB11" s="2" t="str">
        <f>+IFERROR(RANK(C11,(C$6,C$15,C$22,C$26,C$27,C$28,C$33),0),"")</f>
        <v/>
      </c>
      <c r="AC11" s="2" t="str">
        <f>+IFERROR(RANK(D11,(D$6,D$15,D$22,D$26,D$27,D$28,D$33),0),"")</f>
        <v/>
      </c>
      <c r="AD11" s="2" t="str">
        <f>+IFERROR(RANK(E11,(E$6,E$15,E$22,E$26,E$27,E$28,E$33),0),"")</f>
        <v/>
      </c>
      <c r="AE11" s="2" t="str">
        <f>+IFERROR(RANK(F11,(F$6,F$15,F$22,F$26,F$27,F$28,F$33),0),"")</f>
        <v/>
      </c>
      <c r="AF11" s="2" t="str">
        <f>+IFERROR(RANK(G11,(G$6,G$15,G$22,G$26,G$27,G$28,G$33),0),"")</f>
        <v/>
      </c>
      <c r="AG11" s="2" t="str">
        <f>+IFERROR(RANK(H11,(H$6,H$15,H$22,H$26,H$27,H$28,H$33),0),"")</f>
        <v/>
      </c>
      <c r="AH11" s="2" t="str">
        <f>+IFERROR(RANK(I11,(I$6,I$15,I$22,I$26,I$27,I$28,I$33),0),"")</f>
        <v/>
      </c>
      <c r="AI11" s="2" t="str">
        <f>+IFERROR(RANK(J11,(J$6,J$15,J$22,J$26,J$27,J$28,J$33),0),"")</f>
        <v/>
      </c>
      <c r="AJ11" s="2" t="str">
        <f>+IFERROR(RANK(K11,(K$6,K$15,K$22,K$26,K$27,K$28,K$33),0),"")</f>
        <v/>
      </c>
      <c r="AK11" s="2" t="str">
        <f>+IFERROR(RANK(L11,(L$6,L$15,L$22,L$26,L$27,L$28,L$33),0),"")</f>
        <v/>
      </c>
    </row>
    <row r="12" spans="1:37" s="2" customFormat="1" ht="15" customHeight="1">
      <c r="A12" s="572" t="s">
        <v>502</v>
      </c>
      <c r="B12" s="713">
        <v>661.46</v>
      </c>
      <c r="C12" s="713">
        <v>668.83</v>
      </c>
      <c r="D12" s="713">
        <v>685.64</v>
      </c>
      <c r="E12" s="713">
        <v>704.33</v>
      </c>
      <c r="F12" s="713">
        <v>733.18</v>
      </c>
      <c r="G12" s="713">
        <v>764.65</v>
      </c>
      <c r="H12" s="713">
        <v>802.58</v>
      </c>
      <c r="I12" s="713">
        <v>845.09</v>
      </c>
      <c r="J12" s="713">
        <v>885.57</v>
      </c>
      <c r="K12" s="713">
        <v>949.32</v>
      </c>
      <c r="L12" s="713">
        <v>1026.48</v>
      </c>
      <c r="N12" s="559">
        <f t="shared" si="5"/>
        <v>55.183986937985651</v>
      </c>
      <c r="O12" s="419">
        <f t="shared" si="3"/>
        <v>365.02</v>
      </c>
      <c r="P12" s="559">
        <f t="shared" si="6"/>
        <v>72.728672112942419</v>
      </c>
      <c r="Q12" s="559">
        <f t="shared" si="4"/>
        <v>73.181753525981208</v>
      </c>
      <c r="R12" s="559">
        <f t="shared" si="4"/>
        <v>74.12805154928968</v>
      </c>
      <c r="S12" s="559">
        <f t="shared" si="4"/>
        <v>74.690349946977733</v>
      </c>
      <c r="T12" s="559">
        <f t="shared" si="4"/>
        <v>75.552853403680885</v>
      </c>
      <c r="U12" s="559">
        <f t="shared" si="4"/>
        <v>76.077764180322163</v>
      </c>
      <c r="V12" s="559">
        <f t="shared" si="4"/>
        <v>77.023771821226688</v>
      </c>
      <c r="W12" s="559">
        <f t="shared" si="4"/>
        <v>78.048893116728394</v>
      </c>
      <c r="X12" s="559">
        <f t="shared" si="4"/>
        <v>77.447199265381087</v>
      </c>
      <c r="Y12" s="559">
        <f t="shared" si="4"/>
        <v>77.821407199127776</v>
      </c>
      <c r="Z12" s="559">
        <f t="shared" si="4"/>
        <v>78.419508617528422</v>
      </c>
      <c r="AA12" s="2" t="str">
        <f>+IFERROR(RANK(B12,(B$6,B$15,B$22,B$26,B$27,B$28,B$33),0),"")</f>
        <v/>
      </c>
      <c r="AB12" s="2" t="str">
        <f>+IFERROR(RANK(C12,(C$6,C$15,C$22,C$26,C$27,C$28,C$33),0),"")</f>
        <v/>
      </c>
      <c r="AC12" s="2" t="str">
        <f>+IFERROR(RANK(D12,(D$6,D$15,D$22,D$26,D$27,D$28,D$33),0),"")</f>
        <v/>
      </c>
      <c r="AD12" s="2" t="str">
        <f>+IFERROR(RANK(E12,(E$6,E$15,E$22,E$26,E$27,E$28,E$33),0),"")</f>
        <v/>
      </c>
      <c r="AE12" s="2" t="str">
        <f>+IFERROR(RANK(F12,(F$6,F$15,F$22,F$26,F$27,F$28,F$33),0),"")</f>
        <v/>
      </c>
      <c r="AF12" s="2" t="str">
        <f>+IFERROR(RANK(G12,(G$6,G$15,G$22,G$26,G$27,G$28,G$33),0),"")</f>
        <v/>
      </c>
      <c r="AG12" s="2" t="str">
        <f>+IFERROR(RANK(H12,(H$6,H$15,H$22,H$26,H$27,H$28,H$33),0),"")</f>
        <v/>
      </c>
      <c r="AH12" s="2" t="str">
        <f>+IFERROR(RANK(I12,(I$6,I$15,I$22,I$26,I$27,I$28,I$33),0),"")</f>
        <v/>
      </c>
      <c r="AI12" s="2" t="str">
        <f>+IFERROR(RANK(J12,(J$6,J$15,J$22,J$26,J$27,J$28,J$33),0),"")</f>
        <v/>
      </c>
      <c r="AJ12" s="2" t="str">
        <f>+IFERROR(RANK(K12,(K$6,K$15,K$22,K$26,K$27,K$28,K$33),0),"")</f>
        <v/>
      </c>
      <c r="AK12" s="2" t="str">
        <f>+IFERROR(RANK(L12,(L$6,L$15,L$22,L$26,L$27,L$28,L$33),0),"")</f>
        <v/>
      </c>
    </row>
    <row r="13" spans="1:37" s="2" customFormat="1" ht="15" customHeight="1">
      <c r="A13" s="572" t="s">
        <v>503</v>
      </c>
      <c r="B13" s="713">
        <v>745.33</v>
      </c>
      <c r="C13" s="713">
        <v>747.62</v>
      </c>
      <c r="D13" s="713">
        <v>750.66</v>
      </c>
      <c r="E13" s="713">
        <v>766.74</v>
      </c>
      <c r="F13" s="713">
        <v>789.36</v>
      </c>
      <c r="G13" s="713">
        <v>816.21</v>
      </c>
      <c r="H13" s="713">
        <v>838.94</v>
      </c>
      <c r="I13" s="713">
        <v>872.95</v>
      </c>
      <c r="J13" s="713">
        <v>922.59</v>
      </c>
      <c r="K13" s="713">
        <v>988.16</v>
      </c>
      <c r="L13" s="713">
        <v>1059.6099999999999</v>
      </c>
      <c r="N13" s="559">
        <f t="shared" si="5"/>
        <v>42.166557095514712</v>
      </c>
      <c r="O13" s="419">
        <f t="shared" si="3"/>
        <v>314.27999999999986</v>
      </c>
      <c r="P13" s="559">
        <f t="shared" si="6"/>
        <v>81.950323807848349</v>
      </c>
      <c r="Q13" s="559">
        <f t="shared" si="4"/>
        <v>81.802763887825108</v>
      </c>
      <c r="R13" s="559">
        <f t="shared" si="4"/>
        <v>81.15769671546262</v>
      </c>
      <c r="S13" s="559">
        <f t="shared" si="4"/>
        <v>81.308589607635213</v>
      </c>
      <c r="T13" s="559">
        <f t="shared" si="4"/>
        <v>81.342099297211519</v>
      </c>
      <c r="U13" s="559">
        <f t="shared" si="4"/>
        <v>81.207653045995883</v>
      </c>
      <c r="V13" s="559">
        <f t="shared" si="4"/>
        <v>80.513248687607373</v>
      </c>
      <c r="W13" s="559">
        <f t="shared" si="4"/>
        <v>80.621923400168086</v>
      </c>
      <c r="X13" s="559">
        <f t="shared" si="4"/>
        <v>80.684769775678859</v>
      </c>
      <c r="Y13" s="559">
        <f t="shared" si="4"/>
        <v>81.005353029421173</v>
      </c>
      <c r="Z13" s="559">
        <f t="shared" si="4"/>
        <v>80.950525608116351</v>
      </c>
      <c r="AA13" s="2" t="str">
        <f>+IFERROR(RANK(B13,(B$6,B$15,B$22,B$26,B$27,B$28,B$33),0),"")</f>
        <v/>
      </c>
      <c r="AB13" s="2" t="str">
        <f>+IFERROR(RANK(C13,(C$6,C$15,C$22,C$26,C$27,C$28,C$33),0),"")</f>
        <v/>
      </c>
      <c r="AC13" s="2" t="str">
        <f>+IFERROR(RANK(D13,(D$6,D$15,D$22,D$26,D$27,D$28,D$33),0),"")</f>
        <v/>
      </c>
      <c r="AD13" s="2" t="str">
        <f>+IFERROR(RANK(E13,(E$6,E$15,E$22,E$26,E$27,E$28,E$33),0),"")</f>
        <v/>
      </c>
      <c r="AE13" s="2" t="str">
        <f>+IFERROR(RANK(F13,(F$6,F$15,F$22,F$26,F$27,F$28,F$33),0),"")</f>
        <v/>
      </c>
      <c r="AF13" s="2" t="str">
        <f>+IFERROR(RANK(G13,(G$6,G$15,G$22,G$26,G$27,G$28,G$33),0),"")</f>
        <v/>
      </c>
      <c r="AG13" s="2" t="str">
        <f>+IFERROR(RANK(H13,(H$6,H$15,H$22,H$26,H$27,H$28,H$33),0),"")</f>
        <v/>
      </c>
      <c r="AH13" s="2" t="str">
        <f>+IFERROR(RANK(I13,(I$6,I$15,I$22,I$26,I$27,I$28,I$33),0),"")</f>
        <v/>
      </c>
      <c r="AI13" s="2" t="str">
        <f>+IFERROR(RANK(J13,(J$6,J$15,J$22,J$26,J$27,J$28,J$33),0),"")</f>
        <v/>
      </c>
      <c r="AJ13" s="2" t="str">
        <f>+IFERROR(RANK(K13,(K$6,K$15,K$22,K$26,K$27,K$28,K$33),0),"")</f>
        <v/>
      </c>
      <c r="AK13" s="2" t="str">
        <f>+IFERROR(RANK(L13,(L$6,L$15,L$22,L$26,L$27,L$28,L$33),0),"")</f>
        <v/>
      </c>
    </row>
    <row r="14" spans="1:37" s="2" customFormat="1" ht="15" customHeight="1">
      <c r="A14" s="572" t="s">
        <v>504</v>
      </c>
      <c r="B14" s="713">
        <v>702.36</v>
      </c>
      <c r="C14" s="713">
        <v>711.04</v>
      </c>
      <c r="D14" s="713">
        <v>732.9</v>
      </c>
      <c r="E14" s="713">
        <v>751.28</v>
      </c>
      <c r="F14" s="713">
        <v>770.98</v>
      </c>
      <c r="G14" s="713">
        <v>799.16</v>
      </c>
      <c r="H14" s="713">
        <v>833.66</v>
      </c>
      <c r="I14" s="713">
        <v>864.26</v>
      </c>
      <c r="J14" s="713">
        <v>899.68</v>
      </c>
      <c r="K14" s="713">
        <v>965.83</v>
      </c>
      <c r="L14" s="713">
        <v>1033.23</v>
      </c>
      <c r="N14" s="559">
        <f t="shared" si="5"/>
        <v>47.108320519391754</v>
      </c>
      <c r="O14" s="419">
        <f t="shared" si="3"/>
        <v>330.87</v>
      </c>
      <c r="P14" s="559">
        <f t="shared" si="6"/>
        <v>77.225697918613733</v>
      </c>
      <c r="Q14" s="559">
        <f t="shared" si="4"/>
        <v>77.800269167222879</v>
      </c>
      <c r="R14" s="559">
        <f t="shared" si="4"/>
        <v>79.23757216684325</v>
      </c>
      <c r="S14" s="559">
        <f t="shared" si="4"/>
        <v>79.669141039236479</v>
      </c>
      <c r="T14" s="559">
        <f t="shared" si="4"/>
        <v>79.448074029801532</v>
      </c>
      <c r="U14" s="559">
        <f t="shared" si="4"/>
        <v>79.511287546388871</v>
      </c>
      <c r="V14" s="559">
        <f t="shared" si="4"/>
        <v>80.006525974337563</v>
      </c>
      <c r="W14" s="559">
        <f t="shared" si="4"/>
        <v>79.819352216998993</v>
      </c>
      <c r="X14" s="559">
        <f t="shared" si="4"/>
        <v>78.68118413572958</v>
      </c>
      <c r="Y14" s="559">
        <f t="shared" si="4"/>
        <v>79.174830104847246</v>
      </c>
      <c r="Z14" s="559">
        <f t="shared" si="4"/>
        <v>78.935185185185176</v>
      </c>
      <c r="AA14" s="2" t="str">
        <f>+IFERROR(RANK(B14,(B$6,B$15,B$22,B$26,B$27,B$28,B$33),0),"")</f>
        <v/>
      </c>
      <c r="AB14" s="2" t="str">
        <f>+IFERROR(RANK(C14,(C$6,C$15,C$22,C$26,C$27,C$28,C$33),0),"")</f>
        <v/>
      </c>
      <c r="AC14" s="2" t="str">
        <f>+IFERROR(RANK(D14,(D$6,D$15,D$22,D$26,D$27,D$28,D$33),0),"")</f>
        <v/>
      </c>
      <c r="AD14" s="2" t="str">
        <f>+IFERROR(RANK(E14,(E$6,E$15,E$22,E$26,E$27,E$28,E$33),0),"")</f>
        <v/>
      </c>
      <c r="AE14" s="2" t="str">
        <f>+IFERROR(RANK(F14,(F$6,F$15,F$22,F$26,F$27,F$28,F$33),0),"")</f>
        <v/>
      </c>
      <c r="AF14" s="2" t="str">
        <f>+IFERROR(RANK(G14,(G$6,G$15,G$22,G$26,G$27,G$28,G$33),0),"")</f>
        <v/>
      </c>
      <c r="AG14" s="2" t="str">
        <f>+IFERROR(RANK(H14,(H$6,H$15,H$22,H$26,H$27,H$28,H$33),0),"")</f>
        <v/>
      </c>
      <c r="AH14" s="2" t="str">
        <f>+IFERROR(RANK(I14,(I$6,I$15,I$22,I$26,I$27,I$28,I$33),0),"")</f>
        <v/>
      </c>
      <c r="AI14" s="2" t="str">
        <f>+IFERROR(RANK(J14,(J$6,J$15,J$22,J$26,J$27,J$28,J$33),0),"")</f>
        <v/>
      </c>
      <c r="AJ14" s="2" t="str">
        <f>+IFERROR(RANK(K14,(K$6,K$15,K$22,K$26,K$27,K$28,K$33),0),"")</f>
        <v/>
      </c>
      <c r="AK14" s="2" t="str">
        <f>+IFERROR(RANK(L14,(L$6,L$15,L$22,L$26,L$27,L$28,L$33),0),"")</f>
        <v/>
      </c>
    </row>
    <row r="15" spans="1:37" s="2" customFormat="1" ht="15" customHeight="1">
      <c r="A15" s="15" t="s">
        <v>505</v>
      </c>
      <c r="B15" s="714">
        <v>791.69</v>
      </c>
      <c r="C15" s="714">
        <v>797.26</v>
      </c>
      <c r="D15" s="714">
        <v>811.52</v>
      </c>
      <c r="E15" s="714">
        <v>830.13</v>
      </c>
      <c r="F15" s="714">
        <v>859.11</v>
      </c>
      <c r="G15" s="714">
        <v>891.47</v>
      </c>
      <c r="H15" s="714">
        <v>920.01</v>
      </c>
      <c r="I15" s="714">
        <v>961.02</v>
      </c>
      <c r="J15" s="714">
        <v>1007.64</v>
      </c>
      <c r="K15" s="714">
        <v>1075.43</v>
      </c>
      <c r="L15" s="714">
        <v>1150.98</v>
      </c>
      <c r="N15" s="559">
        <f t="shared" si="5"/>
        <v>45.382662405739602</v>
      </c>
      <c r="O15" s="419">
        <f t="shared" si="3"/>
        <v>359.28999999999996</v>
      </c>
      <c r="P15" s="559">
        <f t="shared" si="6"/>
        <v>87.047686065817103</v>
      </c>
      <c r="Q15" s="559">
        <f t="shared" si="4"/>
        <v>87.234252076198402</v>
      </c>
      <c r="R15" s="559">
        <f t="shared" si="4"/>
        <v>87.737582978355348</v>
      </c>
      <c r="S15" s="559">
        <f t="shared" si="4"/>
        <v>88.030752916224813</v>
      </c>
      <c r="T15" s="559">
        <f t="shared" si="4"/>
        <v>88.529708785886527</v>
      </c>
      <c r="U15" s="559">
        <f t="shared" si="4"/>
        <v>88.695539702912171</v>
      </c>
      <c r="V15" s="559">
        <f t="shared" si="4"/>
        <v>88.293553680937436</v>
      </c>
      <c r="W15" s="559">
        <f t="shared" si="4"/>
        <v>88.755691421077429</v>
      </c>
      <c r="X15" s="559">
        <f t="shared" si="4"/>
        <v>88.122786304604489</v>
      </c>
      <c r="Y15" s="559">
        <f t="shared" si="4"/>
        <v>88.159394033790491</v>
      </c>
      <c r="Z15" s="559">
        <f t="shared" si="4"/>
        <v>87.930876420975423</v>
      </c>
      <c r="AA15" s="2">
        <f>+IFERROR(RANK(B15,(B$6,B$15,B$22,B$26,B$27,B$28,B$33),0),"")</f>
        <v>5</v>
      </c>
      <c r="AB15" s="2">
        <f>+IFERROR(RANK(C15,(C$6,C$15,C$22,C$26,C$27,C$28,C$33),0),"")</f>
        <v>5</v>
      </c>
      <c r="AC15" s="2">
        <f>+IFERROR(RANK(D15,(D$6,D$15,D$22,D$26,D$27,D$28,D$33),0),"")</f>
        <v>5</v>
      </c>
      <c r="AD15" s="2">
        <f>+IFERROR(RANK(E15,(E$6,E$15,E$22,E$26,E$27,E$28,E$33),0),"")</f>
        <v>5</v>
      </c>
      <c r="AE15" s="2">
        <f>+IFERROR(RANK(F15,(F$6,F$15,F$22,F$26,F$27,F$28,F$33),0),"")</f>
        <v>4</v>
      </c>
      <c r="AF15" s="2">
        <f>+IFERROR(RANK(G15,(G$6,G$15,G$22,G$26,G$27,G$28,G$33),0),"")</f>
        <v>4</v>
      </c>
      <c r="AG15" s="2">
        <f>+IFERROR(RANK(H15,(H$6,H$15,H$22,H$26,H$27,H$28,H$33),0),"")</f>
        <v>4</v>
      </c>
      <c r="AH15" s="2">
        <f>+IFERROR(RANK(I15,(I$6,I$15,I$22,I$26,I$27,I$28,I$33),0),"")</f>
        <v>4</v>
      </c>
      <c r="AI15" s="2">
        <f>+IFERROR(RANK(J15,(J$6,J$15,J$22,J$26,J$27,J$28,J$33),0),"")</f>
        <v>4</v>
      </c>
      <c r="AJ15" s="2">
        <f>+IFERROR(RANK(K15,(K$6,K$15,K$22,K$26,K$27,K$28,K$33),0),"")</f>
        <v>4</v>
      </c>
      <c r="AK15" s="2">
        <f>+IFERROR(RANK(L15,(L$6,L$15,L$22,L$26,L$27,L$28,L$33),0),"")</f>
        <v>4</v>
      </c>
    </row>
    <row r="16" spans="1:37" s="2" customFormat="1" ht="15" customHeight="1">
      <c r="A16" s="572" t="s">
        <v>506</v>
      </c>
      <c r="B16" s="713">
        <v>840.87</v>
      </c>
      <c r="C16" s="713">
        <v>850.11</v>
      </c>
      <c r="D16" s="713">
        <v>860.22</v>
      </c>
      <c r="E16" s="713">
        <v>876.7</v>
      </c>
      <c r="F16" s="713">
        <v>907.62</v>
      </c>
      <c r="G16" s="713">
        <v>947.58</v>
      </c>
      <c r="H16" s="713">
        <v>970.59</v>
      </c>
      <c r="I16" s="713">
        <v>1011.7</v>
      </c>
      <c r="J16" s="713">
        <v>1065.4100000000001</v>
      </c>
      <c r="K16" s="713">
        <v>1142.06</v>
      </c>
      <c r="L16" s="713">
        <v>1223.23</v>
      </c>
      <c r="N16" s="559">
        <f t="shared" si="5"/>
        <v>45.471951669104627</v>
      </c>
      <c r="O16" s="419">
        <f t="shared" si="3"/>
        <v>382.36</v>
      </c>
      <c r="P16" s="559">
        <f t="shared" si="6"/>
        <v>92.455112205741685</v>
      </c>
      <c r="Q16" s="559">
        <f t="shared" si="4"/>
        <v>93.016970665149415</v>
      </c>
      <c r="R16" s="559">
        <f t="shared" si="4"/>
        <v>93.002789370121306</v>
      </c>
      <c r="S16" s="559">
        <f t="shared" si="4"/>
        <v>92.969247083775187</v>
      </c>
      <c r="T16" s="559">
        <f t="shared" si="4"/>
        <v>93.528575256074689</v>
      </c>
      <c r="U16" s="559">
        <f t="shared" si="4"/>
        <v>94.278124347073387</v>
      </c>
      <c r="V16" s="559">
        <f t="shared" si="4"/>
        <v>93.147726945556101</v>
      </c>
      <c r="W16" s="559">
        <f t="shared" si="4"/>
        <v>93.4362791728622</v>
      </c>
      <c r="X16" s="559">
        <f t="shared" si="4"/>
        <v>93.175040447767728</v>
      </c>
      <c r="Y16" s="559">
        <f t="shared" si="4"/>
        <v>93.621451466139845</v>
      </c>
      <c r="Z16" s="559">
        <f t="shared" si="4"/>
        <v>93.450525608116365</v>
      </c>
      <c r="AA16" s="2" t="str">
        <f>+IFERROR(RANK(B16,(B$6,B$15,B$22,B$26,B$27,B$28,B$33),0),"")</f>
        <v/>
      </c>
      <c r="AB16" s="2" t="str">
        <f>+IFERROR(RANK(C16,(C$6,C$15,C$22,C$26,C$27,C$28,C$33),0),"")</f>
        <v/>
      </c>
      <c r="AC16" s="2" t="str">
        <f>+IFERROR(RANK(D16,(D$6,D$15,D$22,D$26,D$27,D$28,D$33),0),"")</f>
        <v/>
      </c>
      <c r="AD16" s="2" t="str">
        <f>+IFERROR(RANK(E16,(E$6,E$15,E$22,E$26,E$27,E$28,E$33),0),"")</f>
        <v/>
      </c>
      <c r="AE16" s="2" t="str">
        <f>+IFERROR(RANK(F16,(F$6,F$15,F$22,F$26,F$27,F$28,F$33),0),"")</f>
        <v/>
      </c>
      <c r="AF16" s="2" t="str">
        <f>+IFERROR(RANK(G16,(G$6,G$15,G$22,G$26,G$27,G$28,G$33),0),"")</f>
        <v/>
      </c>
      <c r="AG16" s="2" t="str">
        <f>+IFERROR(RANK(H16,(H$6,H$15,H$22,H$26,H$27,H$28,H$33),0),"")</f>
        <v/>
      </c>
      <c r="AH16" s="2" t="str">
        <f>+IFERROR(RANK(I16,(I$6,I$15,I$22,I$26,I$27,I$28,I$33),0),"")</f>
        <v/>
      </c>
      <c r="AI16" s="2" t="str">
        <f>+IFERROR(RANK(J16,(J$6,J$15,J$22,J$26,J$27,J$28,J$33),0),"")</f>
        <v/>
      </c>
      <c r="AJ16" s="2" t="str">
        <f>+IFERROR(RANK(K16,(K$6,K$15,K$22,K$26,K$27,K$28,K$33),0),"")</f>
        <v/>
      </c>
      <c r="AK16" s="2" t="str">
        <f>+IFERROR(RANK(L16,(L$6,L$15,L$22,L$26,L$27,L$28,L$33),0),"")</f>
        <v/>
      </c>
    </row>
    <row r="17" spans="1:37" s="2" customFormat="1" ht="15" customHeight="1">
      <c r="A17" s="572" t="s">
        <v>507</v>
      </c>
      <c r="B17" s="713">
        <v>798.25</v>
      </c>
      <c r="C17" s="713">
        <v>798.23</v>
      </c>
      <c r="D17" s="713">
        <v>813.19</v>
      </c>
      <c r="E17" s="713">
        <v>831.44</v>
      </c>
      <c r="F17" s="713">
        <v>860.34</v>
      </c>
      <c r="G17" s="713">
        <v>892.77</v>
      </c>
      <c r="H17" s="713">
        <v>921.46</v>
      </c>
      <c r="I17" s="713">
        <v>964.52</v>
      </c>
      <c r="J17" s="713">
        <v>1011.46</v>
      </c>
      <c r="K17" s="713">
        <v>1081.05</v>
      </c>
      <c r="L17" s="713">
        <v>1154.1500000000001</v>
      </c>
      <c r="N17" s="559">
        <f t="shared" si="5"/>
        <v>44.585029752583779</v>
      </c>
      <c r="O17" s="419">
        <f t="shared" si="3"/>
        <v>355.90000000000009</v>
      </c>
      <c r="P17" s="559">
        <f t="shared" si="6"/>
        <v>87.768969422423552</v>
      </c>
      <c r="Q17" s="559">
        <f t="shared" si="4"/>
        <v>87.340387119363626</v>
      </c>
      <c r="R17" s="559">
        <f t="shared" si="4"/>
        <v>87.918135230393318</v>
      </c>
      <c r="S17" s="559">
        <f t="shared" si="4"/>
        <v>88.169671261930006</v>
      </c>
      <c r="T17" s="559">
        <f t="shared" si="4"/>
        <v>88.656458028482518</v>
      </c>
      <c r="U17" s="559">
        <f t="shared" si="4"/>
        <v>88.824881353908609</v>
      </c>
      <c r="V17" s="559">
        <f t="shared" si="4"/>
        <v>88.432710486664945</v>
      </c>
      <c r="W17" s="559">
        <f t="shared" si="4"/>
        <v>89.078936431559796</v>
      </c>
      <c r="X17" s="559">
        <f t="shared" si="4"/>
        <v>88.456863002317547</v>
      </c>
      <c r="Y17" s="559">
        <f t="shared" si="4"/>
        <v>88.620098862993601</v>
      </c>
      <c r="Z17" s="559">
        <f t="shared" si="4"/>
        <v>88.17305341645276</v>
      </c>
      <c r="AA17" s="2" t="str">
        <f>+IFERROR(RANK(B17,(B$6,B$15,B$22,B$26,B$27,B$28,B$33),0),"")</f>
        <v/>
      </c>
      <c r="AB17" s="2" t="str">
        <f>+IFERROR(RANK(C17,(C$6,C$15,C$22,C$26,C$27,C$28,C$33),0),"")</f>
        <v/>
      </c>
      <c r="AC17" s="2" t="str">
        <f>+IFERROR(RANK(D17,(D$6,D$15,D$22,D$26,D$27,D$28,D$33),0),"")</f>
        <v/>
      </c>
      <c r="AD17" s="2" t="str">
        <f>+IFERROR(RANK(E17,(E$6,E$15,E$22,E$26,E$27,E$28,E$33),0),"")</f>
        <v/>
      </c>
      <c r="AE17" s="2" t="str">
        <f>+IFERROR(RANK(F17,(F$6,F$15,F$22,F$26,F$27,F$28,F$33),0),"")</f>
        <v/>
      </c>
      <c r="AF17" s="2" t="str">
        <f>+IFERROR(RANK(G17,(G$6,G$15,G$22,G$26,G$27,G$28,G$33),0),"")</f>
        <v/>
      </c>
      <c r="AG17" s="2" t="str">
        <f>+IFERROR(RANK(H17,(H$6,H$15,H$22,H$26,H$27,H$28,H$33),0),"")</f>
        <v/>
      </c>
      <c r="AH17" s="2" t="str">
        <f>+IFERROR(RANK(I17,(I$6,I$15,I$22,I$26,I$27,I$28,I$33),0),"")</f>
        <v/>
      </c>
      <c r="AI17" s="2" t="str">
        <f>+IFERROR(RANK(J17,(J$6,J$15,J$22,J$26,J$27,J$28,J$33),0),"")</f>
        <v/>
      </c>
      <c r="AJ17" s="2" t="str">
        <f>+IFERROR(RANK(K17,(K$6,K$15,K$22,K$26,K$27,K$28,K$33),0),"")</f>
        <v/>
      </c>
      <c r="AK17" s="2" t="str">
        <f>+IFERROR(RANK(L17,(L$6,L$15,L$22,L$26,L$27,L$28,L$33),0),"")</f>
        <v/>
      </c>
    </row>
    <row r="18" spans="1:37" s="2" customFormat="1" ht="15" customHeight="1">
      <c r="A18" s="572" t="s">
        <v>508</v>
      </c>
      <c r="B18" s="713">
        <v>816.84</v>
      </c>
      <c r="C18" s="713">
        <v>825.07</v>
      </c>
      <c r="D18" s="713">
        <v>839.81</v>
      </c>
      <c r="E18" s="713">
        <v>859.07</v>
      </c>
      <c r="F18" s="713">
        <v>894</v>
      </c>
      <c r="G18" s="713">
        <v>921.39</v>
      </c>
      <c r="H18" s="713">
        <v>947.75</v>
      </c>
      <c r="I18" s="713">
        <v>986.61</v>
      </c>
      <c r="J18" s="713">
        <v>1034.0899999999999</v>
      </c>
      <c r="K18" s="713">
        <v>1096.77</v>
      </c>
      <c r="L18" s="713">
        <v>1171.5899999999999</v>
      </c>
      <c r="N18" s="559">
        <f t="shared" si="5"/>
        <v>43.429557808138661</v>
      </c>
      <c r="O18" s="419">
        <f t="shared" si="3"/>
        <v>354.74999999999989</v>
      </c>
      <c r="P18" s="559">
        <f t="shared" si="6"/>
        <v>89.812972105245791</v>
      </c>
      <c r="Q18" s="559">
        <f t="shared" si="4"/>
        <v>90.27715470550261</v>
      </c>
      <c r="R18" s="559">
        <f t="shared" si="4"/>
        <v>90.79615975090276</v>
      </c>
      <c r="S18" s="559">
        <f t="shared" si="4"/>
        <v>91.099681866383875</v>
      </c>
      <c r="T18" s="559">
        <f t="shared" si="4"/>
        <v>92.125059252694712</v>
      </c>
      <c r="U18" s="559">
        <f t="shared" si="4"/>
        <v>91.672387547383821</v>
      </c>
      <c r="V18" s="559">
        <f t="shared" si="4"/>
        <v>90.955767329820816</v>
      </c>
      <c r="W18" s="559">
        <f t="shared" si="4"/>
        <v>91.119074226289982</v>
      </c>
      <c r="X18" s="559">
        <f t="shared" si="4"/>
        <v>90.435961345052235</v>
      </c>
      <c r="Y18" s="559">
        <f t="shared" si="4"/>
        <v>89.908760769590216</v>
      </c>
      <c r="Z18" s="559">
        <f t="shared" si="4"/>
        <v>89.505408874220748</v>
      </c>
      <c r="AA18" s="2" t="str">
        <f>+IFERROR(RANK(B18,(B$6,B$15,B$22,B$26,B$27,B$28,B$33),0),"")</f>
        <v/>
      </c>
      <c r="AB18" s="2" t="str">
        <f>+IFERROR(RANK(C18,(C$6,C$15,C$22,C$26,C$27,C$28,C$33),0),"")</f>
        <v/>
      </c>
      <c r="AC18" s="2" t="str">
        <f>+IFERROR(RANK(D18,(D$6,D$15,D$22,D$26,D$27,D$28,D$33),0),"")</f>
        <v/>
      </c>
      <c r="AD18" s="2" t="str">
        <f>+IFERROR(RANK(E18,(E$6,E$15,E$22,E$26,E$27,E$28,E$33),0),"")</f>
        <v/>
      </c>
      <c r="AE18" s="2" t="str">
        <f>+IFERROR(RANK(F18,(F$6,F$15,F$22,F$26,F$27,F$28,F$33),0),"")</f>
        <v/>
      </c>
      <c r="AF18" s="2" t="str">
        <f>+IFERROR(RANK(G18,(G$6,G$15,G$22,G$26,G$27,G$28,G$33),0),"")</f>
        <v/>
      </c>
      <c r="AG18" s="2" t="str">
        <f>+IFERROR(RANK(H18,(H$6,H$15,H$22,H$26,H$27,H$28,H$33),0),"")</f>
        <v/>
      </c>
      <c r="AH18" s="2" t="str">
        <f>+IFERROR(RANK(I18,(I$6,I$15,I$22,I$26,I$27,I$28,I$33),0),"")</f>
        <v/>
      </c>
      <c r="AI18" s="2" t="str">
        <f>+IFERROR(RANK(J18,(J$6,J$15,J$22,J$26,J$27,J$28,J$33),0),"")</f>
        <v/>
      </c>
      <c r="AJ18" s="2" t="str">
        <f>+IFERROR(RANK(K18,(K$6,K$15,K$22,K$26,K$27,K$28,K$33),0),"")</f>
        <v/>
      </c>
      <c r="AK18" s="2" t="str">
        <f>+IFERROR(RANK(L18,(L$6,L$15,L$22,L$26,L$27,L$28,L$33),0),"")</f>
        <v/>
      </c>
    </row>
    <row r="19" spans="1:37" s="2" customFormat="1" ht="15" customHeight="1">
      <c r="A19" s="572" t="s">
        <v>509</v>
      </c>
      <c r="B19" s="713">
        <v>742.83</v>
      </c>
      <c r="C19" s="713">
        <v>745.16</v>
      </c>
      <c r="D19" s="713">
        <v>757.72</v>
      </c>
      <c r="E19" s="713">
        <v>777.17</v>
      </c>
      <c r="F19" s="713">
        <v>802.22</v>
      </c>
      <c r="G19" s="713">
        <v>830.2</v>
      </c>
      <c r="H19" s="713">
        <v>862.87</v>
      </c>
      <c r="I19" s="713">
        <v>906.83</v>
      </c>
      <c r="J19" s="713">
        <v>944.07</v>
      </c>
      <c r="K19" s="713">
        <v>1009.72</v>
      </c>
      <c r="L19" s="713">
        <v>1078.24</v>
      </c>
      <c r="N19" s="559">
        <f t="shared" si="5"/>
        <v>45.152995974852914</v>
      </c>
      <c r="O19" s="419">
        <f t="shared" si="3"/>
        <v>335.40999999999997</v>
      </c>
      <c r="P19" s="559">
        <f t="shared" si="6"/>
        <v>81.675444479873335</v>
      </c>
      <c r="Q19" s="559">
        <f t="shared" si="4"/>
        <v>81.533596664952469</v>
      </c>
      <c r="R19" s="559">
        <f t="shared" si="4"/>
        <v>81.920989469587212</v>
      </c>
      <c r="S19" s="559">
        <f t="shared" si="4"/>
        <v>82.41463414634147</v>
      </c>
      <c r="T19" s="559">
        <f t="shared" si="4"/>
        <v>82.667298695410238</v>
      </c>
      <c r="U19" s="559">
        <f t="shared" si="4"/>
        <v>82.599568197872827</v>
      </c>
      <c r="V19" s="559">
        <f t="shared" si="4"/>
        <v>82.809815833165388</v>
      </c>
      <c r="W19" s="559">
        <f t="shared" si="4"/>
        <v>83.750935101637467</v>
      </c>
      <c r="X19" s="559">
        <f t="shared" si="4"/>
        <v>82.563295290568021</v>
      </c>
      <c r="Y19" s="559">
        <f t="shared" si="4"/>
        <v>82.772754473837381</v>
      </c>
      <c r="Z19" s="559">
        <f t="shared" si="4"/>
        <v>82.373792934849035</v>
      </c>
      <c r="AA19" s="2" t="str">
        <f>+IFERROR(RANK(B19,(B$6,B$15,B$22,B$26,B$27,B$28,B$33),0),"")</f>
        <v/>
      </c>
      <c r="AB19" s="2" t="str">
        <f>+IFERROR(RANK(C19,(C$6,C$15,C$22,C$26,C$27,C$28,C$33),0),"")</f>
        <v/>
      </c>
      <c r="AC19" s="2" t="str">
        <f>+IFERROR(RANK(D19,(D$6,D$15,D$22,D$26,D$27,D$28,D$33),0),"")</f>
        <v/>
      </c>
      <c r="AD19" s="2" t="str">
        <f>+IFERROR(RANK(E19,(E$6,E$15,E$22,E$26,E$27,E$28,E$33),0),"")</f>
        <v/>
      </c>
      <c r="AE19" s="2" t="str">
        <f>+IFERROR(RANK(F19,(F$6,F$15,F$22,F$26,F$27,F$28,F$33),0),"")</f>
        <v/>
      </c>
      <c r="AF19" s="2" t="str">
        <f>+IFERROR(RANK(G19,(G$6,G$15,G$22,G$26,G$27,G$28,G$33),0),"")</f>
        <v/>
      </c>
      <c r="AG19" s="2" t="str">
        <f>+IFERROR(RANK(H19,(H$6,H$15,H$22,H$26,H$27,H$28,H$33),0),"")</f>
        <v/>
      </c>
      <c r="AH19" s="2" t="str">
        <f>+IFERROR(RANK(I19,(I$6,I$15,I$22,I$26,I$27,I$28,I$33),0),"")</f>
        <v/>
      </c>
      <c r="AI19" s="2" t="str">
        <f>+IFERROR(RANK(J19,(J$6,J$15,J$22,J$26,J$27,J$28,J$33),0),"")</f>
        <v/>
      </c>
      <c r="AJ19" s="2" t="str">
        <f>+IFERROR(RANK(K19,(K$6,K$15,K$22,K$26,K$27,K$28,K$33),0),"")</f>
        <v/>
      </c>
      <c r="AK19" s="2" t="str">
        <f>+IFERROR(RANK(L19,(L$6,L$15,L$22,L$26,L$27,L$28,L$33),0),"")</f>
        <v/>
      </c>
    </row>
    <row r="20" spans="1:37" s="2" customFormat="1" ht="15" customHeight="1">
      <c r="A20" s="572" t="s">
        <v>510</v>
      </c>
      <c r="B20" s="713">
        <v>726.57</v>
      </c>
      <c r="C20" s="713">
        <v>730.63</v>
      </c>
      <c r="D20" s="713">
        <v>750.33</v>
      </c>
      <c r="E20" s="713">
        <v>767.59</v>
      </c>
      <c r="F20" s="713">
        <v>786.68</v>
      </c>
      <c r="G20" s="713">
        <v>812.51</v>
      </c>
      <c r="H20" s="713">
        <v>851.68</v>
      </c>
      <c r="I20" s="713">
        <v>894.93</v>
      </c>
      <c r="J20" s="713">
        <v>926.52</v>
      </c>
      <c r="K20" s="713">
        <v>990.62</v>
      </c>
      <c r="L20" s="713">
        <v>1063.8800000000001</v>
      </c>
      <c r="N20" s="559">
        <f t="shared" si="5"/>
        <v>46.424983139958997</v>
      </c>
      <c r="O20" s="419">
        <f t="shared" si="3"/>
        <v>337.31000000000006</v>
      </c>
      <c r="P20" s="559">
        <f t="shared" si="6"/>
        <v>79.887629330723811</v>
      </c>
      <c r="Q20" s="559">
        <f t="shared" si="4"/>
        <v>79.943759368879455</v>
      </c>
      <c r="R20" s="559">
        <f t="shared" si="4"/>
        <v>81.12201872553895</v>
      </c>
      <c r="S20" s="559">
        <f t="shared" si="4"/>
        <v>81.398727465535529</v>
      </c>
      <c r="T20" s="559">
        <f t="shared" si="4"/>
        <v>81.065930215782856</v>
      </c>
      <c r="U20" s="559">
        <f t="shared" si="4"/>
        <v>80.839526808544505</v>
      </c>
      <c r="V20" s="559">
        <f t="shared" si="4"/>
        <v>81.73590917379245</v>
      </c>
      <c r="W20" s="559">
        <f t="shared" si="4"/>
        <v>82.65190206599739</v>
      </c>
      <c r="X20" s="559">
        <f t="shared" si="4"/>
        <v>81.02846648301194</v>
      </c>
      <c r="Y20" s="559">
        <f t="shared" si="4"/>
        <v>81.207013862132854</v>
      </c>
      <c r="Z20" s="559">
        <f t="shared" si="4"/>
        <v>81.276738784989618</v>
      </c>
      <c r="AA20" s="2" t="str">
        <f>+IFERROR(RANK(B20,(B$6,B$15,B$22,B$26,B$27,B$28,B$33),0),"")</f>
        <v/>
      </c>
      <c r="AB20" s="2" t="str">
        <f>+IFERROR(RANK(C20,(C$6,C$15,C$22,C$26,C$27,C$28,C$33),0),"")</f>
        <v/>
      </c>
      <c r="AC20" s="2" t="str">
        <f>+IFERROR(RANK(D20,(D$6,D$15,D$22,D$26,D$27,D$28,D$33),0),"")</f>
        <v/>
      </c>
      <c r="AD20" s="2" t="str">
        <f>+IFERROR(RANK(E20,(E$6,E$15,E$22,E$26,E$27,E$28,E$33),0),"")</f>
        <v/>
      </c>
      <c r="AE20" s="2" t="str">
        <f>+IFERROR(RANK(F20,(F$6,F$15,F$22,F$26,F$27,F$28,F$33),0),"")</f>
        <v/>
      </c>
      <c r="AF20" s="2" t="str">
        <f>+IFERROR(RANK(G20,(G$6,G$15,G$22,G$26,G$27,G$28,G$33),0),"")</f>
        <v/>
      </c>
      <c r="AG20" s="2" t="str">
        <f>+IFERROR(RANK(H20,(H$6,H$15,H$22,H$26,H$27,H$28,H$33),0),"")</f>
        <v/>
      </c>
      <c r="AH20" s="2" t="str">
        <f>+IFERROR(RANK(I20,(I$6,I$15,I$22,I$26,I$27,I$28,I$33),0),"")</f>
        <v/>
      </c>
      <c r="AI20" s="2" t="str">
        <f>+IFERROR(RANK(J20,(J$6,J$15,J$22,J$26,J$27,J$28,J$33),0),"")</f>
        <v/>
      </c>
      <c r="AJ20" s="2" t="str">
        <f>+IFERROR(RANK(K20,(K$6,K$15,K$22,K$26,K$27,K$28,K$33),0),"")</f>
        <v/>
      </c>
      <c r="AK20" s="2" t="str">
        <f>+IFERROR(RANK(L20,(L$6,L$15,L$22,L$26,L$27,L$28,L$33),0),"")</f>
        <v/>
      </c>
    </row>
    <row r="21" spans="1:37" s="2" customFormat="1" ht="15" customHeight="1">
      <c r="A21" s="572" t="s">
        <v>511</v>
      </c>
      <c r="B21" s="713">
        <v>706.7</v>
      </c>
      <c r="C21" s="713">
        <v>713.67</v>
      </c>
      <c r="D21" s="713">
        <v>731.12</v>
      </c>
      <c r="E21" s="713">
        <v>752.07</v>
      </c>
      <c r="F21" s="713">
        <v>776.5</v>
      </c>
      <c r="G21" s="713">
        <v>807.38</v>
      </c>
      <c r="H21" s="713">
        <v>841.02</v>
      </c>
      <c r="I21" s="713">
        <v>877.51</v>
      </c>
      <c r="J21" s="713">
        <v>921.32</v>
      </c>
      <c r="K21" s="713">
        <v>979.61</v>
      </c>
      <c r="L21" s="713">
        <v>1058.19</v>
      </c>
      <c r="N21" s="559">
        <f t="shared" si="5"/>
        <v>49.736804867694914</v>
      </c>
      <c r="O21" s="419">
        <f t="shared" si="3"/>
        <v>351.49</v>
      </c>
      <c r="P21" s="559">
        <f t="shared" si="6"/>
        <v>77.702888431978366</v>
      </c>
      <c r="Q21" s="559">
        <f t="shared" si="4"/>
        <v>78.088037377042014</v>
      </c>
      <c r="R21" s="559">
        <f t="shared" si="4"/>
        <v>79.045127251497391</v>
      </c>
      <c r="S21" s="559">
        <f t="shared" si="4"/>
        <v>79.752916224814427</v>
      </c>
      <c r="T21" s="559">
        <f t="shared" si="4"/>
        <v>80.016899899012799</v>
      </c>
      <c r="U21" s="559">
        <f t="shared" si="4"/>
        <v>80.329124754997068</v>
      </c>
      <c r="V21" s="559">
        <f t="shared" si="4"/>
        <v>80.712866726168201</v>
      </c>
      <c r="W21" s="559">
        <f t="shared" si="4"/>
        <v>81.043065470967989</v>
      </c>
      <c r="X21" s="559">
        <f t="shared" si="4"/>
        <v>80.573702391884211</v>
      </c>
      <c r="Y21" s="559">
        <f t="shared" si="4"/>
        <v>80.304458671825699</v>
      </c>
      <c r="Z21" s="559">
        <f t="shared" si="4"/>
        <v>80.842042537587091</v>
      </c>
      <c r="AA21" s="2" t="str">
        <f>+IFERROR(RANK(B21,(B$6,B$15,B$22,B$26,B$27,B$28,B$33),0),"")</f>
        <v/>
      </c>
      <c r="AB21" s="2" t="str">
        <f>+IFERROR(RANK(C21,(C$6,C$15,C$22,C$26,C$27,C$28,C$33),0),"")</f>
        <v/>
      </c>
      <c r="AC21" s="2" t="str">
        <f>+IFERROR(RANK(D21,(D$6,D$15,D$22,D$26,D$27,D$28,D$33),0),"")</f>
        <v/>
      </c>
      <c r="AD21" s="2" t="str">
        <f>+IFERROR(RANK(E21,(E$6,E$15,E$22,E$26,E$27,E$28,E$33),0),"")</f>
        <v/>
      </c>
      <c r="AE21" s="2" t="str">
        <f>+IFERROR(RANK(F21,(F$6,F$15,F$22,F$26,F$27,F$28,F$33),0),"")</f>
        <v/>
      </c>
      <c r="AF21" s="2" t="str">
        <f>+IFERROR(RANK(G21,(G$6,G$15,G$22,G$26,G$27,G$28,G$33),0),"")</f>
        <v/>
      </c>
      <c r="AG21" s="2" t="str">
        <f>+IFERROR(RANK(H21,(H$6,H$15,H$22,H$26,H$27,H$28,H$33),0),"")</f>
        <v/>
      </c>
      <c r="AH21" s="2" t="str">
        <f>+IFERROR(RANK(I21,(I$6,I$15,I$22,I$26,I$27,I$28,I$33),0),"")</f>
        <v/>
      </c>
      <c r="AI21" s="2" t="str">
        <f>+IFERROR(RANK(J21,(J$6,J$15,J$22,J$26,J$27,J$28,J$33),0),"")</f>
        <v/>
      </c>
      <c r="AJ21" s="2" t="str">
        <f>+IFERROR(RANK(K21,(K$6,K$15,K$22,K$26,K$27,K$28,K$33),0),"")</f>
        <v/>
      </c>
      <c r="AK21" s="2" t="str">
        <f>+IFERROR(RANK(L21,(L$6,L$15,L$22,L$26,L$27,L$28,L$33),0),"")</f>
        <v/>
      </c>
    </row>
    <row r="22" spans="1:37" s="2" customFormat="1" ht="15" customHeight="1">
      <c r="A22" s="15" t="s">
        <v>512</v>
      </c>
      <c r="B22" s="714">
        <v>784.39</v>
      </c>
      <c r="C22" s="714">
        <v>787.42</v>
      </c>
      <c r="D22" s="714">
        <v>795.81</v>
      </c>
      <c r="E22" s="714">
        <v>813.34</v>
      </c>
      <c r="F22" s="714">
        <v>833.08</v>
      </c>
      <c r="G22" s="714">
        <v>857.96</v>
      </c>
      <c r="H22" s="714">
        <v>892.06</v>
      </c>
      <c r="I22" s="714">
        <v>929.27</v>
      </c>
      <c r="J22" s="714">
        <v>969.17</v>
      </c>
      <c r="K22" s="714">
        <v>1035.0899999999999</v>
      </c>
      <c r="L22" s="714">
        <v>1103.5999999999999</v>
      </c>
      <c r="N22" s="559">
        <f t="shared" si="5"/>
        <v>40.695317380384743</v>
      </c>
      <c r="O22" s="419">
        <f t="shared" si="3"/>
        <v>319.20999999999992</v>
      </c>
      <c r="P22" s="559">
        <f t="shared" si="6"/>
        <v>86.245038428130044</v>
      </c>
      <c r="Q22" s="559">
        <f t="shared" si="6"/>
        <v>86.157583184707804</v>
      </c>
      <c r="R22" s="559">
        <f t="shared" si="6"/>
        <v>86.039094427746662</v>
      </c>
      <c r="S22" s="559">
        <f t="shared" si="6"/>
        <v>86.250265111346764</v>
      </c>
      <c r="T22" s="559">
        <f t="shared" si="6"/>
        <v>85.847365058428309</v>
      </c>
      <c r="U22" s="559">
        <f t="shared" si="6"/>
        <v>85.36150991453502</v>
      </c>
      <c r="V22" s="559">
        <f t="shared" si="6"/>
        <v>85.611186287776277</v>
      </c>
      <c r="W22" s="559">
        <f t="shared" si="6"/>
        <v>85.823397397415889</v>
      </c>
      <c r="X22" s="559">
        <f t="shared" si="6"/>
        <v>84.758406576588385</v>
      </c>
      <c r="Y22" s="559">
        <f t="shared" si="6"/>
        <v>84.852484281111913</v>
      </c>
      <c r="Z22" s="559">
        <f t="shared" si="6"/>
        <v>84.31120889866763</v>
      </c>
      <c r="AA22" s="2">
        <f>+IFERROR(RANK(B22,(B$6,B$15,B$22,B$26,B$27,B$28,B$33),0),"")</f>
        <v>6</v>
      </c>
      <c r="AB22" s="2">
        <f>+IFERROR(RANK(C22,(C$6,C$15,C$22,C$26,C$27,C$28,C$33),0),"")</f>
        <v>6</v>
      </c>
      <c r="AC22" s="2">
        <f>+IFERROR(RANK(D22,(D$6,D$15,D$22,D$26,D$27,D$28,D$33),0),"")</f>
        <v>6</v>
      </c>
      <c r="AD22" s="2">
        <f>+IFERROR(RANK(E22,(E$6,E$15,E$22,E$26,E$27,E$28,E$33),0),"")</f>
        <v>6</v>
      </c>
      <c r="AE22" s="2">
        <f>+IFERROR(RANK(F22,(F$6,F$15,F$22,F$26,F$27,F$28,F$33),0),"")</f>
        <v>7</v>
      </c>
      <c r="AF22" s="2">
        <f>+IFERROR(RANK(G22,(G$6,G$15,G$22,G$26,G$27,G$28,G$33),0),"")</f>
        <v>7</v>
      </c>
      <c r="AG22" s="2">
        <f>+IFERROR(RANK(H22,(H$6,H$15,H$22,H$26,H$27,H$28,H$33),0),"")</f>
        <v>7</v>
      </c>
      <c r="AH22" s="2">
        <f>+IFERROR(RANK(I22,(I$6,I$15,I$22,I$26,I$27,I$28,I$33),0),"")</f>
        <v>6</v>
      </c>
      <c r="AI22" s="2">
        <f>+IFERROR(RANK(J22,(J$6,J$15,J$22,J$26,J$27,J$28,J$33),0),"")</f>
        <v>6</v>
      </c>
      <c r="AJ22" s="2">
        <f>+IFERROR(RANK(K22,(K$6,K$15,K$22,K$26,K$27,K$28,K$33),0),"")</f>
        <v>6</v>
      </c>
      <c r="AK22" s="2">
        <f>+IFERROR(RANK(L22,(L$6,L$15,L$22,L$26,L$27,L$28,L$33),0),"")</f>
        <v>6</v>
      </c>
    </row>
    <row r="23" spans="1:37" s="2" customFormat="1" ht="15" customHeight="1">
      <c r="A23" s="572" t="s">
        <v>513</v>
      </c>
      <c r="B23" s="713">
        <v>771.78</v>
      </c>
      <c r="C23" s="713">
        <v>770.07</v>
      </c>
      <c r="D23" s="713">
        <v>785.59</v>
      </c>
      <c r="E23" s="713">
        <v>801.29</v>
      </c>
      <c r="F23" s="713">
        <v>821.95</v>
      </c>
      <c r="G23" s="713">
        <v>848.7</v>
      </c>
      <c r="H23" s="713">
        <v>884.55</v>
      </c>
      <c r="I23" s="713">
        <v>926.96</v>
      </c>
      <c r="J23" s="713">
        <v>966.4</v>
      </c>
      <c r="K23" s="713">
        <v>1033.98</v>
      </c>
      <c r="L23" s="713">
        <v>1100.1600000000001</v>
      </c>
      <c r="N23" s="559">
        <f t="shared" si="5"/>
        <v>42.548394620228571</v>
      </c>
      <c r="O23" s="419">
        <f t="shared" si="3"/>
        <v>328.38000000000011</v>
      </c>
      <c r="P23" s="559">
        <f t="shared" si="6"/>
        <v>84.858547097824058</v>
      </c>
      <c r="Q23" s="559">
        <f t="shared" si="6"/>
        <v>84.259188340463723</v>
      </c>
      <c r="R23" s="559">
        <f t="shared" si="6"/>
        <v>84.93415789132267</v>
      </c>
      <c r="S23" s="559">
        <f t="shared" si="6"/>
        <v>84.972428419936378</v>
      </c>
      <c r="T23" s="559">
        <f t="shared" si="6"/>
        <v>84.700438985181677</v>
      </c>
      <c r="U23" s="559">
        <f t="shared" si="6"/>
        <v>84.440199385129688</v>
      </c>
      <c r="V23" s="559">
        <f t="shared" si="6"/>
        <v>84.890450004318666</v>
      </c>
      <c r="W23" s="559">
        <f t="shared" si="6"/>
        <v>85.610055690497518</v>
      </c>
      <c r="X23" s="559">
        <f t="shared" si="6"/>
        <v>84.516157243429973</v>
      </c>
      <c r="Y23" s="559">
        <f t="shared" si="6"/>
        <v>84.761490978546902</v>
      </c>
      <c r="Z23" s="559">
        <f t="shared" si="6"/>
        <v>84.048404840484054</v>
      </c>
      <c r="AA23" s="2" t="str">
        <f>+IFERROR(RANK(B23,(B$6,B$15,B$22,B$26,B$27,B$28,B$33),0),"")</f>
        <v/>
      </c>
      <c r="AB23" s="2" t="str">
        <f>+IFERROR(RANK(C23,(C$6,C$15,C$22,C$26,C$27,C$28,C$33),0),"")</f>
        <v/>
      </c>
      <c r="AC23" s="2" t="str">
        <f>+IFERROR(RANK(D23,(D$6,D$15,D$22,D$26,D$27,D$28,D$33),0),"")</f>
        <v/>
      </c>
      <c r="AD23" s="2" t="str">
        <f>+IFERROR(RANK(E23,(E$6,E$15,E$22,E$26,E$27,E$28,E$33),0),"")</f>
        <v/>
      </c>
      <c r="AE23" s="2" t="str">
        <f>+IFERROR(RANK(F23,(F$6,F$15,F$22,F$26,F$27,F$28,F$33),0),"")</f>
        <v/>
      </c>
      <c r="AF23" s="2" t="str">
        <f>+IFERROR(RANK(G23,(G$6,G$15,G$22,G$26,G$27,G$28,G$33),0),"")</f>
        <v/>
      </c>
      <c r="AG23" s="2" t="str">
        <f>+IFERROR(RANK(H23,(H$6,H$15,H$22,H$26,H$27,H$28,H$33),0),"")</f>
        <v/>
      </c>
      <c r="AH23" s="2" t="str">
        <f>+IFERROR(RANK(I23,(I$6,I$15,I$22,I$26,I$27,I$28,I$33),0),"")</f>
        <v/>
      </c>
      <c r="AI23" s="2" t="str">
        <f>+IFERROR(RANK(J23,(J$6,J$15,J$22,J$26,J$27,J$28,J$33),0),"")</f>
        <v/>
      </c>
      <c r="AJ23" s="2" t="str">
        <f>+IFERROR(RANK(K23,(K$6,K$15,K$22,K$26,K$27,K$28,K$33),0),"")</f>
        <v/>
      </c>
      <c r="AK23" s="2" t="str">
        <f>+IFERROR(RANK(L23,(L$6,L$15,L$22,L$26,L$27,L$28,L$33),0),"")</f>
        <v/>
      </c>
    </row>
    <row r="24" spans="1:37" s="2" customFormat="1" ht="15" customHeight="1">
      <c r="A24" s="572" t="s">
        <v>514</v>
      </c>
      <c r="B24" s="713">
        <v>785.86</v>
      </c>
      <c r="C24" s="713">
        <v>791.65</v>
      </c>
      <c r="D24" s="713">
        <v>795.89</v>
      </c>
      <c r="E24" s="713">
        <v>823.17</v>
      </c>
      <c r="F24" s="713">
        <v>843.09</v>
      </c>
      <c r="G24" s="713">
        <v>873.51</v>
      </c>
      <c r="H24" s="713">
        <v>905.27</v>
      </c>
      <c r="I24" s="713">
        <v>935.38</v>
      </c>
      <c r="J24" s="713">
        <v>969.05</v>
      </c>
      <c r="K24" s="713">
        <v>1035.3900000000001</v>
      </c>
      <c r="L24" s="713">
        <v>1108.57</v>
      </c>
      <c r="N24" s="559">
        <f t="shared" si="5"/>
        <v>41.064566207721477</v>
      </c>
      <c r="O24" s="419">
        <f t="shared" si="3"/>
        <v>322.70999999999992</v>
      </c>
      <c r="P24" s="559">
        <f t="shared" ref="P24:Z33" si="7">B24*100/B$5</f>
        <v>86.406667472979365</v>
      </c>
      <c r="Q24" s="559">
        <f t="shared" si="7"/>
        <v>86.620419506964438</v>
      </c>
      <c r="R24" s="559">
        <f t="shared" si="7"/>
        <v>86.047743637425128</v>
      </c>
      <c r="S24" s="559">
        <f t="shared" si="7"/>
        <v>87.292682926829272</v>
      </c>
      <c r="T24" s="559">
        <f t="shared" si="7"/>
        <v>86.878877187197304</v>
      </c>
      <c r="U24" s="559">
        <f t="shared" si="7"/>
        <v>86.908635047607675</v>
      </c>
      <c r="V24" s="559">
        <f t="shared" si="7"/>
        <v>86.87895277305924</v>
      </c>
      <c r="W24" s="559">
        <f t="shared" si="7"/>
        <v>86.387690830000835</v>
      </c>
      <c r="X24" s="559">
        <f t="shared" si="7"/>
        <v>84.747912020639291</v>
      </c>
      <c r="Y24" s="559">
        <f t="shared" si="7"/>
        <v>84.877077065588978</v>
      </c>
      <c r="Z24" s="559">
        <f t="shared" si="7"/>
        <v>84.690899645520105</v>
      </c>
      <c r="AA24" s="2" t="str">
        <f>+IFERROR(RANK(B24,(B$6,B$15,B$22,B$26,B$27,B$28,B$33),0),"")</f>
        <v/>
      </c>
      <c r="AB24" s="2" t="str">
        <f>+IFERROR(RANK(C24,(C$6,C$15,C$22,C$26,C$27,C$28,C$33),0),"")</f>
        <v/>
      </c>
      <c r="AC24" s="2" t="str">
        <f>+IFERROR(RANK(D24,(D$6,D$15,D$22,D$26,D$27,D$28,D$33),0),"")</f>
        <v/>
      </c>
      <c r="AD24" s="2" t="str">
        <f>+IFERROR(RANK(E24,(E$6,E$15,E$22,E$26,E$27,E$28,E$33),0),"")</f>
        <v/>
      </c>
      <c r="AE24" s="2" t="str">
        <f>+IFERROR(RANK(F24,(F$6,F$15,F$22,F$26,F$27,F$28,F$33),0),"")</f>
        <v/>
      </c>
      <c r="AF24" s="2" t="str">
        <f>+IFERROR(RANK(G24,(G$6,G$15,G$22,G$26,G$27,G$28,G$33),0),"")</f>
        <v/>
      </c>
      <c r="AG24" s="2" t="str">
        <f>+IFERROR(RANK(H24,(H$6,H$15,H$22,H$26,H$27,H$28,H$33),0),"")</f>
        <v/>
      </c>
      <c r="AH24" s="2" t="str">
        <f>+IFERROR(RANK(I24,(I$6,I$15,I$22,I$26,I$27,I$28,I$33),0),"")</f>
        <v/>
      </c>
      <c r="AI24" s="2" t="str">
        <f>+IFERROR(RANK(J24,(J$6,J$15,J$22,J$26,J$27,J$28,J$33),0),"")</f>
        <v/>
      </c>
      <c r="AJ24" s="2" t="str">
        <f>+IFERROR(RANK(K24,(K$6,K$15,K$22,K$26,K$27,K$28,K$33),0),"")</f>
        <v/>
      </c>
      <c r="AK24" s="2" t="str">
        <f>+IFERROR(RANK(L24,(L$6,L$15,L$22,L$26,L$27,L$28,L$33),0),"")</f>
        <v/>
      </c>
    </row>
    <row r="25" spans="1:37" s="2" customFormat="1" ht="15" customHeight="1">
      <c r="A25" s="572" t="s">
        <v>515</v>
      </c>
      <c r="B25" s="713">
        <v>802.58</v>
      </c>
      <c r="C25" s="713">
        <v>810.85</v>
      </c>
      <c r="D25" s="713">
        <v>811.7</v>
      </c>
      <c r="E25" s="713">
        <v>823.12</v>
      </c>
      <c r="F25" s="713">
        <v>841.64</v>
      </c>
      <c r="G25" s="713">
        <v>858.78</v>
      </c>
      <c r="H25" s="713">
        <v>892.52</v>
      </c>
      <c r="I25" s="713">
        <v>927.76</v>
      </c>
      <c r="J25" s="713">
        <v>973.65</v>
      </c>
      <c r="K25" s="713">
        <v>1036.5899999999999</v>
      </c>
      <c r="L25" s="713">
        <v>1104.77</v>
      </c>
      <c r="N25" s="559">
        <f t="shared" si="5"/>
        <v>37.652321263923838</v>
      </c>
      <c r="O25" s="419">
        <f t="shared" si="3"/>
        <v>302.18999999999994</v>
      </c>
      <c r="P25" s="559">
        <f t="shared" si="7"/>
        <v>88.245060418476285</v>
      </c>
      <c r="Q25" s="559">
        <f t="shared" si="7"/>
        <v>88.721236856214375</v>
      </c>
      <c r="R25" s="559">
        <f t="shared" si="7"/>
        <v>87.757043700131902</v>
      </c>
      <c r="S25" s="559">
        <f t="shared" si="7"/>
        <v>87.287380699893959</v>
      </c>
      <c r="T25" s="559">
        <f t="shared" si="7"/>
        <v>86.729457348364633</v>
      </c>
      <c r="U25" s="559">
        <f t="shared" si="7"/>
        <v>85.443094648240447</v>
      </c>
      <c r="V25" s="559">
        <f t="shared" si="7"/>
        <v>85.655332584765688</v>
      </c>
      <c r="W25" s="559">
        <f t="shared" si="7"/>
        <v>85.683940264322061</v>
      </c>
      <c r="X25" s="559">
        <f t="shared" si="7"/>
        <v>85.150203332021505</v>
      </c>
      <c r="Y25" s="559">
        <f t="shared" si="7"/>
        <v>84.975448203497095</v>
      </c>
      <c r="Z25" s="559">
        <f t="shared" si="7"/>
        <v>84.400592837061481</v>
      </c>
      <c r="AA25" s="2" t="str">
        <f>+IFERROR(RANK(B25,(B$6,B$15,B$22,B$26,B$27,B$28,B$33),0),"")</f>
        <v/>
      </c>
      <c r="AB25" s="2" t="str">
        <f>+IFERROR(RANK(C25,(C$6,C$15,C$22,C$26,C$27,C$28,C$33),0),"")</f>
        <v/>
      </c>
      <c r="AC25" s="2" t="str">
        <f>+IFERROR(RANK(D25,(D$6,D$15,D$22,D$26,D$27,D$28,D$33),0),"")</f>
        <v/>
      </c>
      <c r="AD25" s="2" t="str">
        <f>+IFERROR(RANK(E25,(E$6,E$15,E$22,E$26,E$27,E$28,E$33),0),"")</f>
        <v/>
      </c>
      <c r="AE25" s="2" t="str">
        <f>+IFERROR(RANK(F25,(F$6,F$15,F$22,F$26,F$27,F$28,F$33),0),"")</f>
        <v/>
      </c>
      <c r="AF25" s="2" t="str">
        <f>+IFERROR(RANK(G25,(G$6,G$15,G$22,G$26,G$27,G$28,G$33),0),"")</f>
        <v/>
      </c>
      <c r="AG25" s="2" t="str">
        <f>+IFERROR(RANK(H25,(H$6,H$15,H$22,H$26,H$27,H$28,H$33),0),"")</f>
        <v/>
      </c>
      <c r="AH25" s="2" t="str">
        <f>+IFERROR(RANK(I25,(I$6,I$15,I$22,I$26,I$27,I$28,I$33),0),"")</f>
        <v/>
      </c>
      <c r="AI25" s="2" t="str">
        <f>+IFERROR(RANK(J25,(J$6,J$15,J$22,J$26,J$27,J$28,J$33),0),"")</f>
        <v/>
      </c>
      <c r="AJ25" s="2" t="str">
        <f>+IFERROR(RANK(K25,(K$6,K$15,K$22,K$26,K$27,K$28,K$33),0),"")</f>
        <v/>
      </c>
      <c r="AK25" s="2" t="str">
        <f>+IFERROR(RANK(L25,(L$6,L$15,L$22,L$26,L$27,L$28,L$33),0),"")</f>
        <v/>
      </c>
    </row>
    <row r="26" spans="1:37" s="2" customFormat="1" ht="15" customHeight="1">
      <c r="A26" s="15" t="s">
        <v>516</v>
      </c>
      <c r="B26" s="714">
        <v>1174.23</v>
      </c>
      <c r="C26" s="714">
        <v>1175.57</v>
      </c>
      <c r="D26" s="714">
        <v>1179.78</v>
      </c>
      <c r="E26" s="714">
        <v>1197.4000000000001</v>
      </c>
      <c r="F26" s="714">
        <v>1219.74</v>
      </c>
      <c r="G26" s="714">
        <v>1255.78</v>
      </c>
      <c r="H26" s="714">
        <v>1293.07</v>
      </c>
      <c r="I26" s="714">
        <v>1339.8</v>
      </c>
      <c r="J26" s="714">
        <v>1418.39</v>
      </c>
      <c r="K26" s="714">
        <v>1505.99</v>
      </c>
      <c r="L26" s="714">
        <v>1600.02</v>
      </c>
      <c r="N26" s="559">
        <f t="shared" si="5"/>
        <v>36.261209473442158</v>
      </c>
      <c r="O26" s="419">
        <f t="shared" si="3"/>
        <v>425.78999999999996</v>
      </c>
      <c r="P26" s="559">
        <f t="shared" si="7"/>
        <v>129.1086213152426</v>
      </c>
      <c r="Q26" s="559">
        <f t="shared" si="7"/>
        <v>128.62801308634141</v>
      </c>
      <c r="R26" s="559">
        <f t="shared" si="7"/>
        <v>127.55205743075226</v>
      </c>
      <c r="S26" s="559">
        <f t="shared" si="7"/>
        <v>126.97773064687171</v>
      </c>
      <c r="T26" s="559">
        <f t="shared" si="7"/>
        <v>125.69196842604234</v>
      </c>
      <c r="U26" s="559">
        <f t="shared" si="7"/>
        <v>124.94204499099583</v>
      </c>
      <c r="V26" s="559">
        <f t="shared" si="7"/>
        <v>124.09620053935258</v>
      </c>
      <c r="W26" s="559">
        <f t="shared" si="7"/>
        <v>123.73819001265274</v>
      </c>
      <c r="X26" s="559">
        <f t="shared" si="7"/>
        <v>124.04477677204949</v>
      </c>
      <c r="Y26" s="559">
        <f t="shared" si="7"/>
        <v>123.45495831523033</v>
      </c>
      <c r="Z26" s="559">
        <f t="shared" si="7"/>
        <v>122.23597359735973</v>
      </c>
      <c r="AA26" s="2">
        <f>+IFERROR(RANK(B26,(B$6,B$15,B$22,B$26,B$27,B$28,B$33),0),"")</f>
        <v>1</v>
      </c>
      <c r="AB26" s="2">
        <f>+IFERROR(RANK(C26,(C$6,C$15,C$22,C$26,C$27,C$28,C$33),0),"")</f>
        <v>1</v>
      </c>
      <c r="AC26" s="2">
        <f>+IFERROR(RANK(D26,(D$6,D$15,D$22,D$26,D$27,D$28,D$33),0),"")</f>
        <v>1</v>
      </c>
      <c r="AD26" s="2">
        <f>+IFERROR(RANK(E26,(E$6,E$15,E$22,E$26,E$27,E$28,E$33),0),"")</f>
        <v>1</v>
      </c>
      <c r="AE26" s="2">
        <f>+IFERROR(RANK(F26,(F$6,F$15,F$22,F$26,F$27,F$28,F$33),0),"")</f>
        <v>1</v>
      </c>
      <c r="AF26" s="2">
        <f>+IFERROR(RANK(G26,(G$6,G$15,G$22,G$26,G$27,G$28,G$33),0),"")</f>
        <v>1</v>
      </c>
      <c r="AG26" s="2">
        <f>+IFERROR(RANK(H26,(H$6,H$15,H$22,H$26,H$27,H$28,H$33),0),"")</f>
        <v>1</v>
      </c>
      <c r="AH26" s="2">
        <f>+IFERROR(RANK(I26,(I$6,I$15,I$22,I$26,I$27,I$28,I$33),0),"")</f>
        <v>1</v>
      </c>
      <c r="AI26" s="2">
        <f>+IFERROR(RANK(J26,(J$6,J$15,J$22,J$26,J$27,J$28,J$33),0),"")</f>
        <v>1</v>
      </c>
      <c r="AJ26" s="2">
        <f>+IFERROR(RANK(K26,(K$6,K$15,K$22,K$26,K$27,K$28,K$33),0),"")</f>
        <v>1</v>
      </c>
      <c r="AK26" s="2">
        <f>+IFERROR(RANK(L26,(L$6,L$15,L$22,L$26,L$27,L$28,L$33),0),"")</f>
        <v>1</v>
      </c>
    </row>
    <row r="27" spans="1:37" s="2" customFormat="1" ht="15" customHeight="1">
      <c r="A27" s="15" t="s">
        <v>517</v>
      </c>
      <c r="B27" s="714">
        <v>942.29</v>
      </c>
      <c r="C27" s="714">
        <v>958.82</v>
      </c>
      <c r="D27" s="714">
        <v>981.55</v>
      </c>
      <c r="E27" s="714">
        <v>991.49</v>
      </c>
      <c r="F27" s="714">
        <v>1000.7</v>
      </c>
      <c r="G27" s="714">
        <v>1025.8699999999999</v>
      </c>
      <c r="H27" s="714">
        <v>1059.8599999999999</v>
      </c>
      <c r="I27" s="714">
        <v>1079.49</v>
      </c>
      <c r="J27" s="714">
        <v>1126.71</v>
      </c>
      <c r="K27" s="714">
        <v>1188.27</v>
      </c>
      <c r="L27" s="714">
        <v>1275.49</v>
      </c>
      <c r="N27" s="559">
        <f t="shared" si="5"/>
        <v>35.360663914506162</v>
      </c>
      <c r="O27" s="419">
        <f t="shared" si="3"/>
        <v>333.20000000000005</v>
      </c>
      <c r="P27" s="559">
        <f t="shared" si="7"/>
        <v>103.60641678303224</v>
      </c>
      <c r="Q27" s="559">
        <f t="shared" si="7"/>
        <v>104.91175472957448</v>
      </c>
      <c r="R27" s="559">
        <f t="shared" si="7"/>
        <v>106.12039699872423</v>
      </c>
      <c r="S27" s="559">
        <f t="shared" si="7"/>
        <v>105.14209968186638</v>
      </c>
      <c r="T27" s="559">
        <f t="shared" si="7"/>
        <v>103.12029842748501</v>
      </c>
      <c r="U27" s="559">
        <f t="shared" si="7"/>
        <v>102.06747654438904</v>
      </c>
      <c r="V27" s="559">
        <f t="shared" si="7"/>
        <v>101.71498766782788</v>
      </c>
      <c r="W27" s="559">
        <f t="shared" si="7"/>
        <v>99.697073247319381</v>
      </c>
      <c r="X27" s="559">
        <f t="shared" si="7"/>
        <v>98.536009445100348</v>
      </c>
      <c r="Y27" s="559">
        <f t="shared" si="7"/>
        <v>97.409560035085718</v>
      </c>
      <c r="Z27" s="559">
        <f t="shared" si="7"/>
        <v>97.443008189707854</v>
      </c>
      <c r="AA27" s="2">
        <f>+IFERROR(RANK(B27,(B$6,B$15,B$22,B$26,B$27,B$28,B$33),0),"")</f>
        <v>2</v>
      </c>
      <c r="AB27" s="2">
        <f>+IFERROR(RANK(C27,(C$6,C$15,C$22,C$26,C$27,C$28,C$33),0),"")</f>
        <v>2</v>
      </c>
      <c r="AC27" s="2">
        <f>+IFERROR(RANK(D27,(D$6,D$15,D$22,D$26,D$27,D$28,D$33),0),"")</f>
        <v>2</v>
      </c>
      <c r="AD27" s="2">
        <f>+IFERROR(RANK(E27,(E$6,E$15,E$22,E$26,E$27,E$28,E$33),0),"")</f>
        <v>2</v>
      </c>
      <c r="AE27" s="2">
        <f>+IFERROR(RANK(F27,(F$6,F$15,F$22,F$26,F$27,F$28,F$33),0),"")</f>
        <v>2</v>
      </c>
      <c r="AF27" s="2">
        <f>+IFERROR(RANK(G27,(G$6,G$15,G$22,G$26,G$27,G$28,G$33),0),"")</f>
        <v>2</v>
      </c>
      <c r="AG27" s="2">
        <f>+IFERROR(RANK(H27,(H$6,H$15,H$22,H$26,H$27,H$28,H$33),0),"")</f>
        <v>2</v>
      </c>
      <c r="AH27" s="2">
        <f>+IFERROR(RANK(I27,(I$6,I$15,I$22,I$26,I$27,I$28,I$33),0),"")</f>
        <v>2</v>
      </c>
      <c r="AI27" s="2">
        <f>+IFERROR(RANK(J27,(J$6,J$15,J$22,J$26,J$27,J$28,J$33),0),"")</f>
        <v>2</v>
      </c>
      <c r="AJ27" s="2">
        <f>+IFERROR(RANK(K27,(K$6,K$15,K$22,K$26,K$27,K$28,K$33),0),"")</f>
        <v>2</v>
      </c>
      <c r="AK27" s="2">
        <f>+IFERROR(RANK(L27,(L$6,L$15,L$22,L$26,L$27,L$28,L$33),0),"")</f>
        <v>2</v>
      </c>
    </row>
    <row r="28" spans="1:37" s="2" customFormat="1" ht="15" customHeight="1">
      <c r="A28" s="15" t="s">
        <v>518</v>
      </c>
      <c r="B28" s="714">
        <v>805.21</v>
      </c>
      <c r="C28" s="714">
        <v>807.44</v>
      </c>
      <c r="D28" s="714">
        <v>813.39</v>
      </c>
      <c r="E28" s="714">
        <v>830.83</v>
      </c>
      <c r="F28" s="714">
        <v>854.15</v>
      </c>
      <c r="G28" s="714">
        <v>874.15</v>
      </c>
      <c r="H28" s="714">
        <v>908.53</v>
      </c>
      <c r="I28" s="714">
        <v>942.08</v>
      </c>
      <c r="J28" s="714">
        <v>988.91</v>
      </c>
      <c r="K28" s="714">
        <v>1053.06</v>
      </c>
      <c r="L28" s="714">
        <v>1127.48</v>
      </c>
      <c r="N28" s="559">
        <f t="shared" si="5"/>
        <v>40.023099564088874</v>
      </c>
      <c r="O28" s="419">
        <f t="shared" si="3"/>
        <v>322.27</v>
      </c>
      <c r="P28" s="559">
        <f t="shared" si="7"/>
        <v>88.534233471506013</v>
      </c>
      <c r="Q28" s="559">
        <f t="shared" si="7"/>
        <v>88.348122941581963</v>
      </c>
      <c r="R28" s="559">
        <f t="shared" si="7"/>
        <v>87.939758254589478</v>
      </c>
      <c r="S28" s="559">
        <f t="shared" si="7"/>
        <v>88.104984093319189</v>
      </c>
      <c r="T28" s="559">
        <f t="shared" si="7"/>
        <v>88.018589888914079</v>
      </c>
      <c r="U28" s="559">
        <f t="shared" si="7"/>
        <v>86.972310937328999</v>
      </c>
      <c r="V28" s="559">
        <f t="shared" si="7"/>
        <v>87.19181566041901</v>
      </c>
      <c r="W28" s="559">
        <f t="shared" si="7"/>
        <v>87.006474135781374</v>
      </c>
      <c r="X28" s="559">
        <f t="shared" si="7"/>
        <v>86.484761030215566</v>
      </c>
      <c r="Y28" s="559">
        <f t="shared" si="7"/>
        <v>86.325592071286295</v>
      </c>
      <c r="Z28" s="559">
        <f t="shared" si="7"/>
        <v>86.135558000244473</v>
      </c>
      <c r="AA28" s="2">
        <f>+IFERROR(RANK(B28,(B$6,B$15,B$22,B$26,B$27,B$28,B$33),0),"")</f>
        <v>4</v>
      </c>
      <c r="AB28" s="2">
        <f>+IFERROR(RANK(C28,(C$6,C$15,C$22,C$26,C$27,C$28,C$33),0),"")</f>
        <v>4</v>
      </c>
      <c r="AC28" s="2">
        <f>+IFERROR(RANK(D28,(D$6,D$15,D$22,D$26,D$27,D$28,D$33),0),"")</f>
        <v>4</v>
      </c>
      <c r="AD28" s="2">
        <f>+IFERROR(RANK(E28,(E$6,E$15,E$22,E$26,E$27,E$28,E$33),0),"")</f>
        <v>4</v>
      </c>
      <c r="AE28" s="2">
        <f>+IFERROR(RANK(F28,(F$6,F$15,F$22,F$26,F$27,F$28,F$33),0),"")</f>
        <v>5</v>
      </c>
      <c r="AF28" s="2">
        <f>+IFERROR(RANK(G28,(G$6,G$15,G$22,G$26,G$27,G$28,G$33),0),"")</f>
        <v>5</v>
      </c>
      <c r="AG28" s="2">
        <f>+IFERROR(RANK(H28,(H$6,H$15,H$22,H$26,H$27,H$28,H$33),0),"")</f>
        <v>5</v>
      </c>
      <c r="AH28" s="2">
        <f>+IFERROR(RANK(I28,(I$6,I$15,I$22,I$26,I$27,I$28,I$33),0),"")</f>
        <v>5</v>
      </c>
      <c r="AI28" s="2">
        <f>+IFERROR(RANK(J28,(J$6,J$15,J$22,J$26,J$27,J$28,J$33),0),"")</f>
        <v>5</v>
      </c>
      <c r="AJ28" s="2">
        <f>+IFERROR(RANK(K28,(K$6,K$15,K$22,K$26,K$27,K$28,K$33),0),"")</f>
        <v>5</v>
      </c>
      <c r="AK28" s="2">
        <f>+IFERROR(RANK(L28,(L$6,L$15,L$22,L$26,L$27,L$28,L$33),0),"")</f>
        <v>5</v>
      </c>
    </row>
    <row r="29" spans="1:37" s="2" customFormat="1" ht="15" customHeight="1">
      <c r="A29" s="572" t="s">
        <v>519</v>
      </c>
      <c r="B29" s="713">
        <v>893.32</v>
      </c>
      <c r="C29" s="713">
        <v>884.28</v>
      </c>
      <c r="D29" s="713">
        <v>882.81</v>
      </c>
      <c r="E29" s="713">
        <v>894.34</v>
      </c>
      <c r="F29" s="713">
        <v>914.74</v>
      </c>
      <c r="G29" s="713">
        <v>916.54</v>
      </c>
      <c r="H29" s="713">
        <v>952</v>
      </c>
      <c r="I29" s="713">
        <v>976.17</v>
      </c>
      <c r="J29" s="713">
        <v>1023.18</v>
      </c>
      <c r="K29" s="713">
        <v>1108.18</v>
      </c>
      <c r="L29" s="713">
        <v>1180.01</v>
      </c>
      <c r="N29" s="559">
        <f t="shared" si="5"/>
        <v>32.092643173778711</v>
      </c>
      <c r="O29" s="419">
        <f t="shared" si="3"/>
        <v>286.68999999999994</v>
      </c>
      <c r="P29" s="559">
        <f t="shared" si="7"/>
        <v>98.222080506657576</v>
      </c>
      <c r="Q29" s="559">
        <f t="shared" si="7"/>
        <v>96.755769041392668</v>
      </c>
      <c r="R29" s="559">
        <f t="shared" si="7"/>
        <v>95.445109953078031</v>
      </c>
      <c r="S29" s="559">
        <f t="shared" si="7"/>
        <v>94.839872746553553</v>
      </c>
      <c r="T29" s="559">
        <f t="shared" si="7"/>
        <v>94.262278188825462</v>
      </c>
      <c r="U29" s="559">
        <f t="shared" si="7"/>
        <v>91.189843695589445</v>
      </c>
      <c r="V29" s="559">
        <f t="shared" si="7"/>
        <v>91.363640725918671</v>
      </c>
      <c r="W29" s="559">
        <f t="shared" si="7"/>
        <v>90.154880537879706</v>
      </c>
      <c r="X29" s="559">
        <f t="shared" si="7"/>
        <v>89.481831300013113</v>
      </c>
      <c r="Y29" s="559">
        <f t="shared" si="7"/>
        <v>90.844106339200081</v>
      </c>
      <c r="Z29" s="559">
        <f t="shared" si="7"/>
        <v>90.148667644542229</v>
      </c>
      <c r="AA29" s="2" t="str">
        <f>+IFERROR(RANK(B29,(B$6,B$15,B$22,B$26,B$27,B$28,B$33),0),"")</f>
        <v/>
      </c>
      <c r="AB29" s="2" t="str">
        <f>+IFERROR(RANK(C29,(C$6,C$15,C$22,C$26,C$27,C$28,C$33),0),"")</f>
        <v/>
      </c>
      <c r="AC29" s="2" t="str">
        <f>+IFERROR(RANK(D29,(D$6,D$15,D$22,D$26,D$27,D$28,D$33),0),"")</f>
        <v/>
      </c>
      <c r="AD29" s="2" t="str">
        <f>+IFERROR(RANK(E29,(E$6,E$15,E$22,E$26,E$27,E$28,E$33),0),"")</f>
        <v/>
      </c>
      <c r="AE29" s="2" t="str">
        <f>+IFERROR(RANK(F29,(F$6,F$15,F$22,F$26,F$27,F$28,F$33),0),"")</f>
        <v/>
      </c>
      <c r="AF29" s="2" t="str">
        <f>+IFERROR(RANK(G29,(G$6,G$15,G$22,G$26,G$27,G$28,G$33),0),"")</f>
        <v/>
      </c>
      <c r="AG29" s="2" t="str">
        <f>+IFERROR(RANK(H29,(H$6,H$15,H$22,H$26,H$27,H$28,H$33),0),"")</f>
        <v/>
      </c>
      <c r="AH29" s="2" t="str">
        <f>+IFERROR(RANK(I29,(I$6,I$15,I$22,I$26,I$27,I$28,I$33),0),"")</f>
        <v/>
      </c>
      <c r="AI29" s="2" t="str">
        <f>+IFERROR(RANK(J29,(J$6,J$15,J$22,J$26,J$27,J$28,J$33),0),"")</f>
        <v/>
      </c>
      <c r="AJ29" s="2" t="str">
        <f>+IFERROR(RANK(K29,(K$6,K$15,K$22,K$26,K$27,K$28,K$33),0),"")</f>
        <v/>
      </c>
      <c r="AK29" s="2" t="str">
        <f>+IFERROR(RANK(L29,(L$6,L$15,L$22,L$26,L$27,L$28,L$33),0),"")</f>
        <v/>
      </c>
    </row>
    <row r="30" spans="1:37" s="2" customFormat="1" ht="15" customHeight="1">
      <c r="A30" s="572" t="s">
        <v>520</v>
      </c>
      <c r="B30" s="713">
        <v>786.13</v>
      </c>
      <c r="C30" s="713">
        <v>793.32</v>
      </c>
      <c r="D30" s="713">
        <v>797.44</v>
      </c>
      <c r="E30" s="713">
        <v>822.89</v>
      </c>
      <c r="F30" s="713">
        <v>852.59</v>
      </c>
      <c r="G30" s="713">
        <v>885.25</v>
      </c>
      <c r="H30" s="713">
        <v>911.63</v>
      </c>
      <c r="I30" s="713">
        <v>950.68</v>
      </c>
      <c r="J30" s="713">
        <v>994.2</v>
      </c>
      <c r="K30" s="713">
        <v>1044.58</v>
      </c>
      <c r="L30" s="713">
        <v>1119.75</v>
      </c>
      <c r="N30" s="559">
        <f t="shared" si="5"/>
        <v>42.438273567984929</v>
      </c>
      <c r="O30" s="419">
        <f t="shared" si="3"/>
        <v>333.62</v>
      </c>
      <c r="P30" s="559">
        <f t="shared" si="7"/>
        <v>86.436354440400663</v>
      </c>
      <c r="Q30" s="559">
        <f t="shared" si="7"/>
        <v>86.803146849321067</v>
      </c>
      <c r="R30" s="559">
        <f t="shared" si="7"/>
        <v>86.215322074945391</v>
      </c>
      <c r="S30" s="559">
        <f t="shared" si="7"/>
        <v>87.262990455991513</v>
      </c>
      <c r="T30" s="559">
        <f t="shared" si="7"/>
        <v>87.857834751963068</v>
      </c>
      <c r="U30" s="559">
        <f t="shared" si="7"/>
        <v>88.076689649683104</v>
      </c>
      <c r="V30" s="559">
        <f t="shared" si="7"/>
        <v>87.489323314043318</v>
      </c>
      <c r="W30" s="559">
        <f t="shared" si="7"/>
        <v>87.800733304395209</v>
      </c>
      <c r="X30" s="559">
        <f t="shared" si="7"/>
        <v>86.947396038305129</v>
      </c>
      <c r="Y30" s="559">
        <f t="shared" si="7"/>
        <v>85.630436030068779</v>
      </c>
      <c r="Z30" s="559">
        <f t="shared" si="7"/>
        <v>85.545012834616799</v>
      </c>
      <c r="AA30" s="2" t="str">
        <f>+IFERROR(RANK(B30,(B$6,B$15,B$22,B$26,B$27,B$28,B$33),0),"")</f>
        <v/>
      </c>
      <c r="AB30" s="2" t="str">
        <f>+IFERROR(RANK(C30,(C$6,C$15,C$22,C$26,C$27,C$28,C$33),0),"")</f>
        <v/>
      </c>
      <c r="AC30" s="2" t="str">
        <f>+IFERROR(RANK(D30,(D$6,D$15,D$22,D$26,D$27,D$28,D$33),0),"")</f>
        <v/>
      </c>
      <c r="AD30" s="2" t="str">
        <f>+IFERROR(RANK(E30,(E$6,E$15,E$22,E$26,E$27,E$28,E$33),0),"")</f>
        <v/>
      </c>
      <c r="AE30" s="2" t="str">
        <f>+IFERROR(RANK(F30,(F$6,F$15,F$22,F$26,F$27,F$28,F$33),0),"")</f>
        <v/>
      </c>
      <c r="AF30" s="2" t="str">
        <f>+IFERROR(RANK(G30,(G$6,G$15,G$22,G$26,G$27,G$28,G$33),0),"")</f>
        <v/>
      </c>
      <c r="AG30" s="2" t="str">
        <f>+IFERROR(RANK(H30,(H$6,H$15,H$22,H$26,H$27,H$28,H$33),0),"")</f>
        <v/>
      </c>
      <c r="AH30" s="2" t="str">
        <f>+IFERROR(RANK(I30,(I$6,I$15,I$22,I$26,I$27,I$28,I$33),0),"")</f>
        <v/>
      </c>
      <c r="AI30" s="2" t="str">
        <f>+IFERROR(RANK(J30,(J$6,J$15,J$22,J$26,J$27,J$28,J$33),0),"")</f>
        <v/>
      </c>
      <c r="AJ30" s="2" t="str">
        <f>+IFERROR(RANK(K30,(K$6,K$15,K$22,K$26,K$27,K$28,K$33),0),"")</f>
        <v/>
      </c>
      <c r="AK30" s="2" t="str">
        <f>+IFERROR(RANK(L30,(L$6,L$15,L$22,L$26,L$27,L$28,L$33),0),"")</f>
        <v/>
      </c>
    </row>
    <row r="31" spans="1:37" s="2" customFormat="1" ht="15" customHeight="1">
      <c r="A31" s="572" t="s">
        <v>521</v>
      </c>
      <c r="B31" s="713">
        <v>754.22</v>
      </c>
      <c r="C31" s="713">
        <v>755.71</v>
      </c>
      <c r="D31" s="713">
        <v>767.83</v>
      </c>
      <c r="E31" s="713">
        <v>783.59</v>
      </c>
      <c r="F31" s="713">
        <v>805.96</v>
      </c>
      <c r="G31" s="713">
        <v>828.76</v>
      </c>
      <c r="H31" s="713">
        <v>863.38</v>
      </c>
      <c r="I31" s="713">
        <v>899.36</v>
      </c>
      <c r="J31" s="713">
        <v>939.13</v>
      </c>
      <c r="K31" s="713">
        <v>990.36</v>
      </c>
      <c r="L31" s="713">
        <v>1064.08</v>
      </c>
      <c r="N31" s="559">
        <f t="shared" si="5"/>
        <v>41.083503487046215</v>
      </c>
      <c r="O31" s="419">
        <f t="shared" si="3"/>
        <v>309.8599999999999</v>
      </c>
      <c r="P31" s="559">
        <f t="shared" si="7"/>
        <v>82.927794698127528</v>
      </c>
      <c r="Q31" s="559">
        <f t="shared" si="7"/>
        <v>82.68795203133719</v>
      </c>
      <c r="R31" s="559">
        <f t="shared" si="7"/>
        <v>83.0140333427033</v>
      </c>
      <c r="S31" s="559">
        <f t="shared" si="7"/>
        <v>83.09544008483563</v>
      </c>
      <c r="T31" s="559">
        <f t="shared" si="7"/>
        <v>83.052698831433815</v>
      </c>
      <c r="U31" s="559">
        <f t="shared" si="7"/>
        <v>82.456297445999851</v>
      </c>
      <c r="V31" s="559">
        <f t="shared" si="7"/>
        <v>82.858760640697128</v>
      </c>
      <c r="W31" s="559">
        <f t="shared" si="7"/>
        <v>83.061037893550804</v>
      </c>
      <c r="X31" s="559">
        <f t="shared" si="7"/>
        <v>82.131269403996669</v>
      </c>
      <c r="Y31" s="559">
        <f t="shared" si="7"/>
        <v>81.185700115586101</v>
      </c>
      <c r="Z31" s="559">
        <f t="shared" si="7"/>
        <v>81.292018090697951</v>
      </c>
      <c r="AA31" s="2" t="str">
        <f>+IFERROR(RANK(B31,(B$6,B$15,B$22,B$26,B$27,B$28,B$33),0),"")</f>
        <v/>
      </c>
      <c r="AB31" s="2" t="str">
        <f>+IFERROR(RANK(C31,(C$6,C$15,C$22,C$26,C$27,C$28,C$33),0),"")</f>
        <v/>
      </c>
      <c r="AC31" s="2" t="str">
        <f>+IFERROR(RANK(D31,(D$6,D$15,D$22,D$26,D$27,D$28,D$33),0),"")</f>
        <v/>
      </c>
      <c r="AD31" s="2" t="str">
        <f>+IFERROR(RANK(E31,(E$6,E$15,E$22,E$26,E$27,E$28,E$33),0),"")</f>
        <v/>
      </c>
      <c r="AE31" s="2" t="str">
        <f>+IFERROR(RANK(F31,(F$6,F$15,F$22,F$26,F$27,F$28,F$33),0),"")</f>
        <v/>
      </c>
      <c r="AF31" s="2" t="str">
        <f>+IFERROR(RANK(G31,(G$6,G$15,G$22,G$26,G$27,G$28,G$33),0),"")</f>
        <v/>
      </c>
      <c r="AG31" s="2" t="str">
        <f>+IFERROR(RANK(H31,(H$6,H$15,H$22,H$26,H$27,H$28,H$33),0),"")</f>
        <v/>
      </c>
      <c r="AH31" s="2" t="str">
        <f>+IFERROR(RANK(I31,(I$6,I$15,I$22,I$26,I$27,I$28,I$33),0),"")</f>
        <v/>
      </c>
      <c r="AI31" s="2" t="str">
        <f>+IFERROR(RANK(J31,(J$6,J$15,J$22,J$26,J$27,J$28,J$33),0),"")</f>
        <v/>
      </c>
      <c r="AJ31" s="2" t="str">
        <f>+IFERROR(RANK(K31,(K$6,K$15,K$22,K$26,K$27,K$28,K$33),0),"")</f>
        <v/>
      </c>
      <c r="AK31" s="2" t="str">
        <f>+IFERROR(RANK(L31,(L$6,L$15,L$22,L$26,L$27,L$28,L$33),0),"")</f>
        <v/>
      </c>
    </row>
    <row r="32" spans="1:37" s="2" customFormat="1" ht="15" customHeight="1">
      <c r="A32" s="572" t="s">
        <v>522</v>
      </c>
      <c r="B32" s="713">
        <v>791.91</v>
      </c>
      <c r="C32" s="713">
        <v>796.55</v>
      </c>
      <c r="D32" s="713">
        <v>804.02</v>
      </c>
      <c r="E32" s="713">
        <v>819.6</v>
      </c>
      <c r="F32" s="713">
        <v>839.16</v>
      </c>
      <c r="G32" s="713">
        <v>861.13</v>
      </c>
      <c r="H32" s="713">
        <v>898.01</v>
      </c>
      <c r="I32" s="713">
        <v>931.83</v>
      </c>
      <c r="J32" s="713">
        <v>984.11</v>
      </c>
      <c r="K32" s="713">
        <v>1049.8499999999999</v>
      </c>
      <c r="L32" s="713">
        <v>1125.55</v>
      </c>
      <c r="N32" s="559">
        <f t="shared" si="5"/>
        <v>42.131050245608726</v>
      </c>
      <c r="O32" s="419">
        <f t="shared" si="3"/>
        <v>333.64</v>
      </c>
      <c r="P32" s="559">
        <f t="shared" si="7"/>
        <v>87.071875446678902</v>
      </c>
      <c r="Q32" s="559">
        <f t="shared" si="7"/>
        <v>87.156565601304266</v>
      </c>
      <c r="R32" s="559">
        <f t="shared" si="7"/>
        <v>86.926719570999197</v>
      </c>
      <c r="S32" s="559">
        <f t="shared" si="7"/>
        <v>86.914103923647929</v>
      </c>
      <c r="T32" s="559">
        <f t="shared" si="7"/>
        <v>86.473897899878409</v>
      </c>
      <c r="U32" s="559">
        <f t="shared" si="7"/>
        <v>85.676904555810921</v>
      </c>
      <c r="V32" s="559">
        <f t="shared" si="7"/>
        <v>86.182209042313261</v>
      </c>
      <c r="W32" s="559">
        <f t="shared" si="7"/>
        <v>86.059828033654426</v>
      </c>
      <c r="X32" s="559">
        <f t="shared" si="7"/>
        <v>86.064978792251523</v>
      </c>
      <c r="Y32" s="559">
        <f t="shared" si="7"/>
        <v>86.062449277382015</v>
      </c>
      <c r="Z32" s="559">
        <f t="shared" si="7"/>
        <v>85.988112700158908</v>
      </c>
      <c r="AA32" s="2" t="str">
        <f>+IFERROR(RANK(B32,(B$6,B$15,B$22,B$26,B$27,B$28,B$33),0),"")</f>
        <v/>
      </c>
      <c r="AB32" s="2" t="str">
        <f>+IFERROR(RANK(C32,(C$6,C$15,C$22,C$26,C$27,C$28,C$33),0),"")</f>
        <v/>
      </c>
      <c r="AC32" s="2" t="str">
        <f>+IFERROR(RANK(D32,(D$6,D$15,D$22,D$26,D$27,D$28,D$33),0),"")</f>
        <v/>
      </c>
      <c r="AD32" s="2" t="str">
        <f>+IFERROR(RANK(E32,(E$6,E$15,E$22,E$26,E$27,E$28,E$33),0),"")</f>
        <v/>
      </c>
      <c r="AE32" s="2" t="str">
        <f>+IFERROR(RANK(F32,(F$6,F$15,F$22,F$26,F$27,F$28,F$33),0),"")</f>
        <v/>
      </c>
      <c r="AF32" s="2" t="str">
        <f>+IFERROR(RANK(G32,(G$6,G$15,G$22,G$26,G$27,G$28,G$33),0),"")</f>
        <v/>
      </c>
      <c r="AG32" s="2" t="str">
        <f>+IFERROR(RANK(H32,(H$6,H$15,H$22,H$26,H$27,H$28,H$33),0),"")</f>
        <v/>
      </c>
      <c r="AH32" s="2" t="str">
        <f>+IFERROR(RANK(I32,(I$6,I$15,I$22,I$26,I$27,I$28,I$33),0),"")</f>
        <v/>
      </c>
      <c r="AI32" s="2" t="str">
        <f>+IFERROR(RANK(J32,(J$6,J$15,J$22,J$26,J$27,J$28,J$33),0),"")</f>
        <v/>
      </c>
      <c r="AJ32" s="2" t="str">
        <f>+IFERROR(RANK(K32,(K$6,K$15,K$22,K$26,K$27,K$28,K$33),0),"")</f>
        <v/>
      </c>
      <c r="AK32" s="2" t="str">
        <f>+IFERROR(RANK(L32,(L$6,L$15,L$22,L$26,L$27,L$28,L$33),0),"")</f>
        <v/>
      </c>
    </row>
    <row r="33" spans="1:37" s="18" customFormat="1" ht="15" customHeight="1">
      <c r="A33" s="17" t="s">
        <v>523</v>
      </c>
      <c r="B33" s="715">
        <v>780.52</v>
      </c>
      <c r="C33" s="715">
        <v>781.12</v>
      </c>
      <c r="D33" s="715">
        <v>793.76</v>
      </c>
      <c r="E33" s="715">
        <v>810.99</v>
      </c>
      <c r="F33" s="715">
        <v>836.09</v>
      </c>
      <c r="G33" s="715">
        <v>861.15</v>
      </c>
      <c r="H33" s="715">
        <v>897.18</v>
      </c>
      <c r="I33" s="715">
        <v>928.44</v>
      </c>
      <c r="J33" s="715">
        <v>965.83</v>
      </c>
      <c r="K33" s="715">
        <v>1031.25</v>
      </c>
      <c r="L33" s="715">
        <v>1095.01</v>
      </c>
      <c r="N33" s="559">
        <f t="shared" si="5"/>
        <v>40.292369189770923</v>
      </c>
      <c r="O33" s="419">
        <f t="shared" si="3"/>
        <v>314.49</v>
      </c>
      <c r="P33" s="559">
        <f t="shared" si="7"/>
        <v>85.819525228424723</v>
      </c>
      <c r="Q33" s="559">
        <f t="shared" si="7"/>
        <v>85.468252491985169</v>
      </c>
      <c r="R33" s="559">
        <f t="shared" si="7"/>
        <v>85.817458429735979</v>
      </c>
      <c r="S33" s="559">
        <f t="shared" si="7"/>
        <v>86.001060445387068</v>
      </c>
      <c r="T33" s="559">
        <f t="shared" si="7"/>
        <v>86.157540034211991</v>
      </c>
      <c r="U33" s="559">
        <f t="shared" si="7"/>
        <v>85.67889442736471</v>
      </c>
      <c r="V33" s="559">
        <f t="shared" si="7"/>
        <v>86.102553767310624</v>
      </c>
      <c r="W33" s="559">
        <f t="shared" si="7"/>
        <v>85.746742152072926</v>
      </c>
      <c r="X33" s="559">
        <f t="shared" si="7"/>
        <v>84.466308102671732</v>
      </c>
      <c r="Y33" s="559">
        <f t="shared" si="7"/>
        <v>84.537696639805887</v>
      </c>
      <c r="Z33" s="559">
        <f t="shared" si="7"/>
        <v>83.654962718494076</v>
      </c>
      <c r="AA33" s="2">
        <f>+IFERROR(RANK(B33,(B$6,B$15,B$22,B$26,B$27,B$28,B$33),0),"")</f>
        <v>7</v>
      </c>
      <c r="AB33" s="2">
        <f>+IFERROR(RANK(C33,(C$6,C$15,C$22,C$26,C$27,C$28,C$33),0),"")</f>
        <v>7</v>
      </c>
      <c r="AC33" s="2">
        <f>+IFERROR(RANK(D33,(D$6,D$15,D$22,D$26,D$27,D$28,D$33),0),"")</f>
        <v>7</v>
      </c>
      <c r="AD33" s="2">
        <f>+IFERROR(RANK(E33,(E$6,E$15,E$22,E$26,E$27,E$28,E$33),0),"")</f>
        <v>7</v>
      </c>
      <c r="AE33" s="2">
        <f>+IFERROR(RANK(F33,(F$6,F$15,F$22,F$26,F$27,F$28,F$33),0),"")</f>
        <v>6</v>
      </c>
      <c r="AF33" s="2">
        <f>+IFERROR(RANK(G33,(G$6,G$15,G$22,G$26,G$27,G$28,G$33),0),"")</f>
        <v>6</v>
      </c>
      <c r="AG33" s="2">
        <f>+IFERROR(RANK(H33,(H$6,H$15,H$22,H$26,H$27,H$28,H$33),0),"")</f>
        <v>6</v>
      </c>
      <c r="AH33" s="2">
        <f>+IFERROR(RANK(I33,(I$6,I$15,I$22,I$26,I$27,I$28,I$33),0),"")</f>
        <v>7</v>
      </c>
      <c r="AI33" s="2">
        <f>+IFERROR(RANK(J33,(J$6,J$15,J$22,J$26,J$27,J$28,J$33),0),"")</f>
        <v>7</v>
      </c>
      <c r="AJ33" s="2">
        <f>+IFERROR(RANK(K33,(K$6,K$15,K$22,K$26,K$27,K$28,K$33),0),"")</f>
        <v>7</v>
      </c>
      <c r="AK33" s="2">
        <f>+IFERROR(RANK(L33,(L$6,L$15,L$22,L$26,L$27,L$28,L$33),0),"")</f>
        <v>7</v>
      </c>
    </row>
    <row r="34" spans="1:37" s="2" customFormat="1" ht="15" customHeight="1">
      <c r="A34" s="19" t="s">
        <v>769</v>
      </c>
      <c r="B34" s="296"/>
      <c r="C34" s="296"/>
      <c r="D34" s="140"/>
      <c r="E34" s="140"/>
      <c r="F34" s="140"/>
      <c r="G34" s="140"/>
      <c r="H34" s="140"/>
      <c r="I34" s="140"/>
      <c r="J34" s="140"/>
      <c r="K34" s="140"/>
      <c r="L34" s="140"/>
    </row>
    <row r="35" spans="1:37" s="2" customFormat="1" ht="25.5" customHeight="1">
      <c r="A35" s="995" t="s">
        <v>129</v>
      </c>
      <c r="B35" s="995"/>
      <c r="C35" s="995"/>
      <c r="D35" s="995"/>
      <c r="E35" s="995"/>
      <c r="F35" s="995"/>
      <c r="G35" s="995"/>
      <c r="H35" s="995"/>
      <c r="I35" s="995"/>
      <c r="J35" s="995"/>
      <c r="K35" s="995"/>
      <c r="L35" s="995"/>
    </row>
    <row r="36" spans="1:37" s="576" customFormat="1" ht="15.75" customHeight="1">
      <c r="B36" s="577"/>
      <c r="C36" s="577"/>
      <c r="N36" s="2"/>
      <c r="O36" s="2"/>
      <c r="P36" s="2"/>
      <c r="Q36" s="2"/>
      <c r="R36" s="2"/>
      <c r="S36" s="2"/>
      <c r="T36" s="2"/>
      <c r="U36" s="2"/>
      <c r="V36" s="2"/>
      <c r="W36" s="2"/>
      <c r="X36" s="2"/>
      <c r="Y36" s="2"/>
      <c r="Z36" s="2"/>
      <c r="AA36" s="2"/>
      <c r="AB36" s="2"/>
      <c r="AC36" s="2"/>
      <c r="AD36" s="2"/>
      <c r="AE36" s="2"/>
      <c r="AF36" s="2"/>
      <c r="AG36" s="2"/>
      <c r="AH36" s="2"/>
      <c r="AI36" s="2"/>
      <c r="AJ36" s="2"/>
      <c r="AK36" s="2"/>
    </row>
    <row r="37" spans="1:37" s="576" customFormat="1" ht="15.75" customHeight="1">
      <c r="B37" s="577"/>
      <c r="C37" s="577"/>
      <c r="N37" s="2"/>
      <c r="O37" s="2"/>
      <c r="P37" s="2"/>
      <c r="Q37" s="2"/>
      <c r="R37" s="2"/>
      <c r="S37" s="2"/>
      <c r="T37" s="2"/>
      <c r="U37" s="2"/>
      <c r="V37" s="2"/>
      <c r="W37" s="2"/>
      <c r="X37" s="2"/>
      <c r="Y37" s="2"/>
      <c r="Z37" s="2"/>
      <c r="AA37" s="2"/>
      <c r="AB37" s="2"/>
      <c r="AC37" s="2"/>
      <c r="AD37" s="2"/>
      <c r="AE37" s="2"/>
      <c r="AF37" s="2"/>
      <c r="AG37" s="2"/>
      <c r="AH37" s="2"/>
      <c r="AI37" s="2"/>
      <c r="AJ37" s="2"/>
      <c r="AK37" s="2"/>
    </row>
    <row r="38" spans="1:37" s="576" customFormat="1" ht="15.75" customHeight="1">
      <c r="B38" s="577"/>
      <c r="C38" s="577"/>
      <c r="N38" s="2"/>
      <c r="O38" s="2"/>
      <c r="P38" s="2"/>
      <c r="Q38" s="2"/>
      <c r="R38" s="2"/>
      <c r="S38" s="2"/>
      <c r="T38" s="2"/>
      <c r="U38" s="2"/>
      <c r="V38" s="2"/>
      <c r="W38" s="2"/>
      <c r="X38" s="2"/>
      <c r="Y38" s="2"/>
      <c r="Z38" s="2"/>
      <c r="AA38" s="2"/>
      <c r="AB38" s="2"/>
      <c r="AC38" s="2"/>
      <c r="AD38" s="2"/>
      <c r="AE38" s="2"/>
      <c r="AF38" s="2"/>
      <c r="AG38" s="2"/>
      <c r="AH38" s="2"/>
      <c r="AI38" s="2"/>
      <c r="AJ38" s="2"/>
      <c r="AK38" s="2"/>
    </row>
    <row r="39" spans="1:37" s="576" customFormat="1" ht="15.75" customHeight="1">
      <c r="B39" s="577"/>
      <c r="C39" s="577"/>
      <c r="N39" s="2"/>
      <c r="O39" s="2"/>
      <c r="P39" s="2"/>
      <c r="Q39" s="2"/>
      <c r="R39" s="2"/>
      <c r="S39" s="2"/>
      <c r="T39" s="2"/>
      <c r="U39" s="2"/>
      <c r="V39" s="2"/>
      <c r="W39" s="2"/>
      <c r="X39" s="2"/>
      <c r="Y39" s="2"/>
      <c r="Z39" s="2"/>
      <c r="AA39" s="2"/>
      <c r="AB39" s="2"/>
      <c r="AC39" s="2"/>
      <c r="AD39" s="2"/>
      <c r="AE39" s="2"/>
      <c r="AF39" s="2"/>
      <c r="AG39" s="2"/>
      <c r="AH39" s="2"/>
      <c r="AI39" s="2"/>
      <c r="AJ39" s="2"/>
      <c r="AK39" s="2"/>
    </row>
    <row r="40" spans="1:37" s="576" customFormat="1" ht="15.75" customHeight="1">
      <c r="B40" s="577"/>
      <c r="C40" s="577"/>
      <c r="N40" s="2"/>
      <c r="O40" s="2"/>
      <c r="P40" s="2"/>
      <c r="Q40" s="2"/>
      <c r="R40" s="2"/>
      <c r="S40" s="2"/>
      <c r="T40" s="2"/>
      <c r="U40" s="2"/>
      <c r="V40" s="2"/>
      <c r="W40" s="2"/>
      <c r="X40" s="2"/>
      <c r="Y40" s="2"/>
      <c r="Z40" s="2"/>
      <c r="AA40" s="2"/>
      <c r="AB40" s="2"/>
      <c r="AC40" s="2"/>
      <c r="AD40" s="2"/>
      <c r="AE40" s="2"/>
      <c r="AF40" s="2"/>
      <c r="AG40" s="2"/>
      <c r="AH40" s="2"/>
      <c r="AI40" s="2"/>
      <c r="AJ40" s="2"/>
      <c r="AK40" s="2"/>
    </row>
    <row r="41" spans="1:37" s="576" customFormat="1" ht="15.75" customHeight="1">
      <c r="B41" s="577"/>
      <c r="C41" s="577"/>
      <c r="N41" s="2"/>
      <c r="O41" s="2"/>
      <c r="P41" s="2"/>
      <c r="Q41" s="2"/>
      <c r="R41" s="2"/>
      <c r="S41" s="2"/>
      <c r="T41" s="2"/>
      <c r="U41" s="2"/>
      <c r="V41" s="2"/>
      <c r="W41" s="2"/>
      <c r="X41" s="2"/>
      <c r="Y41" s="2"/>
      <c r="Z41" s="2"/>
      <c r="AA41" s="2"/>
      <c r="AB41" s="2"/>
      <c r="AC41" s="2"/>
      <c r="AD41" s="2"/>
      <c r="AE41" s="2"/>
      <c r="AF41" s="2"/>
      <c r="AG41" s="2"/>
      <c r="AH41" s="2"/>
      <c r="AI41" s="2"/>
      <c r="AJ41" s="2"/>
      <c r="AK41" s="2"/>
    </row>
    <row r="42" spans="1:37" s="576" customFormat="1" ht="15.75" customHeight="1">
      <c r="B42" s="577"/>
      <c r="C42" s="577"/>
      <c r="N42" s="2"/>
      <c r="O42" s="2"/>
      <c r="P42" s="2"/>
      <c r="Q42" s="2"/>
      <c r="R42" s="2"/>
      <c r="S42" s="2"/>
      <c r="T42" s="2"/>
      <c r="U42" s="2"/>
      <c r="V42" s="2"/>
      <c r="W42" s="2"/>
      <c r="X42" s="2"/>
      <c r="Y42" s="2"/>
      <c r="Z42" s="2"/>
      <c r="AA42" s="2"/>
      <c r="AB42" s="2"/>
      <c r="AC42" s="2"/>
      <c r="AD42" s="2"/>
      <c r="AE42" s="2"/>
      <c r="AF42" s="2"/>
      <c r="AG42" s="2"/>
      <c r="AH42" s="2"/>
      <c r="AI42" s="2"/>
      <c r="AJ42" s="2"/>
      <c r="AK42" s="2"/>
    </row>
  </sheetData>
  <mergeCells count="2">
    <mergeCell ref="A1:L1"/>
    <mergeCell ref="A35:L35"/>
  </mergeCells>
  <conditionalFormatting sqref="A1 A35 H3 A2:D2 A36:D1048576 A4:C4 A3:B3 B34:D34 B5:L6 M1:M1048576 AM1:XFD1048576">
    <cfRule type="cellIs" dxfId="1093" priority="32" operator="equal">
      <formula>0</formula>
    </cfRule>
  </conditionalFormatting>
  <conditionalFormatting sqref="D4">
    <cfRule type="cellIs" dxfId="1092" priority="30" operator="equal">
      <formula>0</formula>
    </cfRule>
  </conditionalFormatting>
  <conditionalFormatting sqref="G2 G34 G36:G1048576">
    <cfRule type="cellIs" dxfId="1091" priority="29" operator="equal">
      <formula>0</formula>
    </cfRule>
  </conditionalFormatting>
  <conditionalFormatting sqref="E2 E34 E36:E1048576">
    <cfRule type="cellIs" dxfId="1090" priority="28" operator="equal">
      <formula>0</formula>
    </cfRule>
  </conditionalFormatting>
  <conditionalFormatting sqref="E4:G4">
    <cfRule type="cellIs" dxfId="1089" priority="27" operator="equal">
      <formula>0</formula>
    </cfRule>
  </conditionalFormatting>
  <conditionalFormatting sqref="F2 F34 F36:F1048576">
    <cfRule type="cellIs" dxfId="1088" priority="26" operator="equal">
      <formula>0</formula>
    </cfRule>
  </conditionalFormatting>
  <conditionalFormatting sqref="H2 H34 H36:H1048576">
    <cfRule type="cellIs" dxfId="1087" priority="25" operator="equal">
      <formula>0</formula>
    </cfRule>
  </conditionalFormatting>
  <conditionalFormatting sqref="H4">
    <cfRule type="cellIs" dxfId="1086" priority="24" operator="equal">
      <formula>0</formula>
    </cfRule>
  </conditionalFormatting>
  <conditionalFormatting sqref="I3">
    <cfRule type="cellIs" dxfId="1085" priority="23" operator="equal">
      <formula>0</formula>
    </cfRule>
  </conditionalFormatting>
  <conditionalFormatting sqref="I2 I34 I36:I1048576">
    <cfRule type="cellIs" dxfId="1084" priority="22" operator="equal">
      <formula>0</formula>
    </cfRule>
  </conditionalFormatting>
  <conditionalFormatting sqref="I4">
    <cfRule type="cellIs" dxfId="1083" priority="21" operator="equal">
      <formula>0</formula>
    </cfRule>
  </conditionalFormatting>
  <conditionalFormatting sqref="J3">
    <cfRule type="cellIs" dxfId="1082" priority="19" operator="equal">
      <formula>0</formula>
    </cfRule>
  </conditionalFormatting>
  <conditionalFormatting sqref="J2 J34 J36:J1048576">
    <cfRule type="cellIs" dxfId="1081" priority="18" operator="equal">
      <formula>0</formula>
    </cfRule>
  </conditionalFormatting>
  <conditionalFormatting sqref="J4">
    <cfRule type="cellIs" dxfId="1080" priority="17" operator="equal">
      <formula>0</formula>
    </cfRule>
  </conditionalFormatting>
  <conditionalFormatting sqref="K3">
    <cfRule type="cellIs" dxfId="1079" priority="16" operator="equal">
      <formula>0</formula>
    </cfRule>
  </conditionalFormatting>
  <conditionalFormatting sqref="K2 K34 K36:K1048576">
    <cfRule type="cellIs" dxfId="1078" priority="15" operator="equal">
      <formula>0</formula>
    </cfRule>
  </conditionalFormatting>
  <conditionalFormatting sqref="K4">
    <cfRule type="cellIs" dxfId="1077" priority="14" operator="equal">
      <formula>0</formula>
    </cfRule>
  </conditionalFormatting>
  <conditionalFormatting sqref="L3">
    <cfRule type="cellIs" dxfId="1076" priority="13" operator="equal">
      <formula>0</formula>
    </cfRule>
  </conditionalFormatting>
  <conditionalFormatting sqref="L2 L34 L36:L1048576">
    <cfRule type="cellIs" dxfId="1075" priority="12" operator="equal">
      <formula>0</formula>
    </cfRule>
  </conditionalFormatting>
  <conditionalFormatting sqref="L4">
    <cfRule type="cellIs" dxfId="1074" priority="11" operator="equal">
      <formula>0</formula>
    </cfRule>
  </conditionalFormatting>
  <conditionalFormatting sqref="B7:L14">
    <cfRule type="expression" dxfId="1073" priority="9">
      <formula>B7=MAX(B$7:B$14)</formula>
    </cfRule>
    <cfRule type="expression" dxfId="1072" priority="10">
      <formula>B7=MIN(B$7:B$14)</formula>
    </cfRule>
  </conditionalFormatting>
  <conditionalFormatting sqref="B16:L21">
    <cfRule type="expression" dxfId="1071" priority="7">
      <formula>B16=MAX(B$16:B$21)</formula>
    </cfRule>
    <cfRule type="expression" dxfId="1070" priority="8">
      <formula>B16=MIN(B$16:B$21)</formula>
    </cfRule>
  </conditionalFormatting>
  <conditionalFormatting sqref="B23:L25">
    <cfRule type="expression" dxfId="1069" priority="5">
      <formula>B23=MAX(B$23:B$25)</formula>
    </cfRule>
    <cfRule type="expression" dxfId="1068" priority="6">
      <formula>B23=MIN(B$23:B$25)</formula>
    </cfRule>
  </conditionalFormatting>
  <conditionalFormatting sqref="B29:L32">
    <cfRule type="expression" dxfId="1067" priority="3">
      <formula>B29=MAX(B$29:B$32)</formula>
    </cfRule>
    <cfRule type="expression" dxfId="1066" priority="4">
      <formula>B29=MIN(B$29:B$32)</formula>
    </cfRule>
  </conditionalFormatting>
  <conditionalFormatting sqref="AL1:AL1048576">
    <cfRule type="cellIs" dxfId="1065" priority="2" operator="equal">
      <formula>0</formula>
    </cfRule>
  </conditionalFormatting>
  <conditionalFormatting sqref="A34">
    <cfRule type="cellIs" dxfId="1064"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6AFCA-8C54-4415-80BC-FCD62F9335A4}">
  <sheetPr>
    <tabColor rgb="FFE1EAEF"/>
  </sheetPr>
  <dimension ref="A1:AT77"/>
  <sheetViews>
    <sheetView showGridLines="0" topLeftCell="A22" workbookViewId="0">
      <selection activeCell="Y70" sqref="Y70"/>
    </sheetView>
  </sheetViews>
  <sheetFormatPr defaultColWidth="9.140625" defaultRowHeight="11.25"/>
  <cols>
    <col min="1" max="1" width="26.28515625" style="2" customWidth="1"/>
    <col min="2" max="12" width="8.140625" style="2" customWidth="1"/>
    <col min="13" max="14" width="5.85546875" style="2" bestFit="1" customWidth="1"/>
    <col min="15" max="15" width="5.85546875" style="677" bestFit="1" customWidth="1"/>
    <col min="16" max="16" width="13" style="677" customWidth="1"/>
    <col min="17" max="17" width="7.7109375" style="677" bestFit="1" customWidth="1"/>
    <col min="18" max="18" width="5.85546875" style="677" bestFit="1" customWidth="1"/>
    <col min="19" max="19" width="6.7109375" style="677" bestFit="1" customWidth="1"/>
    <col min="20" max="20" width="5.85546875" style="677" bestFit="1" customWidth="1"/>
    <col min="21" max="21" width="11.5703125" style="677" customWidth="1"/>
    <col min="22" max="23" width="7.7109375" style="677" bestFit="1" customWidth="1"/>
    <col min="24" max="46" width="9.140625" style="677"/>
    <col min="47" max="16384" width="9.140625" style="2"/>
  </cols>
  <sheetData>
    <row r="1" spans="1:46" s="1" customFormat="1" ht="29.25" customHeight="1">
      <c r="A1" s="988" t="s">
        <v>784</v>
      </c>
      <c r="B1" s="982"/>
      <c r="C1" s="982"/>
      <c r="D1" s="982"/>
      <c r="E1" s="982"/>
      <c r="F1" s="982"/>
      <c r="G1" s="982"/>
      <c r="H1" s="982"/>
      <c r="I1" s="982"/>
      <c r="J1" s="982"/>
      <c r="K1" s="982"/>
      <c r="L1" s="982"/>
      <c r="O1" s="690"/>
      <c r="P1" s="675"/>
      <c r="Q1" s="673"/>
      <c r="R1" s="673"/>
      <c r="S1" s="673"/>
      <c r="T1" s="673"/>
      <c r="U1" s="691"/>
      <c r="V1" s="673"/>
      <c r="W1" s="673"/>
      <c r="X1" s="673"/>
      <c r="Y1" s="673"/>
      <c r="Z1" s="673"/>
      <c r="AA1" s="673"/>
      <c r="AB1" s="673"/>
      <c r="AC1" s="673"/>
      <c r="AD1" s="673"/>
      <c r="AE1" s="673"/>
      <c r="AF1" s="673"/>
      <c r="AG1" s="673"/>
      <c r="AH1" s="673"/>
      <c r="AI1" s="673"/>
      <c r="AJ1" s="673"/>
      <c r="AK1" s="673"/>
      <c r="AL1" s="673"/>
      <c r="AM1" s="673"/>
      <c r="AN1" s="673"/>
      <c r="AO1" s="673"/>
      <c r="AP1" s="673"/>
      <c r="AQ1" s="673"/>
      <c r="AR1" s="673"/>
      <c r="AS1" s="673"/>
      <c r="AT1" s="673"/>
    </row>
    <row r="2" spans="1:46" ht="15" customHeight="1">
      <c r="A2" s="9"/>
      <c r="B2" s="172"/>
      <c r="C2" s="172"/>
      <c r="D2" s="172"/>
      <c r="E2" s="172"/>
      <c r="F2" s="172"/>
      <c r="G2" s="172"/>
      <c r="H2" s="172"/>
      <c r="I2" s="172"/>
      <c r="J2" s="172"/>
      <c r="K2" s="172"/>
      <c r="L2" s="172"/>
      <c r="O2" s="692"/>
    </row>
    <row r="3" spans="1:46" ht="15" customHeight="1">
      <c r="A3" s="11" t="s">
        <v>41</v>
      </c>
      <c r="B3" s="172"/>
      <c r="C3" s="172"/>
      <c r="D3" s="172"/>
      <c r="E3" s="172"/>
      <c r="F3" s="172"/>
      <c r="G3" s="172"/>
      <c r="H3" s="172"/>
      <c r="I3" s="172"/>
      <c r="J3" s="172"/>
      <c r="K3" s="172"/>
      <c r="L3" s="574" t="s">
        <v>67</v>
      </c>
      <c r="O3" s="692"/>
      <c r="Q3" s="678"/>
      <c r="R3" s="678"/>
      <c r="S3" s="678"/>
      <c r="T3" s="678"/>
      <c r="U3" s="678"/>
      <c r="V3" s="678"/>
      <c r="W3" s="678"/>
      <c r="X3" s="678"/>
      <c r="Y3" s="678"/>
      <c r="Z3" s="678"/>
      <c r="AA3" s="678"/>
    </row>
    <row r="4" spans="1:46" ht="28.5" customHeight="1" thickBot="1">
      <c r="A4" s="13"/>
      <c r="B4" s="14">
        <v>2014</v>
      </c>
      <c r="C4" s="14">
        <v>2015</v>
      </c>
      <c r="D4" s="14">
        <v>2016</v>
      </c>
      <c r="E4" s="14">
        <v>2017</v>
      </c>
      <c r="F4" s="14">
        <v>2018</v>
      </c>
      <c r="G4" s="14">
        <v>2019</v>
      </c>
      <c r="H4" s="14">
        <v>2020</v>
      </c>
      <c r="I4" s="14">
        <v>2021</v>
      </c>
      <c r="J4" s="14">
        <v>2022</v>
      </c>
      <c r="K4" s="14">
        <v>2023</v>
      </c>
      <c r="L4" s="14">
        <v>2024</v>
      </c>
      <c r="O4" s="649"/>
      <c r="P4" s="560">
        <f>+B4</f>
        <v>2014</v>
      </c>
      <c r="Q4" s="560">
        <f t="shared" ref="Q4:W4" si="0">+C4</f>
        <v>2015</v>
      </c>
      <c r="R4" s="560">
        <f t="shared" si="0"/>
        <v>2016</v>
      </c>
      <c r="S4" s="560">
        <f t="shared" si="0"/>
        <v>2017</v>
      </c>
      <c r="T4" s="560">
        <f t="shared" si="0"/>
        <v>2018</v>
      </c>
      <c r="U4" s="560">
        <f t="shared" si="0"/>
        <v>2019</v>
      </c>
      <c r="V4" s="560">
        <f t="shared" si="0"/>
        <v>2020</v>
      </c>
      <c r="W4" s="560">
        <f t="shared" si="0"/>
        <v>2021</v>
      </c>
      <c r="X4" s="560">
        <f>+J4</f>
        <v>2022</v>
      </c>
      <c r="Y4" s="560">
        <f t="shared" ref="Y4:Z4" si="1">+K4</f>
        <v>2023</v>
      </c>
      <c r="Z4" s="560">
        <f t="shared" si="1"/>
        <v>2024</v>
      </c>
      <c r="AA4" s="560">
        <f>+B4</f>
        <v>2014</v>
      </c>
      <c r="AB4" s="560">
        <f t="shared" ref="AB4:AJ4" si="2">+C4</f>
        <v>2015</v>
      </c>
      <c r="AC4" s="560">
        <f t="shared" si="2"/>
        <v>2016</v>
      </c>
      <c r="AD4" s="560">
        <f t="shared" si="2"/>
        <v>2017</v>
      </c>
      <c r="AE4" s="560">
        <f t="shared" si="2"/>
        <v>2018</v>
      </c>
      <c r="AF4" s="560">
        <f t="shared" si="2"/>
        <v>2019</v>
      </c>
      <c r="AG4" s="560">
        <f t="shared" si="2"/>
        <v>2020</v>
      </c>
      <c r="AH4" s="560">
        <f t="shared" si="2"/>
        <v>2021</v>
      </c>
      <c r="AI4" s="560">
        <f t="shared" si="2"/>
        <v>2022</v>
      </c>
      <c r="AJ4" s="560">
        <f t="shared" si="2"/>
        <v>2023</v>
      </c>
      <c r="AK4" s="560">
        <f>+L4</f>
        <v>2024</v>
      </c>
    </row>
    <row r="5" spans="1:46" ht="20.25" customHeight="1" thickTop="1">
      <c r="A5" s="113" t="s">
        <v>11</v>
      </c>
      <c r="B5" s="87">
        <v>909.49</v>
      </c>
      <c r="C5" s="87">
        <v>913.93</v>
      </c>
      <c r="D5" s="87">
        <v>924.94</v>
      </c>
      <c r="E5" s="87">
        <v>943</v>
      </c>
      <c r="F5" s="87">
        <v>970.42</v>
      </c>
      <c r="G5" s="87">
        <v>1005.09</v>
      </c>
      <c r="H5" s="87">
        <v>1041.99</v>
      </c>
      <c r="I5" s="87">
        <v>1082.77</v>
      </c>
      <c r="J5" s="87">
        <v>1143.45</v>
      </c>
      <c r="K5" s="87">
        <v>1219.8699999999999</v>
      </c>
      <c r="L5" s="87">
        <v>1308.96</v>
      </c>
      <c r="O5" s="2"/>
      <c r="P5" s="2"/>
      <c r="Q5" s="2"/>
      <c r="R5" s="2"/>
      <c r="S5" s="2"/>
      <c r="T5" s="2"/>
      <c r="U5" s="2"/>
      <c r="V5" s="2"/>
      <c r="W5" s="2"/>
      <c r="X5" s="2"/>
      <c r="Y5" s="2"/>
      <c r="Z5" s="2"/>
      <c r="AA5" s="2"/>
      <c r="AB5" s="2"/>
      <c r="AC5" s="2"/>
      <c r="AD5" s="2"/>
      <c r="AE5" s="2"/>
      <c r="AF5" s="2"/>
      <c r="AG5" s="2"/>
      <c r="AH5" s="2"/>
      <c r="AI5" s="2"/>
      <c r="AJ5" s="2"/>
      <c r="AK5" s="2"/>
    </row>
    <row r="6" spans="1:46" ht="20.100000000000001" customHeight="1">
      <c r="A6" s="15" t="s">
        <v>496</v>
      </c>
      <c r="B6" s="87">
        <v>812.01</v>
      </c>
      <c r="C6" s="87">
        <v>820.07</v>
      </c>
      <c r="D6" s="87">
        <v>834.01</v>
      </c>
      <c r="E6" s="87">
        <v>854.76</v>
      </c>
      <c r="F6" s="87">
        <v>887.44</v>
      </c>
      <c r="G6" s="87">
        <v>924.5</v>
      </c>
      <c r="H6" s="87">
        <v>965.76</v>
      </c>
      <c r="I6" s="87">
        <v>1006.75</v>
      </c>
      <c r="J6" s="87">
        <v>1063.21</v>
      </c>
      <c r="K6" s="87">
        <v>1137.22</v>
      </c>
      <c r="L6" s="87">
        <v>1233.0899999999999</v>
      </c>
      <c r="N6" s="559">
        <f>+(L6/B6-1)*100</f>
        <v>51.856504230243459</v>
      </c>
      <c r="O6" s="419">
        <f t="shared" ref="O6" si="3">+L6-B6</f>
        <v>421.07999999999993</v>
      </c>
      <c r="P6" s="559">
        <f>B6*100/B$5</f>
        <v>89.281905243598061</v>
      </c>
      <c r="Q6" s="559">
        <f t="shared" ref="Q6:Z6" si="4">C6*100/C$5</f>
        <v>89.730066854135444</v>
      </c>
      <c r="R6" s="559">
        <f t="shared" si="4"/>
        <v>90.169092049214001</v>
      </c>
      <c r="S6" s="559">
        <f t="shared" si="4"/>
        <v>90.642629904559911</v>
      </c>
      <c r="T6" s="559">
        <f t="shared" si="4"/>
        <v>91.449063292182771</v>
      </c>
      <c r="U6" s="559">
        <f t="shared" si="4"/>
        <v>91.98181257399834</v>
      </c>
      <c r="V6" s="559">
        <f t="shared" si="4"/>
        <v>92.684190827167242</v>
      </c>
      <c r="W6" s="559">
        <f t="shared" si="4"/>
        <v>92.979118372322844</v>
      </c>
      <c r="X6" s="559">
        <f t="shared" si="4"/>
        <v>92.982640255367528</v>
      </c>
      <c r="Y6" s="559">
        <f t="shared" si="4"/>
        <v>93.224687876577022</v>
      </c>
      <c r="Z6" s="559">
        <f t="shared" si="4"/>
        <v>94.203795379537937</v>
      </c>
      <c r="AA6" s="2">
        <f>+IFERROR(RANK(B6,(B$6,B$15,B$22,B$26,B$27,B$28,B$33),0),"")</f>
        <v>2</v>
      </c>
      <c r="AB6" s="2">
        <f>+IFERROR(RANK(C6,(C$6,C$15,C$22,C$26,C$27,C$28,C$33),0),"")</f>
        <v>2</v>
      </c>
      <c r="AC6" s="2">
        <f>+IFERROR(RANK(D6,(D$6,D$15,D$22,D$26,D$27,D$28,D$33),0),"")</f>
        <v>2</v>
      </c>
      <c r="AD6" s="2">
        <f>+IFERROR(RANK(E6,(E$6,E$15,E$22,E$26,E$27,E$28,E$33),0),"")</f>
        <v>2</v>
      </c>
      <c r="AE6" s="2">
        <f>+IFERROR(RANK(F6,(F$6,F$15,F$22,F$26,F$27,F$28,F$33),0),"")</f>
        <v>2</v>
      </c>
      <c r="AF6" s="2">
        <f>+IFERROR(RANK(G6,(G$6,G$15,G$22,G$26,G$27,G$28,G$33),0),"")</f>
        <v>1</v>
      </c>
      <c r="AG6" s="2">
        <f>+IFERROR(RANK(H6,(H$6,H$15,H$22,H$26,H$27,H$28,H$33),0),"")</f>
        <v>1</v>
      </c>
      <c r="AH6" s="2">
        <f>+IFERROR(RANK(I6,(I$6,I$15,I$22,I$26,I$27,I$28,I$33),0),"")</f>
        <v>1</v>
      </c>
      <c r="AI6" s="2">
        <f>+IFERROR(RANK(J6,(J$6,J$15,J$22,J$26,J$27,J$28,J$33),0),"")</f>
        <v>1</v>
      </c>
      <c r="AJ6" s="2">
        <f>+IFERROR(RANK(K6,(K$6,K$15,K$22,K$26,K$27,K$28,K$33),0),"")</f>
        <v>1</v>
      </c>
      <c r="AK6" s="2">
        <f>+IFERROR(RANK(L6,(L$6,L$15,L$22,L$26,L$27,L$28,L$33),0),"")</f>
        <v>1</v>
      </c>
    </row>
    <row r="7" spans="1:46" ht="18" customHeight="1">
      <c r="A7" s="572" t="s">
        <v>497</v>
      </c>
      <c r="B7" s="711">
        <v>729.89</v>
      </c>
      <c r="C7" s="711">
        <v>741.65</v>
      </c>
      <c r="D7" s="711">
        <v>746.72</v>
      </c>
      <c r="E7" s="711">
        <v>782.27</v>
      </c>
      <c r="F7" s="711">
        <v>802.92</v>
      </c>
      <c r="G7" s="711">
        <v>834.97</v>
      </c>
      <c r="H7" s="711">
        <v>865.76</v>
      </c>
      <c r="I7" s="711">
        <v>907.38</v>
      </c>
      <c r="J7" s="711">
        <v>955.67</v>
      </c>
      <c r="K7" s="711">
        <v>1022.16</v>
      </c>
      <c r="L7" s="711">
        <v>1098.82</v>
      </c>
      <c r="N7" s="559">
        <f t="shared" ref="N7:N31" si="5">+(L7/B7-1)*100</f>
        <v>50.545972680814913</v>
      </c>
      <c r="O7" s="419">
        <f t="shared" ref="O7:O31" si="6">+L7-B7</f>
        <v>368.92999999999995</v>
      </c>
      <c r="P7" s="559">
        <f t="shared" ref="P7:P31" si="7">B7*100/B$5</f>
        <v>80.252669078274636</v>
      </c>
      <c r="Q7" s="559">
        <f t="shared" ref="Q7:Q31" si="8">C7*100/C$5</f>
        <v>81.149540993292703</v>
      </c>
      <c r="R7" s="559">
        <f t="shared" ref="R7:R31" si="9">D7*100/D$5</f>
        <v>80.731723138798188</v>
      </c>
      <c r="S7" s="559">
        <f t="shared" ref="S7:S31" si="10">E7*100/E$5</f>
        <v>82.955461293743369</v>
      </c>
      <c r="T7" s="559">
        <f t="shared" ref="T7:T31" si="11">F7*100/F$5</f>
        <v>82.739432410708773</v>
      </c>
      <c r="U7" s="559">
        <f t="shared" ref="U7:U31" si="12">G7*100/G$5</f>
        <v>83.074152563452031</v>
      </c>
      <c r="V7" s="559">
        <f t="shared" ref="V7:V31" si="13">H7*100/H$5</f>
        <v>83.087169742511918</v>
      </c>
      <c r="W7" s="559">
        <f t="shared" ref="W7:W31" si="14">I7*100/I$5</f>
        <v>83.801730746141843</v>
      </c>
      <c r="X7" s="559">
        <f t="shared" ref="X7:X31" si="15">J7*100/J$5</f>
        <v>83.577769032314478</v>
      </c>
      <c r="Y7" s="559">
        <f t="shared" ref="Y7:Y31" si="16">K7*100/K$5</f>
        <v>83.792535270151745</v>
      </c>
      <c r="Z7" s="559">
        <f t="shared" ref="Z7:Z31" si="17">L7*100/L$5</f>
        <v>83.946033492238115</v>
      </c>
      <c r="AA7" s="2" t="str">
        <f>+IFERROR(RANK(B7,(B$6,B$15,B$22,B$26,B$27,B$28,B$33),0),"")</f>
        <v/>
      </c>
      <c r="AB7" s="2" t="str">
        <f>+IFERROR(RANK(C7,(C$6,C$15,C$22,C$26,C$27,C$28,C$33),0),"")</f>
        <v/>
      </c>
      <c r="AC7" s="2" t="str">
        <f>+IFERROR(RANK(D7,(D$6,D$15,D$22,D$26,D$27,D$28,D$33),0),"")</f>
        <v/>
      </c>
      <c r="AD7" s="2" t="str">
        <f>+IFERROR(RANK(E7,(E$6,E$15,E$22,E$26,E$27,E$28,E$33),0),"")</f>
        <v/>
      </c>
      <c r="AE7" s="2" t="str">
        <f>+IFERROR(RANK(F7,(F$6,F$15,F$22,F$26,F$27,F$28,F$33),0),"")</f>
        <v/>
      </c>
      <c r="AF7" s="2" t="str">
        <f>+IFERROR(RANK(G7,(G$6,G$15,G$22,G$26,G$27,G$28,G$33),0),"")</f>
        <v/>
      </c>
      <c r="AG7" s="2" t="str">
        <f>+IFERROR(RANK(H7,(H$6,H$15,H$22,H$26,H$27,H$28,H$33),0),"")</f>
        <v/>
      </c>
      <c r="AH7" s="2" t="str">
        <f>+IFERROR(RANK(I7,(I$6,I$15,I$22,I$26,I$27,I$28,I$33),0),"")</f>
        <v/>
      </c>
      <c r="AI7" s="2" t="str">
        <f>+IFERROR(RANK(J7,(J$6,J$15,J$22,J$26,J$27,J$28,J$33),0),"")</f>
        <v/>
      </c>
      <c r="AJ7" s="2" t="str">
        <f>+IFERROR(RANK(K7,(K$6,K$15,K$22,K$26,K$27,K$28,K$33),0),"")</f>
        <v/>
      </c>
      <c r="AK7" s="2" t="str">
        <f>+IFERROR(RANK(L7,(L$6,L$15,L$22,L$26,L$27,L$28,L$33),0),"")</f>
        <v/>
      </c>
    </row>
    <row r="8" spans="1:46" ht="18" customHeight="1">
      <c r="A8" s="572" t="s">
        <v>498</v>
      </c>
      <c r="B8" s="711">
        <v>759.84</v>
      </c>
      <c r="C8" s="711">
        <v>761.41</v>
      </c>
      <c r="D8" s="711">
        <v>779.14</v>
      </c>
      <c r="E8" s="711">
        <v>804.2</v>
      </c>
      <c r="F8" s="711">
        <v>837.41</v>
      </c>
      <c r="G8" s="711">
        <v>882.73</v>
      </c>
      <c r="H8" s="711">
        <v>926.11</v>
      </c>
      <c r="I8" s="711">
        <v>973.97</v>
      </c>
      <c r="J8" s="711">
        <v>1014.07</v>
      </c>
      <c r="K8" s="711">
        <v>1092.31</v>
      </c>
      <c r="L8" s="711">
        <v>1183.58</v>
      </c>
      <c r="N8" s="559">
        <f t="shared" si="5"/>
        <v>55.767003579700969</v>
      </c>
      <c r="O8" s="419">
        <f t="shared" si="6"/>
        <v>423.7399999999999</v>
      </c>
      <c r="P8" s="559">
        <f t="shared" si="7"/>
        <v>83.545723427415368</v>
      </c>
      <c r="Q8" s="559">
        <f t="shared" si="8"/>
        <v>83.311632181895774</v>
      </c>
      <c r="R8" s="559">
        <f t="shared" si="9"/>
        <v>84.236815360996388</v>
      </c>
      <c r="S8" s="559">
        <f t="shared" si="10"/>
        <v>85.281018027571577</v>
      </c>
      <c r="T8" s="559">
        <f t="shared" si="11"/>
        <v>86.293563611632081</v>
      </c>
      <c r="U8" s="559">
        <f t="shared" si="12"/>
        <v>87.825965833905414</v>
      </c>
      <c r="V8" s="559">
        <f t="shared" si="13"/>
        <v>88.878971967101407</v>
      </c>
      <c r="W8" s="559">
        <f t="shared" si="14"/>
        <v>89.951697959862202</v>
      </c>
      <c r="X8" s="559">
        <f t="shared" si="15"/>
        <v>88.685119594210505</v>
      </c>
      <c r="Y8" s="559">
        <f t="shared" si="16"/>
        <v>89.543148040364969</v>
      </c>
      <c r="Z8" s="559">
        <f t="shared" si="17"/>
        <v>90.421403251436246</v>
      </c>
      <c r="AA8" s="2" t="str">
        <f>+IFERROR(RANK(B8,(B$6,B$15,B$22,B$26,B$27,B$28,B$33),0),"")</f>
        <v/>
      </c>
      <c r="AB8" s="2" t="str">
        <f>+IFERROR(RANK(C8,(C$6,C$15,C$22,C$26,C$27,C$28,C$33),0),"")</f>
        <v/>
      </c>
      <c r="AC8" s="2" t="str">
        <f>+IFERROR(RANK(D8,(D$6,D$15,D$22,D$26,D$27,D$28,D$33),0),"")</f>
        <v/>
      </c>
      <c r="AD8" s="2" t="str">
        <f>+IFERROR(RANK(E8,(E$6,E$15,E$22,E$26,E$27,E$28,E$33),0),"")</f>
        <v/>
      </c>
      <c r="AE8" s="2" t="str">
        <f>+IFERROR(RANK(F8,(F$6,F$15,F$22,F$26,F$27,F$28,F$33),0),"")</f>
        <v/>
      </c>
      <c r="AF8" s="2" t="str">
        <f>+IFERROR(RANK(G8,(G$6,G$15,G$22,G$26,G$27,G$28,G$33),0),"")</f>
        <v/>
      </c>
      <c r="AG8" s="2" t="str">
        <f>+IFERROR(RANK(H8,(H$6,H$15,H$22,H$26,H$27,H$28,H$33),0),"")</f>
        <v/>
      </c>
      <c r="AH8" s="2" t="str">
        <f>+IFERROR(RANK(I8,(I$6,I$15,I$22,I$26,I$27,I$28,I$33),0),"")</f>
        <v/>
      </c>
      <c r="AI8" s="2" t="str">
        <f>+IFERROR(RANK(J8,(J$6,J$15,J$22,J$26,J$27,J$28,J$33),0),"")</f>
        <v/>
      </c>
      <c r="AJ8" s="2" t="str">
        <f>+IFERROR(RANK(K8,(K$6,K$15,K$22,K$26,K$27,K$28,K$33),0),"")</f>
        <v/>
      </c>
      <c r="AK8" s="2" t="str">
        <f>+IFERROR(RANK(L8,(L$6,L$15,L$22,L$26,L$27,L$28,L$33),0),"")</f>
        <v/>
      </c>
    </row>
    <row r="9" spans="1:46" ht="18" customHeight="1">
      <c r="A9" s="572" t="s">
        <v>499</v>
      </c>
      <c r="B9" s="711">
        <v>721.62</v>
      </c>
      <c r="C9" s="711">
        <v>730.34</v>
      </c>
      <c r="D9" s="711">
        <v>747.36</v>
      </c>
      <c r="E9" s="711">
        <v>775.08</v>
      </c>
      <c r="F9" s="711">
        <v>802.78</v>
      </c>
      <c r="G9" s="711">
        <v>830.45</v>
      </c>
      <c r="H9" s="711">
        <v>871.56</v>
      </c>
      <c r="I9" s="711">
        <v>916.46</v>
      </c>
      <c r="J9" s="711">
        <v>964.07</v>
      </c>
      <c r="K9" s="711">
        <v>1028.49</v>
      </c>
      <c r="L9" s="711">
        <v>1109.23</v>
      </c>
      <c r="N9" s="559">
        <f t="shared" si="5"/>
        <v>53.713866023668963</v>
      </c>
      <c r="O9" s="419">
        <f t="shared" si="6"/>
        <v>387.61</v>
      </c>
      <c r="P9" s="559">
        <f t="shared" si="7"/>
        <v>79.343368261333268</v>
      </c>
      <c r="Q9" s="559">
        <f t="shared" si="8"/>
        <v>79.912028273500169</v>
      </c>
      <c r="R9" s="559">
        <f t="shared" si="9"/>
        <v>80.800916816225907</v>
      </c>
      <c r="S9" s="559">
        <f t="shared" si="10"/>
        <v>82.193001060445383</v>
      </c>
      <c r="T9" s="559">
        <f t="shared" si="11"/>
        <v>82.725005667649057</v>
      </c>
      <c r="U9" s="559">
        <f t="shared" si="12"/>
        <v>82.624441592295213</v>
      </c>
      <c r="V9" s="559">
        <f t="shared" si="13"/>
        <v>83.643796965421927</v>
      </c>
      <c r="W9" s="559">
        <f t="shared" si="14"/>
        <v>84.640320659050403</v>
      </c>
      <c r="X9" s="559">
        <f t="shared" si="15"/>
        <v>84.312387948751578</v>
      </c>
      <c r="Y9" s="559">
        <f t="shared" si="16"/>
        <v>84.311443022617169</v>
      </c>
      <c r="Z9" s="559">
        <f t="shared" si="17"/>
        <v>84.741321354357652</v>
      </c>
      <c r="AA9" s="2" t="str">
        <f>+IFERROR(RANK(B9,(B$6,B$15,B$22,B$26,B$27,B$28,B$33),0),"")</f>
        <v/>
      </c>
      <c r="AB9" s="2" t="str">
        <f>+IFERROR(RANK(C9,(C$6,C$15,C$22,C$26,C$27,C$28,C$33),0),"")</f>
        <v/>
      </c>
      <c r="AC9" s="2" t="str">
        <f>+IFERROR(RANK(D9,(D$6,D$15,D$22,D$26,D$27,D$28,D$33),0),"")</f>
        <v/>
      </c>
      <c r="AD9" s="2" t="str">
        <f>+IFERROR(RANK(E9,(E$6,E$15,E$22,E$26,E$27,E$28,E$33),0),"")</f>
        <v/>
      </c>
      <c r="AE9" s="2" t="str">
        <f>+IFERROR(RANK(F9,(F$6,F$15,F$22,F$26,F$27,F$28,F$33),0),"")</f>
        <v/>
      </c>
      <c r="AF9" s="2" t="str">
        <f>+IFERROR(RANK(G9,(G$6,G$15,G$22,G$26,G$27,G$28,G$33),0),"")</f>
        <v/>
      </c>
      <c r="AG9" s="2" t="str">
        <f>+IFERROR(RANK(H9,(H$6,H$15,H$22,H$26,H$27,H$28,H$33),0),"")</f>
        <v/>
      </c>
      <c r="AH9" s="2" t="str">
        <f>+IFERROR(RANK(I9,(I$6,I$15,I$22,I$26,I$27,I$28,I$33),0),"")</f>
        <v/>
      </c>
      <c r="AI9" s="2" t="str">
        <f>+IFERROR(RANK(J9,(J$6,J$15,J$22,J$26,J$27,J$28,J$33),0),"")</f>
        <v/>
      </c>
      <c r="AJ9" s="2" t="str">
        <f>+IFERROR(RANK(K9,(K$6,K$15,K$22,K$26,K$27,K$28,K$33),0),"")</f>
        <v/>
      </c>
      <c r="AK9" s="2" t="str">
        <f>+IFERROR(RANK(L9,(L$6,L$15,L$22,L$26,L$27,L$28,L$33),0),"")</f>
        <v/>
      </c>
    </row>
    <row r="10" spans="1:46" ht="18" customHeight="1">
      <c r="A10" s="572" t="s">
        <v>500</v>
      </c>
      <c r="B10" s="711">
        <v>899.59</v>
      </c>
      <c r="C10" s="711">
        <v>909.44</v>
      </c>
      <c r="D10" s="711">
        <v>922.09</v>
      </c>
      <c r="E10" s="711">
        <v>937.69</v>
      </c>
      <c r="F10" s="711">
        <v>975.29</v>
      </c>
      <c r="G10" s="711">
        <v>1012.56</v>
      </c>
      <c r="H10" s="711">
        <v>1057.6600000000001</v>
      </c>
      <c r="I10" s="711">
        <v>1099.93</v>
      </c>
      <c r="J10" s="711">
        <v>1165.44</v>
      </c>
      <c r="K10" s="711">
        <v>1242.23</v>
      </c>
      <c r="L10" s="711">
        <v>1351.51</v>
      </c>
      <c r="N10" s="559">
        <f t="shared" si="5"/>
        <v>50.236218721862173</v>
      </c>
      <c r="O10" s="419">
        <f t="shared" si="6"/>
        <v>451.91999999999996</v>
      </c>
      <c r="P10" s="559">
        <f t="shared" si="7"/>
        <v>98.911477861218927</v>
      </c>
      <c r="Q10" s="559">
        <f t="shared" si="8"/>
        <v>99.508715109472291</v>
      </c>
      <c r="R10" s="559">
        <f t="shared" si="9"/>
        <v>99.69187190520465</v>
      </c>
      <c r="S10" s="559">
        <f t="shared" si="10"/>
        <v>99.436903499469778</v>
      </c>
      <c r="T10" s="559">
        <f t="shared" si="11"/>
        <v>100.50184456214835</v>
      </c>
      <c r="U10" s="559">
        <f t="shared" si="12"/>
        <v>100.74321702534101</v>
      </c>
      <c r="V10" s="559">
        <f t="shared" si="13"/>
        <v>101.50385320396551</v>
      </c>
      <c r="W10" s="559">
        <f t="shared" si="14"/>
        <v>101.58482410853644</v>
      </c>
      <c r="X10" s="559">
        <f t="shared" si="15"/>
        <v>101.92312737767283</v>
      </c>
      <c r="Y10" s="559">
        <f t="shared" si="16"/>
        <v>101.83298220302164</v>
      </c>
      <c r="Z10" s="559">
        <f t="shared" si="17"/>
        <v>103.25067228945116</v>
      </c>
      <c r="AA10" s="2" t="str">
        <f>+IFERROR(RANK(B10,(B$6,B$15,B$22,B$26,B$27,B$28,B$33),0),"")</f>
        <v/>
      </c>
      <c r="AB10" s="2" t="str">
        <f>+IFERROR(RANK(C10,(C$6,C$15,C$22,C$26,C$27,C$28,C$33),0),"")</f>
        <v/>
      </c>
      <c r="AC10" s="2" t="str">
        <f>+IFERROR(RANK(D10,(D$6,D$15,D$22,D$26,D$27,D$28,D$33),0),"")</f>
        <v/>
      </c>
      <c r="AD10" s="2" t="str">
        <f>+IFERROR(RANK(E10,(E$6,E$15,E$22,E$26,E$27,E$28,E$33),0),"")</f>
        <v/>
      </c>
      <c r="AE10" s="2" t="str">
        <f>+IFERROR(RANK(F10,(F$6,F$15,F$22,F$26,F$27,F$28,F$33),0),"")</f>
        <v/>
      </c>
      <c r="AF10" s="2" t="str">
        <f>+IFERROR(RANK(G10,(G$6,G$15,G$22,G$26,G$27,G$28,G$33),0),"")</f>
        <v/>
      </c>
      <c r="AG10" s="2" t="str">
        <f>+IFERROR(RANK(H10,(H$6,H$15,H$22,H$26,H$27,H$28,H$33),0),"")</f>
        <v/>
      </c>
      <c r="AH10" s="2" t="str">
        <f>+IFERROR(RANK(I10,(I$6,I$15,I$22,I$26,I$27,I$28,I$33),0),"")</f>
        <v/>
      </c>
      <c r="AI10" s="2" t="str">
        <f>+IFERROR(RANK(J10,(J$6,J$15,J$22,J$26,J$27,J$28,J$33),0),"")</f>
        <v/>
      </c>
      <c r="AJ10" s="2" t="str">
        <f>+IFERROR(RANK(K10,(K$6,K$15,K$22,K$26,K$27,K$28,K$33),0),"")</f>
        <v/>
      </c>
      <c r="AK10" s="2" t="str">
        <f>+IFERROR(RANK(L10,(L$6,L$15,L$22,L$26,L$27,L$28,L$33),0),"")</f>
        <v/>
      </c>
    </row>
    <row r="11" spans="1:46" ht="18" customHeight="1">
      <c r="A11" s="572" t="s">
        <v>771</v>
      </c>
      <c r="B11" s="711">
        <v>689.68</v>
      </c>
      <c r="C11" s="711">
        <v>689.75</v>
      </c>
      <c r="D11" s="711">
        <v>723.25</v>
      </c>
      <c r="E11" s="711">
        <v>757.29</v>
      </c>
      <c r="F11" s="711">
        <v>779.47</v>
      </c>
      <c r="G11" s="711">
        <v>802.55</v>
      </c>
      <c r="H11" s="711">
        <v>831.23</v>
      </c>
      <c r="I11" s="711">
        <v>852.76</v>
      </c>
      <c r="J11" s="711">
        <v>892.27</v>
      </c>
      <c r="K11" s="711">
        <v>964</v>
      </c>
      <c r="L11" s="711">
        <v>1024.3399999999999</v>
      </c>
      <c r="N11" s="559">
        <f t="shared" si="5"/>
        <v>48.523953137687045</v>
      </c>
      <c r="O11" s="419">
        <f t="shared" si="6"/>
        <v>334.65999999999997</v>
      </c>
      <c r="P11" s="559">
        <f t="shared" si="7"/>
        <v>75.831509967124433</v>
      </c>
      <c r="Q11" s="559">
        <f t="shared" si="8"/>
        <v>75.470769096101449</v>
      </c>
      <c r="R11" s="559">
        <f t="shared" si="9"/>
        <v>78.194261249378329</v>
      </c>
      <c r="S11" s="559">
        <f t="shared" si="10"/>
        <v>80.306468716861076</v>
      </c>
      <c r="T11" s="559">
        <f t="shared" si="11"/>
        <v>80.322952948207998</v>
      </c>
      <c r="U11" s="559">
        <f t="shared" si="12"/>
        <v>79.848570774756482</v>
      </c>
      <c r="V11" s="559">
        <f t="shared" si="13"/>
        <v>79.773318361980444</v>
      </c>
      <c r="W11" s="559">
        <f t="shared" si="14"/>
        <v>78.757261468271196</v>
      </c>
      <c r="X11" s="559">
        <f t="shared" si="15"/>
        <v>78.03314530587258</v>
      </c>
      <c r="Y11" s="559">
        <f t="shared" si="16"/>
        <v>79.024814119537339</v>
      </c>
      <c r="Z11" s="559">
        <f t="shared" si="17"/>
        <v>78.25602004644908</v>
      </c>
      <c r="AA11" s="2" t="str">
        <f>+IFERROR(RANK(B11,(B$6,B$15,B$22,B$26,B$27,B$28,B$33),0),"")</f>
        <v/>
      </c>
      <c r="AB11" s="2" t="str">
        <f>+IFERROR(RANK(C11,(C$6,C$15,C$22,C$26,C$27,C$28,C$33),0),"")</f>
        <v/>
      </c>
      <c r="AC11" s="2" t="str">
        <f>+IFERROR(RANK(D11,(D$6,D$15,D$22,D$26,D$27,D$28,D$33),0),"")</f>
        <v/>
      </c>
      <c r="AD11" s="2" t="str">
        <f>+IFERROR(RANK(E11,(E$6,E$15,E$22,E$26,E$27,E$28,E$33),0),"")</f>
        <v/>
      </c>
      <c r="AE11" s="2" t="str">
        <f>+IFERROR(RANK(F11,(F$6,F$15,F$22,F$26,F$27,F$28,F$33),0),"")</f>
        <v/>
      </c>
      <c r="AF11" s="2" t="str">
        <f>+IFERROR(RANK(G11,(G$6,G$15,G$22,G$26,G$27,G$28,G$33),0),"")</f>
        <v/>
      </c>
      <c r="AG11" s="2" t="str">
        <f>+IFERROR(RANK(H11,(H$6,H$15,H$22,H$26,H$27,H$28,H$33),0),"")</f>
        <v/>
      </c>
      <c r="AH11" s="2" t="str">
        <f>+IFERROR(RANK(I11,(I$6,I$15,I$22,I$26,I$27,I$28,I$33),0),"")</f>
        <v/>
      </c>
      <c r="AI11" s="2" t="str">
        <f>+IFERROR(RANK(J11,(J$6,J$15,J$22,J$26,J$27,J$28,J$33),0),"")</f>
        <v/>
      </c>
      <c r="AJ11" s="2" t="str">
        <f>+IFERROR(RANK(K11,(K$6,K$15,K$22,K$26,K$27,K$28,K$33),0),"")</f>
        <v/>
      </c>
      <c r="AK11" s="2" t="str">
        <f>+IFERROR(RANK(L11,(L$6,L$15,L$22,L$26,L$27,L$28,L$33),0),"")</f>
        <v/>
      </c>
    </row>
    <row r="12" spans="1:46" ht="18" customHeight="1">
      <c r="A12" s="572" t="s">
        <v>502</v>
      </c>
      <c r="B12" s="711">
        <v>661.46</v>
      </c>
      <c r="C12" s="711">
        <v>668.83</v>
      </c>
      <c r="D12" s="711">
        <v>685.64</v>
      </c>
      <c r="E12" s="711">
        <v>704.33</v>
      </c>
      <c r="F12" s="711">
        <v>733.18</v>
      </c>
      <c r="G12" s="711">
        <v>764.65</v>
      </c>
      <c r="H12" s="711">
        <v>802.58</v>
      </c>
      <c r="I12" s="711">
        <v>845.09</v>
      </c>
      <c r="J12" s="711">
        <v>885.57</v>
      </c>
      <c r="K12" s="711">
        <v>949.32</v>
      </c>
      <c r="L12" s="711">
        <v>1026.48</v>
      </c>
      <c r="N12" s="559">
        <f t="shared" si="5"/>
        <v>55.183986937985651</v>
      </c>
      <c r="O12" s="419">
        <f t="shared" si="6"/>
        <v>365.02</v>
      </c>
      <c r="P12" s="559">
        <f t="shared" si="7"/>
        <v>72.728672112942419</v>
      </c>
      <c r="Q12" s="559">
        <f t="shared" si="8"/>
        <v>73.181753525981208</v>
      </c>
      <c r="R12" s="559">
        <f t="shared" si="9"/>
        <v>74.12805154928968</v>
      </c>
      <c r="S12" s="559">
        <f t="shared" si="10"/>
        <v>74.690349946977733</v>
      </c>
      <c r="T12" s="559">
        <f t="shared" si="11"/>
        <v>75.552853403680885</v>
      </c>
      <c r="U12" s="559">
        <f t="shared" si="12"/>
        <v>76.077764180322163</v>
      </c>
      <c r="V12" s="559">
        <f t="shared" si="13"/>
        <v>77.023771821226688</v>
      </c>
      <c r="W12" s="559">
        <f t="shared" si="14"/>
        <v>78.048893116728394</v>
      </c>
      <c r="X12" s="559">
        <f t="shared" si="15"/>
        <v>77.447199265381087</v>
      </c>
      <c r="Y12" s="559">
        <f t="shared" si="16"/>
        <v>77.821407199127776</v>
      </c>
      <c r="Z12" s="559">
        <f t="shared" si="17"/>
        <v>78.419508617528422</v>
      </c>
      <c r="AA12" s="2" t="str">
        <f>+IFERROR(RANK(B12,(B$6,B$15,B$22,B$26,B$27,B$28,B$33),0),"")</f>
        <v/>
      </c>
      <c r="AB12" s="2" t="str">
        <f>+IFERROR(RANK(C12,(C$6,C$15,C$22,C$26,C$27,C$28,C$33),0),"")</f>
        <v/>
      </c>
      <c r="AC12" s="2" t="str">
        <f>+IFERROR(RANK(D12,(D$6,D$15,D$22,D$26,D$27,D$28,D$33),0),"")</f>
        <v/>
      </c>
      <c r="AD12" s="2" t="str">
        <f>+IFERROR(RANK(E12,(E$6,E$15,E$22,E$26,E$27,E$28,E$33),0),"")</f>
        <v/>
      </c>
      <c r="AE12" s="2" t="str">
        <f>+IFERROR(RANK(F12,(F$6,F$15,F$22,F$26,F$27,F$28,F$33),0),"")</f>
        <v/>
      </c>
      <c r="AF12" s="2" t="str">
        <f>+IFERROR(RANK(G12,(G$6,G$15,G$22,G$26,G$27,G$28,G$33),0),"")</f>
        <v/>
      </c>
      <c r="AG12" s="2" t="str">
        <f>+IFERROR(RANK(H12,(H$6,H$15,H$22,H$26,H$27,H$28,H$33),0),"")</f>
        <v/>
      </c>
      <c r="AH12" s="2" t="str">
        <f>+IFERROR(RANK(I12,(I$6,I$15,I$22,I$26,I$27,I$28,I$33),0),"")</f>
        <v/>
      </c>
      <c r="AI12" s="2" t="str">
        <f>+IFERROR(RANK(J12,(J$6,J$15,J$22,J$26,J$27,J$28,J$33),0),"")</f>
        <v/>
      </c>
      <c r="AJ12" s="2" t="str">
        <f>+IFERROR(RANK(K12,(K$6,K$15,K$22,K$26,K$27,K$28,K$33),0),"")</f>
        <v/>
      </c>
      <c r="AK12" s="2" t="str">
        <f>+IFERROR(RANK(L12,(L$6,L$15,L$22,L$26,L$27,L$28,L$33),0),"")</f>
        <v/>
      </c>
    </row>
    <row r="13" spans="1:46" ht="18" customHeight="1">
      <c r="A13" s="572" t="s">
        <v>503</v>
      </c>
      <c r="B13" s="711">
        <v>745.33</v>
      </c>
      <c r="C13" s="711">
        <v>747.62</v>
      </c>
      <c r="D13" s="711">
        <v>750.66</v>
      </c>
      <c r="E13" s="711">
        <v>766.74</v>
      </c>
      <c r="F13" s="711">
        <v>789.36</v>
      </c>
      <c r="G13" s="711">
        <v>816.21</v>
      </c>
      <c r="H13" s="711">
        <v>838.94</v>
      </c>
      <c r="I13" s="711">
        <v>872.95</v>
      </c>
      <c r="J13" s="711">
        <v>922.59</v>
      </c>
      <c r="K13" s="711">
        <v>988.16</v>
      </c>
      <c r="L13" s="711">
        <v>1059.6099999999999</v>
      </c>
      <c r="N13" s="559">
        <f t="shared" si="5"/>
        <v>42.166557095514712</v>
      </c>
      <c r="O13" s="419">
        <f t="shared" si="6"/>
        <v>314.27999999999986</v>
      </c>
      <c r="P13" s="559">
        <f t="shared" si="7"/>
        <v>81.950323807848349</v>
      </c>
      <c r="Q13" s="559">
        <f t="shared" si="8"/>
        <v>81.802763887825108</v>
      </c>
      <c r="R13" s="559">
        <f t="shared" si="9"/>
        <v>81.15769671546262</v>
      </c>
      <c r="S13" s="559">
        <f t="shared" si="10"/>
        <v>81.308589607635213</v>
      </c>
      <c r="T13" s="559">
        <f t="shared" si="11"/>
        <v>81.342099297211519</v>
      </c>
      <c r="U13" s="559">
        <f t="shared" si="12"/>
        <v>81.207653045995883</v>
      </c>
      <c r="V13" s="559">
        <f t="shared" si="13"/>
        <v>80.513248687607373</v>
      </c>
      <c r="W13" s="559">
        <f t="shared" si="14"/>
        <v>80.621923400168086</v>
      </c>
      <c r="X13" s="559">
        <f t="shared" si="15"/>
        <v>80.684769775678859</v>
      </c>
      <c r="Y13" s="559">
        <f t="shared" si="16"/>
        <v>81.005353029421173</v>
      </c>
      <c r="Z13" s="559">
        <f t="shared" si="17"/>
        <v>80.950525608116351</v>
      </c>
      <c r="AA13" s="2" t="str">
        <f>+IFERROR(RANK(B13,(B$6,B$15,B$22,B$26,B$27,B$28,B$33),0),"")</f>
        <v/>
      </c>
      <c r="AB13" s="2" t="str">
        <f>+IFERROR(RANK(C13,(C$6,C$15,C$22,C$26,C$27,C$28,C$33),0),"")</f>
        <v/>
      </c>
      <c r="AC13" s="2" t="str">
        <f>+IFERROR(RANK(D13,(D$6,D$15,D$22,D$26,D$27,D$28,D$33),0),"")</f>
        <v/>
      </c>
      <c r="AD13" s="2" t="str">
        <f>+IFERROR(RANK(E13,(E$6,E$15,E$22,E$26,E$27,E$28,E$33),0),"")</f>
        <v/>
      </c>
      <c r="AE13" s="2" t="str">
        <f>+IFERROR(RANK(F13,(F$6,F$15,F$22,F$26,F$27,F$28,F$33),0),"")</f>
        <v/>
      </c>
      <c r="AF13" s="2" t="str">
        <f>+IFERROR(RANK(G13,(G$6,G$15,G$22,G$26,G$27,G$28,G$33),0),"")</f>
        <v/>
      </c>
      <c r="AG13" s="2" t="str">
        <f>+IFERROR(RANK(H13,(H$6,H$15,H$22,H$26,H$27,H$28,H$33),0),"")</f>
        <v/>
      </c>
      <c r="AH13" s="2" t="str">
        <f>+IFERROR(RANK(I13,(I$6,I$15,I$22,I$26,I$27,I$28,I$33),0),"")</f>
        <v/>
      </c>
      <c r="AI13" s="2" t="str">
        <f>+IFERROR(RANK(J13,(J$6,J$15,J$22,J$26,J$27,J$28,J$33),0),"")</f>
        <v/>
      </c>
      <c r="AJ13" s="2" t="str">
        <f>+IFERROR(RANK(K13,(K$6,K$15,K$22,K$26,K$27,K$28,K$33),0),"")</f>
        <v/>
      </c>
      <c r="AK13" s="2" t="str">
        <f>+IFERROR(RANK(L13,(L$6,L$15,L$22,L$26,L$27,L$28,L$33),0),"")</f>
        <v/>
      </c>
    </row>
    <row r="14" spans="1:46" ht="18" customHeight="1">
      <c r="A14" s="572" t="s">
        <v>504</v>
      </c>
      <c r="B14" s="711">
        <v>702.36</v>
      </c>
      <c r="C14" s="711">
        <v>711.04</v>
      </c>
      <c r="D14" s="711">
        <v>732.9</v>
      </c>
      <c r="E14" s="711">
        <v>751.28</v>
      </c>
      <c r="F14" s="711">
        <v>770.98</v>
      </c>
      <c r="G14" s="711">
        <v>799.16</v>
      </c>
      <c r="H14" s="711">
        <v>833.66</v>
      </c>
      <c r="I14" s="711">
        <v>864.26</v>
      </c>
      <c r="J14" s="711">
        <v>899.68</v>
      </c>
      <c r="K14" s="711">
        <v>965.83</v>
      </c>
      <c r="L14" s="711">
        <v>1033.23</v>
      </c>
      <c r="N14" s="559">
        <f t="shared" si="5"/>
        <v>47.108320519391754</v>
      </c>
      <c r="O14" s="419">
        <f t="shared" si="6"/>
        <v>330.87</v>
      </c>
      <c r="P14" s="559">
        <f t="shared" si="7"/>
        <v>77.225697918613733</v>
      </c>
      <c r="Q14" s="559">
        <f t="shared" si="8"/>
        <v>77.800269167222879</v>
      </c>
      <c r="R14" s="559">
        <f t="shared" si="9"/>
        <v>79.23757216684325</v>
      </c>
      <c r="S14" s="559">
        <f t="shared" si="10"/>
        <v>79.669141039236479</v>
      </c>
      <c r="T14" s="559">
        <f t="shared" si="11"/>
        <v>79.448074029801532</v>
      </c>
      <c r="U14" s="559">
        <f t="shared" si="12"/>
        <v>79.511287546388871</v>
      </c>
      <c r="V14" s="559">
        <f t="shared" si="13"/>
        <v>80.006525974337563</v>
      </c>
      <c r="W14" s="559">
        <f t="shared" si="14"/>
        <v>79.819352216998993</v>
      </c>
      <c r="X14" s="559">
        <f t="shared" si="15"/>
        <v>78.68118413572958</v>
      </c>
      <c r="Y14" s="559">
        <f t="shared" si="16"/>
        <v>79.174830104847246</v>
      </c>
      <c r="Z14" s="559">
        <f t="shared" si="17"/>
        <v>78.935185185185176</v>
      </c>
      <c r="AA14" s="2" t="str">
        <f>+IFERROR(RANK(B14,(B$6,B$15,B$22,B$26,B$27,B$28,B$33),0),"")</f>
        <v/>
      </c>
      <c r="AB14" s="2" t="str">
        <f>+IFERROR(RANK(C14,(C$6,C$15,C$22,C$26,C$27,C$28,C$33),0),"")</f>
        <v/>
      </c>
      <c r="AC14" s="2" t="str">
        <f>+IFERROR(RANK(D14,(D$6,D$15,D$22,D$26,D$27,D$28,D$33),0),"")</f>
        <v/>
      </c>
      <c r="AD14" s="2" t="str">
        <f>+IFERROR(RANK(E14,(E$6,E$15,E$22,E$26,E$27,E$28,E$33),0),"")</f>
        <v/>
      </c>
      <c r="AE14" s="2" t="str">
        <f>+IFERROR(RANK(F14,(F$6,F$15,F$22,F$26,F$27,F$28,F$33),0),"")</f>
        <v/>
      </c>
      <c r="AF14" s="2" t="str">
        <f>+IFERROR(RANK(G14,(G$6,G$15,G$22,G$26,G$27,G$28,G$33),0),"")</f>
        <v/>
      </c>
      <c r="AG14" s="2" t="str">
        <f>+IFERROR(RANK(H14,(H$6,H$15,H$22,H$26,H$27,H$28,H$33),0),"")</f>
        <v/>
      </c>
      <c r="AH14" s="2" t="str">
        <f>+IFERROR(RANK(I14,(I$6,I$15,I$22,I$26,I$27,I$28,I$33),0),"")</f>
        <v/>
      </c>
      <c r="AI14" s="2" t="str">
        <f>+IFERROR(RANK(J14,(J$6,J$15,J$22,J$26,J$27,J$28,J$33),0),"")</f>
        <v/>
      </c>
      <c r="AJ14" s="2" t="str">
        <f>+IFERROR(RANK(K14,(K$6,K$15,K$22,K$26,K$27,K$28,K$33),0),"")</f>
        <v/>
      </c>
      <c r="AK14" s="2" t="str">
        <f>+IFERROR(RANK(L14,(L$6,L$15,L$22,L$26,L$27,L$28,L$33),0),"")</f>
        <v/>
      </c>
    </row>
    <row r="15" spans="1:46" ht="20.100000000000001" customHeight="1">
      <c r="A15" s="15" t="s">
        <v>505</v>
      </c>
      <c r="B15" s="87">
        <v>788.2</v>
      </c>
      <c r="C15" s="87">
        <v>792.7</v>
      </c>
      <c r="D15" s="87">
        <v>806.27</v>
      </c>
      <c r="E15" s="87">
        <v>825.13</v>
      </c>
      <c r="F15" s="87">
        <v>851.95</v>
      </c>
      <c r="G15" s="87">
        <v>883.21</v>
      </c>
      <c r="H15" s="87">
        <v>913.29</v>
      </c>
      <c r="I15" s="87">
        <v>953.57</v>
      </c>
      <c r="J15" s="87">
        <v>997.92</v>
      </c>
      <c r="K15" s="87">
        <v>1065.5</v>
      </c>
      <c r="L15" s="87">
        <v>1139.44</v>
      </c>
      <c r="N15" s="559">
        <f t="shared" si="5"/>
        <v>44.562293834052284</v>
      </c>
      <c r="O15" s="419">
        <f t="shared" si="6"/>
        <v>351.24</v>
      </c>
      <c r="P15" s="559">
        <f t="shared" si="7"/>
        <v>86.66395452396398</v>
      </c>
      <c r="Q15" s="559">
        <f t="shared" si="8"/>
        <v>86.735307955751537</v>
      </c>
      <c r="R15" s="559">
        <f t="shared" si="9"/>
        <v>87.169978593206039</v>
      </c>
      <c r="S15" s="559">
        <f t="shared" si="10"/>
        <v>87.500530222693527</v>
      </c>
      <c r="T15" s="559">
        <f t="shared" si="11"/>
        <v>87.791883926547271</v>
      </c>
      <c r="U15" s="559">
        <f t="shared" si="12"/>
        <v>87.873722751196411</v>
      </c>
      <c r="V15" s="559">
        <f t="shared" si="13"/>
        <v>87.648633864048605</v>
      </c>
      <c r="W15" s="559">
        <f t="shared" si="14"/>
        <v>88.067641327336375</v>
      </c>
      <c r="X15" s="559">
        <f t="shared" si="15"/>
        <v>87.272727272727266</v>
      </c>
      <c r="Y15" s="559">
        <f t="shared" si="16"/>
        <v>87.345372867600659</v>
      </c>
      <c r="Z15" s="559">
        <f t="shared" si="17"/>
        <v>87.04926048160371</v>
      </c>
      <c r="AA15" s="2">
        <f>+IFERROR(RANK(B15,(B$6,B$15,B$22,B$26,B$27,B$28,B$33),0),"")</f>
        <v>4</v>
      </c>
      <c r="AB15" s="2">
        <f>+IFERROR(RANK(C15,(C$6,C$15,C$22,C$26,C$27,C$28,C$33),0),"")</f>
        <v>5</v>
      </c>
      <c r="AC15" s="2">
        <f>+IFERROR(RANK(D15,(D$6,D$15,D$22,D$26,D$27,D$28,D$33),0),"")</f>
        <v>4</v>
      </c>
      <c r="AD15" s="2">
        <f>+IFERROR(RANK(E15,(E$6,E$15,E$22,E$26,E$27,E$28,E$33),0),"")</f>
        <v>3</v>
      </c>
      <c r="AE15" s="2">
        <f>+IFERROR(RANK(F15,(F$6,F$15,F$22,F$26,F$27,F$28,F$33),0),"")</f>
        <v>4</v>
      </c>
      <c r="AF15" s="2">
        <f>+IFERROR(RANK(G15,(G$6,G$15,G$22,G$26,G$27,G$28,G$33),0),"")</f>
        <v>4</v>
      </c>
      <c r="AG15" s="2">
        <f>+IFERROR(RANK(H15,(H$6,H$15,H$22,H$26,H$27,H$28,H$33),0),"")</f>
        <v>3</v>
      </c>
      <c r="AH15" s="2">
        <f>+IFERROR(RANK(I15,(I$6,I$15,I$22,I$26,I$27,I$28,I$33),0),"")</f>
        <v>3</v>
      </c>
      <c r="AI15" s="2">
        <f>+IFERROR(RANK(J15,(J$6,J$15,J$22,J$26,J$27,J$28,J$33),0),"")</f>
        <v>3</v>
      </c>
      <c r="AJ15" s="2">
        <f>+IFERROR(RANK(K15,(K$6,K$15,K$22,K$26,K$27,K$28,K$33),0),"")</f>
        <v>3</v>
      </c>
      <c r="AK15" s="2">
        <f>+IFERROR(RANK(L15,(L$6,L$15,L$22,L$26,L$27,L$28,L$33),0),"")</f>
        <v>3</v>
      </c>
    </row>
    <row r="16" spans="1:46" ht="18" customHeight="1">
      <c r="A16" s="572" t="s">
        <v>513</v>
      </c>
      <c r="B16" s="711">
        <v>771.78</v>
      </c>
      <c r="C16" s="711">
        <v>770.07</v>
      </c>
      <c r="D16" s="711">
        <v>785.59</v>
      </c>
      <c r="E16" s="711">
        <v>801.29</v>
      </c>
      <c r="F16" s="711">
        <v>821.95</v>
      </c>
      <c r="G16" s="711">
        <v>848.7</v>
      </c>
      <c r="H16" s="711">
        <v>884.55</v>
      </c>
      <c r="I16" s="711">
        <v>926.96</v>
      </c>
      <c r="J16" s="711">
        <v>966.4</v>
      </c>
      <c r="K16" s="711">
        <v>1033.98</v>
      </c>
      <c r="L16" s="711">
        <v>1100.1600000000001</v>
      </c>
      <c r="N16" s="559">
        <f t="shared" si="5"/>
        <v>42.548394620228571</v>
      </c>
      <c r="O16" s="419">
        <f t="shared" si="6"/>
        <v>328.38000000000011</v>
      </c>
      <c r="P16" s="559">
        <f t="shared" si="7"/>
        <v>84.858547097824058</v>
      </c>
      <c r="Q16" s="559">
        <f t="shared" si="8"/>
        <v>84.259188340463723</v>
      </c>
      <c r="R16" s="559">
        <f t="shared" si="9"/>
        <v>84.93415789132267</v>
      </c>
      <c r="S16" s="559">
        <f t="shared" si="10"/>
        <v>84.972428419936378</v>
      </c>
      <c r="T16" s="559">
        <f t="shared" si="11"/>
        <v>84.700438985181677</v>
      </c>
      <c r="U16" s="559">
        <f t="shared" si="12"/>
        <v>84.440199385129688</v>
      </c>
      <c r="V16" s="559">
        <f t="shared" si="13"/>
        <v>84.890450004318666</v>
      </c>
      <c r="W16" s="559">
        <f t="shared" si="14"/>
        <v>85.610055690497518</v>
      </c>
      <c r="X16" s="559">
        <f t="shared" si="15"/>
        <v>84.516157243429973</v>
      </c>
      <c r="Y16" s="559">
        <f t="shared" si="16"/>
        <v>84.761490978546902</v>
      </c>
      <c r="Z16" s="559">
        <f t="shared" si="17"/>
        <v>84.048404840484054</v>
      </c>
      <c r="AA16" s="2" t="str">
        <f>+IFERROR(RANK(B16,(B$6,B$15,B$22,B$26,B$27,B$28,B$33),0),"")</f>
        <v/>
      </c>
      <c r="AB16" s="2" t="str">
        <f>+IFERROR(RANK(C16,(C$6,C$15,C$22,C$26,C$27,C$28,C$33),0),"")</f>
        <v/>
      </c>
      <c r="AC16" s="2" t="str">
        <f>+IFERROR(RANK(D16,(D$6,D$15,D$22,D$26,D$27,D$28,D$33),0),"")</f>
        <v/>
      </c>
      <c r="AD16" s="2" t="str">
        <f>+IFERROR(RANK(E16,(E$6,E$15,E$22,E$26,E$27,E$28,E$33),0),"")</f>
        <v/>
      </c>
      <c r="AE16" s="2" t="str">
        <f>+IFERROR(RANK(F16,(F$6,F$15,F$22,F$26,F$27,F$28,F$33),0),"")</f>
        <v/>
      </c>
      <c r="AF16" s="2" t="str">
        <f>+IFERROR(RANK(G16,(G$6,G$15,G$22,G$26,G$27,G$28,G$33),0),"")</f>
        <v/>
      </c>
      <c r="AG16" s="2" t="str">
        <f>+IFERROR(RANK(H16,(H$6,H$15,H$22,H$26,H$27,H$28,H$33),0),"")</f>
        <v/>
      </c>
      <c r="AH16" s="2" t="str">
        <f>+IFERROR(RANK(I16,(I$6,I$15,I$22,I$26,I$27,I$28,I$33),0),"")</f>
        <v/>
      </c>
      <c r="AI16" s="2" t="str">
        <f>+IFERROR(RANK(J16,(J$6,J$15,J$22,J$26,J$27,J$28,J$33),0),"")</f>
        <v/>
      </c>
      <c r="AJ16" s="2" t="str">
        <f>+IFERROR(RANK(K16,(K$6,K$15,K$22,K$26,K$27,K$28,K$33),0),"")</f>
        <v/>
      </c>
      <c r="AK16" s="2" t="str">
        <f>+IFERROR(RANK(L16,(L$6,L$15,L$22,L$26,L$27,L$28,L$33),0),"")</f>
        <v/>
      </c>
    </row>
    <row r="17" spans="1:46" ht="18" customHeight="1">
      <c r="A17" s="572" t="s">
        <v>506</v>
      </c>
      <c r="B17" s="711">
        <v>840.87</v>
      </c>
      <c r="C17" s="711">
        <v>850.11</v>
      </c>
      <c r="D17" s="711">
        <v>860.22</v>
      </c>
      <c r="E17" s="711">
        <v>876.7</v>
      </c>
      <c r="F17" s="711">
        <v>907.62</v>
      </c>
      <c r="G17" s="711">
        <v>947.58</v>
      </c>
      <c r="H17" s="711">
        <v>970.59</v>
      </c>
      <c r="I17" s="711">
        <v>1011.7</v>
      </c>
      <c r="J17" s="711">
        <v>1065.4100000000001</v>
      </c>
      <c r="K17" s="711">
        <v>1142.06</v>
      </c>
      <c r="L17" s="711">
        <v>1223.23</v>
      </c>
      <c r="N17" s="559">
        <f t="shared" si="5"/>
        <v>45.471951669104627</v>
      </c>
      <c r="O17" s="419">
        <f t="shared" si="6"/>
        <v>382.36</v>
      </c>
      <c r="P17" s="559">
        <f t="shared" si="7"/>
        <v>92.455112205741685</v>
      </c>
      <c r="Q17" s="559">
        <f t="shared" si="8"/>
        <v>93.016970665149415</v>
      </c>
      <c r="R17" s="559">
        <f t="shared" si="9"/>
        <v>93.002789370121306</v>
      </c>
      <c r="S17" s="559">
        <f t="shared" si="10"/>
        <v>92.969247083775187</v>
      </c>
      <c r="T17" s="559">
        <f t="shared" si="11"/>
        <v>93.528575256074689</v>
      </c>
      <c r="U17" s="559">
        <f t="shared" si="12"/>
        <v>94.278124347073387</v>
      </c>
      <c r="V17" s="559">
        <f t="shared" si="13"/>
        <v>93.147726945556101</v>
      </c>
      <c r="W17" s="559">
        <f t="shared" si="14"/>
        <v>93.4362791728622</v>
      </c>
      <c r="X17" s="559">
        <f t="shared" si="15"/>
        <v>93.175040447767728</v>
      </c>
      <c r="Y17" s="559">
        <f t="shared" si="16"/>
        <v>93.621451466139845</v>
      </c>
      <c r="Z17" s="559">
        <f t="shared" si="17"/>
        <v>93.450525608116365</v>
      </c>
      <c r="AA17" s="2" t="str">
        <f>+IFERROR(RANK(B17,(B$6,B$15,B$22,B$26,B$27,B$28,B$33),0),"")</f>
        <v/>
      </c>
      <c r="AB17" s="2" t="str">
        <f>+IFERROR(RANK(C17,(C$6,C$15,C$22,C$26,C$27,C$28,C$33),0),"")</f>
        <v/>
      </c>
      <c r="AC17" s="2" t="str">
        <f>+IFERROR(RANK(D17,(D$6,D$15,D$22,D$26,D$27,D$28,D$33),0),"")</f>
        <v/>
      </c>
      <c r="AD17" s="2" t="str">
        <f>+IFERROR(RANK(E17,(E$6,E$15,E$22,E$26,E$27,E$28,E$33),0),"")</f>
        <v/>
      </c>
      <c r="AE17" s="2" t="str">
        <f>+IFERROR(RANK(F17,(F$6,F$15,F$22,F$26,F$27,F$28,F$33),0),"")</f>
        <v/>
      </c>
      <c r="AF17" s="2" t="str">
        <f>+IFERROR(RANK(G17,(G$6,G$15,G$22,G$26,G$27,G$28,G$33),0),"")</f>
        <v/>
      </c>
      <c r="AG17" s="2" t="str">
        <f>+IFERROR(RANK(H17,(H$6,H$15,H$22,H$26,H$27,H$28,H$33),0),"")</f>
        <v/>
      </c>
      <c r="AH17" s="2" t="str">
        <f>+IFERROR(RANK(I17,(I$6,I$15,I$22,I$26,I$27,I$28,I$33),0),"")</f>
        <v/>
      </c>
      <c r="AI17" s="2" t="str">
        <f>+IFERROR(RANK(J17,(J$6,J$15,J$22,J$26,J$27,J$28,J$33),0),"")</f>
        <v/>
      </c>
      <c r="AJ17" s="2" t="str">
        <f>+IFERROR(RANK(K17,(K$6,K$15,K$22,K$26,K$27,K$28,K$33),0),"")</f>
        <v/>
      </c>
      <c r="AK17" s="2" t="str">
        <f>+IFERROR(RANK(L17,(L$6,L$15,L$22,L$26,L$27,L$28,L$33),0),"")</f>
        <v/>
      </c>
    </row>
    <row r="18" spans="1:46" ht="18" customHeight="1">
      <c r="A18" s="572" t="s">
        <v>507</v>
      </c>
      <c r="B18" s="711">
        <v>798.25</v>
      </c>
      <c r="C18" s="711">
        <v>798.23</v>
      </c>
      <c r="D18" s="711">
        <v>813.19</v>
      </c>
      <c r="E18" s="711">
        <v>831.44</v>
      </c>
      <c r="F18" s="711">
        <v>860.34</v>
      </c>
      <c r="G18" s="711">
        <v>892.77</v>
      </c>
      <c r="H18" s="711">
        <v>921.46</v>
      </c>
      <c r="I18" s="711">
        <v>964.52</v>
      </c>
      <c r="J18" s="711">
        <v>1011.46</v>
      </c>
      <c r="K18" s="711">
        <v>1081.05</v>
      </c>
      <c r="L18" s="711">
        <v>1154.1500000000001</v>
      </c>
      <c r="N18" s="559">
        <f t="shared" si="5"/>
        <v>44.585029752583779</v>
      </c>
      <c r="O18" s="419">
        <f t="shared" si="6"/>
        <v>355.90000000000009</v>
      </c>
      <c r="P18" s="559">
        <f t="shared" si="7"/>
        <v>87.768969422423552</v>
      </c>
      <c r="Q18" s="559">
        <f t="shared" si="8"/>
        <v>87.340387119363626</v>
      </c>
      <c r="R18" s="559">
        <f t="shared" si="9"/>
        <v>87.918135230393318</v>
      </c>
      <c r="S18" s="559">
        <f t="shared" si="10"/>
        <v>88.169671261930006</v>
      </c>
      <c r="T18" s="559">
        <f t="shared" si="11"/>
        <v>88.656458028482518</v>
      </c>
      <c r="U18" s="559">
        <f t="shared" si="12"/>
        <v>88.824881353908609</v>
      </c>
      <c r="V18" s="559">
        <f t="shared" si="13"/>
        <v>88.432710486664945</v>
      </c>
      <c r="W18" s="559">
        <f t="shared" si="14"/>
        <v>89.078936431559796</v>
      </c>
      <c r="X18" s="559">
        <f t="shared" si="15"/>
        <v>88.456863002317547</v>
      </c>
      <c r="Y18" s="559">
        <f t="shared" si="16"/>
        <v>88.620098862993601</v>
      </c>
      <c r="Z18" s="559">
        <f t="shared" si="17"/>
        <v>88.17305341645276</v>
      </c>
      <c r="AA18" s="2" t="str">
        <f>+IFERROR(RANK(B18,(B$6,B$15,B$22,B$26,B$27,B$28,B$33),0),"")</f>
        <v/>
      </c>
      <c r="AB18" s="2" t="str">
        <f>+IFERROR(RANK(C18,(C$6,C$15,C$22,C$26,C$27,C$28,C$33),0),"")</f>
        <v/>
      </c>
      <c r="AC18" s="2" t="str">
        <f>+IFERROR(RANK(D18,(D$6,D$15,D$22,D$26,D$27,D$28,D$33),0),"")</f>
        <v/>
      </c>
      <c r="AD18" s="2" t="str">
        <f>+IFERROR(RANK(E18,(E$6,E$15,E$22,E$26,E$27,E$28,E$33),0),"")</f>
        <v/>
      </c>
      <c r="AE18" s="2" t="str">
        <f>+IFERROR(RANK(F18,(F$6,F$15,F$22,F$26,F$27,F$28,F$33),0),"")</f>
        <v/>
      </c>
      <c r="AF18" s="2" t="str">
        <f>+IFERROR(RANK(G18,(G$6,G$15,G$22,G$26,G$27,G$28,G$33),0),"")</f>
        <v/>
      </c>
      <c r="AG18" s="2" t="str">
        <f>+IFERROR(RANK(H18,(H$6,H$15,H$22,H$26,H$27,H$28,H$33),0),"")</f>
        <v/>
      </c>
      <c r="AH18" s="2" t="str">
        <f>+IFERROR(RANK(I18,(I$6,I$15,I$22,I$26,I$27,I$28,I$33),0),"")</f>
        <v/>
      </c>
      <c r="AI18" s="2" t="str">
        <f>+IFERROR(RANK(J18,(J$6,J$15,J$22,J$26,J$27,J$28,J$33),0),"")</f>
        <v/>
      </c>
      <c r="AJ18" s="2" t="str">
        <f>+IFERROR(RANK(K18,(K$6,K$15,K$22,K$26,K$27,K$28,K$33),0),"")</f>
        <v/>
      </c>
      <c r="AK18" s="2" t="str">
        <f>+IFERROR(RANK(L18,(L$6,L$15,L$22,L$26,L$27,L$28,L$33),0),"")</f>
        <v/>
      </c>
    </row>
    <row r="19" spans="1:46" ht="18" customHeight="1">
      <c r="A19" s="572" t="s">
        <v>508</v>
      </c>
      <c r="B19" s="711">
        <v>816.84</v>
      </c>
      <c r="C19" s="711">
        <v>825.07</v>
      </c>
      <c r="D19" s="711">
        <v>839.81</v>
      </c>
      <c r="E19" s="711">
        <v>859.07</v>
      </c>
      <c r="F19" s="711">
        <v>894</v>
      </c>
      <c r="G19" s="711">
        <v>921.39</v>
      </c>
      <c r="H19" s="711">
        <v>947.75</v>
      </c>
      <c r="I19" s="711">
        <v>986.61</v>
      </c>
      <c r="J19" s="711">
        <v>1034.0899999999999</v>
      </c>
      <c r="K19" s="711">
        <v>1096.77</v>
      </c>
      <c r="L19" s="711">
        <v>1171.5899999999999</v>
      </c>
      <c r="N19" s="559">
        <f t="shared" si="5"/>
        <v>43.429557808138661</v>
      </c>
      <c r="O19" s="419">
        <f t="shared" si="6"/>
        <v>354.74999999999989</v>
      </c>
      <c r="P19" s="559">
        <f t="shared" si="7"/>
        <v>89.812972105245791</v>
      </c>
      <c r="Q19" s="559">
        <f t="shared" si="8"/>
        <v>90.27715470550261</v>
      </c>
      <c r="R19" s="559">
        <f t="shared" si="9"/>
        <v>90.79615975090276</v>
      </c>
      <c r="S19" s="559">
        <f t="shared" si="10"/>
        <v>91.099681866383875</v>
      </c>
      <c r="T19" s="559">
        <f t="shared" si="11"/>
        <v>92.125059252694712</v>
      </c>
      <c r="U19" s="559">
        <f t="shared" si="12"/>
        <v>91.672387547383821</v>
      </c>
      <c r="V19" s="559">
        <f t="shared" si="13"/>
        <v>90.955767329820816</v>
      </c>
      <c r="W19" s="559">
        <f t="shared" si="14"/>
        <v>91.119074226289982</v>
      </c>
      <c r="X19" s="559">
        <f t="shared" si="15"/>
        <v>90.435961345052235</v>
      </c>
      <c r="Y19" s="559">
        <f t="shared" si="16"/>
        <v>89.908760769590216</v>
      </c>
      <c r="Z19" s="559">
        <f t="shared" si="17"/>
        <v>89.505408874220748</v>
      </c>
      <c r="AA19" s="2" t="str">
        <f>+IFERROR(RANK(B19,(B$6,B$15,B$22,B$26,B$27,B$28,B$33),0),"")</f>
        <v/>
      </c>
      <c r="AB19" s="2" t="str">
        <f>+IFERROR(RANK(C19,(C$6,C$15,C$22,C$26,C$27,C$28,C$33),0),"")</f>
        <v/>
      </c>
      <c r="AC19" s="2" t="str">
        <f>+IFERROR(RANK(D19,(D$6,D$15,D$22,D$26,D$27,D$28,D$33),0),"")</f>
        <v/>
      </c>
      <c r="AD19" s="2" t="str">
        <f>+IFERROR(RANK(E19,(E$6,E$15,E$22,E$26,E$27,E$28,E$33),0),"")</f>
        <v/>
      </c>
      <c r="AE19" s="2" t="str">
        <f>+IFERROR(RANK(F19,(F$6,F$15,F$22,F$26,F$27,F$28,F$33),0),"")</f>
        <v/>
      </c>
      <c r="AF19" s="2" t="str">
        <f>+IFERROR(RANK(G19,(G$6,G$15,G$22,G$26,G$27,G$28,G$33),0),"")</f>
        <v/>
      </c>
      <c r="AG19" s="2" t="str">
        <f>+IFERROR(RANK(H19,(H$6,H$15,H$22,H$26,H$27,H$28,H$33),0),"")</f>
        <v/>
      </c>
      <c r="AH19" s="2" t="str">
        <f>+IFERROR(RANK(I19,(I$6,I$15,I$22,I$26,I$27,I$28,I$33),0),"")</f>
        <v/>
      </c>
      <c r="AI19" s="2" t="str">
        <f>+IFERROR(RANK(J19,(J$6,J$15,J$22,J$26,J$27,J$28,J$33),0),"")</f>
        <v/>
      </c>
      <c r="AJ19" s="2" t="str">
        <f>+IFERROR(RANK(K19,(K$6,K$15,K$22,K$26,K$27,K$28,K$33),0),"")</f>
        <v/>
      </c>
      <c r="AK19" s="2" t="str">
        <f>+IFERROR(RANK(L19,(L$6,L$15,L$22,L$26,L$27,L$28,L$33),0),"")</f>
        <v/>
      </c>
    </row>
    <row r="20" spans="1:46" ht="18" customHeight="1">
      <c r="A20" s="572" t="s">
        <v>509</v>
      </c>
      <c r="B20" s="711">
        <v>742.83</v>
      </c>
      <c r="C20" s="711">
        <v>745.16</v>
      </c>
      <c r="D20" s="711">
        <v>757.72</v>
      </c>
      <c r="E20" s="711">
        <v>777.17</v>
      </c>
      <c r="F20" s="711">
        <v>802.22</v>
      </c>
      <c r="G20" s="711">
        <v>830.2</v>
      </c>
      <c r="H20" s="711">
        <v>862.87</v>
      </c>
      <c r="I20" s="711">
        <v>906.83</v>
      </c>
      <c r="J20" s="711">
        <v>944.07</v>
      </c>
      <c r="K20" s="711">
        <v>1009.72</v>
      </c>
      <c r="L20" s="711">
        <v>1078.24</v>
      </c>
      <c r="N20" s="559">
        <f t="shared" si="5"/>
        <v>45.152995974852914</v>
      </c>
      <c r="O20" s="419">
        <f t="shared" si="6"/>
        <v>335.40999999999997</v>
      </c>
      <c r="P20" s="559">
        <f t="shared" si="7"/>
        <v>81.675444479873335</v>
      </c>
      <c r="Q20" s="559">
        <f t="shared" si="8"/>
        <v>81.533596664952469</v>
      </c>
      <c r="R20" s="559">
        <f t="shared" si="9"/>
        <v>81.920989469587212</v>
      </c>
      <c r="S20" s="559">
        <f t="shared" si="10"/>
        <v>82.41463414634147</v>
      </c>
      <c r="T20" s="559">
        <f t="shared" si="11"/>
        <v>82.667298695410238</v>
      </c>
      <c r="U20" s="559">
        <f t="shared" si="12"/>
        <v>82.599568197872827</v>
      </c>
      <c r="V20" s="559">
        <f t="shared" si="13"/>
        <v>82.809815833165388</v>
      </c>
      <c r="W20" s="559">
        <f t="shared" si="14"/>
        <v>83.750935101637467</v>
      </c>
      <c r="X20" s="559">
        <f t="shared" si="15"/>
        <v>82.563295290568021</v>
      </c>
      <c r="Y20" s="559">
        <f t="shared" si="16"/>
        <v>82.772754473837381</v>
      </c>
      <c r="Z20" s="559">
        <f t="shared" si="17"/>
        <v>82.373792934849035</v>
      </c>
      <c r="AA20" s="2" t="str">
        <f>+IFERROR(RANK(B20,(B$6,B$15,B$22,B$26,B$27,B$28,B$33),0),"")</f>
        <v/>
      </c>
      <c r="AB20" s="2" t="str">
        <f>+IFERROR(RANK(C20,(C$6,C$15,C$22,C$26,C$27,C$28,C$33),0),"")</f>
        <v/>
      </c>
      <c r="AC20" s="2" t="str">
        <f>+IFERROR(RANK(D20,(D$6,D$15,D$22,D$26,D$27,D$28,D$33),0),"")</f>
        <v/>
      </c>
      <c r="AD20" s="2" t="str">
        <f>+IFERROR(RANK(E20,(E$6,E$15,E$22,E$26,E$27,E$28,E$33),0),"")</f>
        <v/>
      </c>
      <c r="AE20" s="2" t="str">
        <f>+IFERROR(RANK(F20,(F$6,F$15,F$22,F$26,F$27,F$28,F$33),0),"")</f>
        <v/>
      </c>
      <c r="AF20" s="2" t="str">
        <f>+IFERROR(RANK(G20,(G$6,G$15,G$22,G$26,G$27,G$28,G$33),0),"")</f>
        <v/>
      </c>
      <c r="AG20" s="2" t="str">
        <f>+IFERROR(RANK(H20,(H$6,H$15,H$22,H$26,H$27,H$28,H$33),0),"")</f>
        <v/>
      </c>
      <c r="AH20" s="2" t="str">
        <f>+IFERROR(RANK(I20,(I$6,I$15,I$22,I$26,I$27,I$28,I$33),0),"")</f>
        <v/>
      </c>
      <c r="AI20" s="2" t="str">
        <f>+IFERROR(RANK(J20,(J$6,J$15,J$22,J$26,J$27,J$28,J$33),0),"")</f>
        <v/>
      </c>
      <c r="AJ20" s="2" t="str">
        <f>+IFERROR(RANK(K20,(K$6,K$15,K$22,K$26,K$27,K$28,K$33),0),"")</f>
        <v/>
      </c>
      <c r="AK20" s="2" t="str">
        <f>+IFERROR(RANK(L20,(L$6,L$15,L$22,L$26,L$27,L$28,L$33),0),"")</f>
        <v/>
      </c>
    </row>
    <row r="21" spans="1:46" ht="18" customHeight="1">
      <c r="A21" s="572" t="s">
        <v>510</v>
      </c>
      <c r="B21" s="711">
        <v>740.42</v>
      </c>
      <c r="C21" s="711">
        <v>743.42</v>
      </c>
      <c r="D21" s="711">
        <v>763.47</v>
      </c>
      <c r="E21" s="711">
        <v>777.73</v>
      </c>
      <c r="F21" s="711">
        <v>799.09</v>
      </c>
      <c r="G21" s="711">
        <v>825.89</v>
      </c>
      <c r="H21" s="711">
        <v>866.27</v>
      </c>
      <c r="I21" s="711">
        <v>908.52</v>
      </c>
      <c r="J21" s="711">
        <v>941.18</v>
      </c>
      <c r="K21" s="711">
        <v>1007.14</v>
      </c>
      <c r="L21" s="711">
        <v>1082.8599999999999</v>
      </c>
      <c r="N21" s="559">
        <f t="shared" si="5"/>
        <v>46.24942600145863</v>
      </c>
      <c r="O21" s="419">
        <f t="shared" si="6"/>
        <v>342.43999999999994</v>
      </c>
      <c r="P21" s="559">
        <f t="shared" si="7"/>
        <v>81.410460807705419</v>
      </c>
      <c r="Q21" s="559">
        <f t="shared" si="8"/>
        <v>81.343210092676685</v>
      </c>
      <c r="R21" s="559">
        <f t="shared" si="9"/>
        <v>82.542651415226928</v>
      </c>
      <c r="S21" s="559">
        <f t="shared" si="10"/>
        <v>82.474019088016973</v>
      </c>
      <c r="T21" s="559">
        <f t="shared" si="11"/>
        <v>82.344757939861097</v>
      </c>
      <c r="U21" s="559">
        <f t="shared" si="12"/>
        <v>82.170750878030816</v>
      </c>
      <c r="V21" s="559">
        <f t="shared" si="13"/>
        <v>83.136114550043672</v>
      </c>
      <c r="W21" s="559">
        <f t="shared" si="14"/>
        <v>83.907016263841811</v>
      </c>
      <c r="X21" s="559">
        <f t="shared" si="15"/>
        <v>82.310551401460486</v>
      </c>
      <c r="Y21" s="559">
        <f t="shared" si="16"/>
        <v>82.561256527334891</v>
      </c>
      <c r="Z21" s="559">
        <f t="shared" si="17"/>
        <v>82.726744896711878</v>
      </c>
      <c r="AA21" s="2" t="str">
        <f>+IFERROR(RANK(B21,(B$6,B$15,B$22,B$26,B$27,B$28,B$33),0),"")</f>
        <v/>
      </c>
      <c r="AB21" s="2" t="str">
        <f>+IFERROR(RANK(C21,(C$6,C$15,C$22,C$26,C$27,C$28,C$33),0),"")</f>
        <v/>
      </c>
      <c r="AC21" s="2" t="str">
        <f>+IFERROR(RANK(D21,(D$6,D$15,D$22,D$26,D$27,D$28,D$33),0),"")</f>
        <v/>
      </c>
      <c r="AD21" s="2" t="str">
        <f>+IFERROR(RANK(E21,(E$6,E$15,E$22,E$26,E$27,E$28,E$33),0),"")</f>
        <v/>
      </c>
      <c r="AE21" s="2" t="str">
        <f>+IFERROR(RANK(F21,(F$6,F$15,F$22,F$26,F$27,F$28,F$33),0),"")</f>
        <v/>
      </c>
      <c r="AF21" s="2" t="str">
        <f>+IFERROR(RANK(G21,(G$6,G$15,G$22,G$26,G$27,G$28,G$33),0),"")</f>
        <v/>
      </c>
      <c r="AG21" s="2" t="str">
        <f>+IFERROR(RANK(H21,(H$6,H$15,H$22,H$26,H$27,H$28,H$33),0),"")</f>
        <v/>
      </c>
      <c r="AH21" s="2" t="str">
        <f>+IFERROR(RANK(I21,(I$6,I$15,I$22,I$26,I$27,I$28,I$33),0),"")</f>
        <v/>
      </c>
      <c r="AI21" s="2" t="str">
        <f>+IFERROR(RANK(J21,(J$6,J$15,J$22,J$26,J$27,J$28,J$33),0),"")</f>
        <v/>
      </c>
      <c r="AJ21" s="2" t="str">
        <f>+IFERROR(RANK(K21,(K$6,K$15,K$22,K$26,K$27,K$28,K$33),0),"")</f>
        <v/>
      </c>
      <c r="AK21" s="2" t="str">
        <f>+IFERROR(RANK(L21,(L$6,L$15,L$22,L$26,L$27,L$28,L$33),0),"")</f>
        <v/>
      </c>
    </row>
    <row r="22" spans="1:46" ht="18" customHeight="1">
      <c r="A22" s="572" t="s">
        <v>514</v>
      </c>
      <c r="B22" s="711">
        <v>777.41</v>
      </c>
      <c r="C22" s="711">
        <v>783.71</v>
      </c>
      <c r="D22" s="711">
        <v>788.65</v>
      </c>
      <c r="E22" s="711">
        <v>816.6</v>
      </c>
      <c r="F22" s="711">
        <v>835.37</v>
      </c>
      <c r="G22" s="711">
        <v>865.24</v>
      </c>
      <c r="H22" s="711">
        <v>896.69</v>
      </c>
      <c r="I22" s="711">
        <v>928.24</v>
      </c>
      <c r="J22" s="711">
        <v>961.86</v>
      </c>
      <c r="K22" s="711">
        <v>1027.3399999999999</v>
      </c>
      <c r="L22" s="711">
        <v>1099.72</v>
      </c>
      <c r="N22" s="559">
        <f t="shared" si="5"/>
        <v>41.45946154538791</v>
      </c>
      <c r="O22" s="419">
        <f t="shared" si="6"/>
        <v>322.31000000000006</v>
      </c>
      <c r="P22" s="559">
        <f t="shared" si="7"/>
        <v>85.477575344423798</v>
      </c>
      <c r="Q22" s="559">
        <f t="shared" si="8"/>
        <v>85.751643998993359</v>
      </c>
      <c r="R22" s="559">
        <f t="shared" si="9"/>
        <v>85.264990161523983</v>
      </c>
      <c r="S22" s="559">
        <f t="shared" si="10"/>
        <v>86.595970307529157</v>
      </c>
      <c r="T22" s="559">
        <f t="shared" si="11"/>
        <v>86.083345355619215</v>
      </c>
      <c r="U22" s="559">
        <f t="shared" si="12"/>
        <v>86.085823160115012</v>
      </c>
      <c r="V22" s="559">
        <f t="shared" si="13"/>
        <v>86.055528363995819</v>
      </c>
      <c r="W22" s="559">
        <f t="shared" si="14"/>
        <v>85.728271008616787</v>
      </c>
      <c r="X22" s="559">
        <f t="shared" si="15"/>
        <v>84.119113210022292</v>
      </c>
      <c r="Y22" s="559">
        <f t="shared" si="16"/>
        <v>84.217170682121861</v>
      </c>
      <c r="Z22" s="559">
        <f t="shared" si="17"/>
        <v>84.014790367925684</v>
      </c>
      <c r="AA22" s="2">
        <f>+IFERROR(RANK(B22,(B$6,B$15,B$22,B$26,B$27,B$28,B$33),0),"")</f>
        <v>6</v>
      </c>
      <c r="AB22" s="2">
        <f>+IFERROR(RANK(C22,(C$6,C$15,C$22,C$26,C$27,C$28,C$33),0),"")</f>
        <v>6</v>
      </c>
      <c r="AC22" s="2">
        <f>+IFERROR(RANK(D22,(D$6,D$15,D$22,D$26,D$27,D$28,D$33),0),"")</f>
        <v>6</v>
      </c>
      <c r="AD22" s="2">
        <f>+IFERROR(RANK(E22,(E$6,E$15,E$22,E$26,E$27,E$28,E$33),0),"")</f>
        <v>6</v>
      </c>
      <c r="AE22" s="2">
        <f>+IFERROR(RANK(F22,(F$6,F$15,F$22,F$26,F$27,F$28,F$33),0),"")</f>
        <v>6</v>
      </c>
      <c r="AF22" s="2">
        <f>+IFERROR(RANK(G22,(G$6,G$15,G$22,G$26,G$27,G$28,G$33),0),"")</f>
        <v>5</v>
      </c>
      <c r="AG22" s="2">
        <f>+IFERROR(RANK(H22,(H$6,H$15,H$22,H$26,H$27,H$28,H$33),0),"")</f>
        <v>5</v>
      </c>
      <c r="AH22" s="2">
        <f>+IFERROR(RANK(I22,(I$6,I$15,I$22,I$26,I$27,I$28,I$33),0),"")</f>
        <v>5</v>
      </c>
      <c r="AI22" s="2">
        <f>+IFERROR(RANK(J22,(J$6,J$15,J$22,J$26,J$27,J$28,J$33),0),"")</f>
        <v>6</v>
      </c>
      <c r="AJ22" s="2">
        <f>+IFERROR(RANK(K22,(K$6,K$15,K$22,K$26,K$27,K$28,K$33),0),"")</f>
        <v>6</v>
      </c>
      <c r="AK22" s="2">
        <f>+IFERROR(RANK(L22,(L$6,L$15,L$22,L$26,L$27,L$28,L$33),0),"")</f>
        <v>6</v>
      </c>
    </row>
    <row r="23" spans="1:46" ht="18" customHeight="1">
      <c r="A23" s="572" t="s">
        <v>511</v>
      </c>
      <c r="B23" s="711">
        <v>706.7</v>
      </c>
      <c r="C23" s="711">
        <v>713.67</v>
      </c>
      <c r="D23" s="711">
        <v>731.12</v>
      </c>
      <c r="E23" s="711">
        <v>752.07</v>
      </c>
      <c r="F23" s="711">
        <v>776.5</v>
      </c>
      <c r="G23" s="711">
        <v>807.38</v>
      </c>
      <c r="H23" s="711">
        <v>841.02</v>
      </c>
      <c r="I23" s="711">
        <v>877.51</v>
      </c>
      <c r="J23" s="711">
        <v>921.32</v>
      </c>
      <c r="K23" s="711">
        <v>979.61</v>
      </c>
      <c r="L23" s="711">
        <v>1058.19</v>
      </c>
      <c r="N23" s="559">
        <f t="shared" si="5"/>
        <v>49.736804867694914</v>
      </c>
      <c r="O23" s="419">
        <f t="shared" si="6"/>
        <v>351.49</v>
      </c>
      <c r="P23" s="559">
        <f t="shared" si="7"/>
        <v>77.702888431978366</v>
      </c>
      <c r="Q23" s="559">
        <f t="shared" si="8"/>
        <v>78.088037377042014</v>
      </c>
      <c r="R23" s="559">
        <f t="shared" si="9"/>
        <v>79.045127251497391</v>
      </c>
      <c r="S23" s="559">
        <f t="shared" si="10"/>
        <v>79.752916224814427</v>
      </c>
      <c r="T23" s="559">
        <f t="shared" si="11"/>
        <v>80.016899899012799</v>
      </c>
      <c r="U23" s="559">
        <f t="shared" si="12"/>
        <v>80.329124754997068</v>
      </c>
      <c r="V23" s="559">
        <f t="shared" si="13"/>
        <v>80.712866726168201</v>
      </c>
      <c r="W23" s="559">
        <f t="shared" si="14"/>
        <v>81.043065470967989</v>
      </c>
      <c r="X23" s="559">
        <f t="shared" si="15"/>
        <v>80.573702391884211</v>
      </c>
      <c r="Y23" s="559">
        <f t="shared" si="16"/>
        <v>80.304458671825699</v>
      </c>
      <c r="Z23" s="559">
        <f t="shared" si="17"/>
        <v>80.842042537587091</v>
      </c>
      <c r="AA23" s="2" t="str">
        <f>+IFERROR(RANK(B23,(B$6,B$15,B$22,B$26,B$27,B$28,B$33),0),"")</f>
        <v/>
      </c>
      <c r="AB23" s="2" t="str">
        <f>+IFERROR(RANK(C23,(C$6,C$15,C$22,C$26,C$27,C$28,C$33),0),"")</f>
        <v/>
      </c>
      <c r="AC23" s="2" t="str">
        <f>+IFERROR(RANK(D23,(D$6,D$15,D$22,D$26,D$27,D$28,D$33),0),"")</f>
        <v/>
      </c>
      <c r="AD23" s="2" t="str">
        <f>+IFERROR(RANK(E23,(E$6,E$15,E$22,E$26,E$27,E$28,E$33),0),"")</f>
        <v/>
      </c>
      <c r="AE23" s="2" t="str">
        <f>+IFERROR(RANK(F23,(F$6,F$15,F$22,F$26,F$27,F$28,F$33),0),"")</f>
        <v/>
      </c>
      <c r="AF23" s="2" t="str">
        <f>+IFERROR(RANK(G23,(G$6,G$15,G$22,G$26,G$27,G$28,G$33),0),"")</f>
        <v/>
      </c>
      <c r="AG23" s="2" t="str">
        <f>+IFERROR(RANK(H23,(H$6,H$15,H$22,H$26,H$27,H$28,H$33),0),"")</f>
        <v/>
      </c>
      <c r="AH23" s="2" t="str">
        <f>+IFERROR(RANK(I23,(I$6,I$15,I$22,I$26,I$27,I$28,I$33),0),"")</f>
        <v/>
      </c>
      <c r="AI23" s="2" t="str">
        <f>+IFERROR(RANK(J23,(J$6,J$15,J$22,J$26,J$27,J$28,J$33),0),"")</f>
        <v/>
      </c>
      <c r="AJ23" s="2" t="str">
        <f>+IFERROR(RANK(K23,(K$6,K$15,K$22,K$26,K$27,K$28,K$33),0),"")</f>
        <v/>
      </c>
      <c r="AK23" s="2" t="str">
        <f>+IFERROR(RANK(L23,(L$6,L$15,L$22,L$26,L$27,L$28,L$33),0),"")</f>
        <v/>
      </c>
    </row>
    <row r="24" spans="1:46" ht="20.100000000000001" customHeight="1">
      <c r="A24" s="15" t="s">
        <v>772</v>
      </c>
      <c r="B24" s="87">
        <v>1139.73</v>
      </c>
      <c r="C24" s="87">
        <v>1143.49</v>
      </c>
      <c r="D24" s="87">
        <v>1150.72</v>
      </c>
      <c r="E24" s="87">
        <v>1166.67</v>
      </c>
      <c r="F24" s="87">
        <v>1187.08</v>
      </c>
      <c r="G24" s="87">
        <v>1221.83</v>
      </c>
      <c r="H24" s="87">
        <v>1257.56</v>
      </c>
      <c r="I24" s="87">
        <v>1301.0999999999999</v>
      </c>
      <c r="J24" s="87">
        <v>1376.38</v>
      </c>
      <c r="K24" s="87">
        <v>1462.95</v>
      </c>
      <c r="L24" s="87">
        <v>1554.49</v>
      </c>
      <c r="N24" s="559">
        <f t="shared" si="5"/>
        <v>36.39107507918542</v>
      </c>
      <c r="O24" s="419">
        <f t="shared" si="6"/>
        <v>414.76</v>
      </c>
      <c r="P24" s="559">
        <f t="shared" si="7"/>
        <v>125.31528658918735</v>
      </c>
      <c r="Q24" s="559">
        <f t="shared" si="8"/>
        <v>125.11789743196964</v>
      </c>
      <c r="R24" s="559">
        <f t="shared" si="9"/>
        <v>124.41023201504962</v>
      </c>
      <c r="S24" s="559">
        <f t="shared" si="10"/>
        <v>123.71898197242842</v>
      </c>
      <c r="T24" s="559">
        <f t="shared" si="11"/>
        <v>122.32641536654232</v>
      </c>
      <c r="U24" s="559">
        <f t="shared" si="12"/>
        <v>121.56423802843526</v>
      </c>
      <c r="V24" s="559">
        <f t="shared" si="13"/>
        <v>120.68829835219148</v>
      </c>
      <c r="W24" s="559">
        <f t="shared" si="14"/>
        <v>120.16402375389048</v>
      </c>
      <c r="X24" s="559">
        <f t="shared" si="15"/>
        <v>120.37080764353492</v>
      </c>
      <c r="Y24" s="559">
        <f t="shared" si="16"/>
        <v>119.92671350225845</v>
      </c>
      <c r="Z24" s="559">
        <f t="shared" si="17"/>
        <v>118.75763965285417</v>
      </c>
      <c r="AA24" s="2" t="str">
        <f>+IFERROR(RANK(B24,(B$6,B$15,B$22,B$26,B$27,B$28,B$33),0),"")</f>
        <v/>
      </c>
      <c r="AB24" s="2" t="str">
        <f>+IFERROR(RANK(C24,(C$6,C$15,C$22,C$26,C$27,C$28,C$33),0),"")</f>
        <v/>
      </c>
      <c r="AC24" s="2" t="str">
        <f>+IFERROR(RANK(D24,(D$6,D$15,D$22,D$26,D$27,D$28,D$33),0),"")</f>
        <v/>
      </c>
      <c r="AD24" s="2" t="str">
        <f>+IFERROR(RANK(E24,(E$6,E$15,E$22,E$26,E$27,E$28,E$33),0),"")</f>
        <v/>
      </c>
      <c r="AE24" s="2" t="str">
        <f>+IFERROR(RANK(F24,(F$6,F$15,F$22,F$26,F$27,F$28,F$33),0),"")</f>
        <v/>
      </c>
      <c r="AF24" s="2" t="str">
        <f>+IFERROR(RANK(G24,(G$6,G$15,G$22,G$26,G$27,G$28,G$33),0),"")</f>
        <v/>
      </c>
      <c r="AG24" s="2" t="str">
        <f>+IFERROR(RANK(H24,(H$6,H$15,H$22,H$26,H$27,H$28,H$33),0),"")</f>
        <v/>
      </c>
      <c r="AH24" s="2" t="str">
        <f>+IFERROR(RANK(I24,(I$6,I$15,I$22,I$26,I$27,I$28,I$33),0),"")</f>
        <v/>
      </c>
      <c r="AI24" s="2" t="str">
        <f>+IFERROR(RANK(J24,(J$6,J$15,J$22,J$26,J$27,J$28,J$33),0),"")</f>
        <v/>
      </c>
      <c r="AJ24" s="2" t="str">
        <f>+IFERROR(RANK(K24,(K$6,K$15,K$22,K$26,K$27,K$28,K$33),0),"")</f>
        <v/>
      </c>
      <c r="AK24" s="2" t="str">
        <f>+IFERROR(RANK(L24,(L$6,L$15,L$22,L$26,L$27,L$28,L$33),0),"")</f>
        <v/>
      </c>
    </row>
    <row r="25" spans="1:46" ht="20.100000000000001" customHeight="1">
      <c r="A25" s="15" t="s">
        <v>518</v>
      </c>
      <c r="B25" s="87">
        <v>804.32</v>
      </c>
      <c r="C25" s="87">
        <v>808.57</v>
      </c>
      <c r="D25" s="87">
        <v>812.82</v>
      </c>
      <c r="E25" s="87">
        <v>828.18</v>
      </c>
      <c r="F25" s="87">
        <v>849.86</v>
      </c>
      <c r="G25" s="87">
        <v>868.9</v>
      </c>
      <c r="H25" s="87">
        <v>903.07</v>
      </c>
      <c r="I25" s="87">
        <v>937.26</v>
      </c>
      <c r="J25" s="87">
        <v>983.76</v>
      </c>
      <c r="K25" s="87">
        <v>1047.45</v>
      </c>
      <c r="L25" s="87">
        <v>1119.54</v>
      </c>
      <c r="N25" s="559">
        <f t="shared" si="5"/>
        <v>39.190869305748933</v>
      </c>
      <c r="O25" s="419">
        <f t="shared" si="6"/>
        <v>315.21999999999991</v>
      </c>
      <c r="P25" s="559">
        <f t="shared" si="7"/>
        <v>88.436376430746904</v>
      </c>
      <c r="Q25" s="559">
        <f t="shared" si="8"/>
        <v>88.47176479599095</v>
      </c>
      <c r="R25" s="559">
        <f t="shared" si="9"/>
        <v>87.878132635630408</v>
      </c>
      <c r="S25" s="559">
        <f t="shared" si="10"/>
        <v>87.823966065747612</v>
      </c>
      <c r="T25" s="559">
        <f t="shared" si="11"/>
        <v>87.576513262298803</v>
      </c>
      <c r="U25" s="559">
        <f t="shared" si="12"/>
        <v>86.449969654458798</v>
      </c>
      <c r="V25" s="559">
        <f t="shared" si="13"/>
        <v>86.667818309196818</v>
      </c>
      <c r="W25" s="559">
        <f t="shared" si="14"/>
        <v>86.561319578488508</v>
      </c>
      <c r="X25" s="559">
        <f t="shared" si="15"/>
        <v>86.034369670733298</v>
      </c>
      <c r="Y25" s="559">
        <f t="shared" si="16"/>
        <v>85.865707001565752</v>
      </c>
      <c r="Z25" s="559">
        <f t="shared" si="17"/>
        <v>85.528969563623022</v>
      </c>
      <c r="AA25" s="2" t="str">
        <f>+IFERROR(RANK(B25,(B$6,B$15,B$22,B$26,B$27,B$28,B$33),0),"")</f>
        <v/>
      </c>
      <c r="AB25" s="2" t="str">
        <f>+IFERROR(RANK(C25,(C$6,C$15,C$22,C$26,C$27,C$28,C$33),0),"")</f>
        <v/>
      </c>
      <c r="AC25" s="2" t="str">
        <f>+IFERROR(RANK(D25,(D$6,D$15,D$22,D$26,D$27,D$28,D$33),0),"")</f>
        <v/>
      </c>
      <c r="AD25" s="2" t="str">
        <f>+IFERROR(RANK(E25,(E$6,E$15,E$22,E$26,E$27,E$28,E$33),0),"")</f>
        <v/>
      </c>
      <c r="AE25" s="2" t="str">
        <f>+IFERROR(RANK(F25,(F$6,F$15,F$22,F$26,F$27,F$28,F$33),0),"")</f>
        <v/>
      </c>
      <c r="AF25" s="2" t="str">
        <f>+IFERROR(RANK(G25,(G$6,G$15,G$22,G$26,G$27,G$28,G$33),0),"")</f>
        <v/>
      </c>
      <c r="AG25" s="2" t="str">
        <f>+IFERROR(RANK(H25,(H$6,H$15,H$22,H$26,H$27,H$28,H$33),0),"")</f>
        <v/>
      </c>
      <c r="AH25" s="2" t="str">
        <f>+IFERROR(RANK(I25,(I$6,I$15,I$22,I$26,I$27,I$28,I$33),0),"")</f>
        <v/>
      </c>
      <c r="AI25" s="2" t="str">
        <f>+IFERROR(RANK(J25,(J$6,J$15,J$22,J$26,J$27,J$28,J$33),0),"")</f>
        <v/>
      </c>
      <c r="AJ25" s="2" t="str">
        <f>+IFERROR(RANK(K25,(K$6,K$15,K$22,K$26,K$27,K$28,K$33),0),"")</f>
        <v/>
      </c>
      <c r="AK25" s="2" t="str">
        <f>+IFERROR(RANK(L25,(L$6,L$15,L$22,L$26,L$27,L$28,L$33),0),"")</f>
        <v/>
      </c>
    </row>
    <row r="26" spans="1:46" ht="18" customHeight="1">
      <c r="A26" s="572" t="s">
        <v>519</v>
      </c>
      <c r="B26" s="711">
        <v>893.32</v>
      </c>
      <c r="C26" s="711">
        <v>884.28</v>
      </c>
      <c r="D26" s="711">
        <v>882.81</v>
      </c>
      <c r="E26" s="711">
        <v>894.34</v>
      </c>
      <c r="F26" s="711">
        <v>914.74</v>
      </c>
      <c r="G26" s="711">
        <v>916.54</v>
      </c>
      <c r="H26" s="711">
        <v>952</v>
      </c>
      <c r="I26" s="711">
        <v>976.17</v>
      </c>
      <c r="J26" s="711">
        <v>1023.18</v>
      </c>
      <c r="K26" s="711">
        <v>1108.18</v>
      </c>
      <c r="L26" s="711">
        <v>1180.01</v>
      </c>
      <c r="N26" s="559">
        <f t="shared" si="5"/>
        <v>32.092643173778711</v>
      </c>
      <c r="O26" s="419">
        <f t="shared" si="6"/>
        <v>286.68999999999994</v>
      </c>
      <c r="P26" s="559">
        <f t="shared" si="7"/>
        <v>98.222080506657576</v>
      </c>
      <c r="Q26" s="559">
        <f t="shared" si="8"/>
        <v>96.755769041392668</v>
      </c>
      <c r="R26" s="559">
        <f t="shared" si="9"/>
        <v>95.445109953078031</v>
      </c>
      <c r="S26" s="559">
        <f t="shared" si="10"/>
        <v>94.839872746553553</v>
      </c>
      <c r="T26" s="559">
        <f t="shared" si="11"/>
        <v>94.262278188825462</v>
      </c>
      <c r="U26" s="559">
        <f t="shared" si="12"/>
        <v>91.189843695589445</v>
      </c>
      <c r="V26" s="559">
        <f t="shared" si="13"/>
        <v>91.363640725918671</v>
      </c>
      <c r="W26" s="559">
        <f t="shared" si="14"/>
        <v>90.154880537879706</v>
      </c>
      <c r="X26" s="559">
        <f t="shared" si="15"/>
        <v>89.481831300013113</v>
      </c>
      <c r="Y26" s="559">
        <f t="shared" si="16"/>
        <v>90.844106339200081</v>
      </c>
      <c r="Z26" s="559">
        <f t="shared" si="17"/>
        <v>90.148667644542229</v>
      </c>
      <c r="AA26" s="2">
        <f>+IFERROR(RANK(B26,(B$6,B$15,B$22,B$26,B$27,B$28,B$33),0),"")</f>
        <v>1</v>
      </c>
      <c r="AB26" s="2">
        <f>+IFERROR(RANK(C26,(C$6,C$15,C$22,C$26,C$27,C$28,C$33),0),"")</f>
        <v>1</v>
      </c>
      <c r="AC26" s="2">
        <f>+IFERROR(RANK(D26,(D$6,D$15,D$22,D$26,D$27,D$28,D$33),0),"")</f>
        <v>1</v>
      </c>
      <c r="AD26" s="2">
        <f>+IFERROR(RANK(E26,(E$6,E$15,E$22,E$26,E$27,E$28,E$33),0),"")</f>
        <v>1</v>
      </c>
      <c r="AE26" s="2">
        <f>+IFERROR(RANK(F26,(F$6,F$15,F$22,F$26,F$27,F$28,F$33),0),"")</f>
        <v>1</v>
      </c>
      <c r="AF26" s="2">
        <f>+IFERROR(RANK(G26,(G$6,G$15,G$22,G$26,G$27,G$28,G$33),0),"")</f>
        <v>2</v>
      </c>
      <c r="AG26" s="2">
        <f>+IFERROR(RANK(H26,(H$6,H$15,H$22,H$26,H$27,H$28,H$33),0),"")</f>
        <v>2</v>
      </c>
      <c r="AH26" s="2">
        <f>+IFERROR(RANK(I26,(I$6,I$15,I$22,I$26,I$27,I$28,I$33),0),"")</f>
        <v>2</v>
      </c>
      <c r="AI26" s="2">
        <f>+IFERROR(RANK(J26,(J$6,J$15,J$22,J$26,J$27,J$28,J$33),0),"")</f>
        <v>2</v>
      </c>
      <c r="AJ26" s="2">
        <f>+IFERROR(RANK(K26,(K$6,K$15,K$22,K$26,K$27,K$28,K$33),0),"")</f>
        <v>2</v>
      </c>
      <c r="AK26" s="2">
        <f>+IFERROR(RANK(L26,(L$6,L$15,L$22,L$26,L$27,L$28,L$33),0),"")</f>
        <v>2</v>
      </c>
    </row>
    <row r="27" spans="1:46" ht="18" customHeight="1">
      <c r="A27" s="572" t="s">
        <v>520</v>
      </c>
      <c r="B27" s="711">
        <v>786.13</v>
      </c>
      <c r="C27" s="711">
        <v>793.32</v>
      </c>
      <c r="D27" s="711">
        <v>797.44</v>
      </c>
      <c r="E27" s="711">
        <v>822.89</v>
      </c>
      <c r="F27" s="711">
        <v>852.59</v>
      </c>
      <c r="G27" s="711">
        <v>885.25</v>
      </c>
      <c r="H27" s="711">
        <v>911.63</v>
      </c>
      <c r="I27" s="711">
        <v>950.68</v>
      </c>
      <c r="J27" s="711">
        <v>994.2</v>
      </c>
      <c r="K27" s="711">
        <v>1044.58</v>
      </c>
      <c r="L27" s="711">
        <v>1119.75</v>
      </c>
      <c r="N27" s="559">
        <f t="shared" si="5"/>
        <v>42.438273567984929</v>
      </c>
      <c r="O27" s="419">
        <f t="shared" si="6"/>
        <v>333.62</v>
      </c>
      <c r="P27" s="559">
        <f t="shared" si="7"/>
        <v>86.436354440400663</v>
      </c>
      <c r="Q27" s="559">
        <f t="shared" si="8"/>
        <v>86.803146849321067</v>
      </c>
      <c r="R27" s="559">
        <f t="shared" si="9"/>
        <v>86.215322074945391</v>
      </c>
      <c r="S27" s="559">
        <f t="shared" si="10"/>
        <v>87.262990455991513</v>
      </c>
      <c r="T27" s="559">
        <f t="shared" si="11"/>
        <v>87.857834751963068</v>
      </c>
      <c r="U27" s="559">
        <f t="shared" si="12"/>
        <v>88.076689649683104</v>
      </c>
      <c r="V27" s="559">
        <f t="shared" si="13"/>
        <v>87.489323314043318</v>
      </c>
      <c r="W27" s="559">
        <f t="shared" si="14"/>
        <v>87.800733304395209</v>
      </c>
      <c r="X27" s="559">
        <f t="shared" si="15"/>
        <v>86.947396038305129</v>
      </c>
      <c r="Y27" s="559">
        <f t="shared" si="16"/>
        <v>85.630436030068779</v>
      </c>
      <c r="Z27" s="559">
        <f t="shared" si="17"/>
        <v>85.545012834616799</v>
      </c>
      <c r="AA27" s="2">
        <f>+IFERROR(RANK(B27,(B$6,B$15,B$22,B$26,B$27,B$28,B$33),0),"")</f>
        <v>5</v>
      </c>
      <c r="AB27" s="2">
        <f>+IFERROR(RANK(C27,(C$6,C$15,C$22,C$26,C$27,C$28,C$33),0),"")</f>
        <v>4</v>
      </c>
      <c r="AC27" s="2">
        <f>+IFERROR(RANK(D27,(D$6,D$15,D$22,D$26,D$27,D$28,D$33),0),"")</f>
        <v>5</v>
      </c>
      <c r="AD27" s="2">
        <f>+IFERROR(RANK(E27,(E$6,E$15,E$22,E$26,E$27,E$28,E$33),0),"")</f>
        <v>5</v>
      </c>
      <c r="AE27" s="2">
        <f>+IFERROR(RANK(F27,(F$6,F$15,F$22,F$26,F$27,F$28,F$33),0),"")</f>
        <v>3</v>
      </c>
      <c r="AF27" s="2">
        <f>+IFERROR(RANK(G27,(G$6,G$15,G$22,G$26,G$27,G$28,G$33),0),"")</f>
        <v>3</v>
      </c>
      <c r="AG27" s="2">
        <f>+IFERROR(RANK(H27,(H$6,H$15,H$22,H$26,H$27,H$28,H$33),0),"")</f>
        <v>4</v>
      </c>
      <c r="AH27" s="2">
        <f>+IFERROR(RANK(I27,(I$6,I$15,I$22,I$26,I$27,I$28,I$33),0),"")</f>
        <v>4</v>
      </c>
      <c r="AI27" s="2">
        <f>+IFERROR(RANK(J27,(J$6,J$15,J$22,J$26,J$27,J$28,J$33),0),"")</f>
        <v>4</v>
      </c>
      <c r="AJ27" s="2">
        <f>+IFERROR(RANK(K27,(K$6,K$15,K$22,K$26,K$27,K$28,K$33),0),"")</f>
        <v>4</v>
      </c>
      <c r="AK27" s="2">
        <f>+IFERROR(RANK(L27,(L$6,L$15,L$22,L$26,L$27,L$28,L$33),0),"")</f>
        <v>4</v>
      </c>
    </row>
    <row r="28" spans="1:46" ht="18" customHeight="1">
      <c r="A28" s="572" t="s">
        <v>515</v>
      </c>
      <c r="B28" s="711">
        <v>802.58</v>
      </c>
      <c r="C28" s="711">
        <v>810.85</v>
      </c>
      <c r="D28" s="711">
        <v>811.7</v>
      </c>
      <c r="E28" s="711">
        <v>823.12</v>
      </c>
      <c r="F28" s="711">
        <v>841.64</v>
      </c>
      <c r="G28" s="711">
        <v>858.78</v>
      </c>
      <c r="H28" s="711">
        <v>892.52</v>
      </c>
      <c r="I28" s="711">
        <v>927.76</v>
      </c>
      <c r="J28" s="711">
        <v>973.65</v>
      </c>
      <c r="K28" s="711">
        <v>1036.5899999999999</v>
      </c>
      <c r="L28" s="711">
        <v>1104.77</v>
      </c>
      <c r="N28" s="559">
        <f t="shared" si="5"/>
        <v>37.652321263923838</v>
      </c>
      <c r="O28" s="419">
        <f t="shared" si="6"/>
        <v>302.18999999999994</v>
      </c>
      <c r="P28" s="559">
        <f t="shared" si="7"/>
        <v>88.245060418476285</v>
      </c>
      <c r="Q28" s="559">
        <f t="shared" si="8"/>
        <v>88.721236856214375</v>
      </c>
      <c r="R28" s="559">
        <f t="shared" si="9"/>
        <v>87.757043700131902</v>
      </c>
      <c r="S28" s="559">
        <f t="shared" si="10"/>
        <v>87.287380699893959</v>
      </c>
      <c r="T28" s="559">
        <f t="shared" si="11"/>
        <v>86.729457348364633</v>
      </c>
      <c r="U28" s="559">
        <f t="shared" si="12"/>
        <v>85.443094648240447</v>
      </c>
      <c r="V28" s="559">
        <f t="shared" si="13"/>
        <v>85.655332584765688</v>
      </c>
      <c r="W28" s="559">
        <f t="shared" si="14"/>
        <v>85.683940264322061</v>
      </c>
      <c r="X28" s="559">
        <f t="shared" si="15"/>
        <v>85.150203332021505</v>
      </c>
      <c r="Y28" s="559">
        <f t="shared" si="16"/>
        <v>84.975448203497095</v>
      </c>
      <c r="Z28" s="559">
        <f t="shared" si="17"/>
        <v>84.400592837061481</v>
      </c>
      <c r="AA28" s="2">
        <f>+IFERROR(RANK(B28,(B$6,B$15,B$22,B$26,B$27,B$28,B$33),0),"")</f>
        <v>3</v>
      </c>
      <c r="AB28" s="2">
        <f>+IFERROR(RANK(C28,(C$6,C$15,C$22,C$26,C$27,C$28,C$33),0),"")</f>
        <v>3</v>
      </c>
      <c r="AC28" s="2">
        <f>+IFERROR(RANK(D28,(D$6,D$15,D$22,D$26,D$27,D$28,D$33),0),"")</f>
        <v>3</v>
      </c>
      <c r="AD28" s="2">
        <f>+IFERROR(RANK(E28,(E$6,E$15,E$22,E$26,E$27,E$28,E$33),0),"")</f>
        <v>4</v>
      </c>
      <c r="AE28" s="2">
        <f>+IFERROR(RANK(F28,(F$6,F$15,F$22,F$26,F$27,F$28,F$33),0),"")</f>
        <v>5</v>
      </c>
      <c r="AF28" s="2">
        <f>+IFERROR(RANK(G28,(G$6,G$15,G$22,G$26,G$27,G$28,G$33),0),"")</f>
        <v>6</v>
      </c>
      <c r="AG28" s="2">
        <f>+IFERROR(RANK(H28,(H$6,H$15,H$22,H$26,H$27,H$28,H$33),0),"")</f>
        <v>6</v>
      </c>
      <c r="AH28" s="2">
        <f>+IFERROR(RANK(I28,(I$6,I$15,I$22,I$26,I$27,I$28,I$33),0),"")</f>
        <v>6</v>
      </c>
      <c r="AI28" s="2">
        <f>+IFERROR(RANK(J28,(J$6,J$15,J$22,J$26,J$27,J$28,J$33),0),"")</f>
        <v>5</v>
      </c>
      <c r="AJ28" s="2">
        <f>+IFERROR(RANK(K28,(K$6,K$15,K$22,K$26,K$27,K$28,K$33),0),"")</f>
        <v>5</v>
      </c>
      <c r="AK28" s="2">
        <f>+IFERROR(RANK(L28,(L$6,L$15,L$22,L$26,L$27,L$28,L$33),0),"")</f>
        <v>5</v>
      </c>
    </row>
    <row r="29" spans="1:46" ht="18" customHeight="1">
      <c r="A29" s="572" t="s">
        <v>521</v>
      </c>
      <c r="B29" s="711">
        <v>754.22</v>
      </c>
      <c r="C29" s="711">
        <v>755.71</v>
      </c>
      <c r="D29" s="711">
        <v>767.83</v>
      </c>
      <c r="E29" s="711">
        <v>783.59</v>
      </c>
      <c r="F29" s="711">
        <v>805.96</v>
      </c>
      <c r="G29" s="711">
        <v>828.76</v>
      </c>
      <c r="H29" s="711">
        <v>863.38</v>
      </c>
      <c r="I29" s="711">
        <v>899.36</v>
      </c>
      <c r="J29" s="711">
        <v>939.13</v>
      </c>
      <c r="K29" s="711">
        <v>990.36</v>
      </c>
      <c r="L29" s="711">
        <v>1064.08</v>
      </c>
      <c r="N29" s="559">
        <f t="shared" si="5"/>
        <v>41.083503487046215</v>
      </c>
      <c r="O29" s="419">
        <f t="shared" si="6"/>
        <v>309.8599999999999</v>
      </c>
      <c r="P29" s="559">
        <f t="shared" si="7"/>
        <v>82.927794698127528</v>
      </c>
      <c r="Q29" s="559">
        <f t="shared" si="8"/>
        <v>82.68795203133719</v>
      </c>
      <c r="R29" s="559">
        <f t="shared" si="9"/>
        <v>83.0140333427033</v>
      </c>
      <c r="S29" s="559">
        <f t="shared" si="10"/>
        <v>83.09544008483563</v>
      </c>
      <c r="T29" s="559">
        <f t="shared" si="11"/>
        <v>83.052698831433815</v>
      </c>
      <c r="U29" s="559">
        <f t="shared" si="12"/>
        <v>82.456297445999851</v>
      </c>
      <c r="V29" s="559">
        <f t="shared" si="13"/>
        <v>82.858760640697128</v>
      </c>
      <c r="W29" s="559">
        <f t="shared" si="14"/>
        <v>83.061037893550804</v>
      </c>
      <c r="X29" s="559">
        <f t="shared" si="15"/>
        <v>82.131269403996669</v>
      </c>
      <c r="Y29" s="559">
        <f t="shared" si="16"/>
        <v>81.185700115586101</v>
      </c>
      <c r="Z29" s="559">
        <f t="shared" si="17"/>
        <v>81.292018090697951</v>
      </c>
      <c r="AA29" s="2" t="str">
        <f>+IFERROR(RANK(B29,(B$6,B$15,B$22,B$26,B$27,B$28,B$33),0),"")</f>
        <v/>
      </c>
      <c r="AB29" s="2" t="str">
        <f>+IFERROR(RANK(C29,(C$6,C$15,C$22,C$26,C$27,C$28,C$33),0),"")</f>
        <v/>
      </c>
      <c r="AC29" s="2" t="str">
        <f>+IFERROR(RANK(D29,(D$6,D$15,D$22,D$26,D$27,D$28,D$33),0),"")</f>
        <v/>
      </c>
      <c r="AD29" s="2" t="str">
        <f>+IFERROR(RANK(E29,(E$6,E$15,E$22,E$26,E$27,E$28,E$33),0),"")</f>
        <v/>
      </c>
      <c r="AE29" s="2" t="str">
        <f>+IFERROR(RANK(F29,(F$6,F$15,F$22,F$26,F$27,F$28,F$33),0),"")</f>
        <v/>
      </c>
      <c r="AF29" s="2" t="str">
        <f>+IFERROR(RANK(G29,(G$6,G$15,G$22,G$26,G$27,G$28,G$33),0),"")</f>
        <v/>
      </c>
      <c r="AG29" s="2" t="str">
        <f>+IFERROR(RANK(H29,(H$6,H$15,H$22,H$26,H$27,H$28,H$33),0),"")</f>
        <v/>
      </c>
      <c r="AH29" s="2" t="str">
        <f>+IFERROR(RANK(I29,(I$6,I$15,I$22,I$26,I$27,I$28,I$33),0),"")</f>
        <v/>
      </c>
      <c r="AI29" s="2" t="str">
        <f>+IFERROR(RANK(J29,(J$6,J$15,J$22,J$26,J$27,J$28,J$33),0),"")</f>
        <v/>
      </c>
      <c r="AJ29" s="2" t="str">
        <f>+IFERROR(RANK(K29,(K$6,K$15,K$22,K$26,K$27,K$28,K$33),0),"")</f>
        <v/>
      </c>
      <c r="AK29" s="2" t="str">
        <f>+IFERROR(RANK(L29,(L$6,L$15,L$22,L$26,L$27,L$28,L$33),0),"")</f>
        <v/>
      </c>
    </row>
    <row r="30" spans="1:46" ht="18" customHeight="1">
      <c r="A30" s="572" t="s">
        <v>522</v>
      </c>
      <c r="B30" s="711">
        <v>791.91</v>
      </c>
      <c r="C30" s="711">
        <v>796.55</v>
      </c>
      <c r="D30" s="711">
        <v>804.02</v>
      </c>
      <c r="E30" s="711">
        <v>819.6</v>
      </c>
      <c r="F30" s="711">
        <v>839.16</v>
      </c>
      <c r="G30" s="711">
        <v>861.13</v>
      </c>
      <c r="H30" s="711">
        <v>898.01</v>
      </c>
      <c r="I30" s="711">
        <v>931.83</v>
      </c>
      <c r="J30" s="711">
        <v>984.11</v>
      </c>
      <c r="K30" s="711">
        <v>1049.8499999999999</v>
      </c>
      <c r="L30" s="711">
        <v>1125.55</v>
      </c>
      <c r="N30" s="559">
        <f t="shared" si="5"/>
        <v>42.131050245608726</v>
      </c>
      <c r="O30" s="419">
        <f t="shared" si="6"/>
        <v>333.64</v>
      </c>
      <c r="P30" s="559">
        <f t="shared" si="7"/>
        <v>87.071875446678902</v>
      </c>
      <c r="Q30" s="559">
        <f t="shared" si="8"/>
        <v>87.156565601304266</v>
      </c>
      <c r="R30" s="559">
        <f t="shared" si="9"/>
        <v>86.926719570999197</v>
      </c>
      <c r="S30" s="559">
        <f t="shared" si="10"/>
        <v>86.914103923647929</v>
      </c>
      <c r="T30" s="559">
        <f t="shared" si="11"/>
        <v>86.473897899878409</v>
      </c>
      <c r="U30" s="559">
        <f t="shared" si="12"/>
        <v>85.676904555810921</v>
      </c>
      <c r="V30" s="559">
        <f t="shared" si="13"/>
        <v>86.182209042313261</v>
      </c>
      <c r="W30" s="559">
        <f t="shared" si="14"/>
        <v>86.059828033654426</v>
      </c>
      <c r="X30" s="559">
        <f t="shared" si="15"/>
        <v>86.064978792251523</v>
      </c>
      <c r="Y30" s="559">
        <f t="shared" si="16"/>
        <v>86.062449277382015</v>
      </c>
      <c r="Z30" s="559">
        <f t="shared" si="17"/>
        <v>85.988112700158908</v>
      </c>
      <c r="AA30" s="2" t="str">
        <f>+IFERROR(RANK(B30,(B$6,B$15,B$22,B$26,B$27,B$28,B$33),0),"")</f>
        <v/>
      </c>
      <c r="AB30" s="2" t="str">
        <f>+IFERROR(RANK(C30,(C$6,C$15,C$22,C$26,C$27,C$28,C$33),0),"")</f>
        <v/>
      </c>
      <c r="AC30" s="2" t="str">
        <f>+IFERROR(RANK(D30,(D$6,D$15,D$22,D$26,D$27,D$28,D$33),0),"")</f>
        <v/>
      </c>
      <c r="AD30" s="2" t="str">
        <f>+IFERROR(RANK(E30,(E$6,E$15,E$22,E$26,E$27,E$28,E$33),0),"")</f>
        <v/>
      </c>
      <c r="AE30" s="2" t="str">
        <f>+IFERROR(RANK(F30,(F$6,F$15,F$22,F$26,F$27,F$28,F$33),0),"")</f>
        <v/>
      </c>
      <c r="AF30" s="2" t="str">
        <f>+IFERROR(RANK(G30,(G$6,G$15,G$22,G$26,G$27,G$28,G$33),0),"")</f>
        <v/>
      </c>
      <c r="AG30" s="2" t="str">
        <f>+IFERROR(RANK(H30,(H$6,H$15,H$22,H$26,H$27,H$28,H$33),0),"")</f>
        <v/>
      </c>
      <c r="AH30" s="2" t="str">
        <f>+IFERROR(RANK(I30,(I$6,I$15,I$22,I$26,I$27,I$28,I$33),0),"")</f>
        <v/>
      </c>
      <c r="AI30" s="2" t="str">
        <f>+IFERROR(RANK(J30,(J$6,J$15,J$22,J$26,J$27,J$28,J$33),0),"")</f>
        <v/>
      </c>
      <c r="AJ30" s="2" t="str">
        <f>+IFERROR(RANK(K30,(K$6,K$15,K$22,K$26,K$27,K$28,K$33),0),"")</f>
        <v/>
      </c>
      <c r="AK30" s="2" t="str">
        <f>+IFERROR(RANK(L30,(L$6,L$15,L$22,L$26,L$27,L$28,L$33),0),"")</f>
        <v/>
      </c>
    </row>
    <row r="31" spans="1:46" s="18" customFormat="1" ht="20.100000000000001" customHeight="1">
      <c r="A31" s="17" t="s">
        <v>523</v>
      </c>
      <c r="B31" s="709">
        <v>780.52</v>
      </c>
      <c r="C31" s="709">
        <v>781.12</v>
      </c>
      <c r="D31" s="709">
        <v>793.76</v>
      </c>
      <c r="E31" s="709">
        <v>810.99</v>
      </c>
      <c r="F31" s="709">
        <v>836.09</v>
      </c>
      <c r="G31" s="709">
        <v>861.15</v>
      </c>
      <c r="H31" s="709">
        <v>897.18</v>
      </c>
      <c r="I31" s="709">
        <v>928.44</v>
      </c>
      <c r="J31" s="709">
        <v>965.83</v>
      </c>
      <c r="K31" s="709">
        <v>1031.25</v>
      </c>
      <c r="L31" s="709">
        <v>1095.01</v>
      </c>
      <c r="N31" s="559">
        <f t="shared" si="5"/>
        <v>40.292369189770923</v>
      </c>
      <c r="O31" s="419">
        <f t="shared" si="6"/>
        <v>314.49</v>
      </c>
      <c r="P31" s="559">
        <f t="shared" si="7"/>
        <v>85.819525228424723</v>
      </c>
      <c r="Q31" s="559">
        <f t="shared" si="8"/>
        <v>85.468252491985169</v>
      </c>
      <c r="R31" s="559">
        <f t="shared" si="9"/>
        <v>85.817458429735979</v>
      </c>
      <c r="S31" s="559">
        <f t="shared" si="10"/>
        <v>86.001060445387068</v>
      </c>
      <c r="T31" s="559">
        <f t="shared" si="11"/>
        <v>86.157540034211991</v>
      </c>
      <c r="U31" s="559">
        <f t="shared" si="12"/>
        <v>85.67889442736471</v>
      </c>
      <c r="V31" s="559">
        <f t="shared" si="13"/>
        <v>86.102553767310624</v>
      </c>
      <c r="W31" s="559">
        <f t="shared" si="14"/>
        <v>85.746742152072926</v>
      </c>
      <c r="X31" s="559">
        <f t="shared" si="15"/>
        <v>84.466308102671732</v>
      </c>
      <c r="Y31" s="559">
        <f t="shared" si="16"/>
        <v>84.537696639805887</v>
      </c>
      <c r="Z31" s="559">
        <f t="shared" si="17"/>
        <v>83.654962718494076</v>
      </c>
      <c r="AA31" s="2" t="str">
        <f>+IFERROR(RANK(B31,(B$6,B$15,B$22,B$26,B$27,B$28,B$33),0),"")</f>
        <v/>
      </c>
      <c r="AB31" s="2" t="str">
        <f>+IFERROR(RANK(C31,(C$6,C$15,C$22,C$26,C$27,C$28,C$33),0),"")</f>
        <v/>
      </c>
      <c r="AC31" s="2" t="str">
        <f>+IFERROR(RANK(D31,(D$6,D$15,D$22,D$26,D$27,D$28,D$33),0),"")</f>
        <v/>
      </c>
      <c r="AD31" s="2" t="str">
        <f>+IFERROR(RANK(E31,(E$6,E$15,E$22,E$26,E$27,E$28,E$33),0),"")</f>
        <v/>
      </c>
      <c r="AE31" s="2" t="str">
        <f>+IFERROR(RANK(F31,(F$6,F$15,F$22,F$26,F$27,F$28,F$33),0),"")</f>
        <v/>
      </c>
      <c r="AF31" s="2" t="str">
        <f>+IFERROR(RANK(G31,(G$6,G$15,G$22,G$26,G$27,G$28,G$33),0),"")</f>
        <v/>
      </c>
      <c r="AG31" s="2" t="str">
        <f>+IFERROR(RANK(H31,(H$6,H$15,H$22,H$26,H$27,H$28,H$33),0),"")</f>
        <v/>
      </c>
      <c r="AH31" s="2" t="str">
        <f>+IFERROR(RANK(I31,(I$6,I$15,I$22,I$26,I$27,I$28,I$33),0),"")</f>
        <v/>
      </c>
      <c r="AI31" s="2" t="str">
        <f>+IFERROR(RANK(J31,(J$6,J$15,J$22,J$26,J$27,J$28,J$33),0),"")</f>
        <v/>
      </c>
      <c r="AJ31" s="2" t="str">
        <f>+IFERROR(RANK(K31,(K$6,K$15,K$22,K$26,K$27,K$28,K$33),0),"")</f>
        <v/>
      </c>
      <c r="AK31" s="2" t="str">
        <f>+IFERROR(RANK(L31,(L$6,L$15,L$22,L$26,L$27,L$28,L$33),0),"")</f>
        <v/>
      </c>
      <c r="AL31" s="686"/>
      <c r="AM31" s="686"/>
      <c r="AN31" s="686"/>
      <c r="AO31" s="686"/>
      <c r="AP31" s="686"/>
      <c r="AQ31" s="686"/>
      <c r="AR31" s="686"/>
      <c r="AS31" s="686"/>
      <c r="AT31" s="686"/>
    </row>
    <row r="32" spans="1:46" ht="15" customHeight="1">
      <c r="A32" s="19" t="s">
        <v>769</v>
      </c>
      <c r="B32" s="16"/>
      <c r="C32" s="16"/>
      <c r="D32" s="16"/>
      <c r="E32" s="16"/>
      <c r="F32" s="16"/>
      <c r="G32" s="16"/>
      <c r="H32" s="16"/>
      <c r="I32" s="16"/>
      <c r="J32" s="16"/>
      <c r="K32" s="16"/>
      <c r="L32" s="16"/>
      <c r="P32" s="682"/>
      <c r="Q32" s="708"/>
      <c r="U32" s="682"/>
      <c r="V32" s="678"/>
      <c r="W32" s="678"/>
      <c r="X32" s="678"/>
      <c r="Y32" s="678"/>
      <c r="Z32" s="678"/>
      <c r="AA32" s="678"/>
      <c r="AB32" s="678"/>
      <c r="AC32" s="678"/>
      <c r="AD32" s="678"/>
      <c r="AE32" s="678"/>
    </row>
    <row r="33" spans="1:31">
      <c r="A33" s="995" t="s">
        <v>129</v>
      </c>
      <c r="B33" s="995"/>
      <c r="C33" s="995"/>
      <c r="D33" s="995"/>
      <c r="E33" s="995"/>
      <c r="F33" s="995"/>
      <c r="G33" s="995"/>
      <c r="H33" s="995"/>
      <c r="I33" s="995"/>
      <c r="J33" s="995"/>
      <c r="K33" s="995"/>
      <c r="L33" s="995"/>
      <c r="P33" s="682"/>
      <c r="Q33" s="708"/>
      <c r="U33" s="682"/>
      <c r="V33" s="678"/>
      <c r="W33" s="678"/>
      <c r="X33" s="678"/>
      <c r="Y33" s="678"/>
      <c r="Z33" s="678"/>
      <c r="AA33" s="678"/>
      <c r="AB33" s="678"/>
      <c r="AC33" s="678"/>
      <c r="AD33" s="678"/>
      <c r="AE33" s="678"/>
    </row>
    <row r="34" spans="1:31">
      <c r="P34" s="682"/>
      <c r="Q34" s="708"/>
      <c r="U34" s="682"/>
      <c r="V34" s="678"/>
      <c r="W34" s="678"/>
      <c r="X34" s="678"/>
      <c r="Y34" s="678"/>
      <c r="Z34" s="678"/>
      <c r="AA34" s="678"/>
      <c r="AB34" s="678"/>
      <c r="AC34" s="678"/>
      <c r="AD34" s="678"/>
      <c r="AE34" s="678"/>
    </row>
    <row r="35" spans="1:31">
      <c r="P35" s="682"/>
      <c r="Q35" s="708"/>
      <c r="U35" s="682"/>
      <c r="V35" s="678"/>
      <c r="W35" s="678"/>
      <c r="X35" s="678"/>
      <c r="Y35" s="678"/>
      <c r="Z35" s="678"/>
      <c r="AA35" s="678"/>
      <c r="AB35" s="678"/>
      <c r="AC35" s="678"/>
      <c r="AD35" s="678"/>
      <c r="AE35" s="678"/>
    </row>
    <row r="36" spans="1:31">
      <c r="P36" s="682"/>
      <c r="Q36" s="708"/>
      <c r="U36" s="682"/>
      <c r="V36" s="678"/>
      <c r="W36" s="678"/>
      <c r="X36" s="678"/>
      <c r="Y36" s="678"/>
      <c r="Z36" s="678"/>
      <c r="AA36" s="678"/>
      <c r="AB36" s="678"/>
      <c r="AC36" s="678"/>
      <c r="AD36" s="678"/>
      <c r="AE36" s="678"/>
    </row>
    <row r="37" spans="1:31">
      <c r="P37" s="682"/>
      <c r="Q37" s="708"/>
      <c r="U37" s="682"/>
      <c r="V37" s="678"/>
      <c r="W37" s="678"/>
      <c r="X37" s="678"/>
      <c r="Y37" s="678"/>
      <c r="Z37" s="678"/>
      <c r="AA37" s="678"/>
      <c r="AB37" s="678"/>
      <c r="AC37" s="678"/>
      <c r="AD37" s="678"/>
      <c r="AE37" s="678"/>
    </row>
    <row r="38" spans="1:31">
      <c r="P38" s="682"/>
      <c r="Q38" s="708"/>
      <c r="U38" s="682"/>
      <c r="V38" s="678"/>
      <c r="W38" s="678"/>
      <c r="X38" s="678"/>
      <c r="Y38" s="678"/>
      <c r="Z38" s="678"/>
      <c r="AA38" s="678"/>
      <c r="AB38" s="678"/>
      <c r="AC38" s="678"/>
      <c r="AD38" s="678"/>
      <c r="AE38" s="678"/>
    </row>
    <row r="39" spans="1:31">
      <c r="P39" s="685"/>
      <c r="Q39" s="708"/>
      <c r="U39" s="685"/>
      <c r="V39" s="678"/>
      <c r="W39" s="678"/>
      <c r="X39" s="678"/>
      <c r="Y39" s="678"/>
      <c r="Z39" s="678"/>
      <c r="AA39" s="678"/>
      <c r="AB39" s="678"/>
      <c r="AC39" s="678"/>
      <c r="AD39" s="678"/>
      <c r="AE39" s="678"/>
    </row>
    <row r="40" spans="1:31">
      <c r="P40" s="685"/>
      <c r="Q40" s="708"/>
      <c r="U40" s="685"/>
      <c r="V40" s="678"/>
      <c r="W40" s="678"/>
      <c r="X40" s="678"/>
      <c r="Y40" s="678"/>
      <c r="Z40" s="678"/>
      <c r="AA40" s="678"/>
      <c r="AB40" s="678"/>
      <c r="AC40" s="678"/>
      <c r="AD40" s="678"/>
      <c r="AE40" s="678"/>
    </row>
    <row r="41" spans="1:31">
      <c r="P41" s="682"/>
      <c r="Q41" s="708"/>
      <c r="U41" s="682"/>
      <c r="V41" s="678"/>
      <c r="W41" s="678"/>
      <c r="X41" s="678"/>
      <c r="Y41" s="678"/>
      <c r="Z41" s="678"/>
      <c r="AA41" s="678"/>
      <c r="AB41" s="678"/>
      <c r="AC41" s="678"/>
      <c r="AD41" s="678"/>
      <c r="AE41" s="678"/>
    </row>
    <row r="42" spans="1:31">
      <c r="A42" s="115"/>
      <c r="P42" s="682"/>
      <c r="Q42" s="708"/>
      <c r="U42" s="682"/>
      <c r="V42" s="678"/>
      <c r="W42" s="678"/>
      <c r="X42" s="678"/>
      <c r="Y42" s="678"/>
      <c r="Z42" s="678"/>
      <c r="AA42" s="678"/>
      <c r="AB42" s="678"/>
      <c r="AC42" s="678"/>
      <c r="AD42" s="678"/>
      <c r="AE42" s="678"/>
    </row>
    <row r="43" spans="1:31">
      <c r="A43" s="237"/>
      <c r="P43" s="682"/>
      <c r="Q43" s="708"/>
      <c r="U43" s="682"/>
      <c r="V43" s="678"/>
      <c r="W43" s="678"/>
      <c r="X43" s="678"/>
      <c r="Y43" s="678"/>
      <c r="Z43" s="678"/>
      <c r="AA43" s="678"/>
      <c r="AB43" s="678"/>
      <c r="AC43" s="678"/>
      <c r="AD43" s="678"/>
      <c r="AE43" s="678"/>
    </row>
    <row r="44" spans="1:31">
      <c r="A44" s="596"/>
      <c r="P44" s="682"/>
      <c r="Q44" s="708"/>
      <c r="U44" s="682"/>
      <c r="V44" s="678"/>
      <c r="W44" s="678"/>
      <c r="X44" s="678"/>
      <c r="Y44" s="678"/>
      <c r="Z44" s="678"/>
      <c r="AA44" s="678"/>
      <c r="AB44" s="678"/>
      <c r="AC44" s="678"/>
      <c r="AD44" s="678"/>
      <c r="AE44" s="678"/>
    </row>
    <row r="45" spans="1:31">
      <c r="P45" s="682"/>
      <c r="Q45" s="708"/>
      <c r="U45" s="682"/>
      <c r="V45" s="678"/>
      <c r="W45" s="678"/>
      <c r="X45" s="678"/>
      <c r="Y45" s="678"/>
      <c r="Z45" s="678"/>
      <c r="AA45" s="678"/>
      <c r="AB45" s="678"/>
      <c r="AC45" s="678"/>
      <c r="AD45" s="678"/>
      <c r="AE45" s="678"/>
    </row>
    <row r="46" spans="1:31">
      <c r="P46" s="685"/>
      <c r="Q46" s="708"/>
      <c r="U46" s="685"/>
    </row>
    <row r="47" spans="1:31">
      <c r="P47" s="679"/>
      <c r="Q47" s="708"/>
    </row>
    <row r="48" spans="1:31" ht="12.75">
      <c r="Q48" s="688"/>
      <c r="R48" s="688"/>
      <c r="S48" s="688"/>
      <c r="T48" s="675"/>
      <c r="U48" s="675"/>
      <c r="V48" s="675"/>
      <c r="W48" s="675"/>
      <c r="X48" s="675"/>
      <c r="Y48" s="675"/>
      <c r="Z48" s="675"/>
      <c r="AA48" s="675"/>
    </row>
    <row r="49" spans="7:31">
      <c r="P49" s="685"/>
      <c r="Q49" s="678"/>
      <c r="R49" s="678"/>
      <c r="S49" s="678"/>
      <c r="T49" s="678"/>
      <c r="U49" s="678"/>
      <c r="V49" s="678"/>
      <c r="W49" s="687"/>
      <c r="X49" s="687"/>
      <c r="Y49" s="687"/>
      <c r="Z49" s="687"/>
      <c r="AA49" s="687"/>
    </row>
    <row r="50" spans="7:31" ht="12.75">
      <c r="G50" s="419"/>
      <c r="H50" s="419"/>
      <c r="P50" s="685"/>
      <c r="Q50" s="678"/>
      <c r="V50" s="688"/>
      <c r="W50" s="688"/>
      <c r="X50" s="688"/>
      <c r="Y50" s="688"/>
      <c r="Z50" s="688"/>
      <c r="AA50" s="688"/>
      <c r="AB50" s="688"/>
      <c r="AC50" s="688"/>
      <c r="AD50" s="688"/>
      <c r="AE50" s="688"/>
    </row>
    <row r="51" spans="7:31">
      <c r="P51" s="685"/>
      <c r="U51" s="685"/>
      <c r="V51" s="681"/>
      <c r="W51" s="681"/>
      <c r="X51" s="681"/>
      <c r="Y51" s="708"/>
      <c r="Z51" s="708"/>
      <c r="AA51" s="708"/>
      <c r="AB51" s="708"/>
      <c r="AC51" s="708"/>
      <c r="AD51" s="708"/>
      <c r="AE51" s="708"/>
    </row>
    <row r="52" spans="7:31">
      <c r="P52" s="685"/>
      <c r="U52" s="682"/>
      <c r="V52" s="681"/>
      <c r="W52" s="681"/>
      <c r="X52" s="681"/>
      <c r="Y52" s="708"/>
      <c r="Z52" s="708"/>
      <c r="AA52" s="708"/>
      <c r="AB52" s="708"/>
      <c r="AC52" s="708"/>
      <c r="AD52" s="708"/>
      <c r="AE52" s="708"/>
    </row>
    <row r="53" spans="7:31">
      <c r="P53" s="685"/>
      <c r="U53" s="682"/>
      <c r="V53" s="681"/>
      <c r="W53" s="681"/>
      <c r="X53" s="681"/>
      <c r="Y53" s="708"/>
      <c r="Z53" s="708"/>
      <c r="AA53" s="708"/>
      <c r="AB53" s="708"/>
      <c r="AC53" s="708"/>
      <c r="AD53" s="708"/>
      <c r="AE53" s="708"/>
    </row>
    <row r="54" spans="7:31">
      <c r="P54" s="685"/>
      <c r="U54" s="682"/>
      <c r="V54" s="681"/>
      <c r="W54" s="681"/>
      <c r="X54" s="681"/>
      <c r="Y54" s="708"/>
      <c r="Z54" s="708"/>
      <c r="AA54" s="708"/>
      <c r="AB54" s="708"/>
      <c r="AC54" s="708"/>
      <c r="AD54" s="708"/>
      <c r="AE54" s="708"/>
    </row>
    <row r="55" spans="7:31">
      <c r="P55" s="685"/>
      <c r="Q55" s="678"/>
      <c r="R55" s="678"/>
      <c r="S55" s="678"/>
      <c r="T55" s="678"/>
      <c r="U55" s="682"/>
      <c r="V55" s="681"/>
      <c r="W55" s="681"/>
      <c r="X55" s="681"/>
      <c r="Y55" s="708"/>
      <c r="Z55" s="708"/>
      <c r="AA55" s="708"/>
      <c r="AB55" s="708"/>
      <c r="AC55" s="708"/>
      <c r="AD55" s="708"/>
      <c r="AE55" s="708"/>
    </row>
    <row r="56" spans="7:31">
      <c r="U56" s="682"/>
      <c r="V56" s="681"/>
      <c r="W56" s="681"/>
      <c r="X56" s="681"/>
      <c r="Y56" s="708"/>
      <c r="Z56" s="708"/>
      <c r="AA56" s="708"/>
      <c r="AB56" s="708"/>
      <c r="AC56" s="708"/>
      <c r="AD56" s="708"/>
      <c r="AE56" s="708"/>
    </row>
    <row r="57" spans="7:31">
      <c r="U57" s="682"/>
      <c r="Y57" s="708"/>
      <c r="Z57" s="708"/>
      <c r="AA57" s="708"/>
      <c r="AB57" s="708"/>
      <c r="AC57" s="708"/>
      <c r="AD57" s="708"/>
      <c r="AE57" s="708"/>
    </row>
    <row r="58" spans="7:31">
      <c r="U58" s="682"/>
      <c r="Y58" s="708"/>
      <c r="Z58" s="708"/>
      <c r="AA58" s="708"/>
      <c r="AB58" s="708"/>
      <c r="AC58" s="708"/>
      <c r="AD58" s="708"/>
      <c r="AE58" s="708"/>
    </row>
    <row r="59" spans="7:31">
      <c r="U59" s="682"/>
      <c r="Y59" s="708"/>
      <c r="Z59" s="708"/>
      <c r="AA59" s="708"/>
      <c r="AB59" s="708"/>
      <c r="AC59" s="708"/>
      <c r="AD59" s="708"/>
      <c r="AE59" s="708"/>
    </row>
    <row r="60" spans="7:31">
      <c r="U60" s="685"/>
      <c r="V60" s="708"/>
      <c r="W60" s="708"/>
      <c r="X60" s="708"/>
      <c r="Y60" s="708"/>
      <c r="Z60" s="708"/>
      <c r="AA60" s="708"/>
      <c r="AB60" s="708"/>
      <c r="AC60" s="708"/>
      <c r="AD60" s="708"/>
      <c r="AE60" s="708"/>
    </row>
    <row r="61" spans="7:31">
      <c r="U61" s="682"/>
      <c r="Y61" s="710"/>
      <c r="Z61" s="710"/>
      <c r="AA61" s="710"/>
      <c r="AB61" s="710"/>
      <c r="AC61" s="710"/>
      <c r="AD61" s="710"/>
      <c r="AE61" s="710"/>
    </row>
    <row r="62" spans="7:31">
      <c r="U62" s="682"/>
      <c r="Y62" s="710"/>
      <c r="Z62" s="710"/>
      <c r="AA62" s="710"/>
      <c r="AB62" s="710"/>
      <c r="AC62" s="710"/>
      <c r="AD62" s="710"/>
      <c r="AE62" s="710"/>
    </row>
    <row r="63" spans="7:31">
      <c r="U63" s="682"/>
      <c r="Y63" s="710"/>
      <c r="Z63" s="710"/>
      <c r="AA63" s="710"/>
      <c r="AB63" s="710"/>
      <c r="AC63" s="710"/>
      <c r="AD63" s="710"/>
      <c r="AE63" s="710"/>
    </row>
    <row r="64" spans="7:31">
      <c r="U64" s="682"/>
      <c r="Y64" s="710"/>
      <c r="Z64" s="710"/>
      <c r="AA64" s="710"/>
      <c r="AB64" s="710"/>
      <c r="AC64" s="710"/>
      <c r="AD64" s="710"/>
      <c r="AE64" s="710"/>
    </row>
    <row r="65" spans="21:31">
      <c r="U65" s="682"/>
      <c r="Y65" s="710"/>
      <c r="Z65" s="710"/>
      <c r="AA65" s="710"/>
      <c r="AB65" s="710"/>
      <c r="AC65" s="710"/>
      <c r="AD65" s="710"/>
      <c r="AE65" s="710"/>
    </row>
    <row r="66" spans="21:31">
      <c r="U66" s="682"/>
      <c r="Y66" s="710"/>
      <c r="Z66" s="710"/>
      <c r="AA66" s="710"/>
      <c r="AB66" s="710"/>
      <c r="AC66" s="710"/>
      <c r="AD66" s="710"/>
      <c r="AE66" s="710"/>
    </row>
    <row r="67" spans="21:31">
      <c r="U67" s="682"/>
      <c r="Y67" s="710"/>
      <c r="Z67" s="710"/>
      <c r="AA67" s="710"/>
      <c r="AB67" s="710"/>
      <c r="AC67" s="710"/>
      <c r="AD67" s="710"/>
      <c r="AE67" s="710"/>
    </row>
    <row r="68" spans="21:31">
      <c r="U68" s="682"/>
      <c r="Y68" s="710"/>
      <c r="Z68" s="710"/>
      <c r="AA68" s="710"/>
      <c r="AB68" s="710"/>
      <c r="AC68" s="710"/>
      <c r="AD68" s="710"/>
      <c r="AE68" s="710"/>
    </row>
    <row r="69" spans="21:31">
      <c r="U69" s="685"/>
      <c r="V69" s="708"/>
      <c r="W69" s="708"/>
      <c r="X69" s="708"/>
      <c r="Y69" s="708"/>
      <c r="Z69" s="708"/>
      <c r="AA69" s="708"/>
      <c r="AB69" s="708"/>
      <c r="AC69" s="708"/>
      <c r="AD69" s="708"/>
      <c r="AE69" s="708"/>
    </row>
    <row r="70" spans="21:31">
      <c r="U70" s="685"/>
      <c r="V70" s="708"/>
      <c r="W70" s="708"/>
      <c r="X70" s="708"/>
      <c r="Y70" s="708"/>
      <c r="Z70" s="708"/>
      <c r="AA70" s="708"/>
      <c r="AB70" s="708"/>
      <c r="AC70" s="708"/>
      <c r="AD70" s="708"/>
      <c r="AE70" s="708"/>
    </row>
    <row r="71" spans="21:31">
      <c r="U71" s="682"/>
      <c r="Y71" s="710"/>
      <c r="Z71" s="710"/>
      <c r="AA71" s="710"/>
      <c r="AB71" s="710"/>
      <c r="AC71" s="710"/>
      <c r="AD71" s="710"/>
      <c r="AE71" s="710"/>
    </row>
    <row r="72" spans="21:31">
      <c r="U72" s="682"/>
      <c r="Y72" s="710"/>
      <c r="Z72" s="710"/>
      <c r="AA72" s="710"/>
      <c r="AB72" s="710"/>
      <c r="AC72" s="710"/>
      <c r="AD72" s="710"/>
      <c r="AE72" s="710"/>
    </row>
    <row r="73" spans="21:31">
      <c r="U73" s="682"/>
      <c r="Y73" s="710"/>
      <c r="Z73" s="710"/>
      <c r="AA73" s="710"/>
      <c r="AB73" s="710"/>
      <c r="AC73" s="710"/>
      <c r="AD73" s="710"/>
      <c r="AE73" s="710"/>
    </row>
    <row r="74" spans="21:31">
      <c r="U74" s="682"/>
      <c r="Y74" s="710"/>
      <c r="Z74" s="710"/>
      <c r="AA74" s="710"/>
      <c r="AB74" s="710"/>
      <c r="AC74" s="710"/>
      <c r="AD74" s="710"/>
      <c r="AE74" s="710"/>
    </row>
    <row r="75" spans="21:31">
      <c r="U75" s="682"/>
      <c r="Y75" s="710"/>
      <c r="Z75" s="710"/>
      <c r="AA75" s="710"/>
      <c r="AB75" s="710"/>
      <c r="AC75" s="710"/>
      <c r="AD75" s="710"/>
      <c r="AE75" s="710"/>
    </row>
    <row r="76" spans="21:31">
      <c r="U76" s="685"/>
      <c r="V76" s="708"/>
      <c r="W76" s="708"/>
      <c r="X76" s="708"/>
      <c r="Y76" s="708"/>
      <c r="Z76" s="708"/>
      <c r="AA76" s="708"/>
      <c r="AB76" s="708"/>
      <c r="AC76" s="708"/>
      <c r="AD76" s="708"/>
      <c r="AE76" s="708"/>
    </row>
    <row r="77" spans="21:31">
      <c r="U77" s="679"/>
      <c r="V77" s="708"/>
      <c r="W77" s="708"/>
      <c r="X77" s="708"/>
      <c r="Y77" s="708"/>
      <c r="Z77" s="708"/>
      <c r="AA77" s="708"/>
      <c r="AB77" s="708"/>
      <c r="AC77" s="708"/>
      <c r="AD77" s="708"/>
      <c r="AE77" s="708"/>
    </row>
  </sheetData>
  <mergeCells count="2">
    <mergeCell ref="A1:L1"/>
    <mergeCell ref="A33:L33"/>
  </mergeCells>
  <conditionalFormatting sqref="B32">
    <cfRule type="cellIs" dxfId="1063" priority="136" operator="equal">
      <formula>0</formula>
    </cfRule>
  </conditionalFormatting>
  <conditionalFormatting sqref="C32">
    <cfRule type="cellIs" dxfId="1062" priority="135" operator="equal">
      <formula>0</formula>
    </cfRule>
  </conditionalFormatting>
  <conditionalFormatting sqref="F32">
    <cfRule type="cellIs" dxfId="1061" priority="134" operator="equal">
      <formula>0</formula>
    </cfRule>
  </conditionalFormatting>
  <conditionalFormatting sqref="D32">
    <cfRule type="cellIs" dxfId="1060" priority="133" operator="equal">
      <formula>0</formula>
    </cfRule>
  </conditionalFormatting>
  <conditionalFormatting sqref="E32">
    <cfRule type="cellIs" dxfId="1059" priority="132" operator="equal">
      <formula>0</formula>
    </cfRule>
  </conditionalFormatting>
  <conditionalFormatting sqref="G32">
    <cfRule type="cellIs" dxfId="1058" priority="131" operator="equal">
      <formula>0</formula>
    </cfRule>
  </conditionalFormatting>
  <conditionalFormatting sqref="H32">
    <cfRule type="cellIs" dxfId="1057" priority="130" operator="equal">
      <formula>0</formula>
    </cfRule>
  </conditionalFormatting>
  <conditionalFormatting sqref="I32">
    <cfRule type="cellIs" dxfId="1056" priority="129" operator="equal">
      <formula>0</formula>
    </cfRule>
  </conditionalFormatting>
  <conditionalFormatting sqref="J32">
    <cfRule type="cellIs" dxfId="1055" priority="128" operator="equal">
      <formula>0</formula>
    </cfRule>
  </conditionalFormatting>
  <conditionalFormatting sqref="K32">
    <cfRule type="cellIs" dxfId="1054" priority="127" operator="equal">
      <formula>0</formula>
    </cfRule>
  </conditionalFormatting>
  <conditionalFormatting sqref="L32">
    <cfRule type="cellIs" dxfId="1053" priority="126" operator="equal">
      <formula>0</formula>
    </cfRule>
  </conditionalFormatting>
  <conditionalFormatting sqref="A33">
    <cfRule type="cellIs" dxfId="1052" priority="125" operator="equal">
      <formula>0</formula>
    </cfRule>
  </conditionalFormatting>
  <conditionalFormatting sqref="A43">
    <cfRule type="cellIs" dxfId="1051" priority="124" operator="equal">
      <formula>0</formula>
    </cfRule>
  </conditionalFormatting>
  <conditionalFormatting sqref="A44">
    <cfRule type="cellIs" dxfId="1050" priority="123" operator="equal">
      <formula>0</formula>
    </cfRule>
  </conditionalFormatting>
  <conditionalFormatting sqref="L3">
    <cfRule type="cellIs" dxfId="1049" priority="122" operator="equal">
      <formula>0</formula>
    </cfRule>
  </conditionalFormatting>
  <conditionalFormatting sqref="B5:B6">
    <cfRule type="cellIs" dxfId="1048" priority="121" operator="equal">
      <formula>0</formula>
    </cfRule>
  </conditionalFormatting>
  <conditionalFormatting sqref="B7:B14">
    <cfRule type="expression" dxfId="1047" priority="119">
      <formula>B7=MAX(B$7:B$14)</formula>
    </cfRule>
    <cfRule type="expression" dxfId="1046" priority="120">
      <formula>B7=MIN(B$7:B$14)</formula>
    </cfRule>
  </conditionalFormatting>
  <conditionalFormatting sqref="B16:B23">
    <cfRule type="expression" dxfId="1045" priority="117">
      <formula>B16=MAX(B$16:B$23)</formula>
    </cfRule>
    <cfRule type="expression" dxfId="1044" priority="118">
      <formula>B16=MIN(B$16:B$23)</formula>
    </cfRule>
  </conditionalFormatting>
  <conditionalFormatting sqref="B26:B30">
    <cfRule type="expression" dxfId="1043" priority="115">
      <formula>B26=MAX(B$26:B$30)</formula>
    </cfRule>
    <cfRule type="expression" dxfId="1042" priority="116">
      <formula>B26=MIN(B$26:B$30)</formula>
    </cfRule>
  </conditionalFormatting>
  <conditionalFormatting sqref="B15">
    <cfRule type="cellIs" dxfId="1041" priority="114" operator="equal">
      <formula>0</formula>
    </cfRule>
  </conditionalFormatting>
  <conditionalFormatting sqref="B24">
    <cfRule type="cellIs" dxfId="1040" priority="113" operator="equal">
      <formula>0</formula>
    </cfRule>
  </conditionalFormatting>
  <conditionalFormatting sqref="B25">
    <cfRule type="cellIs" dxfId="1039" priority="112" operator="equal">
      <formula>0</formula>
    </cfRule>
  </conditionalFormatting>
  <conditionalFormatting sqref="B31">
    <cfRule type="cellIs" dxfId="1038" priority="111" operator="equal">
      <formula>0</formula>
    </cfRule>
  </conditionalFormatting>
  <conditionalFormatting sqref="C5:C6">
    <cfRule type="cellIs" dxfId="1037" priority="110" operator="equal">
      <formula>0</formula>
    </cfRule>
  </conditionalFormatting>
  <conditionalFormatting sqref="C7:C14">
    <cfRule type="expression" dxfId="1036" priority="108">
      <formula>C7=MAX(C$7:C$14)</formula>
    </cfRule>
    <cfRule type="expression" dxfId="1035" priority="109">
      <formula>C7=MIN(C$7:C$14)</formula>
    </cfRule>
  </conditionalFormatting>
  <conditionalFormatting sqref="C16:C23">
    <cfRule type="expression" dxfId="1034" priority="106">
      <formula>C16=MAX(C$16:C$23)</formula>
    </cfRule>
    <cfRule type="expression" dxfId="1033" priority="107">
      <formula>C16=MIN(C$16:C$23)</formula>
    </cfRule>
  </conditionalFormatting>
  <conditionalFormatting sqref="C26:C30">
    <cfRule type="expression" dxfId="1032" priority="104">
      <formula>C26=MAX(C$26:C$30)</formula>
    </cfRule>
    <cfRule type="expression" dxfId="1031" priority="105">
      <formula>C26=MIN(C$26:C$30)</formula>
    </cfRule>
  </conditionalFormatting>
  <conditionalFormatting sqref="C15">
    <cfRule type="cellIs" dxfId="1030" priority="103" operator="equal">
      <formula>0</formula>
    </cfRule>
  </conditionalFormatting>
  <conditionalFormatting sqref="C24">
    <cfRule type="cellIs" dxfId="1029" priority="102" operator="equal">
      <formula>0</formula>
    </cfRule>
  </conditionalFormatting>
  <conditionalFormatting sqref="C25">
    <cfRule type="cellIs" dxfId="1028" priority="101" operator="equal">
      <formula>0</formula>
    </cfRule>
  </conditionalFormatting>
  <conditionalFormatting sqref="C31">
    <cfRule type="cellIs" dxfId="1027" priority="100" operator="equal">
      <formula>0</formula>
    </cfRule>
  </conditionalFormatting>
  <conditionalFormatting sqref="D5:D6">
    <cfRule type="cellIs" dxfId="1026" priority="99" operator="equal">
      <formula>0</formula>
    </cfRule>
  </conditionalFormatting>
  <conditionalFormatting sqref="D7:D14">
    <cfRule type="expression" dxfId="1025" priority="97">
      <formula>D7=MAX(D$7:D$14)</formula>
    </cfRule>
    <cfRule type="expression" dxfId="1024" priority="98">
      <formula>D7=MIN(D$7:D$14)</formula>
    </cfRule>
  </conditionalFormatting>
  <conditionalFormatting sqref="D16:D23">
    <cfRule type="expression" dxfId="1023" priority="95">
      <formula>D16=MAX(D$16:D$23)</formula>
    </cfRule>
    <cfRule type="expression" dxfId="1022" priority="96">
      <formula>D16=MIN(D$16:D$23)</formula>
    </cfRule>
  </conditionalFormatting>
  <conditionalFormatting sqref="D26:D30">
    <cfRule type="expression" dxfId="1021" priority="93">
      <formula>D26=MAX(D$26:D$30)</formula>
    </cfRule>
    <cfRule type="expression" dxfId="1020" priority="94">
      <formula>D26=MIN(D$26:D$30)</formula>
    </cfRule>
  </conditionalFormatting>
  <conditionalFormatting sqref="D15">
    <cfRule type="cellIs" dxfId="1019" priority="92" operator="equal">
      <formula>0</formula>
    </cfRule>
  </conditionalFormatting>
  <conditionalFormatting sqref="D24">
    <cfRule type="cellIs" dxfId="1018" priority="91" operator="equal">
      <formula>0</formula>
    </cfRule>
  </conditionalFormatting>
  <conditionalFormatting sqref="D25">
    <cfRule type="cellIs" dxfId="1017" priority="90" operator="equal">
      <formula>0</formula>
    </cfRule>
  </conditionalFormatting>
  <conditionalFormatting sqref="D31">
    <cfRule type="cellIs" dxfId="1016" priority="89" operator="equal">
      <formula>0</formula>
    </cfRule>
  </conditionalFormatting>
  <conditionalFormatting sqref="E5:E6">
    <cfRule type="cellIs" dxfId="1015" priority="88" operator="equal">
      <formula>0</formula>
    </cfRule>
  </conditionalFormatting>
  <conditionalFormatting sqref="E7:E14">
    <cfRule type="expression" dxfId="1014" priority="86">
      <formula>E7=MAX(E$7:E$14)</formula>
    </cfRule>
    <cfRule type="expression" dxfId="1013" priority="87">
      <formula>E7=MIN(E$7:E$14)</formula>
    </cfRule>
  </conditionalFormatting>
  <conditionalFormatting sqref="E16:E23">
    <cfRule type="expression" dxfId="1012" priority="84">
      <formula>E16=MAX(E$16:E$23)</formula>
    </cfRule>
    <cfRule type="expression" dxfId="1011" priority="85">
      <formula>E16=MIN(E$16:E$23)</formula>
    </cfRule>
  </conditionalFormatting>
  <conditionalFormatting sqref="E26:E30">
    <cfRule type="expression" dxfId="1010" priority="82">
      <formula>E26=MAX(E$26:E$30)</formula>
    </cfRule>
    <cfRule type="expression" dxfId="1009" priority="83">
      <formula>E26=MIN(E$26:E$30)</formula>
    </cfRule>
  </conditionalFormatting>
  <conditionalFormatting sqref="E15">
    <cfRule type="cellIs" dxfId="1008" priority="81" operator="equal">
      <formula>0</formula>
    </cfRule>
  </conditionalFormatting>
  <conditionalFormatting sqref="E24">
    <cfRule type="cellIs" dxfId="1007" priority="80" operator="equal">
      <formula>0</formula>
    </cfRule>
  </conditionalFormatting>
  <conditionalFormatting sqref="E25">
    <cfRule type="cellIs" dxfId="1006" priority="79" operator="equal">
      <formula>0</formula>
    </cfRule>
  </conditionalFormatting>
  <conditionalFormatting sqref="E31">
    <cfRule type="cellIs" dxfId="1005" priority="78" operator="equal">
      <formula>0</formula>
    </cfRule>
  </conditionalFormatting>
  <conditionalFormatting sqref="F5:F6">
    <cfRule type="cellIs" dxfId="1004" priority="77" operator="equal">
      <formula>0</formula>
    </cfRule>
  </conditionalFormatting>
  <conditionalFormatting sqref="F7:F14">
    <cfRule type="expression" dxfId="1003" priority="75">
      <formula>F7=MAX(F$7:F$14)</formula>
    </cfRule>
    <cfRule type="expression" dxfId="1002" priority="76">
      <formula>F7=MIN(F$7:F$14)</formula>
    </cfRule>
  </conditionalFormatting>
  <conditionalFormatting sqref="F16:F23">
    <cfRule type="expression" dxfId="1001" priority="73">
      <formula>F16=MAX(F$16:F$23)</formula>
    </cfRule>
    <cfRule type="expression" dxfId="1000" priority="74">
      <formula>F16=MIN(F$16:F$23)</formula>
    </cfRule>
  </conditionalFormatting>
  <conditionalFormatting sqref="F26:F30">
    <cfRule type="expression" dxfId="999" priority="71">
      <formula>F26=MAX(F$26:F$30)</formula>
    </cfRule>
    <cfRule type="expression" dxfId="998" priority="72">
      <formula>F26=MIN(F$26:F$30)</formula>
    </cfRule>
  </conditionalFormatting>
  <conditionalFormatting sqref="F15">
    <cfRule type="cellIs" dxfId="997" priority="70" operator="equal">
      <formula>0</formula>
    </cfRule>
  </conditionalFormatting>
  <conditionalFormatting sqref="F24">
    <cfRule type="cellIs" dxfId="996" priority="69" operator="equal">
      <formula>0</formula>
    </cfRule>
  </conditionalFormatting>
  <conditionalFormatting sqref="F25">
    <cfRule type="cellIs" dxfId="995" priority="68" operator="equal">
      <formula>0</formula>
    </cfRule>
  </conditionalFormatting>
  <conditionalFormatting sqref="F31">
    <cfRule type="cellIs" dxfId="994" priority="67" operator="equal">
      <formula>0</formula>
    </cfRule>
  </conditionalFormatting>
  <conditionalFormatting sqref="G5:G6">
    <cfRule type="cellIs" dxfId="993" priority="66" operator="equal">
      <formula>0</formula>
    </cfRule>
  </conditionalFormatting>
  <conditionalFormatting sqref="G7:G14">
    <cfRule type="expression" dxfId="992" priority="64">
      <formula>G7=MAX(G$7:G$14)</formula>
    </cfRule>
    <cfRule type="expression" dxfId="991" priority="65">
      <formula>G7=MIN(G$7:G$14)</formula>
    </cfRule>
  </conditionalFormatting>
  <conditionalFormatting sqref="G16:G23">
    <cfRule type="expression" dxfId="990" priority="62">
      <formula>G16=MAX(G$16:G$23)</formula>
    </cfRule>
    <cfRule type="expression" dxfId="989" priority="63">
      <formula>G16=MIN(G$16:G$23)</formula>
    </cfRule>
  </conditionalFormatting>
  <conditionalFormatting sqref="G26:G30">
    <cfRule type="expression" dxfId="988" priority="60">
      <formula>G26=MAX(G$26:G$30)</formula>
    </cfRule>
    <cfRule type="expression" dxfId="987" priority="61">
      <formula>G26=MIN(G$26:G$30)</formula>
    </cfRule>
  </conditionalFormatting>
  <conditionalFormatting sqref="G15">
    <cfRule type="cellIs" dxfId="986" priority="59" operator="equal">
      <formula>0</formula>
    </cfRule>
  </conditionalFormatting>
  <conditionalFormatting sqref="G24">
    <cfRule type="cellIs" dxfId="985" priority="58" operator="equal">
      <formula>0</formula>
    </cfRule>
  </conditionalFormatting>
  <conditionalFormatting sqref="G25">
    <cfRule type="cellIs" dxfId="984" priority="57" operator="equal">
      <formula>0</formula>
    </cfRule>
  </conditionalFormatting>
  <conditionalFormatting sqref="G31">
    <cfRule type="cellIs" dxfId="983" priority="56" operator="equal">
      <formula>0</formula>
    </cfRule>
  </conditionalFormatting>
  <conditionalFormatting sqref="H5:H6">
    <cfRule type="cellIs" dxfId="982" priority="55" operator="equal">
      <formula>0</formula>
    </cfRule>
  </conditionalFormatting>
  <conditionalFormatting sqref="H7:H14">
    <cfRule type="expression" dxfId="981" priority="53">
      <formula>H7=MAX(H$7:H$14)</formula>
    </cfRule>
    <cfRule type="expression" dxfId="980" priority="54">
      <formula>H7=MIN(H$7:H$14)</formula>
    </cfRule>
  </conditionalFormatting>
  <conditionalFormatting sqref="H16:H23">
    <cfRule type="expression" dxfId="979" priority="51">
      <formula>H16=MAX(H$16:H$23)</formula>
    </cfRule>
    <cfRule type="expression" dxfId="978" priority="52">
      <formula>H16=MIN(H$16:H$23)</formula>
    </cfRule>
  </conditionalFormatting>
  <conditionalFormatting sqref="H26:H30">
    <cfRule type="expression" dxfId="977" priority="49">
      <formula>H26=MAX(H$26:H$30)</formula>
    </cfRule>
    <cfRule type="expression" dxfId="976" priority="50">
      <formula>H26=MIN(H$26:H$30)</formula>
    </cfRule>
  </conditionalFormatting>
  <conditionalFormatting sqref="H15">
    <cfRule type="cellIs" dxfId="975" priority="48" operator="equal">
      <formula>0</formula>
    </cfRule>
  </conditionalFormatting>
  <conditionalFormatting sqref="H24">
    <cfRule type="cellIs" dxfId="974" priority="47" operator="equal">
      <formula>0</formula>
    </cfRule>
  </conditionalFormatting>
  <conditionalFormatting sqref="H25">
    <cfRule type="cellIs" dxfId="973" priority="46" operator="equal">
      <formula>0</formula>
    </cfRule>
  </conditionalFormatting>
  <conditionalFormatting sqref="H31">
    <cfRule type="cellIs" dxfId="972" priority="45" operator="equal">
      <formula>0</formula>
    </cfRule>
  </conditionalFormatting>
  <conditionalFormatting sqref="I5:I6">
    <cfRule type="cellIs" dxfId="971" priority="44" operator="equal">
      <formula>0</formula>
    </cfRule>
  </conditionalFormatting>
  <conditionalFormatting sqref="I7:I14">
    <cfRule type="expression" dxfId="970" priority="42">
      <formula>I7=MAX(I$7:I$14)</formula>
    </cfRule>
    <cfRule type="expression" dxfId="969" priority="43">
      <formula>I7=MIN(I$7:I$14)</formula>
    </cfRule>
  </conditionalFormatting>
  <conditionalFormatting sqref="I16:I23">
    <cfRule type="expression" dxfId="968" priority="40">
      <formula>I16=MAX(I$16:I$23)</formula>
    </cfRule>
    <cfRule type="expression" dxfId="967" priority="41">
      <formula>I16=MIN(I$16:I$23)</formula>
    </cfRule>
  </conditionalFormatting>
  <conditionalFormatting sqref="I26:I30">
    <cfRule type="expression" dxfId="966" priority="38">
      <formula>I26=MAX(I$26:I$30)</formula>
    </cfRule>
    <cfRule type="expression" dxfId="965" priority="39">
      <formula>I26=MIN(I$26:I$30)</formula>
    </cfRule>
  </conditionalFormatting>
  <conditionalFormatting sqref="I15">
    <cfRule type="cellIs" dxfId="964" priority="37" operator="equal">
      <formula>0</formula>
    </cfRule>
  </conditionalFormatting>
  <conditionalFormatting sqref="I24">
    <cfRule type="cellIs" dxfId="963" priority="36" operator="equal">
      <formula>0</formula>
    </cfRule>
  </conditionalFormatting>
  <conditionalFormatting sqref="I25">
    <cfRule type="cellIs" dxfId="962" priority="35" operator="equal">
      <formula>0</formula>
    </cfRule>
  </conditionalFormatting>
  <conditionalFormatting sqref="I31">
    <cfRule type="cellIs" dxfId="961" priority="34" operator="equal">
      <formula>0</formula>
    </cfRule>
  </conditionalFormatting>
  <conditionalFormatting sqref="J5:J6">
    <cfRule type="cellIs" dxfId="960" priority="33" operator="equal">
      <formula>0</formula>
    </cfRule>
  </conditionalFormatting>
  <conditionalFormatting sqref="J7:J14">
    <cfRule type="expression" dxfId="959" priority="31">
      <formula>J7=MAX(J$7:J$14)</formula>
    </cfRule>
    <cfRule type="expression" dxfId="958" priority="32">
      <formula>J7=MIN(J$7:J$14)</formula>
    </cfRule>
  </conditionalFormatting>
  <conditionalFormatting sqref="J16:J23">
    <cfRule type="expression" dxfId="957" priority="29">
      <formula>J16=MAX(J$16:J$23)</formula>
    </cfRule>
    <cfRule type="expression" dxfId="956" priority="30">
      <formula>J16=MIN(J$16:J$23)</formula>
    </cfRule>
  </conditionalFormatting>
  <conditionalFormatting sqref="J26:J30">
    <cfRule type="expression" dxfId="955" priority="27">
      <formula>J26=MAX(J$26:J$30)</formula>
    </cfRule>
    <cfRule type="expression" dxfId="954" priority="28">
      <formula>J26=MIN(J$26:J$30)</formula>
    </cfRule>
  </conditionalFormatting>
  <conditionalFormatting sqref="J15">
    <cfRule type="cellIs" dxfId="953" priority="26" operator="equal">
      <formula>0</formula>
    </cfRule>
  </conditionalFormatting>
  <conditionalFormatting sqref="J24">
    <cfRule type="cellIs" dxfId="952" priority="25" operator="equal">
      <formula>0</formula>
    </cfRule>
  </conditionalFormatting>
  <conditionalFormatting sqref="J25">
    <cfRule type="cellIs" dxfId="951" priority="24" operator="equal">
      <formula>0</formula>
    </cfRule>
  </conditionalFormatting>
  <conditionalFormatting sqref="J31">
    <cfRule type="cellIs" dxfId="950" priority="23" operator="equal">
      <formula>0</formula>
    </cfRule>
  </conditionalFormatting>
  <conditionalFormatting sqref="K5:K6">
    <cfRule type="cellIs" dxfId="949" priority="22" operator="equal">
      <formula>0</formula>
    </cfRule>
  </conditionalFormatting>
  <conditionalFormatting sqref="K7:K14">
    <cfRule type="expression" dxfId="948" priority="20">
      <formula>K7=MAX(K$7:K$14)</formula>
    </cfRule>
    <cfRule type="expression" dxfId="947" priority="21">
      <formula>K7=MIN(K$7:K$14)</formula>
    </cfRule>
  </conditionalFormatting>
  <conditionalFormatting sqref="K16:K23">
    <cfRule type="expression" dxfId="946" priority="18">
      <formula>K16=MAX(K$16:K$23)</formula>
    </cfRule>
    <cfRule type="expression" dxfId="945" priority="19">
      <formula>K16=MIN(K$16:K$23)</formula>
    </cfRule>
  </conditionalFormatting>
  <conditionalFormatting sqref="K26:K30">
    <cfRule type="expression" dxfId="944" priority="16">
      <formula>K26=MAX(K$26:K$30)</formula>
    </cfRule>
    <cfRule type="expression" dxfId="943" priority="17">
      <formula>K26=MIN(K$26:K$30)</formula>
    </cfRule>
  </conditionalFormatting>
  <conditionalFormatting sqref="K15">
    <cfRule type="cellIs" dxfId="942" priority="15" operator="equal">
      <formula>0</formula>
    </cfRule>
  </conditionalFormatting>
  <conditionalFormatting sqref="K24">
    <cfRule type="cellIs" dxfId="941" priority="14" operator="equal">
      <formula>0</formula>
    </cfRule>
  </conditionalFormatting>
  <conditionalFormatting sqref="K25">
    <cfRule type="cellIs" dxfId="940" priority="13" operator="equal">
      <formula>0</formula>
    </cfRule>
  </conditionalFormatting>
  <conditionalFormatting sqref="K31">
    <cfRule type="cellIs" dxfId="939" priority="12" operator="equal">
      <formula>0</formula>
    </cfRule>
  </conditionalFormatting>
  <conditionalFormatting sqref="L5:L6">
    <cfRule type="cellIs" dxfId="938" priority="11" operator="equal">
      <formula>0</formula>
    </cfRule>
  </conditionalFormatting>
  <conditionalFormatting sqref="L7:L14">
    <cfRule type="expression" dxfId="937" priority="9">
      <formula>L7=MAX(L$7:L$14)</formula>
    </cfRule>
    <cfRule type="expression" dxfId="936" priority="10">
      <formula>L7=MIN(L$7:L$14)</formula>
    </cfRule>
  </conditionalFormatting>
  <conditionalFormatting sqref="L16:L23">
    <cfRule type="expression" dxfId="935" priority="7">
      <formula>L16=MAX(L$16:L$23)</formula>
    </cfRule>
    <cfRule type="expression" dxfId="934" priority="8">
      <formula>L16=MIN(L$16:L$23)</formula>
    </cfRule>
  </conditionalFormatting>
  <conditionalFormatting sqref="L26:L30">
    <cfRule type="expression" dxfId="933" priority="5">
      <formula>L26=MAX(L$26:L$30)</formula>
    </cfRule>
    <cfRule type="expression" dxfId="932" priority="6">
      <formula>L26=MIN(L$26:L$30)</formula>
    </cfRule>
  </conditionalFormatting>
  <conditionalFormatting sqref="L15">
    <cfRule type="cellIs" dxfId="931" priority="4" operator="equal">
      <formula>0</formula>
    </cfRule>
  </conditionalFormatting>
  <conditionalFormatting sqref="L24">
    <cfRule type="cellIs" dxfId="930" priority="3" operator="equal">
      <formula>0</formula>
    </cfRule>
  </conditionalFormatting>
  <conditionalFormatting sqref="L25">
    <cfRule type="cellIs" dxfId="929" priority="2" operator="equal">
      <formula>0</formula>
    </cfRule>
  </conditionalFormatting>
  <conditionalFormatting sqref="L31">
    <cfRule type="cellIs" dxfId="928" priority="1" operator="equal">
      <formula>0</formula>
    </cfRule>
  </conditionalFormatting>
  <printOptions horizontalCentered="1"/>
  <pageMargins left="0.19685039370078741" right="0.19685039370078741" top="1.5748031496062993" bottom="0.39370078740157483" header="0.51181102362204722" footer="0"/>
  <pageSetup paperSize="9" scale="85" fitToWidth="0" orientation="portrait" r:id="rId1"/>
  <headerFooter>
    <oddHeader>&amp;C&amp;G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3">
    <tabColor indexed="26"/>
    <pageSetUpPr fitToPage="1"/>
  </sheetPr>
  <dimension ref="A1:O45"/>
  <sheetViews>
    <sheetView showGridLines="0" workbookViewId="0">
      <selection activeCell="Y70" sqref="Y70"/>
    </sheetView>
  </sheetViews>
  <sheetFormatPr defaultColWidth="9.140625" defaultRowHeight="15" customHeight="1"/>
  <cols>
    <col min="1" max="1" width="17.140625" style="129" customWidth="1"/>
    <col min="2" max="2" width="2.42578125" style="138" customWidth="1"/>
    <col min="3" max="13" width="6.42578125" style="129" customWidth="1"/>
    <col min="14" max="14" width="9.140625" style="218"/>
    <col min="15" max="16384" width="9.140625" style="129"/>
  </cols>
  <sheetData>
    <row r="1" spans="1:15" s="134" customFormat="1" ht="28.5" customHeight="1">
      <c r="A1" s="954" t="s">
        <v>640</v>
      </c>
      <c r="B1" s="954"/>
      <c r="C1" s="954"/>
      <c r="D1" s="954"/>
      <c r="E1" s="954"/>
      <c r="F1" s="954"/>
      <c r="G1" s="954"/>
      <c r="H1" s="954"/>
      <c r="I1" s="954"/>
      <c r="J1" s="954"/>
      <c r="K1" s="954"/>
      <c r="L1" s="954"/>
      <c r="M1" s="954"/>
      <c r="N1" s="216"/>
    </row>
    <row r="2" spans="1:15" s="262" customFormat="1" ht="15" customHeight="1">
      <c r="A2" s="242"/>
      <c r="B2" s="243"/>
      <c r="C2" s="242"/>
      <c r="D2" s="242"/>
      <c r="E2" s="242"/>
      <c r="F2" s="242"/>
      <c r="G2" s="242"/>
      <c r="H2" s="242"/>
      <c r="I2" s="242"/>
      <c r="J2" s="242"/>
      <c r="K2" s="242"/>
      <c r="L2" s="242"/>
      <c r="M2" s="242"/>
      <c r="N2" s="261"/>
    </row>
    <row r="3" spans="1:15" s="262" customFormat="1" ht="15" customHeight="1">
      <c r="A3" s="242" t="s">
        <v>13</v>
      </c>
      <c r="B3" s="243"/>
      <c r="C3" s="223"/>
      <c r="E3" s="223"/>
      <c r="G3" s="313"/>
      <c r="H3" s="313"/>
      <c r="I3" s="313"/>
      <c r="J3" s="313"/>
      <c r="K3" s="313"/>
      <c r="L3" s="313"/>
      <c r="M3" s="313" t="s">
        <v>67</v>
      </c>
      <c r="N3" s="261"/>
    </row>
    <row r="4" spans="1:15" s="248" customFormat="1" ht="28.5" customHeight="1" thickBot="1">
      <c r="A4" s="246"/>
      <c r="B4" s="246"/>
      <c r="C4" s="246">
        <v>2014</v>
      </c>
      <c r="D4" s="246">
        <v>2015</v>
      </c>
      <c r="E4" s="246">
        <v>2016</v>
      </c>
      <c r="F4" s="246">
        <v>2017</v>
      </c>
      <c r="G4" s="246">
        <v>2018</v>
      </c>
      <c r="H4" s="246">
        <v>2019</v>
      </c>
      <c r="I4" s="246">
        <v>2020</v>
      </c>
      <c r="J4" s="246">
        <v>2021</v>
      </c>
      <c r="K4" s="246">
        <v>2022</v>
      </c>
      <c r="L4" s="246">
        <v>2023</v>
      </c>
      <c r="M4" s="246">
        <v>2024</v>
      </c>
      <c r="N4" s="263"/>
    </row>
    <row r="5" spans="1:15" s="250" customFormat="1" ht="16.5" customHeight="1" thickTop="1">
      <c r="A5" s="236" t="s">
        <v>11</v>
      </c>
      <c r="B5" s="372" t="s">
        <v>44</v>
      </c>
      <c r="C5" s="720">
        <v>909.49</v>
      </c>
      <c r="D5" s="720">
        <v>913.93</v>
      </c>
      <c r="E5" s="720">
        <v>924.94</v>
      </c>
      <c r="F5" s="720">
        <v>943</v>
      </c>
      <c r="G5" s="720">
        <v>970.42</v>
      </c>
      <c r="H5" s="720">
        <v>1005.09</v>
      </c>
      <c r="I5" s="720">
        <v>1041.99</v>
      </c>
      <c r="J5" s="720">
        <v>1082.77</v>
      </c>
      <c r="K5" s="720">
        <v>1143.45</v>
      </c>
      <c r="L5" s="720">
        <v>1219.8699999999999</v>
      </c>
      <c r="M5" s="720">
        <v>1308.96</v>
      </c>
      <c r="N5" s="264"/>
      <c r="O5" s="248"/>
    </row>
    <row r="6" spans="1:15" s="250" customFormat="1" ht="12.75" customHeight="1">
      <c r="A6" s="226"/>
      <c r="B6" s="372" t="s">
        <v>52</v>
      </c>
      <c r="C6" s="721">
        <v>985.02</v>
      </c>
      <c r="D6" s="721">
        <v>990.05</v>
      </c>
      <c r="E6" s="721">
        <v>997.38</v>
      </c>
      <c r="F6" s="721">
        <v>1012.25</v>
      </c>
      <c r="G6" s="721">
        <v>1039.08</v>
      </c>
      <c r="H6" s="721">
        <v>1073.82</v>
      </c>
      <c r="I6" s="721">
        <v>1109.21</v>
      </c>
      <c r="J6" s="721">
        <v>1152.24</v>
      </c>
      <c r="K6" s="721">
        <v>1217.33</v>
      </c>
      <c r="L6" s="721">
        <v>1294.03</v>
      </c>
      <c r="M6" s="721">
        <v>1383.38</v>
      </c>
      <c r="N6" s="264"/>
      <c r="O6" s="248"/>
    </row>
    <row r="7" spans="1:15" s="250" customFormat="1" ht="12.75" customHeight="1">
      <c r="A7" s="226"/>
      <c r="B7" s="372" t="s">
        <v>53</v>
      </c>
      <c r="C7" s="721">
        <v>820.25</v>
      </c>
      <c r="D7" s="721">
        <v>824.99</v>
      </c>
      <c r="E7" s="721">
        <v>840.26</v>
      </c>
      <c r="F7" s="721">
        <v>861.17</v>
      </c>
      <c r="G7" s="721">
        <v>888.56</v>
      </c>
      <c r="H7" s="721">
        <v>922.63</v>
      </c>
      <c r="I7" s="721">
        <v>960.27</v>
      </c>
      <c r="J7" s="721">
        <v>999.33</v>
      </c>
      <c r="K7" s="721">
        <v>1054.3599999999999</v>
      </c>
      <c r="L7" s="721">
        <v>1129.6400000000001</v>
      </c>
      <c r="M7" s="721">
        <v>1216.8499999999999</v>
      </c>
      <c r="N7" s="264"/>
      <c r="O7" s="248"/>
    </row>
    <row r="8" spans="1:15" s="121" customFormat="1" ht="16.5" customHeight="1">
      <c r="A8" s="54" t="s">
        <v>54</v>
      </c>
      <c r="B8" s="52" t="s">
        <v>44</v>
      </c>
      <c r="C8" s="726">
        <v>673.39</v>
      </c>
      <c r="D8" s="726">
        <v>645.97</v>
      </c>
      <c r="E8" s="726">
        <v>688.29</v>
      </c>
      <c r="F8" s="726">
        <v>682.82</v>
      </c>
      <c r="G8" s="726">
        <v>693.22</v>
      </c>
      <c r="H8" s="726">
        <v>939.88</v>
      </c>
      <c r="I8" s="726">
        <v>1150.33</v>
      </c>
      <c r="J8" s="726">
        <v>1101.01</v>
      </c>
      <c r="K8" s="726">
        <v>1066.3</v>
      </c>
      <c r="L8" s="726">
        <v>1101.81</v>
      </c>
      <c r="M8" s="726">
        <v>1321.63</v>
      </c>
      <c r="N8" s="214"/>
      <c r="O8" s="248"/>
    </row>
    <row r="9" spans="1:15" s="121" customFormat="1" ht="12.75" customHeight="1">
      <c r="A9" s="55"/>
      <c r="B9" s="56" t="s">
        <v>52</v>
      </c>
      <c r="C9" s="727">
        <v>751.18</v>
      </c>
      <c r="D9" s="727">
        <v>701.72</v>
      </c>
      <c r="E9" s="727">
        <v>744.59</v>
      </c>
      <c r="F9" s="727">
        <v>727.96</v>
      </c>
      <c r="G9" s="727">
        <v>733.3</v>
      </c>
      <c r="H9" s="727">
        <v>1031.6600000000001</v>
      </c>
      <c r="I9" s="727">
        <v>1255.5999999999999</v>
      </c>
      <c r="J9" s="727">
        <v>1222.71</v>
      </c>
      <c r="K9" s="727">
        <v>1184.3699999999999</v>
      </c>
      <c r="L9" s="727">
        <v>1204.42</v>
      </c>
      <c r="M9" s="727">
        <v>1446.9</v>
      </c>
      <c r="N9" s="214"/>
      <c r="O9" s="286"/>
    </row>
    <row r="10" spans="1:15" s="121" customFormat="1" ht="12.75" customHeight="1">
      <c r="A10" s="54"/>
      <c r="B10" s="56" t="s">
        <v>53</v>
      </c>
      <c r="C10" s="727">
        <v>523.85</v>
      </c>
      <c r="D10" s="727">
        <v>525.66</v>
      </c>
      <c r="E10" s="727">
        <v>546.78</v>
      </c>
      <c r="F10" s="727">
        <v>564.61</v>
      </c>
      <c r="G10" s="727">
        <v>609.04999999999995</v>
      </c>
      <c r="H10" s="727">
        <v>698</v>
      </c>
      <c r="I10" s="727">
        <v>662.49</v>
      </c>
      <c r="J10" s="727">
        <v>686.48</v>
      </c>
      <c r="K10" s="727">
        <v>743.66</v>
      </c>
      <c r="L10" s="727">
        <v>801.79</v>
      </c>
      <c r="M10" s="727">
        <v>888.86</v>
      </c>
      <c r="N10" s="214"/>
      <c r="O10" s="286"/>
    </row>
    <row r="11" spans="1:15" s="121" customFormat="1" ht="16.5" customHeight="1">
      <c r="A11" s="54" t="s">
        <v>55</v>
      </c>
      <c r="B11" s="52" t="s">
        <v>44</v>
      </c>
      <c r="C11" s="726">
        <v>607.62</v>
      </c>
      <c r="D11" s="726">
        <v>621.04999999999995</v>
      </c>
      <c r="E11" s="726">
        <v>639.49</v>
      </c>
      <c r="F11" s="726">
        <v>664.29</v>
      </c>
      <c r="G11" s="726">
        <v>693.67</v>
      </c>
      <c r="H11" s="726">
        <v>727.92</v>
      </c>
      <c r="I11" s="726">
        <v>762.02</v>
      </c>
      <c r="J11" s="726">
        <v>799.28</v>
      </c>
      <c r="K11" s="726">
        <v>857.95</v>
      </c>
      <c r="L11" s="726">
        <v>925.26</v>
      </c>
      <c r="M11" s="726">
        <v>996.39</v>
      </c>
      <c r="N11" s="214"/>
      <c r="O11" s="286"/>
    </row>
    <row r="12" spans="1:15" s="121" customFormat="1" ht="12.75" customHeight="1">
      <c r="A12" s="55"/>
      <c r="B12" s="56" t="s">
        <v>52</v>
      </c>
      <c r="C12" s="727">
        <v>629.14</v>
      </c>
      <c r="D12" s="727">
        <v>644.54999999999995</v>
      </c>
      <c r="E12" s="727">
        <v>660.61</v>
      </c>
      <c r="F12" s="727">
        <v>682.81</v>
      </c>
      <c r="G12" s="727">
        <v>713.13</v>
      </c>
      <c r="H12" s="727">
        <v>749.74</v>
      </c>
      <c r="I12" s="727">
        <v>781.78</v>
      </c>
      <c r="J12" s="727">
        <v>817.96</v>
      </c>
      <c r="K12" s="727">
        <v>881.22</v>
      </c>
      <c r="L12" s="727">
        <v>950.5</v>
      </c>
      <c r="M12" s="727">
        <v>1025.51</v>
      </c>
      <c r="N12" s="214"/>
      <c r="O12" s="286"/>
    </row>
    <row r="13" spans="1:15" s="121" customFormat="1" ht="12.75" customHeight="1">
      <c r="A13" s="54"/>
      <c r="B13" s="56" t="s">
        <v>53</v>
      </c>
      <c r="C13" s="727">
        <v>579.35</v>
      </c>
      <c r="D13" s="727">
        <v>590.6</v>
      </c>
      <c r="E13" s="727">
        <v>612.13</v>
      </c>
      <c r="F13" s="727">
        <v>640.24</v>
      </c>
      <c r="G13" s="727">
        <v>667.73</v>
      </c>
      <c r="H13" s="727">
        <v>698.92</v>
      </c>
      <c r="I13" s="727">
        <v>734.65</v>
      </c>
      <c r="J13" s="727">
        <v>774.37</v>
      </c>
      <c r="K13" s="727">
        <v>827.2</v>
      </c>
      <c r="L13" s="727">
        <v>891.28</v>
      </c>
      <c r="M13" s="727">
        <v>956.09</v>
      </c>
      <c r="N13" s="214"/>
      <c r="O13" s="286"/>
    </row>
    <row r="14" spans="1:15" s="121" customFormat="1" ht="16.5" customHeight="1">
      <c r="A14" s="54" t="s">
        <v>56</v>
      </c>
      <c r="B14" s="52" t="s">
        <v>44</v>
      </c>
      <c r="C14" s="726">
        <v>726.43</v>
      </c>
      <c r="D14" s="726">
        <v>735.23</v>
      </c>
      <c r="E14" s="726">
        <v>756.47</v>
      </c>
      <c r="F14" s="726">
        <v>788.46</v>
      </c>
      <c r="G14" s="726">
        <v>822.43</v>
      </c>
      <c r="H14" s="726">
        <v>863.94</v>
      </c>
      <c r="I14" s="726">
        <v>902.1</v>
      </c>
      <c r="J14" s="726">
        <v>951.35</v>
      </c>
      <c r="K14" s="726">
        <v>1019.31</v>
      </c>
      <c r="L14" s="726">
        <v>1081.18</v>
      </c>
      <c r="M14" s="726">
        <v>1157.32</v>
      </c>
      <c r="N14" s="214"/>
      <c r="O14" s="286"/>
    </row>
    <row r="15" spans="1:15" s="121" customFormat="1" ht="12.75" customHeight="1">
      <c r="A15" s="55"/>
      <c r="B15" s="56" t="s">
        <v>52</v>
      </c>
      <c r="C15" s="727">
        <v>749.18</v>
      </c>
      <c r="D15" s="727">
        <v>763.39</v>
      </c>
      <c r="E15" s="727">
        <v>785.23</v>
      </c>
      <c r="F15" s="727">
        <v>819.22</v>
      </c>
      <c r="G15" s="727">
        <v>854.04</v>
      </c>
      <c r="H15" s="727">
        <v>896.09</v>
      </c>
      <c r="I15" s="727">
        <v>930.39</v>
      </c>
      <c r="J15" s="727">
        <v>984.62</v>
      </c>
      <c r="K15" s="727">
        <v>1055.55</v>
      </c>
      <c r="L15" s="727">
        <v>1111.71</v>
      </c>
      <c r="M15" s="727">
        <v>1188.71</v>
      </c>
      <c r="N15" s="214"/>
      <c r="O15" s="286"/>
    </row>
    <row r="16" spans="1:15" s="121" customFormat="1" ht="12.75" customHeight="1">
      <c r="A16" s="54"/>
      <c r="B16" s="56" t="s">
        <v>53</v>
      </c>
      <c r="C16" s="727">
        <v>701.29</v>
      </c>
      <c r="D16" s="727">
        <v>704.39</v>
      </c>
      <c r="E16" s="727">
        <v>724.54</v>
      </c>
      <c r="F16" s="727">
        <v>753.87</v>
      </c>
      <c r="G16" s="727">
        <v>786.45</v>
      </c>
      <c r="H16" s="727">
        <v>827.03</v>
      </c>
      <c r="I16" s="727">
        <v>868.82</v>
      </c>
      <c r="J16" s="727">
        <v>912.5</v>
      </c>
      <c r="K16" s="727">
        <v>975.99</v>
      </c>
      <c r="L16" s="727">
        <v>1043.8499999999999</v>
      </c>
      <c r="M16" s="727">
        <v>1118.07</v>
      </c>
      <c r="N16" s="214"/>
      <c r="O16" s="286"/>
    </row>
    <row r="17" spans="1:15" s="121" customFormat="1" ht="16.5" customHeight="1">
      <c r="A17" s="54" t="s">
        <v>57</v>
      </c>
      <c r="B17" s="52" t="s">
        <v>44</v>
      </c>
      <c r="C17" s="726">
        <v>829.87</v>
      </c>
      <c r="D17" s="726">
        <v>834.19</v>
      </c>
      <c r="E17" s="726">
        <v>845.29</v>
      </c>
      <c r="F17" s="726">
        <v>867.5</v>
      </c>
      <c r="G17" s="726">
        <v>902.93</v>
      </c>
      <c r="H17" s="726">
        <v>948.01</v>
      </c>
      <c r="I17" s="726">
        <v>986.98</v>
      </c>
      <c r="J17" s="726">
        <v>1040.01</v>
      </c>
      <c r="K17" s="726">
        <v>1112.7</v>
      </c>
      <c r="L17" s="726">
        <v>1185.97</v>
      </c>
      <c r="M17" s="726">
        <v>1277.18</v>
      </c>
      <c r="N17" s="214"/>
      <c r="O17" s="286"/>
    </row>
    <row r="18" spans="1:15" s="121" customFormat="1" ht="12.75" customHeight="1">
      <c r="A18" s="55"/>
      <c r="B18" s="56" t="s">
        <v>52</v>
      </c>
      <c r="C18" s="727">
        <v>857.08</v>
      </c>
      <c r="D18" s="727">
        <v>864.51</v>
      </c>
      <c r="E18" s="727">
        <v>873.35</v>
      </c>
      <c r="F18" s="727">
        <v>898.33</v>
      </c>
      <c r="G18" s="727">
        <v>942.25</v>
      </c>
      <c r="H18" s="727">
        <v>988.77</v>
      </c>
      <c r="I18" s="727">
        <v>1026.54</v>
      </c>
      <c r="J18" s="727">
        <v>1081.76</v>
      </c>
      <c r="K18" s="727">
        <v>1155.03</v>
      </c>
      <c r="L18" s="727">
        <v>1226.97</v>
      </c>
      <c r="M18" s="727">
        <v>1309.56</v>
      </c>
      <c r="N18" s="214"/>
      <c r="O18" s="286"/>
    </row>
    <row r="19" spans="1:15" s="121" customFormat="1" ht="12.75" customHeight="1">
      <c r="A19" s="54"/>
      <c r="B19" s="56" t="s">
        <v>53</v>
      </c>
      <c r="C19" s="727">
        <v>799.66</v>
      </c>
      <c r="D19" s="727">
        <v>800.73</v>
      </c>
      <c r="E19" s="727">
        <v>813.95</v>
      </c>
      <c r="F19" s="727">
        <v>832.36</v>
      </c>
      <c r="G19" s="727">
        <v>856.99</v>
      </c>
      <c r="H19" s="727">
        <v>899.5</v>
      </c>
      <c r="I19" s="727">
        <v>938.62</v>
      </c>
      <c r="J19" s="727">
        <v>988.96</v>
      </c>
      <c r="K19" s="727">
        <v>1059.5999999999999</v>
      </c>
      <c r="L19" s="727">
        <v>1133.8</v>
      </c>
      <c r="M19" s="727">
        <v>1234.54</v>
      </c>
      <c r="N19" s="214"/>
      <c r="O19" s="286"/>
    </row>
    <row r="20" spans="1:15" s="121" customFormat="1" ht="16.5" customHeight="1">
      <c r="A20" s="54" t="s">
        <v>58</v>
      </c>
      <c r="B20" s="52" t="s">
        <v>44</v>
      </c>
      <c r="C20" s="726">
        <v>940.3</v>
      </c>
      <c r="D20" s="726">
        <v>935.92</v>
      </c>
      <c r="E20" s="726">
        <v>943.39</v>
      </c>
      <c r="F20" s="726">
        <v>956.28</v>
      </c>
      <c r="G20" s="726">
        <v>979.27</v>
      </c>
      <c r="H20" s="726">
        <v>1016.51</v>
      </c>
      <c r="I20" s="726">
        <v>1049.22</v>
      </c>
      <c r="J20" s="726">
        <v>1092.93</v>
      </c>
      <c r="K20" s="726">
        <v>1163.1300000000001</v>
      </c>
      <c r="L20" s="726">
        <v>1240.07</v>
      </c>
      <c r="M20" s="726">
        <v>1337.34</v>
      </c>
      <c r="N20" s="217"/>
      <c r="O20" s="286"/>
    </row>
    <row r="21" spans="1:15" s="121" customFormat="1" ht="12.75" customHeight="1">
      <c r="A21" s="55"/>
      <c r="B21" s="56" t="s">
        <v>52</v>
      </c>
      <c r="C21" s="727">
        <v>993.54</v>
      </c>
      <c r="D21" s="727">
        <v>987.57</v>
      </c>
      <c r="E21" s="727">
        <v>992.66</v>
      </c>
      <c r="F21" s="727">
        <v>1003.76</v>
      </c>
      <c r="G21" s="727">
        <v>1027.18</v>
      </c>
      <c r="H21" s="727">
        <v>1066.02</v>
      </c>
      <c r="I21" s="727">
        <v>1097.29</v>
      </c>
      <c r="J21" s="727">
        <v>1149.93</v>
      </c>
      <c r="K21" s="727">
        <v>1230.6099999999999</v>
      </c>
      <c r="L21" s="727">
        <v>1309.3</v>
      </c>
      <c r="M21" s="727">
        <v>1403.82</v>
      </c>
      <c r="N21" s="214"/>
      <c r="O21" s="286"/>
    </row>
    <row r="22" spans="1:15" s="121" customFormat="1" ht="12.75" customHeight="1">
      <c r="A22" s="54"/>
      <c r="B22" s="56" t="s">
        <v>53</v>
      </c>
      <c r="C22" s="727">
        <v>880.87</v>
      </c>
      <c r="D22" s="727">
        <v>879.09</v>
      </c>
      <c r="E22" s="727">
        <v>889.01</v>
      </c>
      <c r="F22" s="727">
        <v>903.49</v>
      </c>
      <c r="G22" s="727">
        <v>925.19</v>
      </c>
      <c r="H22" s="727">
        <v>959.68</v>
      </c>
      <c r="I22" s="727">
        <v>992.67</v>
      </c>
      <c r="J22" s="727">
        <v>1025.23</v>
      </c>
      <c r="K22" s="727">
        <v>1081.47</v>
      </c>
      <c r="L22" s="727">
        <v>1154.72</v>
      </c>
      <c r="M22" s="727">
        <v>1251.96</v>
      </c>
      <c r="N22" s="214"/>
      <c r="O22" s="286"/>
    </row>
    <row r="23" spans="1:15" s="121" customFormat="1" ht="16.5" customHeight="1">
      <c r="A23" s="54" t="s">
        <v>59</v>
      </c>
      <c r="B23" s="52" t="s">
        <v>44</v>
      </c>
      <c r="C23" s="726">
        <v>994.63</v>
      </c>
      <c r="D23" s="726">
        <v>999.49</v>
      </c>
      <c r="E23" s="726">
        <v>1009.31</v>
      </c>
      <c r="F23" s="726">
        <v>1025.8399999999999</v>
      </c>
      <c r="G23" s="726">
        <v>1053.27</v>
      </c>
      <c r="H23" s="726">
        <v>1087.6099999999999</v>
      </c>
      <c r="I23" s="726">
        <v>1112.6099999999999</v>
      </c>
      <c r="J23" s="726">
        <v>1153.31</v>
      </c>
      <c r="K23" s="726">
        <v>1212.3499999999999</v>
      </c>
      <c r="L23" s="726">
        <v>1290.51</v>
      </c>
      <c r="M23" s="726">
        <v>1382.44</v>
      </c>
      <c r="N23" s="214"/>
      <c r="O23" s="286"/>
    </row>
    <row r="24" spans="1:15" s="121" customFormat="1" ht="12.75" customHeight="1">
      <c r="A24" s="55"/>
      <c r="B24" s="56" t="s">
        <v>52</v>
      </c>
      <c r="C24" s="727">
        <v>1080.48</v>
      </c>
      <c r="D24" s="727">
        <v>1083.3800000000001</v>
      </c>
      <c r="E24" s="727">
        <v>1087.28</v>
      </c>
      <c r="F24" s="727">
        <v>1097.33</v>
      </c>
      <c r="G24" s="727">
        <v>1124.75</v>
      </c>
      <c r="H24" s="727">
        <v>1160.19</v>
      </c>
      <c r="I24" s="727">
        <v>1180.1400000000001</v>
      </c>
      <c r="J24" s="727">
        <v>1224.8</v>
      </c>
      <c r="K24" s="727">
        <v>1290.67</v>
      </c>
      <c r="L24" s="727">
        <v>1369.84</v>
      </c>
      <c r="M24" s="727">
        <v>1464.16</v>
      </c>
      <c r="N24" s="214"/>
      <c r="O24" s="286"/>
    </row>
    <row r="25" spans="1:15" s="121" customFormat="1" ht="12.75" customHeight="1">
      <c r="A25" s="54"/>
      <c r="B25" s="56" t="s">
        <v>53</v>
      </c>
      <c r="C25" s="727">
        <v>897.33</v>
      </c>
      <c r="D25" s="727">
        <v>905.82</v>
      </c>
      <c r="E25" s="727">
        <v>923</v>
      </c>
      <c r="F25" s="727">
        <v>946.44</v>
      </c>
      <c r="G25" s="727">
        <v>973.68</v>
      </c>
      <c r="H25" s="727">
        <v>1005.91</v>
      </c>
      <c r="I25" s="727">
        <v>1036.0899999999999</v>
      </c>
      <c r="J25" s="727">
        <v>1072.97</v>
      </c>
      <c r="K25" s="727">
        <v>1124.06</v>
      </c>
      <c r="L25" s="727">
        <v>1199.78</v>
      </c>
      <c r="M25" s="727">
        <v>1286.46</v>
      </c>
      <c r="N25" s="214"/>
      <c r="O25" s="286"/>
    </row>
    <row r="26" spans="1:15" s="121" customFormat="1" ht="16.5" customHeight="1">
      <c r="A26" s="54" t="s">
        <v>60</v>
      </c>
      <c r="B26" s="52" t="s">
        <v>44</v>
      </c>
      <c r="C26" s="726">
        <v>972.14</v>
      </c>
      <c r="D26" s="726">
        <v>978.89</v>
      </c>
      <c r="E26" s="726">
        <v>995.05</v>
      </c>
      <c r="F26" s="726">
        <v>1021.83</v>
      </c>
      <c r="G26" s="726">
        <v>1057.7</v>
      </c>
      <c r="H26" s="726">
        <v>1104.3499999999999</v>
      </c>
      <c r="I26" s="726">
        <v>1141.78</v>
      </c>
      <c r="J26" s="726">
        <v>1180.92</v>
      </c>
      <c r="K26" s="726">
        <v>1242.54</v>
      </c>
      <c r="L26" s="726">
        <v>1329.67</v>
      </c>
      <c r="M26" s="726">
        <v>1419.38</v>
      </c>
      <c r="N26" s="214"/>
      <c r="O26" s="286"/>
    </row>
    <row r="27" spans="1:15" s="121" customFormat="1" ht="12.75" customHeight="1">
      <c r="A27" s="55"/>
      <c r="B27" s="56" t="s">
        <v>52</v>
      </c>
      <c r="C27" s="727">
        <v>1076.23</v>
      </c>
      <c r="D27" s="727">
        <v>1082.27</v>
      </c>
      <c r="E27" s="727">
        <v>1093.83</v>
      </c>
      <c r="F27" s="727">
        <v>1116.73</v>
      </c>
      <c r="G27" s="727">
        <v>1150.45</v>
      </c>
      <c r="H27" s="727">
        <v>1199.77</v>
      </c>
      <c r="I27" s="727">
        <v>1236.26</v>
      </c>
      <c r="J27" s="727">
        <v>1275.57</v>
      </c>
      <c r="K27" s="727">
        <v>1340.51</v>
      </c>
      <c r="L27" s="727">
        <v>1429.47</v>
      </c>
      <c r="M27" s="727">
        <v>1521.25</v>
      </c>
      <c r="N27" s="214"/>
      <c r="O27" s="286"/>
    </row>
    <row r="28" spans="1:15" s="121" customFormat="1" ht="12.75" customHeight="1">
      <c r="A28" s="54"/>
      <c r="B28" s="56" t="s">
        <v>53</v>
      </c>
      <c r="C28" s="727">
        <v>850.93</v>
      </c>
      <c r="D28" s="727">
        <v>860.36</v>
      </c>
      <c r="E28" s="727">
        <v>882.31</v>
      </c>
      <c r="F28" s="727">
        <v>912.79</v>
      </c>
      <c r="G28" s="727">
        <v>951.03</v>
      </c>
      <c r="H28" s="727">
        <v>994.55</v>
      </c>
      <c r="I28" s="727">
        <v>1033.07</v>
      </c>
      <c r="J28" s="727">
        <v>1074.32</v>
      </c>
      <c r="K28" s="727">
        <v>1133.06</v>
      </c>
      <c r="L28" s="727">
        <v>1218.1199999999999</v>
      </c>
      <c r="M28" s="727">
        <v>1304.58</v>
      </c>
      <c r="N28" s="214"/>
      <c r="O28" s="286"/>
    </row>
    <row r="29" spans="1:15" s="121" customFormat="1" ht="16.5" customHeight="1">
      <c r="A29" s="54" t="s">
        <v>61</v>
      </c>
      <c r="B29" s="52" t="s">
        <v>44</v>
      </c>
      <c r="C29" s="726">
        <v>978.4</v>
      </c>
      <c r="D29" s="726">
        <v>979.79</v>
      </c>
      <c r="E29" s="726">
        <v>986.96</v>
      </c>
      <c r="F29" s="726">
        <v>1000</v>
      </c>
      <c r="G29" s="726">
        <v>1025.5</v>
      </c>
      <c r="H29" s="726">
        <v>1054.3599999999999</v>
      </c>
      <c r="I29" s="726">
        <v>1089.8499999999999</v>
      </c>
      <c r="J29" s="726">
        <v>1131.56</v>
      </c>
      <c r="K29" s="726">
        <v>1202.0999999999999</v>
      </c>
      <c r="L29" s="726">
        <v>1295.8499999999999</v>
      </c>
      <c r="M29" s="726">
        <v>1403.81</v>
      </c>
      <c r="N29" s="214"/>
      <c r="O29" s="286"/>
    </row>
    <row r="30" spans="1:15" s="121" customFormat="1" ht="12.75" customHeight="1">
      <c r="A30" s="55"/>
      <c r="B30" s="56" t="s">
        <v>52</v>
      </c>
      <c r="C30" s="727">
        <v>1098.48</v>
      </c>
      <c r="D30" s="727">
        <v>1097.54</v>
      </c>
      <c r="E30" s="727">
        <v>1097.47</v>
      </c>
      <c r="F30" s="727">
        <v>1104.9000000000001</v>
      </c>
      <c r="G30" s="727">
        <v>1126.51</v>
      </c>
      <c r="H30" s="727">
        <v>1153.17</v>
      </c>
      <c r="I30" s="727">
        <v>1187.74</v>
      </c>
      <c r="J30" s="727">
        <v>1230.9000000000001</v>
      </c>
      <c r="K30" s="727">
        <v>1309.68</v>
      </c>
      <c r="L30" s="727">
        <v>1407.92</v>
      </c>
      <c r="M30" s="727">
        <v>1520.37</v>
      </c>
      <c r="N30" s="214"/>
      <c r="O30" s="286"/>
    </row>
    <row r="31" spans="1:15" s="121" customFormat="1" ht="12.75" customHeight="1">
      <c r="A31" s="54"/>
      <c r="B31" s="56" t="s">
        <v>53</v>
      </c>
      <c r="C31" s="727">
        <v>828.43</v>
      </c>
      <c r="D31" s="727">
        <v>834.62</v>
      </c>
      <c r="E31" s="727">
        <v>851.7</v>
      </c>
      <c r="F31" s="727">
        <v>871.22</v>
      </c>
      <c r="G31" s="727">
        <v>901.7</v>
      </c>
      <c r="H31" s="727">
        <v>934.28</v>
      </c>
      <c r="I31" s="727">
        <v>970.6</v>
      </c>
      <c r="J31" s="727">
        <v>1013.97</v>
      </c>
      <c r="K31" s="727">
        <v>1076.23</v>
      </c>
      <c r="L31" s="727">
        <v>1165.96</v>
      </c>
      <c r="M31" s="727">
        <v>1268.8699999999999</v>
      </c>
      <c r="N31" s="214"/>
      <c r="O31" s="286"/>
    </row>
    <row r="32" spans="1:15" s="121" customFormat="1" ht="16.5" customHeight="1">
      <c r="A32" s="54" t="s">
        <v>62</v>
      </c>
      <c r="B32" s="52" t="s">
        <v>44</v>
      </c>
      <c r="C32" s="726">
        <v>1018.84</v>
      </c>
      <c r="D32" s="726">
        <v>1012.16</v>
      </c>
      <c r="E32" s="726">
        <v>1007.4</v>
      </c>
      <c r="F32" s="726">
        <v>1005.95</v>
      </c>
      <c r="G32" s="726">
        <v>1021.53</v>
      </c>
      <c r="H32" s="726">
        <v>1037.1300000000001</v>
      </c>
      <c r="I32" s="726">
        <v>1071.18</v>
      </c>
      <c r="J32" s="726">
        <v>1100.1400000000001</v>
      </c>
      <c r="K32" s="726">
        <v>1152.24</v>
      </c>
      <c r="L32" s="726">
        <v>1236.27</v>
      </c>
      <c r="M32" s="726">
        <v>1322.49</v>
      </c>
      <c r="N32" s="214"/>
      <c r="O32" s="286"/>
    </row>
    <row r="33" spans="1:15" s="121" customFormat="1" ht="12.75" customHeight="1">
      <c r="A33" s="55"/>
      <c r="B33" s="56" t="s">
        <v>52</v>
      </c>
      <c r="C33" s="727">
        <v>1145.02</v>
      </c>
      <c r="D33" s="727">
        <v>1133.47</v>
      </c>
      <c r="E33" s="727">
        <v>1123.44</v>
      </c>
      <c r="F33" s="727">
        <v>1112.03</v>
      </c>
      <c r="G33" s="727">
        <v>1125.8</v>
      </c>
      <c r="H33" s="727">
        <v>1142.6500000000001</v>
      </c>
      <c r="I33" s="727">
        <v>1177.1400000000001</v>
      </c>
      <c r="J33" s="727">
        <v>1202.8699999999999</v>
      </c>
      <c r="K33" s="727">
        <v>1262.48</v>
      </c>
      <c r="L33" s="727">
        <v>1350.02</v>
      </c>
      <c r="M33" s="727">
        <v>1438.46</v>
      </c>
      <c r="N33" s="214"/>
      <c r="O33" s="286"/>
    </row>
    <row r="34" spans="1:15" s="121" customFormat="1" ht="12.75" customHeight="1">
      <c r="A34" s="54"/>
      <c r="B34" s="56" t="s">
        <v>53</v>
      </c>
      <c r="C34" s="727">
        <v>843.61</v>
      </c>
      <c r="D34" s="727">
        <v>847.77</v>
      </c>
      <c r="E34" s="727">
        <v>852.56</v>
      </c>
      <c r="F34" s="727">
        <v>863</v>
      </c>
      <c r="G34" s="727">
        <v>881.97</v>
      </c>
      <c r="H34" s="727">
        <v>896.93</v>
      </c>
      <c r="I34" s="727">
        <v>931</v>
      </c>
      <c r="J34" s="727">
        <v>967.95</v>
      </c>
      <c r="K34" s="727">
        <v>1014.33</v>
      </c>
      <c r="L34" s="727">
        <v>1094.8399999999999</v>
      </c>
      <c r="M34" s="727">
        <v>1179.57</v>
      </c>
      <c r="N34" s="214"/>
      <c r="O34" s="286"/>
    </row>
    <row r="35" spans="1:15" s="121" customFormat="1" ht="16.5" customHeight="1">
      <c r="A35" s="54" t="s">
        <v>63</v>
      </c>
      <c r="B35" s="52" t="s">
        <v>44</v>
      </c>
      <c r="C35" s="726">
        <v>1050.3900000000001</v>
      </c>
      <c r="D35" s="726">
        <v>1059.06</v>
      </c>
      <c r="E35" s="726">
        <v>1057.99</v>
      </c>
      <c r="F35" s="726">
        <v>1062.26</v>
      </c>
      <c r="G35" s="726">
        <v>1075.3</v>
      </c>
      <c r="H35" s="726">
        <v>1087.1300000000001</v>
      </c>
      <c r="I35" s="726">
        <v>1112.21</v>
      </c>
      <c r="J35" s="726">
        <v>1124.0899999999999</v>
      </c>
      <c r="K35" s="726">
        <v>1158.8699999999999</v>
      </c>
      <c r="L35" s="726">
        <v>1222.78</v>
      </c>
      <c r="M35" s="726">
        <v>1305.79</v>
      </c>
      <c r="N35" s="214"/>
      <c r="O35" s="286"/>
    </row>
    <row r="36" spans="1:15" s="121" customFormat="1" ht="12.75" customHeight="1">
      <c r="A36" s="55"/>
      <c r="B36" s="56" t="s">
        <v>52</v>
      </c>
      <c r="C36" s="727">
        <v>1205.1300000000001</v>
      </c>
      <c r="D36" s="727">
        <v>1214.8499999999999</v>
      </c>
      <c r="E36" s="727">
        <v>1207.74</v>
      </c>
      <c r="F36" s="727">
        <v>1195.4000000000001</v>
      </c>
      <c r="G36" s="727">
        <v>1199.92</v>
      </c>
      <c r="H36" s="727">
        <v>1200.5999999999999</v>
      </c>
      <c r="I36" s="727">
        <v>1222.19</v>
      </c>
      <c r="J36" s="727">
        <v>1227.8599999999999</v>
      </c>
      <c r="K36" s="727">
        <v>1264.96</v>
      </c>
      <c r="L36" s="727">
        <v>1334.18</v>
      </c>
      <c r="M36" s="727">
        <v>1427.72</v>
      </c>
      <c r="N36" s="214"/>
      <c r="O36" s="286"/>
    </row>
    <row r="37" spans="1:15" s="121" customFormat="1" ht="12.75" customHeight="1">
      <c r="A37" s="54"/>
      <c r="B37" s="56" t="s">
        <v>53</v>
      </c>
      <c r="C37" s="727">
        <v>821.21</v>
      </c>
      <c r="D37" s="727">
        <v>830.73</v>
      </c>
      <c r="E37" s="727">
        <v>843.02</v>
      </c>
      <c r="F37" s="727">
        <v>869.83</v>
      </c>
      <c r="G37" s="727">
        <v>900.03</v>
      </c>
      <c r="H37" s="727">
        <v>930.38</v>
      </c>
      <c r="I37" s="727">
        <v>960.84</v>
      </c>
      <c r="J37" s="727">
        <v>983.37</v>
      </c>
      <c r="K37" s="727">
        <v>1016.72</v>
      </c>
      <c r="L37" s="727">
        <v>1075.74</v>
      </c>
      <c r="M37" s="727">
        <v>1147.3900000000001</v>
      </c>
      <c r="N37" s="214"/>
      <c r="O37" s="286"/>
    </row>
    <row r="38" spans="1:15" s="121" customFormat="1" ht="16.5" customHeight="1">
      <c r="A38" s="54" t="s">
        <v>64</v>
      </c>
      <c r="B38" s="52" t="s">
        <v>44</v>
      </c>
      <c r="C38" s="726">
        <v>1170.01</v>
      </c>
      <c r="D38" s="726">
        <v>1185.02</v>
      </c>
      <c r="E38" s="726">
        <v>1181.94</v>
      </c>
      <c r="F38" s="726">
        <v>1181.47</v>
      </c>
      <c r="G38" s="726">
        <v>1177.69</v>
      </c>
      <c r="H38" s="726">
        <v>1219.73</v>
      </c>
      <c r="I38" s="726">
        <v>1280.79</v>
      </c>
      <c r="J38" s="726">
        <v>1291.3499999999999</v>
      </c>
      <c r="K38" s="726">
        <v>1298</v>
      </c>
      <c r="L38" s="726">
        <v>1345.46</v>
      </c>
      <c r="M38" s="726">
        <v>1413.77</v>
      </c>
      <c r="N38" s="214"/>
      <c r="O38" s="286"/>
    </row>
    <row r="39" spans="1:15" s="121" customFormat="1" ht="12.75" customHeight="1">
      <c r="A39" s="55"/>
      <c r="B39" s="56" t="s">
        <v>52</v>
      </c>
      <c r="C39" s="727">
        <v>1342.71</v>
      </c>
      <c r="D39" s="727">
        <v>1365.22</v>
      </c>
      <c r="E39" s="727">
        <v>1356.01</v>
      </c>
      <c r="F39" s="727">
        <v>1353.73</v>
      </c>
      <c r="G39" s="727">
        <v>1329.78</v>
      </c>
      <c r="H39" s="727">
        <v>1356.39</v>
      </c>
      <c r="I39" s="727">
        <v>1428.29</v>
      </c>
      <c r="J39" s="727">
        <v>1426.24</v>
      </c>
      <c r="K39" s="727">
        <v>1419.42</v>
      </c>
      <c r="L39" s="727">
        <v>1456.5</v>
      </c>
      <c r="M39" s="727">
        <v>1519.75</v>
      </c>
      <c r="N39" s="214"/>
      <c r="O39" s="286"/>
    </row>
    <row r="40" spans="1:15" s="121" customFormat="1" ht="12.75" customHeight="1">
      <c r="A40" s="54"/>
      <c r="B40" s="56" t="s">
        <v>53</v>
      </c>
      <c r="C40" s="727">
        <v>875.04</v>
      </c>
      <c r="D40" s="727">
        <v>894.55</v>
      </c>
      <c r="E40" s="727">
        <v>909.95</v>
      </c>
      <c r="F40" s="727">
        <v>899.85</v>
      </c>
      <c r="G40" s="727">
        <v>929.87</v>
      </c>
      <c r="H40" s="727">
        <v>982.74</v>
      </c>
      <c r="I40" s="727">
        <v>1024.3399999999999</v>
      </c>
      <c r="J40" s="727">
        <v>1065.1300000000001</v>
      </c>
      <c r="K40" s="727">
        <v>1093.93</v>
      </c>
      <c r="L40" s="727">
        <v>1157.69</v>
      </c>
      <c r="M40" s="727">
        <v>1234.77</v>
      </c>
      <c r="N40" s="214"/>
      <c r="O40" s="286"/>
    </row>
    <row r="41" spans="1:15" s="121" customFormat="1" ht="16.5" customHeight="1">
      <c r="A41" s="54" t="s">
        <v>12</v>
      </c>
      <c r="B41" s="52" t="s">
        <v>44</v>
      </c>
      <c r="C41" s="726">
        <v>1473.79</v>
      </c>
      <c r="D41" s="726">
        <v>1438.46</v>
      </c>
      <c r="E41" s="726">
        <v>1460.64</v>
      </c>
      <c r="F41" s="726">
        <v>1507.09</v>
      </c>
      <c r="G41" s="726">
        <v>1538.69</v>
      </c>
      <c r="H41" s="726">
        <v>919.63</v>
      </c>
      <c r="I41" s="726">
        <v>1018.58</v>
      </c>
      <c r="J41" s="726">
        <v>961.42</v>
      </c>
      <c r="K41" s="726">
        <v>1084.8599999999999</v>
      </c>
      <c r="L41" s="726">
        <v>765</v>
      </c>
      <c r="M41" s="726">
        <v>1124.17</v>
      </c>
      <c r="N41" s="214"/>
      <c r="O41" s="286"/>
    </row>
    <row r="42" spans="1:15" s="121" customFormat="1" ht="12.75" customHeight="1">
      <c r="A42" s="55"/>
      <c r="B42" s="56" t="s">
        <v>52</v>
      </c>
      <c r="C42" s="727">
        <v>1670.25</v>
      </c>
      <c r="D42" s="727">
        <v>1597.76</v>
      </c>
      <c r="E42" s="727">
        <v>1632.89</v>
      </c>
      <c r="F42" s="727">
        <v>1681.05</v>
      </c>
      <c r="G42" s="727">
        <v>1715.21</v>
      </c>
      <c r="H42" s="727">
        <v>937.33</v>
      </c>
      <c r="I42" s="727">
        <v>1041.0899999999999</v>
      </c>
      <c r="J42" s="727">
        <v>988.09</v>
      </c>
      <c r="K42" s="727">
        <v>1133.52</v>
      </c>
      <c r="L42" s="727">
        <v>765</v>
      </c>
      <c r="M42" s="727">
        <v>1171.51</v>
      </c>
      <c r="N42" s="214"/>
      <c r="O42" s="286"/>
    </row>
    <row r="43" spans="1:15" s="121" customFormat="1" ht="12.75" customHeight="1">
      <c r="A43" s="17"/>
      <c r="B43" s="58" t="s">
        <v>53</v>
      </c>
      <c r="C43" s="725">
        <v>1081.3</v>
      </c>
      <c r="D43" s="725">
        <v>1130.6600000000001</v>
      </c>
      <c r="E43" s="725">
        <v>1108.42</v>
      </c>
      <c r="F43" s="725">
        <v>1155.74</v>
      </c>
      <c r="G43" s="725">
        <v>1159.8499999999999</v>
      </c>
      <c r="H43" s="725">
        <v>904.54</v>
      </c>
      <c r="I43" s="725">
        <v>988.36</v>
      </c>
      <c r="J43" s="725">
        <v>934.2</v>
      </c>
      <c r="K43" s="725">
        <v>1021.53</v>
      </c>
      <c r="L43" s="725">
        <v>0</v>
      </c>
      <c r="M43" s="725">
        <v>1079.6099999999999</v>
      </c>
      <c r="N43" s="214"/>
      <c r="O43" s="286"/>
    </row>
    <row r="44" spans="1:15" s="253" customFormat="1" ht="15" customHeight="1">
      <c r="A44" s="19" t="s">
        <v>769</v>
      </c>
      <c r="B44" s="243"/>
      <c r="C44" s="226"/>
      <c r="D44" s="85"/>
      <c r="E44" s="85"/>
      <c r="F44" s="85"/>
      <c r="G44" s="219"/>
      <c r="H44" s="219"/>
      <c r="I44" s="219"/>
      <c r="J44" s="219"/>
      <c r="K44" s="219"/>
      <c r="L44" s="219"/>
      <c r="M44" s="219"/>
      <c r="N44" s="265"/>
    </row>
    <row r="45" spans="1:15" s="240" customFormat="1" ht="21.75" customHeight="1">
      <c r="A45" s="965" t="s">
        <v>785</v>
      </c>
      <c r="B45" s="965"/>
      <c r="C45" s="965"/>
      <c r="D45" s="965"/>
      <c r="E45" s="965"/>
      <c r="F45" s="965"/>
      <c r="G45" s="965"/>
      <c r="H45" s="965"/>
      <c r="I45" s="965"/>
      <c r="J45" s="965"/>
      <c r="K45" s="965"/>
      <c r="L45" s="965"/>
      <c r="M45" s="965"/>
      <c r="N45" s="266"/>
    </row>
  </sheetData>
  <mergeCells count="2">
    <mergeCell ref="A1:M1"/>
    <mergeCell ref="A45:M45"/>
  </mergeCells>
  <conditionalFormatting sqref="E3 A1 I44 A5:B42 A46:D1048576 A2:D2 A4:D4 A3:C3 B44:D44 C5:F43 N1:XFD1048576">
    <cfRule type="cellIs" dxfId="927" priority="175" operator="equal">
      <formula>0</formula>
    </cfRule>
  </conditionalFormatting>
  <conditionalFormatting sqref="E2 E46:E1048576 E4 E44">
    <cfRule type="cellIs" dxfId="926" priority="174" operator="equal">
      <formula>0</formula>
    </cfRule>
  </conditionalFormatting>
  <conditionalFormatting sqref="A43">
    <cfRule type="cellIs" dxfId="925" priority="162" operator="equal">
      <formula>0</formula>
    </cfRule>
  </conditionalFormatting>
  <conditionalFormatting sqref="B43">
    <cfRule type="cellIs" dxfId="924" priority="161" operator="equal">
      <formula>0</formula>
    </cfRule>
  </conditionalFormatting>
  <conditionalFormatting sqref="F2 F46:F1048576 F4 F44">
    <cfRule type="cellIs" dxfId="923" priority="157" operator="equal">
      <formula>0</formula>
    </cfRule>
  </conditionalFormatting>
  <conditionalFormatting sqref="J3">
    <cfRule type="cellIs" dxfId="922" priority="158" operator="equal">
      <formula>0</formula>
    </cfRule>
  </conditionalFormatting>
  <conditionalFormatting sqref="I2 I46:I1048576">
    <cfRule type="cellIs" dxfId="921" priority="156" operator="equal">
      <formula>0</formula>
    </cfRule>
  </conditionalFormatting>
  <conditionalFormatting sqref="G44">
    <cfRule type="cellIs" dxfId="920" priority="141" operator="equal">
      <formula>0</formula>
    </cfRule>
  </conditionalFormatting>
  <conditionalFormatting sqref="G2 G46:G1048576 G4:I4">
    <cfRule type="cellIs" dxfId="919" priority="140" operator="equal">
      <formula>0</formula>
    </cfRule>
  </conditionalFormatting>
  <conditionalFormatting sqref="G8:I10">
    <cfRule type="cellIs" dxfId="918" priority="139" operator="equal">
      <formula>0</formula>
    </cfRule>
  </conditionalFormatting>
  <conditionalFormatting sqref="G5:I7">
    <cfRule type="cellIs" dxfId="917" priority="138" operator="equal">
      <formula>0</formula>
    </cfRule>
  </conditionalFormatting>
  <conditionalFormatting sqref="G11:I13">
    <cfRule type="cellIs" dxfId="916" priority="137" operator="equal">
      <formula>0</formula>
    </cfRule>
  </conditionalFormatting>
  <conditionalFormatting sqref="G14:I16">
    <cfRule type="cellIs" dxfId="915" priority="136" operator="equal">
      <formula>0</formula>
    </cfRule>
  </conditionalFormatting>
  <conditionalFormatting sqref="G17:I19">
    <cfRule type="cellIs" dxfId="914" priority="135" operator="equal">
      <formula>0</formula>
    </cfRule>
  </conditionalFormatting>
  <conditionalFormatting sqref="G20:I22">
    <cfRule type="cellIs" dxfId="913" priority="134" operator="equal">
      <formula>0</formula>
    </cfRule>
  </conditionalFormatting>
  <conditionalFormatting sqref="G23:I25">
    <cfRule type="cellIs" dxfId="912" priority="133" operator="equal">
      <formula>0</formula>
    </cfRule>
  </conditionalFormatting>
  <conditionalFormatting sqref="G26:I28">
    <cfRule type="cellIs" dxfId="911" priority="132" operator="equal">
      <formula>0</formula>
    </cfRule>
  </conditionalFormatting>
  <conditionalFormatting sqref="G29:I31">
    <cfRule type="cellIs" dxfId="910" priority="131" operator="equal">
      <formula>0</formula>
    </cfRule>
  </conditionalFormatting>
  <conditionalFormatting sqref="G32:I34">
    <cfRule type="cellIs" dxfId="909" priority="130" operator="equal">
      <formula>0</formula>
    </cfRule>
  </conditionalFormatting>
  <conditionalFormatting sqref="G35:I37">
    <cfRule type="cellIs" dxfId="908" priority="129" operator="equal">
      <formula>0</formula>
    </cfRule>
  </conditionalFormatting>
  <conditionalFormatting sqref="G38:I40">
    <cfRule type="cellIs" dxfId="907" priority="128" operator="equal">
      <formula>0</formula>
    </cfRule>
  </conditionalFormatting>
  <conditionalFormatting sqref="G41:I42">
    <cfRule type="cellIs" dxfId="906" priority="127" operator="equal">
      <formula>0</formula>
    </cfRule>
  </conditionalFormatting>
  <conditionalFormatting sqref="G43:I43">
    <cfRule type="cellIs" dxfId="905" priority="126" operator="equal">
      <formula>0</formula>
    </cfRule>
  </conditionalFormatting>
  <conditionalFormatting sqref="H44">
    <cfRule type="cellIs" dxfId="904" priority="109" operator="equal">
      <formula>0</formula>
    </cfRule>
  </conditionalFormatting>
  <conditionalFormatting sqref="H2 H46:H1048576">
    <cfRule type="cellIs" dxfId="903" priority="108" operator="equal">
      <formula>0</formula>
    </cfRule>
  </conditionalFormatting>
  <conditionalFormatting sqref="J44">
    <cfRule type="cellIs" dxfId="902" priority="93" operator="equal">
      <formula>0</formula>
    </cfRule>
  </conditionalFormatting>
  <conditionalFormatting sqref="J2 J46:J1048576">
    <cfRule type="cellIs" dxfId="901" priority="92" operator="equal">
      <formula>0</formula>
    </cfRule>
  </conditionalFormatting>
  <conditionalFormatting sqref="J4">
    <cfRule type="cellIs" dxfId="900" priority="91" operator="equal">
      <formula>0</formula>
    </cfRule>
  </conditionalFormatting>
  <conditionalFormatting sqref="J8:J10">
    <cfRule type="cellIs" dxfId="899" priority="90" operator="equal">
      <formula>0</formula>
    </cfRule>
  </conditionalFormatting>
  <conditionalFormatting sqref="J5:J7">
    <cfRule type="cellIs" dxfId="898" priority="89" operator="equal">
      <formula>0</formula>
    </cfRule>
  </conditionalFormatting>
  <conditionalFormatting sqref="J11:J13">
    <cfRule type="cellIs" dxfId="897" priority="88" operator="equal">
      <formula>0</formula>
    </cfRule>
  </conditionalFormatting>
  <conditionalFormatting sqref="J14:J16">
    <cfRule type="cellIs" dxfId="896" priority="87" operator="equal">
      <formula>0</formula>
    </cfRule>
  </conditionalFormatting>
  <conditionalFormatting sqref="J17:J19">
    <cfRule type="cellIs" dxfId="895" priority="86" operator="equal">
      <formula>0</formula>
    </cfRule>
  </conditionalFormatting>
  <conditionalFormatting sqref="J20:J22">
    <cfRule type="cellIs" dxfId="894" priority="85" operator="equal">
      <formula>0</formula>
    </cfRule>
  </conditionalFormatting>
  <conditionalFormatting sqref="J23:J25">
    <cfRule type="cellIs" dxfId="893" priority="84" operator="equal">
      <formula>0</formula>
    </cfRule>
  </conditionalFormatting>
  <conditionalFormatting sqref="J26:J28">
    <cfRule type="cellIs" dxfId="892" priority="83" operator="equal">
      <formula>0</formula>
    </cfRule>
  </conditionalFormatting>
  <conditionalFormatting sqref="J29:J31">
    <cfRule type="cellIs" dxfId="891" priority="82" operator="equal">
      <formula>0</formula>
    </cfRule>
  </conditionalFormatting>
  <conditionalFormatting sqref="J32:J34">
    <cfRule type="cellIs" dxfId="890" priority="81" operator="equal">
      <formula>0</formula>
    </cfRule>
  </conditionalFormatting>
  <conditionalFormatting sqref="J35:J37">
    <cfRule type="cellIs" dxfId="889" priority="80" operator="equal">
      <formula>0</formula>
    </cfRule>
  </conditionalFormatting>
  <conditionalFormatting sqref="J38:J40">
    <cfRule type="cellIs" dxfId="888" priority="79" operator="equal">
      <formula>0</formula>
    </cfRule>
  </conditionalFormatting>
  <conditionalFormatting sqref="J41:J42">
    <cfRule type="cellIs" dxfId="887" priority="78" operator="equal">
      <formula>0</formula>
    </cfRule>
  </conditionalFormatting>
  <conditionalFormatting sqref="J43">
    <cfRule type="cellIs" dxfId="886" priority="77" operator="equal">
      <formula>0</formula>
    </cfRule>
  </conditionalFormatting>
  <conditionalFormatting sqref="K3">
    <cfRule type="cellIs" dxfId="885" priority="76" operator="equal">
      <formula>0</formula>
    </cfRule>
  </conditionalFormatting>
  <conditionalFormatting sqref="K44">
    <cfRule type="cellIs" dxfId="884" priority="75" operator="equal">
      <formula>0</formula>
    </cfRule>
  </conditionalFormatting>
  <conditionalFormatting sqref="K2 K46:K1048576">
    <cfRule type="cellIs" dxfId="883" priority="74" operator="equal">
      <formula>0</formula>
    </cfRule>
  </conditionalFormatting>
  <conditionalFormatting sqref="K4">
    <cfRule type="cellIs" dxfId="882" priority="73" operator="equal">
      <formula>0</formula>
    </cfRule>
  </conditionalFormatting>
  <conditionalFormatting sqref="K8:K10">
    <cfRule type="cellIs" dxfId="881" priority="72" operator="equal">
      <formula>0</formula>
    </cfRule>
  </conditionalFormatting>
  <conditionalFormatting sqref="K5:K7">
    <cfRule type="cellIs" dxfId="880" priority="71" operator="equal">
      <formula>0</formula>
    </cfRule>
  </conditionalFormatting>
  <conditionalFormatting sqref="K11:K13">
    <cfRule type="cellIs" dxfId="879" priority="70" operator="equal">
      <formula>0</formula>
    </cfRule>
  </conditionalFormatting>
  <conditionalFormatting sqref="K14:K16">
    <cfRule type="cellIs" dxfId="878" priority="69" operator="equal">
      <formula>0</formula>
    </cfRule>
  </conditionalFormatting>
  <conditionalFormatting sqref="K17:K19">
    <cfRule type="cellIs" dxfId="877" priority="68" operator="equal">
      <formula>0</formula>
    </cfRule>
  </conditionalFormatting>
  <conditionalFormatting sqref="K20:K22">
    <cfRule type="cellIs" dxfId="876" priority="67" operator="equal">
      <formula>0</formula>
    </cfRule>
  </conditionalFormatting>
  <conditionalFormatting sqref="K23:K25">
    <cfRule type="cellIs" dxfId="875" priority="66" operator="equal">
      <formula>0</formula>
    </cfRule>
  </conditionalFormatting>
  <conditionalFormatting sqref="K26:K28">
    <cfRule type="cellIs" dxfId="874" priority="65" operator="equal">
      <formula>0</formula>
    </cfRule>
  </conditionalFormatting>
  <conditionalFormatting sqref="K29:K31">
    <cfRule type="cellIs" dxfId="873" priority="64" operator="equal">
      <formula>0</formula>
    </cfRule>
  </conditionalFormatting>
  <conditionalFormatting sqref="K32:K34">
    <cfRule type="cellIs" dxfId="872" priority="63" operator="equal">
      <formula>0</formula>
    </cfRule>
  </conditionalFormatting>
  <conditionalFormatting sqref="K35:K37">
    <cfRule type="cellIs" dxfId="871" priority="62" operator="equal">
      <formula>0</formula>
    </cfRule>
  </conditionalFormatting>
  <conditionalFormatting sqref="K38:K40">
    <cfRule type="cellIs" dxfId="870" priority="61" operator="equal">
      <formula>0</formula>
    </cfRule>
  </conditionalFormatting>
  <conditionalFormatting sqref="K41:K42">
    <cfRule type="cellIs" dxfId="869" priority="60" operator="equal">
      <formula>0</formula>
    </cfRule>
  </conditionalFormatting>
  <conditionalFormatting sqref="K43">
    <cfRule type="cellIs" dxfId="868" priority="59" operator="equal">
      <formula>0</formula>
    </cfRule>
  </conditionalFormatting>
  <conditionalFormatting sqref="L3">
    <cfRule type="cellIs" dxfId="867" priority="56" operator="equal">
      <formula>0</formula>
    </cfRule>
  </conditionalFormatting>
  <conditionalFormatting sqref="L44">
    <cfRule type="cellIs" dxfId="866" priority="55" operator="equal">
      <formula>0</formula>
    </cfRule>
  </conditionalFormatting>
  <conditionalFormatting sqref="L2 L46:L1048576">
    <cfRule type="cellIs" dxfId="865" priority="54" operator="equal">
      <formula>0</formula>
    </cfRule>
  </conditionalFormatting>
  <conditionalFormatting sqref="L4">
    <cfRule type="cellIs" dxfId="864" priority="53" operator="equal">
      <formula>0</formula>
    </cfRule>
  </conditionalFormatting>
  <conditionalFormatting sqref="L8:L10">
    <cfRule type="cellIs" dxfId="863" priority="52" operator="equal">
      <formula>0</formula>
    </cfRule>
  </conditionalFormatting>
  <conditionalFormatting sqref="L5:L7">
    <cfRule type="cellIs" dxfId="862" priority="51" operator="equal">
      <formula>0</formula>
    </cfRule>
  </conditionalFormatting>
  <conditionalFormatting sqref="L11:L13">
    <cfRule type="cellIs" dxfId="861" priority="50" operator="equal">
      <formula>0</formula>
    </cfRule>
  </conditionalFormatting>
  <conditionalFormatting sqref="L14:L16">
    <cfRule type="cellIs" dxfId="860" priority="49" operator="equal">
      <formula>0</formula>
    </cfRule>
  </conditionalFormatting>
  <conditionalFormatting sqref="L17:L19">
    <cfRule type="cellIs" dxfId="859" priority="48" operator="equal">
      <formula>0</formula>
    </cfRule>
  </conditionalFormatting>
  <conditionalFormatting sqref="L20:L22">
    <cfRule type="cellIs" dxfId="858" priority="47" operator="equal">
      <formula>0</formula>
    </cfRule>
  </conditionalFormatting>
  <conditionalFormatting sqref="L23:L25">
    <cfRule type="cellIs" dxfId="857" priority="46" operator="equal">
      <formula>0</formula>
    </cfRule>
  </conditionalFormatting>
  <conditionalFormatting sqref="L26:L28">
    <cfRule type="cellIs" dxfId="856" priority="45" operator="equal">
      <formula>0</formula>
    </cfRule>
  </conditionalFormatting>
  <conditionalFormatting sqref="L29:L31">
    <cfRule type="cellIs" dxfId="855" priority="44" operator="equal">
      <formula>0</formula>
    </cfRule>
  </conditionalFormatting>
  <conditionalFormatting sqref="L32:L34">
    <cfRule type="cellIs" dxfId="854" priority="43" operator="equal">
      <formula>0</formula>
    </cfRule>
  </conditionalFormatting>
  <conditionalFormatting sqref="L35:L37">
    <cfRule type="cellIs" dxfId="853" priority="42" operator="equal">
      <formula>0</formula>
    </cfRule>
  </conditionalFormatting>
  <conditionalFormatting sqref="L38:L40">
    <cfRule type="cellIs" dxfId="852" priority="41" operator="equal">
      <formula>0</formula>
    </cfRule>
  </conditionalFormatting>
  <conditionalFormatting sqref="L41:L42">
    <cfRule type="cellIs" dxfId="851" priority="40" operator="equal">
      <formula>0</formula>
    </cfRule>
  </conditionalFormatting>
  <conditionalFormatting sqref="L43">
    <cfRule type="cellIs" dxfId="850" priority="39" operator="equal">
      <formula>0</formula>
    </cfRule>
  </conditionalFormatting>
  <conditionalFormatting sqref="M3">
    <cfRule type="cellIs" dxfId="849" priority="33" operator="equal">
      <formula>0</formula>
    </cfRule>
  </conditionalFormatting>
  <conditionalFormatting sqref="M44">
    <cfRule type="cellIs" dxfId="848" priority="32" operator="equal">
      <formula>0</formula>
    </cfRule>
  </conditionalFormatting>
  <conditionalFormatting sqref="M2 M46:M1048576">
    <cfRule type="cellIs" dxfId="847" priority="31" operator="equal">
      <formula>0</formula>
    </cfRule>
  </conditionalFormatting>
  <conditionalFormatting sqref="M4">
    <cfRule type="cellIs" dxfId="846" priority="30" operator="equal">
      <formula>0</formula>
    </cfRule>
  </conditionalFormatting>
  <conditionalFormatting sqref="M8:M10">
    <cfRule type="cellIs" dxfId="845" priority="29" operator="equal">
      <formula>0</formula>
    </cfRule>
  </conditionalFormatting>
  <conditionalFormatting sqref="M5:M7">
    <cfRule type="cellIs" dxfId="844" priority="28" operator="equal">
      <formula>0</formula>
    </cfRule>
  </conditionalFormatting>
  <conditionalFormatting sqref="M11:M13">
    <cfRule type="cellIs" dxfId="843" priority="27" operator="equal">
      <formula>0</formula>
    </cfRule>
  </conditionalFormatting>
  <conditionalFormatting sqref="M14:M16">
    <cfRule type="cellIs" dxfId="842" priority="26" operator="equal">
      <formula>0</formula>
    </cfRule>
  </conditionalFormatting>
  <conditionalFormatting sqref="M17:M19">
    <cfRule type="cellIs" dxfId="841" priority="25" operator="equal">
      <formula>0</formula>
    </cfRule>
  </conditionalFormatting>
  <conditionalFormatting sqref="M20:M22">
    <cfRule type="cellIs" dxfId="840" priority="24" operator="equal">
      <formula>0</formula>
    </cfRule>
  </conditionalFormatting>
  <conditionalFormatting sqref="M23:M25">
    <cfRule type="cellIs" dxfId="839" priority="23" operator="equal">
      <formula>0</formula>
    </cfRule>
  </conditionalFormatting>
  <conditionalFormatting sqref="M26:M28">
    <cfRule type="cellIs" dxfId="838" priority="22" operator="equal">
      <formula>0</formula>
    </cfRule>
  </conditionalFormatting>
  <conditionalFormatting sqref="M29:M31">
    <cfRule type="cellIs" dxfId="837" priority="21" operator="equal">
      <formula>0</formula>
    </cfRule>
  </conditionalFormatting>
  <conditionalFormatting sqref="M32:M34">
    <cfRule type="cellIs" dxfId="836" priority="20" operator="equal">
      <formula>0</formula>
    </cfRule>
  </conditionalFormatting>
  <conditionalFormatting sqref="M35:M37">
    <cfRule type="cellIs" dxfId="835" priority="19" operator="equal">
      <formula>0</formula>
    </cfRule>
  </conditionalFormatting>
  <conditionalFormatting sqref="M38:M40">
    <cfRule type="cellIs" dxfId="834" priority="18" operator="equal">
      <formula>0</formula>
    </cfRule>
  </conditionalFormatting>
  <conditionalFormatting sqref="M41:M42">
    <cfRule type="cellIs" dxfId="833" priority="17" operator="equal">
      <formula>0</formula>
    </cfRule>
  </conditionalFormatting>
  <conditionalFormatting sqref="M43">
    <cfRule type="cellIs" dxfId="832" priority="16" operator="equal">
      <formula>0</formula>
    </cfRule>
  </conditionalFormatting>
  <conditionalFormatting sqref="A44">
    <cfRule type="cellIs" dxfId="831" priority="2" operator="equal">
      <formula>0</formula>
    </cfRule>
  </conditionalFormatting>
  <conditionalFormatting sqref="A45">
    <cfRule type="cellIs" dxfId="830"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D684B-2C26-42F9-A82F-0A6BF318E72E}">
  <sheetPr>
    <tabColor rgb="FFFFFF00"/>
  </sheetPr>
  <dimension ref="A1:AB55"/>
  <sheetViews>
    <sheetView showGridLines="0" showRowColHeaders="0" zoomScaleNormal="100" zoomScaleSheetLayoutView="100" workbookViewId="0"/>
  </sheetViews>
  <sheetFormatPr defaultColWidth="0" defaultRowHeight="15" zeroHeight="1"/>
  <cols>
    <col min="1" max="11" width="8.42578125" style="894" customWidth="1"/>
    <col min="12" max="12" width="7" style="894" customWidth="1"/>
    <col min="13" max="23" width="8.7109375" style="894" customWidth="1"/>
    <col min="24" max="28" width="0" style="894" hidden="1" customWidth="1"/>
    <col min="29" max="16384" width="8.7109375" style="894" hidden="1"/>
  </cols>
  <sheetData>
    <row r="1" spans="1:28">
      <c r="A1" s="912"/>
      <c r="B1" s="912"/>
      <c r="C1" s="912"/>
      <c r="D1" s="912"/>
      <c r="E1" s="912"/>
      <c r="F1" s="912"/>
      <c r="G1" s="912"/>
      <c r="H1" s="912"/>
      <c r="I1" s="912"/>
      <c r="J1" s="912"/>
      <c r="K1" s="912"/>
      <c r="L1" s="912"/>
      <c r="M1" s="912"/>
      <c r="N1" s="912"/>
      <c r="O1" s="912"/>
      <c r="P1" s="912"/>
      <c r="Q1" s="912"/>
      <c r="R1" s="912"/>
      <c r="S1" s="912"/>
      <c r="T1" s="912"/>
      <c r="U1" s="912"/>
      <c r="V1" s="912"/>
      <c r="W1" s="912"/>
    </row>
    <row r="2" spans="1:28" ht="18.75" customHeight="1">
      <c r="A2" s="912"/>
      <c r="B2" s="912"/>
      <c r="C2" s="912"/>
      <c r="D2" s="912"/>
      <c r="E2" s="912"/>
      <c r="F2" s="912"/>
      <c r="G2" s="912"/>
      <c r="H2" s="912"/>
      <c r="I2" s="912"/>
      <c r="J2" s="912"/>
      <c r="K2" s="912"/>
      <c r="L2" s="912"/>
      <c r="M2" s="912"/>
      <c r="N2" s="912"/>
      <c r="O2" s="912"/>
      <c r="P2" s="912"/>
      <c r="Q2" s="912"/>
      <c r="R2" s="912"/>
      <c r="S2" s="912"/>
      <c r="T2" s="912"/>
      <c r="U2" s="912"/>
      <c r="V2" s="912"/>
      <c r="W2" s="912"/>
    </row>
    <row r="3" spans="1:28">
      <c r="A3" s="912"/>
      <c r="B3" s="912"/>
      <c r="C3" s="912"/>
      <c r="D3" s="912"/>
      <c r="E3" s="912"/>
      <c r="F3" s="912"/>
      <c r="G3" s="912"/>
      <c r="H3" s="912"/>
      <c r="I3" s="912"/>
      <c r="J3" s="912"/>
      <c r="K3" s="912"/>
      <c r="L3" s="912"/>
      <c r="M3" s="912"/>
      <c r="N3" s="912"/>
      <c r="O3" s="912"/>
      <c r="P3" s="912"/>
      <c r="Q3" s="912"/>
      <c r="R3" s="912"/>
      <c r="S3" s="912"/>
      <c r="T3" s="912"/>
      <c r="U3" s="912"/>
      <c r="V3" s="912"/>
      <c r="W3" s="912"/>
    </row>
    <row r="4" spans="1:28">
      <c r="A4" s="912"/>
      <c r="B4" s="912"/>
      <c r="C4" s="912"/>
      <c r="D4" s="912"/>
      <c r="E4" s="912"/>
      <c r="F4" s="912"/>
      <c r="G4" s="912"/>
      <c r="H4" s="912"/>
      <c r="I4" s="912"/>
      <c r="J4" s="912"/>
      <c r="K4" s="912"/>
      <c r="L4" s="912"/>
      <c r="M4" s="912"/>
      <c r="N4" s="912"/>
      <c r="O4" s="912"/>
      <c r="P4" s="912"/>
      <c r="Q4" s="912"/>
      <c r="R4" s="912"/>
      <c r="S4" s="912"/>
      <c r="T4" s="912"/>
      <c r="U4" s="912"/>
      <c r="V4" s="912"/>
      <c r="W4" s="912"/>
    </row>
    <row r="5" spans="1:28">
      <c r="A5" s="912"/>
      <c r="B5" s="912"/>
      <c r="C5" s="912"/>
      <c r="D5" s="912"/>
      <c r="E5" s="912"/>
      <c r="F5" s="912"/>
      <c r="G5" s="912"/>
      <c r="H5" s="912"/>
      <c r="I5" s="912"/>
      <c r="J5" s="912"/>
      <c r="K5" s="912"/>
      <c r="L5" s="912"/>
      <c r="M5" s="912"/>
      <c r="N5" s="912"/>
      <c r="O5" s="912"/>
      <c r="P5" s="912"/>
      <c r="Q5" s="912"/>
      <c r="R5" s="912"/>
      <c r="S5" s="912"/>
      <c r="T5" s="912"/>
      <c r="U5" s="912"/>
      <c r="V5" s="912"/>
      <c r="W5" s="912"/>
    </row>
    <row r="6" spans="1:28">
      <c r="A6" s="912"/>
      <c r="B6" s="912"/>
      <c r="C6" s="912"/>
      <c r="D6" s="912"/>
      <c r="E6" s="912"/>
      <c r="F6" s="912"/>
      <c r="G6" s="913"/>
      <c r="H6" s="912"/>
      <c r="I6" s="912"/>
      <c r="J6" s="912"/>
      <c r="K6" s="912"/>
      <c r="L6" s="937"/>
      <c r="M6" s="937"/>
      <c r="N6" s="937"/>
      <c r="O6" s="937"/>
      <c r="P6" s="937"/>
      <c r="Q6" s="937"/>
      <c r="R6" s="912"/>
      <c r="S6" s="912"/>
      <c r="T6" s="912"/>
      <c r="U6" s="912"/>
      <c r="V6" s="912"/>
      <c r="W6" s="912"/>
    </row>
    <row r="7" spans="1:28">
      <c r="A7" s="915"/>
      <c r="B7" s="915"/>
      <c r="C7" s="915"/>
      <c r="D7" s="915"/>
      <c r="E7" s="915"/>
      <c r="F7" s="915"/>
      <c r="G7" s="912"/>
      <c r="H7" s="912"/>
      <c r="I7" s="912"/>
      <c r="J7" s="912"/>
      <c r="K7" s="912"/>
      <c r="L7" s="912"/>
      <c r="M7" s="912"/>
      <c r="N7" s="912"/>
      <c r="O7" s="912"/>
      <c r="P7" s="912"/>
      <c r="Q7" s="912"/>
      <c r="R7" s="912"/>
      <c r="S7" s="912"/>
      <c r="T7" s="912"/>
      <c r="U7" s="912"/>
      <c r="V7" s="912"/>
      <c r="W7" s="912"/>
    </row>
    <row r="8" spans="1:28">
      <c r="A8" s="926"/>
      <c r="B8" s="926"/>
      <c r="C8" s="926"/>
      <c r="D8" s="926"/>
      <c r="E8" s="926"/>
      <c r="F8" s="926"/>
      <c r="G8" s="912"/>
      <c r="H8" s="912"/>
      <c r="I8" s="912"/>
      <c r="J8" s="912"/>
      <c r="K8" s="912"/>
      <c r="L8" s="912"/>
      <c r="M8" s="912"/>
      <c r="N8" s="912"/>
      <c r="O8" s="912"/>
      <c r="P8" s="912"/>
      <c r="Q8" s="912"/>
      <c r="R8" s="912"/>
      <c r="S8" s="912"/>
      <c r="T8" s="912"/>
      <c r="U8" s="912"/>
      <c r="V8" s="912"/>
      <c r="W8" s="912"/>
    </row>
    <row r="9" spans="1:28" ht="15" customHeight="1">
      <c r="A9" s="912"/>
      <c r="B9" s="912"/>
      <c r="C9" s="912"/>
      <c r="D9" s="912"/>
      <c r="E9" s="912"/>
      <c r="F9" s="916"/>
      <c r="G9" s="916"/>
      <c r="H9" s="912"/>
      <c r="I9" s="912"/>
      <c r="J9" s="912"/>
      <c r="K9" s="912"/>
      <c r="L9" s="912"/>
      <c r="M9" s="912"/>
      <c r="N9" s="912"/>
      <c r="O9" s="912"/>
      <c r="P9" s="912"/>
      <c r="Q9" s="912"/>
      <c r="R9" s="912"/>
      <c r="S9" s="912"/>
      <c r="T9" s="912"/>
      <c r="U9" s="912"/>
      <c r="V9" s="912"/>
      <c r="W9" s="912"/>
    </row>
    <row r="10" spans="1:28" ht="15" customHeight="1">
      <c r="A10" s="912"/>
      <c r="B10" s="912"/>
      <c r="C10" s="912"/>
      <c r="D10" s="912"/>
      <c r="E10" s="912"/>
      <c r="F10" s="916"/>
      <c r="G10" s="916"/>
      <c r="H10" s="912"/>
      <c r="I10" s="912"/>
      <c r="J10" s="912"/>
      <c r="K10" s="912"/>
      <c r="L10" s="912"/>
      <c r="M10" s="912"/>
      <c r="N10" s="912"/>
      <c r="O10" s="912"/>
      <c r="P10" s="912"/>
      <c r="Q10" s="912"/>
      <c r="R10" s="912"/>
      <c r="S10" s="912"/>
      <c r="T10" s="912"/>
      <c r="U10" s="912"/>
      <c r="V10" s="912"/>
      <c r="W10" s="912"/>
    </row>
    <row r="11" spans="1:28">
      <c r="A11" s="912"/>
      <c r="B11" s="912"/>
      <c r="C11" s="912"/>
      <c r="D11" s="912"/>
      <c r="E11" s="912"/>
      <c r="F11" s="916"/>
      <c r="G11" s="916"/>
      <c r="H11" s="912"/>
      <c r="I11" s="912"/>
      <c r="J11" s="912"/>
      <c r="K11" s="912"/>
      <c r="L11" s="912"/>
      <c r="M11" s="912"/>
      <c r="N11" s="912"/>
      <c r="O11" s="912"/>
      <c r="P11" s="912"/>
      <c r="Q11" s="912"/>
      <c r="R11" s="912"/>
      <c r="S11" s="912"/>
      <c r="T11" s="912"/>
      <c r="U11" s="912"/>
      <c r="V11" s="912"/>
      <c r="W11" s="912"/>
    </row>
    <row r="12" spans="1:28" ht="15" customHeight="1">
      <c r="A12" s="912"/>
      <c r="B12" s="912"/>
      <c r="C12" s="912"/>
      <c r="D12" s="912"/>
      <c r="E12" s="912"/>
      <c r="F12" s="916"/>
      <c r="G12" s="916"/>
      <c r="H12" s="912"/>
      <c r="I12" s="912"/>
      <c r="J12" s="912"/>
      <c r="K12" s="912"/>
      <c r="L12" s="912"/>
      <c r="M12" s="912"/>
      <c r="N12" s="912"/>
      <c r="O12" s="912"/>
      <c r="P12" s="912"/>
      <c r="Q12" s="912"/>
      <c r="R12" s="912"/>
      <c r="S12" s="912"/>
      <c r="T12" s="912"/>
      <c r="U12" s="912"/>
      <c r="V12" s="912"/>
      <c r="W12" s="912"/>
      <c r="AB12" s="900"/>
    </row>
    <row r="13" spans="1:28" ht="15" customHeight="1">
      <c r="A13" s="912"/>
      <c r="B13" s="912"/>
      <c r="C13" s="912"/>
      <c r="D13" s="912"/>
      <c r="E13" s="912"/>
      <c r="F13" s="916"/>
      <c r="G13" s="916"/>
      <c r="H13" s="912"/>
      <c r="I13" s="912"/>
      <c r="J13" s="912"/>
      <c r="K13" s="912"/>
      <c r="L13" s="912"/>
      <c r="M13" s="912"/>
      <c r="N13" s="912"/>
      <c r="O13" s="912"/>
      <c r="P13" s="912"/>
      <c r="Q13" s="912"/>
      <c r="R13" s="912"/>
      <c r="S13" s="912"/>
      <c r="T13" s="912"/>
      <c r="U13" s="912"/>
      <c r="V13" s="912"/>
      <c r="W13" s="912"/>
    </row>
    <row r="14" spans="1:28">
      <c r="A14" s="912"/>
      <c r="B14" s="912"/>
      <c r="C14" s="912"/>
      <c r="D14" s="912"/>
      <c r="E14" s="912"/>
      <c r="F14" s="916"/>
      <c r="G14" s="916"/>
      <c r="H14" s="912"/>
      <c r="I14" s="912"/>
      <c r="J14" s="912"/>
      <c r="K14" s="912"/>
      <c r="L14" s="912"/>
      <c r="M14" s="912"/>
      <c r="N14" s="912"/>
      <c r="O14" s="912"/>
      <c r="P14" s="912"/>
      <c r="Q14" s="912"/>
      <c r="R14" s="912"/>
      <c r="S14" s="912"/>
      <c r="T14" s="912"/>
      <c r="U14" s="912"/>
      <c r="V14" s="912"/>
      <c r="W14" s="912"/>
    </row>
    <row r="15" spans="1:28">
      <c r="A15" s="912"/>
      <c r="B15" s="912"/>
      <c r="C15" s="912"/>
      <c r="D15" s="912"/>
      <c r="E15" s="912"/>
      <c r="F15" s="912"/>
      <c r="G15" s="912"/>
      <c r="H15" s="912"/>
      <c r="I15" s="912"/>
      <c r="J15" s="912"/>
      <c r="K15" s="912"/>
      <c r="L15" s="912"/>
      <c r="M15" s="912"/>
      <c r="N15" s="912"/>
      <c r="O15" s="912"/>
      <c r="P15" s="912"/>
      <c r="Q15" s="912"/>
      <c r="R15" s="912"/>
      <c r="S15" s="912"/>
      <c r="T15" s="912"/>
      <c r="U15" s="912"/>
      <c r="V15" s="912"/>
      <c r="W15" s="912"/>
    </row>
    <row r="16" spans="1:28">
      <c r="A16" s="912"/>
      <c r="B16" s="912"/>
      <c r="C16" s="912"/>
      <c r="D16" s="912"/>
      <c r="E16" s="912"/>
      <c r="F16" s="912"/>
      <c r="G16" s="912"/>
      <c r="H16" s="912"/>
      <c r="I16" s="912"/>
      <c r="J16" s="912"/>
      <c r="K16" s="912"/>
      <c r="L16" s="912"/>
      <c r="M16" s="912"/>
      <c r="N16" s="912"/>
      <c r="O16" s="912"/>
      <c r="P16" s="912"/>
      <c r="Q16" s="912"/>
      <c r="R16" s="912"/>
      <c r="S16" s="912"/>
      <c r="T16" s="912"/>
      <c r="U16" s="912"/>
      <c r="V16" s="912"/>
      <c r="W16" s="912"/>
    </row>
    <row r="17" spans="1:25">
      <c r="A17" s="912"/>
      <c r="B17" s="912"/>
      <c r="C17" s="912"/>
      <c r="D17" s="912"/>
      <c r="E17" s="912"/>
      <c r="F17" s="912"/>
      <c r="G17" s="912"/>
      <c r="H17" s="912"/>
      <c r="I17" s="912"/>
      <c r="J17" s="912"/>
      <c r="K17" s="912"/>
      <c r="L17" s="912"/>
      <c r="M17" s="912"/>
      <c r="N17" s="912"/>
      <c r="O17" s="912"/>
      <c r="P17" s="912"/>
      <c r="Q17" s="912"/>
      <c r="R17" s="912"/>
      <c r="S17" s="912"/>
      <c r="T17" s="912"/>
      <c r="U17" s="912"/>
      <c r="V17" s="912"/>
      <c r="W17" s="912"/>
    </row>
    <row r="18" spans="1:25">
      <c r="A18" s="912"/>
      <c r="B18" s="912"/>
      <c r="C18" s="912"/>
      <c r="D18" s="912"/>
      <c r="E18" s="912"/>
      <c r="F18" s="912"/>
      <c r="G18" s="912"/>
      <c r="H18" s="912"/>
      <c r="I18" s="912"/>
      <c r="J18" s="912"/>
      <c r="K18" s="912"/>
      <c r="L18" s="912"/>
      <c r="M18" s="912"/>
      <c r="N18" s="912"/>
      <c r="O18" s="912"/>
      <c r="P18" s="912"/>
      <c r="Q18" s="912"/>
      <c r="R18" s="912"/>
      <c r="S18" s="912"/>
      <c r="T18" s="912"/>
      <c r="U18" s="912"/>
      <c r="V18" s="912"/>
      <c r="W18" s="912"/>
    </row>
    <row r="19" spans="1:25">
      <c r="A19" s="912"/>
      <c r="B19" s="912"/>
      <c r="C19" s="912"/>
      <c r="D19" s="912"/>
      <c r="E19" s="912"/>
      <c r="F19" s="912"/>
      <c r="G19" s="912"/>
      <c r="H19" s="912"/>
      <c r="I19" s="912"/>
      <c r="J19" s="912"/>
      <c r="K19" s="912"/>
      <c r="L19" s="912"/>
      <c r="M19" s="912"/>
      <c r="N19" s="912"/>
      <c r="O19" s="912"/>
      <c r="P19" s="912"/>
      <c r="Q19" s="912"/>
      <c r="R19" s="912"/>
      <c r="S19" s="912"/>
      <c r="T19" s="912"/>
      <c r="U19" s="912"/>
      <c r="V19" s="912"/>
      <c r="W19" s="912"/>
    </row>
    <row r="20" spans="1:25">
      <c r="A20" s="912"/>
      <c r="B20" s="912"/>
      <c r="C20" s="912"/>
      <c r="D20" s="912"/>
      <c r="E20" s="912"/>
      <c r="F20" s="912"/>
      <c r="G20" s="912"/>
      <c r="H20" s="912"/>
      <c r="I20" s="912"/>
      <c r="J20" s="912"/>
      <c r="K20" s="912"/>
      <c r="L20" s="912"/>
      <c r="M20" s="912"/>
      <c r="N20" s="912"/>
      <c r="O20" s="912"/>
      <c r="P20" s="912"/>
      <c r="Q20" s="912"/>
      <c r="R20" s="912"/>
      <c r="S20" s="912"/>
      <c r="T20" s="912"/>
      <c r="U20" s="912"/>
      <c r="V20" s="912"/>
      <c r="W20" s="912"/>
    </row>
    <row r="21" spans="1:25">
      <c r="A21" s="912"/>
      <c r="B21" s="912"/>
      <c r="C21" s="912"/>
      <c r="D21" s="912"/>
      <c r="E21" s="912"/>
      <c r="F21" s="912"/>
      <c r="G21" s="912"/>
      <c r="H21" s="912"/>
      <c r="I21" s="912"/>
      <c r="J21" s="912"/>
      <c r="K21" s="912"/>
      <c r="L21" s="912"/>
      <c r="M21" s="912"/>
      <c r="N21" s="912"/>
      <c r="O21" s="912"/>
      <c r="P21" s="912"/>
      <c r="Q21" s="912"/>
      <c r="R21" s="912"/>
      <c r="S21" s="912"/>
      <c r="T21" s="912"/>
      <c r="U21" s="912"/>
      <c r="V21" s="912"/>
      <c r="W21" s="912"/>
    </row>
    <row r="22" spans="1:25">
      <c r="A22" s="912"/>
      <c r="B22" s="912"/>
      <c r="C22" s="912"/>
      <c r="D22" s="912"/>
      <c r="E22" s="912"/>
      <c r="F22" s="912"/>
      <c r="G22" s="912"/>
      <c r="H22" s="912"/>
      <c r="I22" s="912"/>
      <c r="J22" s="912"/>
      <c r="K22" s="912"/>
      <c r="L22" s="912"/>
      <c r="M22" s="912"/>
      <c r="N22" s="912"/>
      <c r="O22" s="912"/>
      <c r="P22" s="912"/>
      <c r="Q22" s="912"/>
      <c r="R22" s="912"/>
      <c r="S22" s="912"/>
      <c r="T22" s="912"/>
      <c r="U22" s="912"/>
      <c r="V22" s="912"/>
      <c r="W22" s="912"/>
    </row>
    <row r="23" spans="1:25">
      <c r="A23" s="912"/>
      <c r="B23" s="912"/>
      <c r="C23" s="912"/>
      <c r="D23" s="912"/>
      <c r="E23" s="912"/>
      <c r="F23" s="912"/>
      <c r="G23" s="912"/>
      <c r="H23" s="912"/>
      <c r="I23" s="912"/>
      <c r="J23" s="912"/>
      <c r="K23" s="912"/>
      <c r="L23" s="912"/>
      <c r="M23" s="912"/>
      <c r="N23" s="912"/>
      <c r="O23" s="912"/>
      <c r="P23" s="912"/>
      <c r="Q23" s="912"/>
      <c r="R23" s="912"/>
      <c r="S23" s="912"/>
      <c r="T23" s="912"/>
      <c r="U23" s="912"/>
      <c r="V23" s="912"/>
      <c r="W23" s="912"/>
    </row>
    <row r="24" spans="1:25">
      <c r="A24" s="912"/>
      <c r="B24" s="912"/>
      <c r="C24" s="912"/>
      <c r="D24" s="912"/>
      <c r="E24" s="912"/>
      <c r="F24" s="912"/>
      <c r="G24" s="912"/>
      <c r="H24" s="912"/>
      <c r="I24" s="912"/>
      <c r="J24" s="912"/>
      <c r="K24" s="912"/>
      <c r="L24" s="912"/>
      <c r="M24" s="912"/>
      <c r="N24" s="912"/>
      <c r="O24" s="912"/>
      <c r="P24" s="912"/>
      <c r="Q24" s="912"/>
      <c r="R24" s="912"/>
      <c r="S24" s="912"/>
      <c r="T24" s="912"/>
      <c r="U24" s="912"/>
      <c r="V24" s="912"/>
      <c r="W24" s="912"/>
    </row>
    <row r="25" spans="1:25">
      <c r="A25" s="912"/>
      <c r="B25" s="912"/>
      <c r="C25" s="912"/>
      <c r="D25" s="912"/>
      <c r="E25" s="912"/>
      <c r="F25" s="912"/>
      <c r="G25" s="912"/>
      <c r="H25" s="912"/>
      <c r="I25" s="912"/>
      <c r="J25" s="912"/>
      <c r="K25" s="912"/>
      <c r="L25" s="912"/>
      <c r="M25" s="912"/>
      <c r="N25" s="912"/>
      <c r="O25" s="912"/>
      <c r="P25" s="912"/>
      <c r="Q25" s="912"/>
      <c r="R25" s="912"/>
      <c r="S25" s="912"/>
      <c r="T25" s="912"/>
      <c r="U25" s="912"/>
      <c r="V25" s="912"/>
      <c r="W25" s="912"/>
    </row>
    <row r="26" spans="1:25">
      <c r="A26" s="912"/>
      <c r="B26" s="912"/>
      <c r="C26" s="912"/>
      <c r="D26" s="912"/>
      <c r="E26" s="912"/>
      <c r="F26" s="912"/>
      <c r="G26" s="912"/>
      <c r="H26" s="912"/>
      <c r="I26" s="912"/>
      <c r="J26" s="912"/>
      <c r="K26" s="912"/>
      <c r="L26" s="912"/>
      <c r="M26" s="912"/>
      <c r="N26" s="912"/>
      <c r="O26" s="912"/>
      <c r="P26" s="912"/>
      <c r="Q26" s="912"/>
      <c r="R26" s="912"/>
      <c r="S26" s="912"/>
      <c r="T26" s="912"/>
      <c r="U26" s="912"/>
      <c r="V26" s="912"/>
      <c r="W26" s="912"/>
    </row>
    <row r="27" spans="1:25">
      <c r="A27" s="912"/>
      <c r="B27" s="912"/>
      <c r="C27" s="912"/>
      <c r="D27" s="912"/>
      <c r="E27" s="912"/>
      <c r="F27" s="912"/>
      <c r="G27" s="912"/>
      <c r="H27" s="912"/>
      <c r="I27" s="912"/>
      <c r="J27" s="912"/>
      <c r="K27" s="912"/>
      <c r="L27" s="912"/>
      <c r="M27" s="912"/>
      <c r="N27" s="912"/>
      <c r="O27" s="912"/>
      <c r="P27" s="912"/>
      <c r="Q27" s="912"/>
      <c r="R27" s="912"/>
      <c r="S27" s="912"/>
      <c r="T27" s="912"/>
      <c r="U27" s="912"/>
      <c r="V27" s="912"/>
      <c r="W27" s="912"/>
    </row>
    <row r="28" spans="1:25">
      <c r="A28" s="925"/>
      <c r="B28" s="925"/>
      <c r="C28" s="925"/>
      <c r="D28" s="925"/>
      <c r="E28" s="925"/>
      <c r="F28" s="925"/>
      <c r="G28" s="925"/>
      <c r="H28" s="912"/>
      <c r="I28" s="925"/>
      <c r="J28" s="925"/>
      <c r="K28" s="925"/>
      <c r="L28" s="925"/>
      <c r="M28" s="925"/>
      <c r="N28" s="925"/>
      <c r="O28" s="925"/>
      <c r="P28" s="912"/>
      <c r="Q28" s="925"/>
      <c r="R28" s="925"/>
      <c r="S28" s="925"/>
      <c r="T28" s="925"/>
      <c r="U28" s="925"/>
      <c r="V28" s="925"/>
      <c r="W28" s="925"/>
    </row>
    <row r="29" spans="1:25">
      <c r="A29" s="925"/>
      <c r="B29" s="925"/>
      <c r="C29" s="925"/>
      <c r="D29" s="925"/>
      <c r="E29" s="925"/>
      <c r="F29" s="925"/>
      <c r="G29" s="925"/>
      <c r="H29" s="912"/>
      <c r="I29" s="925"/>
      <c r="J29" s="925"/>
      <c r="K29" s="925"/>
      <c r="L29" s="925"/>
      <c r="M29" s="925"/>
      <c r="N29" s="925"/>
      <c r="O29" s="925"/>
      <c r="P29" s="912"/>
      <c r="Q29" s="925"/>
      <c r="R29" s="925"/>
      <c r="S29" s="925"/>
      <c r="T29" s="925"/>
      <c r="U29" s="925"/>
      <c r="V29" s="925"/>
      <c r="W29" s="925"/>
    </row>
    <row r="30" spans="1:25">
      <c r="A30" s="925"/>
      <c r="B30" s="925"/>
      <c r="C30" s="925"/>
      <c r="D30" s="925"/>
      <c r="E30" s="925"/>
      <c r="F30" s="925"/>
      <c r="G30" s="925"/>
      <c r="H30" s="912"/>
      <c r="I30" s="925"/>
      <c r="J30" s="925"/>
      <c r="K30" s="925"/>
      <c r="L30" s="925"/>
      <c r="M30" s="925"/>
      <c r="N30" s="925"/>
      <c r="O30" s="925"/>
      <c r="P30" s="917"/>
      <c r="Q30" s="917"/>
      <c r="R30" s="917"/>
      <c r="S30" s="917"/>
      <c r="T30" s="917"/>
      <c r="U30" s="917"/>
      <c r="V30" s="917"/>
      <c r="W30" s="917"/>
      <c r="X30" s="895"/>
      <c r="Y30" s="895"/>
    </row>
    <row r="31" spans="1:25">
      <c r="A31" s="912"/>
      <c r="B31" s="912"/>
      <c r="C31" s="912"/>
      <c r="D31" s="912"/>
      <c r="E31" s="912"/>
      <c r="F31" s="912"/>
      <c r="G31" s="912"/>
      <c r="H31" s="912"/>
      <c r="I31" s="912"/>
      <c r="J31" s="912"/>
      <c r="K31" s="912"/>
      <c r="L31" s="912"/>
      <c r="M31" s="912"/>
      <c r="N31" s="912"/>
      <c r="O31" s="912"/>
      <c r="P31" s="918"/>
      <c r="Q31" s="918"/>
      <c r="R31" s="918"/>
      <c r="S31" s="918"/>
      <c r="T31" s="918"/>
      <c r="U31" s="918"/>
      <c r="V31" s="912"/>
      <c r="W31" s="919"/>
      <c r="X31" s="896"/>
      <c r="Y31" s="896"/>
    </row>
    <row r="32" spans="1:25">
      <c r="A32" s="912"/>
      <c r="B32" s="912"/>
      <c r="C32" s="912"/>
      <c r="D32" s="912"/>
      <c r="E32" s="912"/>
      <c r="F32" s="912"/>
      <c r="G32" s="912"/>
      <c r="H32" s="912"/>
      <c r="I32" s="912"/>
      <c r="J32" s="912"/>
      <c r="K32" s="912"/>
      <c r="L32" s="912"/>
      <c r="M32" s="912"/>
      <c r="N32" s="912"/>
      <c r="O32" s="912"/>
      <c r="P32" s="912"/>
      <c r="Q32" s="912"/>
      <c r="R32" s="912"/>
      <c r="S32" s="912"/>
      <c r="T32" s="912"/>
      <c r="U32" s="912"/>
      <c r="V32" s="912"/>
      <c r="W32" s="912"/>
    </row>
    <row r="33" spans="1:23">
      <c r="A33" s="912"/>
      <c r="B33" s="912"/>
      <c r="C33" s="912"/>
      <c r="D33" s="912"/>
      <c r="E33" s="912"/>
      <c r="F33" s="912"/>
      <c r="G33" s="912"/>
      <c r="H33" s="927"/>
      <c r="I33" s="912"/>
      <c r="J33" s="912"/>
      <c r="K33" s="912"/>
      <c r="L33" s="912"/>
      <c r="M33" s="912"/>
      <c r="N33" s="912"/>
      <c r="O33" s="912"/>
      <c r="P33" s="920"/>
      <c r="Q33" s="912"/>
      <c r="R33" s="912"/>
      <c r="S33" s="912"/>
      <c r="T33" s="912"/>
      <c r="U33" s="912"/>
      <c r="V33" s="912"/>
      <c r="W33" s="912"/>
    </row>
    <row r="34" spans="1:23">
      <c r="A34" s="912"/>
      <c r="B34" s="912"/>
      <c r="C34" s="912"/>
      <c r="D34" s="912"/>
      <c r="E34" s="912"/>
      <c r="F34" s="912"/>
      <c r="G34" s="912"/>
      <c r="H34" s="912"/>
      <c r="I34" s="912"/>
      <c r="J34" s="912"/>
      <c r="K34" s="912"/>
      <c r="L34" s="912"/>
      <c r="M34" s="912"/>
      <c r="N34" s="912"/>
      <c r="O34" s="912"/>
      <c r="P34" s="919"/>
      <c r="Q34" s="912"/>
      <c r="R34" s="912"/>
      <c r="S34" s="912"/>
      <c r="T34" s="912"/>
      <c r="U34" s="912"/>
      <c r="V34" s="912"/>
      <c r="W34" s="912"/>
    </row>
    <row r="35" spans="1:23">
      <c r="A35" s="912"/>
      <c r="B35" s="912"/>
      <c r="C35" s="912"/>
      <c r="D35" s="912"/>
      <c r="E35" s="912"/>
      <c r="F35" s="912"/>
      <c r="G35" s="912"/>
      <c r="H35" s="912"/>
      <c r="I35" s="912"/>
      <c r="J35" s="912"/>
      <c r="K35" s="912"/>
      <c r="L35" s="912"/>
      <c r="M35" s="912"/>
      <c r="N35" s="912"/>
      <c r="O35" s="912"/>
      <c r="P35" s="919"/>
      <c r="Q35" s="912"/>
      <c r="R35" s="912"/>
      <c r="S35" s="912"/>
      <c r="T35" s="912"/>
      <c r="U35" s="912"/>
      <c r="V35" s="912"/>
      <c r="W35" s="912"/>
    </row>
    <row r="36" spans="1:23">
      <c r="A36" s="912"/>
      <c r="B36" s="912"/>
      <c r="C36" s="912"/>
      <c r="D36" s="912"/>
      <c r="E36" s="912"/>
      <c r="F36" s="912"/>
      <c r="G36" s="912"/>
      <c r="H36" s="912"/>
      <c r="I36" s="912"/>
      <c r="J36" s="912"/>
      <c r="K36" s="912"/>
      <c r="L36" s="912"/>
      <c r="M36" s="912"/>
      <c r="N36" s="912"/>
      <c r="O36" s="912"/>
      <c r="P36" s="919"/>
      <c r="Q36" s="912"/>
      <c r="R36" s="912"/>
      <c r="S36" s="912"/>
      <c r="T36" s="912"/>
      <c r="U36" s="912"/>
      <c r="V36" s="912"/>
      <c r="W36" s="912"/>
    </row>
    <row r="37" spans="1:23">
      <c r="A37" s="912"/>
      <c r="B37" s="912"/>
      <c r="C37" s="912"/>
      <c r="D37" s="912"/>
      <c r="E37" s="912"/>
      <c r="F37" s="912"/>
      <c r="G37" s="912"/>
      <c r="H37" s="921"/>
      <c r="I37" s="912"/>
      <c r="J37" s="920"/>
      <c r="K37" s="912"/>
      <c r="L37" s="912"/>
      <c r="M37" s="919"/>
      <c r="N37" s="919"/>
      <c r="O37" s="919"/>
      <c r="P37" s="919"/>
      <c r="Q37" s="912"/>
      <c r="R37" s="912"/>
      <c r="S37" s="912"/>
      <c r="T37" s="912"/>
      <c r="U37" s="912"/>
      <c r="V37" s="912"/>
      <c r="W37" s="912"/>
    </row>
    <row r="38" spans="1:23">
      <c r="A38" s="912"/>
      <c r="B38" s="912"/>
      <c r="C38" s="912"/>
      <c r="D38" s="912"/>
      <c r="E38" s="912"/>
      <c r="F38" s="912"/>
      <c r="G38" s="912"/>
      <c r="H38" s="921"/>
      <c r="I38" s="912"/>
      <c r="J38" s="920"/>
      <c r="K38" s="912"/>
      <c r="L38" s="912"/>
      <c r="M38" s="919"/>
      <c r="N38" s="919"/>
      <c r="O38" s="919"/>
      <c r="P38" s="919"/>
      <c r="Q38" s="912"/>
      <c r="R38" s="912"/>
      <c r="S38" s="912"/>
      <c r="T38" s="912"/>
      <c r="U38" s="912"/>
      <c r="V38" s="912"/>
      <c r="W38" s="912"/>
    </row>
    <row r="39" spans="1:23">
      <c r="A39" s="912"/>
      <c r="B39" s="912"/>
      <c r="C39" s="912"/>
      <c r="D39" s="912"/>
      <c r="E39" s="912"/>
      <c r="F39" s="912"/>
      <c r="G39" s="912"/>
      <c r="H39" s="912"/>
      <c r="I39" s="912"/>
      <c r="J39" s="920"/>
      <c r="K39" s="912"/>
      <c r="L39" s="912"/>
      <c r="M39" s="922"/>
      <c r="N39" s="921"/>
      <c r="O39" s="919"/>
      <c r="P39" s="919"/>
      <c r="Q39" s="912"/>
      <c r="R39" s="912"/>
      <c r="S39" s="912"/>
      <c r="T39" s="912"/>
      <c r="U39" s="912"/>
      <c r="V39" s="912"/>
      <c r="W39" s="912"/>
    </row>
    <row r="40" spans="1:23">
      <c r="A40" s="912"/>
      <c r="B40" s="912"/>
      <c r="C40" s="912"/>
      <c r="D40" s="912"/>
      <c r="E40" s="912"/>
      <c r="F40" s="912"/>
      <c r="G40" s="912"/>
      <c r="H40" s="921"/>
      <c r="I40" s="912"/>
      <c r="J40" s="920"/>
      <c r="K40" s="912"/>
      <c r="L40" s="912"/>
      <c r="M40" s="919"/>
      <c r="N40" s="919"/>
      <c r="O40" s="919"/>
      <c r="P40" s="919"/>
      <c r="Q40" s="912"/>
      <c r="R40" s="912"/>
      <c r="S40" s="912"/>
      <c r="T40" s="912"/>
      <c r="U40" s="912"/>
      <c r="V40" s="912"/>
      <c r="W40" s="912"/>
    </row>
    <row r="41" spans="1:23">
      <c r="A41" s="912"/>
      <c r="B41" s="912"/>
      <c r="C41" s="912"/>
      <c r="D41" s="912"/>
      <c r="E41" s="912"/>
      <c r="F41" s="912"/>
      <c r="G41" s="912"/>
      <c r="H41" s="920"/>
      <c r="I41" s="920"/>
      <c r="J41" s="920"/>
      <c r="K41" s="912"/>
      <c r="L41" s="919"/>
      <c r="M41" s="919"/>
      <c r="N41" s="919"/>
      <c r="O41" s="919"/>
      <c r="P41" s="919"/>
      <c r="Q41" s="912"/>
      <c r="R41" s="912"/>
      <c r="S41" s="912"/>
      <c r="T41" s="912"/>
      <c r="U41" s="912"/>
      <c r="V41" s="912"/>
      <c r="W41" s="912"/>
    </row>
    <row r="42" spans="1:23">
      <c r="A42" s="912"/>
      <c r="B42" s="912"/>
      <c r="C42" s="912"/>
      <c r="D42" s="912"/>
      <c r="E42" s="912"/>
      <c r="F42" s="912"/>
      <c r="G42" s="919"/>
      <c r="H42" s="919"/>
      <c r="I42" s="919"/>
      <c r="J42" s="919"/>
      <c r="K42" s="919"/>
      <c r="L42" s="919"/>
      <c r="M42" s="919"/>
      <c r="N42" s="919"/>
      <c r="O42" s="919"/>
      <c r="P42" s="919"/>
      <c r="Q42" s="912"/>
      <c r="R42" s="912"/>
      <c r="S42" s="912"/>
      <c r="T42" s="912"/>
      <c r="U42" s="912"/>
      <c r="V42" s="912"/>
      <c r="W42" s="912"/>
    </row>
    <row r="43" spans="1:23">
      <c r="A43" s="912"/>
      <c r="B43" s="912"/>
      <c r="C43" s="912"/>
      <c r="D43" s="912"/>
      <c r="E43" s="912"/>
      <c r="F43" s="912"/>
      <c r="G43" s="919"/>
      <c r="H43" s="919"/>
      <c r="I43" s="919"/>
      <c r="J43" s="919"/>
      <c r="K43" s="919"/>
      <c r="L43" s="919"/>
      <c r="M43" s="919"/>
      <c r="N43" s="919"/>
      <c r="O43" s="919"/>
      <c r="P43" s="919"/>
      <c r="Q43" s="912"/>
      <c r="R43" s="912"/>
      <c r="S43" s="912"/>
      <c r="T43" s="912"/>
      <c r="U43" s="912"/>
      <c r="V43" s="912"/>
      <c r="W43" s="912"/>
    </row>
    <row r="44" spans="1:23">
      <c r="A44" s="912"/>
      <c r="B44" s="912"/>
      <c r="C44" s="912"/>
      <c r="D44" s="912"/>
      <c r="E44" s="912"/>
      <c r="F44" s="912"/>
      <c r="G44" s="919"/>
      <c r="H44" s="919"/>
      <c r="I44" s="919"/>
      <c r="J44" s="919"/>
      <c r="K44" s="919"/>
      <c r="L44" s="919"/>
      <c r="M44" s="919"/>
      <c r="N44" s="919"/>
      <c r="O44" s="919"/>
      <c r="P44" s="919"/>
      <c r="Q44" s="912"/>
      <c r="R44" s="912"/>
      <c r="S44" s="912"/>
      <c r="T44" s="912"/>
      <c r="U44" s="912"/>
      <c r="V44" s="912"/>
      <c r="W44" s="912"/>
    </row>
    <row r="45" spans="1:23">
      <c r="A45" s="912"/>
      <c r="B45" s="912"/>
      <c r="C45" s="912"/>
      <c r="D45" s="912"/>
      <c r="E45" s="912"/>
      <c r="F45" s="912"/>
      <c r="G45" s="919"/>
      <c r="H45" s="919"/>
      <c r="I45" s="919"/>
      <c r="J45" s="919"/>
      <c r="K45" s="919"/>
      <c r="L45" s="919"/>
      <c r="M45" s="919"/>
      <c r="N45" s="919"/>
      <c r="O45" s="919"/>
      <c r="P45" s="919"/>
      <c r="Q45" s="912"/>
      <c r="R45" s="912"/>
      <c r="S45" s="912"/>
      <c r="T45" s="912"/>
      <c r="U45" s="912"/>
      <c r="V45" s="912"/>
      <c r="W45" s="912"/>
    </row>
    <row r="46" spans="1:23">
      <c r="A46" s="912"/>
      <c r="B46" s="912"/>
      <c r="C46" s="912"/>
      <c r="D46" s="912"/>
      <c r="E46" s="912"/>
      <c r="F46" s="912"/>
      <c r="G46" s="919"/>
      <c r="H46" s="919"/>
      <c r="I46" s="919"/>
      <c r="J46" s="919"/>
      <c r="K46" s="919"/>
      <c r="L46" s="919"/>
      <c r="M46" s="919"/>
      <c r="N46" s="919"/>
      <c r="O46" s="919"/>
      <c r="P46" s="919"/>
      <c r="Q46" s="912"/>
      <c r="R46" s="912"/>
      <c r="S46" s="912"/>
      <c r="T46" s="912"/>
      <c r="U46" s="912"/>
      <c r="V46" s="912"/>
      <c r="W46" s="912"/>
    </row>
    <row r="47" spans="1:23">
      <c r="A47" s="912"/>
      <c r="B47" s="912"/>
      <c r="C47" s="912"/>
      <c r="D47" s="912"/>
      <c r="E47" s="912"/>
      <c r="F47" s="912"/>
      <c r="G47" s="919"/>
      <c r="H47" s="919"/>
      <c r="I47" s="919"/>
      <c r="J47" s="919"/>
      <c r="K47" s="919"/>
      <c r="L47" s="919"/>
      <c r="M47" s="923"/>
      <c r="N47" s="919"/>
      <c r="O47" s="919"/>
      <c r="P47" s="924"/>
      <c r="Q47" s="924"/>
      <c r="R47" s="912"/>
      <c r="S47" s="912"/>
      <c r="T47" s="912"/>
      <c r="U47" s="912"/>
      <c r="V47" s="912"/>
      <c r="W47" s="912"/>
    </row>
    <row r="48" spans="1:23">
      <c r="A48" s="912"/>
      <c r="B48" s="912"/>
      <c r="C48" s="912"/>
      <c r="D48" s="912"/>
      <c r="E48" s="912"/>
      <c r="F48" s="912"/>
      <c r="G48" s="919"/>
      <c r="H48" s="919"/>
      <c r="I48" s="919"/>
      <c r="J48" s="919"/>
      <c r="K48" s="919"/>
      <c r="L48" s="919"/>
      <c r="M48" s="919"/>
      <c r="N48" s="919"/>
      <c r="O48" s="919"/>
      <c r="P48" s="919"/>
      <c r="Q48" s="912"/>
      <c r="R48" s="912"/>
      <c r="S48" s="912"/>
      <c r="T48" s="912"/>
      <c r="U48" s="912"/>
      <c r="V48" s="912"/>
      <c r="W48" s="912"/>
    </row>
    <row r="49" spans="1:25">
      <c r="A49" s="912"/>
      <c r="B49" s="912"/>
      <c r="C49" s="912"/>
      <c r="D49" s="912"/>
      <c r="E49" s="912"/>
      <c r="F49" s="912"/>
      <c r="G49" s="919"/>
      <c r="H49" s="919"/>
      <c r="I49" s="919"/>
      <c r="J49" s="919"/>
      <c r="K49" s="919"/>
      <c r="L49" s="919"/>
      <c r="M49" s="919"/>
      <c r="N49" s="919"/>
      <c r="O49" s="919"/>
      <c r="P49" s="919"/>
      <c r="Q49" s="912"/>
      <c r="R49" s="912"/>
      <c r="S49" s="912"/>
      <c r="T49" s="912"/>
      <c r="U49" s="912"/>
      <c r="V49" s="912"/>
      <c r="W49" s="912"/>
    </row>
    <row r="50" spans="1:25">
      <c r="A50" s="912"/>
      <c r="B50" s="912"/>
      <c r="C50" s="912"/>
      <c r="D50" s="912"/>
      <c r="E50" s="912"/>
      <c r="F50" s="912"/>
      <c r="G50" s="919"/>
      <c r="H50" s="919"/>
      <c r="I50" s="919"/>
      <c r="J50" s="919"/>
      <c r="K50" s="919"/>
      <c r="L50" s="919"/>
      <c r="M50" s="919"/>
      <c r="N50" s="919"/>
      <c r="O50" s="919"/>
      <c r="P50" s="919"/>
      <c r="Q50" s="912"/>
      <c r="R50" s="912"/>
      <c r="S50" s="912"/>
      <c r="T50" s="912"/>
      <c r="U50" s="912"/>
      <c r="V50" s="912"/>
      <c r="W50" s="912"/>
    </row>
    <row r="51" spans="1:25">
      <c r="A51" s="912"/>
      <c r="B51" s="912"/>
      <c r="C51" s="912"/>
      <c r="D51" s="912"/>
      <c r="E51" s="912"/>
      <c r="F51" s="912"/>
      <c r="G51" s="919"/>
      <c r="H51" s="919"/>
      <c r="I51" s="919"/>
      <c r="J51" s="919"/>
      <c r="K51" s="919"/>
      <c r="L51" s="925"/>
      <c r="M51" s="925"/>
      <c r="N51" s="925"/>
      <c r="O51" s="925"/>
      <c r="P51" s="919"/>
      <c r="Q51" s="919"/>
      <c r="R51" s="919"/>
      <c r="S51" s="919"/>
      <c r="T51" s="919"/>
      <c r="U51" s="919"/>
      <c r="V51" s="919"/>
      <c r="W51" s="919"/>
      <c r="X51" s="896"/>
      <c r="Y51" s="896"/>
    </row>
    <row r="52" spans="1:25">
      <c r="A52" s="912"/>
      <c r="B52" s="912"/>
      <c r="C52" s="912"/>
      <c r="D52" s="912"/>
      <c r="E52" s="912"/>
      <c r="F52" s="912"/>
      <c r="G52" s="919"/>
      <c r="H52" s="919"/>
      <c r="I52" s="919"/>
      <c r="J52" s="919"/>
      <c r="K52" s="919"/>
      <c r="L52" s="919"/>
      <c r="M52" s="919"/>
      <c r="N52" s="919"/>
      <c r="O52" s="919"/>
      <c r="P52" s="919"/>
      <c r="Q52" s="919"/>
      <c r="R52" s="919"/>
      <c r="S52" s="919"/>
      <c r="T52" s="919"/>
      <c r="U52" s="919"/>
      <c r="V52" s="919"/>
      <c r="W52" s="919"/>
      <c r="X52" s="896"/>
      <c r="Y52" s="896"/>
    </row>
    <row r="53" spans="1:25">
      <c r="A53" s="912"/>
      <c r="B53" s="912"/>
      <c r="C53" s="912"/>
      <c r="D53" s="912"/>
      <c r="E53" s="912"/>
      <c r="F53" s="912"/>
      <c r="G53" s="919"/>
      <c r="H53" s="919"/>
      <c r="I53" s="919"/>
      <c r="J53" s="919"/>
      <c r="K53" s="919"/>
      <c r="L53" s="919"/>
      <c r="M53" s="919"/>
      <c r="N53" s="919"/>
      <c r="O53" s="919"/>
      <c r="P53" s="912"/>
      <c r="Q53" s="912"/>
      <c r="R53" s="912"/>
      <c r="S53" s="912"/>
      <c r="T53" s="912"/>
      <c r="U53" s="912"/>
      <c r="V53" s="912"/>
      <c r="W53" s="912"/>
    </row>
    <row r="54" spans="1:25" ht="8.25" customHeight="1">
      <c r="A54" s="912"/>
      <c r="B54" s="912"/>
      <c r="C54" s="912"/>
      <c r="D54" s="912"/>
      <c r="E54" s="912"/>
      <c r="F54" s="912"/>
      <c r="G54" s="912"/>
      <c r="H54" s="912"/>
      <c r="I54" s="912"/>
      <c r="J54" s="912"/>
      <c r="K54" s="912"/>
      <c r="L54" s="912"/>
      <c r="M54" s="912"/>
      <c r="N54" s="912"/>
      <c r="O54" s="912"/>
      <c r="P54" s="912"/>
      <c r="Q54" s="912"/>
      <c r="R54" s="912"/>
      <c r="S54" s="912"/>
      <c r="T54" s="912"/>
      <c r="U54" s="912"/>
      <c r="V54" s="912"/>
      <c r="W54" s="912"/>
    </row>
    <row r="55" spans="1:25" ht="9" customHeight="1">
      <c r="A55" s="912"/>
      <c r="B55" s="912"/>
      <c r="C55" s="912"/>
      <c r="D55" s="912"/>
      <c r="E55" s="912"/>
      <c r="F55" s="912"/>
      <c r="G55" s="912"/>
      <c r="H55" s="912"/>
      <c r="I55" s="912"/>
      <c r="J55" s="912"/>
      <c r="K55" s="912"/>
      <c r="L55" s="912"/>
      <c r="M55" s="912"/>
      <c r="N55" s="912"/>
      <c r="O55" s="912"/>
      <c r="P55" s="912"/>
      <c r="Q55" s="912"/>
      <c r="R55" s="912"/>
      <c r="S55" s="912"/>
      <c r="T55" s="912"/>
      <c r="U55" s="912"/>
      <c r="V55" s="912"/>
      <c r="W55" s="912"/>
    </row>
  </sheetData>
  <sheetProtection algorithmName="SHA-512" hashValue="YjO3dhg8l0xPaHFNdIHbA+/sF0BpG/BkFCmu7J3Cglj9XFMyt6wlRQsrz3PrhkMwg8bQU+YnmJas0d6udAs9sw==" saltValue="2R/QnjI2ZBjv5toX4cSn1g==" spinCount="100000" sheet="1" objects="1" scenarios="1"/>
  <mergeCells count="1">
    <mergeCell ref="L6:Q6"/>
  </mergeCells>
  <printOptions horizontalCentered="1" verticalCentered="1"/>
  <pageMargins left="0" right="0" top="0" bottom="0" header="0" footer="0"/>
  <pageSetup paperSize="9" scale="75" fitToWidth="0" fitToHeight="0"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510977" r:id="rId4" name="Drop Down 1">
              <controlPr defaultSize="0" autoLine="0" autoPict="0">
                <anchor moveWithCells="1">
                  <from>
                    <xdr:col>3</xdr:col>
                    <xdr:colOff>9525</xdr:colOff>
                    <xdr:row>25</xdr:row>
                    <xdr:rowOff>19050</xdr:rowOff>
                  </from>
                  <to>
                    <xdr:col>4</xdr:col>
                    <xdr:colOff>190500</xdr:colOff>
                    <xdr:row>26</xdr:row>
                    <xdr:rowOff>28575</xdr:rowOff>
                  </to>
                </anchor>
              </controlPr>
            </control>
          </mc:Choice>
        </mc:AlternateContent>
        <mc:AlternateContent xmlns:mc="http://schemas.openxmlformats.org/markup-compatibility/2006">
          <mc:Choice Requires="x14">
            <control shapeId="510978" r:id="rId5" name="Drop Down 2">
              <controlPr defaultSize="0" autoLine="0" autoPict="0">
                <anchor moveWithCells="1">
                  <from>
                    <xdr:col>3</xdr:col>
                    <xdr:colOff>295275</xdr:colOff>
                    <xdr:row>2</xdr:row>
                    <xdr:rowOff>171450</xdr:rowOff>
                  </from>
                  <to>
                    <xdr:col>6</xdr:col>
                    <xdr:colOff>371475</xdr:colOff>
                    <xdr:row>3</xdr:row>
                    <xdr:rowOff>171450</xdr:rowOff>
                  </to>
                </anchor>
              </controlPr>
            </control>
          </mc:Choice>
        </mc:AlternateContent>
        <mc:AlternateContent xmlns:mc="http://schemas.openxmlformats.org/markup-compatibility/2006">
          <mc:Choice Requires="x14">
            <control shapeId="510979" r:id="rId6" name="Drop Down 3">
              <controlPr defaultSize="0" autoLine="0" autoPict="0">
                <anchor moveWithCells="1">
                  <from>
                    <xdr:col>11</xdr:col>
                    <xdr:colOff>19050</xdr:colOff>
                    <xdr:row>24</xdr:row>
                    <xdr:rowOff>190500</xdr:rowOff>
                  </from>
                  <to>
                    <xdr:col>12</xdr:col>
                    <xdr:colOff>295275</xdr:colOff>
                    <xdr:row>26</xdr:row>
                    <xdr:rowOff>9525</xdr:rowOff>
                  </to>
                </anchor>
              </controlPr>
            </control>
          </mc:Choice>
        </mc:AlternateContent>
        <mc:AlternateContent xmlns:mc="http://schemas.openxmlformats.org/markup-compatibility/2006">
          <mc:Choice Requires="x14">
            <control shapeId="510980" r:id="rId7" name="Drop Down 4">
              <controlPr defaultSize="0" autoLine="0" autoPict="0">
                <anchor moveWithCells="1">
                  <from>
                    <xdr:col>18</xdr:col>
                    <xdr:colOff>495300</xdr:colOff>
                    <xdr:row>25</xdr:row>
                    <xdr:rowOff>19050</xdr:rowOff>
                  </from>
                  <to>
                    <xdr:col>20</xdr:col>
                    <xdr:colOff>76200</xdr:colOff>
                    <xdr:row>26</xdr:row>
                    <xdr:rowOff>9525</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4">
    <tabColor indexed="26"/>
    <pageSetUpPr fitToPage="1"/>
  </sheetPr>
  <dimension ref="A1:O33"/>
  <sheetViews>
    <sheetView showGridLines="0" zoomScaleNormal="100" workbookViewId="0">
      <selection activeCell="Y70" sqref="Y70"/>
    </sheetView>
  </sheetViews>
  <sheetFormatPr defaultColWidth="9.140625" defaultRowHeight="11.25"/>
  <cols>
    <col min="1" max="1" width="24.28515625" style="129" customWidth="1"/>
    <col min="2" max="2" width="2.140625" style="138" customWidth="1"/>
    <col min="3" max="13" width="6.42578125" style="139" customWidth="1"/>
    <col min="14" max="16384" width="9.140625" style="129"/>
  </cols>
  <sheetData>
    <row r="1" spans="1:15" s="267" customFormat="1" ht="28.5" customHeight="1">
      <c r="A1" s="997" t="s">
        <v>642</v>
      </c>
      <c r="B1" s="997"/>
      <c r="C1" s="997"/>
      <c r="D1" s="997"/>
      <c r="E1" s="997"/>
      <c r="F1" s="997"/>
      <c r="G1" s="997"/>
      <c r="H1" s="997"/>
      <c r="I1" s="997"/>
      <c r="J1" s="997"/>
      <c r="K1" s="997"/>
      <c r="L1" s="997"/>
      <c r="M1" s="997"/>
    </row>
    <row r="2" spans="1:15" s="262" customFormat="1" ht="15" customHeight="1">
      <c r="A2" s="242"/>
      <c r="B2" s="268"/>
      <c r="C2" s="242"/>
      <c r="D2" s="242"/>
      <c r="E2" s="242"/>
      <c r="F2" s="242"/>
      <c r="G2" s="242"/>
      <c r="H2" s="242"/>
      <c r="I2" s="242"/>
      <c r="J2" s="242"/>
      <c r="K2" s="242"/>
      <c r="L2" s="242"/>
      <c r="M2" s="242"/>
    </row>
    <row r="3" spans="1:15" s="262" customFormat="1" ht="15" customHeight="1">
      <c r="A3" s="242" t="s">
        <v>13</v>
      </c>
      <c r="B3" s="268"/>
      <c r="C3" s="223"/>
      <c r="E3" s="223"/>
      <c r="F3" s="223"/>
      <c r="G3" s="223"/>
      <c r="H3" s="306"/>
      <c r="I3" s="223"/>
      <c r="J3" s="308"/>
      <c r="K3" s="360"/>
      <c r="L3" s="360"/>
      <c r="M3" s="360" t="s">
        <v>67</v>
      </c>
    </row>
    <row r="4" spans="1:15" s="262" customFormat="1" ht="28.5" customHeight="1" thickBot="1">
      <c r="A4" s="104"/>
      <c r="B4" s="269"/>
      <c r="C4" s="246">
        <v>2014</v>
      </c>
      <c r="D4" s="246">
        <v>2015</v>
      </c>
      <c r="E4" s="246">
        <v>2016</v>
      </c>
      <c r="F4" s="246">
        <v>2017</v>
      </c>
      <c r="G4" s="246">
        <v>2018</v>
      </c>
      <c r="H4" s="246">
        <v>2019</v>
      </c>
      <c r="I4" s="246">
        <v>2020</v>
      </c>
      <c r="J4" s="246">
        <v>2021</v>
      </c>
      <c r="K4" s="246">
        <v>2022</v>
      </c>
      <c r="L4" s="246">
        <v>2023</v>
      </c>
      <c r="M4" s="246">
        <v>2024</v>
      </c>
    </row>
    <row r="5" spans="1:15" s="262" customFormat="1" ht="20.25" customHeight="1" thickTop="1">
      <c r="A5" s="236" t="s">
        <v>11</v>
      </c>
      <c r="B5" s="373" t="s">
        <v>44</v>
      </c>
      <c r="C5" s="728">
        <v>909.49</v>
      </c>
      <c r="D5" s="728">
        <v>913.93</v>
      </c>
      <c r="E5" s="728">
        <v>924.94</v>
      </c>
      <c r="F5" s="728">
        <v>943</v>
      </c>
      <c r="G5" s="728">
        <v>970.42</v>
      </c>
      <c r="H5" s="728">
        <v>1005.09</v>
      </c>
      <c r="I5" s="728">
        <v>1041.99</v>
      </c>
      <c r="J5" s="728">
        <v>1082.77</v>
      </c>
      <c r="K5" s="728">
        <v>1143.45</v>
      </c>
      <c r="L5" s="728">
        <v>1219.8699999999999</v>
      </c>
      <c r="M5" s="728">
        <v>1308.96</v>
      </c>
    </row>
    <row r="6" spans="1:15" s="262" customFormat="1" ht="15" customHeight="1">
      <c r="A6" s="242"/>
      <c r="B6" s="373" t="s">
        <v>52</v>
      </c>
      <c r="C6" s="729">
        <v>985.02</v>
      </c>
      <c r="D6" s="729">
        <v>990.05</v>
      </c>
      <c r="E6" s="729">
        <v>997.38</v>
      </c>
      <c r="F6" s="729">
        <v>1012.25</v>
      </c>
      <c r="G6" s="729">
        <v>1039.08</v>
      </c>
      <c r="H6" s="729">
        <v>1073.82</v>
      </c>
      <c r="I6" s="729">
        <v>1109.21</v>
      </c>
      <c r="J6" s="729">
        <v>1152.24</v>
      </c>
      <c r="K6" s="729">
        <v>1217.33</v>
      </c>
      <c r="L6" s="729">
        <v>1294.03</v>
      </c>
      <c r="M6" s="729">
        <v>1383.38</v>
      </c>
    </row>
    <row r="7" spans="1:15" s="262" customFormat="1" ht="15" customHeight="1">
      <c r="A7" s="242"/>
      <c r="B7" s="373" t="s">
        <v>53</v>
      </c>
      <c r="C7" s="729">
        <v>820.25</v>
      </c>
      <c r="D7" s="729">
        <v>824.99</v>
      </c>
      <c r="E7" s="729">
        <v>840.26</v>
      </c>
      <c r="F7" s="729">
        <v>861.17</v>
      </c>
      <c r="G7" s="729">
        <v>888.56</v>
      </c>
      <c r="H7" s="729">
        <v>922.63</v>
      </c>
      <c r="I7" s="729">
        <v>960.27</v>
      </c>
      <c r="J7" s="729">
        <v>999.33</v>
      </c>
      <c r="K7" s="729">
        <v>1054.3599999999999</v>
      </c>
      <c r="L7" s="729">
        <v>1129.6400000000001</v>
      </c>
      <c r="M7" s="729">
        <v>1216.8499999999999</v>
      </c>
    </row>
    <row r="8" spans="1:15" s="262" customFormat="1" ht="20.25" customHeight="1">
      <c r="A8" s="242" t="s">
        <v>47</v>
      </c>
      <c r="B8" s="373" t="s">
        <v>44</v>
      </c>
      <c r="C8" s="730">
        <v>2040.59</v>
      </c>
      <c r="D8" s="730">
        <v>2042.63</v>
      </c>
      <c r="E8" s="730">
        <v>2042.11</v>
      </c>
      <c r="F8" s="730">
        <v>2057.33</v>
      </c>
      <c r="G8" s="730">
        <v>2079.73</v>
      </c>
      <c r="H8" s="730">
        <v>2104.34</v>
      </c>
      <c r="I8" s="730">
        <v>2116.66</v>
      </c>
      <c r="J8" s="730">
        <v>2148.96</v>
      </c>
      <c r="K8" s="730">
        <v>2260.27</v>
      </c>
      <c r="L8" s="730">
        <v>2373.94</v>
      </c>
      <c r="M8" s="730">
        <v>2526.42</v>
      </c>
      <c r="O8" s="287"/>
    </row>
    <row r="9" spans="1:15" s="237" customFormat="1" ht="15" customHeight="1">
      <c r="A9" s="245"/>
      <c r="B9" s="374" t="s">
        <v>52</v>
      </c>
      <c r="C9" s="731">
        <v>2309.1799999999998</v>
      </c>
      <c r="D9" s="731">
        <v>2316.87</v>
      </c>
      <c r="E9" s="731">
        <v>2318.81</v>
      </c>
      <c r="F9" s="731">
        <v>2339.4699999999998</v>
      </c>
      <c r="G9" s="731">
        <v>2364.11</v>
      </c>
      <c r="H9" s="731">
        <v>2384.6799999999998</v>
      </c>
      <c r="I9" s="731">
        <v>2391.21</v>
      </c>
      <c r="J9" s="731">
        <v>2428.31</v>
      </c>
      <c r="K9" s="731">
        <v>2558.3000000000002</v>
      </c>
      <c r="L9" s="731">
        <v>2702.18</v>
      </c>
      <c r="M9" s="731">
        <v>2865.98</v>
      </c>
      <c r="O9" s="287"/>
    </row>
    <row r="10" spans="1:15" s="237" customFormat="1" ht="15" customHeight="1">
      <c r="A10" s="245"/>
      <c r="B10" s="374" t="s">
        <v>53</v>
      </c>
      <c r="C10" s="731">
        <v>1702.62</v>
      </c>
      <c r="D10" s="731">
        <v>1705.89</v>
      </c>
      <c r="E10" s="731">
        <v>1710.84</v>
      </c>
      <c r="F10" s="731">
        <v>1722.33</v>
      </c>
      <c r="G10" s="731">
        <v>1746.3</v>
      </c>
      <c r="H10" s="731">
        <v>1777.19</v>
      </c>
      <c r="I10" s="731">
        <v>1799.18</v>
      </c>
      <c r="J10" s="731">
        <v>1832.68</v>
      </c>
      <c r="K10" s="731">
        <v>1914.19</v>
      </c>
      <c r="L10" s="731">
        <v>1999.71</v>
      </c>
      <c r="M10" s="731">
        <v>2136.92</v>
      </c>
      <c r="O10" s="287"/>
    </row>
    <row r="11" spans="1:15" s="262" customFormat="1" ht="20.25" customHeight="1">
      <c r="A11" s="242" t="s">
        <v>48</v>
      </c>
      <c r="B11" s="373" t="s">
        <v>44</v>
      </c>
      <c r="C11" s="730">
        <v>1411.9</v>
      </c>
      <c r="D11" s="730">
        <v>1422.35</v>
      </c>
      <c r="E11" s="730">
        <v>1428.87</v>
      </c>
      <c r="F11" s="730">
        <v>1439.33</v>
      </c>
      <c r="G11" s="730">
        <v>1460.73</v>
      </c>
      <c r="H11" s="730">
        <v>1484.6</v>
      </c>
      <c r="I11" s="730">
        <v>1490.62</v>
      </c>
      <c r="J11" s="730">
        <v>1519.56</v>
      </c>
      <c r="K11" s="730">
        <v>1620.26</v>
      </c>
      <c r="L11" s="730">
        <v>1735.82</v>
      </c>
      <c r="M11" s="730">
        <v>1819.65</v>
      </c>
      <c r="O11" s="287"/>
    </row>
    <row r="12" spans="1:15" s="237" customFormat="1" ht="15" customHeight="1">
      <c r="A12" s="245"/>
      <c r="B12" s="374" t="s">
        <v>52</v>
      </c>
      <c r="C12" s="731">
        <v>1510.77</v>
      </c>
      <c r="D12" s="731">
        <v>1523.32</v>
      </c>
      <c r="E12" s="731">
        <v>1525.48</v>
      </c>
      <c r="F12" s="731">
        <v>1538.7</v>
      </c>
      <c r="G12" s="731">
        <v>1560.48</v>
      </c>
      <c r="H12" s="731">
        <v>1591.61</v>
      </c>
      <c r="I12" s="731">
        <v>1597.2</v>
      </c>
      <c r="J12" s="731">
        <v>1632.07</v>
      </c>
      <c r="K12" s="731">
        <v>1748.11</v>
      </c>
      <c r="L12" s="731">
        <v>1872.23</v>
      </c>
      <c r="M12" s="731">
        <v>1964.59</v>
      </c>
      <c r="O12" s="287"/>
    </row>
    <row r="13" spans="1:15" s="237" customFormat="1" ht="15" customHeight="1">
      <c r="A13" s="245"/>
      <c r="B13" s="374" t="s">
        <v>53</v>
      </c>
      <c r="C13" s="731">
        <v>1300.3499999999999</v>
      </c>
      <c r="D13" s="731">
        <v>1311.12</v>
      </c>
      <c r="E13" s="731">
        <v>1323.46</v>
      </c>
      <c r="F13" s="731">
        <v>1330.76</v>
      </c>
      <c r="G13" s="731">
        <v>1351.69</v>
      </c>
      <c r="H13" s="731">
        <v>1371.16</v>
      </c>
      <c r="I13" s="731">
        <v>1377.46</v>
      </c>
      <c r="J13" s="731">
        <v>1399.77</v>
      </c>
      <c r="K13" s="731">
        <v>1481.46</v>
      </c>
      <c r="L13" s="731">
        <v>1585.82</v>
      </c>
      <c r="M13" s="731">
        <v>1658.94</v>
      </c>
      <c r="O13" s="287"/>
    </row>
    <row r="14" spans="1:15" s="262" customFormat="1" ht="20.25" customHeight="1">
      <c r="A14" s="242" t="s">
        <v>69</v>
      </c>
      <c r="B14" s="373" t="s">
        <v>44</v>
      </c>
      <c r="C14" s="730">
        <v>1286.72</v>
      </c>
      <c r="D14" s="730">
        <v>1298.54</v>
      </c>
      <c r="E14" s="730">
        <v>1318.37</v>
      </c>
      <c r="F14" s="730">
        <v>1335.53</v>
      </c>
      <c r="G14" s="730">
        <v>1356.05</v>
      </c>
      <c r="H14" s="730">
        <v>1405.33</v>
      </c>
      <c r="I14" s="730">
        <v>1444.54</v>
      </c>
      <c r="J14" s="730">
        <v>1489.21</v>
      </c>
      <c r="K14" s="730">
        <v>1561.37</v>
      </c>
      <c r="L14" s="730">
        <v>1651.96</v>
      </c>
      <c r="M14" s="730">
        <v>1789.03</v>
      </c>
      <c r="O14" s="287"/>
    </row>
    <row r="15" spans="1:15" s="237" customFormat="1" ht="15" customHeight="1">
      <c r="A15" s="245"/>
      <c r="B15" s="374" t="s">
        <v>52</v>
      </c>
      <c r="C15" s="731">
        <v>1324.49</v>
      </c>
      <c r="D15" s="731">
        <v>1337.21</v>
      </c>
      <c r="E15" s="731">
        <v>1360.2</v>
      </c>
      <c r="F15" s="731">
        <v>1373.74</v>
      </c>
      <c r="G15" s="731">
        <v>1400.55</v>
      </c>
      <c r="H15" s="731">
        <v>1449.64</v>
      </c>
      <c r="I15" s="731">
        <v>1490.41</v>
      </c>
      <c r="J15" s="731">
        <v>1535.87</v>
      </c>
      <c r="K15" s="731">
        <v>1609.69</v>
      </c>
      <c r="L15" s="731">
        <v>1701.91</v>
      </c>
      <c r="M15" s="731">
        <v>1828.64</v>
      </c>
      <c r="O15" s="287"/>
    </row>
    <row r="16" spans="1:15" s="237" customFormat="1" ht="15" customHeight="1">
      <c r="A16" s="245"/>
      <c r="B16" s="374" t="s">
        <v>53</v>
      </c>
      <c r="C16" s="731">
        <v>1219.03</v>
      </c>
      <c r="D16" s="731">
        <v>1230.75</v>
      </c>
      <c r="E16" s="731">
        <v>1247.82</v>
      </c>
      <c r="F16" s="731">
        <v>1272.5999999999999</v>
      </c>
      <c r="G16" s="731">
        <v>1283.8699999999999</v>
      </c>
      <c r="H16" s="731">
        <v>1330.71</v>
      </c>
      <c r="I16" s="731">
        <v>1366.73</v>
      </c>
      <c r="J16" s="731">
        <v>1411.97</v>
      </c>
      <c r="K16" s="731">
        <v>1484.75</v>
      </c>
      <c r="L16" s="731">
        <v>1574.82</v>
      </c>
      <c r="M16" s="731">
        <v>1725.98</v>
      </c>
      <c r="O16" s="287"/>
    </row>
    <row r="17" spans="1:15" s="262" customFormat="1" ht="20.25" customHeight="1">
      <c r="A17" s="242" t="s">
        <v>68</v>
      </c>
      <c r="B17" s="373" t="s">
        <v>44</v>
      </c>
      <c r="C17" s="730">
        <v>1139.3499999999999</v>
      </c>
      <c r="D17" s="730">
        <v>1149.42</v>
      </c>
      <c r="E17" s="730">
        <v>1144.23</v>
      </c>
      <c r="F17" s="730">
        <v>1150.46</v>
      </c>
      <c r="G17" s="730">
        <v>1170.1199999999999</v>
      </c>
      <c r="H17" s="730">
        <v>1165.3699999999999</v>
      </c>
      <c r="I17" s="730">
        <v>1182.19</v>
      </c>
      <c r="J17" s="730">
        <v>1197.56</v>
      </c>
      <c r="K17" s="730">
        <v>1245.69</v>
      </c>
      <c r="L17" s="730">
        <v>1334.45</v>
      </c>
      <c r="M17" s="730">
        <v>1412.04</v>
      </c>
      <c r="O17" s="287"/>
    </row>
    <row r="18" spans="1:15" s="237" customFormat="1" ht="15" customHeight="1">
      <c r="A18" s="245"/>
      <c r="B18" s="374" t="s">
        <v>52</v>
      </c>
      <c r="C18" s="731">
        <v>1228.08</v>
      </c>
      <c r="D18" s="731">
        <v>1255.19</v>
      </c>
      <c r="E18" s="731">
        <v>1253.52</v>
      </c>
      <c r="F18" s="731">
        <v>1259.5999999999999</v>
      </c>
      <c r="G18" s="731">
        <v>1281.42</v>
      </c>
      <c r="H18" s="731">
        <v>1260.44</v>
      </c>
      <c r="I18" s="731">
        <v>1284.72</v>
      </c>
      <c r="J18" s="731">
        <v>1304.53</v>
      </c>
      <c r="K18" s="731">
        <v>1348.41</v>
      </c>
      <c r="L18" s="731">
        <v>1437.35</v>
      </c>
      <c r="M18" s="731">
        <v>1516.81</v>
      </c>
      <c r="O18" s="287"/>
    </row>
    <row r="19" spans="1:15" s="237" customFormat="1" ht="15" customHeight="1">
      <c r="A19" s="245"/>
      <c r="B19" s="374" t="s">
        <v>53</v>
      </c>
      <c r="C19" s="731">
        <v>1046.44</v>
      </c>
      <c r="D19" s="731">
        <v>1041.9100000000001</v>
      </c>
      <c r="E19" s="731">
        <v>1033.3499999999999</v>
      </c>
      <c r="F19" s="731">
        <v>1038.5</v>
      </c>
      <c r="G19" s="731">
        <v>1056.81</v>
      </c>
      <c r="H19" s="731">
        <v>1066</v>
      </c>
      <c r="I19" s="731">
        <v>1075.79</v>
      </c>
      <c r="J19" s="731">
        <v>1089.94</v>
      </c>
      <c r="K19" s="731">
        <v>1138.8</v>
      </c>
      <c r="L19" s="731">
        <v>1225.3</v>
      </c>
      <c r="M19" s="731">
        <v>1299.2</v>
      </c>
      <c r="O19" s="287"/>
    </row>
    <row r="20" spans="1:15" s="262" customFormat="1" ht="20.25" customHeight="1">
      <c r="A20" s="242" t="s">
        <v>49</v>
      </c>
      <c r="B20" s="373" t="s">
        <v>44</v>
      </c>
      <c r="C20" s="730">
        <v>725.06</v>
      </c>
      <c r="D20" s="730">
        <v>729.84</v>
      </c>
      <c r="E20" s="730">
        <v>737.74</v>
      </c>
      <c r="F20" s="730">
        <v>742.75</v>
      </c>
      <c r="G20" s="730">
        <v>765.76</v>
      </c>
      <c r="H20" s="730">
        <v>809.49</v>
      </c>
      <c r="I20" s="730">
        <v>837.73</v>
      </c>
      <c r="J20" s="730">
        <v>867.55</v>
      </c>
      <c r="K20" s="730">
        <v>914.26</v>
      </c>
      <c r="L20" s="730">
        <v>976.9</v>
      </c>
      <c r="M20" s="730">
        <v>1055.9100000000001</v>
      </c>
      <c r="O20" s="287"/>
    </row>
    <row r="21" spans="1:15" s="237" customFormat="1" ht="15" customHeight="1">
      <c r="A21" s="245"/>
      <c r="B21" s="374" t="s">
        <v>52</v>
      </c>
      <c r="C21" s="731">
        <v>755.75</v>
      </c>
      <c r="D21" s="731">
        <v>762.14</v>
      </c>
      <c r="E21" s="731">
        <v>768.86</v>
      </c>
      <c r="F21" s="731">
        <v>774.33</v>
      </c>
      <c r="G21" s="731">
        <v>798.21</v>
      </c>
      <c r="H21" s="731">
        <v>840.48</v>
      </c>
      <c r="I21" s="731">
        <v>866.46</v>
      </c>
      <c r="J21" s="731">
        <v>897.9</v>
      </c>
      <c r="K21" s="731">
        <v>944.17</v>
      </c>
      <c r="L21" s="731">
        <v>1006.52</v>
      </c>
      <c r="M21" s="731">
        <v>1083.82</v>
      </c>
      <c r="O21" s="287"/>
    </row>
    <row r="22" spans="1:15" s="237" customFormat="1" ht="15" customHeight="1">
      <c r="A22" s="245"/>
      <c r="B22" s="374" t="s">
        <v>53</v>
      </c>
      <c r="C22" s="731">
        <v>680.56</v>
      </c>
      <c r="D22" s="731">
        <v>682.7</v>
      </c>
      <c r="E22" s="731">
        <v>692.64</v>
      </c>
      <c r="F22" s="731">
        <v>698.75</v>
      </c>
      <c r="G22" s="731">
        <v>720.02</v>
      </c>
      <c r="H22" s="731">
        <v>764.19</v>
      </c>
      <c r="I22" s="731">
        <v>794.98</v>
      </c>
      <c r="J22" s="731">
        <v>823.41</v>
      </c>
      <c r="K22" s="731">
        <v>871.09</v>
      </c>
      <c r="L22" s="731">
        <v>933.93</v>
      </c>
      <c r="M22" s="731">
        <v>1014.54</v>
      </c>
      <c r="O22" s="287"/>
    </row>
    <row r="23" spans="1:15" s="262" customFormat="1" ht="20.25" customHeight="1">
      <c r="A23" s="242" t="s">
        <v>70</v>
      </c>
      <c r="B23" s="373" t="s">
        <v>44</v>
      </c>
      <c r="C23" s="730">
        <v>599.25</v>
      </c>
      <c r="D23" s="730">
        <v>599.55999999999995</v>
      </c>
      <c r="E23" s="730">
        <v>613.83000000000004</v>
      </c>
      <c r="F23" s="730">
        <v>645.88</v>
      </c>
      <c r="G23" s="730">
        <v>669.7</v>
      </c>
      <c r="H23" s="730">
        <v>697.76</v>
      </c>
      <c r="I23" s="730">
        <v>724.7</v>
      </c>
      <c r="J23" s="730">
        <v>762.49</v>
      </c>
      <c r="K23" s="730">
        <v>805.44</v>
      </c>
      <c r="L23" s="730">
        <v>852.76</v>
      </c>
      <c r="M23" s="730">
        <v>911.18</v>
      </c>
      <c r="O23" s="287"/>
    </row>
    <row r="24" spans="1:15" s="237" customFormat="1" ht="15" customHeight="1">
      <c r="A24" s="245"/>
      <c r="B24" s="374" t="s">
        <v>52</v>
      </c>
      <c r="C24" s="731">
        <v>640.07000000000005</v>
      </c>
      <c r="D24" s="731">
        <v>635.4</v>
      </c>
      <c r="E24" s="731">
        <v>647.95000000000005</v>
      </c>
      <c r="F24" s="731">
        <v>682.16</v>
      </c>
      <c r="G24" s="731">
        <v>706.7</v>
      </c>
      <c r="H24" s="731">
        <v>739.94</v>
      </c>
      <c r="I24" s="731">
        <v>766.71</v>
      </c>
      <c r="J24" s="731">
        <v>807.22</v>
      </c>
      <c r="K24" s="731">
        <v>851.03</v>
      </c>
      <c r="L24" s="731">
        <v>890.82</v>
      </c>
      <c r="M24" s="731">
        <v>945.97</v>
      </c>
      <c r="O24" s="287"/>
    </row>
    <row r="25" spans="1:15" s="237" customFormat="1" ht="15" customHeight="1">
      <c r="A25" s="245"/>
      <c r="B25" s="374" t="s">
        <v>53</v>
      </c>
      <c r="C25" s="731">
        <v>566.28</v>
      </c>
      <c r="D25" s="731">
        <v>571.28</v>
      </c>
      <c r="E25" s="731">
        <v>586.14</v>
      </c>
      <c r="F25" s="731">
        <v>614.77</v>
      </c>
      <c r="G25" s="731">
        <v>637.49</v>
      </c>
      <c r="H25" s="731">
        <v>662.35</v>
      </c>
      <c r="I25" s="731">
        <v>688.8</v>
      </c>
      <c r="J25" s="731">
        <v>724.31</v>
      </c>
      <c r="K25" s="731">
        <v>766.5</v>
      </c>
      <c r="L25" s="731">
        <v>820.02</v>
      </c>
      <c r="M25" s="731">
        <v>880.36</v>
      </c>
      <c r="O25" s="287"/>
    </row>
    <row r="26" spans="1:15" s="262" customFormat="1" ht="20.25" customHeight="1">
      <c r="A26" s="242" t="s">
        <v>50</v>
      </c>
      <c r="B26" s="373" t="s">
        <v>44</v>
      </c>
      <c r="C26" s="730">
        <v>566.11</v>
      </c>
      <c r="D26" s="730">
        <v>567.04</v>
      </c>
      <c r="E26" s="730">
        <v>583.67999999999995</v>
      </c>
      <c r="F26" s="730">
        <v>606.53</v>
      </c>
      <c r="G26" s="730">
        <v>627.78</v>
      </c>
      <c r="H26" s="730">
        <v>646.65</v>
      </c>
      <c r="I26" s="730">
        <v>680.49</v>
      </c>
      <c r="J26" s="730">
        <v>710.22</v>
      </c>
      <c r="K26" s="730">
        <v>746.19</v>
      </c>
      <c r="L26" s="730">
        <v>805.63</v>
      </c>
      <c r="M26" s="730">
        <v>862.05</v>
      </c>
      <c r="O26" s="287"/>
    </row>
    <row r="27" spans="1:15" s="237" customFormat="1" ht="15" customHeight="1">
      <c r="A27" s="245"/>
      <c r="B27" s="374" t="s">
        <v>52</v>
      </c>
      <c r="C27" s="731">
        <v>597.67999999999995</v>
      </c>
      <c r="D27" s="731">
        <v>598.42999999999995</v>
      </c>
      <c r="E27" s="731">
        <v>610.32000000000005</v>
      </c>
      <c r="F27" s="731">
        <v>629.11</v>
      </c>
      <c r="G27" s="731">
        <v>648.84</v>
      </c>
      <c r="H27" s="731">
        <v>667.65</v>
      </c>
      <c r="I27" s="731">
        <v>702.96</v>
      </c>
      <c r="J27" s="731">
        <v>730.65</v>
      </c>
      <c r="K27" s="731">
        <v>762.66</v>
      </c>
      <c r="L27" s="731">
        <v>820.99</v>
      </c>
      <c r="M27" s="731">
        <v>876.05</v>
      </c>
      <c r="O27" s="287"/>
    </row>
    <row r="28" spans="1:15" s="237" customFormat="1" ht="15" customHeight="1">
      <c r="A28" s="245"/>
      <c r="B28" s="374" t="s">
        <v>53</v>
      </c>
      <c r="C28" s="731">
        <v>534.14</v>
      </c>
      <c r="D28" s="731">
        <v>535.83000000000004</v>
      </c>
      <c r="E28" s="731">
        <v>556.63</v>
      </c>
      <c r="F28" s="731">
        <v>581.58000000000004</v>
      </c>
      <c r="G28" s="731">
        <v>604.03</v>
      </c>
      <c r="H28" s="731">
        <v>622.26</v>
      </c>
      <c r="I28" s="731">
        <v>653.70000000000005</v>
      </c>
      <c r="J28" s="731">
        <v>685.46</v>
      </c>
      <c r="K28" s="731">
        <v>725.85</v>
      </c>
      <c r="L28" s="731">
        <v>785.16</v>
      </c>
      <c r="M28" s="731">
        <v>842.94</v>
      </c>
      <c r="O28" s="287"/>
    </row>
    <row r="29" spans="1:15" s="262" customFormat="1" ht="20.25" customHeight="1">
      <c r="A29" s="242" t="s">
        <v>51</v>
      </c>
      <c r="B29" s="373" t="s">
        <v>44</v>
      </c>
      <c r="C29" s="730">
        <v>562.79</v>
      </c>
      <c r="D29" s="730">
        <v>563.92999999999995</v>
      </c>
      <c r="E29" s="730">
        <v>580.29999999999995</v>
      </c>
      <c r="F29" s="730">
        <v>605.47</v>
      </c>
      <c r="G29" s="730">
        <v>632.38</v>
      </c>
      <c r="H29" s="730">
        <v>656.07</v>
      </c>
      <c r="I29" s="730">
        <v>688.77</v>
      </c>
      <c r="J29" s="730">
        <v>722.49</v>
      </c>
      <c r="K29" s="730">
        <v>764.34</v>
      </c>
      <c r="L29" s="730">
        <v>824.83</v>
      </c>
      <c r="M29" s="730">
        <v>884.68</v>
      </c>
      <c r="O29" s="287"/>
    </row>
    <row r="30" spans="1:15" s="237" customFormat="1" ht="15" customHeight="1">
      <c r="A30" s="245"/>
      <c r="B30" s="374" t="s">
        <v>52</v>
      </c>
      <c r="C30" s="731">
        <v>576.71</v>
      </c>
      <c r="D30" s="731">
        <v>577.57000000000005</v>
      </c>
      <c r="E30" s="731">
        <v>591.55999999999995</v>
      </c>
      <c r="F30" s="731">
        <v>616.5</v>
      </c>
      <c r="G30" s="731">
        <v>643.97</v>
      </c>
      <c r="H30" s="731">
        <v>668.26</v>
      </c>
      <c r="I30" s="731">
        <v>700.41</v>
      </c>
      <c r="J30" s="731">
        <v>734</v>
      </c>
      <c r="K30" s="731">
        <v>775.21</v>
      </c>
      <c r="L30" s="731">
        <v>832.8</v>
      </c>
      <c r="M30" s="731">
        <v>891.14</v>
      </c>
      <c r="O30" s="287"/>
    </row>
    <row r="31" spans="1:15" s="237" customFormat="1" ht="15" customHeight="1">
      <c r="A31" s="271"/>
      <c r="B31" s="272" t="s">
        <v>53</v>
      </c>
      <c r="C31" s="732">
        <v>548.47</v>
      </c>
      <c r="D31" s="732">
        <v>549.49</v>
      </c>
      <c r="E31" s="732">
        <v>567.96</v>
      </c>
      <c r="F31" s="732">
        <v>593.07000000000005</v>
      </c>
      <c r="G31" s="732">
        <v>619.01</v>
      </c>
      <c r="H31" s="732">
        <v>640.91</v>
      </c>
      <c r="I31" s="732">
        <v>672.36</v>
      </c>
      <c r="J31" s="732">
        <v>706.34</v>
      </c>
      <c r="K31" s="732">
        <v>749.2</v>
      </c>
      <c r="L31" s="732">
        <v>812.84</v>
      </c>
      <c r="M31" s="732">
        <v>874.36</v>
      </c>
      <c r="O31" s="287"/>
    </row>
    <row r="32" spans="1:15" s="262" customFormat="1" ht="15" customHeight="1">
      <c r="A32" s="19" t="s">
        <v>769</v>
      </c>
      <c r="B32" s="268"/>
      <c r="C32" s="270"/>
      <c r="D32" s="270"/>
      <c r="E32" s="270"/>
      <c r="F32" s="270"/>
      <c r="G32" s="270"/>
      <c r="H32" s="270"/>
      <c r="I32" s="270"/>
      <c r="J32" s="270"/>
      <c r="K32" s="270"/>
      <c r="L32" s="270"/>
      <c r="M32" s="270"/>
    </row>
    <row r="33" spans="1:13" s="262" customFormat="1" ht="15.75" customHeight="1">
      <c r="A33" s="955" t="s">
        <v>3</v>
      </c>
      <c r="B33" s="955"/>
      <c r="C33" s="955"/>
      <c r="D33" s="955"/>
      <c r="E33" s="955"/>
      <c r="F33" s="955"/>
      <c r="G33" s="955"/>
      <c r="H33" s="955"/>
      <c r="I33" s="955"/>
      <c r="J33" s="955"/>
      <c r="K33" s="955"/>
      <c r="L33" s="955"/>
      <c r="M33" s="955"/>
    </row>
  </sheetData>
  <mergeCells count="2">
    <mergeCell ref="A1:M1"/>
    <mergeCell ref="A33:M33"/>
  </mergeCells>
  <conditionalFormatting sqref="E3 A1 A33 A2:E2 A3:C3 B32:E32 A4:E4 A34:E1048576 A5:F31 N1:XFD1048576">
    <cfRule type="cellIs" dxfId="829" priority="51" operator="equal">
      <formula>0</formula>
    </cfRule>
  </conditionalFormatting>
  <conditionalFormatting sqref="F32 F2:F4 F34:F1048576">
    <cfRule type="cellIs" dxfId="828" priority="49" operator="equal">
      <formula>0</formula>
    </cfRule>
  </conditionalFormatting>
  <conditionalFormatting sqref="I32 I2:I3 I34:I1048576">
    <cfRule type="cellIs" dxfId="827" priority="48" operator="equal">
      <formula>0</formula>
    </cfRule>
  </conditionalFormatting>
  <conditionalFormatting sqref="G5:I31">
    <cfRule type="cellIs" dxfId="826" priority="47" operator="equal">
      <formula>0</formula>
    </cfRule>
  </conditionalFormatting>
  <conditionalFormatting sqref="G32 G2:G4 G34:G1048576 H4:I4">
    <cfRule type="cellIs" dxfId="825" priority="46" operator="equal">
      <formula>0</formula>
    </cfRule>
  </conditionalFormatting>
  <conditionalFormatting sqref="H32 H2:H3 H34:H1048576">
    <cfRule type="cellIs" dxfId="824" priority="41" operator="equal">
      <formula>0</formula>
    </cfRule>
  </conditionalFormatting>
  <conditionalFormatting sqref="J32 J2:J3 J34:J1048576">
    <cfRule type="cellIs" dxfId="823" priority="37" operator="equal">
      <formula>0</formula>
    </cfRule>
  </conditionalFormatting>
  <conditionalFormatting sqref="J5:J31">
    <cfRule type="cellIs" dxfId="822" priority="36" operator="equal">
      <formula>0</formula>
    </cfRule>
  </conditionalFormatting>
  <conditionalFormatting sqref="J4">
    <cfRule type="cellIs" dxfId="821" priority="35" operator="equal">
      <formula>0</formula>
    </cfRule>
  </conditionalFormatting>
  <conditionalFormatting sqref="K32 K2:K3 K34:K1048576">
    <cfRule type="cellIs" dxfId="820" priority="34" operator="equal">
      <formula>0</formula>
    </cfRule>
  </conditionalFormatting>
  <conditionalFormatting sqref="K5:K31">
    <cfRule type="cellIs" dxfId="819" priority="33" operator="equal">
      <formula>0</formula>
    </cfRule>
  </conditionalFormatting>
  <conditionalFormatting sqref="K4">
    <cfRule type="cellIs" dxfId="818" priority="32" operator="equal">
      <formula>0</formula>
    </cfRule>
  </conditionalFormatting>
  <conditionalFormatting sqref="L32 L2:L3 L34:L1048576">
    <cfRule type="cellIs" dxfId="817" priority="17" operator="equal">
      <formula>0</formula>
    </cfRule>
  </conditionalFormatting>
  <conditionalFormatting sqref="L5:L31">
    <cfRule type="cellIs" dxfId="816" priority="16" operator="equal">
      <formula>0</formula>
    </cfRule>
  </conditionalFormatting>
  <conditionalFormatting sqref="L4">
    <cfRule type="cellIs" dxfId="815" priority="15" operator="equal">
      <formula>0</formula>
    </cfRule>
  </conditionalFormatting>
  <conditionalFormatting sqref="M32 M2:M3 M34:M1048576">
    <cfRule type="cellIs" dxfId="814" priority="4" operator="equal">
      <formula>0</formula>
    </cfRule>
  </conditionalFormatting>
  <conditionalFormatting sqref="M5:M31">
    <cfRule type="cellIs" dxfId="813" priority="3" operator="equal">
      <formula>0</formula>
    </cfRule>
  </conditionalFormatting>
  <conditionalFormatting sqref="M4">
    <cfRule type="cellIs" dxfId="812" priority="2" operator="equal">
      <formula>0</formula>
    </cfRule>
  </conditionalFormatting>
  <conditionalFormatting sqref="A32">
    <cfRule type="cellIs" dxfId="811"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5A00D-45CC-4EE0-9886-6F9AD21A2CEF}">
  <sheetPr>
    <tabColor indexed="26"/>
  </sheetPr>
  <dimension ref="A1:BF78"/>
  <sheetViews>
    <sheetView showGridLines="0" zoomScaleNormal="100" workbookViewId="0">
      <selection activeCell="Y70" sqref="Y70"/>
    </sheetView>
  </sheetViews>
  <sheetFormatPr defaultColWidth="9.140625" defaultRowHeight="11.25"/>
  <cols>
    <col min="1" max="1" width="27" style="596" customWidth="1"/>
    <col min="2" max="2" width="2.140625" style="614" customWidth="1"/>
    <col min="3" max="13" width="8.140625" style="748" customWidth="1"/>
    <col min="14" max="15" width="9.140625" style="596"/>
    <col min="16" max="50" width="9.140625" style="749"/>
    <col min="51" max="16384" width="9.140625" style="596"/>
  </cols>
  <sheetData>
    <row r="1" spans="1:58" s="267" customFormat="1" ht="31.5" customHeight="1">
      <c r="A1" s="998" t="s">
        <v>786</v>
      </c>
      <c r="B1" s="998"/>
      <c r="C1" s="998"/>
      <c r="D1" s="998"/>
      <c r="E1" s="998"/>
      <c r="F1" s="998"/>
      <c r="G1" s="998"/>
      <c r="H1" s="998"/>
      <c r="I1" s="998"/>
      <c r="J1" s="998"/>
      <c r="K1" s="998"/>
      <c r="L1" s="998"/>
      <c r="M1" s="998"/>
      <c r="P1" s="733"/>
      <c r="Q1" s="675"/>
      <c r="R1" s="673"/>
      <c r="S1" s="673"/>
      <c r="T1" s="673"/>
      <c r="U1" s="673"/>
      <c r="V1" s="691"/>
      <c r="W1" s="673"/>
      <c r="X1" s="673"/>
      <c r="Y1" s="673"/>
      <c r="Z1" s="673"/>
      <c r="AA1" s="673"/>
      <c r="AB1" s="673"/>
      <c r="AC1" s="733"/>
      <c r="AD1" s="733"/>
      <c r="AE1" s="733"/>
      <c r="AF1" s="733"/>
      <c r="AG1" s="733"/>
      <c r="AH1" s="733"/>
      <c r="AI1" s="733"/>
      <c r="AJ1" s="733"/>
      <c r="AK1" s="733"/>
      <c r="AL1" s="733"/>
      <c r="AM1" s="733"/>
      <c r="AN1" s="733"/>
      <c r="AO1" s="733"/>
      <c r="AP1" s="733"/>
      <c r="AQ1" s="733"/>
      <c r="AR1" s="733"/>
      <c r="AS1" s="733"/>
      <c r="AT1" s="733"/>
      <c r="AU1" s="733"/>
      <c r="AV1" s="733"/>
      <c r="AW1" s="733"/>
      <c r="AX1" s="733"/>
    </row>
    <row r="2" spans="1:58" s="262" customFormat="1" ht="15" customHeight="1">
      <c r="A2" s="242"/>
      <c r="B2" s="268"/>
      <c r="C2" s="242"/>
      <c r="D2" s="242"/>
      <c r="E2" s="242"/>
      <c r="F2" s="242"/>
      <c r="G2" s="242"/>
      <c r="H2" s="242"/>
      <c r="I2" s="242"/>
      <c r="J2" s="242"/>
      <c r="K2" s="242"/>
      <c r="L2" s="242"/>
      <c r="M2" s="242"/>
      <c r="P2" s="734"/>
      <c r="Q2" s="677"/>
      <c r="R2" s="677"/>
      <c r="S2" s="677"/>
      <c r="T2" s="677"/>
      <c r="U2" s="677"/>
      <c r="V2" s="677"/>
      <c r="W2" s="677"/>
      <c r="X2" s="677"/>
      <c r="Y2" s="677"/>
      <c r="Z2" s="677"/>
      <c r="AA2" s="677"/>
      <c r="AB2" s="677"/>
      <c r="AC2" s="734"/>
      <c r="AD2" s="693"/>
      <c r="AE2" s="693"/>
      <c r="AF2" s="693"/>
      <c r="AG2" s="693"/>
      <c r="AH2" s="693"/>
      <c r="AI2" s="693"/>
      <c r="AJ2" s="693"/>
      <c r="AK2" s="693"/>
      <c r="AL2" s="693"/>
      <c r="AM2" s="693"/>
      <c r="AN2" s="693"/>
      <c r="AO2" s="693"/>
      <c r="AP2" s="734"/>
      <c r="AQ2" s="734"/>
      <c r="AR2" s="734"/>
      <c r="AS2" s="734"/>
      <c r="AT2" s="734"/>
      <c r="AU2" s="734"/>
      <c r="AV2" s="734"/>
      <c r="AW2" s="734"/>
      <c r="AX2" s="734"/>
    </row>
    <row r="3" spans="1:58" s="262" customFormat="1" ht="15" customHeight="1">
      <c r="A3" s="242" t="s">
        <v>13</v>
      </c>
      <c r="B3" s="268"/>
      <c r="C3" s="574"/>
      <c r="D3" s="574"/>
      <c r="E3" s="574"/>
      <c r="F3" s="574"/>
      <c r="G3" s="574"/>
      <c r="H3" s="574"/>
      <c r="I3" s="574"/>
      <c r="J3" s="574"/>
      <c r="K3" s="574"/>
      <c r="L3" s="574"/>
      <c r="M3" s="574" t="s">
        <v>67</v>
      </c>
      <c r="P3" s="734"/>
      <c r="Q3" s="735"/>
      <c r="R3" s="678"/>
      <c r="S3" s="678"/>
      <c r="T3" s="678"/>
      <c r="U3" s="678"/>
      <c r="V3" s="678"/>
      <c r="W3" s="678"/>
      <c r="X3" s="678"/>
      <c r="Y3" s="678"/>
      <c r="Z3" s="678"/>
      <c r="AA3" s="678"/>
      <c r="AB3" s="678"/>
      <c r="AC3" s="734"/>
      <c r="AD3" s="734"/>
      <c r="AE3" s="734"/>
      <c r="AF3" s="734"/>
      <c r="AG3" s="734"/>
      <c r="AH3" s="734"/>
      <c r="AI3" s="734"/>
      <c r="AJ3" s="734"/>
      <c r="AK3" s="734"/>
      <c r="AL3" s="734"/>
      <c r="AM3" s="734"/>
      <c r="AN3" s="734"/>
      <c r="AO3" s="734"/>
      <c r="AP3" s="734"/>
      <c r="AQ3" s="734"/>
      <c r="AR3" s="734"/>
      <c r="AS3" s="734"/>
      <c r="AT3" s="734"/>
      <c r="AU3" s="734"/>
      <c r="AV3" s="734"/>
      <c r="AW3" s="734"/>
      <c r="AX3" s="734"/>
      <c r="AY3" s="734"/>
      <c r="AZ3" s="734"/>
      <c r="BA3" s="734"/>
      <c r="BB3" s="734"/>
      <c r="BC3" s="734"/>
      <c r="BD3" s="734"/>
      <c r="BE3" s="734"/>
      <c r="BF3" s="734"/>
    </row>
    <row r="4" spans="1:58" s="262" customFormat="1" ht="28.5" customHeight="1" thickBot="1">
      <c r="A4" s="104"/>
      <c r="B4" s="269"/>
      <c r="C4" s="246">
        <v>2014</v>
      </c>
      <c r="D4" s="246">
        <v>2015</v>
      </c>
      <c r="E4" s="246">
        <v>2016</v>
      </c>
      <c r="F4" s="246">
        <v>2017</v>
      </c>
      <c r="G4" s="246">
        <v>2018</v>
      </c>
      <c r="H4" s="246">
        <v>2019</v>
      </c>
      <c r="I4" s="246">
        <v>2020</v>
      </c>
      <c r="J4" s="246">
        <v>2021</v>
      </c>
      <c r="K4" s="246">
        <v>2022</v>
      </c>
      <c r="L4" s="246">
        <v>2023</v>
      </c>
      <c r="M4" s="246">
        <v>2024</v>
      </c>
      <c r="P4" s="734"/>
      <c r="Q4" s="735"/>
      <c r="R4" s="678"/>
      <c r="S4" s="678"/>
      <c r="T4" s="678"/>
      <c r="U4" s="678"/>
      <c r="V4" s="678"/>
      <c r="W4" s="678"/>
      <c r="X4" s="678"/>
      <c r="Y4" s="678"/>
      <c r="Z4" s="678"/>
      <c r="AA4" s="678"/>
      <c r="AB4" s="678"/>
      <c r="AC4" s="691"/>
      <c r="AD4" s="734"/>
      <c r="AE4" s="734"/>
      <c r="AF4" s="734"/>
      <c r="AG4" s="734"/>
      <c r="AH4" s="247"/>
      <c r="AI4" s="247"/>
      <c r="AJ4" s="247"/>
      <c r="AK4" s="247"/>
      <c r="AL4" s="247"/>
      <c r="AM4" s="247"/>
      <c r="AN4" s="247"/>
      <c r="AO4" s="247"/>
      <c r="AP4" s="247"/>
      <c r="AQ4" s="247"/>
      <c r="AR4" s="247"/>
      <c r="AS4" s="734"/>
      <c r="AT4" s="734"/>
      <c r="AU4" s="247"/>
      <c r="AV4" s="247"/>
      <c r="AW4" s="247"/>
      <c r="AX4" s="247"/>
      <c r="AY4" s="736"/>
      <c r="AZ4" s="736"/>
      <c r="BA4" s="736"/>
      <c r="BB4" s="736"/>
      <c r="BC4" s="736"/>
      <c r="BD4" s="736"/>
      <c r="BE4" s="736"/>
      <c r="BF4" s="734"/>
    </row>
    <row r="5" spans="1:58" s="262" customFormat="1" ht="20.25" customHeight="1" thickTop="1">
      <c r="A5" s="236" t="s">
        <v>11</v>
      </c>
      <c r="B5" s="373" t="s">
        <v>44</v>
      </c>
      <c r="C5" s="287">
        <v>836.38</v>
      </c>
      <c r="D5" s="287">
        <v>862.54</v>
      </c>
      <c r="E5" s="287">
        <v>878.67</v>
      </c>
      <c r="F5" s="287">
        <v>913.99</v>
      </c>
      <c r="G5" s="287">
        <v>914.83</v>
      </c>
      <c r="H5" s="287">
        <v>920.93</v>
      </c>
      <c r="I5" s="287">
        <v>970.48</v>
      </c>
      <c r="J5" s="287">
        <v>1022.56</v>
      </c>
      <c r="K5" s="287">
        <v>1059</v>
      </c>
      <c r="L5" s="287">
        <v>1104.3699999999999</v>
      </c>
      <c r="M5" s="287">
        <v>1165.07</v>
      </c>
      <c r="P5" s="734"/>
      <c r="Q5" s="735"/>
      <c r="R5" s="678"/>
      <c r="S5" s="678"/>
      <c r="T5" s="678"/>
      <c r="U5" s="678"/>
      <c r="V5" s="678"/>
      <c r="W5" s="678"/>
      <c r="X5" s="678"/>
      <c r="Y5" s="678"/>
      <c r="Z5" s="678"/>
      <c r="AA5" s="678"/>
      <c r="AB5" s="678"/>
      <c r="AC5" s="734"/>
      <c r="AD5" s="734"/>
      <c r="AE5" s="734"/>
      <c r="AF5" s="734"/>
      <c r="AG5" s="734"/>
      <c r="AH5" s="734"/>
      <c r="AI5" s="734"/>
      <c r="AJ5" s="734"/>
      <c r="AK5" s="734"/>
      <c r="AL5" s="734"/>
      <c r="AM5" s="734"/>
      <c r="AN5" s="734"/>
      <c r="AO5" s="734"/>
      <c r="AP5" s="734"/>
      <c r="AQ5" s="734"/>
      <c r="AR5" s="734"/>
      <c r="AS5" s="734"/>
      <c r="AT5" s="734"/>
      <c r="AU5" s="734"/>
      <c r="AV5" s="734"/>
      <c r="AW5" s="734"/>
      <c r="AX5" s="734"/>
      <c r="AY5" s="734"/>
      <c r="AZ5" s="734"/>
      <c r="BA5" s="734"/>
      <c r="BB5" s="734"/>
      <c r="BC5" s="734"/>
      <c r="BD5" s="734"/>
      <c r="BE5" s="734"/>
      <c r="BF5" s="734"/>
    </row>
    <row r="6" spans="1:58" s="262" customFormat="1" ht="15" customHeight="1">
      <c r="A6" s="242"/>
      <c r="B6" s="373" t="s">
        <v>52</v>
      </c>
      <c r="C6" s="287">
        <v>934.63</v>
      </c>
      <c r="D6" s="287">
        <v>974.78</v>
      </c>
      <c r="E6" s="287">
        <v>982.54</v>
      </c>
      <c r="F6" s="287">
        <v>1021.01</v>
      </c>
      <c r="G6" s="287">
        <v>1006.43</v>
      </c>
      <c r="H6" s="287">
        <v>1002.19</v>
      </c>
      <c r="I6" s="287">
        <v>1044.03</v>
      </c>
      <c r="J6" s="287">
        <v>1097.6500000000001</v>
      </c>
      <c r="K6" s="287">
        <v>1126.8499999999999</v>
      </c>
      <c r="L6" s="287">
        <v>1165.46</v>
      </c>
      <c r="M6" s="287">
        <v>1218.82</v>
      </c>
      <c r="P6" s="734"/>
      <c r="Q6" s="734"/>
      <c r="R6" s="734"/>
      <c r="S6" s="734"/>
      <c r="T6" s="73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c r="AT6" s="734"/>
      <c r="AU6" s="734"/>
      <c r="AV6" s="734"/>
      <c r="AW6" s="734"/>
      <c r="AX6" s="734"/>
    </row>
    <row r="7" spans="1:58" s="262" customFormat="1" ht="15" customHeight="1">
      <c r="A7" s="242"/>
      <c r="B7" s="373" t="s">
        <v>53</v>
      </c>
      <c r="C7" s="287">
        <v>704.49</v>
      </c>
      <c r="D7" s="287">
        <v>710.51</v>
      </c>
      <c r="E7" s="287">
        <v>733.83</v>
      </c>
      <c r="F7" s="287">
        <v>764.57</v>
      </c>
      <c r="G7" s="287">
        <v>784.54</v>
      </c>
      <c r="H7" s="287">
        <v>802.31</v>
      </c>
      <c r="I7" s="287">
        <v>855.24</v>
      </c>
      <c r="J7" s="287">
        <v>907.26</v>
      </c>
      <c r="K7" s="287">
        <v>952.68</v>
      </c>
      <c r="L7" s="287">
        <v>1006.76</v>
      </c>
      <c r="M7" s="287">
        <v>1074.28</v>
      </c>
      <c r="P7" s="734"/>
      <c r="Q7" s="734"/>
      <c r="R7" s="734"/>
      <c r="S7" s="734"/>
      <c r="T7" s="734"/>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c r="AT7" s="734"/>
      <c r="AU7" s="734"/>
      <c r="AV7" s="734"/>
      <c r="AW7" s="734"/>
      <c r="AX7" s="734"/>
    </row>
    <row r="8" spans="1:58" s="262" customFormat="1" ht="20.25" customHeight="1">
      <c r="A8" s="242" t="s">
        <v>47</v>
      </c>
      <c r="B8" s="373" t="s">
        <v>44</v>
      </c>
      <c r="C8" s="287">
        <v>2794.98</v>
      </c>
      <c r="D8" s="287">
        <v>2785.71</v>
      </c>
      <c r="E8" s="287">
        <v>2836.68</v>
      </c>
      <c r="F8" s="287">
        <v>2955.26</v>
      </c>
      <c r="G8" s="287">
        <v>2871.45</v>
      </c>
      <c r="H8" s="287">
        <v>2745.16</v>
      </c>
      <c r="I8" s="287">
        <v>2797.18</v>
      </c>
      <c r="J8" s="287">
        <v>2745</v>
      </c>
      <c r="K8" s="287">
        <v>2940.33</v>
      </c>
      <c r="L8" s="287">
        <v>3161.6</v>
      </c>
      <c r="M8" s="287">
        <v>3338.86</v>
      </c>
      <c r="O8" s="287"/>
      <c r="P8" s="734"/>
      <c r="Q8" s="677"/>
      <c r="R8" s="708"/>
      <c r="S8" s="734"/>
      <c r="T8" s="708"/>
      <c r="U8" s="708"/>
      <c r="V8" s="708"/>
      <c r="W8" s="708"/>
      <c r="X8" s="708"/>
      <c r="Y8" s="708"/>
      <c r="Z8" s="708"/>
      <c r="AA8" s="708"/>
      <c r="AB8" s="708"/>
      <c r="AC8" s="734"/>
      <c r="AD8" s="734"/>
      <c r="AE8" s="734"/>
      <c r="AF8" s="734"/>
      <c r="AG8" s="734"/>
      <c r="AH8" s="734"/>
      <c r="AI8" s="734"/>
      <c r="AJ8" s="734"/>
      <c r="AK8" s="734"/>
      <c r="AL8" s="734"/>
      <c r="AM8" s="734"/>
      <c r="AN8" s="734"/>
      <c r="AO8" s="734"/>
      <c r="AP8" s="734"/>
      <c r="AQ8" s="734"/>
      <c r="AR8" s="734"/>
      <c r="AS8" s="734"/>
      <c r="AT8" s="734"/>
      <c r="AU8" s="734"/>
      <c r="AV8" s="734"/>
      <c r="AW8" s="734"/>
      <c r="AX8" s="734"/>
    </row>
    <row r="9" spans="1:58" s="237" customFormat="1" ht="15" customHeight="1">
      <c r="A9" s="245"/>
      <c r="B9" s="374" t="s">
        <v>52</v>
      </c>
      <c r="C9" s="737">
        <v>3315.61</v>
      </c>
      <c r="D9" s="737">
        <v>3302.01</v>
      </c>
      <c r="E9" s="737">
        <v>3384.92</v>
      </c>
      <c r="F9" s="737">
        <v>3517.15</v>
      </c>
      <c r="G9" s="737">
        <v>3347.95</v>
      </c>
      <c r="H9" s="737">
        <v>3114</v>
      </c>
      <c r="I9" s="737">
        <v>3173.57</v>
      </c>
      <c r="J9" s="737">
        <v>3124.34</v>
      </c>
      <c r="K9" s="737">
        <v>3240.95</v>
      </c>
      <c r="L9" s="737">
        <v>3469.91</v>
      </c>
      <c r="M9" s="737">
        <v>3670.58</v>
      </c>
      <c r="O9" s="287"/>
      <c r="P9" s="239"/>
      <c r="Q9" s="677"/>
      <c r="R9" s="708"/>
      <c r="S9" s="239"/>
      <c r="T9" s="708"/>
      <c r="U9" s="708"/>
      <c r="V9" s="708"/>
      <c r="W9" s="708"/>
      <c r="X9" s="708"/>
      <c r="Y9" s="708"/>
      <c r="Z9" s="708"/>
      <c r="AA9" s="708"/>
      <c r="AB9" s="708"/>
      <c r="AC9" s="239"/>
      <c r="AD9" s="239"/>
      <c r="AE9" s="239"/>
      <c r="AF9" s="239"/>
      <c r="AG9" s="239"/>
      <c r="AH9" s="239"/>
      <c r="AI9" s="239"/>
      <c r="AJ9" s="239"/>
      <c r="AK9" s="239"/>
      <c r="AL9" s="239"/>
      <c r="AM9" s="239"/>
      <c r="AN9" s="239"/>
      <c r="AO9" s="239"/>
      <c r="AP9" s="239"/>
      <c r="AQ9" s="239"/>
      <c r="AR9" s="239"/>
      <c r="AS9" s="239"/>
      <c r="AT9" s="239"/>
      <c r="AU9" s="239"/>
      <c r="AV9" s="239"/>
      <c r="AW9" s="239"/>
      <c r="AX9" s="239"/>
    </row>
    <row r="10" spans="1:58" s="237" customFormat="1" ht="15" customHeight="1">
      <c r="A10" s="245"/>
      <c r="B10" s="374" t="s">
        <v>53</v>
      </c>
      <c r="C10" s="737">
        <v>2010.83</v>
      </c>
      <c r="D10" s="737">
        <v>2000.35</v>
      </c>
      <c r="E10" s="737">
        <v>2017.57</v>
      </c>
      <c r="F10" s="737">
        <v>2114.38</v>
      </c>
      <c r="G10" s="737">
        <v>2115.3000000000002</v>
      </c>
      <c r="H10" s="737">
        <v>2109.1999999999998</v>
      </c>
      <c r="I10" s="737">
        <v>2152.6999999999998</v>
      </c>
      <c r="J10" s="737">
        <v>2131.16</v>
      </c>
      <c r="K10" s="737">
        <v>2391.5500000000002</v>
      </c>
      <c r="L10" s="737">
        <v>2586.1999999999998</v>
      </c>
      <c r="M10" s="737">
        <v>2716.25</v>
      </c>
      <c r="O10" s="287"/>
      <c r="P10" s="239"/>
      <c r="Q10" s="677"/>
      <c r="R10" s="708"/>
      <c r="S10" s="239"/>
      <c r="T10" s="708"/>
      <c r="U10" s="708"/>
      <c r="V10" s="708"/>
      <c r="W10" s="708"/>
      <c r="X10" s="708"/>
      <c r="Y10" s="708"/>
      <c r="Z10" s="708"/>
      <c r="AA10" s="708"/>
      <c r="AB10" s="708"/>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row>
    <row r="11" spans="1:58" s="262" customFormat="1" ht="20.25" customHeight="1">
      <c r="A11" s="242" t="s">
        <v>48</v>
      </c>
      <c r="B11" s="373" t="s">
        <v>44</v>
      </c>
      <c r="C11" s="287">
        <v>1478.19</v>
      </c>
      <c r="D11" s="287">
        <v>1499.66</v>
      </c>
      <c r="E11" s="287">
        <v>1521.05</v>
      </c>
      <c r="F11" s="287">
        <v>1636.99</v>
      </c>
      <c r="G11" s="287">
        <v>1580.4</v>
      </c>
      <c r="H11" s="287">
        <v>1605.66</v>
      </c>
      <c r="I11" s="287">
        <v>1739.43</v>
      </c>
      <c r="J11" s="287">
        <v>1739.83</v>
      </c>
      <c r="K11" s="287">
        <v>1940.04</v>
      </c>
      <c r="L11" s="287">
        <v>2070.14</v>
      </c>
      <c r="M11" s="287">
        <v>2106.92</v>
      </c>
      <c r="O11" s="287"/>
      <c r="P11" s="734"/>
      <c r="Q11" s="734"/>
      <c r="R11" s="738"/>
      <c r="S11" s="738"/>
      <c r="T11" s="738"/>
      <c r="U11" s="739"/>
      <c r="V11" s="738"/>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c r="AT11" s="734"/>
      <c r="AU11" s="734"/>
      <c r="AV11" s="734"/>
      <c r="AW11" s="734"/>
      <c r="AX11" s="734"/>
    </row>
    <row r="12" spans="1:58" s="237" customFormat="1" ht="15" customHeight="1">
      <c r="A12" s="245"/>
      <c r="B12" s="374" t="s">
        <v>52</v>
      </c>
      <c r="C12" s="737">
        <v>1606.46</v>
      </c>
      <c r="D12" s="737">
        <v>1645.4</v>
      </c>
      <c r="E12" s="737">
        <v>1646.75</v>
      </c>
      <c r="F12" s="737">
        <v>1803.82</v>
      </c>
      <c r="G12" s="737">
        <v>1661.36</v>
      </c>
      <c r="H12" s="737">
        <v>1701.14</v>
      </c>
      <c r="I12" s="737">
        <v>1864.55</v>
      </c>
      <c r="J12" s="737">
        <v>1857.41</v>
      </c>
      <c r="K12" s="737">
        <v>2067.34</v>
      </c>
      <c r="L12" s="737">
        <v>2190.85</v>
      </c>
      <c r="M12" s="737">
        <v>2239.0700000000002</v>
      </c>
      <c r="O12" s="287"/>
      <c r="P12" s="239"/>
      <c r="Q12" s="286"/>
      <c r="R12" s="675"/>
      <c r="S12" s="250"/>
      <c r="T12" s="677"/>
      <c r="U12" s="675"/>
      <c r="V12" s="286"/>
      <c r="W12" s="239"/>
      <c r="X12" s="239"/>
      <c r="Y12" s="239"/>
      <c r="Z12" s="239"/>
      <c r="AA12" s="239"/>
      <c r="AB12" s="239"/>
      <c r="AC12" s="734"/>
      <c r="AD12" s="239"/>
      <c r="AE12" s="239"/>
      <c r="AF12" s="239"/>
      <c r="AG12" s="239"/>
      <c r="AH12" s="239"/>
      <c r="AI12" s="239"/>
      <c r="AJ12" s="239"/>
      <c r="AK12" s="239"/>
      <c r="AL12" s="239"/>
      <c r="AM12" s="239"/>
      <c r="AN12" s="239"/>
      <c r="AO12" s="239"/>
      <c r="AP12" s="239"/>
      <c r="AQ12" s="239"/>
      <c r="AR12" s="239"/>
      <c r="AS12" s="239"/>
      <c r="AT12" s="239"/>
      <c r="AU12" s="239"/>
      <c r="AV12" s="239"/>
      <c r="AW12" s="239"/>
      <c r="AX12" s="239"/>
    </row>
    <row r="13" spans="1:58" s="237" customFormat="1" ht="15" customHeight="1">
      <c r="A13" s="245"/>
      <c r="B13" s="374" t="s">
        <v>53</v>
      </c>
      <c r="C13" s="737">
        <v>1292.81</v>
      </c>
      <c r="D13" s="737">
        <v>1307.98</v>
      </c>
      <c r="E13" s="737">
        <v>1350.41</v>
      </c>
      <c r="F13" s="737">
        <v>1398.77</v>
      </c>
      <c r="G13" s="737">
        <v>1458.09</v>
      </c>
      <c r="H13" s="737">
        <v>1464.13</v>
      </c>
      <c r="I13" s="737">
        <v>1549.97</v>
      </c>
      <c r="J13" s="737">
        <v>1554.4</v>
      </c>
      <c r="K13" s="737">
        <v>1739.41</v>
      </c>
      <c r="L13" s="737">
        <v>1885.8</v>
      </c>
      <c r="M13" s="737">
        <v>1899.64</v>
      </c>
      <c r="O13" s="287"/>
      <c r="P13" s="239"/>
      <c r="Q13" s="247"/>
      <c r="R13" s="286"/>
      <c r="S13" s="286"/>
      <c r="T13" s="286"/>
      <c r="U13" s="740"/>
      <c r="V13" s="740"/>
      <c r="W13" s="239"/>
      <c r="X13" s="239"/>
      <c r="Y13" s="239"/>
      <c r="Z13" s="239"/>
      <c r="AA13" s="239"/>
      <c r="AB13" s="239"/>
      <c r="AC13" s="734"/>
      <c r="AD13" s="239"/>
      <c r="AE13" s="239"/>
      <c r="AF13" s="239"/>
      <c r="AG13" s="239"/>
      <c r="AH13" s="239"/>
      <c r="AI13" s="239"/>
      <c r="AJ13" s="239"/>
      <c r="AK13" s="239"/>
      <c r="AL13" s="239"/>
      <c r="AM13" s="239"/>
      <c r="AN13" s="239"/>
      <c r="AO13" s="239"/>
      <c r="AP13" s="239"/>
      <c r="AQ13" s="239"/>
      <c r="AR13" s="239"/>
      <c r="AS13" s="239"/>
      <c r="AT13" s="239"/>
      <c r="AU13" s="239"/>
      <c r="AV13" s="239"/>
      <c r="AW13" s="239"/>
      <c r="AX13" s="239"/>
    </row>
    <row r="14" spans="1:58" s="262" customFormat="1" ht="20.25" customHeight="1">
      <c r="A14" s="242" t="s">
        <v>69</v>
      </c>
      <c r="B14" s="373" t="s">
        <v>44</v>
      </c>
      <c r="C14" s="287">
        <v>1364.82</v>
      </c>
      <c r="D14" s="287">
        <v>1374.73</v>
      </c>
      <c r="E14" s="287">
        <v>1427.38</v>
      </c>
      <c r="F14" s="287">
        <v>1461.54</v>
      </c>
      <c r="G14" s="287">
        <v>1491.03</v>
      </c>
      <c r="H14" s="287">
        <v>1547.76</v>
      </c>
      <c r="I14" s="287">
        <v>1660.98</v>
      </c>
      <c r="J14" s="287">
        <v>1733.17</v>
      </c>
      <c r="K14" s="287">
        <v>1772.96</v>
      </c>
      <c r="L14" s="287">
        <v>1853.75</v>
      </c>
      <c r="M14" s="287">
        <v>1976.21</v>
      </c>
      <c r="O14" s="287"/>
      <c r="P14" s="734"/>
      <c r="Q14" s="286"/>
      <c r="R14" s="741"/>
      <c r="S14" s="742"/>
      <c r="T14" s="742"/>
      <c r="U14" s="742"/>
      <c r="V14" s="286"/>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c r="AT14" s="734"/>
      <c r="AU14" s="734"/>
      <c r="AV14" s="734"/>
      <c r="AW14" s="734"/>
      <c r="AX14" s="734"/>
    </row>
    <row r="15" spans="1:58" s="237" customFormat="1" ht="15" customHeight="1">
      <c r="A15" s="245"/>
      <c r="B15" s="374" t="s">
        <v>52</v>
      </c>
      <c r="C15" s="737">
        <v>1445.29</v>
      </c>
      <c r="D15" s="737">
        <v>1452.15</v>
      </c>
      <c r="E15" s="737">
        <v>1524.6</v>
      </c>
      <c r="F15" s="737">
        <v>1544.08</v>
      </c>
      <c r="G15" s="737">
        <v>1573.92</v>
      </c>
      <c r="H15" s="737">
        <v>1611.7</v>
      </c>
      <c r="I15" s="737">
        <v>1733.15</v>
      </c>
      <c r="J15" s="737">
        <v>1800.27</v>
      </c>
      <c r="K15" s="737">
        <v>1853.3</v>
      </c>
      <c r="L15" s="737">
        <v>1943.09</v>
      </c>
      <c r="M15" s="737">
        <v>2008.05</v>
      </c>
      <c r="O15" s="287"/>
      <c r="P15" s="239"/>
      <c r="Q15" s="286"/>
      <c r="R15" s="698"/>
      <c r="S15" s="286"/>
      <c r="T15" s="286"/>
      <c r="U15" s="286"/>
      <c r="V15" s="286"/>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239"/>
    </row>
    <row r="16" spans="1:58" s="237" customFormat="1" ht="15" customHeight="1">
      <c r="A16" s="245"/>
      <c r="B16" s="374" t="s">
        <v>53</v>
      </c>
      <c r="C16" s="737">
        <v>1236.7</v>
      </c>
      <c r="D16" s="737">
        <v>1255.75</v>
      </c>
      <c r="E16" s="737">
        <v>1293.2</v>
      </c>
      <c r="F16" s="737">
        <v>1349.38</v>
      </c>
      <c r="G16" s="737">
        <v>1384.41</v>
      </c>
      <c r="H16" s="737">
        <v>1450.2</v>
      </c>
      <c r="I16" s="737">
        <v>1544.78</v>
      </c>
      <c r="J16" s="737">
        <v>1630.76</v>
      </c>
      <c r="K16" s="737">
        <v>1652.77</v>
      </c>
      <c r="L16" s="737">
        <v>1724.07</v>
      </c>
      <c r="M16" s="737">
        <v>1926.26</v>
      </c>
      <c r="O16" s="287"/>
      <c r="P16" s="239"/>
      <c r="Q16" s="286"/>
      <c r="R16" s="743"/>
      <c r="S16" s="286"/>
      <c r="T16" s="286"/>
      <c r="U16" s="286"/>
      <c r="V16" s="286"/>
      <c r="W16" s="239"/>
      <c r="X16" s="239"/>
      <c r="Y16" s="683"/>
      <c r="Z16" s="683"/>
      <c r="AA16" s="675"/>
      <c r="AB16" s="239"/>
      <c r="AC16" s="239"/>
      <c r="AD16" s="679"/>
      <c r="AE16" s="239"/>
      <c r="AF16" s="239"/>
      <c r="AG16" s="239"/>
      <c r="AH16" s="239"/>
      <c r="AI16" s="239"/>
      <c r="AJ16" s="239"/>
      <c r="AK16" s="239"/>
      <c r="AL16" s="239"/>
      <c r="AM16" s="239"/>
      <c r="AN16" s="239"/>
      <c r="AO16" s="239"/>
      <c r="AP16" s="239"/>
      <c r="AQ16" s="239"/>
      <c r="AR16" s="239"/>
      <c r="AS16" s="239"/>
      <c r="AT16" s="239"/>
      <c r="AU16" s="239"/>
      <c r="AV16" s="239"/>
      <c r="AW16" s="239"/>
      <c r="AX16" s="239"/>
    </row>
    <row r="17" spans="1:50" s="262" customFormat="1" ht="20.25" customHeight="1">
      <c r="A17" s="242" t="s">
        <v>787</v>
      </c>
      <c r="B17" s="373" t="s">
        <v>44</v>
      </c>
      <c r="C17" s="287">
        <v>2169.65</v>
      </c>
      <c r="D17" s="287">
        <v>2691.44</v>
      </c>
      <c r="E17" s="287">
        <v>2802.54</v>
      </c>
      <c r="F17" s="287">
        <v>2756.88</v>
      </c>
      <c r="G17" s="287">
        <v>2478.7199999999998</v>
      </c>
      <c r="H17" s="287">
        <v>2033.3</v>
      </c>
      <c r="I17" s="287">
        <v>2107.31</v>
      </c>
      <c r="J17" s="287">
        <v>1843.05</v>
      </c>
      <c r="K17" s="287">
        <v>1713.4</v>
      </c>
      <c r="L17" s="287">
        <v>1859.59</v>
      </c>
      <c r="M17" s="287">
        <v>1809.22</v>
      </c>
      <c r="O17" s="287"/>
      <c r="P17" s="734"/>
      <c r="Q17" s="286"/>
      <c r="R17" s="252"/>
      <c r="S17" s="286"/>
      <c r="T17" s="286"/>
      <c r="U17" s="286"/>
      <c r="V17" s="286"/>
      <c r="W17" s="734"/>
      <c r="X17" s="239"/>
      <c r="Y17" s="239"/>
      <c r="Z17" s="744"/>
      <c r="AA17" s="744"/>
      <c r="AB17" s="744"/>
      <c r="AC17" s="744"/>
      <c r="AD17" s="744"/>
      <c r="AE17" s="744"/>
      <c r="AF17" s="744"/>
      <c r="AG17" s="744"/>
      <c r="AH17" s="744"/>
      <c r="AI17" s="744"/>
      <c r="AJ17" s="734"/>
      <c r="AK17" s="734"/>
      <c r="AL17" s="734"/>
      <c r="AM17" s="734"/>
      <c r="AN17" s="734"/>
      <c r="AO17" s="734"/>
      <c r="AP17" s="734"/>
      <c r="AQ17" s="734"/>
      <c r="AR17" s="734"/>
      <c r="AS17" s="734"/>
      <c r="AT17" s="734"/>
      <c r="AU17" s="734"/>
      <c r="AV17" s="734"/>
      <c r="AW17" s="734"/>
      <c r="AX17" s="734"/>
    </row>
    <row r="18" spans="1:50" s="237" customFormat="1" ht="15" customHeight="1">
      <c r="A18" s="245"/>
      <c r="B18" s="374" t="s">
        <v>52</v>
      </c>
      <c r="C18" s="737">
        <v>3197.94</v>
      </c>
      <c r="D18" s="737">
        <v>4175.79</v>
      </c>
      <c r="E18" s="737">
        <v>4407.2299999999996</v>
      </c>
      <c r="F18" s="737">
        <v>4264.63</v>
      </c>
      <c r="G18" s="737">
        <v>3688.01</v>
      </c>
      <c r="H18" s="737">
        <v>2815.71</v>
      </c>
      <c r="I18" s="737">
        <v>2991.96</v>
      </c>
      <c r="J18" s="737">
        <v>2572</v>
      </c>
      <c r="K18" s="737">
        <v>2263.31</v>
      </c>
      <c r="L18" s="737">
        <v>2321.7399999999998</v>
      </c>
      <c r="M18" s="737">
        <v>2180.5300000000002</v>
      </c>
      <c r="O18" s="287"/>
      <c r="P18" s="239"/>
      <c r="Q18" s="286"/>
      <c r="R18" s="252"/>
      <c r="S18" s="286"/>
      <c r="T18" s="286"/>
      <c r="U18" s="286"/>
      <c r="V18" s="286"/>
      <c r="W18" s="239"/>
      <c r="X18" s="735"/>
      <c r="Y18" s="735"/>
      <c r="Z18" s="745"/>
      <c r="AA18" s="745"/>
      <c r="AB18" s="745"/>
      <c r="AC18" s="745"/>
      <c r="AD18" s="745"/>
      <c r="AE18" s="745"/>
      <c r="AF18" s="745"/>
      <c r="AG18" s="745"/>
      <c r="AH18" s="745"/>
      <c r="AI18" s="745"/>
      <c r="AJ18" s="239"/>
      <c r="AK18" s="239"/>
      <c r="AL18" s="239"/>
      <c r="AM18" s="239"/>
      <c r="AN18" s="239"/>
      <c r="AO18" s="239"/>
      <c r="AP18" s="239"/>
      <c r="AQ18" s="239"/>
      <c r="AR18" s="239"/>
      <c r="AS18" s="239"/>
      <c r="AT18" s="239"/>
      <c r="AU18" s="239"/>
      <c r="AV18" s="239"/>
      <c r="AW18" s="239"/>
      <c r="AX18" s="239"/>
    </row>
    <row r="19" spans="1:50" s="237" customFormat="1" ht="15" customHeight="1">
      <c r="A19" s="245"/>
      <c r="B19" s="374" t="s">
        <v>53</v>
      </c>
      <c r="C19" s="737">
        <v>969.99</v>
      </c>
      <c r="D19" s="737">
        <v>963.66</v>
      </c>
      <c r="E19" s="737">
        <v>971.66</v>
      </c>
      <c r="F19" s="737">
        <v>960.23</v>
      </c>
      <c r="G19" s="737">
        <v>964.23</v>
      </c>
      <c r="H19" s="737">
        <v>936.59</v>
      </c>
      <c r="I19" s="737">
        <v>989.35</v>
      </c>
      <c r="J19" s="737">
        <v>994.04</v>
      </c>
      <c r="K19" s="737">
        <v>1041.3900000000001</v>
      </c>
      <c r="L19" s="737">
        <v>1188.58</v>
      </c>
      <c r="M19" s="737">
        <v>1258.3</v>
      </c>
      <c r="O19" s="287"/>
      <c r="P19" s="239"/>
      <c r="Q19" s="286"/>
      <c r="R19" s="252"/>
      <c r="S19" s="286"/>
      <c r="T19" s="286"/>
      <c r="U19" s="286"/>
      <c r="V19" s="286"/>
      <c r="W19" s="239"/>
      <c r="X19" s="252"/>
      <c r="Y19" s="735"/>
      <c r="Z19" s="745"/>
      <c r="AA19" s="745"/>
      <c r="AB19" s="745"/>
      <c r="AC19" s="745"/>
      <c r="AD19" s="745"/>
      <c r="AE19" s="745"/>
      <c r="AF19" s="745"/>
      <c r="AG19" s="745"/>
      <c r="AH19" s="745"/>
      <c r="AI19" s="745"/>
      <c r="AJ19" s="239"/>
      <c r="AK19" s="239"/>
      <c r="AL19" s="239"/>
      <c r="AM19" s="239"/>
      <c r="AN19" s="239"/>
      <c r="AO19" s="239"/>
      <c r="AP19" s="239"/>
      <c r="AQ19" s="239"/>
      <c r="AR19" s="239"/>
      <c r="AS19" s="239"/>
      <c r="AT19" s="239"/>
      <c r="AU19" s="239"/>
      <c r="AV19" s="239"/>
      <c r="AW19" s="239"/>
      <c r="AX19" s="239"/>
    </row>
    <row r="20" spans="1:50" s="262" customFormat="1" ht="20.25" customHeight="1">
      <c r="A20" s="242" t="s">
        <v>49</v>
      </c>
      <c r="B20" s="373" t="s">
        <v>44</v>
      </c>
      <c r="C20" s="287">
        <v>674.82</v>
      </c>
      <c r="D20" s="287">
        <v>683.36</v>
      </c>
      <c r="E20" s="287">
        <v>685.4</v>
      </c>
      <c r="F20" s="287">
        <v>690.69</v>
      </c>
      <c r="G20" s="287">
        <v>715.86</v>
      </c>
      <c r="H20" s="287">
        <v>755.95</v>
      </c>
      <c r="I20" s="287">
        <v>794.04</v>
      </c>
      <c r="J20" s="287">
        <v>837.36</v>
      </c>
      <c r="K20" s="287">
        <v>873.25</v>
      </c>
      <c r="L20" s="287">
        <v>929.07</v>
      </c>
      <c r="M20" s="287">
        <v>985.49</v>
      </c>
      <c r="O20" s="287"/>
      <c r="P20" s="734"/>
      <c r="Q20" s="286"/>
      <c r="R20" s="252"/>
      <c r="S20" s="286"/>
      <c r="T20" s="286"/>
      <c r="U20" s="286"/>
      <c r="V20" s="286"/>
      <c r="W20" s="734"/>
      <c r="X20" s="252"/>
      <c r="Y20" s="735"/>
      <c r="Z20" s="745"/>
      <c r="AA20" s="745"/>
      <c r="AB20" s="745"/>
      <c r="AC20" s="745"/>
      <c r="AD20" s="745"/>
      <c r="AE20" s="745"/>
      <c r="AF20" s="745"/>
      <c r="AG20" s="745"/>
      <c r="AH20" s="745"/>
      <c r="AI20" s="745"/>
      <c r="AJ20" s="734"/>
      <c r="AK20" s="734"/>
      <c r="AL20" s="734"/>
      <c r="AM20" s="734"/>
      <c r="AN20" s="734"/>
      <c r="AO20" s="734"/>
      <c r="AP20" s="734"/>
      <c r="AQ20" s="734"/>
      <c r="AR20" s="734"/>
      <c r="AS20" s="734"/>
      <c r="AT20" s="734"/>
      <c r="AU20" s="734"/>
      <c r="AV20" s="734"/>
      <c r="AW20" s="734"/>
      <c r="AX20" s="734"/>
    </row>
    <row r="21" spans="1:50" s="237" customFormat="1" ht="15" customHeight="1">
      <c r="A21" s="245"/>
      <c r="B21" s="374" t="s">
        <v>52</v>
      </c>
      <c r="C21" s="737">
        <v>690.06</v>
      </c>
      <c r="D21" s="737">
        <v>699.45</v>
      </c>
      <c r="E21" s="737">
        <v>694.41</v>
      </c>
      <c r="F21" s="737">
        <v>699.37</v>
      </c>
      <c r="G21" s="737">
        <v>727.69</v>
      </c>
      <c r="H21" s="737">
        <v>764.3</v>
      </c>
      <c r="I21" s="737">
        <v>797.7</v>
      </c>
      <c r="J21" s="737">
        <v>846.92</v>
      </c>
      <c r="K21" s="737">
        <v>883.56</v>
      </c>
      <c r="L21" s="737">
        <v>938.62</v>
      </c>
      <c r="M21" s="737">
        <v>991.02</v>
      </c>
      <c r="O21" s="287"/>
      <c r="P21" s="286"/>
      <c r="Q21" s="286"/>
      <c r="R21" s="252"/>
      <c r="S21" s="286"/>
      <c r="T21" s="286"/>
      <c r="U21" s="286"/>
      <c r="V21" s="286"/>
      <c r="W21" s="239"/>
      <c r="X21" s="252"/>
      <c r="Y21" s="735"/>
      <c r="Z21" s="745"/>
      <c r="AA21" s="745"/>
      <c r="AB21" s="745"/>
      <c r="AC21" s="745"/>
      <c r="AD21" s="745"/>
      <c r="AE21" s="745"/>
      <c r="AF21" s="745"/>
      <c r="AG21" s="745"/>
      <c r="AH21" s="745"/>
      <c r="AI21" s="745"/>
      <c r="AJ21" s="239"/>
      <c r="AK21" s="239"/>
      <c r="AL21" s="239"/>
      <c r="AM21" s="239"/>
      <c r="AN21" s="239"/>
      <c r="AO21" s="239"/>
      <c r="AP21" s="239"/>
      <c r="AQ21" s="239"/>
      <c r="AR21" s="239"/>
      <c r="AS21" s="239"/>
      <c r="AT21" s="239"/>
      <c r="AU21" s="239"/>
      <c r="AV21" s="239"/>
      <c r="AW21" s="239"/>
      <c r="AX21" s="239"/>
    </row>
    <row r="22" spans="1:50" s="237" customFormat="1" ht="15" customHeight="1">
      <c r="A22" s="245"/>
      <c r="B22" s="374" t="s">
        <v>53</v>
      </c>
      <c r="C22" s="737">
        <v>644.87</v>
      </c>
      <c r="D22" s="737">
        <v>652.25</v>
      </c>
      <c r="E22" s="737">
        <v>669</v>
      </c>
      <c r="F22" s="737">
        <v>675.76</v>
      </c>
      <c r="G22" s="737">
        <v>695.71</v>
      </c>
      <c r="H22" s="737">
        <v>741.16</v>
      </c>
      <c r="I22" s="737">
        <v>787.01</v>
      </c>
      <c r="J22" s="737">
        <v>819.86</v>
      </c>
      <c r="K22" s="737">
        <v>853.54</v>
      </c>
      <c r="L22" s="737">
        <v>909.7</v>
      </c>
      <c r="M22" s="737">
        <v>973.58</v>
      </c>
      <c r="O22" s="287"/>
      <c r="P22" s="286"/>
      <c r="Q22" s="286"/>
      <c r="R22" s="252"/>
      <c r="S22" s="286"/>
      <c r="T22" s="286"/>
      <c r="U22" s="286"/>
      <c r="V22" s="286"/>
      <c r="W22" s="239"/>
      <c r="X22" s="250"/>
      <c r="Y22" s="746"/>
      <c r="Z22" s="745"/>
      <c r="AA22" s="745"/>
      <c r="AB22" s="745"/>
      <c r="AC22" s="745"/>
      <c r="AD22" s="745"/>
      <c r="AE22" s="745"/>
      <c r="AF22" s="745"/>
      <c r="AG22" s="745"/>
      <c r="AH22" s="745"/>
      <c r="AI22" s="745"/>
      <c r="AJ22" s="239"/>
      <c r="AK22" s="239"/>
      <c r="AL22" s="239"/>
      <c r="AM22" s="239"/>
      <c r="AN22" s="239"/>
      <c r="AO22" s="239"/>
      <c r="AP22" s="239"/>
      <c r="AQ22" s="239"/>
      <c r="AR22" s="239"/>
      <c r="AS22" s="239"/>
      <c r="AT22" s="239"/>
      <c r="AU22" s="239"/>
      <c r="AV22" s="239"/>
      <c r="AW22" s="239"/>
      <c r="AX22" s="239"/>
    </row>
    <row r="23" spans="1:50" s="262" customFormat="1" ht="20.25" customHeight="1">
      <c r="A23" s="242" t="s">
        <v>351</v>
      </c>
      <c r="B23" s="373" t="s">
        <v>44</v>
      </c>
      <c r="C23" s="287">
        <v>566.96</v>
      </c>
      <c r="D23" s="287">
        <v>570.41</v>
      </c>
      <c r="E23" s="287">
        <v>585.92999999999995</v>
      </c>
      <c r="F23" s="287">
        <v>618.92999999999995</v>
      </c>
      <c r="G23" s="287">
        <v>638.69000000000005</v>
      </c>
      <c r="H23" s="287">
        <v>668.3</v>
      </c>
      <c r="I23" s="287">
        <v>698.99</v>
      </c>
      <c r="J23" s="287">
        <v>733.31</v>
      </c>
      <c r="K23" s="287">
        <v>776.67</v>
      </c>
      <c r="L23" s="287">
        <v>818.05</v>
      </c>
      <c r="M23" s="287">
        <v>879.94</v>
      </c>
      <c r="O23" s="287"/>
      <c r="P23" s="286"/>
      <c r="Q23" s="286"/>
      <c r="R23" s="252"/>
      <c r="S23" s="286"/>
      <c r="T23" s="286"/>
      <c r="U23" s="286"/>
      <c r="V23" s="286"/>
      <c r="W23" s="734"/>
      <c r="X23" s="250"/>
      <c r="Y23" s="746"/>
      <c r="Z23" s="745"/>
      <c r="AA23" s="745"/>
      <c r="AB23" s="745"/>
      <c r="AC23" s="745"/>
      <c r="AD23" s="745"/>
      <c r="AE23" s="745"/>
      <c r="AF23" s="745"/>
      <c r="AG23" s="745"/>
      <c r="AH23" s="745"/>
      <c r="AI23" s="745"/>
      <c r="AJ23" s="734"/>
      <c r="AK23" s="734"/>
      <c r="AL23" s="734"/>
      <c r="AM23" s="734"/>
      <c r="AN23" s="734"/>
      <c r="AO23" s="734"/>
      <c r="AP23" s="734"/>
      <c r="AQ23" s="734"/>
      <c r="AR23" s="734"/>
      <c r="AS23" s="734"/>
      <c r="AT23" s="734"/>
      <c r="AU23" s="734"/>
      <c r="AV23" s="734"/>
      <c r="AW23" s="734"/>
      <c r="AX23" s="734"/>
    </row>
    <row r="24" spans="1:50" s="237" customFormat="1" ht="15" customHeight="1">
      <c r="A24" s="245"/>
      <c r="B24" s="374" t="s">
        <v>52</v>
      </c>
      <c r="C24" s="737">
        <v>580.44000000000005</v>
      </c>
      <c r="D24" s="737">
        <v>580.09</v>
      </c>
      <c r="E24" s="737">
        <v>592.91</v>
      </c>
      <c r="F24" s="737">
        <v>628.91999999999996</v>
      </c>
      <c r="G24" s="737">
        <v>647.77</v>
      </c>
      <c r="H24" s="737">
        <v>679.58</v>
      </c>
      <c r="I24" s="737">
        <v>710.3</v>
      </c>
      <c r="J24" s="737">
        <v>742.9</v>
      </c>
      <c r="K24" s="737">
        <v>787.75</v>
      </c>
      <c r="L24" s="737">
        <v>830.02</v>
      </c>
      <c r="M24" s="737">
        <v>891.09</v>
      </c>
      <c r="O24" s="287"/>
      <c r="P24" s="286"/>
      <c r="Q24" s="738"/>
      <c r="R24" s="239"/>
      <c r="S24" s="738"/>
      <c r="T24" s="739"/>
      <c r="U24" s="738"/>
      <c r="V24" s="239"/>
      <c r="W24" s="239"/>
      <c r="X24" s="252"/>
      <c r="Y24" s="735"/>
      <c r="Z24" s="745"/>
      <c r="AA24" s="745"/>
      <c r="AB24" s="745"/>
      <c r="AC24" s="745"/>
      <c r="AD24" s="745"/>
      <c r="AE24" s="745"/>
      <c r="AF24" s="745"/>
      <c r="AG24" s="745"/>
      <c r="AH24" s="745"/>
      <c r="AI24" s="745"/>
      <c r="AJ24" s="239"/>
      <c r="AK24" s="239"/>
      <c r="AL24" s="239"/>
      <c r="AM24" s="239"/>
      <c r="AN24" s="239"/>
      <c r="AO24" s="239"/>
      <c r="AP24" s="239"/>
      <c r="AQ24" s="239"/>
      <c r="AR24" s="239"/>
      <c r="AS24" s="239"/>
      <c r="AT24" s="239"/>
      <c r="AU24" s="239"/>
      <c r="AV24" s="239"/>
      <c r="AW24" s="239"/>
      <c r="AX24" s="239"/>
    </row>
    <row r="25" spans="1:50" s="237" customFormat="1" ht="15" customHeight="1">
      <c r="A25" s="245"/>
      <c r="B25" s="374" t="s">
        <v>53</v>
      </c>
      <c r="C25" s="737">
        <v>552.41999999999996</v>
      </c>
      <c r="D25" s="737">
        <v>559.54999999999995</v>
      </c>
      <c r="E25" s="737">
        <v>577.32000000000005</v>
      </c>
      <c r="F25" s="737">
        <v>607.07000000000005</v>
      </c>
      <c r="G25" s="737">
        <v>627.76</v>
      </c>
      <c r="H25" s="737">
        <v>655.21</v>
      </c>
      <c r="I25" s="737">
        <v>684.63</v>
      </c>
      <c r="J25" s="737">
        <v>720.78</v>
      </c>
      <c r="K25" s="737">
        <v>762.22</v>
      </c>
      <c r="L25" s="737">
        <v>803.54</v>
      </c>
      <c r="M25" s="737">
        <v>865.85</v>
      </c>
      <c r="O25" s="287"/>
      <c r="P25" s="286"/>
      <c r="Q25" s="252"/>
      <c r="R25" s="738"/>
      <c r="S25" s="738"/>
      <c r="T25" s="739"/>
      <c r="U25" s="738"/>
      <c r="V25" s="239"/>
      <c r="W25" s="239"/>
      <c r="X25" s="250"/>
      <c r="Y25" s="746"/>
      <c r="Z25" s="745"/>
      <c r="AA25" s="745"/>
      <c r="AB25" s="745"/>
      <c r="AC25" s="745"/>
      <c r="AD25" s="745"/>
      <c r="AE25" s="745"/>
      <c r="AF25" s="745"/>
      <c r="AG25" s="745"/>
      <c r="AH25" s="745"/>
      <c r="AI25" s="745"/>
      <c r="AJ25" s="239"/>
      <c r="AK25" s="239"/>
      <c r="AL25" s="239"/>
      <c r="AM25" s="239"/>
      <c r="AN25" s="239"/>
      <c r="AO25" s="239"/>
      <c r="AP25" s="239"/>
      <c r="AQ25" s="239"/>
      <c r="AR25" s="239"/>
      <c r="AS25" s="239"/>
      <c r="AT25" s="239"/>
      <c r="AU25" s="239"/>
      <c r="AV25" s="239"/>
      <c r="AW25" s="239"/>
      <c r="AX25" s="239"/>
    </row>
    <row r="26" spans="1:50" s="262" customFormat="1" ht="20.25" customHeight="1">
      <c r="A26" s="242" t="s">
        <v>50</v>
      </c>
      <c r="B26" s="373" t="s">
        <v>44</v>
      </c>
      <c r="C26" s="287">
        <v>544.32000000000005</v>
      </c>
      <c r="D26" s="287">
        <v>544.79999999999995</v>
      </c>
      <c r="E26" s="287">
        <v>565.69000000000005</v>
      </c>
      <c r="F26" s="287">
        <v>590.87</v>
      </c>
      <c r="G26" s="287">
        <v>612.33000000000004</v>
      </c>
      <c r="H26" s="287">
        <v>624.49</v>
      </c>
      <c r="I26" s="287">
        <v>656.69</v>
      </c>
      <c r="J26" s="287">
        <v>689.99</v>
      </c>
      <c r="K26" s="287">
        <v>728.52</v>
      </c>
      <c r="L26" s="287">
        <v>785.85</v>
      </c>
      <c r="M26" s="287">
        <v>844.25</v>
      </c>
      <c r="O26" s="287"/>
      <c r="P26" s="286"/>
      <c r="Q26" s="734"/>
      <c r="R26" s="734"/>
      <c r="S26" s="734"/>
      <c r="T26" s="734"/>
      <c r="U26" s="734"/>
      <c r="V26" s="734"/>
      <c r="W26" s="734"/>
      <c r="X26" s="250"/>
      <c r="Y26" s="746"/>
      <c r="Z26" s="745"/>
      <c r="AA26" s="745"/>
      <c r="AB26" s="745"/>
      <c r="AC26" s="745"/>
      <c r="AD26" s="745"/>
      <c r="AE26" s="745"/>
      <c r="AF26" s="745"/>
      <c r="AG26" s="745"/>
      <c r="AH26" s="745"/>
      <c r="AI26" s="745"/>
      <c r="AJ26" s="734"/>
      <c r="AK26" s="734"/>
      <c r="AL26" s="734"/>
      <c r="AM26" s="734"/>
      <c r="AN26" s="734"/>
      <c r="AO26" s="734"/>
      <c r="AP26" s="734"/>
      <c r="AQ26" s="734"/>
      <c r="AR26" s="734"/>
      <c r="AS26" s="734"/>
      <c r="AT26" s="734"/>
      <c r="AU26" s="734"/>
      <c r="AV26" s="734"/>
      <c r="AW26" s="734"/>
      <c r="AX26" s="734"/>
    </row>
    <row r="27" spans="1:50" s="237" customFormat="1" ht="15" customHeight="1">
      <c r="A27" s="245"/>
      <c r="B27" s="374" t="s">
        <v>52</v>
      </c>
      <c r="C27" s="737">
        <v>561.22</v>
      </c>
      <c r="D27" s="737">
        <v>559.02</v>
      </c>
      <c r="E27" s="737">
        <v>576.98</v>
      </c>
      <c r="F27" s="737">
        <v>600.22</v>
      </c>
      <c r="G27" s="737">
        <v>621.21</v>
      </c>
      <c r="H27" s="737">
        <v>630.5</v>
      </c>
      <c r="I27" s="737">
        <v>663.73</v>
      </c>
      <c r="J27" s="737">
        <v>697.69</v>
      </c>
      <c r="K27" s="737">
        <v>734.83</v>
      </c>
      <c r="L27" s="737">
        <v>790.93</v>
      </c>
      <c r="M27" s="737">
        <v>849.19</v>
      </c>
      <c r="O27" s="287"/>
      <c r="P27" s="738"/>
      <c r="Q27" s="239"/>
      <c r="R27" s="239"/>
      <c r="S27" s="239"/>
      <c r="T27" s="239"/>
      <c r="U27" s="239"/>
      <c r="V27" s="239"/>
      <c r="W27" s="239"/>
      <c r="X27" s="252"/>
      <c r="Y27" s="735"/>
      <c r="Z27" s="745"/>
      <c r="AA27" s="745"/>
      <c r="AB27" s="745"/>
      <c r="AC27" s="745"/>
      <c r="AD27" s="745"/>
      <c r="AE27" s="745"/>
      <c r="AF27" s="745"/>
      <c r="AG27" s="745"/>
      <c r="AH27" s="745"/>
      <c r="AI27" s="745"/>
      <c r="AJ27" s="239"/>
      <c r="AK27" s="239"/>
      <c r="AL27" s="239"/>
      <c r="AM27" s="239"/>
      <c r="AN27" s="239"/>
      <c r="AO27" s="239"/>
      <c r="AP27" s="239"/>
      <c r="AQ27" s="239"/>
      <c r="AR27" s="239"/>
      <c r="AS27" s="239"/>
      <c r="AT27" s="239"/>
      <c r="AU27" s="239"/>
      <c r="AV27" s="239"/>
      <c r="AW27" s="239"/>
      <c r="AX27" s="239"/>
    </row>
    <row r="28" spans="1:50" s="237" customFormat="1" ht="15" customHeight="1">
      <c r="A28" s="245"/>
      <c r="B28" s="374" t="s">
        <v>53</v>
      </c>
      <c r="C28" s="737">
        <v>527.4</v>
      </c>
      <c r="D28" s="737">
        <v>530.39</v>
      </c>
      <c r="E28" s="737">
        <v>552.73</v>
      </c>
      <c r="F28" s="737">
        <v>579.55999999999995</v>
      </c>
      <c r="G28" s="737">
        <v>601.16</v>
      </c>
      <c r="H28" s="737">
        <v>616.35</v>
      </c>
      <c r="I28" s="737">
        <v>646.04</v>
      </c>
      <c r="J28" s="737">
        <v>678.55</v>
      </c>
      <c r="K28" s="737">
        <v>719.04</v>
      </c>
      <c r="L28" s="737">
        <v>777.44</v>
      </c>
      <c r="M28" s="737">
        <v>835.52</v>
      </c>
      <c r="O28" s="287"/>
      <c r="P28" s="738"/>
      <c r="Q28" s="239"/>
      <c r="R28" s="239"/>
      <c r="S28" s="239"/>
      <c r="T28" s="239"/>
      <c r="U28" s="239"/>
      <c r="V28" s="239"/>
      <c r="W28" s="239"/>
      <c r="X28" s="250"/>
      <c r="Y28" s="746"/>
      <c r="Z28" s="745"/>
      <c r="AA28" s="745"/>
      <c r="AB28" s="745"/>
      <c r="AC28" s="745"/>
      <c r="AD28" s="745"/>
      <c r="AE28" s="745"/>
      <c r="AF28" s="745"/>
      <c r="AG28" s="745"/>
      <c r="AH28" s="745"/>
      <c r="AI28" s="745"/>
      <c r="AJ28" s="239"/>
      <c r="AK28" s="239"/>
      <c r="AL28" s="239"/>
      <c r="AM28" s="239"/>
      <c r="AN28" s="239"/>
      <c r="AO28" s="239"/>
      <c r="AP28" s="239"/>
      <c r="AQ28" s="239"/>
      <c r="AR28" s="239"/>
      <c r="AS28" s="239"/>
      <c r="AT28" s="239"/>
      <c r="AU28" s="239"/>
      <c r="AV28" s="239"/>
      <c r="AW28" s="239"/>
      <c r="AX28" s="239"/>
    </row>
    <row r="29" spans="1:50" s="262" customFormat="1" ht="20.25" customHeight="1">
      <c r="A29" s="242" t="s">
        <v>51</v>
      </c>
      <c r="B29" s="373" t="s">
        <v>44</v>
      </c>
      <c r="C29" s="287">
        <v>540.54999999999995</v>
      </c>
      <c r="D29" s="287">
        <v>542.17999999999995</v>
      </c>
      <c r="E29" s="287">
        <v>562.67999999999995</v>
      </c>
      <c r="F29" s="287">
        <v>588.85</v>
      </c>
      <c r="G29" s="287">
        <v>611.49</v>
      </c>
      <c r="H29" s="287">
        <v>632.08000000000004</v>
      </c>
      <c r="I29" s="287">
        <v>661.8</v>
      </c>
      <c r="J29" s="287">
        <v>692.54</v>
      </c>
      <c r="K29" s="287">
        <v>736.77</v>
      </c>
      <c r="L29" s="287">
        <v>791.09</v>
      </c>
      <c r="M29" s="287">
        <v>850.36</v>
      </c>
      <c r="O29" s="287"/>
      <c r="P29" s="738"/>
      <c r="Q29" s="738"/>
      <c r="R29" s="738"/>
      <c r="S29" s="738"/>
      <c r="T29" s="739"/>
      <c r="U29" s="738"/>
      <c r="V29" s="734"/>
      <c r="W29" s="734"/>
      <c r="X29" s="250"/>
      <c r="Y29" s="746"/>
      <c r="Z29" s="745"/>
      <c r="AA29" s="745"/>
      <c r="AB29" s="745"/>
      <c r="AC29" s="745"/>
      <c r="AD29" s="745"/>
      <c r="AE29" s="745"/>
      <c r="AF29" s="745"/>
      <c r="AG29" s="745"/>
      <c r="AH29" s="745"/>
      <c r="AI29" s="745"/>
      <c r="AJ29" s="734"/>
      <c r="AK29" s="734"/>
      <c r="AL29" s="734"/>
      <c r="AM29" s="734"/>
      <c r="AN29" s="734"/>
      <c r="AO29" s="734"/>
      <c r="AP29" s="734"/>
      <c r="AQ29" s="734"/>
      <c r="AR29" s="734"/>
      <c r="AS29" s="734"/>
      <c r="AT29" s="734"/>
      <c r="AU29" s="734"/>
      <c r="AV29" s="734"/>
      <c r="AW29" s="734"/>
      <c r="AX29" s="734"/>
    </row>
    <row r="30" spans="1:50" s="237" customFormat="1" ht="15" customHeight="1">
      <c r="A30" s="245"/>
      <c r="B30" s="374" t="s">
        <v>52</v>
      </c>
      <c r="C30" s="737">
        <v>544.11</v>
      </c>
      <c r="D30" s="737">
        <v>547.66</v>
      </c>
      <c r="E30" s="737">
        <v>564.15</v>
      </c>
      <c r="F30" s="737">
        <v>590.71</v>
      </c>
      <c r="G30" s="737">
        <v>615.15</v>
      </c>
      <c r="H30" s="737">
        <v>635.36</v>
      </c>
      <c r="I30" s="737">
        <v>666.93</v>
      </c>
      <c r="J30" s="737">
        <v>694.69</v>
      </c>
      <c r="K30" s="737">
        <v>740.08</v>
      </c>
      <c r="L30" s="737">
        <v>793.79</v>
      </c>
      <c r="M30" s="737">
        <v>852.66</v>
      </c>
      <c r="O30" s="287"/>
      <c r="P30" s="738"/>
      <c r="Q30" s="738"/>
      <c r="R30" s="738"/>
      <c r="S30" s="738"/>
      <c r="T30" s="739"/>
      <c r="U30" s="738"/>
      <c r="V30" s="239"/>
      <c r="W30" s="239"/>
      <c r="X30" s="252"/>
      <c r="Y30" s="735"/>
      <c r="Z30" s="745"/>
      <c r="AA30" s="745"/>
      <c r="AB30" s="745"/>
      <c r="AC30" s="745"/>
      <c r="AD30" s="745"/>
      <c r="AE30" s="745"/>
      <c r="AF30" s="745"/>
      <c r="AG30" s="745"/>
      <c r="AH30" s="745"/>
      <c r="AI30" s="745"/>
      <c r="AJ30" s="239"/>
      <c r="AK30" s="239"/>
      <c r="AL30" s="239"/>
      <c r="AM30" s="239"/>
      <c r="AN30" s="239"/>
      <c r="AO30" s="239"/>
      <c r="AP30" s="239"/>
      <c r="AQ30" s="239"/>
      <c r="AR30" s="239"/>
      <c r="AS30" s="239"/>
      <c r="AT30" s="239"/>
      <c r="AU30" s="239"/>
      <c r="AV30" s="239"/>
      <c r="AW30" s="239"/>
      <c r="AX30" s="239"/>
    </row>
    <row r="31" spans="1:50" s="237" customFormat="1" ht="15" customHeight="1">
      <c r="A31" s="271"/>
      <c r="B31" s="272" t="s">
        <v>53</v>
      </c>
      <c r="C31" s="747">
        <v>536.73</v>
      </c>
      <c r="D31" s="747">
        <v>535.46</v>
      </c>
      <c r="E31" s="747">
        <v>560.89</v>
      </c>
      <c r="F31" s="747">
        <v>586.51</v>
      </c>
      <c r="G31" s="747">
        <v>606.30999999999995</v>
      </c>
      <c r="H31" s="747">
        <v>626.95000000000005</v>
      </c>
      <c r="I31" s="747">
        <v>653.89</v>
      </c>
      <c r="J31" s="747">
        <v>688.88</v>
      </c>
      <c r="K31" s="747">
        <v>731.65</v>
      </c>
      <c r="L31" s="747">
        <v>786.82</v>
      </c>
      <c r="M31" s="747">
        <v>846.31</v>
      </c>
      <c r="O31" s="287"/>
      <c r="P31" s="738"/>
      <c r="Q31" s="738"/>
      <c r="R31" s="738"/>
      <c r="S31" s="738"/>
      <c r="T31" s="739"/>
      <c r="U31" s="738"/>
      <c r="V31" s="239"/>
      <c r="W31" s="239"/>
      <c r="X31" s="250"/>
      <c r="Y31" s="746"/>
      <c r="Z31" s="745"/>
      <c r="AA31" s="745"/>
      <c r="AB31" s="745"/>
      <c r="AC31" s="745"/>
      <c r="AD31" s="745"/>
      <c r="AE31" s="745"/>
      <c r="AF31" s="745"/>
      <c r="AG31" s="745"/>
      <c r="AH31" s="745"/>
      <c r="AI31" s="745"/>
      <c r="AJ31" s="239"/>
      <c r="AK31" s="239"/>
      <c r="AL31" s="239"/>
      <c r="AM31" s="239"/>
      <c r="AN31" s="239"/>
      <c r="AO31" s="239"/>
      <c r="AP31" s="239"/>
      <c r="AQ31" s="239"/>
      <c r="AR31" s="239"/>
      <c r="AS31" s="239"/>
      <c r="AT31" s="239"/>
      <c r="AU31" s="239"/>
      <c r="AV31" s="239"/>
      <c r="AW31" s="239"/>
      <c r="AX31" s="239"/>
    </row>
    <row r="32" spans="1:50" s="262" customFormat="1" ht="15" customHeight="1">
      <c r="A32" s="19" t="s">
        <v>769</v>
      </c>
      <c r="B32" s="268"/>
      <c r="C32" s="270"/>
      <c r="D32" s="270"/>
      <c r="E32" s="270"/>
      <c r="F32" s="270"/>
      <c r="G32" s="270"/>
      <c r="H32" s="270"/>
      <c r="I32" s="270"/>
      <c r="J32" s="270"/>
      <c r="K32" s="270"/>
      <c r="L32" s="270"/>
      <c r="M32" s="270"/>
      <c r="P32" s="734"/>
      <c r="Q32" s="734"/>
      <c r="R32" s="734"/>
      <c r="S32" s="734"/>
      <c r="T32" s="734"/>
      <c r="U32" s="734"/>
      <c r="V32" s="734"/>
      <c r="W32" s="734"/>
      <c r="X32" s="250"/>
      <c r="Y32" s="746"/>
      <c r="Z32" s="745"/>
      <c r="AA32" s="745"/>
      <c r="AB32" s="745"/>
      <c r="AC32" s="745"/>
      <c r="AD32" s="745"/>
      <c r="AE32" s="745"/>
      <c r="AF32" s="745"/>
      <c r="AG32" s="745"/>
      <c r="AH32" s="745"/>
      <c r="AI32" s="745"/>
      <c r="AJ32" s="734"/>
      <c r="AK32" s="734"/>
      <c r="AL32" s="734"/>
      <c r="AM32" s="734"/>
      <c r="AN32" s="734"/>
      <c r="AO32" s="734"/>
      <c r="AP32" s="734"/>
      <c r="AQ32" s="734"/>
      <c r="AR32" s="734"/>
      <c r="AS32" s="734"/>
      <c r="AT32" s="734"/>
      <c r="AU32" s="734"/>
      <c r="AV32" s="734"/>
      <c r="AW32" s="734"/>
      <c r="AX32" s="734"/>
    </row>
    <row r="33" spans="1:50" s="262" customFormat="1" ht="15.75" customHeight="1">
      <c r="A33" s="955" t="s">
        <v>788</v>
      </c>
      <c r="B33" s="955"/>
      <c r="C33" s="955"/>
      <c r="D33" s="955"/>
      <c r="E33" s="955"/>
      <c r="F33" s="955"/>
      <c r="G33" s="955"/>
      <c r="H33" s="955"/>
      <c r="I33" s="955"/>
      <c r="J33" s="955"/>
      <c r="K33" s="955"/>
      <c r="L33" s="955"/>
      <c r="M33" s="955"/>
      <c r="P33" s="734"/>
      <c r="Q33" s="734"/>
      <c r="R33" s="734"/>
      <c r="S33" s="734"/>
      <c r="T33" s="734"/>
      <c r="U33" s="734"/>
      <c r="V33" s="734"/>
      <c r="W33" s="734"/>
      <c r="X33" s="252"/>
      <c r="Y33" s="735"/>
      <c r="Z33" s="745"/>
      <c r="AA33" s="745"/>
      <c r="AB33" s="745"/>
      <c r="AC33" s="745"/>
      <c r="AD33" s="745"/>
      <c r="AE33" s="745"/>
      <c r="AF33" s="745"/>
      <c r="AG33" s="745"/>
      <c r="AH33" s="745"/>
      <c r="AI33" s="745"/>
      <c r="AJ33" s="734"/>
      <c r="AK33" s="734"/>
      <c r="AL33" s="734"/>
      <c r="AM33" s="734"/>
      <c r="AN33" s="734"/>
      <c r="AO33" s="734"/>
      <c r="AP33" s="734"/>
      <c r="AQ33" s="734"/>
      <c r="AR33" s="734"/>
      <c r="AS33" s="734"/>
      <c r="AT33" s="734"/>
      <c r="AU33" s="734"/>
      <c r="AV33" s="734"/>
      <c r="AW33" s="734"/>
      <c r="AX33" s="734"/>
    </row>
    <row r="34" spans="1:50">
      <c r="X34" s="250"/>
      <c r="Y34" s="746"/>
      <c r="Z34" s="745"/>
      <c r="AA34" s="745"/>
      <c r="AB34" s="745"/>
      <c r="AC34" s="745"/>
      <c r="AD34" s="745"/>
      <c r="AE34" s="745"/>
      <c r="AF34" s="745"/>
      <c r="AG34" s="745"/>
      <c r="AH34" s="745"/>
      <c r="AI34" s="745"/>
    </row>
    <row r="35" spans="1:50">
      <c r="X35" s="250"/>
      <c r="Y35" s="746"/>
      <c r="Z35" s="745"/>
      <c r="AA35" s="745"/>
      <c r="AB35" s="745"/>
      <c r="AC35" s="745"/>
      <c r="AD35" s="745"/>
      <c r="AE35" s="745"/>
      <c r="AF35" s="745"/>
      <c r="AG35" s="745"/>
      <c r="AH35" s="745"/>
      <c r="AI35" s="745"/>
    </row>
    <row r="36" spans="1:50">
      <c r="X36" s="252"/>
      <c r="Y36" s="735"/>
      <c r="Z36" s="745"/>
      <c r="AA36" s="745"/>
      <c r="AB36" s="745"/>
      <c r="AC36" s="745"/>
      <c r="AD36" s="745"/>
      <c r="AE36" s="745"/>
      <c r="AF36" s="745"/>
      <c r="AG36" s="745"/>
      <c r="AH36" s="745"/>
      <c r="AI36" s="745"/>
    </row>
    <row r="37" spans="1:50">
      <c r="X37" s="250"/>
      <c r="Y37" s="746"/>
      <c r="Z37" s="745"/>
      <c r="AA37" s="745"/>
      <c r="AB37" s="745"/>
      <c r="AC37" s="745"/>
      <c r="AD37" s="745"/>
      <c r="AE37" s="745"/>
      <c r="AF37" s="745"/>
      <c r="AG37" s="745"/>
      <c r="AH37" s="745"/>
      <c r="AI37" s="745"/>
    </row>
    <row r="38" spans="1:50">
      <c r="X38" s="250"/>
      <c r="Y38" s="746"/>
      <c r="Z38" s="745"/>
      <c r="AA38" s="745"/>
      <c r="AB38" s="745"/>
      <c r="AC38" s="745"/>
      <c r="AD38" s="745"/>
      <c r="AE38" s="745"/>
      <c r="AF38" s="745"/>
      <c r="AG38" s="745"/>
      <c r="AH38" s="745"/>
      <c r="AI38" s="745"/>
    </row>
    <row r="39" spans="1:50">
      <c r="X39" s="252"/>
      <c r="Y39" s="735"/>
      <c r="Z39" s="745"/>
      <c r="AA39" s="745"/>
      <c r="AB39" s="745"/>
      <c r="AC39" s="745"/>
      <c r="AD39" s="745"/>
      <c r="AE39" s="745"/>
      <c r="AF39" s="745"/>
      <c r="AG39" s="745"/>
      <c r="AH39" s="745"/>
      <c r="AI39" s="745"/>
    </row>
    <row r="40" spans="1:50">
      <c r="X40" s="250"/>
      <c r="Y40" s="746"/>
      <c r="Z40" s="745"/>
      <c r="AA40" s="745"/>
      <c r="AB40" s="745"/>
      <c r="AC40" s="745"/>
      <c r="AD40" s="745"/>
      <c r="AE40" s="745"/>
      <c r="AF40" s="745"/>
      <c r="AG40" s="745"/>
      <c r="AH40" s="745"/>
      <c r="AI40" s="745"/>
    </row>
    <row r="41" spans="1:50">
      <c r="X41" s="250"/>
      <c r="Y41" s="746"/>
      <c r="Z41" s="745"/>
      <c r="AA41" s="745"/>
      <c r="AB41" s="745"/>
      <c r="AC41" s="745"/>
      <c r="AD41" s="745"/>
      <c r="AE41" s="745"/>
      <c r="AF41" s="745"/>
      <c r="AG41" s="745"/>
      <c r="AH41" s="745"/>
      <c r="AI41" s="745"/>
    </row>
    <row r="42" spans="1:50">
      <c r="X42" s="252"/>
      <c r="Y42" s="735"/>
      <c r="Z42" s="745"/>
      <c r="AA42" s="745"/>
      <c r="AB42" s="745"/>
      <c r="AC42" s="745"/>
      <c r="AD42" s="745"/>
      <c r="AE42" s="745"/>
      <c r="AF42" s="745"/>
      <c r="AG42" s="745"/>
      <c r="AH42" s="745"/>
      <c r="AI42" s="745"/>
    </row>
    <row r="43" spans="1:50">
      <c r="X43" s="250"/>
      <c r="Y43" s="746"/>
      <c r="Z43" s="745"/>
      <c r="AA43" s="745"/>
      <c r="AB43" s="745"/>
      <c r="AC43" s="745"/>
      <c r="AD43" s="745"/>
      <c r="AE43" s="745"/>
      <c r="AF43" s="745"/>
      <c r="AG43" s="745"/>
      <c r="AH43" s="745"/>
      <c r="AI43" s="745"/>
    </row>
    <row r="44" spans="1:50">
      <c r="X44" s="250"/>
      <c r="Y44" s="746"/>
      <c r="Z44" s="745"/>
      <c r="AA44" s="745"/>
      <c r="AB44" s="745"/>
      <c r="AC44" s="745"/>
      <c r="AD44" s="745"/>
      <c r="AE44" s="745"/>
      <c r="AF44" s="745"/>
      <c r="AG44" s="745"/>
      <c r="AH44" s="745"/>
      <c r="AI44" s="745"/>
    </row>
    <row r="45" spans="1:50">
      <c r="P45" s="239"/>
    </row>
    <row r="50" spans="24:36" ht="12.75">
      <c r="X50" s="239"/>
      <c r="Y50" s="750"/>
      <c r="Z50" s="683"/>
      <c r="AA50" s="675"/>
      <c r="AB50" s="239"/>
      <c r="AC50" s="239"/>
      <c r="AD50" s="679"/>
      <c r="AE50" s="239"/>
      <c r="AF50" s="239"/>
      <c r="AG50" s="239"/>
      <c r="AH50" s="239"/>
      <c r="AI50" s="239"/>
      <c r="AJ50" s="239"/>
    </row>
    <row r="51" spans="24:36" ht="12.75">
      <c r="X51" s="239"/>
      <c r="Y51" s="239"/>
      <c r="Z51" s="688"/>
      <c r="AA51" s="688"/>
      <c r="AB51" s="688"/>
      <c r="AC51" s="688"/>
      <c r="AD51" s="688"/>
      <c r="AE51" s="688"/>
      <c r="AF51" s="688"/>
      <c r="AG51" s="688"/>
      <c r="AH51" s="688"/>
      <c r="AI51" s="688"/>
      <c r="AJ51" s="734"/>
    </row>
    <row r="52" spans="24:36">
      <c r="X52" s="735"/>
      <c r="Y52" s="735"/>
      <c r="Z52" s="751"/>
      <c r="AA52" s="751"/>
      <c r="AB52" s="751"/>
      <c r="AC52" s="751"/>
      <c r="AD52" s="751"/>
      <c r="AE52" s="751"/>
      <c r="AF52" s="751"/>
      <c r="AG52" s="751"/>
      <c r="AH52" s="751"/>
      <c r="AI52" s="751"/>
      <c r="AJ52" s="239"/>
    </row>
    <row r="53" spans="24:36">
      <c r="X53" s="252"/>
      <c r="Y53" s="735"/>
      <c r="Z53" s="751"/>
      <c r="AA53" s="751"/>
      <c r="AB53" s="751"/>
      <c r="AC53" s="751"/>
      <c r="AD53" s="751"/>
      <c r="AE53" s="751"/>
      <c r="AF53" s="751"/>
      <c r="AG53" s="751"/>
      <c r="AH53" s="751"/>
      <c r="AI53" s="751"/>
      <c r="AJ53" s="239"/>
    </row>
    <row r="54" spans="24:36">
      <c r="X54" s="252"/>
      <c r="Y54" s="735"/>
      <c r="Z54" s="751"/>
      <c r="AA54" s="751"/>
      <c r="AB54" s="751"/>
      <c r="AC54" s="751"/>
      <c r="AD54" s="751"/>
      <c r="AE54" s="751"/>
      <c r="AF54" s="751"/>
      <c r="AG54" s="751"/>
      <c r="AH54" s="751"/>
      <c r="AI54" s="751"/>
      <c r="AJ54" s="734"/>
    </row>
    <row r="55" spans="24:36">
      <c r="X55" s="252"/>
      <c r="Y55" s="735"/>
      <c r="Z55" s="751"/>
      <c r="AA55" s="751"/>
      <c r="AB55" s="751"/>
      <c r="AC55" s="751"/>
      <c r="AD55" s="751"/>
      <c r="AE55" s="751"/>
      <c r="AF55" s="751"/>
      <c r="AG55" s="751"/>
      <c r="AH55" s="751"/>
      <c r="AI55" s="751"/>
      <c r="AJ55" s="239"/>
    </row>
    <row r="56" spans="24:36">
      <c r="X56" s="250"/>
      <c r="Y56" s="746"/>
      <c r="Z56" s="751"/>
      <c r="AA56" s="751"/>
      <c r="AB56" s="751"/>
      <c r="AC56" s="751"/>
      <c r="AD56" s="751"/>
      <c r="AE56" s="751"/>
      <c r="AF56" s="751"/>
      <c r="AG56" s="751"/>
      <c r="AH56" s="751"/>
      <c r="AI56" s="751"/>
      <c r="AJ56" s="239"/>
    </row>
    <row r="57" spans="24:36">
      <c r="X57" s="250"/>
      <c r="Y57" s="746"/>
      <c r="Z57" s="751"/>
      <c r="AA57" s="751"/>
      <c r="AB57" s="751"/>
      <c r="AC57" s="751"/>
      <c r="AD57" s="751"/>
      <c r="AE57" s="751"/>
      <c r="AF57" s="751"/>
      <c r="AG57" s="751"/>
      <c r="AH57" s="751"/>
      <c r="AI57" s="751"/>
      <c r="AJ57" s="734"/>
    </row>
    <row r="58" spans="24:36">
      <c r="X58" s="252"/>
      <c r="Y58" s="735"/>
      <c r="Z58" s="751"/>
      <c r="AA58" s="751"/>
      <c r="AB58" s="751"/>
      <c r="AC58" s="751"/>
      <c r="AD58" s="751"/>
      <c r="AE58" s="751"/>
      <c r="AF58" s="751"/>
      <c r="AG58" s="751"/>
      <c r="AH58" s="751"/>
      <c r="AI58" s="751"/>
      <c r="AJ58" s="239"/>
    </row>
    <row r="59" spans="24:36">
      <c r="X59" s="250"/>
      <c r="Y59" s="746"/>
      <c r="Z59" s="751"/>
      <c r="AA59" s="751"/>
      <c r="AB59" s="751"/>
      <c r="AC59" s="751"/>
      <c r="AD59" s="751"/>
      <c r="AE59" s="751"/>
      <c r="AF59" s="751"/>
      <c r="AG59" s="751"/>
      <c r="AH59" s="751"/>
      <c r="AI59" s="751"/>
      <c r="AJ59" s="239"/>
    </row>
    <row r="60" spans="24:36">
      <c r="X60" s="250"/>
      <c r="Y60" s="746"/>
      <c r="Z60" s="751"/>
      <c r="AA60" s="751"/>
      <c r="AB60" s="751"/>
      <c r="AC60" s="751"/>
      <c r="AD60" s="751"/>
      <c r="AE60" s="751"/>
      <c r="AF60" s="751"/>
      <c r="AG60" s="751"/>
      <c r="AH60" s="751"/>
      <c r="AI60" s="751"/>
      <c r="AJ60" s="734"/>
    </row>
    <row r="61" spans="24:36">
      <c r="X61" s="252"/>
      <c r="Y61" s="735"/>
      <c r="Z61" s="751"/>
      <c r="AA61" s="751"/>
      <c r="AB61" s="751"/>
      <c r="AC61" s="751"/>
      <c r="AD61" s="751"/>
      <c r="AE61" s="751"/>
      <c r="AF61" s="751"/>
      <c r="AG61" s="751"/>
      <c r="AH61" s="751"/>
      <c r="AI61" s="751"/>
      <c r="AJ61" s="239"/>
    </row>
    <row r="62" spans="24:36">
      <c r="X62" s="250"/>
      <c r="Y62" s="746"/>
      <c r="Z62" s="751"/>
      <c r="AA62" s="751"/>
      <c r="AB62" s="751"/>
      <c r="AC62" s="751"/>
      <c r="AD62" s="751"/>
      <c r="AE62" s="751"/>
      <c r="AF62" s="751"/>
      <c r="AG62" s="751"/>
      <c r="AH62" s="751"/>
      <c r="AI62" s="751"/>
      <c r="AJ62" s="239"/>
    </row>
    <row r="63" spans="24:36">
      <c r="X63" s="250"/>
      <c r="Y63" s="746"/>
      <c r="Z63" s="751"/>
      <c r="AA63" s="751"/>
      <c r="AB63" s="751"/>
      <c r="AC63" s="751"/>
      <c r="AD63" s="751"/>
      <c r="AE63" s="751"/>
      <c r="AF63" s="751"/>
      <c r="AG63" s="751"/>
      <c r="AH63" s="751"/>
      <c r="AI63" s="751"/>
      <c r="AJ63" s="734"/>
    </row>
    <row r="64" spans="24:36">
      <c r="X64" s="252"/>
      <c r="Y64" s="735"/>
      <c r="Z64" s="751"/>
      <c r="AA64" s="751"/>
      <c r="AB64" s="751"/>
      <c r="AC64" s="751"/>
      <c r="AD64" s="751"/>
      <c r="AE64" s="751"/>
      <c r="AF64" s="751"/>
      <c r="AG64" s="751"/>
      <c r="AH64" s="751"/>
      <c r="AI64" s="751"/>
      <c r="AJ64" s="239"/>
    </row>
    <row r="65" spans="24:36">
      <c r="X65" s="250"/>
      <c r="Y65" s="746"/>
      <c r="Z65" s="751"/>
      <c r="AA65" s="751"/>
      <c r="AB65" s="751"/>
      <c r="AC65" s="751"/>
      <c r="AD65" s="751"/>
      <c r="AE65" s="751"/>
      <c r="AF65" s="751"/>
      <c r="AG65" s="751"/>
      <c r="AH65" s="751"/>
      <c r="AI65" s="751"/>
      <c r="AJ65" s="239"/>
    </row>
    <row r="66" spans="24:36">
      <c r="X66" s="250"/>
      <c r="Y66" s="746"/>
      <c r="Z66" s="751"/>
      <c r="AA66" s="751"/>
      <c r="AB66" s="751"/>
      <c r="AC66" s="751"/>
      <c r="AD66" s="751"/>
      <c r="AE66" s="751"/>
      <c r="AF66" s="751"/>
      <c r="AG66" s="751"/>
      <c r="AH66" s="751"/>
      <c r="AI66" s="751"/>
      <c r="AJ66" s="734"/>
    </row>
    <row r="67" spans="24:36">
      <c r="X67" s="252"/>
      <c r="Y67" s="735"/>
      <c r="Z67" s="751"/>
      <c r="AA67" s="751"/>
      <c r="AB67" s="751"/>
      <c r="AC67" s="751"/>
      <c r="AD67" s="751"/>
      <c r="AE67" s="751"/>
      <c r="AF67" s="751"/>
      <c r="AG67" s="751"/>
      <c r="AH67" s="751"/>
      <c r="AI67" s="751"/>
      <c r="AJ67" s="734"/>
    </row>
    <row r="68" spans="24:36">
      <c r="X68" s="250"/>
      <c r="Y68" s="746"/>
      <c r="Z68" s="751"/>
      <c r="AA68" s="751"/>
      <c r="AB68" s="751"/>
      <c r="AC68" s="751"/>
      <c r="AD68" s="751"/>
      <c r="AE68" s="751"/>
      <c r="AF68" s="751"/>
      <c r="AG68" s="751"/>
      <c r="AH68" s="751"/>
      <c r="AI68" s="751"/>
    </row>
    <row r="69" spans="24:36">
      <c r="X69" s="250"/>
      <c r="Y69" s="746"/>
      <c r="Z69" s="751"/>
      <c r="AA69" s="751"/>
      <c r="AB69" s="751"/>
      <c r="AC69" s="751"/>
      <c r="AD69" s="751"/>
      <c r="AE69" s="751"/>
      <c r="AF69" s="751"/>
      <c r="AG69" s="751"/>
      <c r="AH69" s="751"/>
      <c r="AI69" s="751"/>
    </row>
    <row r="70" spans="24:36">
      <c r="X70" s="252"/>
      <c r="Y70" s="735"/>
      <c r="Z70" s="751"/>
      <c r="AA70" s="751"/>
      <c r="AB70" s="751"/>
      <c r="AC70" s="751"/>
      <c r="AD70" s="751"/>
      <c r="AE70" s="751"/>
      <c r="AF70" s="751"/>
      <c r="AG70" s="751"/>
      <c r="AH70" s="751"/>
      <c r="AI70" s="751"/>
    </row>
    <row r="71" spans="24:36">
      <c r="X71" s="250"/>
      <c r="Y71" s="746"/>
      <c r="Z71" s="751"/>
      <c r="AA71" s="751"/>
      <c r="AB71" s="751"/>
      <c r="AC71" s="751"/>
      <c r="AD71" s="751"/>
      <c r="AE71" s="751"/>
      <c r="AF71" s="751"/>
      <c r="AG71" s="751"/>
      <c r="AH71" s="751"/>
      <c r="AI71" s="751"/>
    </row>
    <row r="72" spans="24:36">
      <c r="X72" s="250"/>
      <c r="Y72" s="746"/>
      <c r="Z72" s="751"/>
      <c r="AA72" s="751"/>
      <c r="AB72" s="751"/>
      <c r="AC72" s="751"/>
      <c r="AD72" s="751"/>
      <c r="AE72" s="751"/>
      <c r="AF72" s="751"/>
      <c r="AG72" s="751"/>
      <c r="AH72" s="751"/>
      <c r="AI72" s="751"/>
    </row>
    <row r="73" spans="24:36">
      <c r="X73" s="252"/>
      <c r="Y73" s="735"/>
      <c r="Z73" s="751"/>
      <c r="AA73" s="751"/>
      <c r="AB73" s="751"/>
      <c r="AC73" s="751"/>
      <c r="AD73" s="751"/>
      <c r="AE73" s="751"/>
      <c r="AF73" s="751"/>
      <c r="AG73" s="751"/>
      <c r="AH73" s="751"/>
      <c r="AI73" s="751"/>
    </row>
    <row r="74" spans="24:36">
      <c r="X74" s="250"/>
      <c r="Y74" s="746"/>
      <c r="Z74" s="751"/>
      <c r="AA74" s="751"/>
      <c r="AB74" s="751"/>
      <c r="AC74" s="751"/>
      <c r="AD74" s="751"/>
      <c r="AE74" s="751"/>
      <c r="AF74" s="751"/>
      <c r="AG74" s="751"/>
      <c r="AH74" s="751"/>
      <c r="AI74" s="751"/>
    </row>
    <row r="75" spans="24:36">
      <c r="X75" s="250"/>
      <c r="Y75" s="746"/>
      <c r="Z75" s="751"/>
      <c r="AA75" s="751"/>
      <c r="AB75" s="751"/>
      <c r="AC75" s="751"/>
      <c r="AD75" s="751"/>
      <c r="AE75" s="751"/>
      <c r="AF75" s="751"/>
      <c r="AG75" s="751"/>
      <c r="AH75" s="751"/>
      <c r="AI75" s="751"/>
    </row>
    <row r="76" spans="24:36">
      <c r="X76" s="252"/>
      <c r="Y76" s="735"/>
      <c r="Z76" s="751"/>
      <c r="AA76" s="751"/>
      <c r="AB76" s="751"/>
      <c r="AC76" s="751"/>
      <c r="AD76" s="751"/>
      <c r="AE76" s="751"/>
      <c r="AF76" s="751"/>
      <c r="AG76" s="751"/>
      <c r="AH76" s="751"/>
      <c r="AI76" s="751"/>
    </row>
    <row r="77" spans="24:36">
      <c r="X77" s="250"/>
      <c r="Y77" s="746"/>
      <c r="Z77" s="751"/>
      <c r="AA77" s="751"/>
      <c r="AB77" s="751"/>
      <c r="AC77" s="751"/>
      <c r="AD77" s="751"/>
      <c r="AE77" s="751"/>
      <c r="AF77" s="751"/>
      <c r="AG77" s="751"/>
      <c r="AH77" s="751"/>
      <c r="AI77" s="751"/>
    </row>
    <row r="78" spans="24:36">
      <c r="X78" s="250"/>
      <c r="Y78" s="746"/>
      <c r="Z78" s="751"/>
      <c r="AA78" s="751"/>
      <c r="AB78" s="751"/>
      <c r="AC78" s="751"/>
      <c r="AD78" s="751"/>
      <c r="AE78" s="751"/>
      <c r="AF78" s="751"/>
      <c r="AG78" s="751"/>
      <c r="AH78" s="751"/>
      <c r="AI78" s="751"/>
    </row>
  </sheetData>
  <mergeCells count="2">
    <mergeCell ref="A1:M1"/>
    <mergeCell ref="A33:M33"/>
  </mergeCells>
  <conditionalFormatting sqref="A1 A33 N1:O1 N2:P4 N5:O26 P21:P26 N27:P28 Q14:Q24 S24:W24 R25:W25 W12:AB17 AC1:XFD1 AD4:AG4 N69:W73 N40:P68 AC46:XFD49 A2:C4 Q11:AB11 N79:XFD1048576 B32:C32 A34:C1048576 AS4:AT4 N29:Y39 AC5:AT17 AU32:XFD33 BF4:XFD31 N74:P75 R74:W75 M4 A5:M31 AC3:XFD3 AC2 AP2:XFD2 N76:W78 AK50:XFD78 W18:Y23 AJ18:AT33 AJ34:XFD45">
    <cfRule type="cellIs" dxfId="810" priority="65" operator="equal">
      <formula>0</formula>
    </cfRule>
  </conditionalFormatting>
  <conditionalFormatting sqref="A32">
    <cfRule type="cellIs" dxfId="809" priority="64" operator="equal">
      <formula>0</formula>
    </cfRule>
  </conditionalFormatting>
  <conditionalFormatting sqref="D32 D2:D4 D34:D1048576">
    <cfRule type="cellIs" dxfId="808" priority="63" operator="equal">
      <formula>0</formula>
    </cfRule>
  </conditionalFormatting>
  <conditionalFormatting sqref="G32 G2:G3 G34:G1048576">
    <cfRule type="cellIs" dxfId="807" priority="62" operator="equal">
      <formula>0</formula>
    </cfRule>
  </conditionalFormatting>
  <conditionalFormatting sqref="E32 E2:E4 E34:E1048576 D4 F4:G4">
    <cfRule type="cellIs" dxfId="806" priority="61" operator="equal">
      <formula>0</formula>
    </cfRule>
  </conditionalFormatting>
  <conditionalFormatting sqref="F32 F2:F3 F34:F1048576">
    <cfRule type="cellIs" dxfId="805" priority="60" operator="equal">
      <formula>0</formula>
    </cfRule>
  </conditionalFormatting>
  <conditionalFormatting sqref="H32 H2:H3 H34:H1048576">
    <cfRule type="cellIs" dxfId="804" priority="59" operator="equal">
      <formula>0</formula>
    </cfRule>
  </conditionalFormatting>
  <conditionalFormatting sqref="H4">
    <cfRule type="cellIs" dxfId="803" priority="58" operator="equal">
      <formula>0</formula>
    </cfRule>
  </conditionalFormatting>
  <conditionalFormatting sqref="I32 I2:I3 I34:I1048576">
    <cfRule type="cellIs" dxfId="802" priority="57" operator="equal">
      <formula>0</formula>
    </cfRule>
  </conditionalFormatting>
  <conditionalFormatting sqref="I4">
    <cfRule type="cellIs" dxfId="801" priority="56" operator="equal">
      <formula>0</formula>
    </cfRule>
  </conditionalFormatting>
  <conditionalFormatting sqref="V12 Q13:V13 S14:V14 V15:V23">
    <cfRule type="cellIs" dxfId="800" priority="55" operator="equal">
      <formula>0</formula>
    </cfRule>
  </conditionalFormatting>
  <conditionalFormatting sqref="Q12">
    <cfRule type="cellIs" dxfId="799" priority="54" operator="equal">
      <formula>0</formula>
    </cfRule>
  </conditionalFormatting>
  <conditionalFormatting sqref="S12">
    <cfRule type="cellIs" dxfId="798" priority="53" operator="equal">
      <formula>0</formula>
    </cfRule>
  </conditionalFormatting>
  <conditionalFormatting sqref="R16">
    <cfRule type="cellIs" dxfId="797" priority="52" operator="equal">
      <formula>0</formula>
    </cfRule>
  </conditionalFormatting>
  <conditionalFormatting sqref="R17">
    <cfRule type="cellIs" dxfId="796" priority="51" operator="equal">
      <formula>0</formula>
    </cfRule>
  </conditionalFormatting>
  <conditionalFormatting sqref="R18">
    <cfRule type="cellIs" dxfId="795" priority="50" operator="equal">
      <formula>0</formula>
    </cfRule>
  </conditionalFormatting>
  <conditionalFormatting sqref="R19">
    <cfRule type="cellIs" dxfId="794" priority="49" operator="equal">
      <formula>0</formula>
    </cfRule>
  </conditionalFormatting>
  <conditionalFormatting sqref="R20">
    <cfRule type="cellIs" dxfId="793" priority="48" operator="equal">
      <formula>0</formula>
    </cfRule>
  </conditionalFormatting>
  <conditionalFormatting sqref="R21">
    <cfRule type="cellIs" dxfId="792" priority="47" operator="equal">
      <formula>0</formula>
    </cfRule>
  </conditionalFormatting>
  <conditionalFormatting sqref="R22">
    <cfRule type="cellIs" dxfId="791" priority="46" operator="equal">
      <formula>0</formula>
    </cfRule>
  </conditionalFormatting>
  <conditionalFormatting sqref="R23">
    <cfRule type="cellIs" dxfId="790" priority="45" operator="equal">
      <formula>0</formula>
    </cfRule>
  </conditionalFormatting>
  <conditionalFormatting sqref="J32 J2:J3 J34:J1048576">
    <cfRule type="cellIs" dxfId="789" priority="44" operator="equal">
      <formula>0</formula>
    </cfRule>
  </conditionalFormatting>
  <conditionalFormatting sqref="J4">
    <cfRule type="cellIs" dxfId="788" priority="43" operator="equal">
      <formula>0</formula>
    </cfRule>
  </conditionalFormatting>
  <conditionalFormatting sqref="Q25">
    <cfRule type="cellIs" dxfId="787" priority="42" operator="equal">
      <formula>0</formula>
    </cfRule>
  </conditionalFormatting>
  <conditionalFormatting sqref="X16 AB16:AC16 AE16:AI16">
    <cfRule type="cellIs" dxfId="786" priority="41" operator="equal">
      <formula>0</formula>
    </cfRule>
  </conditionalFormatting>
  <conditionalFormatting sqref="X18:Y43">
    <cfRule type="cellIs" dxfId="785" priority="40" operator="equal">
      <formula>0</formula>
    </cfRule>
  </conditionalFormatting>
  <conditionalFormatting sqref="X44:Y44">
    <cfRule type="cellIs" dxfId="784" priority="39" operator="equal">
      <formula>0</formula>
    </cfRule>
  </conditionalFormatting>
  <conditionalFormatting sqref="K32 K2:K3 K34:K1048576">
    <cfRule type="cellIs" dxfId="783" priority="38" operator="equal">
      <formula>0</formula>
    </cfRule>
  </conditionalFormatting>
  <conditionalFormatting sqref="K4">
    <cfRule type="cellIs" dxfId="782" priority="37" operator="equal">
      <formula>0</formula>
    </cfRule>
  </conditionalFormatting>
  <conditionalFormatting sqref="L32 L2:L3 L34:L1048576">
    <cfRule type="cellIs" dxfId="781" priority="36" operator="equal">
      <formula>0</formula>
    </cfRule>
  </conditionalFormatting>
  <conditionalFormatting sqref="L4">
    <cfRule type="cellIs" dxfId="780" priority="35" operator="equal">
      <formula>0</formula>
    </cfRule>
  </conditionalFormatting>
  <conditionalFormatting sqref="P45">
    <cfRule type="cellIs" dxfId="779" priority="34" operator="equal">
      <formula>0</formula>
    </cfRule>
  </conditionalFormatting>
  <conditionalFormatting sqref="M32 M2:M3 M34:M1048576">
    <cfRule type="cellIs" dxfId="778" priority="33" operator="equal">
      <formula>0</formula>
    </cfRule>
  </conditionalFormatting>
  <conditionalFormatting sqref="AJ4:AL4">
    <cfRule type="cellIs" dxfId="777" priority="30" operator="equal">
      <formula>0</formula>
    </cfRule>
  </conditionalFormatting>
  <conditionalFormatting sqref="AH4">
    <cfRule type="cellIs" dxfId="776" priority="32" operator="equal">
      <formula>0</formula>
    </cfRule>
  </conditionalFormatting>
  <conditionalFormatting sqref="AI4">
    <cfRule type="cellIs" dxfId="775" priority="31" operator="equal">
      <formula>0</formula>
    </cfRule>
  </conditionalFormatting>
  <conditionalFormatting sqref="AM4">
    <cfRule type="cellIs" dxfId="774" priority="29" operator="equal">
      <formula>0</formula>
    </cfRule>
  </conditionalFormatting>
  <conditionalFormatting sqref="AN4">
    <cfRule type="cellIs" dxfId="773" priority="28" operator="equal">
      <formula>0</formula>
    </cfRule>
  </conditionalFormatting>
  <conditionalFormatting sqref="AO4">
    <cfRule type="cellIs" dxfId="772" priority="27" operator="equal">
      <formula>0</formula>
    </cfRule>
  </conditionalFormatting>
  <conditionalFormatting sqref="AP4">
    <cfRule type="cellIs" dxfId="771" priority="26" operator="equal">
      <formula>0</formula>
    </cfRule>
  </conditionalFormatting>
  <conditionalFormatting sqref="AQ4">
    <cfRule type="cellIs" dxfId="770" priority="25" operator="equal">
      <formula>0</formula>
    </cfRule>
  </conditionalFormatting>
  <conditionalFormatting sqref="AR4">
    <cfRule type="cellIs" dxfId="769" priority="24" operator="equal">
      <formula>0</formula>
    </cfRule>
  </conditionalFormatting>
  <conditionalFormatting sqref="AU4">
    <cfRule type="cellIs" dxfId="768" priority="23" operator="equal">
      <formula>0</formula>
    </cfRule>
  </conditionalFormatting>
  <conditionalFormatting sqref="AV4">
    <cfRule type="cellIs" dxfId="767" priority="22" operator="equal">
      <formula>0</formula>
    </cfRule>
  </conditionalFormatting>
  <conditionalFormatting sqref="AW4:AY4">
    <cfRule type="cellIs" dxfId="766" priority="21" operator="equal">
      <formula>0</formula>
    </cfRule>
  </conditionalFormatting>
  <conditionalFormatting sqref="AZ4">
    <cfRule type="cellIs" dxfId="765" priority="20" operator="equal">
      <formula>0</formula>
    </cfRule>
  </conditionalFormatting>
  <conditionalFormatting sqref="BA4">
    <cfRule type="cellIs" dxfId="764" priority="19" operator="equal">
      <formula>0</formula>
    </cfRule>
  </conditionalFormatting>
  <conditionalFormatting sqref="BB4">
    <cfRule type="cellIs" dxfId="763" priority="18" operator="equal">
      <formula>0</formula>
    </cfRule>
  </conditionalFormatting>
  <conditionalFormatting sqref="BC4">
    <cfRule type="cellIs" dxfId="762" priority="17" operator="equal">
      <formula>0</formula>
    </cfRule>
  </conditionalFormatting>
  <conditionalFormatting sqref="BD4">
    <cfRule type="cellIs" dxfId="761" priority="16" operator="equal">
      <formula>0</formula>
    </cfRule>
  </conditionalFormatting>
  <conditionalFormatting sqref="BE4">
    <cfRule type="cellIs" dxfId="760" priority="15" operator="equal">
      <formula>0</formula>
    </cfRule>
  </conditionalFormatting>
  <conditionalFormatting sqref="P46">
    <cfRule type="cellIs" dxfId="759" priority="14" operator="equal">
      <formula>0</formula>
    </cfRule>
  </conditionalFormatting>
  <conditionalFormatting sqref="C4 M4">
    <cfRule type="cellIs" dxfId="758" priority="13" operator="equal">
      <formula>0</formula>
    </cfRule>
  </conditionalFormatting>
  <conditionalFormatting sqref="G4">
    <cfRule type="cellIs" dxfId="757" priority="12" operator="equal">
      <formula>0</formula>
    </cfRule>
  </conditionalFormatting>
  <conditionalFormatting sqref="H4">
    <cfRule type="cellIs" dxfId="756" priority="11" operator="equal">
      <formula>0</formula>
    </cfRule>
  </conditionalFormatting>
  <conditionalFormatting sqref="I4">
    <cfRule type="cellIs" dxfId="755" priority="10" operator="equal">
      <formula>0</formula>
    </cfRule>
  </conditionalFormatting>
  <conditionalFormatting sqref="J4">
    <cfRule type="cellIs" dxfId="754" priority="9" operator="equal">
      <formula>0</formula>
    </cfRule>
  </conditionalFormatting>
  <conditionalFormatting sqref="K4">
    <cfRule type="cellIs" dxfId="753" priority="8" operator="equal">
      <formula>0</formula>
    </cfRule>
  </conditionalFormatting>
  <conditionalFormatting sqref="L4">
    <cfRule type="cellIs" dxfId="752" priority="7" operator="equal">
      <formula>0</formula>
    </cfRule>
  </conditionalFormatting>
  <conditionalFormatting sqref="Q3:Q5">
    <cfRule type="cellIs" dxfId="751" priority="5" operator="equal">
      <formula>0</formula>
    </cfRule>
  </conditionalFormatting>
  <conditionalFormatting sqref="AD2">
    <cfRule type="cellIs" dxfId="750" priority="6" operator="equal">
      <formula>0</formula>
    </cfRule>
  </conditionalFormatting>
  <conditionalFormatting sqref="X63:Y73 X50:AJ50 X51:Y57 AJ51:AJ78">
    <cfRule type="cellIs" dxfId="749" priority="4" operator="equal">
      <formula>0</formula>
    </cfRule>
  </conditionalFormatting>
  <conditionalFormatting sqref="X50 AB50:AC50 AE50:AI50">
    <cfRule type="cellIs" dxfId="748" priority="3" operator="equal">
      <formula>0</formula>
    </cfRule>
  </conditionalFormatting>
  <conditionalFormatting sqref="X52:Y77">
    <cfRule type="cellIs" dxfId="747" priority="2" operator="equal">
      <formula>0</formula>
    </cfRule>
  </conditionalFormatting>
  <conditionalFormatting sqref="X78:Y78">
    <cfRule type="cellIs" dxfId="746" priority="1" operator="equal">
      <formula>0</formula>
    </cfRule>
  </conditionalFormatting>
  <printOptions horizontalCentered="1"/>
  <pageMargins left="0.19685039370078741" right="0.19685039370078741" top="1.5748031496062993" bottom="0.39370078740157483" header="0.51181102362204722" footer="0"/>
  <pageSetup paperSize="9" scale="85" fitToWidth="0" orientation="portrait" r:id="rId1"/>
  <headerFooter>
    <oddHeader>&amp;C&amp;G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F6D46-AF31-4C03-99C2-A94CA00D2F8C}">
  <sheetPr>
    <tabColor rgb="FFE1EAEF"/>
    <pageSetUpPr fitToPage="1"/>
  </sheetPr>
  <dimension ref="A1:M57"/>
  <sheetViews>
    <sheetView showGridLines="0" workbookViewId="0">
      <selection activeCell="Y70" sqref="Y70"/>
    </sheetView>
  </sheetViews>
  <sheetFormatPr defaultColWidth="9.140625" defaultRowHeight="11.25"/>
  <cols>
    <col min="1" max="1" width="3" style="614" customWidth="1"/>
    <col min="2" max="2" width="45.28515625" style="615" customWidth="1"/>
    <col min="3" max="13" width="6.28515625" style="596" customWidth="1"/>
    <col min="14" max="16384" width="9.140625" style="596"/>
  </cols>
  <sheetData>
    <row r="1" spans="1:13" s="593" customFormat="1" ht="28.5" customHeight="1">
      <c r="A1" s="989" t="s">
        <v>644</v>
      </c>
      <c r="B1" s="989"/>
      <c r="C1" s="989"/>
      <c r="D1" s="989"/>
      <c r="E1" s="989"/>
      <c r="F1" s="989"/>
      <c r="G1" s="989"/>
      <c r="H1" s="989"/>
      <c r="I1" s="989"/>
      <c r="J1" s="989"/>
      <c r="K1" s="989"/>
      <c r="L1" s="989"/>
      <c r="M1" s="989"/>
    </row>
    <row r="2" spans="1:13" ht="15" customHeight="1">
      <c r="A2" s="594"/>
      <c r="B2" s="595"/>
      <c r="C2" s="595"/>
      <c r="D2" s="595"/>
      <c r="E2" s="595"/>
      <c r="F2" s="595"/>
      <c r="G2" s="595"/>
      <c r="H2" s="595"/>
      <c r="I2" s="595"/>
      <c r="J2" s="595"/>
      <c r="K2" s="595"/>
      <c r="L2" s="595"/>
      <c r="M2" s="595"/>
    </row>
    <row r="3" spans="1:13" s="115" customFormat="1" ht="15" customHeight="1">
      <c r="A3" s="28" t="s">
        <v>41</v>
      </c>
      <c r="B3" s="598"/>
      <c r="C3" s="29"/>
      <c r="D3" s="29"/>
      <c r="E3" s="29"/>
      <c r="F3" s="29"/>
      <c r="G3" s="29"/>
      <c r="H3" s="29"/>
      <c r="I3" s="29"/>
      <c r="J3" s="29"/>
      <c r="K3" s="29"/>
      <c r="L3" s="29"/>
      <c r="M3" s="29" t="s">
        <v>67</v>
      </c>
    </row>
    <row r="4" spans="1:13" s="115" customFormat="1" ht="28.5" customHeight="1" thickBot="1">
      <c r="A4" s="104" t="s">
        <v>645</v>
      </c>
      <c r="B4" s="599"/>
      <c r="C4" s="200">
        <v>2014</v>
      </c>
      <c r="D4" s="200">
        <v>2015</v>
      </c>
      <c r="E4" s="200">
        <v>2016</v>
      </c>
      <c r="F4" s="200">
        <v>2017</v>
      </c>
      <c r="G4" s="200">
        <v>2018</v>
      </c>
      <c r="H4" s="200">
        <v>2019</v>
      </c>
      <c r="I4" s="200">
        <v>2020</v>
      </c>
      <c r="J4" s="200">
        <v>2021</v>
      </c>
      <c r="K4" s="200">
        <v>2022</v>
      </c>
      <c r="L4" s="200">
        <v>2023</v>
      </c>
      <c r="M4" s="200">
        <v>2024</v>
      </c>
    </row>
    <row r="5" spans="1:13" s="115" customFormat="1" ht="21" customHeight="1" thickTop="1">
      <c r="A5" s="616"/>
      <c r="B5" s="617" t="s">
        <v>11</v>
      </c>
      <c r="C5" s="618">
        <v>909.49</v>
      </c>
      <c r="D5" s="618">
        <v>913.93</v>
      </c>
      <c r="E5" s="618">
        <v>924.94</v>
      </c>
      <c r="F5" s="618">
        <v>943</v>
      </c>
      <c r="G5" s="618">
        <v>970.42</v>
      </c>
      <c r="H5" s="618">
        <v>1005.09</v>
      </c>
      <c r="I5" s="618">
        <v>1041.99</v>
      </c>
      <c r="J5" s="618">
        <v>1082.77</v>
      </c>
      <c r="K5" s="618">
        <v>1143.45</v>
      </c>
      <c r="L5" s="618">
        <v>1219.8699999999999</v>
      </c>
      <c r="M5" s="618">
        <v>1308.96</v>
      </c>
    </row>
    <row r="6" spans="1:13" s="115" customFormat="1" ht="24" customHeight="1">
      <c r="A6" s="600">
        <v>1</v>
      </c>
      <c r="B6" s="603" t="s">
        <v>584</v>
      </c>
      <c r="C6" s="619">
        <v>2052.4499999999998</v>
      </c>
      <c r="D6" s="619">
        <v>2079.75</v>
      </c>
      <c r="E6" s="619">
        <v>2107.9899999999998</v>
      </c>
      <c r="F6" s="619">
        <v>2146.0500000000002</v>
      </c>
      <c r="G6" s="619">
        <v>2200.1999999999998</v>
      </c>
      <c r="H6" s="619">
        <v>2261.4</v>
      </c>
      <c r="I6" s="619">
        <v>2333.06</v>
      </c>
      <c r="J6" s="619">
        <v>2403.16</v>
      </c>
      <c r="K6" s="619">
        <v>2518.79</v>
      </c>
      <c r="L6" s="619">
        <v>2657.57</v>
      </c>
      <c r="M6" s="619">
        <v>2846.78</v>
      </c>
    </row>
    <row r="7" spans="1:13" s="115" customFormat="1" ht="21" customHeight="1">
      <c r="A7" s="604">
        <v>11</v>
      </c>
      <c r="B7" s="610" t="s">
        <v>585</v>
      </c>
      <c r="C7" s="620">
        <v>2829.32</v>
      </c>
      <c r="D7" s="620">
        <v>2844.52</v>
      </c>
      <c r="E7" s="620">
        <v>2837.07</v>
      </c>
      <c r="F7" s="620">
        <v>2985.77</v>
      </c>
      <c r="G7" s="620">
        <v>3034.36</v>
      </c>
      <c r="H7" s="620">
        <v>3144.47</v>
      </c>
      <c r="I7" s="620">
        <v>3230.47</v>
      </c>
      <c r="J7" s="620">
        <v>3257.92</v>
      </c>
      <c r="K7" s="620">
        <v>3344.35</v>
      </c>
      <c r="L7" s="620">
        <v>3556.46</v>
      </c>
      <c r="M7" s="620">
        <v>3806.71</v>
      </c>
    </row>
    <row r="8" spans="1:13" s="115" customFormat="1" ht="12.75" customHeight="1">
      <c r="A8" s="604">
        <v>12</v>
      </c>
      <c r="B8" s="610" t="s">
        <v>586</v>
      </c>
      <c r="C8" s="620">
        <v>2366.84</v>
      </c>
      <c r="D8" s="620">
        <v>2383.54</v>
      </c>
      <c r="E8" s="620">
        <v>2401.41</v>
      </c>
      <c r="F8" s="620">
        <v>2416.9299999999998</v>
      </c>
      <c r="G8" s="620">
        <v>2495.6799999999998</v>
      </c>
      <c r="H8" s="620">
        <v>2513.67</v>
      </c>
      <c r="I8" s="620">
        <v>2579.35</v>
      </c>
      <c r="J8" s="620">
        <v>2647.82</v>
      </c>
      <c r="K8" s="620">
        <v>2814.89</v>
      </c>
      <c r="L8" s="620">
        <v>2947.49</v>
      </c>
      <c r="M8" s="620">
        <v>3132.14</v>
      </c>
    </row>
    <row r="9" spans="1:13" s="115" customFormat="1" ht="12.75" customHeight="1">
      <c r="A9" s="604">
        <v>13</v>
      </c>
      <c r="B9" s="610" t="s">
        <v>587</v>
      </c>
      <c r="C9" s="620">
        <v>1993.41</v>
      </c>
      <c r="D9" s="620">
        <v>2030.3</v>
      </c>
      <c r="E9" s="620">
        <v>2039.4</v>
      </c>
      <c r="F9" s="620">
        <v>2080</v>
      </c>
      <c r="G9" s="620">
        <v>2142.36</v>
      </c>
      <c r="H9" s="620">
        <v>2199.9299999999998</v>
      </c>
      <c r="I9" s="620">
        <v>2261.5500000000002</v>
      </c>
      <c r="J9" s="620">
        <v>2321.1</v>
      </c>
      <c r="K9" s="620">
        <v>2455.1</v>
      </c>
      <c r="L9" s="620">
        <v>2602.0500000000002</v>
      </c>
      <c r="M9" s="620">
        <v>2780.4</v>
      </c>
    </row>
    <row r="10" spans="1:13" s="115" customFormat="1" ht="12.75" customHeight="1">
      <c r="A10" s="604">
        <v>14</v>
      </c>
      <c r="B10" s="610" t="s">
        <v>588</v>
      </c>
      <c r="C10" s="620">
        <v>1321.2</v>
      </c>
      <c r="D10" s="620">
        <v>1354.17</v>
      </c>
      <c r="E10" s="620">
        <v>1416.68</v>
      </c>
      <c r="F10" s="620">
        <v>1387.88</v>
      </c>
      <c r="G10" s="620">
        <v>1410.05</v>
      </c>
      <c r="H10" s="620">
        <v>1516.2</v>
      </c>
      <c r="I10" s="620">
        <v>1556.53</v>
      </c>
      <c r="J10" s="620">
        <v>1643.94</v>
      </c>
      <c r="K10" s="620">
        <v>1707.88</v>
      </c>
      <c r="L10" s="620">
        <v>1835.51</v>
      </c>
      <c r="M10" s="620">
        <v>1981.96</v>
      </c>
    </row>
    <row r="11" spans="1:13" s="395" customFormat="1" ht="12.75" customHeight="1">
      <c r="A11" s="607">
        <v>2</v>
      </c>
      <c r="B11" s="621" t="s">
        <v>589</v>
      </c>
      <c r="C11" s="619">
        <v>1541.53</v>
      </c>
      <c r="D11" s="619">
        <v>1539.36</v>
      </c>
      <c r="E11" s="619">
        <v>1552.11</v>
      </c>
      <c r="F11" s="619">
        <v>1562.24</v>
      </c>
      <c r="G11" s="619">
        <v>1587.78</v>
      </c>
      <c r="H11" s="619">
        <v>1623</v>
      </c>
      <c r="I11" s="619">
        <v>1656.71</v>
      </c>
      <c r="J11" s="619">
        <v>1713.38</v>
      </c>
      <c r="K11" s="619">
        <v>1802.5</v>
      </c>
      <c r="L11" s="619">
        <v>1907.03</v>
      </c>
      <c r="M11" s="619">
        <v>2032.28</v>
      </c>
    </row>
    <row r="12" spans="1:13" s="115" customFormat="1" ht="16.5" customHeight="1">
      <c r="A12" s="609">
        <v>21</v>
      </c>
      <c r="B12" s="610" t="s">
        <v>590</v>
      </c>
      <c r="C12" s="620">
        <v>1668.71</v>
      </c>
      <c r="D12" s="620">
        <v>1653.08</v>
      </c>
      <c r="E12" s="620">
        <v>1646.83</v>
      </c>
      <c r="F12" s="620">
        <v>1626.45</v>
      </c>
      <c r="G12" s="620">
        <v>1654.98</v>
      </c>
      <c r="H12" s="620">
        <v>1703.31</v>
      </c>
      <c r="I12" s="620">
        <v>1743.21</v>
      </c>
      <c r="J12" s="620">
        <v>1782.5</v>
      </c>
      <c r="K12" s="620">
        <v>1869.17</v>
      </c>
      <c r="L12" s="620">
        <v>1976.08</v>
      </c>
      <c r="M12" s="620">
        <v>2105.9499999999998</v>
      </c>
    </row>
    <row r="13" spans="1:13" s="115" customFormat="1" ht="12.75" customHeight="1">
      <c r="A13" s="609">
        <v>22</v>
      </c>
      <c r="B13" s="610" t="s">
        <v>591</v>
      </c>
      <c r="C13" s="620">
        <v>1422.95</v>
      </c>
      <c r="D13" s="620">
        <v>1430.67</v>
      </c>
      <c r="E13" s="620">
        <v>1456.39</v>
      </c>
      <c r="F13" s="620">
        <v>1454.55</v>
      </c>
      <c r="G13" s="620">
        <v>1483.55</v>
      </c>
      <c r="H13" s="620">
        <v>1502.71</v>
      </c>
      <c r="I13" s="620">
        <v>1507.91</v>
      </c>
      <c r="J13" s="620">
        <v>1547.7</v>
      </c>
      <c r="K13" s="620">
        <v>1572.94</v>
      </c>
      <c r="L13" s="620">
        <v>1612.29</v>
      </c>
      <c r="M13" s="620">
        <v>1763.78</v>
      </c>
    </row>
    <row r="14" spans="1:13" s="115" customFormat="1" ht="12.75" customHeight="1">
      <c r="A14" s="609">
        <v>23</v>
      </c>
      <c r="B14" s="610" t="s">
        <v>592</v>
      </c>
      <c r="C14" s="620">
        <v>1437.21</v>
      </c>
      <c r="D14" s="620">
        <v>1444.89</v>
      </c>
      <c r="E14" s="620">
        <v>1445.89</v>
      </c>
      <c r="F14" s="620">
        <v>1454.69</v>
      </c>
      <c r="G14" s="620">
        <v>1481.62</v>
      </c>
      <c r="H14" s="620">
        <v>1504.15</v>
      </c>
      <c r="I14" s="620">
        <v>1539.01</v>
      </c>
      <c r="J14" s="620">
        <v>1570.52</v>
      </c>
      <c r="K14" s="620">
        <v>1625.73</v>
      </c>
      <c r="L14" s="620">
        <v>1716.9</v>
      </c>
      <c r="M14" s="620">
        <v>1794.07</v>
      </c>
    </row>
    <row r="15" spans="1:13" s="115" customFormat="1" ht="20.25" customHeight="1">
      <c r="A15" s="609">
        <v>24</v>
      </c>
      <c r="B15" s="610" t="s">
        <v>593</v>
      </c>
      <c r="C15" s="620">
        <v>1604.52</v>
      </c>
      <c r="D15" s="620">
        <v>1608.21</v>
      </c>
      <c r="E15" s="620">
        <v>1623.17</v>
      </c>
      <c r="F15" s="620">
        <v>1665.99</v>
      </c>
      <c r="G15" s="620">
        <v>1671.62</v>
      </c>
      <c r="H15" s="620">
        <v>1686.52</v>
      </c>
      <c r="I15" s="620">
        <v>1696.26</v>
      </c>
      <c r="J15" s="620">
        <v>1751.64</v>
      </c>
      <c r="K15" s="620">
        <v>1803.15</v>
      </c>
      <c r="L15" s="620">
        <v>1906.46</v>
      </c>
      <c r="M15" s="620">
        <v>2000.95</v>
      </c>
    </row>
    <row r="16" spans="1:13" s="115" customFormat="1" ht="18" customHeight="1">
      <c r="A16" s="609">
        <v>25</v>
      </c>
      <c r="B16" s="610" t="s">
        <v>594</v>
      </c>
      <c r="C16" s="620">
        <v>1556.95</v>
      </c>
      <c r="D16" s="620">
        <v>1551.55</v>
      </c>
      <c r="E16" s="620">
        <v>1582.61</v>
      </c>
      <c r="F16" s="620">
        <v>1601.22</v>
      </c>
      <c r="G16" s="620">
        <v>1648.1</v>
      </c>
      <c r="H16" s="620">
        <v>1720</v>
      </c>
      <c r="I16" s="620">
        <v>1796.68</v>
      </c>
      <c r="J16" s="620">
        <v>1906.2</v>
      </c>
      <c r="K16" s="620">
        <v>2104.9</v>
      </c>
      <c r="L16" s="620">
        <v>2258.27</v>
      </c>
      <c r="M16" s="620">
        <v>2407.4699999999998</v>
      </c>
    </row>
    <row r="17" spans="1:13" s="115" customFormat="1" ht="18" customHeight="1">
      <c r="A17" s="609">
        <v>26</v>
      </c>
      <c r="B17" s="610" t="s">
        <v>595</v>
      </c>
      <c r="C17" s="620">
        <v>1441.37</v>
      </c>
      <c r="D17" s="620">
        <v>1423.52</v>
      </c>
      <c r="E17" s="620">
        <v>1432.85</v>
      </c>
      <c r="F17" s="620">
        <v>1420.9</v>
      </c>
      <c r="G17" s="620">
        <v>1429.52</v>
      </c>
      <c r="H17" s="620">
        <v>1460.99</v>
      </c>
      <c r="I17" s="620">
        <v>1494.77</v>
      </c>
      <c r="J17" s="620">
        <v>1516.64</v>
      </c>
      <c r="K17" s="620">
        <v>1535.94</v>
      </c>
      <c r="L17" s="620">
        <v>1607.45</v>
      </c>
      <c r="M17" s="620">
        <v>1679.18</v>
      </c>
    </row>
    <row r="18" spans="1:13" s="395" customFormat="1" ht="12.75" customHeight="1">
      <c r="A18" s="607">
        <v>3</v>
      </c>
      <c r="B18" s="621" t="s">
        <v>596</v>
      </c>
      <c r="C18" s="619">
        <v>1199.6500000000001</v>
      </c>
      <c r="D18" s="619">
        <v>1216.57</v>
      </c>
      <c r="E18" s="619">
        <v>1225.94</v>
      </c>
      <c r="F18" s="619">
        <v>1243.8599999999999</v>
      </c>
      <c r="G18" s="619">
        <v>1266.67</v>
      </c>
      <c r="H18" s="619">
        <v>1300.04</v>
      </c>
      <c r="I18" s="619">
        <v>1309.53</v>
      </c>
      <c r="J18" s="619">
        <v>1334.13</v>
      </c>
      <c r="K18" s="619">
        <v>1409.43</v>
      </c>
      <c r="L18" s="619">
        <v>1506.33</v>
      </c>
      <c r="M18" s="619">
        <v>1589.95</v>
      </c>
    </row>
    <row r="19" spans="1:13" s="115" customFormat="1" ht="18.600000000000001" customHeight="1">
      <c r="A19" s="609">
        <v>31</v>
      </c>
      <c r="B19" s="610" t="s">
        <v>597</v>
      </c>
      <c r="C19" s="620">
        <v>1176.25</v>
      </c>
      <c r="D19" s="620">
        <v>1193.19</v>
      </c>
      <c r="E19" s="620">
        <v>1201.68</v>
      </c>
      <c r="F19" s="620">
        <v>1215.48</v>
      </c>
      <c r="G19" s="620">
        <v>1247.06</v>
      </c>
      <c r="H19" s="620">
        <v>1289.8</v>
      </c>
      <c r="I19" s="620">
        <v>1249</v>
      </c>
      <c r="J19" s="620">
        <v>1271.55</v>
      </c>
      <c r="K19" s="620">
        <v>1400.11</v>
      </c>
      <c r="L19" s="620">
        <v>1509.67</v>
      </c>
      <c r="M19" s="620">
        <v>1589.6</v>
      </c>
    </row>
    <row r="20" spans="1:13" s="115" customFormat="1" ht="12.75" customHeight="1">
      <c r="A20" s="609">
        <v>32</v>
      </c>
      <c r="B20" s="610" t="s">
        <v>598</v>
      </c>
      <c r="C20" s="620">
        <v>899.99</v>
      </c>
      <c r="D20" s="620">
        <v>892.15</v>
      </c>
      <c r="E20" s="620">
        <v>902.74</v>
      </c>
      <c r="F20" s="620">
        <v>918.74</v>
      </c>
      <c r="G20" s="620">
        <v>926.88</v>
      </c>
      <c r="H20" s="620">
        <v>961.67</v>
      </c>
      <c r="I20" s="620">
        <v>985.81</v>
      </c>
      <c r="J20" s="620">
        <v>1001.93</v>
      </c>
      <c r="K20" s="620">
        <v>1042.96</v>
      </c>
      <c r="L20" s="620">
        <v>1105.6300000000001</v>
      </c>
      <c r="M20" s="620">
        <v>1174.8900000000001</v>
      </c>
    </row>
    <row r="21" spans="1:13" s="115" customFormat="1" ht="17.100000000000001" customHeight="1">
      <c r="A21" s="609">
        <v>33</v>
      </c>
      <c r="B21" s="610" t="s">
        <v>599</v>
      </c>
      <c r="C21" s="620">
        <v>1270.6600000000001</v>
      </c>
      <c r="D21" s="620">
        <v>1269.81</v>
      </c>
      <c r="E21" s="620">
        <v>1274.78</v>
      </c>
      <c r="F21" s="620">
        <v>1278.74</v>
      </c>
      <c r="G21" s="620">
        <v>1296.96</v>
      </c>
      <c r="H21" s="620">
        <v>1326.82</v>
      </c>
      <c r="I21" s="620">
        <v>1355.4</v>
      </c>
      <c r="J21" s="620">
        <v>1377.25</v>
      </c>
      <c r="K21" s="620">
        <v>1434.09</v>
      </c>
      <c r="L21" s="620">
        <v>1518.77</v>
      </c>
      <c r="M21" s="620">
        <v>1597.1</v>
      </c>
    </row>
    <row r="22" spans="1:13" s="115" customFormat="1" ht="21.75" customHeight="1">
      <c r="A22" s="609">
        <v>34</v>
      </c>
      <c r="B22" s="610" t="s">
        <v>600</v>
      </c>
      <c r="C22" s="620">
        <v>1532.03</v>
      </c>
      <c r="D22" s="620">
        <v>1770.8</v>
      </c>
      <c r="E22" s="620">
        <v>1826.11</v>
      </c>
      <c r="F22" s="620">
        <v>1949.31</v>
      </c>
      <c r="G22" s="620">
        <v>1961.57</v>
      </c>
      <c r="H22" s="620">
        <v>2035.97</v>
      </c>
      <c r="I22" s="620">
        <v>2137.66</v>
      </c>
      <c r="J22" s="620">
        <v>2170.54</v>
      </c>
      <c r="K22" s="620">
        <v>2143.36</v>
      </c>
      <c r="L22" s="620">
        <v>2325.09</v>
      </c>
      <c r="M22" s="620">
        <v>2372.59</v>
      </c>
    </row>
    <row r="23" spans="1:13" s="115" customFormat="1" ht="12.75" customHeight="1">
      <c r="A23" s="609">
        <v>35</v>
      </c>
      <c r="B23" s="610" t="s">
        <v>601</v>
      </c>
      <c r="C23" s="620">
        <v>1141.27</v>
      </c>
      <c r="D23" s="620">
        <v>1148.6300000000001</v>
      </c>
      <c r="E23" s="620">
        <v>1164.2</v>
      </c>
      <c r="F23" s="620">
        <v>1194.02</v>
      </c>
      <c r="G23" s="620">
        <v>1223.53</v>
      </c>
      <c r="H23" s="620">
        <v>1223.02</v>
      </c>
      <c r="I23" s="620">
        <v>1272.67</v>
      </c>
      <c r="J23" s="620">
        <v>1305.26</v>
      </c>
      <c r="K23" s="620">
        <v>1362.8</v>
      </c>
      <c r="L23" s="620">
        <v>1458.22</v>
      </c>
      <c r="M23" s="620">
        <v>1575.61</v>
      </c>
    </row>
    <row r="24" spans="1:13" s="395" customFormat="1" ht="12.75" customHeight="1">
      <c r="A24" s="607">
        <v>4</v>
      </c>
      <c r="B24" s="621" t="s">
        <v>602</v>
      </c>
      <c r="C24" s="619">
        <v>853.64</v>
      </c>
      <c r="D24" s="619">
        <v>850.24</v>
      </c>
      <c r="E24" s="619">
        <v>858.62</v>
      </c>
      <c r="F24" s="619">
        <v>871.79</v>
      </c>
      <c r="G24" s="619">
        <v>892.08</v>
      </c>
      <c r="H24" s="619">
        <v>915.53</v>
      </c>
      <c r="I24" s="619">
        <v>939.99</v>
      </c>
      <c r="J24" s="619">
        <v>974.11</v>
      </c>
      <c r="K24" s="619">
        <v>1012.3</v>
      </c>
      <c r="L24" s="619">
        <v>1075.58</v>
      </c>
      <c r="M24" s="619">
        <v>1143.01</v>
      </c>
    </row>
    <row r="25" spans="1:13" s="115" customFormat="1" ht="17.100000000000001" customHeight="1">
      <c r="A25" s="609">
        <v>41</v>
      </c>
      <c r="B25" s="610" t="s">
        <v>603</v>
      </c>
      <c r="C25" s="620">
        <v>867.5</v>
      </c>
      <c r="D25" s="620">
        <v>869.73</v>
      </c>
      <c r="E25" s="620">
        <v>883.18</v>
      </c>
      <c r="F25" s="620">
        <v>903.58</v>
      </c>
      <c r="G25" s="620">
        <v>926.61</v>
      </c>
      <c r="H25" s="620">
        <v>958.31</v>
      </c>
      <c r="I25" s="620">
        <v>983.65</v>
      </c>
      <c r="J25" s="620">
        <v>1018.9</v>
      </c>
      <c r="K25" s="620">
        <v>1056.6600000000001</v>
      </c>
      <c r="L25" s="620">
        <v>1129.6400000000001</v>
      </c>
      <c r="M25" s="620">
        <v>1214.4000000000001</v>
      </c>
    </row>
    <row r="26" spans="1:13" s="115" customFormat="1" ht="12.75" customHeight="1">
      <c r="A26" s="609">
        <v>42</v>
      </c>
      <c r="B26" s="610" t="s">
        <v>604</v>
      </c>
      <c r="C26" s="620">
        <v>833.33</v>
      </c>
      <c r="D26" s="620">
        <v>818.33</v>
      </c>
      <c r="E26" s="620">
        <v>820</v>
      </c>
      <c r="F26" s="620">
        <v>831.38</v>
      </c>
      <c r="G26" s="620">
        <v>846.81</v>
      </c>
      <c r="H26" s="620">
        <v>847.7</v>
      </c>
      <c r="I26" s="620">
        <v>866.14</v>
      </c>
      <c r="J26" s="620">
        <v>896.5</v>
      </c>
      <c r="K26" s="620">
        <v>932.25</v>
      </c>
      <c r="L26" s="620">
        <v>988.46</v>
      </c>
      <c r="M26" s="620">
        <v>1053.83</v>
      </c>
    </row>
    <row r="27" spans="1:13" s="115" customFormat="1" ht="24.75" customHeight="1">
      <c r="A27" s="609">
        <v>43</v>
      </c>
      <c r="B27" s="610" t="s">
        <v>605</v>
      </c>
      <c r="C27" s="620">
        <v>832.2</v>
      </c>
      <c r="D27" s="620">
        <v>826.38</v>
      </c>
      <c r="E27" s="620">
        <v>838.07</v>
      </c>
      <c r="F27" s="620">
        <v>846.16</v>
      </c>
      <c r="G27" s="620">
        <v>866.73</v>
      </c>
      <c r="H27" s="620">
        <v>892.44</v>
      </c>
      <c r="I27" s="620">
        <v>920.04</v>
      </c>
      <c r="J27" s="620">
        <v>956.11</v>
      </c>
      <c r="K27" s="620">
        <v>997.96</v>
      </c>
      <c r="L27" s="620">
        <v>1064.55</v>
      </c>
      <c r="M27" s="620">
        <v>1108.1600000000001</v>
      </c>
    </row>
    <row r="28" spans="1:13" s="115" customFormat="1" ht="12.75" customHeight="1">
      <c r="A28" s="609">
        <v>44</v>
      </c>
      <c r="B28" s="610" t="s">
        <v>606</v>
      </c>
      <c r="C28" s="620">
        <v>899.2</v>
      </c>
      <c r="D28" s="620">
        <v>905.04</v>
      </c>
      <c r="E28" s="620">
        <v>900.43</v>
      </c>
      <c r="F28" s="620">
        <v>906.87</v>
      </c>
      <c r="G28" s="620">
        <v>924.95</v>
      </c>
      <c r="H28" s="620">
        <v>953.85</v>
      </c>
      <c r="I28" s="620">
        <v>972.48</v>
      </c>
      <c r="J28" s="620">
        <v>1012.17</v>
      </c>
      <c r="K28" s="620">
        <v>1056.6400000000001</v>
      </c>
      <c r="L28" s="620">
        <v>1111.04</v>
      </c>
      <c r="M28" s="620">
        <v>1177.92</v>
      </c>
    </row>
    <row r="29" spans="1:13" s="395" customFormat="1" ht="12.75" customHeight="1">
      <c r="A29" s="607">
        <v>5</v>
      </c>
      <c r="B29" s="612" t="s">
        <v>607</v>
      </c>
      <c r="C29" s="619">
        <v>643.22</v>
      </c>
      <c r="D29" s="619">
        <v>648.69000000000005</v>
      </c>
      <c r="E29" s="619">
        <v>661.51</v>
      </c>
      <c r="F29" s="619">
        <v>679.44</v>
      </c>
      <c r="G29" s="619">
        <v>701.85</v>
      </c>
      <c r="H29" s="619">
        <v>730.64</v>
      </c>
      <c r="I29" s="619">
        <v>754.92</v>
      </c>
      <c r="J29" s="619">
        <v>784.92</v>
      </c>
      <c r="K29" s="619">
        <v>833.64</v>
      </c>
      <c r="L29" s="619">
        <v>897.05</v>
      </c>
      <c r="M29" s="619">
        <v>964.25</v>
      </c>
    </row>
    <row r="30" spans="1:13" s="115" customFormat="1" ht="12.75" customHeight="1">
      <c r="A30" s="609">
        <v>51</v>
      </c>
      <c r="B30" s="610" t="s">
        <v>608</v>
      </c>
      <c r="C30" s="620">
        <v>628.69000000000005</v>
      </c>
      <c r="D30" s="620">
        <v>634.41999999999996</v>
      </c>
      <c r="E30" s="620">
        <v>649.54999999999995</v>
      </c>
      <c r="F30" s="620">
        <v>673.14</v>
      </c>
      <c r="G30" s="620">
        <v>700.29</v>
      </c>
      <c r="H30" s="620">
        <v>726.95</v>
      </c>
      <c r="I30" s="620">
        <v>732.01</v>
      </c>
      <c r="J30" s="620">
        <v>768.97</v>
      </c>
      <c r="K30" s="620">
        <v>831.69</v>
      </c>
      <c r="L30" s="620">
        <v>890.47</v>
      </c>
      <c r="M30" s="620">
        <v>960.27</v>
      </c>
    </row>
    <row r="31" spans="1:13" s="127" customFormat="1" ht="12.75" customHeight="1">
      <c r="A31" s="609">
        <v>52</v>
      </c>
      <c r="B31" s="610" t="s">
        <v>609</v>
      </c>
      <c r="C31" s="620">
        <v>676.49</v>
      </c>
      <c r="D31" s="620">
        <v>682.18</v>
      </c>
      <c r="E31" s="620">
        <v>696.3</v>
      </c>
      <c r="F31" s="620">
        <v>713.23</v>
      </c>
      <c r="G31" s="620">
        <v>734.73</v>
      </c>
      <c r="H31" s="620">
        <v>762.99</v>
      </c>
      <c r="I31" s="620">
        <v>794.16</v>
      </c>
      <c r="J31" s="620">
        <v>825.34</v>
      </c>
      <c r="K31" s="620">
        <v>875.23</v>
      </c>
      <c r="L31" s="620">
        <v>941.93</v>
      </c>
      <c r="M31" s="620">
        <v>1012.38</v>
      </c>
    </row>
    <row r="32" spans="1:13" s="115" customFormat="1" ht="12.75" customHeight="1">
      <c r="A32" s="609">
        <v>53</v>
      </c>
      <c r="B32" s="610" t="s">
        <v>610</v>
      </c>
      <c r="C32" s="620">
        <v>561</v>
      </c>
      <c r="D32" s="620">
        <v>567.53</v>
      </c>
      <c r="E32" s="620">
        <v>579.41</v>
      </c>
      <c r="F32" s="620">
        <v>598.97</v>
      </c>
      <c r="G32" s="620">
        <v>618.9</v>
      </c>
      <c r="H32" s="620">
        <v>641.96</v>
      </c>
      <c r="I32" s="620">
        <v>664.77</v>
      </c>
      <c r="J32" s="620">
        <v>694.65</v>
      </c>
      <c r="K32" s="620">
        <v>733.44</v>
      </c>
      <c r="L32" s="620">
        <v>798.32</v>
      </c>
      <c r="M32" s="620">
        <v>862.75</v>
      </c>
    </row>
    <row r="33" spans="1:13" s="115" customFormat="1" ht="12.75" customHeight="1">
      <c r="A33" s="609">
        <v>54</v>
      </c>
      <c r="B33" s="610" t="s">
        <v>611</v>
      </c>
      <c r="C33" s="620">
        <v>670.38</v>
      </c>
      <c r="D33" s="620">
        <v>678.02</v>
      </c>
      <c r="E33" s="620">
        <v>683.44</v>
      </c>
      <c r="F33" s="620">
        <v>687.01</v>
      </c>
      <c r="G33" s="620">
        <v>703.35</v>
      </c>
      <c r="H33" s="620">
        <v>754.13</v>
      </c>
      <c r="I33" s="620">
        <v>807.03</v>
      </c>
      <c r="J33" s="620">
        <v>816.16</v>
      </c>
      <c r="K33" s="620">
        <v>835.2</v>
      </c>
      <c r="L33" s="620">
        <v>892.68</v>
      </c>
      <c r="M33" s="620">
        <v>943.04</v>
      </c>
    </row>
    <row r="34" spans="1:13" s="115" customFormat="1" ht="16.5" customHeight="1">
      <c r="A34" s="600">
        <v>6</v>
      </c>
      <c r="B34" s="612" t="s">
        <v>612</v>
      </c>
      <c r="C34" s="619">
        <v>647.64</v>
      </c>
      <c r="D34" s="619">
        <v>673.53</v>
      </c>
      <c r="E34" s="619">
        <v>705.23</v>
      </c>
      <c r="F34" s="619">
        <v>701.39</v>
      </c>
      <c r="G34" s="619">
        <v>745.46</v>
      </c>
      <c r="H34" s="619">
        <v>800.65</v>
      </c>
      <c r="I34" s="619">
        <v>772.79</v>
      </c>
      <c r="J34" s="619">
        <v>823.03</v>
      </c>
      <c r="K34" s="619">
        <v>868.03</v>
      </c>
      <c r="L34" s="619">
        <v>921.84</v>
      </c>
      <c r="M34" s="619">
        <v>1015.15</v>
      </c>
    </row>
    <row r="35" spans="1:13" s="115" customFormat="1" ht="20.100000000000001" customHeight="1">
      <c r="A35" s="604">
        <v>61</v>
      </c>
      <c r="B35" s="610" t="s">
        <v>613</v>
      </c>
      <c r="C35" s="620">
        <v>607.84</v>
      </c>
      <c r="D35" s="620">
        <v>610.79999999999995</v>
      </c>
      <c r="E35" s="620">
        <v>628.86</v>
      </c>
      <c r="F35" s="620">
        <v>649.54999999999995</v>
      </c>
      <c r="G35" s="620">
        <v>674.21</v>
      </c>
      <c r="H35" s="620">
        <v>694.94</v>
      </c>
      <c r="I35" s="620">
        <v>722.71</v>
      </c>
      <c r="J35" s="620">
        <v>759.93</v>
      </c>
      <c r="K35" s="620">
        <v>809.01</v>
      </c>
      <c r="L35" s="620">
        <v>866.88</v>
      </c>
      <c r="M35" s="620">
        <v>927.19</v>
      </c>
    </row>
    <row r="36" spans="1:13" s="115" customFormat="1" ht="17.100000000000001" customHeight="1">
      <c r="A36" s="604">
        <v>62</v>
      </c>
      <c r="B36" s="610" t="s">
        <v>614</v>
      </c>
      <c r="C36" s="620">
        <v>775.83</v>
      </c>
      <c r="D36" s="620">
        <v>876.13</v>
      </c>
      <c r="E36" s="620">
        <v>947.23</v>
      </c>
      <c r="F36" s="620">
        <v>873.96</v>
      </c>
      <c r="G36" s="620">
        <v>970.43</v>
      </c>
      <c r="H36" s="620">
        <v>1153.47</v>
      </c>
      <c r="I36" s="620">
        <v>953.26</v>
      </c>
      <c r="J36" s="620">
        <v>1061.8</v>
      </c>
      <c r="K36" s="620">
        <v>1078.6500000000001</v>
      </c>
      <c r="L36" s="620">
        <v>1123.98</v>
      </c>
      <c r="M36" s="620">
        <v>1333.95</v>
      </c>
    </row>
    <row r="37" spans="1:13" s="115" customFormat="1" ht="12.75" customHeight="1">
      <c r="A37" s="600">
        <v>7</v>
      </c>
      <c r="B37" s="612" t="s">
        <v>615</v>
      </c>
      <c r="C37" s="619">
        <v>693.11</v>
      </c>
      <c r="D37" s="619">
        <v>699.07</v>
      </c>
      <c r="E37" s="619">
        <v>710.79</v>
      </c>
      <c r="F37" s="619">
        <v>729.98</v>
      </c>
      <c r="G37" s="619">
        <v>756.88</v>
      </c>
      <c r="H37" s="619">
        <v>782.92</v>
      </c>
      <c r="I37" s="619">
        <v>806.16</v>
      </c>
      <c r="J37" s="619">
        <v>840.13</v>
      </c>
      <c r="K37" s="619">
        <v>887.58</v>
      </c>
      <c r="L37" s="619">
        <v>951.56</v>
      </c>
      <c r="M37" s="619">
        <v>1018.26</v>
      </c>
    </row>
    <row r="38" spans="1:13" s="115" customFormat="1" ht="12.75" customHeight="1">
      <c r="A38" s="604">
        <v>71</v>
      </c>
      <c r="B38" s="610" t="s">
        <v>616</v>
      </c>
      <c r="C38" s="620">
        <v>652.82000000000005</v>
      </c>
      <c r="D38" s="620">
        <v>656.41</v>
      </c>
      <c r="E38" s="620">
        <v>663.17</v>
      </c>
      <c r="F38" s="620">
        <v>675.51</v>
      </c>
      <c r="G38" s="620">
        <v>700.58</v>
      </c>
      <c r="H38" s="620">
        <v>726.31</v>
      </c>
      <c r="I38" s="620">
        <v>754.26</v>
      </c>
      <c r="J38" s="620">
        <v>798.66</v>
      </c>
      <c r="K38" s="620">
        <v>834.55</v>
      </c>
      <c r="L38" s="620">
        <v>897.13</v>
      </c>
      <c r="M38" s="620">
        <v>968.06</v>
      </c>
    </row>
    <row r="39" spans="1:13" s="115" customFormat="1" ht="12.75" customHeight="1">
      <c r="A39" s="604">
        <v>72</v>
      </c>
      <c r="B39" s="610" t="s">
        <v>617</v>
      </c>
      <c r="C39" s="620">
        <v>781.04</v>
      </c>
      <c r="D39" s="620">
        <v>788</v>
      </c>
      <c r="E39" s="620">
        <v>798.59</v>
      </c>
      <c r="F39" s="620">
        <v>820.57</v>
      </c>
      <c r="G39" s="620">
        <v>849.72</v>
      </c>
      <c r="H39" s="620">
        <v>878.47</v>
      </c>
      <c r="I39" s="620">
        <v>890.18</v>
      </c>
      <c r="J39" s="620">
        <v>918.35</v>
      </c>
      <c r="K39" s="620">
        <v>977.71</v>
      </c>
      <c r="L39" s="620">
        <v>1043.24</v>
      </c>
      <c r="M39" s="620">
        <v>1106.3800000000001</v>
      </c>
    </row>
    <row r="40" spans="1:13" s="115" customFormat="1" ht="23.25" customHeight="1">
      <c r="A40" s="604">
        <v>73</v>
      </c>
      <c r="B40" s="610" t="s">
        <v>618</v>
      </c>
      <c r="C40" s="620">
        <v>676.51</v>
      </c>
      <c r="D40" s="620">
        <v>684.73</v>
      </c>
      <c r="E40" s="620">
        <v>695.15</v>
      </c>
      <c r="F40" s="620">
        <v>714.83</v>
      </c>
      <c r="G40" s="620">
        <v>735.72</v>
      </c>
      <c r="H40" s="620">
        <v>749.14</v>
      </c>
      <c r="I40" s="620">
        <v>770.25</v>
      </c>
      <c r="J40" s="620">
        <v>808.29</v>
      </c>
      <c r="K40" s="620">
        <v>843.56</v>
      </c>
      <c r="L40" s="620">
        <v>903.76</v>
      </c>
      <c r="M40" s="620">
        <v>963.62</v>
      </c>
    </row>
    <row r="41" spans="1:13" s="237" customFormat="1" ht="12.75" customHeight="1">
      <c r="A41" s="604">
        <v>74</v>
      </c>
      <c r="B41" s="610" t="s">
        <v>619</v>
      </c>
      <c r="C41" s="620">
        <v>828.15</v>
      </c>
      <c r="D41" s="620">
        <v>836.28</v>
      </c>
      <c r="E41" s="620">
        <v>849.1</v>
      </c>
      <c r="F41" s="620">
        <v>861.32</v>
      </c>
      <c r="G41" s="620">
        <v>882.71</v>
      </c>
      <c r="H41" s="620">
        <v>906.35</v>
      </c>
      <c r="I41" s="620">
        <v>927.56</v>
      </c>
      <c r="J41" s="620">
        <v>956.88</v>
      </c>
      <c r="K41" s="620">
        <v>1001.7</v>
      </c>
      <c r="L41" s="620">
        <v>1059.19</v>
      </c>
      <c r="M41" s="620">
        <v>1130.7</v>
      </c>
    </row>
    <row r="42" spans="1:13" s="237" customFormat="1" ht="19.5" customHeight="1">
      <c r="A42" s="604">
        <v>75</v>
      </c>
      <c r="B42" s="610" t="s">
        <v>620</v>
      </c>
      <c r="C42" s="620">
        <v>602.30999999999995</v>
      </c>
      <c r="D42" s="620">
        <v>608.39</v>
      </c>
      <c r="E42" s="620">
        <v>625.51</v>
      </c>
      <c r="F42" s="620">
        <v>650.41</v>
      </c>
      <c r="G42" s="620">
        <v>675.36</v>
      </c>
      <c r="H42" s="620">
        <v>701.57</v>
      </c>
      <c r="I42" s="620">
        <v>733.56</v>
      </c>
      <c r="J42" s="620">
        <v>764.99</v>
      </c>
      <c r="K42" s="620">
        <v>813.35</v>
      </c>
      <c r="L42" s="620">
        <v>875.71</v>
      </c>
      <c r="M42" s="620">
        <v>937.21</v>
      </c>
    </row>
    <row r="43" spans="1:13" s="237" customFormat="1" ht="12.75" customHeight="1">
      <c r="A43" s="600">
        <v>8</v>
      </c>
      <c r="B43" s="612" t="s">
        <v>621</v>
      </c>
      <c r="C43" s="619">
        <v>652.71</v>
      </c>
      <c r="D43" s="619">
        <v>659.28</v>
      </c>
      <c r="E43" s="619">
        <v>670.89</v>
      </c>
      <c r="F43" s="619">
        <v>689.84</v>
      </c>
      <c r="G43" s="619">
        <v>719.5</v>
      </c>
      <c r="H43" s="619">
        <v>749.68</v>
      </c>
      <c r="I43" s="619">
        <v>787.59</v>
      </c>
      <c r="J43" s="619">
        <v>816.4</v>
      </c>
      <c r="K43" s="619">
        <v>866.48</v>
      </c>
      <c r="L43" s="619">
        <v>925.47</v>
      </c>
      <c r="M43" s="619">
        <v>1002.33</v>
      </c>
    </row>
    <row r="44" spans="1:13" s="237" customFormat="1" ht="12.75" customHeight="1">
      <c r="A44" s="604">
        <v>81</v>
      </c>
      <c r="B44" s="610" t="s">
        <v>622</v>
      </c>
      <c r="C44" s="620">
        <v>620.71</v>
      </c>
      <c r="D44" s="620">
        <v>628.19000000000005</v>
      </c>
      <c r="E44" s="620">
        <v>643.92999999999995</v>
      </c>
      <c r="F44" s="620">
        <v>668.34</v>
      </c>
      <c r="G44" s="620">
        <v>695.91</v>
      </c>
      <c r="H44" s="620">
        <v>722.75</v>
      </c>
      <c r="I44" s="620">
        <v>755.19</v>
      </c>
      <c r="J44" s="620">
        <v>788.13</v>
      </c>
      <c r="K44" s="620">
        <v>832.68</v>
      </c>
      <c r="L44" s="620">
        <v>895.86</v>
      </c>
      <c r="M44" s="620">
        <v>963.56</v>
      </c>
    </row>
    <row r="45" spans="1:13" s="237" customFormat="1" ht="12.75" customHeight="1">
      <c r="A45" s="604">
        <v>82</v>
      </c>
      <c r="B45" s="610" t="s">
        <v>623</v>
      </c>
      <c r="C45" s="620">
        <v>738.67</v>
      </c>
      <c r="D45" s="620">
        <v>744.41</v>
      </c>
      <c r="E45" s="620">
        <v>744.42</v>
      </c>
      <c r="F45" s="620">
        <v>758.49</v>
      </c>
      <c r="G45" s="620">
        <v>778.21</v>
      </c>
      <c r="H45" s="620">
        <v>810.97</v>
      </c>
      <c r="I45" s="620">
        <v>843.84</v>
      </c>
      <c r="J45" s="620">
        <v>845.1</v>
      </c>
      <c r="K45" s="620">
        <v>924.38</v>
      </c>
      <c r="L45" s="620">
        <v>916.34</v>
      </c>
      <c r="M45" s="620">
        <v>1061.94</v>
      </c>
    </row>
    <row r="46" spans="1:13" s="237" customFormat="1" ht="12.75" customHeight="1">
      <c r="A46" s="604">
        <v>83</v>
      </c>
      <c r="B46" s="610" t="s">
        <v>624</v>
      </c>
      <c r="C46" s="620">
        <v>672.11</v>
      </c>
      <c r="D46" s="620">
        <v>676.88</v>
      </c>
      <c r="E46" s="620">
        <v>685.47</v>
      </c>
      <c r="F46" s="620">
        <v>696.64</v>
      </c>
      <c r="G46" s="620">
        <v>730.04</v>
      </c>
      <c r="H46" s="620">
        <v>761.01</v>
      </c>
      <c r="I46" s="620">
        <v>805.1</v>
      </c>
      <c r="J46" s="620">
        <v>837.88</v>
      </c>
      <c r="K46" s="620">
        <v>885.69</v>
      </c>
      <c r="L46" s="620">
        <v>956.53</v>
      </c>
      <c r="M46" s="620">
        <v>1022.85</v>
      </c>
    </row>
    <row r="47" spans="1:13" s="237" customFormat="1" ht="12.75" customHeight="1">
      <c r="A47" s="600">
        <v>9</v>
      </c>
      <c r="B47" s="612" t="s">
        <v>625</v>
      </c>
      <c r="C47" s="619">
        <v>575.77</v>
      </c>
      <c r="D47" s="619">
        <v>583.21</v>
      </c>
      <c r="E47" s="619">
        <v>602.21</v>
      </c>
      <c r="F47" s="619">
        <v>628.91999999999996</v>
      </c>
      <c r="G47" s="619">
        <v>660.17</v>
      </c>
      <c r="H47" s="619">
        <v>687.66</v>
      </c>
      <c r="I47" s="619">
        <v>719.43</v>
      </c>
      <c r="J47" s="619">
        <v>758.99</v>
      </c>
      <c r="K47" s="619">
        <v>801.61</v>
      </c>
      <c r="L47" s="619">
        <v>853.75</v>
      </c>
      <c r="M47" s="619">
        <v>894.26</v>
      </c>
    </row>
    <row r="48" spans="1:13" s="237" customFormat="1" ht="12.75" customHeight="1">
      <c r="A48" s="604">
        <v>91</v>
      </c>
      <c r="B48" s="610" t="s">
        <v>626</v>
      </c>
      <c r="C48" s="620">
        <v>537.74</v>
      </c>
      <c r="D48" s="620">
        <v>541.77</v>
      </c>
      <c r="E48" s="620">
        <v>561.80999999999995</v>
      </c>
      <c r="F48" s="620">
        <v>585.85</v>
      </c>
      <c r="G48" s="620">
        <v>609.79999999999995</v>
      </c>
      <c r="H48" s="620">
        <v>630</v>
      </c>
      <c r="I48" s="620">
        <v>658.93</v>
      </c>
      <c r="J48" s="620">
        <v>688.35</v>
      </c>
      <c r="K48" s="620">
        <v>731.3</v>
      </c>
      <c r="L48" s="620">
        <v>790.11</v>
      </c>
      <c r="M48" s="620">
        <v>850.74</v>
      </c>
    </row>
    <row r="49" spans="1:13" s="237" customFormat="1" ht="12.75" customHeight="1">
      <c r="A49" s="604">
        <v>92</v>
      </c>
      <c r="B49" s="610" t="s">
        <v>627</v>
      </c>
      <c r="C49" s="620">
        <v>564.91</v>
      </c>
      <c r="D49" s="620">
        <v>568.49</v>
      </c>
      <c r="E49" s="620">
        <v>585.61</v>
      </c>
      <c r="F49" s="620">
        <v>612.47</v>
      </c>
      <c r="G49" s="620">
        <v>640.83000000000004</v>
      </c>
      <c r="H49" s="620">
        <v>664.29</v>
      </c>
      <c r="I49" s="620">
        <v>696.6</v>
      </c>
      <c r="J49" s="620">
        <v>728.6</v>
      </c>
      <c r="K49" s="620">
        <v>767.29</v>
      </c>
      <c r="L49" s="620">
        <v>817.91</v>
      </c>
      <c r="M49" s="620">
        <v>874.2</v>
      </c>
    </row>
    <row r="50" spans="1:13" s="237" customFormat="1" ht="12.75" customHeight="1">
      <c r="A50" s="604">
        <v>93</v>
      </c>
      <c r="B50" s="610" t="s">
        <v>628</v>
      </c>
      <c r="C50" s="620">
        <v>590.26</v>
      </c>
      <c r="D50" s="620">
        <v>590.25</v>
      </c>
      <c r="E50" s="620">
        <v>607.39</v>
      </c>
      <c r="F50" s="620">
        <v>631.03</v>
      </c>
      <c r="G50" s="620">
        <v>655.97</v>
      </c>
      <c r="H50" s="620">
        <v>680.94</v>
      </c>
      <c r="I50" s="620">
        <v>707.26</v>
      </c>
      <c r="J50" s="620">
        <v>745.34</v>
      </c>
      <c r="K50" s="620">
        <v>781.63</v>
      </c>
      <c r="L50" s="620">
        <v>836.37</v>
      </c>
      <c r="M50" s="620">
        <v>896.32</v>
      </c>
    </row>
    <row r="51" spans="1:13" s="237" customFormat="1" ht="12.75" customHeight="1">
      <c r="A51" s="604">
        <v>94</v>
      </c>
      <c r="B51" s="610" t="s">
        <v>629</v>
      </c>
      <c r="C51" s="620">
        <v>542.97</v>
      </c>
      <c r="D51" s="620">
        <v>547.24</v>
      </c>
      <c r="E51" s="620">
        <v>565.51</v>
      </c>
      <c r="F51" s="620">
        <v>592.15</v>
      </c>
      <c r="G51" s="620">
        <v>617.46</v>
      </c>
      <c r="H51" s="620">
        <v>639.78</v>
      </c>
      <c r="I51" s="620">
        <v>666.92</v>
      </c>
      <c r="J51" s="620">
        <v>698.91</v>
      </c>
      <c r="K51" s="620">
        <v>742.38</v>
      </c>
      <c r="L51" s="620">
        <v>796.33</v>
      </c>
      <c r="M51" s="620">
        <v>855.01</v>
      </c>
    </row>
    <row r="52" spans="1:13" s="237" customFormat="1" ht="12.75" customHeight="1">
      <c r="A52" s="604">
        <v>95</v>
      </c>
      <c r="B52" s="610" t="s">
        <v>630</v>
      </c>
      <c r="C52" s="620">
        <v>724.69</v>
      </c>
      <c r="D52" s="620">
        <v>745.19</v>
      </c>
      <c r="E52" s="620">
        <v>765.54</v>
      </c>
      <c r="F52" s="620">
        <v>795.46</v>
      </c>
      <c r="G52" s="620">
        <v>807.21</v>
      </c>
      <c r="H52" s="620">
        <v>839.13</v>
      </c>
      <c r="I52" s="620">
        <v>884.84</v>
      </c>
      <c r="J52" s="620">
        <v>917.85</v>
      </c>
      <c r="K52" s="620">
        <v>1002.92</v>
      </c>
      <c r="L52" s="620">
        <v>1043.8499999999999</v>
      </c>
      <c r="M52" s="620">
        <v>1111.1400000000001</v>
      </c>
    </row>
    <row r="53" spans="1:13" s="237" customFormat="1" ht="12.75" customHeight="1">
      <c r="A53" s="604">
        <v>96</v>
      </c>
      <c r="B53" s="610" t="s">
        <v>631</v>
      </c>
      <c r="C53" s="620">
        <v>622.26</v>
      </c>
      <c r="D53" s="620">
        <v>638.65</v>
      </c>
      <c r="E53" s="620">
        <v>656.98</v>
      </c>
      <c r="F53" s="620">
        <v>685.45</v>
      </c>
      <c r="G53" s="620">
        <v>729.29</v>
      </c>
      <c r="H53" s="620">
        <v>769.33</v>
      </c>
      <c r="I53" s="620">
        <v>802.42</v>
      </c>
      <c r="J53" s="620">
        <v>853.73</v>
      </c>
      <c r="K53" s="620">
        <v>909.3</v>
      </c>
      <c r="L53" s="620">
        <v>962.03</v>
      </c>
      <c r="M53" s="620">
        <v>959.15</v>
      </c>
    </row>
    <row r="54" spans="1:13" s="237" customFormat="1" ht="12.75" customHeight="1">
      <c r="A54" s="705" t="s">
        <v>632</v>
      </c>
      <c r="B54" s="706"/>
      <c r="C54" s="752">
        <v>1665.15</v>
      </c>
      <c r="D54" s="752">
        <v>1962.04</v>
      </c>
      <c r="E54" s="752">
        <v>1816.54</v>
      </c>
      <c r="F54" s="752">
        <v>1986.74</v>
      </c>
      <c r="G54" s="752">
        <v>1694.97</v>
      </c>
      <c r="H54" s="752">
        <v>1909.38</v>
      </c>
      <c r="I54" s="752">
        <v>2041.63</v>
      </c>
      <c r="J54" s="752">
        <v>2131.42</v>
      </c>
      <c r="K54" s="752">
        <v>2254.4699999999998</v>
      </c>
      <c r="L54" s="752">
        <v>2853.07</v>
      </c>
      <c r="M54" s="752">
        <v>3106.87</v>
      </c>
    </row>
    <row r="55" spans="1:13" s="237" customFormat="1" ht="15" customHeight="1">
      <c r="A55" s="19" t="s">
        <v>769</v>
      </c>
      <c r="B55" s="613"/>
      <c r="C55" s="95"/>
      <c r="D55" s="95"/>
      <c r="E55" s="96"/>
      <c r="F55" s="96"/>
      <c r="G55" s="96"/>
      <c r="H55" s="96"/>
      <c r="I55" s="96"/>
      <c r="J55" s="96"/>
      <c r="K55" s="96"/>
      <c r="L55" s="96"/>
      <c r="M55" s="96"/>
    </row>
    <row r="56" spans="1:13" ht="10.5" customHeight="1">
      <c r="B56" s="999" t="s">
        <v>4</v>
      </c>
      <c r="C56" s="999"/>
      <c r="D56" s="999"/>
      <c r="E56" s="999"/>
      <c r="F56" s="999"/>
      <c r="G56" s="999"/>
      <c r="H56" s="999"/>
      <c r="I56" s="999"/>
      <c r="J56" s="999"/>
      <c r="K56" s="999"/>
      <c r="L56" s="999"/>
      <c r="M56" s="999"/>
    </row>
    <row r="57" spans="1:13" ht="15" customHeight="1">
      <c r="B57" s="205"/>
    </row>
  </sheetData>
  <mergeCells count="2">
    <mergeCell ref="A1:M1"/>
    <mergeCell ref="B56:M56"/>
  </mergeCells>
  <conditionalFormatting sqref="A1 A56:B56 E55 A2:C3 B55 B4:C4 A57:C1048576 C7:G53 A5:L6 C54:L54 N1:XFD1048576">
    <cfRule type="cellIs" dxfId="745" priority="37" operator="equal">
      <formula>0</formula>
    </cfRule>
  </conditionalFormatting>
  <conditionalFormatting sqref="C55">
    <cfRule type="cellIs" dxfId="744" priority="36" operator="equal">
      <formula>0</formula>
    </cfRule>
  </conditionalFormatting>
  <conditionalFormatting sqref="E2:E4 E57:E1048576 F4:G4">
    <cfRule type="cellIs" dxfId="743" priority="34" operator="equal">
      <formula>0</formula>
    </cfRule>
  </conditionalFormatting>
  <conditionalFormatting sqref="D2:D4 D57:D1048576">
    <cfRule type="cellIs" dxfId="742" priority="33" operator="equal">
      <formula>0</formula>
    </cfRule>
  </conditionalFormatting>
  <conditionalFormatting sqref="D55">
    <cfRule type="cellIs" dxfId="741" priority="32" operator="equal">
      <formula>0</formula>
    </cfRule>
  </conditionalFormatting>
  <conditionalFormatting sqref="G55">
    <cfRule type="cellIs" dxfId="740" priority="31" operator="equal">
      <formula>0</formula>
    </cfRule>
  </conditionalFormatting>
  <conditionalFormatting sqref="G2:G3 G57:G1048576">
    <cfRule type="cellIs" dxfId="739" priority="30" operator="equal">
      <formula>0</formula>
    </cfRule>
  </conditionalFormatting>
  <conditionalFormatting sqref="F55">
    <cfRule type="cellIs" dxfId="738" priority="29" operator="equal">
      <formula>0</formula>
    </cfRule>
  </conditionalFormatting>
  <conditionalFormatting sqref="F2:F3 F57:F1048576">
    <cfRule type="cellIs" dxfId="737" priority="28" operator="equal">
      <formula>0</formula>
    </cfRule>
  </conditionalFormatting>
  <conditionalFormatting sqref="H4">
    <cfRule type="cellIs" dxfId="736" priority="27" operator="equal">
      <formula>0</formula>
    </cfRule>
  </conditionalFormatting>
  <conditionalFormatting sqref="H7:H53">
    <cfRule type="cellIs" dxfId="735" priority="26" operator="equal">
      <formula>0</formula>
    </cfRule>
  </conditionalFormatting>
  <conditionalFormatting sqref="H55">
    <cfRule type="cellIs" dxfId="734" priority="25" operator="equal">
      <formula>0</formula>
    </cfRule>
  </conditionalFormatting>
  <conditionalFormatting sqref="H2:H3 H57:H1048576">
    <cfRule type="cellIs" dxfId="733" priority="24" operator="equal">
      <formula>0</formula>
    </cfRule>
  </conditionalFormatting>
  <conditionalFormatting sqref="I4">
    <cfRule type="cellIs" dxfId="732" priority="23" operator="equal">
      <formula>0</formula>
    </cfRule>
  </conditionalFormatting>
  <conditionalFormatting sqref="I7:I53">
    <cfRule type="cellIs" dxfId="731" priority="22" operator="equal">
      <formula>0</formula>
    </cfRule>
  </conditionalFormatting>
  <conditionalFormatting sqref="I55">
    <cfRule type="cellIs" dxfId="730" priority="21" operator="equal">
      <formula>0</formula>
    </cfRule>
  </conditionalFormatting>
  <conditionalFormatting sqref="I2:I3 I57:I1048576">
    <cfRule type="cellIs" dxfId="729" priority="20" operator="equal">
      <formula>0</formula>
    </cfRule>
  </conditionalFormatting>
  <conditionalFormatting sqref="K4">
    <cfRule type="cellIs" dxfId="728" priority="15" operator="equal">
      <formula>0</formula>
    </cfRule>
  </conditionalFormatting>
  <conditionalFormatting sqref="J4">
    <cfRule type="cellIs" dxfId="727" priority="19" operator="equal">
      <formula>0</formula>
    </cfRule>
  </conditionalFormatting>
  <conditionalFormatting sqref="J7:J53">
    <cfRule type="cellIs" dxfId="726" priority="18" operator="equal">
      <formula>0</formula>
    </cfRule>
  </conditionalFormatting>
  <conditionalFormatting sqref="J55">
    <cfRule type="cellIs" dxfId="725" priority="17" operator="equal">
      <formula>0</formula>
    </cfRule>
  </conditionalFormatting>
  <conditionalFormatting sqref="J2:J3 J57:J1048576">
    <cfRule type="cellIs" dxfId="724" priority="16" operator="equal">
      <formula>0</formula>
    </cfRule>
  </conditionalFormatting>
  <conditionalFormatting sqref="K7:K53">
    <cfRule type="cellIs" dxfId="723" priority="14" operator="equal">
      <formula>0</formula>
    </cfRule>
  </conditionalFormatting>
  <conditionalFormatting sqref="K55">
    <cfRule type="cellIs" dxfId="722" priority="13" operator="equal">
      <formula>0</formula>
    </cfRule>
  </conditionalFormatting>
  <conditionalFormatting sqref="K2:K3 K57:K1048576">
    <cfRule type="cellIs" dxfId="721" priority="12" operator="equal">
      <formula>0</formula>
    </cfRule>
  </conditionalFormatting>
  <conditionalFormatting sqref="L4">
    <cfRule type="cellIs" dxfId="720" priority="11" operator="equal">
      <formula>0</formula>
    </cfRule>
  </conditionalFormatting>
  <conditionalFormatting sqref="L7:L53">
    <cfRule type="cellIs" dxfId="719" priority="10" operator="equal">
      <formula>0</formula>
    </cfRule>
  </conditionalFormatting>
  <conditionalFormatting sqref="L55">
    <cfRule type="cellIs" dxfId="718" priority="9" operator="equal">
      <formula>0</formula>
    </cfRule>
  </conditionalFormatting>
  <conditionalFormatting sqref="L2:L3 L57:L1048576">
    <cfRule type="cellIs" dxfId="717" priority="8" operator="equal">
      <formula>0</formula>
    </cfRule>
  </conditionalFormatting>
  <conditionalFormatting sqref="A4">
    <cfRule type="cellIs" dxfId="716" priority="7" operator="equal">
      <formula>0</formula>
    </cfRule>
  </conditionalFormatting>
  <conditionalFormatting sqref="M5:M6 M54">
    <cfRule type="cellIs" dxfId="715" priority="6" operator="equal">
      <formula>0</formula>
    </cfRule>
  </conditionalFormatting>
  <conditionalFormatting sqref="M4">
    <cfRule type="cellIs" dxfId="714" priority="5" operator="equal">
      <formula>0</formula>
    </cfRule>
  </conditionalFormatting>
  <conditionalFormatting sqref="M7:M53">
    <cfRule type="cellIs" dxfId="713" priority="4" operator="equal">
      <formula>0</formula>
    </cfRule>
  </conditionalFormatting>
  <conditionalFormatting sqref="M55">
    <cfRule type="cellIs" dxfId="712" priority="3" operator="equal">
      <formula>0</formula>
    </cfRule>
  </conditionalFormatting>
  <conditionalFormatting sqref="M2:M3 M57:M1048576">
    <cfRule type="cellIs" dxfId="711" priority="2" operator="equal">
      <formula>0</formula>
    </cfRule>
  </conditionalFormatting>
  <conditionalFormatting sqref="A55">
    <cfRule type="cellIs" dxfId="710"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79" orientation="portrait" r:id="rId1"/>
  <headerFooter>
    <oddHeader>&amp;C&amp;G</oddHeader>
  </headerFooter>
  <drawing r:id="rId2"/>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E19CF-A6C4-40A7-ABEF-B69678A0BD86}">
  <sheetPr>
    <tabColor rgb="FFE1EAEF"/>
  </sheetPr>
  <dimension ref="A1:AZ66"/>
  <sheetViews>
    <sheetView showGridLines="0" workbookViewId="0">
      <selection activeCell="Y70" sqref="Y70"/>
    </sheetView>
  </sheetViews>
  <sheetFormatPr defaultColWidth="9.140625" defaultRowHeight="11.25"/>
  <cols>
    <col min="1" max="1" width="3" style="614" customWidth="1"/>
    <col min="2" max="2" width="41.140625" style="615" customWidth="1"/>
    <col min="3" max="13" width="6.5703125" style="596" customWidth="1"/>
    <col min="14" max="15" width="9.140625" style="596"/>
    <col min="16" max="52" width="9.140625" style="749"/>
    <col min="53" max="16384" width="9.140625" style="596"/>
  </cols>
  <sheetData>
    <row r="1" spans="1:52" s="593" customFormat="1" ht="21.75" customHeight="1">
      <c r="A1" s="989" t="s">
        <v>789</v>
      </c>
      <c r="B1" s="989"/>
      <c r="C1" s="989"/>
      <c r="D1" s="989"/>
      <c r="E1" s="989"/>
      <c r="F1" s="989"/>
      <c r="G1" s="989"/>
      <c r="H1" s="989"/>
      <c r="I1" s="989"/>
      <c r="J1" s="989"/>
      <c r="K1" s="989"/>
      <c r="L1" s="989"/>
      <c r="M1" s="989"/>
      <c r="P1" s="753"/>
      <c r="Q1" s="675"/>
      <c r="R1" s="673"/>
      <c r="S1" s="673"/>
      <c r="T1" s="673"/>
      <c r="U1" s="673"/>
      <c r="V1" s="691"/>
      <c r="W1" s="673"/>
      <c r="X1" s="673"/>
      <c r="Y1" s="673"/>
      <c r="Z1" s="673"/>
      <c r="AA1" s="673"/>
      <c r="AB1" s="673"/>
      <c r="AC1" s="753"/>
      <c r="AD1" s="753"/>
      <c r="AE1" s="753"/>
      <c r="AF1" s="753"/>
      <c r="AG1" s="753"/>
      <c r="AH1" s="753"/>
      <c r="AI1" s="753"/>
      <c r="AJ1" s="753"/>
      <c r="AK1" s="753"/>
      <c r="AL1" s="753"/>
      <c r="AM1" s="753"/>
      <c r="AN1" s="753"/>
      <c r="AO1" s="753"/>
      <c r="AP1" s="753"/>
      <c r="AQ1" s="753"/>
      <c r="AR1" s="753"/>
      <c r="AS1" s="753"/>
      <c r="AT1" s="753"/>
      <c r="AU1" s="753"/>
      <c r="AV1" s="753"/>
      <c r="AW1" s="753"/>
      <c r="AX1" s="753"/>
      <c r="AY1" s="753"/>
      <c r="AZ1" s="753"/>
    </row>
    <row r="2" spans="1:52" ht="15" customHeight="1">
      <c r="A2" s="594"/>
      <c r="B2" s="595"/>
      <c r="C2" s="595"/>
      <c r="D2" s="595"/>
      <c r="E2" s="595"/>
      <c r="F2" s="595"/>
      <c r="G2" s="595"/>
      <c r="H2" s="595"/>
      <c r="I2" s="595"/>
      <c r="J2" s="595"/>
      <c r="K2" s="595"/>
      <c r="L2" s="595"/>
      <c r="M2" s="595"/>
      <c r="Q2" s="677"/>
      <c r="R2" s="677"/>
      <c r="S2" s="677"/>
      <c r="T2" s="677"/>
      <c r="U2" s="677"/>
      <c r="V2" s="677"/>
      <c r="W2" s="677"/>
      <c r="X2" s="677"/>
      <c r="Y2" s="677"/>
      <c r="Z2" s="677"/>
      <c r="AA2" s="677"/>
      <c r="AB2" s="677"/>
    </row>
    <row r="3" spans="1:52" s="115" customFormat="1" ht="15" customHeight="1">
      <c r="A3" s="28" t="s">
        <v>41</v>
      </c>
      <c r="B3" s="598"/>
      <c r="C3" s="29"/>
      <c r="D3" s="29"/>
      <c r="E3" s="29"/>
      <c r="F3" s="29"/>
      <c r="G3" s="29"/>
      <c r="H3" s="29"/>
      <c r="I3" s="29"/>
      <c r="J3" s="29"/>
      <c r="K3" s="29"/>
      <c r="L3" s="29"/>
      <c r="M3" s="29" t="s">
        <v>67</v>
      </c>
      <c r="P3" s="677"/>
      <c r="Q3" s="677"/>
      <c r="R3" s="678"/>
      <c r="S3" s="678"/>
      <c r="T3" s="678"/>
      <c r="U3" s="678"/>
      <c r="V3" s="678"/>
      <c r="W3" s="678"/>
      <c r="X3" s="678"/>
      <c r="Y3" s="678"/>
      <c r="Z3" s="678"/>
      <c r="AA3" s="678"/>
      <c r="AB3" s="678"/>
      <c r="AC3" s="677"/>
      <c r="AD3" s="677"/>
      <c r="AE3" s="677"/>
      <c r="AF3" s="677"/>
      <c r="AG3" s="677"/>
      <c r="AH3" s="677"/>
      <c r="AI3" s="677"/>
      <c r="AJ3" s="677"/>
      <c r="AK3" s="677"/>
      <c r="AL3" s="677"/>
      <c r="AM3" s="677"/>
      <c r="AN3" s="677"/>
      <c r="AO3" s="677"/>
      <c r="AP3" s="677"/>
      <c r="AQ3" s="677"/>
      <c r="AR3" s="677"/>
      <c r="AS3" s="677"/>
      <c r="AT3" s="677"/>
      <c r="AU3" s="677"/>
      <c r="AV3" s="677"/>
      <c r="AW3" s="677"/>
      <c r="AX3" s="677"/>
      <c r="AY3" s="677"/>
      <c r="AZ3" s="677"/>
    </row>
    <row r="4" spans="1:52" s="115" customFormat="1" ht="24.95" customHeight="1" thickBot="1">
      <c r="A4" s="104" t="s">
        <v>645</v>
      </c>
      <c r="B4" s="599"/>
      <c r="C4" s="200">
        <v>2014</v>
      </c>
      <c r="D4" s="200">
        <v>2015</v>
      </c>
      <c r="E4" s="200">
        <v>2016</v>
      </c>
      <c r="F4" s="200">
        <v>2017</v>
      </c>
      <c r="G4" s="200">
        <v>2018</v>
      </c>
      <c r="H4" s="200">
        <v>2019</v>
      </c>
      <c r="I4" s="200">
        <v>2020</v>
      </c>
      <c r="J4" s="200">
        <v>2021</v>
      </c>
      <c r="K4" s="200">
        <v>2022</v>
      </c>
      <c r="L4" s="200">
        <v>2023</v>
      </c>
      <c r="M4" s="200">
        <v>2024</v>
      </c>
      <c r="P4" s="675"/>
      <c r="Q4" s="677"/>
      <c r="R4" s="675"/>
      <c r="S4" s="677"/>
      <c r="T4" s="677"/>
      <c r="U4" s="677"/>
      <c r="V4" s="677"/>
      <c r="W4" s="677"/>
      <c r="X4" s="677"/>
      <c r="Y4" s="677"/>
      <c r="Z4" s="677"/>
      <c r="AA4" s="677"/>
      <c r="AB4" s="677"/>
      <c r="AC4" s="691"/>
      <c r="AD4" s="677"/>
      <c r="AE4" s="677"/>
      <c r="AF4" s="677"/>
      <c r="AG4" s="677"/>
      <c r="AH4" s="677"/>
      <c r="AI4" s="677"/>
      <c r="AJ4" s="677"/>
      <c r="AK4" s="677"/>
      <c r="AL4" s="677"/>
      <c r="AM4" s="677"/>
      <c r="AN4" s="677"/>
      <c r="AO4" s="677"/>
      <c r="AP4" s="677"/>
      <c r="AQ4" s="677"/>
      <c r="AR4" s="677"/>
      <c r="AS4" s="677"/>
      <c r="AT4" s="677"/>
      <c r="AU4" s="677"/>
      <c r="AV4" s="677"/>
      <c r="AW4" s="677"/>
      <c r="AX4" s="677"/>
      <c r="AY4" s="677"/>
      <c r="AZ4" s="677"/>
    </row>
    <row r="5" spans="1:52" s="115" customFormat="1" ht="18" customHeight="1" thickTop="1">
      <c r="A5" s="616"/>
      <c r="B5" s="617" t="s">
        <v>11</v>
      </c>
      <c r="C5" s="618">
        <v>836.38</v>
      </c>
      <c r="D5" s="618">
        <v>862.54</v>
      </c>
      <c r="E5" s="618">
        <v>878.67</v>
      </c>
      <c r="F5" s="618">
        <v>913.99</v>
      </c>
      <c r="G5" s="618">
        <v>914.83</v>
      </c>
      <c r="H5" s="618">
        <v>920.93</v>
      </c>
      <c r="I5" s="618">
        <v>970.48</v>
      </c>
      <c r="J5" s="618">
        <v>1022.56</v>
      </c>
      <c r="K5" s="618">
        <v>1059</v>
      </c>
      <c r="L5" s="618">
        <v>1104.3699999999999</v>
      </c>
      <c r="M5" s="618">
        <v>1165.07</v>
      </c>
      <c r="O5" s="401"/>
      <c r="P5" s="250"/>
      <c r="Q5" s="677"/>
      <c r="R5" s="675"/>
      <c r="S5" s="677"/>
      <c r="T5" s="677"/>
      <c r="U5" s="677"/>
      <c r="V5" s="677"/>
      <c r="W5" s="677"/>
      <c r="X5" s="677"/>
      <c r="Y5" s="677"/>
      <c r="Z5" s="677"/>
      <c r="AA5" s="677"/>
      <c r="AB5" s="677"/>
      <c r="AC5" s="691"/>
      <c r="AD5" s="677"/>
      <c r="AE5" s="677"/>
      <c r="AF5" s="677"/>
      <c r="AG5" s="677"/>
      <c r="AH5" s="677"/>
      <c r="AI5" s="677"/>
      <c r="AJ5" s="677"/>
      <c r="AK5" s="677"/>
      <c r="AL5" s="677"/>
      <c r="AM5" s="677"/>
      <c r="AN5" s="677"/>
      <c r="AO5" s="677"/>
      <c r="AP5" s="677"/>
      <c r="AQ5" s="677"/>
      <c r="AR5" s="677"/>
      <c r="AS5" s="677"/>
      <c r="AT5" s="677"/>
      <c r="AU5" s="677"/>
      <c r="AV5" s="677"/>
      <c r="AW5" s="677"/>
      <c r="AX5" s="677"/>
      <c r="AY5" s="677"/>
      <c r="AZ5" s="677"/>
    </row>
    <row r="6" spans="1:52" s="115" customFormat="1" ht="24" customHeight="1">
      <c r="A6" s="600">
        <v>1</v>
      </c>
      <c r="B6" s="603" t="s">
        <v>584</v>
      </c>
      <c r="C6" s="619">
        <v>2927.24</v>
      </c>
      <c r="D6" s="619">
        <v>2813.68</v>
      </c>
      <c r="E6" s="619">
        <v>2907.96</v>
      </c>
      <c r="F6" s="619">
        <v>3081.73</v>
      </c>
      <c r="G6" s="619">
        <v>3083.46</v>
      </c>
      <c r="H6" s="619">
        <v>3096.01</v>
      </c>
      <c r="I6" s="619">
        <v>3401.27</v>
      </c>
      <c r="J6" s="619">
        <v>3561.51</v>
      </c>
      <c r="K6" s="619">
        <v>3718</v>
      </c>
      <c r="L6" s="619">
        <v>3909.23</v>
      </c>
      <c r="M6" s="619">
        <v>4063.23</v>
      </c>
      <c r="O6" s="199"/>
      <c r="P6" s="677"/>
      <c r="Q6" s="754"/>
      <c r="R6" s="708"/>
      <c r="S6" s="677"/>
      <c r="T6" s="677"/>
      <c r="U6" s="677"/>
      <c r="V6" s="677"/>
      <c r="W6" s="677"/>
      <c r="X6" s="677"/>
      <c r="Y6" s="677"/>
      <c r="Z6" s="677"/>
      <c r="AA6" s="677"/>
      <c r="AB6" s="677"/>
      <c r="AC6" s="677"/>
      <c r="AD6" s="677"/>
      <c r="AE6" s="677"/>
      <c r="AF6" s="677"/>
      <c r="AG6" s="677"/>
      <c r="AH6" s="688"/>
      <c r="AI6" s="688"/>
      <c r="AJ6" s="688"/>
      <c r="AK6" s="688"/>
      <c r="AL6" s="688"/>
      <c r="AM6" s="688"/>
      <c r="AN6" s="688"/>
      <c r="AO6" s="688"/>
      <c r="AP6" s="688"/>
      <c r="AQ6" s="688"/>
      <c r="AR6" s="677"/>
      <c r="AS6" s="677"/>
      <c r="AT6" s="677"/>
      <c r="AU6" s="677"/>
      <c r="AV6" s="677"/>
      <c r="AW6" s="677"/>
      <c r="AX6" s="677"/>
      <c r="AY6" s="677"/>
      <c r="AZ6" s="677"/>
    </row>
    <row r="7" spans="1:52" s="115" customFormat="1" ht="21" customHeight="1">
      <c r="A7" s="604">
        <v>11</v>
      </c>
      <c r="B7" s="755" t="s">
        <v>585</v>
      </c>
      <c r="C7" s="620">
        <v>4416.33</v>
      </c>
      <c r="D7" s="620">
        <v>3946.48</v>
      </c>
      <c r="E7" s="620">
        <v>4417.87</v>
      </c>
      <c r="F7" s="620">
        <v>5038.67</v>
      </c>
      <c r="G7" s="620">
        <v>4901.1000000000004</v>
      </c>
      <c r="H7" s="620">
        <v>5196.97</v>
      </c>
      <c r="I7" s="620">
        <v>5505.12</v>
      </c>
      <c r="J7" s="620">
        <v>5468.42</v>
      </c>
      <c r="K7" s="620">
        <v>5677.77</v>
      </c>
      <c r="L7" s="620">
        <v>6094.82</v>
      </c>
      <c r="M7" s="620">
        <v>5922.47</v>
      </c>
      <c r="O7" s="199"/>
      <c r="P7" s="683"/>
      <c r="Q7" s="708"/>
      <c r="R7" s="708"/>
      <c r="S7" s="677"/>
      <c r="T7" s="677"/>
      <c r="U7" s="677"/>
      <c r="V7" s="677"/>
      <c r="W7" s="677"/>
      <c r="X7" s="677"/>
      <c r="Y7" s="677"/>
      <c r="Z7" s="677"/>
      <c r="AA7" s="677"/>
      <c r="AB7" s="677"/>
      <c r="AC7" s="677"/>
      <c r="AD7" s="677"/>
      <c r="AE7" s="677"/>
      <c r="AF7" s="677"/>
      <c r="AG7" s="683"/>
      <c r="AH7" s="708"/>
      <c r="AI7" s="708"/>
      <c r="AJ7" s="708"/>
      <c r="AK7" s="708"/>
      <c r="AL7" s="708"/>
      <c r="AM7" s="708"/>
      <c r="AN7" s="708"/>
      <c r="AO7" s="708"/>
      <c r="AP7" s="708"/>
      <c r="AQ7" s="708"/>
      <c r="AR7" s="677"/>
      <c r="AS7" s="677"/>
      <c r="AT7" s="677"/>
      <c r="AU7" s="677"/>
      <c r="AV7" s="677"/>
      <c r="AW7" s="677"/>
      <c r="AX7" s="677"/>
      <c r="AY7" s="677"/>
      <c r="AZ7" s="677"/>
    </row>
    <row r="8" spans="1:52" s="115" customFormat="1" ht="12.75" customHeight="1">
      <c r="A8" s="604">
        <v>12</v>
      </c>
      <c r="B8" s="755" t="s">
        <v>586</v>
      </c>
      <c r="C8" s="620">
        <v>3363.9</v>
      </c>
      <c r="D8" s="620">
        <v>3300.2</v>
      </c>
      <c r="E8" s="620">
        <v>3478.68</v>
      </c>
      <c r="F8" s="620">
        <v>3527.33</v>
      </c>
      <c r="G8" s="620">
        <v>3436.23</v>
      </c>
      <c r="H8" s="620">
        <v>3354.9</v>
      </c>
      <c r="I8" s="620">
        <v>3537.95</v>
      </c>
      <c r="J8" s="620">
        <v>3765.93</v>
      </c>
      <c r="K8" s="620">
        <v>4106.54</v>
      </c>
      <c r="L8" s="620">
        <v>4414.7299999999996</v>
      </c>
      <c r="M8" s="620">
        <v>4516.78</v>
      </c>
      <c r="O8" s="199"/>
      <c r="P8" s="756"/>
      <c r="Q8" s="708"/>
      <c r="R8" s="708"/>
      <c r="S8" s="677"/>
      <c r="T8" s="683"/>
      <c r="U8" s="683"/>
      <c r="V8" s="675"/>
      <c r="W8" s="677"/>
      <c r="X8" s="683"/>
      <c r="Y8" s="679"/>
      <c r="Z8" s="683"/>
      <c r="AA8" s="683"/>
      <c r="AB8" s="683"/>
      <c r="AC8" s="683"/>
      <c r="AD8" s="683"/>
      <c r="AE8" s="677"/>
      <c r="AF8" s="677"/>
      <c r="AG8" s="756"/>
      <c r="AH8" s="708"/>
      <c r="AI8" s="708"/>
      <c r="AJ8" s="708"/>
      <c r="AK8" s="708"/>
      <c r="AL8" s="708"/>
      <c r="AM8" s="708"/>
      <c r="AN8" s="708"/>
      <c r="AO8" s="708"/>
      <c r="AP8" s="708"/>
      <c r="AQ8" s="708"/>
      <c r="AR8" s="677"/>
      <c r="AS8" s="677"/>
      <c r="AT8" s="677"/>
      <c r="AU8" s="677"/>
      <c r="AV8" s="677"/>
      <c r="AW8" s="677"/>
      <c r="AX8" s="677"/>
      <c r="AY8" s="677"/>
      <c r="AZ8" s="677"/>
    </row>
    <row r="9" spans="1:52" s="115" customFormat="1" ht="12.75" customHeight="1">
      <c r="A9" s="604">
        <v>13</v>
      </c>
      <c r="B9" s="755" t="s">
        <v>587</v>
      </c>
      <c r="C9" s="620">
        <v>3127.82</v>
      </c>
      <c r="D9" s="620">
        <v>3189.47</v>
      </c>
      <c r="E9" s="620">
        <v>3084.89</v>
      </c>
      <c r="F9" s="620">
        <v>3186.9</v>
      </c>
      <c r="G9" s="620">
        <v>3237.29</v>
      </c>
      <c r="H9" s="620">
        <v>3069.97</v>
      </c>
      <c r="I9" s="620">
        <v>3431.74</v>
      </c>
      <c r="J9" s="620">
        <v>3523.78</v>
      </c>
      <c r="K9" s="620">
        <v>4018.85</v>
      </c>
      <c r="L9" s="620">
        <v>4358.7</v>
      </c>
      <c r="M9" s="620">
        <v>4616.13</v>
      </c>
      <c r="O9" s="199"/>
      <c r="P9" s="757"/>
      <c r="Q9" s="708"/>
      <c r="R9" s="708"/>
      <c r="S9" s="677"/>
      <c r="T9" s="683"/>
      <c r="U9" s="683"/>
      <c r="V9" s="683"/>
      <c r="W9" s="683"/>
      <c r="X9" s="683"/>
      <c r="Y9" s="683"/>
      <c r="Z9" s="683"/>
      <c r="AA9" s="683"/>
      <c r="AB9" s="683"/>
      <c r="AC9" s="683"/>
      <c r="AD9" s="683"/>
      <c r="AE9" s="677"/>
      <c r="AF9" s="677"/>
      <c r="AG9" s="757"/>
      <c r="AH9" s="708"/>
      <c r="AI9" s="708"/>
      <c r="AJ9" s="708"/>
      <c r="AK9" s="708"/>
      <c r="AL9" s="708"/>
      <c r="AM9" s="708"/>
      <c r="AN9" s="708"/>
      <c r="AO9" s="708"/>
      <c r="AP9" s="708"/>
      <c r="AQ9" s="708"/>
      <c r="AR9" s="677"/>
      <c r="AS9" s="677"/>
      <c r="AT9" s="677"/>
      <c r="AU9" s="677"/>
      <c r="AV9" s="677"/>
      <c r="AW9" s="677"/>
      <c r="AX9" s="677"/>
      <c r="AY9" s="677"/>
      <c r="AZ9" s="677"/>
    </row>
    <row r="10" spans="1:52" s="115" customFormat="1" ht="12.75" customHeight="1">
      <c r="A10" s="604">
        <v>14</v>
      </c>
      <c r="B10" s="755" t="s">
        <v>588</v>
      </c>
      <c r="C10" s="620">
        <v>1476.69</v>
      </c>
      <c r="D10" s="620">
        <v>1584</v>
      </c>
      <c r="E10" s="620">
        <v>1546.8</v>
      </c>
      <c r="F10" s="620">
        <v>1647.4</v>
      </c>
      <c r="G10" s="620">
        <v>1691.93</v>
      </c>
      <c r="H10" s="620">
        <v>1772.11</v>
      </c>
      <c r="I10" s="620">
        <v>1960.13</v>
      </c>
      <c r="J10" s="620">
        <v>2190.3000000000002</v>
      </c>
      <c r="K10" s="620">
        <v>2017.95</v>
      </c>
      <c r="L10" s="620">
        <v>2118.89</v>
      </c>
      <c r="M10" s="620">
        <v>2278.15</v>
      </c>
      <c r="O10" s="199"/>
      <c r="P10" s="757"/>
      <c r="Q10" s="708"/>
      <c r="R10" s="708"/>
      <c r="S10" s="677"/>
      <c r="T10" s="683"/>
      <c r="U10" s="684"/>
      <c r="V10" s="684"/>
      <c r="W10" s="684"/>
      <c r="X10" s="684"/>
      <c r="Y10" s="684"/>
      <c r="Z10" s="684"/>
      <c r="AA10" s="684"/>
      <c r="AB10" s="684"/>
      <c r="AC10" s="684"/>
      <c r="AD10" s="684"/>
      <c r="AE10" s="677"/>
      <c r="AF10" s="677"/>
      <c r="AG10" s="757"/>
      <c r="AH10" s="708"/>
      <c r="AI10" s="708"/>
      <c r="AJ10" s="708"/>
      <c r="AK10" s="708"/>
      <c r="AL10" s="708"/>
      <c r="AM10" s="708"/>
      <c r="AN10" s="708"/>
      <c r="AO10" s="708"/>
      <c r="AP10" s="708"/>
      <c r="AQ10" s="708"/>
      <c r="AR10" s="677"/>
      <c r="AS10" s="677"/>
      <c r="AT10" s="677"/>
      <c r="AU10" s="677"/>
      <c r="AV10" s="677"/>
      <c r="AW10" s="677"/>
      <c r="AX10" s="677"/>
      <c r="AY10" s="677"/>
      <c r="AZ10" s="677"/>
    </row>
    <row r="11" spans="1:52" s="395" customFormat="1" ht="12.75" customHeight="1">
      <c r="A11" s="607">
        <v>2</v>
      </c>
      <c r="B11" s="608" t="s">
        <v>589</v>
      </c>
      <c r="C11" s="619">
        <v>1849.67</v>
      </c>
      <c r="D11" s="619">
        <v>1823.35</v>
      </c>
      <c r="E11" s="619">
        <v>1864.97</v>
      </c>
      <c r="F11" s="619">
        <v>1901.38</v>
      </c>
      <c r="G11" s="619">
        <v>1862.07</v>
      </c>
      <c r="H11" s="619">
        <v>1840.43</v>
      </c>
      <c r="I11" s="619">
        <v>1909.82</v>
      </c>
      <c r="J11" s="619">
        <v>2006.57</v>
      </c>
      <c r="K11" s="619">
        <v>2194.14</v>
      </c>
      <c r="L11" s="619">
        <v>2348.86</v>
      </c>
      <c r="M11" s="619">
        <v>2512.0500000000002</v>
      </c>
      <c r="O11" s="758"/>
      <c r="P11" s="757"/>
      <c r="Q11" s="708"/>
      <c r="R11" s="759"/>
      <c r="S11" s="679"/>
      <c r="T11" s="696"/>
      <c r="U11" s="703"/>
      <c r="V11" s="703"/>
      <c r="W11" s="703"/>
      <c r="X11" s="703"/>
      <c r="Y11" s="703"/>
      <c r="Z11" s="703"/>
      <c r="AA11" s="703"/>
      <c r="AB11" s="703"/>
      <c r="AC11" s="703"/>
      <c r="AD11" s="703"/>
      <c r="AE11" s="679"/>
      <c r="AF11" s="679"/>
      <c r="AG11" s="757"/>
      <c r="AH11" s="708"/>
      <c r="AI11" s="708"/>
      <c r="AJ11" s="708"/>
      <c r="AK11" s="708"/>
      <c r="AL11" s="708"/>
      <c r="AM11" s="708"/>
      <c r="AN11" s="708"/>
      <c r="AO11" s="708"/>
      <c r="AP11" s="708"/>
      <c r="AQ11" s="708"/>
      <c r="AR11" s="679"/>
      <c r="AS11" s="679"/>
      <c r="AT11" s="679"/>
      <c r="AU11" s="679"/>
      <c r="AV11" s="679"/>
      <c r="AW11" s="679"/>
      <c r="AX11" s="679"/>
      <c r="AY11" s="679"/>
      <c r="AZ11" s="679"/>
    </row>
    <row r="12" spans="1:52" s="115" customFormat="1" ht="11.45" customHeight="1">
      <c r="A12" s="609">
        <v>21</v>
      </c>
      <c r="B12" s="755" t="s">
        <v>790</v>
      </c>
      <c r="C12" s="620">
        <v>2326.42</v>
      </c>
      <c r="D12" s="620">
        <v>2302.7399999999998</v>
      </c>
      <c r="E12" s="620">
        <v>2358.56</v>
      </c>
      <c r="F12" s="620">
        <v>2428.1999999999998</v>
      </c>
      <c r="G12" s="620">
        <v>2291.06</v>
      </c>
      <c r="H12" s="620">
        <v>2177.2399999999998</v>
      </c>
      <c r="I12" s="620">
        <v>2184.5300000000002</v>
      </c>
      <c r="J12" s="620">
        <v>2192.46</v>
      </c>
      <c r="K12" s="620">
        <v>2206.92</v>
      </c>
      <c r="L12" s="620">
        <v>2318.1799999999998</v>
      </c>
      <c r="M12" s="620">
        <v>2478.65</v>
      </c>
      <c r="O12" s="199"/>
      <c r="P12" s="757"/>
      <c r="Q12" s="708"/>
      <c r="R12" s="708"/>
      <c r="S12" s="677"/>
      <c r="T12" s="756"/>
      <c r="U12" s="680"/>
      <c r="V12" s="680"/>
      <c r="W12" s="680"/>
      <c r="X12" s="680"/>
      <c r="Y12" s="680"/>
      <c r="Z12" s="680"/>
      <c r="AA12" s="680"/>
      <c r="AB12" s="680"/>
      <c r="AC12" s="680"/>
      <c r="AD12" s="680"/>
      <c r="AE12" s="677"/>
      <c r="AF12" s="677"/>
      <c r="AG12" s="757"/>
      <c r="AH12" s="708"/>
      <c r="AI12" s="708"/>
      <c r="AJ12" s="708"/>
      <c r="AK12" s="708"/>
      <c r="AL12" s="708"/>
      <c r="AM12" s="708"/>
      <c r="AN12" s="708"/>
      <c r="AO12" s="708"/>
      <c r="AP12" s="708"/>
      <c r="AQ12" s="708"/>
      <c r="AR12" s="677"/>
      <c r="AS12" s="677"/>
      <c r="AT12" s="677"/>
      <c r="AU12" s="677"/>
      <c r="AV12" s="677"/>
      <c r="AW12" s="677"/>
      <c r="AX12" s="677"/>
      <c r="AY12" s="677"/>
      <c r="AZ12" s="677"/>
    </row>
    <row r="13" spans="1:52" s="115" customFormat="1" ht="12.75" customHeight="1">
      <c r="A13" s="609">
        <v>22</v>
      </c>
      <c r="B13" s="755" t="s">
        <v>591</v>
      </c>
      <c r="C13" s="620">
        <v>1891.64</v>
      </c>
      <c r="D13" s="620">
        <v>1901.06</v>
      </c>
      <c r="E13" s="620">
        <v>1946.05</v>
      </c>
      <c r="F13" s="620">
        <v>1938.24</v>
      </c>
      <c r="G13" s="620">
        <v>2009.07</v>
      </c>
      <c r="H13" s="620">
        <v>1917.8</v>
      </c>
      <c r="I13" s="620">
        <v>1913.15</v>
      </c>
      <c r="J13" s="620">
        <v>1964.94</v>
      </c>
      <c r="K13" s="620">
        <v>1892.57</v>
      </c>
      <c r="L13" s="620">
        <v>1856.43</v>
      </c>
      <c r="M13" s="620">
        <v>1967.85</v>
      </c>
      <c r="O13" s="199"/>
      <c r="P13" s="704"/>
      <c r="Q13" s="708"/>
      <c r="R13" s="708"/>
      <c r="S13" s="677"/>
      <c r="T13" s="757"/>
      <c r="U13" s="680"/>
      <c r="V13" s="680"/>
      <c r="W13" s="680"/>
      <c r="X13" s="680"/>
      <c r="Y13" s="680"/>
      <c r="Z13" s="680"/>
      <c r="AA13" s="680"/>
      <c r="AB13" s="680"/>
      <c r="AC13" s="680"/>
      <c r="AD13" s="680"/>
      <c r="AE13" s="677"/>
      <c r="AF13" s="677"/>
      <c r="AG13" s="704"/>
      <c r="AH13" s="708"/>
      <c r="AI13" s="708"/>
      <c r="AJ13" s="708"/>
      <c r="AK13" s="708"/>
      <c r="AL13" s="708"/>
      <c r="AM13" s="708"/>
      <c r="AN13" s="708"/>
      <c r="AO13" s="708"/>
      <c r="AP13" s="708"/>
      <c r="AQ13" s="708"/>
      <c r="AR13" s="677"/>
      <c r="AS13" s="677"/>
      <c r="AT13" s="677"/>
      <c r="AU13" s="677"/>
      <c r="AV13" s="677"/>
      <c r="AW13" s="677"/>
      <c r="AX13" s="677"/>
      <c r="AY13" s="677"/>
      <c r="AZ13" s="677"/>
    </row>
    <row r="14" spans="1:52" s="115" customFormat="1" ht="12.75" customHeight="1">
      <c r="A14" s="609">
        <v>23</v>
      </c>
      <c r="B14" s="755" t="s">
        <v>592</v>
      </c>
      <c r="C14" s="620">
        <v>1821.94</v>
      </c>
      <c r="D14" s="620">
        <v>1824.66</v>
      </c>
      <c r="E14" s="620">
        <v>1864.16</v>
      </c>
      <c r="F14" s="620">
        <v>1851.43</v>
      </c>
      <c r="G14" s="620">
        <v>1910.56</v>
      </c>
      <c r="H14" s="620">
        <v>1904.63</v>
      </c>
      <c r="I14" s="620">
        <v>1941.86</v>
      </c>
      <c r="J14" s="620">
        <v>2001.46</v>
      </c>
      <c r="K14" s="620">
        <v>2064.04</v>
      </c>
      <c r="L14" s="620">
        <v>2278.02</v>
      </c>
      <c r="M14" s="620">
        <v>2308.7600000000002</v>
      </c>
      <c r="O14" s="199"/>
      <c r="P14" s="757"/>
      <c r="Q14" s="708"/>
      <c r="R14" s="708"/>
      <c r="S14" s="677"/>
      <c r="T14" s="757"/>
      <c r="U14" s="680"/>
      <c r="V14" s="680"/>
      <c r="W14" s="680"/>
      <c r="X14" s="680"/>
      <c r="Y14" s="680"/>
      <c r="Z14" s="680"/>
      <c r="AA14" s="680"/>
      <c r="AB14" s="680"/>
      <c r="AC14" s="680"/>
      <c r="AD14" s="680"/>
      <c r="AE14" s="677"/>
      <c r="AF14" s="677"/>
      <c r="AG14" s="757"/>
      <c r="AH14" s="708"/>
      <c r="AI14" s="708"/>
      <c r="AJ14" s="708"/>
      <c r="AK14" s="708"/>
      <c r="AL14" s="708"/>
      <c r="AM14" s="708"/>
      <c r="AN14" s="708"/>
      <c r="AO14" s="708"/>
      <c r="AP14" s="708"/>
      <c r="AQ14" s="708"/>
      <c r="AR14" s="677"/>
      <c r="AS14" s="677"/>
      <c r="AT14" s="677"/>
      <c r="AU14" s="677"/>
      <c r="AV14" s="677"/>
      <c r="AW14" s="677"/>
      <c r="AX14" s="677"/>
      <c r="AY14" s="677"/>
      <c r="AZ14" s="677"/>
    </row>
    <row r="15" spans="1:52" s="115" customFormat="1" ht="20.25" customHeight="1">
      <c r="A15" s="609">
        <v>24</v>
      </c>
      <c r="B15" s="755" t="s">
        <v>593</v>
      </c>
      <c r="C15" s="620">
        <v>1854.94</v>
      </c>
      <c r="D15" s="620">
        <v>1753.13</v>
      </c>
      <c r="E15" s="620">
        <v>1801.66</v>
      </c>
      <c r="F15" s="620">
        <v>1828.69</v>
      </c>
      <c r="G15" s="620">
        <v>1696.8</v>
      </c>
      <c r="H15" s="620">
        <v>1596.02</v>
      </c>
      <c r="I15" s="620">
        <v>1656.79</v>
      </c>
      <c r="J15" s="620">
        <v>1754.39</v>
      </c>
      <c r="K15" s="620">
        <v>1951.39</v>
      </c>
      <c r="L15" s="620">
        <v>2179.54</v>
      </c>
      <c r="M15" s="620">
        <v>2311.29</v>
      </c>
      <c r="O15" s="199"/>
      <c r="P15" s="757"/>
      <c r="Q15" s="708"/>
      <c r="R15" s="708"/>
      <c r="S15" s="677"/>
      <c r="T15" s="757"/>
      <c r="U15" s="680"/>
      <c r="V15" s="680"/>
      <c r="W15" s="680"/>
      <c r="X15" s="680"/>
      <c r="Y15" s="680"/>
      <c r="Z15" s="680"/>
      <c r="AA15" s="680"/>
      <c r="AB15" s="680"/>
      <c r="AC15" s="680"/>
      <c r="AD15" s="680"/>
      <c r="AE15" s="677"/>
      <c r="AF15" s="677"/>
      <c r="AG15" s="757"/>
      <c r="AH15" s="708"/>
      <c r="AI15" s="708"/>
      <c r="AJ15" s="708"/>
      <c r="AK15" s="708"/>
      <c r="AL15" s="708"/>
      <c r="AM15" s="708"/>
      <c r="AN15" s="708"/>
      <c r="AO15" s="708"/>
      <c r="AP15" s="708"/>
      <c r="AQ15" s="708"/>
      <c r="AR15" s="677"/>
      <c r="AS15" s="677"/>
      <c r="AT15" s="677"/>
      <c r="AU15" s="677"/>
      <c r="AV15" s="677"/>
      <c r="AW15" s="677"/>
      <c r="AX15" s="677"/>
      <c r="AY15" s="677"/>
      <c r="AZ15" s="677"/>
    </row>
    <row r="16" spans="1:52" s="115" customFormat="1" ht="12.75" customHeight="1">
      <c r="A16" s="609">
        <v>25</v>
      </c>
      <c r="B16" s="755" t="s">
        <v>791</v>
      </c>
      <c r="C16" s="620">
        <v>1643.73</v>
      </c>
      <c r="D16" s="620">
        <v>1610.21</v>
      </c>
      <c r="E16" s="620">
        <v>1665.07</v>
      </c>
      <c r="F16" s="620">
        <v>1740.73</v>
      </c>
      <c r="G16" s="620">
        <v>1744.39</v>
      </c>
      <c r="H16" s="620">
        <v>1859.79</v>
      </c>
      <c r="I16" s="620">
        <v>1955.87</v>
      </c>
      <c r="J16" s="620">
        <v>2117.29</v>
      </c>
      <c r="K16" s="620">
        <v>2429.5500000000002</v>
      </c>
      <c r="L16" s="620">
        <v>2588.89</v>
      </c>
      <c r="M16" s="620">
        <v>2790.24</v>
      </c>
      <c r="O16" s="199"/>
      <c r="P16" s="757"/>
      <c r="Q16" s="708"/>
      <c r="R16" s="708"/>
      <c r="S16" s="677"/>
      <c r="T16" s="757"/>
      <c r="U16" s="680"/>
      <c r="V16" s="680"/>
      <c r="W16" s="680"/>
      <c r="X16" s="680"/>
      <c r="Y16" s="680"/>
      <c r="Z16" s="680"/>
      <c r="AA16" s="680"/>
      <c r="AB16" s="680"/>
      <c r="AC16" s="680"/>
      <c r="AD16" s="680"/>
      <c r="AE16" s="677"/>
      <c r="AF16" s="677"/>
      <c r="AG16" s="757"/>
      <c r="AH16" s="708"/>
      <c r="AI16" s="708"/>
      <c r="AJ16" s="708"/>
      <c r="AK16" s="708"/>
      <c r="AL16" s="708"/>
      <c r="AM16" s="708"/>
      <c r="AN16" s="708"/>
      <c r="AO16" s="708"/>
      <c r="AP16" s="708"/>
      <c r="AQ16" s="708"/>
      <c r="AR16" s="677"/>
      <c r="AS16" s="677"/>
      <c r="AT16" s="677"/>
      <c r="AU16" s="677"/>
      <c r="AV16" s="677"/>
      <c r="AW16" s="677"/>
      <c r="AX16" s="677"/>
      <c r="AY16" s="677"/>
      <c r="AZ16" s="677"/>
    </row>
    <row r="17" spans="1:52" s="115" customFormat="1" ht="12.75" customHeight="1">
      <c r="A17" s="609">
        <v>26</v>
      </c>
      <c r="B17" s="755" t="s">
        <v>792</v>
      </c>
      <c r="C17" s="620">
        <v>1298.76</v>
      </c>
      <c r="D17" s="620">
        <v>1260.06</v>
      </c>
      <c r="E17" s="620">
        <v>1262.0899999999999</v>
      </c>
      <c r="F17" s="620">
        <v>1284.53</v>
      </c>
      <c r="G17" s="620">
        <v>1273.44</v>
      </c>
      <c r="H17" s="620">
        <v>1347.13</v>
      </c>
      <c r="I17" s="620">
        <v>1597.87</v>
      </c>
      <c r="J17" s="620">
        <v>1702.27</v>
      </c>
      <c r="K17" s="620">
        <v>1770.86</v>
      </c>
      <c r="L17" s="620">
        <v>1877.29</v>
      </c>
      <c r="M17" s="620">
        <v>1942.06</v>
      </c>
      <c r="O17" s="199"/>
      <c r="P17" s="757"/>
      <c r="Q17" s="708"/>
      <c r="R17" s="708"/>
      <c r="S17" s="677"/>
      <c r="T17" s="704"/>
      <c r="U17" s="680"/>
      <c r="V17" s="680"/>
      <c r="W17" s="680"/>
      <c r="X17" s="680"/>
      <c r="Y17" s="680"/>
      <c r="Z17" s="680"/>
      <c r="AA17" s="680"/>
      <c r="AB17" s="680"/>
      <c r="AC17" s="680"/>
      <c r="AD17" s="680"/>
      <c r="AE17" s="677"/>
      <c r="AF17" s="677"/>
      <c r="AG17" s="757"/>
      <c r="AH17" s="708"/>
      <c r="AI17" s="708"/>
      <c r="AJ17" s="708"/>
      <c r="AK17" s="708"/>
      <c r="AL17" s="708"/>
      <c r="AM17" s="708"/>
      <c r="AN17" s="708"/>
      <c r="AO17" s="708"/>
      <c r="AP17" s="708"/>
      <c r="AQ17" s="708"/>
      <c r="AR17" s="677"/>
      <c r="AS17" s="677"/>
      <c r="AT17" s="677"/>
      <c r="AU17" s="677"/>
      <c r="AV17" s="677"/>
      <c r="AW17" s="677"/>
      <c r="AX17" s="677"/>
      <c r="AY17" s="677"/>
      <c r="AZ17" s="677"/>
    </row>
    <row r="18" spans="1:52" s="395" customFormat="1" ht="12.75" customHeight="1">
      <c r="A18" s="607">
        <v>3</v>
      </c>
      <c r="B18" s="608" t="s">
        <v>596</v>
      </c>
      <c r="C18" s="619">
        <v>2088.79</v>
      </c>
      <c r="D18" s="619">
        <v>2573.33</v>
      </c>
      <c r="E18" s="619">
        <v>2587.7199999999998</v>
      </c>
      <c r="F18" s="619">
        <v>2666.35</v>
      </c>
      <c r="G18" s="619">
        <v>2424.65</v>
      </c>
      <c r="H18" s="619">
        <v>2294.73</v>
      </c>
      <c r="I18" s="619">
        <v>2148.6799999999998</v>
      </c>
      <c r="J18" s="619">
        <v>1942.01</v>
      </c>
      <c r="K18" s="619">
        <v>1968.1</v>
      </c>
      <c r="L18" s="619">
        <v>2032.94</v>
      </c>
      <c r="M18" s="619">
        <v>2042.99</v>
      </c>
      <c r="O18" s="758"/>
      <c r="P18" s="757"/>
      <c r="Q18" s="708"/>
      <c r="R18" s="759"/>
      <c r="S18" s="679"/>
      <c r="T18" s="757"/>
      <c r="U18" s="703"/>
      <c r="V18" s="703"/>
      <c r="W18" s="703"/>
      <c r="X18" s="703"/>
      <c r="Y18" s="703"/>
      <c r="Z18" s="703"/>
      <c r="AA18" s="703"/>
      <c r="AB18" s="703"/>
      <c r="AC18" s="703"/>
      <c r="AD18" s="703"/>
      <c r="AE18" s="679"/>
      <c r="AF18" s="679"/>
      <c r="AG18" s="757"/>
      <c r="AH18" s="708"/>
      <c r="AI18" s="708"/>
      <c r="AJ18" s="708"/>
      <c r="AK18" s="708"/>
      <c r="AL18" s="708"/>
      <c r="AM18" s="708"/>
      <c r="AN18" s="708"/>
      <c r="AO18" s="708"/>
      <c r="AP18" s="708"/>
      <c r="AQ18" s="708"/>
      <c r="AR18" s="679"/>
      <c r="AS18" s="679"/>
      <c r="AT18" s="679"/>
      <c r="AU18" s="679"/>
      <c r="AV18" s="679"/>
      <c r="AW18" s="679"/>
      <c r="AX18" s="679"/>
      <c r="AY18" s="679"/>
      <c r="AZ18" s="679"/>
    </row>
    <row r="19" spans="1:52" s="115" customFormat="1" ht="18.600000000000001" customHeight="1">
      <c r="A19" s="609">
        <v>31</v>
      </c>
      <c r="B19" s="755" t="s">
        <v>597</v>
      </c>
      <c r="C19" s="620">
        <v>1282.51</v>
      </c>
      <c r="D19" s="620">
        <v>1303.8599999999999</v>
      </c>
      <c r="E19" s="620">
        <v>1303.1099999999999</v>
      </c>
      <c r="F19" s="620">
        <v>1509.63</v>
      </c>
      <c r="G19" s="620">
        <v>1468.27</v>
      </c>
      <c r="H19" s="620">
        <v>1436.54</v>
      </c>
      <c r="I19" s="620">
        <v>1387.29</v>
      </c>
      <c r="J19" s="620">
        <v>1124.67</v>
      </c>
      <c r="K19" s="620">
        <v>1305.58</v>
      </c>
      <c r="L19" s="620">
        <v>1544.32</v>
      </c>
      <c r="M19" s="620">
        <v>1523.13</v>
      </c>
      <c r="O19" s="199"/>
      <c r="P19" s="757"/>
      <c r="Q19" s="708"/>
      <c r="R19" s="708"/>
      <c r="S19" s="677"/>
      <c r="T19" s="757"/>
      <c r="U19" s="680"/>
      <c r="V19" s="680"/>
      <c r="W19" s="680"/>
      <c r="X19" s="680"/>
      <c r="Y19" s="680"/>
      <c r="Z19" s="680"/>
      <c r="AA19" s="680"/>
      <c r="AB19" s="680"/>
      <c r="AC19" s="680"/>
      <c r="AD19" s="680"/>
      <c r="AE19" s="677"/>
      <c r="AF19" s="677"/>
      <c r="AG19" s="757"/>
      <c r="AH19" s="708"/>
      <c r="AI19" s="708"/>
      <c r="AJ19" s="708"/>
      <c r="AK19" s="708"/>
      <c r="AL19" s="708"/>
      <c r="AM19" s="708"/>
      <c r="AN19" s="708"/>
      <c r="AO19" s="708"/>
      <c r="AP19" s="708"/>
      <c r="AQ19" s="708"/>
      <c r="AR19" s="677"/>
      <c r="AS19" s="677"/>
      <c r="AT19" s="677"/>
      <c r="AU19" s="677"/>
      <c r="AV19" s="677"/>
      <c r="AW19" s="677"/>
      <c r="AX19" s="677"/>
      <c r="AY19" s="677"/>
      <c r="AZ19" s="677"/>
    </row>
    <row r="20" spans="1:52" s="115" customFormat="1" ht="12.75" customHeight="1">
      <c r="A20" s="609">
        <v>32</v>
      </c>
      <c r="B20" s="755" t="s">
        <v>598</v>
      </c>
      <c r="C20" s="620">
        <v>737.33</v>
      </c>
      <c r="D20" s="620">
        <v>750.92</v>
      </c>
      <c r="E20" s="620">
        <v>776.27</v>
      </c>
      <c r="F20" s="620">
        <v>807.13</v>
      </c>
      <c r="G20" s="620">
        <v>797.8</v>
      </c>
      <c r="H20" s="620">
        <v>794.95</v>
      </c>
      <c r="I20" s="620">
        <v>845.31</v>
      </c>
      <c r="J20" s="620">
        <v>862.74</v>
      </c>
      <c r="K20" s="620">
        <v>883.73</v>
      </c>
      <c r="L20" s="620">
        <v>930.13</v>
      </c>
      <c r="M20" s="620">
        <v>986.68</v>
      </c>
      <c r="O20" s="199"/>
      <c r="P20" s="704"/>
      <c r="Q20" s="708"/>
      <c r="R20" s="708"/>
      <c r="S20" s="677"/>
      <c r="T20" s="757"/>
      <c r="U20" s="680"/>
      <c r="V20" s="680"/>
      <c r="W20" s="680"/>
      <c r="X20" s="680"/>
      <c r="Y20" s="680"/>
      <c r="Z20" s="680"/>
      <c r="AA20" s="680"/>
      <c r="AB20" s="680"/>
      <c r="AC20" s="680"/>
      <c r="AD20" s="680"/>
      <c r="AE20" s="677"/>
      <c r="AF20" s="677"/>
      <c r="AG20" s="704"/>
      <c r="AH20" s="708"/>
      <c r="AI20" s="708"/>
      <c r="AJ20" s="708"/>
      <c r="AK20" s="708"/>
      <c r="AL20" s="708"/>
      <c r="AM20" s="708"/>
      <c r="AN20" s="708"/>
      <c r="AO20" s="708"/>
      <c r="AP20" s="708"/>
      <c r="AQ20" s="708"/>
      <c r="AR20" s="677"/>
      <c r="AS20" s="677"/>
      <c r="AT20" s="677"/>
      <c r="AU20" s="677"/>
      <c r="AV20" s="677"/>
      <c r="AW20" s="677"/>
      <c r="AX20" s="677"/>
      <c r="AY20" s="677"/>
      <c r="AZ20" s="677"/>
    </row>
    <row r="21" spans="1:52" s="115" customFormat="1" ht="20.25" customHeight="1">
      <c r="A21" s="609">
        <v>33</v>
      </c>
      <c r="B21" s="755" t="s">
        <v>599</v>
      </c>
      <c r="C21" s="620">
        <v>1387.36</v>
      </c>
      <c r="D21" s="620">
        <v>1366.71</v>
      </c>
      <c r="E21" s="620">
        <v>1415.51</v>
      </c>
      <c r="F21" s="620">
        <v>1392.33</v>
      </c>
      <c r="G21" s="620">
        <v>1378.64</v>
      </c>
      <c r="H21" s="620">
        <v>1368.08</v>
      </c>
      <c r="I21" s="620">
        <v>1425.12</v>
      </c>
      <c r="J21" s="620">
        <v>1475.37</v>
      </c>
      <c r="K21" s="620">
        <v>1554.67</v>
      </c>
      <c r="L21" s="620">
        <v>1641.23</v>
      </c>
      <c r="M21" s="620">
        <v>1693.6</v>
      </c>
      <c r="O21" s="199"/>
      <c r="P21" s="757"/>
      <c r="Q21" s="708"/>
      <c r="R21" s="708"/>
      <c r="S21" s="677"/>
      <c r="T21" s="757"/>
      <c r="U21" s="680"/>
      <c r="V21" s="680"/>
      <c r="W21" s="680"/>
      <c r="X21" s="680"/>
      <c r="Y21" s="680"/>
      <c r="Z21" s="680"/>
      <c r="AA21" s="680"/>
      <c r="AB21" s="680"/>
      <c r="AC21" s="680"/>
      <c r="AD21" s="680"/>
      <c r="AE21" s="677"/>
      <c r="AF21" s="677"/>
      <c r="AG21" s="757"/>
      <c r="AH21" s="708"/>
      <c r="AI21" s="708"/>
      <c r="AJ21" s="708"/>
      <c r="AK21" s="708"/>
      <c r="AL21" s="708"/>
      <c r="AM21" s="708"/>
      <c r="AN21" s="708"/>
      <c r="AO21" s="708"/>
      <c r="AP21" s="708"/>
      <c r="AQ21" s="708"/>
      <c r="AR21" s="677"/>
      <c r="AS21" s="677"/>
      <c r="AT21" s="677"/>
      <c r="AU21" s="677"/>
      <c r="AV21" s="677"/>
      <c r="AW21" s="677"/>
      <c r="AX21" s="677"/>
      <c r="AY21" s="677"/>
      <c r="AZ21" s="677"/>
    </row>
    <row r="22" spans="1:52" s="115" customFormat="1" ht="19.5" customHeight="1">
      <c r="A22" s="609">
        <v>34</v>
      </c>
      <c r="B22" s="755" t="s">
        <v>793</v>
      </c>
      <c r="C22" s="620">
        <v>7411.26</v>
      </c>
      <c r="D22" s="620">
        <v>9378.35</v>
      </c>
      <c r="E22" s="620">
        <v>10074.799999999999</v>
      </c>
      <c r="F22" s="620">
        <v>10625.34</v>
      </c>
      <c r="G22" s="620">
        <v>9758.14</v>
      </c>
      <c r="H22" s="620">
        <v>8719.02</v>
      </c>
      <c r="I22" s="620">
        <v>9232.3799999999992</v>
      </c>
      <c r="J22" s="620">
        <v>7832.63</v>
      </c>
      <c r="K22" s="620">
        <v>7645.43</v>
      </c>
      <c r="L22" s="620">
        <v>7322.87</v>
      </c>
      <c r="M22" s="620">
        <v>6790.99</v>
      </c>
      <c r="O22" s="199"/>
      <c r="P22" s="757"/>
      <c r="Q22" s="708"/>
      <c r="R22" s="708"/>
      <c r="S22" s="677"/>
      <c r="T22" s="757"/>
      <c r="U22" s="680"/>
      <c r="V22" s="680"/>
      <c r="W22" s="680"/>
      <c r="X22" s="680"/>
      <c r="Y22" s="680"/>
      <c r="Z22" s="680"/>
      <c r="AA22" s="680"/>
      <c r="AB22" s="680"/>
      <c r="AC22" s="680"/>
      <c r="AD22" s="677"/>
      <c r="AE22" s="677"/>
      <c r="AF22" s="677"/>
      <c r="AG22" s="757"/>
      <c r="AH22" s="708"/>
      <c r="AI22" s="708"/>
      <c r="AJ22" s="708"/>
      <c r="AK22" s="708"/>
      <c r="AL22" s="708"/>
      <c r="AM22" s="708"/>
      <c r="AN22" s="708"/>
      <c r="AO22" s="708"/>
      <c r="AP22" s="708"/>
      <c r="AQ22" s="708"/>
      <c r="AR22" s="677"/>
      <c r="AS22" s="677"/>
      <c r="AT22" s="677"/>
      <c r="AU22" s="677"/>
      <c r="AV22" s="677"/>
      <c r="AW22" s="677"/>
      <c r="AX22" s="677"/>
      <c r="AY22" s="677"/>
      <c r="AZ22" s="677"/>
    </row>
    <row r="23" spans="1:52" s="115" customFormat="1" ht="12.75" customHeight="1">
      <c r="A23" s="609">
        <v>35</v>
      </c>
      <c r="B23" s="755" t="s">
        <v>794</v>
      </c>
      <c r="C23" s="620">
        <v>1015.81</v>
      </c>
      <c r="D23" s="620">
        <v>1044.93</v>
      </c>
      <c r="E23" s="620">
        <v>1038.75</v>
      </c>
      <c r="F23" s="620">
        <v>1094.32</v>
      </c>
      <c r="G23" s="620">
        <v>1134.81</v>
      </c>
      <c r="H23" s="620">
        <v>1181.43</v>
      </c>
      <c r="I23" s="620">
        <v>1172.6400000000001</v>
      </c>
      <c r="J23" s="620">
        <v>1228.53</v>
      </c>
      <c r="K23" s="620">
        <v>1245.57</v>
      </c>
      <c r="L23" s="620">
        <v>1326.01</v>
      </c>
      <c r="M23" s="620">
        <v>1583.55</v>
      </c>
      <c r="O23" s="199"/>
      <c r="P23" s="757"/>
      <c r="Q23" s="708"/>
      <c r="R23" s="708"/>
      <c r="S23" s="677"/>
      <c r="T23" s="757"/>
      <c r="U23" s="680"/>
      <c r="V23" s="680"/>
      <c r="W23" s="680"/>
      <c r="X23" s="680"/>
      <c r="Y23" s="680"/>
      <c r="Z23" s="680"/>
      <c r="AA23" s="680"/>
      <c r="AB23" s="680"/>
      <c r="AC23" s="680"/>
      <c r="AD23" s="680"/>
      <c r="AE23" s="677"/>
      <c r="AF23" s="677"/>
      <c r="AG23" s="757"/>
      <c r="AH23" s="708"/>
      <c r="AI23" s="708"/>
      <c r="AJ23" s="708"/>
      <c r="AK23" s="708"/>
      <c r="AL23" s="708"/>
      <c r="AM23" s="708"/>
      <c r="AN23" s="708"/>
      <c r="AO23" s="708"/>
      <c r="AP23" s="708"/>
      <c r="AQ23" s="708"/>
      <c r="AR23" s="677"/>
      <c r="AS23" s="677"/>
      <c r="AT23" s="677"/>
      <c r="AU23" s="677"/>
      <c r="AV23" s="677"/>
      <c r="AW23" s="677"/>
      <c r="AX23" s="677"/>
      <c r="AY23" s="677"/>
      <c r="AZ23" s="677"/>
    </row>
    <row r="24" spans="1:52" s="395" customFormat="1" ht="12.75" customHeight="1">
      <c r="A24" s="607">
        <v>4</v>
      </c>
      <c r="B24" s="608" t="s">
        <v>602</v>
      </c>
      <c r="C24" s="619">
        <v>751.77</v>
      </c>
      <c r="D24" s="619">
        <v>763.17</v>
      </c>
      <c r="E24" s="619">
        <v>769.52</v>
      </c>
      <c r="F24" s="619">
        <v>805.93</v>
      </c>
      <c r="G24" s="619">
        <v>825.2</v>
      </c>
      <c r="H24" s="619">
        <v>838.81</v>
      </c>
      <c r="I24" s="619">
        <v>873.04</v>
      </c>
      <c r="J24" s="619">
        <v>929.46</v>
      </c>
      <c r="K24" s="619">
        <v>950.55</v>
      </c>
      <c r="L24" s="619">
        <v>986.78</v>
      </c>
      <c r="M24" s="619">
        <v>1027.46</v>
      </c>
      <c r="O24" s="758"/>
      <c r="P24" s="757"/>
      <c r="Q24" s="708"/>
      <c r="R24" s="759"/>
      <c r="S24" s="679"/>
      <c r="T24" s="704"/>
      <c r="U24" s="703"/>
      <c r="V24" s="703"/>
      <c r="W24" s="703"/>
      <c r="X24" s="703"/>
      <c r="Y24" s="703"/>
      <c r="Z24" s="703"/>
      <c r="AA24" s="703"/>
      <c r="AB24" s="703"/>
      <c r="AC24" s="703"/>
      <c r="AD24" s="703"/>
      <c r="AE24" s="679"/>
      <c r="AF24" s="680"/>
      <c r="AG24" s="757"/>
      <c r="AH24" s="708"/>
      <c r="AI24" s="708"/>
      <c r="AJ24" s="708"/>
      <c r="AK24" s="708"/>
      <c r="AL24" s="708"/>
      <c r="AM24" s="708"/>
      <c r="AN24" s="708"/>
      <c r="AO24" s="708"/>
      <c r="AP24" s="708"/>
      <c r="AQ24" s="708"/>
      <c r="AR24" s="679"/>
      <c r="AS24" s="679"/>
      <c r="AT24" s="679"/>
      <c r="AU24" s="679"/>
      <c r="AV24" s="679"/>
      <c r="AW24" s="679"/>
      <c r="AX24" s="679"/>
      <c r="AY24" s="679"/>
      <c r="AZ24" s="679"/>
    </row>
    <row r="25" spans="1:52" s="115" customFormat="1" ht="19.5" customHeight="1">
      <c r="A25" s="609">
        <v>41</v>
      </c>
      <c r="B25" s="755" t="s">
        <v>603</v>
      </c>
      <c r="C25" s="620">
        <v>840.46</v>
      </c>
      <c r="D25" s="620">
        <v>850.13</v>
      </c>
      <c r="E25" s="620">
        <v>854.02</v>
      </c>
      <c r="F25" s="620">
        <v>897.77</v>
      </c>
      <c r="G25" s="620">
        <v>880.22</v>
      </c>
      <c r="H25" s="620">
        <v>932.64</v>
      </c>
      <c r="I25" s="620">
        <v>955.06</v>
      </c>
      <c r="J25" s="620">
        <v>1028.42</v>
      </c>
      <c r="K25" s="620">
        <v>1056.45</v>
      </c>
      <c r="L25" s="620">
        <v>1097.24</v>
      </c>
      <c r="M25" s="620">
        <v>1226.3399999999999</v>
      </c>
      <c r="O25" s="199"/>
      <c r="P25" s="757"/>
      <c r="Q25" s="708"/>
      <c r="R25" s="708"/>
      <c r="S25" s="677"/>
      <c r="T25" s="757"/>
      <c r="U25" s="680"/>
      <c r="V25" s="680"/>
      <c r="W25" s="680"/>
      <c r="X25" s="680"/>
      <c r="Y25" s="680"/>
      <c r="Z25" s="680"/>
      <c r="AA25" s="680"/>
      <c r="AB25" s="680"/>
      <c r="AC25" s="680"/>
      <c r="AD25" s="680"/>
      <c r="AE25" s="677"/>
      <c r="AF25" s="677"/>
      <c r="AG25" s="757"/>
      <c r="AH25" s="708"/>
      <c r="AI25" s="708"/>
      <c r="AJ25" s="708"/>
      <c r="AK25" s="708"/>
      <c r="AL25" s="708"/>
      <c r="AM25" s="708"/>
      <c r="AN25" s="708"/>
      <c r="AO25" s="708"/>
      <c r="AP25" s="708"/>
      <c r="AQ25" s="708"/>
      <c r="AR25" s="677"/>
      <c r="AS25" s="677"/>
      <c r="AT25" s="677"/>
      <c r="AU25" s="677"/>
      <c r="AV25" s="677"/>
      <c r="AW25" s="677"/>
      <c r="AX25" s="677"/>
      <c r="AY25" s="677"/>
      <c r="AZ25" s="677"/>
    </row>
    <row r="26" spans="1:52" s="115" customFormat="1" ht="12.75" customHeight="1">
      <c r="A26" s="609">
        <v>42</v>
      </c>
      <c r="B26" s="755" t="s">
        <v>604</v>
      </c>
      <c r="C26" s="620">
        <v>754.67</v>
      </c>
      <c r="D26" s="620">
        <v>734.44</v>
      </c>
      <c r="E26" s="620">
        <v>740.13</v>
      </c>
      <c r="F26" s="620">
        <v>763.27</v>
      </c>
      <c r="G26" s="620">
        <v>777.41</v>
      </c>
      <c r="H26" s="620">
        <v>777.95</v>
      </c>
      <c r="I26" s="620">
        <v>800.61</v>
      </c>
      <c r="J26" s="620">
        <v>840.72</v>
      </c>
      <c r="K26" s="620">
        <v>873.1</v>
      </c>
      <c r="L26" s="620">
        <v>916.55</v>
      </c>
      <c r="M26" s="620">
        <v>983.61</v>
      </c>
      <c r="O26" s="199"/>
      <c r="P26" s="704"/>
      <c r="Q26" s="708"/>
      <c r="R26" s="708"/>
      <c r="S26" s="677"/>
      <c r="T26" s="757"/>
      <c r="U26" s="680"/>
      <c r="V26" s="680"/>
      <c r="W26" s="680"/>
      <c r="X26" s="680"/>
      <c r="Y26" s="680"/>
      <c r="Z26" s="680"/>
      <c r="AA26" s="680"/>
      <c r="AB26" s="680"/>
      <c r="AC26" s="680"/>
      <c r="AD26" s="680"/>
      <c r="AE26" s="677"/>
      <c r="AF26" s="677"/>
      <c r="AG26" s="704"/>
      <c r="AH26" s="708"/>
      <c r="AI26" s="708"/>
      <c r="AJ26" s="708"/>
      <c r="AK26" s="708"/>
      <c r="AL26" s="708"/>
      <c r="AM26" s="708"/>
      <c r="AN26" s="708"/>
      <c r="AO26" s="708"/>
      <c r="AP26" s="708"/>
      <c r="AQ26" s="708"/>
      <c r="AR26" s="677"/>
      <c r="AS26" s="677"/>
      <c r="AT26" s="677"/>
      <c r="AU26" s="677"/>
      <c r="AV26" s="677"/>
      <c r="AW26" s="677"/>
      <c r="AX26" s="677"/>
      <c r="AY26" s="677"/>
      <c r="AZ26" s="677"/>
    </row>
    <row r="27" spans="1:52" s="115" customFormat="1" ht="20.45" customHeight="1">
      <c r="A27" s="609">
        <v>43</v>
      </c>
      <c r="B27" s="755" t="s">
        <v>605</v>
      </c>
      <c r="C27" s="620">
        <v>668.46</v>
      </c>
      <c r="D27" s="620">
        <v>706.23</v>
      </c>
      <c r="E27" s="620">
        <v>742.41</v>
      </c>
      <c r="F27" s="620">
        <v>808.32</v>
      </c>
      <c r="G27" s="620">
        <v>852.55</v>
      </c>
      <c r="H27" s="620">
        <v>852.4</v>
      </c>
      <c r="I27" s="620">
        <v>883.65</v>
      </c>
      <c r="J27" s="620">
        <v>928.78</v>
      </c>
      <c r="K27" s="620">
        <v>910.29</v>
      </c>
      <c r="L27" s="620">
        <v>983.94</v>
      </c>
      <c r="M27" s="620">
        <v>945.6</v>
      </c>
      <c r="O27" s="199"/>
      <c r="P27" s="757"/>
      <c r="Q27" s="708"/>
      <c r="R27" s="708"/>
      <c r="S27" s="677"/>
      <c r="T27" s="757"/>
      <c r="U27" s="680"/>
      <c r="V27" s="680"/>
      <c r="W27" s="680"/>
      <c r="X27" s="680"/>
      <c r="Y27" s="680"/>
      <c r="Z27" s="680"/>
      <c r="AA27" s="680"/>
      <c r="AB27" s="680"/>
      <c r="AC27" s="680"/>
      <c r="AD27" s="680"/>
      <c r="AE27" s="677"/>
      <c r="AF27" s="677"/>
      <c r="AG27" s="757"/>
      <c r="AH27" s="708"/>
      <c r="AI27" s="708"/>
      <c r="AJ27" s="708"/>
      <c r="AK27" s="708"/>
      <c r="AL27" s="708"/>
      <c r="AM27" s="708"/>
      <c r="AN27" s="708"/>
      <c r="AO27" s="708"/>
      <c r="AP27" s="708"/>
      <c r="AQ27" s="708"/>
      <c r="AR27" s="677"/>
      <c r="AS27" s="677"/>
      <c r="AT27" s="677"/>
      <c r="AU27" s="677"/>
      <c r="AV27" s="677"/>
      <c r="AW27" s="677"/>
      <c r="AX27" s="677"/>
      <c r="AY27" s="677"/>
      <c r="AZ27" s="677"/>
    </row>
    <row r="28" spans="1:52" s="115" customFormat="1" ht="12.75" customHeight="1">
      <c r="A28" s="609">
        <v>44</v>
      </c>
      <c r="B28" s="755" t="s">
        <v>606</v>
      </c>
      <c r="C28" s="620">
        <v>829.16</v>
      </c>
      <c r="D28" s="620">
        <v>852.12</v>
      </c>
      <c r="E28" s="620">
        <v>786.29</v>
      </c>
      <c r="F28" s="620">
        <v>832.65</v>
      </c>
      <c r="G28" s="620">
        <v>834.99</v>
      </c>
      <c r="H28" s="620">
        <v>889.48</v>
      </c>
      <c r="I28" s="620">
        <v>940.16</v>
      </c>
      <c r="J28" s="620">
        <v>1092.3499999999999</v>
      </c>
      <c r="K28" s="620">
        <v>1168.49</v>
      </c>
      <c r="L28" s="620">
        <v>1118.3399999999999</v>
      </c>
      <c r="M28" s="620">
        <v>1127.6500000000001</v>
      </c>
      <c r="O28" s="199"/>
      <c r="P28" s="757"/>
      <c r="Q28" s="708"/>
      <c r="R28" s="708"/>
      <c r="S28" s="677"/>
      <c r="T28" s="757"/>
      <c r="U28" s="680"/>
      <c r="V28" s="680"/>
      <c r="W28" s="680"/>
      <c r="X28" s="680"/>
      <c r="Y28" s="680"/>
      <c r="Z28" s="680"/>
      <c r="AA28" s="680"/>
      <c r="AB28" s="680"/>
      <c r="AC28" s="680"/>
      <c r="AD28" s="680"/>
      <c r="AE28" s="677"/>
      <c r="AF28" s="677"/>
      <c r="AG28" s="757"/>
      <c r="AH28" s="708"/>
      <c r="AI28" s="708"/>
      <c r="AJ28" s="708"/>
      <c r="AK28" s="708"/>
      <c r="AL28" s="708"/>
      <c r="AM28" s="708"/>
      <c r="AN28" s="708"/>
      <c r="AO28" s="708"/>
      <c r="AP28" s="708"/>
      <c r="AQ28" s="708"/>
      <c r="AR28" s="677"/>
      <c r="AS28" s="677"/>
      <c r="AT28" s="677"/>
      <c r="AU28" s="677"/>
      <c r="AV28" s="677"/>
      <c r="AW28" s="677"/>
      <c r="AX28" s="677"/>
      <c r="AY28" s="677"/>
      <c r="AZ28" s="677"/>
    </row>
    <row r="29" spans="1:52" s="395" customFormat="1" ht="12.95" customHeight="1">
      <c r="A29" s="607">
        <v>5</v>
      </c>
      <c r="B29" s="603" t="s">
        <v>607</v>
      </c>
      <c r="C29" s="619">
        <v>588.85</v>
      </c>
      <c r="D29" s="619">
        <v>594.96</v>
      </c>
      <c r="E29" s="619">
        <v>615.64</v>
      </c>
      <c r="F29" s="619">
        <v>641.39</v>
      </c>
      <c r="G29" s="619">
        <v>664.22</v>
      </c>
      <c r="H29" s="619">
        <v>684.86</v>
      </c>
      <c r="I29" s="619">
        <v>707.65</v>
      </c>
      <c r="J29" s="619">
        <v>743.27</v>
      </c>
      <c r="K29" s="619">
        <v>788.65</v>
      </c>
      <c r="L29" s="619">
        <v>844.24</v>
      </c>
      <c r="M29" s="619">
        <v>903.77</v>
      </c>
      <c r="O29" s="758"/>
      <c r="P29" s="757"/>
      <c r="Q29" s="708"/>
      <c r="R29" s="759"/>
      <c r="S29" s="679"/>
      <c r="T29" s="757"/>
      <c r="U29" s="703"/>
      <c r="V29" s="703"/>
      <c r="W29" s="703"/>
      <c r="X29" s="703"/>
      <c r="Y29" s="703"/>
      <c r="Z29" s="703"/>
      <c r="AA29" s="703"/>
      <c r="AB29" s="703"/>
      <c r="AC29" s="703"/>
      <c r="AD29" s="703"/>
      <c r="AE29" s="679"/>
      <c r="AF29" s="679"/>
      <c r="AG29" s="757"/>
      <c r="AH29" s="708"/>
      <c r="AI29" s="708"/>
      <c r="AJ29" s="708"/>
      <c r="AK29" s="708"/>
      <c r="AL29" s="708"/>
      <c r="AM29" s="708"/>
      <c r="AN29" s="708"/>
      <c r="AO29" s="708"/>
      <c r="AP29" s="708"/>
      <c r="AQ29" s="708"/>
      <c r="AR29" s="679"/>
      <c r="AS29" s="679"/>
      <c r="AT29" s="679"/>
      <c r="AU29" s="679"/>
      <c r="AV29" s="679"/>
      <c r="AW29" s="679"/>
      <c r="AX29" s="679"/>
      <c r="AY29" s="679"/>
      <c r="AZ29" s="679"/>
    </row>
    <row r="30" spans="1:52" s="115" customFormat="1" ht="12.75" customHeight="1">
      <c r="A30" s="609">
        <v>51</v>
      </c>
      <c r="B30" s="755" t="s">
        <v>608</v>
      </c>
      <c r="C30" s="620">
        <v>593.99</v>
      </c>
      <c r="D30" s="620">
        <v>602.34</v>
      </c>
      <c r="E30" s="620">
        <v>622.76</v>
      </c>
      <c r="F30" s="620">
        <v>647.74</v>
      </c>
      <c r="G30" s="620">
        <v>671.76</v>
      </c>
      <c r="H30" s="620">
        <v>695.31</v>
      </c>
      <c r="I30" s="620">
        <v>716.46</v>
      </c>
      <c r="J30" s="620">
        <v>752.14</v>
      </c>
      <c r="K30" s="620">
        <v>797.02</v>
      </c>
      <c r="L30" s="620">
        <v>853.79</v>
      </c>
      <c r="M30" s="620">
        <v>912.79</v>
      </c>
      <c r="O30" s="199"/>
      <c r="P30" s="757"/>
      <c r="Q30" s="708"/>
      <c r="R30" s="708"/>
      <c r="S30" s="677"/>
      <c r="T30" s="704"/>
      <c r="U30" s="680"/>
      <c r="V30" s="680"/>
      <c r="W30" s="680"/>
      <c r="X30" s="680"/>
      <c r="Y30" s="680"/>
      <c r="Z30" s="680"/>
      <c r="AA30" s="680"/>
      <c r="AB30" s="680"/>
      <c r="AC30" s="680"/>
      <c r="AD30" s="680"/>
      <c r="AE30" s="677"/>
      <c r="AF30" s="677"/>
      <c r="AG30" s="757"/>
      <c r="AH30" s="708"/>
      <c r="AI30" s="708"/>
      <c r="AJ30" s="708"/>
      <c r="AK30" s="708"/>
      <c r="AL30" s="708"/>
      <c r="AM30" s="708"/>
      <c r="AN30" s="708"/>
      <c r="AO30" s="708"/>
      <c r="AP30" s="708"/>
      <c r="AQ30" s="708"/>
      <c r="AR30" s="677"/>
      <c r="AS30" s="677"/>
      <c r="AT30" s="677"/>
      <c r="AU30" s="677"/>
      <c r="AV30" s="677"/>
      <c r="AW30" s="677"/>
      <c r="AX30" s="677"/>
      <c r="AY30" s="677"/>
      <c r="AZ30" s="677"/>
    </row>
    <row r="31" spans="1:52" s="127" customFormat="1" ht="12.75" customHeight="1">
      <c r="A31" s="609">
        <v>52</v>
      </c>
      <c r="B31" s="755" t="s">
        <v>609</v>
      </c>
      <c r="C31" s="620">
        <v>586.02</v>
      </c>
      <c r="D31" s="620">
        <v>588.72</v>
      </c>
      <c r="E31" s="620">
        <v>614.26</v>
      </c>
      <c r="F31" s="620">
        <v>643.11</v>
      </c>
      <c r="G31" s="620">
        <v>666.07</v>
      </c>
      <c r="H31" s="620">
        <v>679.58</v>
      </c>
      <c r="I31" s="620">
        <v>709.76</v>
      </c>
      <c r="J31" s="620">
        <v>751.5</v>
      </c>
      <c r="K31" s="620">
        <v>799.99</v>
      </c>
      <c r="L31" s="620">
        <v>853.95</v>
      </c>
      <c r="M31" s="620">
        <v>914.34</v>
      </c>
      <c r="O31" s="199"/>
      <c r="P31" s="696"/>
      <c r="Q31" s="708"/>
      <c r="R31" s="708"/>
      <c r="S31" s="677"/>
      <c r="T31" s="757"/>
      <c r="U31" s="680"/>
      <c r="V31" s="680"/>
      <c r="W31" s="680"/>
      <c r="X31" s="680"/>
      <c r="Y31" s="680"/>
      <c r="Z31" s="680"/>
      <c r="AA31" s="680"/>
      <c r="AB31" s="680"/>
      <c r="AC31" s="680"/>
      <c r="AD31" s="680"/>
      <c r="AE31" s="683"/>
      <c r="AF31" s="683"/>
      <c r="AG31" s="696"/>
      <c r="AH31" s="708"/>
      <c r="AI31" s="708"/>
      <c r="AJ31" s="708"/>
      <c r="AK31" s="708"/>
      <c r="AL31" s="708"/>
      <c r="AM31" s="708"/>
      <c r="AN31" s="708"/>
      <c r="AO31" s="708"/>
      <c r="AP31" s="708"/>
      <c r="AQ31" s="708"/>
      <c r="AR31" s="683"/>
      <c r="AS31" s="683"/>
      <c r="AT31" s="683"/>
      <c r="AU31" s="683"/>
      <c r="AV31" s="683"/>
      <c r="AW31" s="683"/>
      <c r="AX31" s="683"/>
      <c r="AY31" s="683"/>
      <c r="AZ31" s="683"/>
    </row>
    <row r="32" spans="1:52" s="115" customFormat="1" ht="12.75" customHeight="1">
      <c r="A32" s="609">
        <v>53</v>
      </c>
      <c r="B32" s="755" t="s">
        <v>610</v>
      </c>
      <c r="C32" s="620">
        <v>554.45000000000005</v>
      </c>
      <c r="D32" s="620">
        <v>563.19000000000005</v>
      </c>
      <c r="E32" s="620">
        <v>570.33000000000004</v>
      </c>
      <c r="F32" s="620">
        <v>591.83000000000004</v>
      </c>
      <c r="G32" s="620">
        <v>612.71</v>
      </c>
      <c r="H32" s="620">
        <v>635.71</v>
      </c>
      <c r="I32" s="620">
        <v>661.54</v>
      </c>
      <c r="J32" s="620">
        <v>688.59</v>
      </c>
      <c r="K32" s="620">
        <v>725.09</v>
      </c>
      <c r="L32" s="620">
        <v>786.6</v>
      </c>
      <c r="M32" s="620">
        <v>848.96</v>
      </c>
      <c r="O32" s="199"/>
      <c r="P32" s="757"/>
      <c r="Q32" s="708"/>
      <c r="R32" s="708"/>
      <c r="S32" s="683"/>
      <c r="T32" s="757"/>
      <c r="U32" s="680"/>
      <c r="V32" s="680"/>
      <c r="W32" s="680"/>
      <c r="X32" s="680"/>
      <c r="Y32" s="680"/>
      <c r="Z32" s="680"/>
      <c r="AA32" s="680"/>
      <c r="AB32" s="680"/>
      <c r="AC32" s="680"/>
      <c r="AD32" s="680"/>
      <c r="AE32" s="677"/>
      <c r="AF32" s="677"/>
      <c r="AG32" s="757"/>
      <c r="AH32" s="708"/>
      <c r="AI32" s="708"/>
      <c r="AJ32" s="708"/>
      <c r="AK32" s="708"/>
      <c r="AL32" s="708"/>
      <c r="AM32" s="708"/>
      <c r="AN32" s="708"/>
      <c r="AO32" s="708"/>
      <c r="AP32" s="708"/>
      <c r="AQ32" s="708"/>
      <c r="AR32" s="677"/>
      <c r="AS32" s="677"/>
      <c r="AT32" s="677"/>
      <c r="AU32" s="677"/>
      <c r="AV32" s="677"/>
      <c r="AW32" s="677"/>
      <c r="AX32" s="677"/>
      <c r="AY32" s="677"/>
      <c r="AZ32" s="677"/>
    </row>
    <row r="33" spans="1:52" s="115" customFormat="1" ht="12.75" customHeight="1">
      <c r="A33" s="609">
        <v>54</v>
      </c>
      <c r="B33" s="755" t="s">
        <v>611</v>
      </c>
      <c r="C33" s="620">
        <v>644.5</v>
      </c>
      <c r="D33" s="620">
        <v>649.89</v>
      </c>
      <c r="E33" s="620">
        <v>656.88</v>
      </c>
      <c r="F33" s="620">
        <v>662.66</v>
      </c>
      <c r="G33" s="620">
        <v>672.98</v>
      </c>
      <c r="H33" s="620">
        <v>731.58</v>
      </c>
      <c r="I33" s="620">
        <v>781.09</v>
      </c>
      <c r="J33" s="620">
        <v>793.29</v>
      </c>
      <c r="K33" s="620">
        <v>819.19</v>
      </c>
      <c r="L33" s="620">
        <v>869.77</v>
      </c>
      <c r="M33" s="620">
        <v>914.52</v>
      </c>
      <c r="O33" s="199"/>
      <c r="P33" s="757"/>
      <c r="Q33" s="708"/>
      <c r="R33" s="708"/>
      <c r="S33" s="677"/>
      <c r="T33" s="757"/>
      <c r="U33" s="680"/>
      <c r="V33" s="680"/>
      <c r="W33" s="680"/>
      <c r="X33" s="680"/>
      <c r="Y33" s="680"/>
      <c r="Z33" s="680"/>
      <c r="AA33" s="680"/>
      <c r="AB33" s="680"/>
      <c r="AC33" s="680"/>
      <c r="AD33" s="680"/>
      <c r="AE33" s="677"/>
      <c r="AF33" s="677"/>
      <c r="AG33" s="757"/>
      <c r="AH33" s="708"/>
      <c r="AI33" s="708"/>
      <c r="AJ33" s="708"/>
      <c r="AK33" s="708"/>
      <c r="AL33" s="708"/>
      <c r="AM33" s="708"/>
      <c r="AN33" s="708"/>
      <c r="AO33" s="708"/>
      <c r="AP33" s="708"/>
      <c r="AQ33" s="708"/>
      <c r="AR33" s="677"/>
      <c r="AS33" s="677"/>
      <c r="AT33" s="677"/>
      <c r="AU33" s="677"/>
      <c r="AV33" s="677"/>
      <c r="AW33" s="677"/>
      <c r="AX33" s="677"/>
      <c r="AY33" s="677"/>
      <c r="AZ33" s="677"/>
    </row>
    <row r="34" spans="1:52" s="115" customFormat="1" ht="14.25" customHeight="1">
      <c r="A34" s="600">
        <v>6</v>
      </c>
      <c r="B34" s="603" t="s">
        <v>612</v>
      </c>
      <c r="C34" s="619">
        <v>590.62</v>
      </c>
      <c r="D34" s="619">
        <v>589.33000000000004</v>
      </c>
      <c r="E34" s="619">
        <v>604.99</v>
      </c>
      <c r="F34" s="619">
        <v>617.63</v>
      </c>
      <c r="G34" s="619">
        <v>641.69000000000005</v>
      </c>
      <c r="H34" s="619">
        <v>672.66</v>
      </c>
      <c r="I34" s="619">
        <v>692.98</v>
      </c>
      <c r="J34" s="619">
        <v>733.14</v>
      </c>
      <c r="K34" s="619">
        <v>800.38</v>
      </c>
      <c r="L34" s="619">
        <v>853.21</v>
      </c>
      <c r="M34" s="619">
        <v>911.75</v>
      </c>
      <c r="O34" s="199"/>
      <c r="P34" s="757"/>
      <c r="Q34" s="708"/>
      <c r="R34" s="708"/>
      <c r="S34" s="677"/>
      <c r="T34" s="757"/>
      <c r="U34" s="680"/>
      <c r="V34" s="680"/>
      <c r="W34" s="680"/>
      <c r="X34" s="680"/>
      <c r="Y34" s="680"/>
      <c r="Z34" s="680"/>
      <c r="AA34" s="680"/>
      <c r="AB34" s="680"/>
      <c r="AC34" s="680"/>
      <c r="AD34" s="680"/>
      <c r="AE34" s="677"/>
      <c r="AF34" s="677"/>
      <c r="AG34" s="757"/>
      <c r="AH34" s="708"/>
      <c r="AI34" s="708"/>
      <c r="AJ34" s="708"/>
      <c r="AK34" s="708"/>
      <c r="AL34" s="708"/>
      <c r="AM34" s="708"/>
      <c r="AN34" s="708"/>
      <c r="AO34" s="708"/>
      <c r="AP34" s="708"/>
      <c r="AQ34" s="708"/>
      <c r="AR34" s="677"/>
      <c r="AS34" s="677"/>
      <c r="AT34" s="677"/>
      <c r="AU34" s="677"/>
      <c r="AV34" s="677"/>
      <c r="AW34" s="677"/>
      <c r="AX34" s="677"/>
      <c r="AY34" s="677"/>
      <c r="AZ34" s="677"/>
    </row>
    <row r="35" spans="1:52" s="115" customFormat="1" ht="20.100000000000001" customHeight="1">
      <c r="A35" s="604">
        <v>61</v>
      </c>
      <c r="B35" s="755" t="s">
        <v>613</v>
      </c>
      <c r="C35" s="620">
        <v>584.75</v>
      </c>
      <c r="D35" s="620">
        <v>580.29999999999995</v>
      </c>
      <c r="E35" s="620">
        <v>593.89</v>
      </c>
      <c r="F35" s="620">
        <v>612.15</v>
      </c>
      <c r="G35" s="620">
        <v>633.48</v>
      </c>
      <c r="H35" s="620">
        <v>648.25</v>
      </c>
      <c r="I35" s="620">
        <v>677.25</v>
      </c>
      <c r="J35" s="620">
        <v>715.39</v>
      </c>
      <c r="K35" s="620">
        <v>762.7</v>
      </c>
      <c r="L35" s="620">
        <v>811.55</v>
      </c>
      <c r="M35" s="620">
        <v>866</v>
      </c>
      <c r="O35" s="199"/>
      <c r="P35" s="757"/>
      <c r="Q35" s="708"/>
      <c r="R35" s="708"/>
      <c r="S35" s="677"/>
      <c r="T35" s="696"/>
      <c r="U35" s="680"/>
      <c r="V35" s="680"/>
      <c r="W35" s="680"/>
      <c r="X35" s="680"/>
      <c r="Y35" s="680"/>
      <c r="Z35" s="680"/>
      <c r="AA35" s="680"/>
      <c r="AB35" s="680"/>
      <c r="AC35" s="680"/>
      <c r="AD35" s="680"/>
      <c r="AE35" s="677"/>
      <c r="AF35" s="677"/>
      <c r="AG35" s="757"/>
      <c r="AH35" s="708"/>
      <c r="AI35" s="708"/>
      <c r="AJ35" s="708"/>
      <c r="AK35" s="708"/>
      <c r="AL35" s="708"/>
      <c r="AM35" s="708"/>
      <c r="AN35" s="708"/>
      <c r="AO35" s="708"/>
      <c r="AP35" s="708"/>
      <c r="AQ35" s="708"/>
      <c r="AR35" s="677"/>
      <c r="AS35" s="677"/>
      <c r="AT35" s="677"/>
      <c r="AU35" s="677"/>
      <c r="AV35" s="677"/>
      <c r="AW35" s="677"/>
      <c r="AX35" s="677"/>
      <c r="AY35" s="677"/>
      <c r="AZ35" s="677"/>
    </row>
    <row r="36" spans="1:52" s="115" customFormat="1" ht="18.600000000000001" customHeight="1">
      <c r="A36" s="604">
        <v>62</v>
      </c>
      <c r="B36" s="755" t="s">
        <v>614</v>
      </c>
      <c r="C36" s="620">
        <v>633.4</v>
      </c>
      <c r="D36" s="620">
        <v>666.65</v>
      </c>
      <c r="E36" s="620">
        <v>707.27</v>
      </c>
      <c r="F36" s="620">
        <v>676.95</v>
      </c>
      <c r="G36" s="620">
        <v>710</v>
      </c>
      <c r="H36" s="620">
        <v>874.26</v>
      </c>
      <c r="I36" s="620">
        <v>824.56</v>
      </c>
      <c r="J36" s="620">
        <v>856.78</v>
      </c>
      <c r="K36" s="620">
        <v>1002.64</v>
      </c>
      <c r="L36" s="620">
        <v>1055.98</v>
      </c>
      <c r="M36" s="620">
        <v>1162.94</v>
      </c>
      <c r="O36" s="199"/>
      <c r="P36" s="696"/>
      <c r="Q36" s="708"/>
      <c r="R36" s="708"/>
      <c r="S36" s="677"/>
      <c r="T36" s="757"/>
      <c r="U36" s="680"/>
      <c r="V36" s="680"/>
      <c r="W36" s="680"/>
      <c r="X36" s="680"/>
      <c r="Y36" s="680"/>
      <c r="Z36" s="680"/>
      <c r="AA36" s="680"/>
      <c r="AB36" s="680"/>
      <c r="AC36" s="680"/>
      <c r="AD36" s="680"/>
      <c r="AE36" s="677"/>
      <c r="AF36" s="677"/>
      <c r="AG36" s="696"/>
      <c r="AH36" s="708"/>
      <c r="AI36" s="708"/>
      <c r="AJ36" s="708"/>
      <c r="AK36" s="708"/>
      <c r="AL36" s="708"/>
      <c r="AM36" s="708"/>
      <c r="AN36" s="708"/>
      <c r="AO36" s="708"/>
      <c r="AP36" s="708"/>
      <c r="AQ36" s="708"/>
      <c r="AR36" s="677"/>
      <c r="AS36" s="677"/>
      <c r="AT36" s="677"/>
      <c r="AU36" s="677"/>
      <c r="AV36" s="677"/>
      <c r="AW36" s="677"/>
      <c r="AX36" s="677"/>
      <c r="AY36" s="677"/>
      <c r="AZ36" s="677"/>
    </row>
    <row r="37" spans="1:52" s="115" customFormat="1" ht="12.75" customHeight="1">
      <c r="A37" s="600">
        <v>7</v>
      </c>
      <c r="B37" s="603" t="s">
        <v>615</v>
      </c>
      <c r="C37" s="619">
        <v>644.13</v>
      </c>
      <c r="D37" s="619">
        <v>651.29999999999995</v>
      </c>
      <c r="E37" s="619">
        <v>655.64</v>
      </c>
      <c r="F37" s="619">
        <v>672.82</v>
      </c>
      <c r="G37" s="619">
        <v>693.51</v>
      </c>
      <c r="H37" s="619">
        <v>708.14</v>
      </c>
      <c r="I37" s="619">
        <v>733.37</v>
      </c>
      <c r="J37" s="619">
        <v>778.8</v>
      </c>
      <c r="K37" s="619">
        <v>814.41</v>
      </c>
      <c r="L37" s="619">
        <v>879</v>
      </c>
      <c r="M37" s="619">
        <v>935.01</v>
      </c>
      <c r="O37" s="199"/>
      <c r="P37" s="760"/>
      <c r="Q37" s="708"/>
      <c r="R37" s="708"/>
      <c r="S37" s="677"/>
      <c r="T37" s="757"/>
      <c r="U37" s="680"/>
      <c r="V37" s="680"/>
      <c r="W37" s="680"/>
      <c r="X37" s="680"/>
      <c r="Y37" s="680"/>
      <c r="Z37" s="680"/>
      <c r="AA37" s="680"/>
      <c r="AB37" s="680"/>
      <c r="AC37" s="680"/>
      <c r="AD37" s="680"/>
      <c r="AE37" s="677"/>
      <c r="AF37" s="677"/>
      <c r="AG37" s="760"/>
      <c r="AH37" s="708"/>
      <c r="AI37" s="708"/>
      <c r="AJ37" s="708"/>
      <c r="AK37" s="708"/>
      <c r="AL37" s="708"/>
      <c r="AM37" s="708"/>
      <c r="AN37" s="708"/>
      <c r="AO37" s="708"/>
      <c r="AP37" s="708"/>
      <c r="AQ37" s="708"/>
      <c r="AR37" s="677"/>
      <c r="AS37" s="677"/>
      <c r="AT37" s="677"/>
      <c r="AU37" s="677"/>
      <c r="AV37" s="677"/>
      <c r="AW37" s="677"/>
      <c r="AX37" s="677"/>
      <c r="AY37" s="677"/>
      <c r="AZ37" s="677"/>
    </row>
    <row r="38" spans="1:52" s="115" customFormat="1" ht="12.75" customHeight="1">
      <c r="A38" s="604">
        <v>71</v>
      </c>
      <c r="B38" s="755" t="s">
        <v>795</v>
      </c>
      <c r="C38" s="620">
        <v>603.4</v>
      </c>
      <c r="D38" s="620">
        <v>608.19000000000005</v>
      </c>
      <c r="E38" s="620">
        <v>615.48</v>
      </c>
      <c r="F38" s="620">
        <v>634.35</v>
      </c>
      <c r="G38" s="620">
        <v>658.69</v>
      </c>
      <c r="H38" s="620">
        <v>672.4</v>
      </c>
      <c r="I38" s="620">
        <v>705.05</v>
      </c>
      <c r="J38" s="620">
        <v>752.5</v>
      </c>
      <c r="K38" s="620">
        <v>788.07</v>
      </c>
      <c r="L38" s="620">
        <v>857.02</v>
      </c>
      <c r="M38" s="620">
        <v>914.7</v>
      </c>
      <c r="O38" s="199"/>
      <c r="P38" s="757"/>
      <c r="Q38" s="708"/>
      <c r="R38" s="708"/>
      <c r="S38" s="677"/>
      <c r="T38" s="757"/>
      <c r="U38" s="680"/>
      <c r="V38" s="680"/>
      <c r="W38" s="680"/>
      <c r="X38" s="680"/>
      <c r="Y38" s="680"/>
      <c r="Z38" s="680"/>
      <c r="AA38" s="680"/>
      <c r="AB38" s="680"/>
      <c r="AC38" s="680"/>
      <c r="AD38" s="680"/>
      <c r="AE38" s="677"/>
      <c r="AF38" s="677"/>
      <c r="AG38" s="757"/>
      <c r="AH38" s="708"/>
      <c r="AI38" s="708"/>
      <c r="AJ38" s="708"/>
      <c r="AK38" s="708"/>
      <c r="AL38" s="708"/>
      <c r="AM38" s="708"/>
      <c r="AN38" s="708"/>
      <c r="AO38" s="708"/>
      <c r="AP38" s="708"/>
      <c r="AQ38" s="708"/>
      <c r="AR38" s="677"/>
      <c r="AS38" s="677"/>
      <c r="AT38" s="677"/>
      <c r="AU38" s="677"/>
      <c r="AV38" s="677"/>
      <c r="AW38" s="677"/>
      <c r="AX38" s="677"/>
      <c r="AY38" s="677"/>
      <c r="AZ38" s="677"/>
    </row>
    <row r="39" spans="1:52" s="115" customFormat="1" ht="12.75" customHeight="1">
      <c r="A39" s="604">
        <v>72</v>
      </c>
      <c r="B39" s="755" t="s">
        <v>796</v>
      </c>
      <c r="C39" s="620">
        <v>726.25</v>
      </c>
      <c r="D39" s="620">
        <v>745.14</v>
      </c>
      <c r="E39" s="620">
        <v>739.08</v>
      </c>
      <c r="F39" s="620">
        <v>755.37</v>
      </c>
      <c r="G39" s="620">
        <v>773.69</v>
      </c>
      <c r="H39" s="620">
        <v>811.56</v>
      </c>
      <c r="I39" s="620">
        <v>805.39</v>
      </c>
      <c r="J39" s="620">
        <v>857.37</v>
      </c>
      <c r="K39" s="620">
        <v>895.55</v>
      </c>
      <c r="L39" s="620">
        <v>955.86</v>
      </c>
      <c r="M39" s="620">
        <v>1008.54</v>
      </c>
      <c r="O39" s="199"/>
      <c r="P39" s="696"/>
      <c r="Q39" s="708"/>
      <c r="R39" s="708"/>
      <c r="S39" s="677"/>
      <c r="T39" s="757"/>
      <c r="U39" s="680"/>
      <c r="V39" s="680"/>
      <c r="W39" s="680"/>
      <c r="X39" s="680"/>
      <c r="Y39" s="680"/>
      <c r="Z39" s="680"/>
      <c r="AA39" s="680"/>
      <c r="AB39" s="680"/>
      <c r="AC39" s="680"/>
      <c r="AD39" s="680"/>
      <c r="AE39" s="677"/>
      <c r="AF39" s="677"/>
      <c r="AG39" s="696"/>
      <c r="AH39" s="708"/>
      <c r="AI39" s="708"/>
      <c r="AJ39" s="708"/>
      <c r="AK39" s="708"/>
      <c r="AL39" s="708"/>
      <c r="AM39" s="708"/>
      <c r="AN39" s="708"/>
      <c r="AO39" s="708"/>
      <c r="AP39" s="708"/>
      <c r="AQ39" s="708"/>
      <c r="AR39" s="677"/>
      <c r="AS39" s="677"/>
      <c r="AT39" s="677"/>
      <c r="AU39" s="677"/>
      <c r="AV39" s="677"/>
      <c r="AW39" s="677"/>
      <c r="AX39" s="677"/>
      <c r="AY39" s="677"/>
      <c r="AZ39" s="677"/>
    </row>
    <row r="40" spans="1:52" s="115" customFormat="1" ht="21" customHeight="1">
      <c r="A40" s="604">
        <v>73</v>
      </c>
      <c r="B40" s="755" t="s">
        <v>618</v>
      </c>
      <c r="C40" s="620">
        <v>654.97</v>
      </c>
      <c r="D40" s="620">
        <v>664.86</v>
      </c>
      <c r="E40" s="620">
        <v>673.44</v>
      </c>
      <c r="F40" s="620">
        <v>694.16</v>
      </c>
      <c r="G40" s="620">
        <v>698.23</v>
      </c>
      <c r="H40" s="620">
        <v>683.33</v>
      </c>
      <c r="I40" s="620">
        <v>690.8</v>
      </c>
      <c r="J40" s="620">
        <v>750.56</v>
      </c>
      <c r="K40" s="620">
        <v>769.26</v>
      </c>
      <c r="L40" s="620">
        <v>816.36</v>
      </c>
      <c r="M40" s="620">
        <v>862.4</v>
      </c>
      <c r="O40" s="199"/>
      <c r="P40" s="757"/>
      <c r="Q40" s="708"/>
      <c r="R40" s="708"/>
      <c r="S40" s="677"/>
      <c r="T40" s="696"/>
      <c r="U40" s="680"/>
      <c r="V40" s="680"/>
      <c r="W40" s="680"/>
      <c r="X40" s="680"/>
      <c r="Y40" s="680"/>
      <c r="Z40" s="680"/>
      <c r="AA40" s="680"/>
      <c r="AB40" s="680"/>
      <c r="AC40" s="680"/>
      <c r="AD40" s="680"/>
      <c r="AE40" s="677"/>
      <c r="AF40" s="677"/>
      <c r="AG40" s="757"/>
      <c r="AH40" s="708"/>
      <c r="AI40" s="708"/>
      <c r="AJ40" s="708"/>
      <c r="AK40" s="708"/>
      <c r="AL40" s="708"/>
      <c r="AM40" s="708"/>
      <c r="AN40" s="708"/>
      <c r="AO40" s="708"/>
      <c r="AP40" s="708"/>
      <c r="AQ40" s="708"/>
      <c r="AR40" s="677"/>
      <c r="AS40" s="677"/>
      <c r="AT40" s="677"/>
      <c r="AU40" s="677"/>
      <c r="AV40" s="677"/>
      <c r="AW40" s="677"/>
      <c r="AX40" s="677"/>
      <c r="AY40" s="677"/>
      <c r="AZ40" s="677"/>
    </row>
    <row r="41" spans="1:52" s="237" customFormat="1" ht="12.75" customHeight="1">
      <c r="A41" s="604">
        <v>74</v>
      </c>
      <c r="B41" s="755" t="s">
        <v>619</v>
      </c>
      <c r="C41" s="620">
        <v>728.97</v>
      </c>
      <c r="D41" s="620">
        <v>740.89</v>
      </c>
      <c r="E41" s="620">
        <v>754.23</v>
      </c>
      <c r="F41" s="620">
        <v>750.88</v>
      </c>
      <c r="G41" s="620">
        <v>748.37</v>
      </c>
      <c r="H41" s="620">
        <v>753.41</v>
      </c>
      <c r="I41" s="620">
        <v>780.13</v>
      </c>
      <c r="J41" s="620">
        <v>829.79</v>
      </c>
      <c r="K41" s="620">
        <v>858.36</v>
      </c>
      <c r="L41" s="620">
        <v>916.24</v>
      </c>
      <c r="M41" s="620">
        <v>972.04</v>
      </c>
      <c r="O41" s="199"/>
      <c r="P41" s="757"/>
      <c r="Q41" s="708"/>
      <c r="R41" s="708"/>
      <c r="S41" s="677"/>
      <c r="T41" s="760"/>
      <c r="U41" s="680"/>
      <c r="V41" s="680"/>
      <c r="W41" s="680"/>
      <c r="X41" s="680"/>
      <c r="Y41" s="680"/>
      <c r="Z41" s="680"/>
      <c r="AA41" s="680"/>
      <c r="AB41" s="680"/>
      <c r="AC41" s="680"/>
      <c r="AD41" s="680"/>
      <c r="AE41" s="239"/>
      <c r="AF41" s="239"/>
      <c r="AG41" s="757"/>
      <c r="AH41" s="708"/>
      <c r="AI41" s="708"/>
      <c r="AJ41" s="708"/>
      <c r="AK41" s="708"/>
      <c r="AL41" s="708"/>
      <c r="AM41" s="708"/>
      <c r="AN41" s="708"/>
      <c r="AO41" s="708"/>
      <c r="AP41" s="708"/>
      <c r="AQ41" s="708"/>
      <c r="AR41" s="239"/>
      <c r="AS41" s="239"/>
      <c r="AT41" s="239"/>
      <c r="AU41" s="239"/>
      <c r="AV41" s="239"/>
      <c r="AW41" s="239"/>
      <c r="AX41" s="239"/>
      <c r="AY41" s="239"/>
      <c r="AZ41" s="239"/>
    </row>
    <row r="42" spans="1:52" s="237" customFormat="1" ht="10.5" customHeight="1">
      <c r="A42" s="604">
        <v>75</v>
      </c>
      <c r="B42" s="755" t="s">
        <v>797</v>
      </c>
      <c r="C42" s="620">
        <v>605.41999999999996</v>
      </c>
      <c r="D42" s="620">
        <v>606.17999999999995</v>
      </c>
      <c r="E42" s="620">
        <v>618.73</v>
      </c>
      <c r="F42" s="620">
        <v>643.71</v>
      </c>
      <c r="G42" s="620">
        <v>667.99</v>
      </c>
      <c r="H42" s="620">
        <v>676.06</v>
      </c>
      <c r="I42" s="620">
        <v>719.15</v>
      </c>
      <c r="J42" s="620">
        <v>749.35</v>
      </c>
      <c r="K42" s="620">
        <v>785.95</v>
      </c>
      <c r="L42" s="620">
        <v>841.5</v>
      </c>
      <c r="M42" s="620">
        <v>889.1</v>
      </c>
      <c r="O42" s="199"/>
      <c r="P42" s="757"/>
      <c r="Q42" s="708"/>
      <c r="R42" s="708"/>
      <c r="S42" s="239"/>
      <c r="T42" s="757"/>
      <c r="U42" s="680"/>
      <c r="V42" s="680"/>
      <c r="W42" s="680"/>
      <c r="X42" s="680"/>
      <c r="Y42" s="680"/>
      <c r="Z42" s="680"/>
      <c r="AA42" s="680"/>
      <c r="AB42" s="680"/>
      <c r="AC42" s="680"/>
      <c r="AD42" s="680"/>
      <c r="AE42" s="239"/>
      <c r="AF42" s="239"/>
      <c r="AG42" s="757"/>
      <c r="AH42" s="708"/>
      <c r="AI42" s="708"/>
      <c r="AJ42" s="708"/>
      <c r="AK42" s="708"/>
      <c r="AL42" s="708"/>
      <c r="AM42" s="708"/>
      <c r="AN42" s="708"/>
      <c r="AO42" s="708"/>
      <c r="AP42" s="708"/>
      <c r="AQ42" s="708"/>
      <c r="AR42" s="239"/>
      <c r="AS42" s="239"/>
      <c r="AT42" s="239"/>
      <c r="AU42" s="239"/>
      <c r="AV42" s="239"/>
      <c r="AW42" s="239"/>
      <c r="AX42" s="239"/>
      <c r="AY42" s="239"/>
      <c r="AZ42" s="239"/>
    </row>
    <row r="43" spans="1:52" s="237" customFormat="1" ht="11.25" customHeight="1">
      <c r="A43" s="600">
        <v>8</v>
      </c>
      <c r="B43" s="603" t="s">
        <v>621</v>
      </c>
      <c r="C43" s="619">
        <v>628.23</v>
      </c>
      <c r="D43" s="619">
        <v>626.69000000000005</v>
      </c>
      <c r="E43" s="619">
        <v>641.37</v>
      </c>
      <c r="F43" s="619">
        <v>665.98</v>
      </c>
      <c r="G43" s="619">
        <v>687.55</v>
      </c>
      <c r="H43" s="619">
        <v>701.24</v>
      </c>
      <c r="I43" s="619">
        <v>740.62</v>
      </c>
      <c r="J43" s="619">
        <v>774.77</v>
      </c>
      <c r="K43" s="619">
        <v>802.89</v>
      </c>
      <c r="L43" s="619">
        <v>861.29</v>
      </c>
      <c r="M43" s="619">
        <v>929.07</v>
      </c>
      <c r="P43" s="757"/>
      <c r="Q43" s="708"/>
      <c r="R43" s="239"/>
      <c r="S43" s="239"/>
      <c r="T43" s="696"/>
      <c r="U43" s="680"/>
      <c r="V43" s="680"/>
      <c r="W43" s="680"/>
      <c r="X43" s="680"/>
      <c r="Y43" s="680"/>
      <c r="Z43" s="680"/>
      <c r="AA43" s="680"/>
      <c r="AB43" s="680"/>
      <c r="AC43" s="680"/>
      <c r="AD43" s="680"/>
      <c r="AE43" s="239"/>
      <c r="AF43" s="239"/>
      <c r="AG43" s="757"/>
      <c r="AH43" s="708"/>
      <c r="AI43" s="708"/>
      <c r="AJ43" s="708"/>
      <c r="AK43" s="708"/>
      <c r="AL43" s="708"/>
      <c r="AM43" s="708"/>
      <c r="AN43" s="708"/>
      <c r="AO43" s="708"/>
      <c r="AP43" s="708"/>
      <c r="AQ43" s="708"/>
      <c r="AR43" s="239"/>
      <c r="AS43" s="239"/>
      <c r="AT43" s="239"/>
      <c r="AU43" s="239"/>
      <c r="AV43" s="239"/>
      <c r="AW43" s="239"/>
      <c r="AX43" s="239"/>
      <c r="AY43" s="239"/>
      <c r="AZ43" s="239"/>
    </row>
    <row r="44" spans="1:52" s="237" customFormat="1" ht="12.75" customHeight="1">
      <c r="A44" s="604">
        <v>81</v>
      </c>
      <c r="B44" s="755" t="s">
        <v>622</v>
      </c>
      <c r="C44" s="620">
        <v>632.12</v>
      </c>
      <c r="D44" s="620">
        <v>634.89</v>
      </c>
      <c r="E44" s="620">
        <v>644.75</v>
      </c>
      <c r="F44" s="620">
        <v>658.47</v>
      </c>
      <c r="G44" s="620">
        <v>669.42</v>
      </c>
      <c r="H44" s="620">
        <v>684.29</v>
      </c>
      <c r="I44" s="620">
        <v>711.78</v>
      </c>
      <c r="J44" s="620">
        <v>755.08</v>
      </c>
      <c r="K44" s="620">
        <v>772.09</v>
      </c>
      <c r="L44" s="620">
        <v>824.92</v>
      </c>
      <c r="M44" s="620">
        <v>889.63</v>
      </c>
      <c r="P44" s="757"/>
      <c r="Q44" s="708"/>
      <c r="R44" s="239"/>
      <c r="S44" s="239"/>
      <c r="T44" s="757"/>
      <c r="U44" s="680"/>
      <c r="V44" s="680"/>
      <c r="W44" s="680"/>
      <c r="X44" s="680"/>
      <c r="Y44" s="680"/>
      <c r="Z44" s="680"/>
      <c r="AA44" s="680"/>
      <c r="AB44" s="680"/>
      <c r="AC44" s="680"/>
      <c r="AD44" s="680"/>
      <c r="AE44" s="239"/>
      <c r="AF44" s="239"/>
      <c r="AG44" s="757"/>
      <c r="AH44" s="708"/>
      <c r="AI44" s="708"/>
      <c r="AJ44" s="708"/>
      <c r="AK44" s="708"/>
      <c r="AL44" s="708"/>
      <c r="AM44" s="708"/>
      <c r="AN44" s="708"/>
      <c r="AO44" s="708"/>
      <c r="AP44" s="708"/>
      <c r="AQ44" s="708"/>
      <c r="AR44" s="239"/>
      <c r="AS44" s="239"/>
      <c r="AT44" s="239"/>
      <c r="AU44" s="239"/>
      <c r="AV44" s="239"/>
      <c r="AW44" s="239"/>
      <c r="AX44" s="239"/>
      <c r="AY44" s="239"/>
      <c r="AZ44" s="239"/>
    </row>
    <row r="45" spans="1:52" s="237" customFormat="1" ht="12.75" customHeight="1">
      <c r="A45" s="604">
        <v>82</v>
      </c>
      <c r="B45" s="755" t="s">
        <v>623</v>
      </c>
      <c r="C45" s="620">
        <v>695.29</v>
      </c>
      <c r="D45" s="620">
        <v>700.47</v>
      </c>
      <c r="E45" s="620">
        <v>709.06</v>
      </c>
      <c r="F45" s="620">
        <v>740.22</v>
      </c>
      <c r="G45" s="620">
        <v>748.18</v>
      </c>
      <c r="H45" s="620">
        <v>745.41</v>
      </c>
      <c r="I45" s="620">
        <v>765.04</v>
      </c>
      <c r="J45" s="620">
        <v>779.89</v>
      </c>
      <c r="K45" s="620">
        <v>825.7</v>
      </c>
      <c r="L45" s="620">
        <v>864.91</v>
      </c>
      <c r="M45" s="620">
        <v>936.59</v>
      </c>
      <c r="P45" s="696"/>
      <c r="Q45" s="708"/>
      <c r="R45" s="239"/>
      <c r="S45" s="239"/>
      <c r="T45" s="757"/>
      <c r="U45" s="680"/>
      <c r="V45" s="680"/>
      <c r="W45" s="680"/>
      <c r="X45" s="680"/>
      <c r="Y45" s="680"/>
      <c r="Z45" s="680"/>
      <c r="AA45" s="680"/>
      <c r="AB45" s="680"/>
      <c r="AC45" s="680"/>
      <c r="AD45" s="680"/>
      <c r="AE45" s="239"/>
      <c r="AF45" s="239"/>
      <c r="AG45" s="696"/>
      <c r="AH45" s="708"/>
      <c r="AI45" s="708"/>
      <c r="AJ45" s="708"/>
      <c r="AK45" s="708"/>
      <c r="AL45" s="708"/>
      <c r="AM45" s="708"/>
      <c r="AN45" s="708"/>
      <c r="AO45" s="708"/>
      <c r="AP45" s="708"/>
      <c r="AQ45" s="708"/>
      <c r="AR45" s="239"/>
      <c r="AS45" s="239"/>
      <c r="AT45" s="239"/>
      <c r="AU45" s="239"/>
      <c r="AV45" s="239"/>
      <c r="AW45" s="239"/>
      <c r="AX45" s="239"/>
      <c r="AY45" s="239"/>
      <c r="AZ45" s="239"/>
    </row>
    <row r="46" spans="1:52" s="237" customFormat="1" ht="12.75" customHeight="1">
      <c r="A46" s="604">
        <v>83</v>
      </c>
      <c r="B46" s="755" t="s">
        <v>624</v>
      </c>
      <c r="C46" s="620">
        <v>616.54999999999995</v>
      </c>
      <c r="D46" s="620">
        <v>610.66</v>
      </c>
      <c r="E46" s="620">
        <v>628</v>
      </c>
      <c r="F46" s="620">
        <v>657.37</v>
      </c>
      <c r="G46" s="620">
        <v>688.2</v>
      </c>
      <c r="H46" s="620">
        <v>704.42</v>
      </c>
      <c r="I46" s="620">
        <v>759.34</v>
      </c>
      <c r="J46" s="620">
        <v>790.77</v>
      </c>
      <c r="K46" s="620">
        <v>828.56</v>
      </c>
      <c r="L46" s="620">
        <v>899.23</v>
      </c>
      <c r="M46" s="620">
        <v>964.98</v>
      </c>
      <c r="P46" s="757"/>
      <c r="Q46" s="708"/>
      <c r="R46" s="239"/>
      <c r="S46" s="239"/>
      <c r="T46" s="757"/>
      <c r="U46" s="680"/>
      <c r="V46" s="680"/>
      <c r="W46" s="680"/>
      <c r="X46" s="680"/>
      <c r="Y46" s="680"/>
      <c r="Z46" s="680"/>
      <c r="AA46" s="680"/>
      <c r="AB46" s="680"/>
      <c r="AC46" s="680"/>
      <c r="AD46" s="680"/>
      <c r="AE46" s="239"/>
      <c r="AF46" s="239"/>
      <c r="AG46" s="757"/>
      <c r="AH46" s="708"/>
      <c r="AI46" s="708"/>
      <c r="AJ46" s="708"/>
      <c r="AK46" s="708"/>
      <c r="AL46" s="708"/>
      <c r="AM46" s="708"/>
      <c r="AN46" s="708"/>
      <c r="AO46" s="708"/>
      <c r="AP46" s="708"/>
      <c r="AQ46" s="708"/>
      <c r="AR46" s="239"/>
      <c r="AS46" s="239"/>
      <c r="AT46" s="239"/>
      <c r="AU46" s="239"/>
      <c r="AV46" s="239"/>
      <c r="AW46" s="239"/>
      <c r="AX46" s="239"/>
      <c r="AY46" s="239"/>
      <c r="AZ46" s="239"/>
    </row>
    <row r="47" spans="1:52" s="237" customFormat="1" ht="12.75" customHeight="1">
      <c r="A47" s="600">
        <v>9</v>
      </c>
      <c r="B47" s="603" t="s">
        <v>625</v>
      </c>
      <c r="C47" s="619">
        <v>548.35</v>
      </c>
      <c r="D47" s="619">
        <v>552.21</v>
      </c>
      <c r="E47" s="619">
        <v>572.37</v>
      </c>
      <c r="F47" s="619">
        <v>599.17999999999995</v>
      </c>
      <c r="G47" s="619">
        <v>625.88</v>
      </c>
      <c r="H47" s="619">
        <v>647.15</v>
      </c>
      <c r="I47" s="619">
        <v>680.01</v>
      </c>
      <c r="J47" s="619">
        <v>717.83</v>
      </c>
      <c r="K47" s="619">
        <v>758.31</v>
      </c>
      <c r="L47" s="619">
        <v>807.97</v>
      </c>
      <c r="M47" s="619">
        <v>857.81</v>
      </c>
      <c r="P47" s="757"/>
      <c r="Q47" s="708"/>
      <c r="R47" s="239"/>
      <c r="S47" s="239"/>
      <c r="T47" s="757"/>
      <c r="U47" s="680"/>
      <c r="V47" s="680"/>
      <c r="W47" s="680"/>
      <c r="X47" s="680"/>
      <c r="Y47" s="680"/>
      <c r="Z47" s="680"/>
      <c r="AA47" s="680"/>
      <c r="AB47" s="680"/>
      <c r="AC47" s="680"/>
      <c r="AD47" s="680"/>
      <c r="AE47" s="239"/>
      <c r="AF47" s="239"/>
      <c r="AG47" s="757"/>
      <c r="AH47" s="708"/>
      <c r="AI47" s="708"/>
      <c r="AJ47" s="708"/>
      <c r="AK47" s="708"/>
      <c r="AL47" s="708"/>
      <c r="AM47" s="708"/>
      <c r="AN47" s="708"/>
      <c r="AO47" s="708"/>
      <c r="AP47" s="708"/>
      <c r="AQ47" s="708"/>
      <c r="AR47" s="239"/>
      <c r="AS47" s="239"/>
      <c r="AT47" s="239"/>
      <c r="AU47" s="239"/>
      <c r="AV47" s="239"/>
      <c r="AW47" s="239"/>
      <c r="AX47" s="239"/>
      <c r="AY47" s="239"/>
      <c r="AZ47" s="239"/>
    </row>
    <row r="48" spans="1:52" s="237" customFormat="1" ht="12.75" customHeight="1">
      <c r="A48" s="604">
        <v>91</v>
      </c>
      <c r="B48" s="755" t="s">
        <v>626</v>
      </c>
      <c r="C48" s="620">
        <v>536.98</v>
      </c>
      <c r="D48" s="620">
        <v>541.99</v>
      </c>
      <c r="E48" s="620">
        <v>566.87</v>
      </c>
      <c r="F48" s="620">
        <v>588.79</v>
      </c>
      <c r="G48" s="620">
        <v>613.66</v>
      </c>
      <c r="H48" s="620">
        <v>632.14</v>
      </c>
      <c r="I48" s="620">
        <v>661.44</v>
      </c>
      <c r="J48" s="620">
        <v>689.74</v>
      </c>
      <c r="K48" s="620">
        <v>731.03</v>
      </c>
      <c r="L48" s="620">
        <v>790.5</v>
      </c>
      <c r="M48" s="620">
        <v>849.7</v>
      </c>
      <c r="P48" s="757"/>
      <c r="Q48" s="708"/>
      <c r="R48" s="239"/>
      <c r="S48" s="239"/>
      <c r="T48" s="757"/>
      <c r="U48" s="680"/>
      <c r="V48" s="680"/>
      <c r="W48" s="680"/>
      <c r="X48" s="680"/>
      <c r="Y48" s="680"/>
      <c r="Z48" s="680"/>
      <c r="AA48" s="680"/>
      <c r="AB48" s="680"/>
      <c r="AC48" s="680"/>
      <c r="AD48" s="680"/>
      <c r="AE48" s="239"/>
      <c r="AF48" s="239"/>
      <c r="AG48" s="757"/>
      <c r="AH48" s="708"/>
      <c r="AI48" s="708"/>
      <c r="AJ48" s="708"/>
      <c r="AK48" s="708"/>
      <c r="AL48" s="708"/>
      <c r="AM48" s="708"/>
      <c r="AN48" s="708"/>
      <c r="AO48" s="708"/>
      <c r="AP48" s="708"/>
      <c r="AQ48" s="708"/>
      <c r="AR48" s="239"/>
      <c r="AS48" s="239"/>
      <c r="AT48" s="239"/>
      <c r="AU48" s="239"/>
      <c r="AV48" s="239"/>
      <c r="AW48" s="239"/>
      <c r="AX48" s="239"/>
      <c r="AY48" s="239"/>
      <c r="AZ48" s="239"/>
    </row>
    <row r="49" spans="1:52" s="237" customFormat="1" ht="12.75" customHeight="1">
      <c r="A49" s="604">
        <v>92</v>
      </c>
      <c r="B49" s="755" t="s">
        <v>798</v>
      </c>
      <c r="C49" s="620">
        <v>537.46</v>
      </c>
      <c r="D49" s="620">
        <v>537.14</v>
      </c>
      <c r="E49" s="620">
        <v>553.09</v>
      </c>
      <c r="F49" s="620">
        <v>590.53</v>
      </c>
      <c r="G49" s="620">
        <v>610.44000000000005</v>
      </c>
      <c r="H49" s="620">
        <v>634.47</v>
      </c>
      <c r="I49" s="620">
        <v>664.69</v>
      </c>
      <c r="J49" s="620">
        <v>699.03</v>
      </c>
      <c r="K49" s="620">
        <v>738.04</v>
      </c>
      <c r="L49" s="620">
        <v>784.86</v>
      </c>
      <c r="M49" s="620">
        <v>841.93</v>
      </c>
      <c r="P49" s="696"/>
      <c r="Q49" s="708"/>
      <c r="R49" s="239"/>
      <c r="S49" s="239"/>
      <c r="T49" s="696"/>
      <c r="U49" s="680"/>
      <c r="V49" s="680"/>
      <c r="W49" s="680"/>
      <c r="X49" s="680"/>
      <c r="Y49" s="680"/>
      <c r="Z49" s="680"/>
      <c r="AA49" s="680"/>
      <c r="AB49" s="680"/>
      <c r="AC49" s="680"/>
      <c r="AD49" s="680"/>
      <c r="AE49" s="239"/>
      <c r="AF49" s="239"/>
      <c r="AG49" s="696"/>
      <c r="AH49" s="708"/>
      <c r="AI49" s="708"/>
      <c r="AJ49" s="708"/>
      <c r="AK49" s="708"/>
      <c r="AL49" s="708"/>
      <c r="AM49" s="708"/>
      <c r="AN49" s="708"/>
      <c r="AO49" s="708"/>
      <c r="AP49" s="708"/>
      <c r="AQ49" s="708"/>
      <c r="AR49" s="239"/>
      <c r="AS49" s="239"/>
      <c r="AT49" s="239"/>
      <c r="AU49" s="239"/>
      <c r="AV49" s="239"/>
      <c r="AW49" s="239"/>
      <c r="AX49" s="239"/>
      <c r="AY49" s="239"/>
      <c r="AZ49" s="239"/>
    </row>
    <row r="50" spans="1:52" s="237" customFormat="1" ht="12.6" customHeight="1">
      <c r="A50" s="604">
        <v>93</v>
      </c>
      <c r="B50" s="755" t="s">
        <v>799</v>
      </c>
      <c r="C50" s="620">
        <v>556.32000000000005</v>
      </c>
      <c r="D50" s="620">
        <v>553.27</v>
      </c>
      <c r="E50" s="620">
        <v>571.32000000000005</v>
      </c>
      <c r="F50" s="620">
        <v>594.05999999999995</v>
      </c>
      <c r="G50" s="620">
        <v>616.97</v>
      </c>
      <c r="H50" s="620">
        <v>635</v>
      </c>
      <c r="I50" s="620">
        <v>673.12</v>
      </c>
      <c r="J50" s="620">
        <v>708.26</v>
      </c>
      <c r="K50" s="620">
        <v>746.72</v>
      </c>
      <c r="L50" s="620">
        <v>795.7</v>
      </c>
      <c r="M50" s="620">
        <v>856.92</v>
      </c>
      <c r="P50" s="757"/>
      <c r="Q50" s="708"/>
      <c r="R50" s="239"/>
      <c r="S50" s="239"/>
      <c r="T50" s="757"/>
      <c r="U50" s="680"/>
      <c r="V50" s="680"/>
      <c r="W50" s="680"/>
      <c r="X50" s="680"/>
      <c r="Y50" s="680"/>
      <c r="Z50" s="680"/>
      <c r="AA50" s="680"/>
      <c r="AB50" s="680"/>
      <c r="AC50" s="680"/>
      <c r="AD50" s="680"/>
      <c r="AE50" s="239"/>
      <c r="AF50" s="239"/>
      <c r="AG50" s="757"/>
      <c r="AH50" s="708"/>
      <c r="AI50" s="708"/>
      <c r="AJ50" s="708"/>
      <c r="AK50" s="708"/>
      <c r="AL50" s="708"/>
      <c r="AM50" s="708"/>
      <c r="AN50" s="708"/>
      <c r="AO50" s="708"/>
      <c r="AP50" s="708"/>
      <c r="AQ50" s="708"/>
      <c r="AR50" s="239"/>
      <c r="AS50" s="239"/>
      <c r="AT50" s="239"/>
      <c r="AU50" s="239"/>
      <c r="AV50" s="239"/>
      <c r="AW50" s="239"/>
      <c r="AX50" s="239"/>
      <c r="AY50" s="239"/>
      <c r="AZ50" s="239"/>
    </row>
    <row r="51" spans="1:52" s="237" customFormat="1" ht="10.5" customHeight="1">
      <c r="A51" s="604">
        <v>94</v>
      </c>
      <c r="B51" s="755" t="s">
        <v>629</v>
      </c>
      <c r="C51" s="620">
        <v>546.78</v>
      </c>
      <c r="D51" s="620">
        <v>550.54999999999995</v>
      </c>
      <c r="E51" s="620">
        <v>570.54999999999995</v>
      </c>
      <c r="F51" s="620">
        <v>597.30999999999995</v>
      </c>
      <c r="G51" s="620">
        <v>621.70000000000005</v>
      </c>
      <c r="H51" s="620">
        <v>641.59</v>
      </c>
      <c r="I51" s="620">
        <v>669.37</v>
      </c>
      <c r="J51" s="620">
        <v>701.08</v>
      </c>
      <c r="K51" s="620">
        <v>743.48</v>
      </c>
      <c r="L51" s="620">
        <v>796.54</v>
      </c>
      <c r="M51" s="620">
        <v>852.53</v>
      </c>
      <c r="P51" s="757"/>
      <c r="Q51" s="708"/>
      <c r="R51" s="239"/>
      <c r="S51" s="239"/>
      <c r="T51" s="757"/>
      <c r="U51" s="680"/>
      <c r="V51" s="680"/>
      <c r="W51" s="680"/>
      <c r="X51" s="680"/>
      <c r="Y51" s="680"/>
      <c r="Z51" s="680"/>
      <c r="AA51" s="680"/>
      <c r="AB51" s="680"/>
      <c r="AC51" s="680"/>
      <c r="AD51" s="680"/>
      <c r="AE51" s="239"/>
      <c r="AF51" s="239"/>
      <c r="AG51" s="757"/>
      <c r="AH51" s="708"/>
      <c r="AI51" s="708"/>
      <c r="AJ51" s="708"/>
      <c r="AK51" s="708"/>
      <c r="AL51" s="708"/>
      <c r="AM51" s="708"/>
      <c r="AN51" s="708"/>
      <c r="AO51" s="708"/>
      <c r="AP51" s="708"/>
      <c r="AQ51" s="708"/>
      <c r="AR51" s="239"/>
      <c r="AS51" s="239"/>
      <c r="AT51" s="239"/>
      <c r="AU51" s="239"/>
      <c r="AV51" s="239"/>
      <c r="AW51" s="239"/>
      <c r="AX51" s="239"/>
      <c r="AY51" s="239"/>
      <c r="AZ51" s="239"/>
    </row>
    <row r="52" spans="1:52" s="237" customFormat="1" ht="12.75" customHeight="1">
      <c r="A52" s="604">
        <v>95</v>
      </c>
      <c r="B52" s="755" t="s">
        <v>800</v>
      </c>
      <c r="C52" s="620">
        <v>640.86</v>
      </c>
      <c r="D52" s="620">
        <v>726.76</v>
      </c>
      <c r="E52" s="620">
        <v>773.6</v>
      </c>
      <c r="F52" s="620">
        <v>828.22</v>
      </c>
      <c r="G52" s="620">
        <v>781.93</v>
      </c>
      <c r="H52" s="620">
        <v>789.12</v>
      </c>
      <c r="I52" s="620">
        <v>768.57</v>
      </c>
      <c r="J52" s="620">
        <v>807.55</v>
      </c>
      <c r="K52" s="620">
        <v>890.51</v>
      </c>
      <c r="L52" s="620">
        <v>1014.06</v>
      </c>
      <c r="M52" s="620">
        <v>1063.8</v>
      </c>
      <c r="P52" s="757"/>
      <c r="Q52" s="708"/>
      <c r="R52" s="239"/>
      <c r="S52" s="239"/>
      <c r="T52" s="757"/>
      <c r="U52" s="680"/>
      <c r="V52" s="680"/>
      <c r="W52" s="680"/>
      <c r="X52" s="680"/>
      <c r="Y52" s="680"/>
      <c r="Z52" s="680"/>
      <c r="AA52" s="680"/>
      <c r="AB52" s="680"/>
      <c r="AC52" s="680"/>
      <c r="AD52" s="680"/>
      <c r="AE52" s="239"/>
      <c r="AF52" s="239"/>
      <c r="AG52" s="757"/>
      <c r="AH52" s="708"/>
      <c r="AI52" s="708"/>
      <c r="AJ52" s="708"/>
      <c r="AK52" s="708"/>
      <c r="AL52" s="708"/>
      <c r="AM52" s="708"/>
      <c r="AN52" s="708"/>
      <c r="AO52" s="708"/>
      <c r="AP52" s="708"/>
      <c r="AQ52" s="708"/>
      <c r="AR52" s="239"/>
      <c r="AS52" s="239"/>
      <c r="AT52" s="239"/>
      <c r="AU52" s="239"/>
      <c r="AV52" s="239"/>
      <c r="AW52" s="239"/>
      <c r="AX52" s="239"/>
      <c r="AY52" s="239"/>
      <c r="AZ52" s="239"/>
    </row>
    <row r="53" spans="1:52" s="237" customFormat="1" ht="12.75" customHeight="1">
      <c r="A53" s="604">
        <v>96</v>
      </c>
      <c r="B53" s="755" t="s">
        <v>631</v>
      </c>
      <c r="C53" s="620">
        <v>583.98</v>
      </c>
      <c r="D53" s="620">
        <v>597.57000000000005</v>
      </c>
      <c r="E53" s="620">
        <v>620.29</v>
      </c>
      <c r="F53" s="620">
        <v>642.9</v>
      </c>
      <c r="G53" s="620">
        <v>682.33</v>
      </c>
      <c r="H53" s="620">
        <v>706.13</v>
      </c>
      <c r="I53" s="620">
        <v>735.62</v>
      </c>
      <c r="J53" s="620">
        <v>796.34</v>
      </c>
      <c r="K53" s="620">
        <v>842.96</v>
      </c>
      <c r="L53" s="620">
        <v>879.25</v>
      </c>
      <c r="M53" s="620">
        <v>890.3</v>
      </c>
      <c r="P53" s="757"/>
      <c r="Q53" s="708"/>
      <c r="R53" s="239"/>
      <c r="S53" s="239"/>
      <c r="T53" s="696"/>
      <c r="U53" s="680"/>
      <c r="V53" s="680"/>
      <c r="W53" s="680"/>
      <c r="X53" s="680"/>
      <c r="Y53" s="680"/>
      <c r="Z53" s="680"/>
      <c r="AA53" s="680"/>
      <c r="AB53" s="680"/>
      <c r="AC53" s="680"/>
      <c r="AD53" s="680"/>
      <c r="AE53" s="239"/>
      <c r="AF53" s="239"/>
      <c r="AG53" s="757"/>
      <c r="AH53" s="708"/>
      <c r="AI53" s="708"/>
      <c r="AJ53" s="708"/>
      <c r="AK53" s="708"/>
      <c r="AL53" s="708"/>
      <c r="AM53" s="708"/>
      <c r="AN53" s="708"/>
      <c r="AO53" s="708"/>
      <c r="AP53" s="708"/>
      <c r="AQ53" s="708"/>
      <c r="AR53" s="239"/>
      <c r="AS53" s="239"/>
      <c r="AT53" s="239"/>
      <c r="AU53" s="239"/>
      <c r="AV53" s="239"/>
      <c r="AW53" s="239"/>
      <c r="AX53" s="239"/>
      <c r="AY53" s="239"/>
      <c r="AZ53" s="239"/>
    </row>
    <row r="54" spans="1:52" s="237" customFormat="1" ht="12.75" customHeight="1">
      <c r="A54" s="611" t="s">
        <v>632</v>
      </c>
      <c r="B54" s="612"/>
      <c r="C54" s="619">
        <v>2945.25</v>
      </c>
      <c r="D54" s="619">
        <v>4172.04</v>
      </c>
      <c r="E54" s="619">
        <v>2969.9</v>
      </c>
      <c r="F54" s="619">
        <v>3532.78</v>
      </c>
      <c r="G54" s="619">
        <v>2687.6</v>
      </c>
      <c r="H54" s="619">
        <v>2538.2800000000002</v>
      </c>
      <c r="I54" s="619">
        <v>2351.2600000000002</v>
      </c>
      <c r="J54" s="619">
        <v>3013.2</v>
      </c>
      <c r="K54" s="619">
        <v>3614.16</v>
      </c>
      <c r="L54" s="619">
        <v>4973.2700000000004</v>
      </c>
      <c r="M54" s="619">
        <v>4145.2700000000004</v>
      </c>
      <c r="P54" s="757"/>
      <c r="Q54" s="708"/>
      <c r="R54" s="239"/>
      <c r="S54" s="239"/>
      <c r="T54" s="757"/>
      <c r="U54" s="680"/>
      <c r="V54" s="680"/>
      <c r="W54" s="680"/>
      <c r="X54" s="680"/>
      <c r="Y54" s="680"/>
      <c r="Z54" s="680"/>
      <c r="AA54" s="680"/>
      <c r="AB54" s="680"/>
      <c r="AC54" s="680"/>
      <c r="AD54" s="680"/>
      <c r="AE54" s="239"/>
      <c r="AF54" s="239"/>
      <c r="AG54" s="757"/>
      <c r="AH54" s="708"/>
      <c r="AI54" s="708"/>
      <c r="AJ54" s="708"/>
      <c r="AK54" s="708"/>
      <c r="AL54" s="708"/>
      <c r="AM54" s="708"/>
      <c r="AN54" s="708"/>
      <c r="AO54" s="708"/>
      <c r="AP54" s="708"/>
      <c r="AQ54" s="708"/>
      <c r="AR54" s="239"/>
      <c r="AS54" s="239"/>
      <c r="AT54" s="239"/>
      <c r="AU54" s="239"/>
      <c r="AV54" s="239"/>
      <c r="AW54" s="239"/>
      <c r="AX54" s="239"/>
      <c r="AY54" s="239"/>
      <c r="AZ54" s="239"/>
    </row>
    <row r="55" spans="1:52" s="237" customFormat="1" ht="12.75" customHeight="1">
      <c r="A55" s="761" t="s">
        <v>769</v>
      </c>
      <c r="B55" s="762"/>
      <c r="C55" s="763"/>
      <c r="D55" s="763"/>
      <c r="E55" s="764"/>
      <c r="F55" s="764"/>
      <c r="G55" s="764"/>
      <c r="H55" s="764"/>
      <c r="I55" s="764"/>
      <c r="J55" s="764"/>
      <c r="K55" s="764"/>
      <c r="L55" s="764"/>
      <c r="M55" s="764"/>
      <c r="P55" s="757"/>
      <c r="Q55" s="708"/>
      <c r="R55" s="239"/>
      <c r="S55" s="239"/>
      <c r="T55" s="757"/>
      <c r="U55" s="680"/>
      <c r="V55" s="680"/>
      <c r="W55" s="680"/>
      <c r="X55" s="680"/>
      <c r="Y55" s="680"/>
      <c r="Z55" s="680"/>
      <c r="AA55" s="680"/>
      <c r="AB55" s="680"/>
      <c r="AC55" s="680"/>
      <c r="AD55" s="680"/>
      <c r="AE55" s="239"/>
      <c r="AF55" s="239"/>
      <c r="AG55" s="757"/>
      <c r="AH55" s="708"/>
      <c r="AI55" s="708"/>
      <c r="AJ55" s="708"/>
      <c r="AK55" s="708"/>
      <c r="AL55" s="708"/>
      <c r="AM55" s="708"/>
      <c r="AN55" s="708"/>
      <c r="AO55" s="708"/>
      <c r="AP55" s="708"/>
      <c r="AQ55" s="708"/>
      <c r="AR55" s="239"/>
      <c r="AS55" s="239"/>
      <c r="AT55" s="239"/>
      <c r="AU55" s="239"/>
      <c r="AV55" s="239"/>
      <c r="AW55" s="239"/>
      <c r="AX55" s="239"/>
      <c r="AY55" s="239"/>
      <c r="AZ55" s="239"/>
    </row>
    <row r="56" spans="1:52" s="237" customFormat="1" ht="12" customHeight="1">
      <c r="A56" s="614"/>
      <c r="B56" s="999" t="s">
        <v>801</v>
      </c>
      <c r="C56" s="999"/>
      <c r="D56" s="999"/>
      <c r="E56" s="999"/>
      <c r="F56" s="999"/>
      <c r="G56" s="999"/>
      <c r="H56" s="999"/>
      <c r="I56" s="999"/>
      <c r="J56" s="999"/>
      <c r="K56" s="999"/>
      <c r="L56" s="999"/>
      <c r="M56" s="999"/>
      <c r="P56" s="756"/>
      <c r="Q56" s="708"/>
      <c r="R56" s="239"/>
      <c r="S56" s="239"/>
      <c r="T56" s="757"/>
      <c r="U56" s="680"/>
      <c r="V56" s="680"/>
      <c r="W56" s="680"/>
      <c r="X56" s="680"/>
      <c r="Y56" s="680"/>
      <c r="Z56" s="680"/>
      <c r="AA56" s="680"/>
      <c r="AB56" s="680"/>
      <c r="AC56" s="680"/>
      <c r="AD56" s="680"/>
      <c r="AE56" s="239"/>
      <c r="AF56" s="239"/>
      <c r="AG56" s="756"/>
      <c r="AH56" s="708"/>
      <c r="AI56" s="708"/>
      <c r="AJ56" s="708"/>
      <c r="AK56" s="708"/>
      <c r="AL56" s="708"/>
      <c r="AM56" s="708"/>
      <c r="AN56" s="708"/>
      <c r="AO56" s="708"/>
      <c r="AP56" s="708"/>
      <c r="AQ56" s="708"/>
      <c r="AR56" s="239"/>
      <c r="AS56" s="239"/>
      <c r="AT56" s="239"/>
      <c r="AU56" s="239"/>
      <c r="AV56" s="239"/>
      <c r="AW56" s="239"/>
      <c r="AX56" s="239"/>
      <c r="AY56" s="239"/>
      <c r="AZ56" s="239"/>
    </row>
    <row r="57" spans="1:52" ht="10.5" customHeight="1">
      <c r="O57" s="237"/>
      <c r="P57" s="757"/>
      <c r="Q57" s="239"/>
      <c r="R57" s="239"/>
      <c r="S57" s="239"/>
      <c r="T57" s="757"/>
      <c r="U57" s="680"/>
      <c r="V57" s="680"/>
      <c r="W57" s="680"/>
      <c r="X57" s="680"/>
      <c r="Y57" s="680"/>
      <c r="Z57" s="680"/>
      <c r="AA57" s="680"/>
      <c r="AB57" s="680"/>
      <c r="AC57" s="680"/>
      <c r="AD57" s="680"/>
    </row>
    <row r="58" spans="1:52" ht="15" customHeight="1">
      <c r="B58" s="205"/>
      <c r="T58" s="757"/>
      <c r="U58" s="680"/>
      <c r="V58" s="680"/>
      <c r="W58" s="680"/>
      <c r="X58" s="680"/>
      <c r="Y58" s="680"/>
      <c r="Z58" s="680"/>
      <c r="AA58" s="680"/>
      <c r="AB58" s="680"/>
      <c r="AC58" s="680"/>
      <c r="AD58" s="680"/>
    </row>
    <row r="59" spans="1:52">
      <c r="T59" s="757"/>
      <c r="U59" s="680"/>
      <c r="V59" s="680"/>
      <c r="W59" s="680"/>
      <c r="X59" s="680"/>
      <c r="Y59" s="680"/>
      <c r="Z59" s="680"/>
      <c r="AA59" s="680"/>
      <c r="AB59" s="680"/>
      <c r="AC59" s="680"/>
      <c r="AD59" s="680"/>
    </row>
    <row r="60" spans="1:52">
      <c r="T60" s="756"/>
      <c r="U60" s="680"/>
      <c r="V60" s="680"/>
      <c r="W60" s="680"/>
      <c r="X60" s="680"/>
      <c r="Y60" s="680"/>
      <c r="Z60" s="680"/>
      <c r="AA60" s="680"/>
      <c r="AB60" s="680"/>
      <c r="AC60" s="680"/>
      <c r="AD60" s="680"/>
    </row>
    <row r="66" spans="19:19">
      <c r="S66" s="239"/>
    </row>
  </sheetData>
  <mergeCells count="2">
    <mergeCell ref="A1:M1"/>
    <mergeCell ref="B56:M56"/>
  </mergeCells>
  <conditionalFormatting sqref="A1 A56:B56 E55 N116:XFD1048576 N1:P3 V6:AF7 S7:U7 N4:N115 S4:AB5 AC1:XFD3 AD4:XFD5 S8:S42 O58:S60 O61:XFD62 AE57:XFD60 A2:C3 B55 O67:XFD115 O66:R66 T66:XFD66 B4:C4 A58:C1048576 O43:O57 Q57:S57 AR6:XFD6 O64:XFD65 O63 Q63:XFD63 R43:S56 A6 M4 A5:M5 C6:M54 AE8:AF23 AF24 AS7:XFD55 AE25:AF56 AR56:XFD56">
    <cfRule type="cellIs" dxfId="709" priority="43" operator="equal">
      <formula>0</formula>
    </cfRule>
  </conditionalFormatting>
  <conditionalFormatting sqref="C55">
    <cfRule type="cellIs" dxfId="708" priority="42" operator="equal">
      <formula>0</formula>
    </cfRule>
  </conditionalFormatting>
  <conditionalFormatting sqref="A55">
    <cfRule type="cellIs" dxfId="707" priority="41" operator="equal">
      <formula>0</formula>
    </cfRule>
  </conditionalFormatting>
  <conditionalFormatting sqref="E2:E4 E58:E1048576 D4 F4:G4">
    <cfRule type="cellIs" dxfId="706" priority="40" operator="equal">
      <formula>0</formula>
    </cfRule>
  </conditionalFormatting>
  <conditionalFormatting sqref="D2:D4 D58:D1048576">
    <cfRule type="cellIs" dxfId="705" priority="39" operator="equal">
      <formula>0</formula>
    </cfRule>
  </conditionalFormatting>
  <conditionalFormatting sqref="D55">
    <cfRule type="cellIs" dxfId="704" priority="38" operator="equal">
      <formula>0</formula>
    </cfRule>
  </conditionalFormatting>
  <conditionalFormatting sqref="G55">
    <cfRule type="cellIs" dxfId="703" priority="37" operator="equal">
      <formula>0</formula>
    </cfRule>
  </conditionalFormatting>
  <conditionalFormatting sqref="G2:G3 G58:G1048576">
    <cfRule type="cellIs" dxfId="702" priority="36" operator="equal">
      <formula>0</formula>
    </cfRule>
  </conditionalFormatting>
  <conditionalFormatting sqref="F55">
    <cfRule type="cellIs" dxfId="701" priority="35" operator="equal">
      <formula>0</formula>
    </cfRule>
  </conditionalFormatting>
  <conditionalFormatting sqref="F2:F3 F58:F1048576">
    <cfRule type="cellIs" dxfId="700" priority="34" operator="equal">
      <formula>0</formula>
    </cfRule>
  </conditionalFormatting>
  <conditionalFormatting sqref="H4">
    <cfRule type="cellIs" dxfId="699" priority="33" operator="equal">
      <formula>0</formula>
    </cfRule>
  </conditionalFormatting>
  <conditionalFormatting sqref="H55">
    <cfRule type="cellIs" dxfId="698" priority="32" operator="equal">
      <formula>0</formula>
    </cfRule>
  </conditionalFormatting>
  <conditionalFormatting sqref="H2:H3 H58:H1048576">
    <cfRule type="cellIs" dxfId="697" priority="31" operator="equal">
      <formula>0</formula>
    </cfRule>
  </conditionalFormatting>
  <conditionalFormatting sqref="I4">
    <cfRule type="cellIs" dxfId="696" priority="30" operator="equal">
      <formula>0</formula>
    </cfRule>
  </conditionalFormatting>
  <conditionalFormatting sqref="I55">
    <cfRule type="cellIs" dxfId="695" priority="29" operator="equal">
      <formula>0</formula>
    </cfRule>
  </conditionalFormatting>
  <conditionalFormatting sqref="I2:I3 I58:I1048576">
    <cfRule type="cellIs" dxfId="694" priority="28" operator="equal">
      <formula>0</formula>
    </cfRule>
  </conditionalFormatting>
  <conditionalFormatting sqref="O6:O42 Q6:R6 R7:R42">
    <cfRule type="cellIs" dxfId="693" priority="27" operator="equal">
      <formula>0</formula>
    </cfRule>
  </conditionalFormatting>
  <conditionalFormatting sqref="P5">
    <cfRule type="cellIs" dxfId="692" priority="26" operator="equal">
      <formula>0</formula>
    </cfRule>
  </conditionalFormatting>
  <conditionalFormatting sqref="K4">
    <cfRule type="cellIs" dxfId="691" priority="22" operator="equal">
      <formula>0</formula>
    </cfRule>
  </conditionalFormatting>
  <conditionalFormatting sqref="J4">
    <cfRule type="cellIs" dxfId="690" priority="25" operator="equal">
      <formula>0</formula>
    </cfRule>
  </conditionalFormatting>
  <conditionalFormatting sqref="J55">
    <cfRule type="cellIs" dxfId="689" priority="24" operator="equal">
      <formula>0</formula>
    </cfRule>
  </conditionalFormatting>
  <conditionalFormatting sqref="J2:J3 J58:J1048576">
    <cfRule type="cellIs" dxfId="688" priority="23" operator="equal">
      <formula>0</formula>
    </cfRule>
  </conditionalFormatting>
  <conditionalFormatting sqref="K55">
    <cfRule type="cellIs" dxfId="687" priority="21" operator="equal">
      <formula>0</formula>
    </cfRule>
  </conditionalFormatting>
  <conditionalFormatting sqref="K2:K3 K58:K1048576">
    <cfRule type="cellIs" dxfId="686" priority="20" operator="equal">
      <formula>0</formula>
    </cfRule>
  </conditionalFormatting>
  <conditionalFormatting sqref="L4">
    <cfRule type="cellIs" dxfId="685" priority="19" operator="equal">
      <formula>0</formula>
    </cfRule>
  </conditionalFormatting>
  <conditionalFormatting sqref="L55">
    <cfRule type="cellIs" dxfId="684" priority="18" operator="equal">
      <formula>0</formula>
    </cfRule>
  </conditionalFormatting>
  <conditionalFormatting sqref="L2:L3 L58:L1048576">
    <cfRule type="cellIs" dxfId="683" priority="17" operator="equal">
      <formula>0</formula>
    </cfRule>
  </conditionalFormatting>
  <conditionalFormatting sqref="S66">
    <cfRule type="cellIs" dxfId="682" priority="16" operator="equal">
      <formula>0</formula>
    </cfRule>
  </conditionalFormatting>
  <conditionalFormatting sqref="A4">
    <cfRule type="cellIs" dxfId="681" priority="15" operator="equal">
      <formula>0</formula>
    </cfRule>
  </conditionalFormatting>
  <conditionalFormatting sqref="M55">
    <cfRule type="cellIs" dxfId="680" priority="14" operator="equal">
      <formula>0</formula>
    </cfRule>
  </conditionalFormatting>
  <conditionalFormatting sqref="M2:M3 M58:M1048576">
    <cfRule type="cellIs" dxfId="679" priority="13" operator="equal">
      <formula>0</formula>
    </cfRule>
  </conditionalFormatting>
  <conditionalFormatting sqref="P8">
    <cfRule type="cellIs" dxfId="678" priority="12" operator="equal">
      <formula>0</formula>
    </cfRule>
  </conditionalFormatting>
  <conditionalFormatting sqref="T12">
    <cfRule type="cellIs" dxfId="677" priority="11" operator="equal">
      <formula>0</formula>
    </cfRule>
  </conditionalFormatting>
  <conditionalFormatting sqref="AG8">
    <cfRule type="cellIs" dxfId="676" priority="10" operator="equal">
      <formula>0</formula>
    </cfRule>
  </conditionalFormatting>
  <conditionalFormatting sqref="P63">
    <cfRule type="cellIs" dxfId="675" priority="9" operator="equal">
      <formula>0</formula>
    </cfRule>
  </conditionalFormatting>
  <conditionalFormatting sqref="B6">
    <cfRule type="cellIs" dxfId="674" priority="8" operator="equal">
      <formula>0</formula>
    </cfRule>
  </conditionalFormatting>
  <conditionalFormatting sqref="C4 M4">
    <cfRule type="cellIs" dxfId="673" priority="7" operator="equal">
      <formula>0</formula>
    </cfRule>
  </conditionalFormatting>
  <conditionalFormatting sqref="G4">
    <cfRule type="cellIs" dxfId="672" priority="6" operator="equal">
      <formula>0</formula>
    </cfRule>
  </conditionalFormatting>
  <conditionalFormatting sqref="H4">
    <cfRule type="cellIs" dxfId="671" priority="5" operator="equal">
      <formula>0</formula>
    </cfRule>
  </conditionalFormatting>
  <conditionalFormatting sqref="J4">
    <cfRule type="cellIs" dxfId="670" priority="3" operator="equal">
      <formula>0</formula>
    </cfRule>
  </conditionalFormatting>
  <conditionalFormatting sqref="I4">
    <cfRule type="cellIs" dxfId="669" priority="4" operator="equal">
      <formula>0</formula>
    </cfRule>
  </conditionalFormatting>
  <conditionalFormatting sqref="K4">
    <cfRule type="cellIs" dxfId="668" priority="2" operator="equal">
      <formula>0</formula>
    </cfRule>
  </conditionalFormatting>
  <conditionalFormatting sqref="L4">
    <cfRule type="cellIs" dxfId="667" priority="1" operator="equal">
      <formula>0</formula>
    </cfRule>
  </conditionalFormatting>
  <printOptions horizontalCentered="1"/>
  <pageMargins left="0.19685039370078741" right="0.19685039370078741" top="1.5748031496062993" bottom="0.39370078740157483" header="0.51181102362204722" footer="0"/>
  <pageSetup paperSize="9" scale="85" orientation="portrait" r:id="rId1"/>
  <headerFooter>
    <oddHeader>&amp;C&amp;G</oddHeader>
  </headerFooter>
  <drawing r:id="rId2"/>
  <legacyDrawingHF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920CC-967E-49DB-A5F2-B5A57DF0EAC6}">
  <sheetPr>
    <tabColor rgb="FFE1EAEF"/>
    <pageSetUpPr fitToPage="1"/>
  </sheetPr>
  <dimension ref="A1:M57"/>
  <sheetViews>
    <sheetView showGridLines="0" workbookViewId="0">
      <selection activeCell="Y70" sqref="Y70"/>
    </sheetView>
  </sheetViews>
  <sheetFormatPr defaultColWidth="9.140625" defaultRowHeight="11.25"/>
  <cols>
    <col min="1" max="1" width="3" style="614" customWidth="1"/>
    <col min="2" max="2" width="45.28515625" style="615" customWidth="1"/>
    <col min="3" max="13" width="6.28515625" style="596" customWidth="1"/>
    <col min="14" max="16384" width="9.140625" style="596"/>
  </cols>
  <sheetData>
    <row r="1" spans="1:13" s="593" customFormat="1" ht="28.5" customHeight="1">
      <c r="A1" s="989" t="s">
        <v>646</v>
      </c>
      <c r="B1" s="989"/>
      <c r="C1" s="989"/>
      <c r="D1" s="989"/>
      <c r="E1" s="989"/>
      <c r="F1" s="989"/>
      <c r="G1" s="989"/>
      <c r="H1" s="989"/>
      <c r="I1" s="989"/>
      <c r="J1" s="989"/>
      <c r="K1" s="989"/>
      <c r="L1" s="989"/>
      <c r="M1" s="989"/>
    </row>
    <row r="2" spans="1:13" ht="15" customHeight="1">
      <c r="A2" s="595"/>
      <c r="B2" s="595"/>
      <c r="C2" s="595"/>
      <c r="D2" s="595"/>
      <c r="E2" s="595"/>
      <c r="F2" s="595"/>
      <c r="G2" s="595"/>
      <c r="H2" s="595"/>
      <c r="I2" s="595"/>
      <c r="J2" s="595"/>
      <c r="K2" s="595"/>
      <c r="L2" s="595"/>
      <c r="M2" s="595"/>
    </row>
    <row r="3" spans="1:13" s="115" customFormat="1" ht="15" customHeight="1">
      <c r="A3" s="28" t="s">
        <v>41</v>
      </c>
      <c r="B3" s="598"/>
      <c r="C3" s="29"/>
      <c r="D3" s="29"/>
      <c r="E3" s="29"/>
      <c r="F3" s="29"/>
      <c r="G3" s="29"/>
      <c r="H3" s="29"/>
      <c r="I3" s="29"/>
      <c r="J3" s="29"/>
      <c r="K3" s="29"/>
      <c r="L3" s="29"/>
      <c r="M3" s="29" t="s">
        <v>67</v>
      </c>
    </row>
    <row r="4" spans="1:13" s="115" customFormat="1" ht="28.5" customHeight="1" thickBot="1">
      <c r="A4" s="104" t="s">
        <v>583</v>
      </c>
      <c r="B4" s="599"/>
      <c r="C4" s="200">
        <v>2014</v>
      </c>
      <c r="D4" s="200">
        <v>2015</v>
      </c>
      <c r="E4" s="200">
        <v>2016</v>
      </c>
      <c r="F4" s="200">
        <v>2017</v>
      </c>
      <c r="G4" s="200">
        <v>2018</v>
      </c>
      <c r="H4" s="200">
        <v>2019</v>
      </c>
      <c r="I4" s="200">
        <v>2020</v>
      </c>
      <c r="J4" s="200">
        <v>2021</v>
      </c>
      <c r="K4" s="200">
        <v>2022</v>
      </c>
      <c r="L4" s="200">
        <v>2023</v>
      </c>
      <c r="M4" s="200">
        <v>2024</v>
      </c>
    </row>
    <row r="5" spans="1:13" s="115" customFormat="1" ht="28.5" customHeight="1" thickTop="1">
      <c r="A5" s="375"/>
      <c r="B5" s="617" t="s">
        <v>11</v>
      </c>
      <c r="C5" s="622">
        <v>5.16</v>
      </c>
      <c r="D5" s="622">
        <v>5.18</v>
      </c>
      <c r="E5" s="622">
        <v>5.24</v>
      </c>
      <c r="F5" s="622">
        <v>5.34</v>
      </c>
      <c r="G5" s="622">
        <v>5.49</v>
      </c>
      <c r="H5" s="622">
        <v>5.68</v>
      </c>
      <c r="I5" s="622">
        <v>5.92</v>
      </c>
      <c r="J5" s="622">
        <v>6.13</v>
      </c>
      <c r="K5" s="622">
        <v>6.45</v>
      </c>
      <c r="L5" s="622">
        <v>6.88</v>
      </c>
      <c r="M5" s="622">
        <v>7.38</v>
      </c>
    </row>
    <row r="6" spans="1:13" s="115" customFormat="1" ht="24" customHeight="1">
      <c r="A6" s="600">
        <v>1</v>
      </c>
      <c r="B6" s="603" t="s">
        <v>584</v>
      </c>
      <c r="C6" s="623">
        <v>12.03</v>
      </c>
      <c r="D6" s="623">
        <v>12.14</v>
      </c>
      <c r="E6" s="623">
        <v>12.33</v>
      </c>
      <c r="F6" s="623">
        <v>12.52</v>
      </c>
      <c r="G6" s="623">
        <v>12.82</v>
      </c>
      <c r="H6" s="623">
        <v>13.15</v>
      </c>
      <c r="I6" s="623">
        <v>13.57</v>
      </c>
      <c r="J6" s="623">
        <v>14</v>
      </c>
      <c r="K6" s="623">
        <v>14.63</v>
      </c>
      <c r="L6" s="623">
        <v>15.43</v>
      </c>
      <c r="M6" s="623">
        <v>16.54</v>
      </c>
    </row>
    <row r="7" spans="1:13" s="115" customFormat="1" ht="21" customHeight="1">
      <c r="A7" s="624">
        <v>11</v>
      </c>
      <c r="B7" s="610" t="s">
        <v>585</v>
      </c>
      <c r="C7" s="625">
        <v>16.36</v>
      </c>
      <c r="D7" s="625">
        <v>16.350000000000001</v>
      </c>
      <c r="E7" s="625">
        <v>16.309999999999999</v>
      </c>
      <c r="F7" s="625">
        <v>17.170000000000002</v>
      </c>
      <c r="G7" s="625">
        <v>17.420000000000002</v>
      </c>
      <c r="H7" s="625">
        <v>18.03</v>
      </c>
      <c r="I7" s="625">
        <v>18.48</v>
      </c>
      <c r="J7" s="625">
        <v>18.71</v>
      </c>
      <c r="K7" s="625">
        <v>19.239999999999998</v>
      </c>
      <c r="L7" s="625">
        <v>20.43</v>
      </c>
      <c r="M7" s="625">
        <v>21.91</v>
      </c>
    </row>
    <row r="8" spans="1:13" s="115" customFormat="1" ht="12.75" customHeight="1">
      <c r="A8" s="624">
        <v>12</v>
      </c>
      <c r="B8" s="610" t="s">
        <v>586</v>
      </c>
      <c r="C8" s="625">
        <v>13.98</v>
      </c>
      <c r="D8" s="625">
        <v>14.06</v>
      </c>
      <c r="E8" s="625">
        <v>14.16</v>
      </c>
      <c r="F8" s="625">
        <v>14.22</v>
      </c>
      <c r="G8" s="625">
        <v>14.67</v>
      </c>
      <c r="H8" s="625">
        <v>14.75</v>
      </c>
      <c r="I8" s="625">
        <v>15.12</v>
      </c>
      <c r="J8" s="625">
        <v>15.54</v>
      </c>
      <c r="K8" s="625">
        <v>16.45</v>
      </c>
      <c r="L8" s="625">
        <v>17.22</v>
      </c>
      <c r="M8" s="625">
        <v>18.29</v>
      </c>
    </row>
    <row r="9" spans="1:13" s="115" customFormat="1" ht="12.75" customHeight="1">
      <c r="A9" s="624">
        <v>13</v>
      </c>
      <c r="B9" s="610" t="s">
        <v>587</v>
      </c>
      <c r="C9" s="625">
        <v>11.99</v>
      </c>
      <c r="D9" s="625">
        <v>12.16</v>
      </c>
      <c r="E9" s="625">
        <v>12.22</v>
      </c>
      <c r="F9" s="625">
        <v>12.42</v>
      </c>
      <c r="G9" s="625">
        <v>12.76</v>
      </c>
      <c r="H9" s="625">
        <v>13.04</v>
      </c>
      <c r="I9" s="625">
        <v>13.45</v>
      </c>
      <c r="J9" s="625">
        <v>13.82</v>
      </c>
      <c r="K9" s="625">
        <v>14.57</v>
      </c>
      <c r="L9" s="625">
        <v>15.45</v>
      </c>
      <c r="M9" s="625">
        <v>16.47</v>
      </c>
    </row>
    <row r="10" spans="1:13" s="115" customFormat="1" ht="16.5" customHeight="1">
      <c r="A10" s="624">
        <v>14</v>
      </c>
      <c r="B10" s="610" t="s">
        <v>588</v>
      </c>
      <c r="C10" s="625">
        <v>7.57</v>
      </c>
      <c r="D10" s="625">
        <v>7.71</v>
      </c>
      <c r="E10" s="625">
        <v>8.1</v>
      </c>
      <c r="F10" s="625">
        <v>7.92</v>
      </c>
      <c r="G10" s="625">
        <v>8.0500000000000007</v>
      </c>
      <c r="H10" s="625">
        <v>8.66</v>
      </c>
      <c r="I10" s="625">
        <v>8.93</v>
      </c>
      <c r="J10" s="625">
        <v>9.41</v>
      </c>
      <c r="K10" s="625">
        <v>9.74</v>
      </c>
      <c r="L10" s="625">
        <v>10.45</v>
      </c>
      <c r="M10" s="625">
        <v>11.32</v>
      </c>
    </row>
    <row r="11" spans="1:13" s="115" customFormat="1" ht="12.75" customHeight="1">
      <c r="A11" s="626">
        <v>2</v>
      </c>
      <c r="B11" s="621" t="s">
        <v>589</v>
      </c>
      <c r="C11" s="623">
        <v>9.26</v>
      </c>
      <c r="D11" s="623">
        <v>9.2200000000000006</v>
      </c>
      <c r="E11" s="623">
        <v>9.3000000000000007</v>
      </c>
      <c r="F11" s="623">
        <v>9.34</v>
      </c>
      <c r="G11" s="623">
        <v>9.5</v>
      </c>
      <c r="H11" s="623">
        <v>9.69</v>
      </c>
      <c r="I11" s="623">
        <v>9.9</v>
      </c>
      <c r="J11" s="623">
        <v>10.210000000000001</v>
      </c>
      <c r="K11" s="623">
        <v>10.7</v>
      </c>
      <c r="L11" s="623">
        <v>11.33</v>
      </c>
      <c r="M11" s="623">
        <v>12.04</v>
      </c>
    </row>
    <row r="12" spans="1:13" s="115" customFormat="1" ht="23.25" customHeight="1">
      <c r="A12" s="627">
        <v>21</v>
      </c>
      <c r="B12" s="610" t="s">
        <v>590</v>
      </c>
      <c r="C12" s="625">
        <v>9.5299999999999994</v>
      </c>
      <c r="D12" s="625">
        <v>9.4499999999999993</v>
      </c>
      <c r="E12" s="625">
        <v>9.44</v>
      </c>
      <c r="F12" s="625">
        <v>9.33</v>
      </c>
      <c r="G12" s="625">
        <v>9.5</v>
      </c>
      <c r="H12" s="625">
        <v>9.7899999999999991</v>
      </c>
      <c r="I12" s="625">
        <v>10.029999999999999</v>
      </c>
      <c r="J12" s="625">
        <v>10.29</v>
      </c>
      <c r="K12" s="625">
        <v>10.78</v>
      </c>
      <c r="L12" s="625">
        <v>11.38</v>
      </c>
      <c r="M12" s="625">
        <v>12.15</v>
      </c>
    </row>
    <row r="13" spans="1:13" s="115" customFormat="1" ht="12.75" customHeight="1">
      <c r="A13" s="627">
        <v>22</v>
      </c>
      <c r="B13" s="610" t="s">
        <v>591</v>
      </c>
      <c r="C13" s="625">
        <v>8.5299999999999994</v>
      </c>
      <c r="D13" s="625">
        <v>8.56</v>
      </c>
      <c r="E13" s="625">
        <v>8.7899999999999991</v>
      </c>
      <c r="F13" s="625">
        <v>8.73</v>
      </c>
      <c r="G13" s="625">
        <v>9.06</v>
      </c>
      <c r="H13" s="625">
        <v>9.2200000000000006</v>
      </c>
      <c r="I13" s="625">
        <v>9.27</v>
      </c>
      <c r="J13" s="625">
        <v>9.51</v>
      </c>
      <c r="K13" s="625">
        <v>9.67</v>
      </c>
      <c r="L13" s="625">
        <v>10.18</v>
      </c>
      <c r="M13" s="625">
        <v>10.9</v>
      </c>
    </row>
    <row r="14" spans="1:13" s="115" customFormat="1" ht="12.75" customHeight="1">
      <c r="A14" s="627">
        <v>23</v>
      </c>
      <c r="B14" s="610" t="s">
        <v>592</v>
      </c>
      <c r="C14" s="625">
        <v>9.8699999999999992</v>
      </c>
      <c r="D14" s="625">
        <v>9.86</v>
      </c>
      <c r="E14" s="625">
        <v>9.8699999999999992</v>
      </c>
      <c r="F14" s="625">
        <v>9.92</v>
      </c>
      <c r="G14" s="625">
        <v>9.9700000000000006</v>
      </c>
      <c r="H14" s="625">
        <v>9.99</v>
      </c>
      <c r="I14" s="625">
        <v>10.17</v>
      </c>
      <c r="J14" s="625">
        <v>10.29</v>
      </c>
      <c r="K14" s="625">
        <v>10.61</v>
      </c>
      <c r="L14" s="625">
        <v>11.14</v>
      </c>
      <c r="M14" s="625">
        <v>11.65</v>
      </c>
    </row>
    <row r="15" spans="1:13" s="115" customFormat="1" ht="20.25" customHeight="1">
      <c r="A15" s="627">
        <v>24</v>
      </c>
      <c r="B15" s="610" t="s">
        <v>593</v>
      </c>
      <c r="C15" s="625">
        <v>9.5</v>
      </c>
      <c r="D15" s="625">
        <v>9.51</v>
      </c>
      <c r="E15" s="625">
        <v>9.5500000000000007</v>
      </c>
      <c r="F15" s="625">
        <v>9.83</v>
      </c>
      <c r="G15" s="625">
        <v>9.83</v>
      </c>
      <c r="H15" s="625">
        <v>9.89</v>
      </c>
      <c r="I15" s="625">
        <v>9.99</v>
      </c>
      <c r="J15" s="625">
        <v>10.32</v>
      </c>
      <c r="K15" s="625">
        <v>10.6</v>
      </c>
      <c r="L15" s="625">
        <v>11.2</v>
      </c>
      <c r="M15" s="625">
        <v>11.75</v>
      </c>
    </row>
    <row r="16" spans="1:13" s="115" customFormat="1" ht="16.5" customHeight="1">
      <c r="A16" s="627">
        <v>25</v>
      </c>
      <c r="B16" s="610" t="s">
        <v>594</v>
      </c>
      <c r="C16" s="625">
        <v>9.1300000000000008</v>
      </c>
      <c r="D16" s="625">
        <v>9.08</v>
      </c>
      <c r="E16" s="625">
        <v>9.26</v>
      </c>
      <c r="F16" s="625">
        <v>9.34</v>
      </c>
      <c r="G16" s="625">
        <v>9.58</v>
      </c>
      <c r="H16" s="625">
        <v>10</v>
      </c>
      <c r="I16" s="625">
        <v>10.46</v>
      </c>
      <c r="J16" s="625">
        <v>11.06</v>
      </c>
      <c r="K16" s="625">
        <v>12.19</v>
      </c>
      <c r="L16" s="625">
        <v>13.09</v>
      </c>
      <c r="M16" s="625">
        <v>13.97</v>
      </c>
    </row>
    <row r="17" spans="1:13" s="115" customFormat="1" ht="18.600000000000001" customHeight="1">
      <c r="A17" s="627">
        <v>26</v>
      </c>
      <c r="B17" s="610" t="s">
        <v>595</v>
      </c>
      <c r="C17" s="625">
        <v>8.85</v>
      </c>
      <c r="D17" s="625">
        <v>8.74</v>
      </c>
      <c r="E17" s="625">
        <v>8.83</v>
      </c>
      <c r="F17" s="625">
        <v>8.76</v>
      </c>
      <c r="G17" s="625">
        <v>8.81</v>
      </c>
      <c r="H17" s="625">
        <v>8.98</v>
      </c>
      <c r="I17" s="625">
        <v>9.2100000000000009</v>
      </c>
      <c r="J17" s="625">
        <v>9.32</v>
      </c>
      <c r="K17" s="625">
        <v>9.3800000000000008</v>
      </c>
      <c r="L17" s="625">
        <v>9.85</v>
      </c>
      <c r="M17" s="625">
        <v>10.29</v>
      </c>
    </row>
    <row r="18" spans="1:13" s="115" customFormat="1" ht="12.75" customHeight="1">
      <c r="A18" s="626">
        <v>3</v>
      </c>
      <c r="B18" s="621" t="s">
        <v>596</v>
      </c>
      <c r="C18" s="623">
        <v>6.96</v>
      </c>
      <c r="D18" s="623">
        <v>7.07</v>
      </c>
      <c r="E18" s="623">
        <v>7.12</v>
      </c>
      <c r="F18" s="623">
        <v>7.21</v>
      </c>
      <c r="G18" s="623">
        <v>7.34</v>
      </c>
      <c r="H18" s="623">
        <v>7.52</v>
      </c>
      <c r="I18" s="623">
        <v>7.69</v>
      </c>
      <c r="J18" s="623">
        <v>7.78</v>
      </c>
      <c r="K18" s="623">
        <v>8.17</v>
      </c>
      <c r="L18" s="623">
        <v>8.6999999999999993</v>
      </c>
      <c r="M18" s="623">
        <v>9.17</v>
      </c>
    </row>
    <row r="19" spans="1:13" s="115" customFormat="1" ht="21.75" customHeight="1">
      <c r="A19" s="627">
        <v>31</v>
      </c>
      <c r="B19" s="610" t="s">
        <v>597</v>
      </c>
      <c r="C19" s="625">
        <v>6.77</v>
      </c>
      <c r="D19" s="625">
        <v>6.88</v>
      </c>
      <c r="E19" s="625">
        <v>6.92</v>
      </c>
      <c r="F19" s="625">
        <v>7.01</v>
      </c>
      <c r="G19" s="625">
        <v>7.19</v>
      </c>
      <c r="H19" s="625">
        <v>7.43</v>
      </c>
      <c r="I19" s="625">
        <v>7.49</v>
      </c>
      <c r="J19" s="625">
        <v>7.49</v>
      </c>
      <c r="K19" s="625">
        <v>8.09</v>
      </c>
      <c r="L19" s="625">
        <v>8.67</v>
      </c>
      <c r="M19" s="625">
        <v>9.1300000000000008</v>
      </c>
    </row>
    <row r="20" spans="1:13" s="115" customFormat="1" ht="12.75" customHeight="1">
      <c r="A20" s="627">
        <v>32</v>
      </c>
      <c r="B20" s="610" t="s">
        <v>598</v>
      </c>
      <c r="C20" s="625">
        <v>5.21</v>
      </c>
      <c r="D20" s="625">
        <v>5.17</v>
      </c>
      <c r="E20" s="625">
        <v>5.23</v>
      </c>
      <c r="F20" s="625">
        <v>5.32</v>
      </c>
      <c r="G20" s="625">
        <v>5.39</v>
      </c>
      <c r="H20" s="625">
        <v>5.59</v>
      </c>
      <c r="I20" s="625">
        <v>5.73</v>
      </c>
      <c r="J20" s="625">
        <v>5.84</v>
      </c>
      <c r="K20" s="625">
        <v>6.07</v>
      </c>
      <c r="L20" s="625">
        <v>6.45</v>
      </c>
      <c r="M20" s="625">
        <v>6.91</v>
      </c>
    </row>
    <row r="21" spans="1:13" s="115" customFormat="1" ht="21.6" customHeight="1">
      <c r="A21" s="627">
        <v>33</v>
      </c>
      <c r="B21" s="610" t="s">
        <v>599</v>
      </c>
      <c r="C21" s="625">
        <v>7.43</v>
      </c>
      <c r="D21" s="625">
        <v>7.43</v>
      </c>
      <c r="E21" s="625">
        <v>7.46</v>
      </c>
      <c r="F21" s="625">
        <v>7.47</v>
      </c>
      <c r="G21" s="625">
        <v>7.58</v>
      </c>
      <c r="H21" s="625">
        <v>7.74</v>
      </c>
      <c r="I21" s="625">
        <v>7.93</v>
      </c>
      <c r="J21" s="625">
        <v>8.06</v>
      </c>
      <c r="K21" s="625">
        <v>8.3699999999999992</v>
      </c>
      <c r="L21" s="625">
        <v>8.85</v>
      </c>
      <c r="M21" s="625">
        <v>9.2899999999999991</v>
      </c>
    </row>
    <row r="22" spans="1:13" s="115" customFormat="1" ht="21.75" customHeight="1">
      <c r="A22" s="627">
        <v>34</v>
      </c>
      <c r="B22" s="610" t="s">
        <v>600</v>
      </c>
      <c r="C22" s="625">
        <v>8.7899999999999991</v>
      </c>
      <c r="D22" s="625">
        <v>10.06</v>
      </c>
      <c r="E22" s="625">
        <v>10.42</v>
      </c>
      <c r="F22" s="625">
        <v>11.02</v>
      </c>
      <c r="G22" s="625">
        <v>11.12</v>
      </c>
      <c r="H22" s="625">
        <v>11.49</v>
      </c>
      <c r="I22" s="625">
        <v>11.99</v>
      </c>
      <c r="J22" s="625">
        <v>12.22</v>
      </c>
      <c r="K22" s="625">
        <v>12.11</v>
      </c>
      <c r="L22" s="625">
        <v>13.07</v>
      </c>
      <c r="M22" s="625">
        <v>13.32</v>
      </c>
    </row>
    <row r="23" spans="1:13" s="115" customFormat="1" ht="12.75" customHeight="1">
      <c r="A23" s="627">
        <v>35</v>
      </c>
      <c r="B23" s="610" t="s">
        <v>601</v>
      </c>
      <c r="C23" s="625">
        <v>6.72</v>
      </c>
      <c r="D23" s="625">
        <v>6.75</v>
      </c>
      <c r="E23" s="625">
        <v>6.83</v>
      </c>
      <c r="F23" s="625">
        <v>7</v>
      </c>
      <c r="G23" s="625">
        <v>7.16</v>
      </c>
      <c r="H23" s="625">
        <v>7.07</v>
      </c>
      <c r="I23" s="625">
        <v>7.42</v>
      </c>
      <c r="J23" s="625">
        <v>7.59</v>
      </c>
      <c r="K23" s="625">
        <v>7.9</v>
      </c>
      <c r="L23" s="625">
        <v>8.4600000000000009</v>
      </c>
      <c r="M23" s="625">
        <v>9.1300000000000008</v>
      </c>
    </row>
    <row r="24" spans="1:13" s="115" customFormat="1" ht="12.75" customHeight="1">
      <c r="A24" s="626">
        <v>4</v>
      </c>
      <c r="B24" s="621" t="s">
        <v>602</v>
      </c>
      <c r="C24" s="623">
        <v>4.9400000000000004</v>
      </c>
      <c r="D24" s="623">
        <v>4.92</v>
      </c>
      <c r="E24" s="623">
        <v>4.95</v>
      </c>
      <c r="F24" s="623">
        <v>5.03</v>
      </c>
      <c r="G24" s="623">
        <v>5.14</v>
      </c>
      <c r="H24" s="623">
        <v>5.26</v>
      </c>
      <c r="I24" s="623">
        <v>5.45</v>
      </c>
      <c r="J24" s="623">
        <v>5.61</v>
      </c>
      <c r="K24" s="623">
        <v>5.81</v>
      </c>
      <c r="L24" s="623">
        <v>6.18</v>
      </c>
      <c r="M24" s="623">
        <v>6.56</v>
      </c>
    </row>
    <row r="25" spans="1:13" s="115" customFormat="1" ht="22.5" customHeight="1">
      <c r="A25" s="627">
        <v>41</v>
      </c>
      <c r="B25" s="610" t="s">
        <v>603</v>
      </c>
      <c r="C25" s="625">
        <v>5.0599999999999996</v>
      </c>
      <c r="D25" s="625">
        <v>5.07</v>
      </c>
      <c r="E25" s="625">
        <v>5.15</v>
      </c>
      <c r="F25" s="625">
        <v>5.26</v>
      </c>
      <c r="G25" s="625">
        <v>5.39</v>
      </c>
      <c r="H25" s="625">
        <v>5.57</v>
      </c>
      <c r="I25" s="625">
        <v>5.75</v>
      </c>
      <c r="J25" s="625">
        <v>5.94</v>
      </c>
      <c r="K25" s="625">
        <v>6.14</v>
      </c>
      <c r="L25" s="625">
        <v>6.57</v>
      </c>
      <c r="M25" s="625">
        <v>7.06</v>
      </c>
    </row>
    <row r="26" spans="1:13" s="115" customFormat="1" ht="12.75" customHeight="1">
      <c r="A26" s="627">
        <v>42</v>
      </c>
      <c r="B26" s="610" t="s">
        <v>604</v>
      </c>
      <c r="C26" s="625">
        <v>4.7300000000000004</v>
      </c>
      <c r="D26" s="625">
        <v>4.66</v>
      </c>
      <c r="E26" s="625">
        <v>4.67</v>
      </c>
      <c r="F26" s="625">
        <v>4.76</v>
      </c>
      <c r="G26" s="625">
        <v>4.84</v>
      </c>
      <c r="H26" s="625">
        <v>4.83</v>
      </c>
      <c r="I26" s="625">
        <v>5.04</v>
      </c>
      <c r="J26" s="625">
        <v>5.15</v>
      </c>
      <c r="K26" s="625">
        <v>5.34</v>
      </c>
      <c r="L26" s="625">
        <v>5.66</v>
      </c>
      <c r="M26" s="625">
        <v>6.03</v>
      </c>
    </row>
    <row r="27" spans="1:13" s="115" customFormat="1" ht="24.75" customHeight="1">
      <c r="A27" s="627">
        <v>43</v>
      </c>
      <c r="B27" s="610" t="s">
        <v>605</v>
      </c>
      <c r="C27" s="625">
        <v>4.82</v>
      </c>
      <c r="D27" s="625">
        <v>4.79</v>
      </c>
      <c r="E27" s="625">
        <v>4.82</v>
      </c>
      <c r="F27" s="625">
        <v>4.8600000000000003</v>
      </c>
      <c r="G27" s="625">
        <v>4.97</v>
      </c>
      <c r="H27" s="625">
        <v>5.0999999999999996</v>
      </c>
      <c r="I27" s="625">
        <v>5.29</v>
      </c>
      <c r="J27" s="625">
        <v>5.47</v>
      </c>
      <c r="K27" s="625">
        <v>5.68</v>
      </c>
      <c r="L27" s="625">
        <v>6.09</v>
      </c>
      <c r="M27" s="625">
        <v>6.31</v>
      </c>
    </row>
    <row r="28" spans="1:13" s="115" customFormat="1" ht="12.75" customHeight="1">
      <c r="A28" s="627">
        <v>44</v>
      </c>
      <c r="B28" s="610" t="s">
        <v>606</v>
      </c>
      <c r="C28" s="625">
        <v>5.25</v>
      </c>
      <c r="D28" s="625">
        <v>5.28</v>
      </c>
      <c r="E28" s="625">
        <v>5.25</v>
      </c>
      <c r="F28" s="625">
        <v>5.26</v>
      </c>
      <c r="G28" s="625">
        <v>5.36</v>
      </c>
      <c r="H28" s="625">
        <v>5.53</v>
      </c>
      <c r="I28" s="625">
        <v>5.67</v>
      </c>
      <c r="J28" s="625">
        <v>5.87</v>
      </c>
      <c r="K28" s="625">
        <v>6.1</v>
      </c>
      <c r="L28" s="625">
        <v>6.43</v>
      </c>
      <c r="M28" s="625">
        <v>6.82</v>
      </c>
    </row>
    <row r="29" spans="1:13" s="115" customFormat="1" ht="12.75" customHeight="1">
      <c r="A29" s="626">
        <v>5</v>
      </c>
      <c r="B29" s="612" t="s">
        <v>607</v>
      </c>
      <c r="C29" s="623">
        <v>3.7</v>
      </c>
      <c r="D29" s="623">
        <v>3.73</v>
      </c>
      <c r="E29" s="623">
        <v>3.81</v>
      </c>
      <c r="F29" s="623">
        <v>3.91</v>
      </c>
      <c r="G29" s="623">
        <v>4.04</v>
      </c>
      <c r="H29" s="623">
        <v>4.21</v>
      </c>
      <c r="I29" s="623">
        <v>4.3899999999999997</v>
      </c>
      <c r="J29" s="623">
        <v>4.54</v>
      </c>
      <c r="K29" s="623">
        <v>4.8099999999999996</v>
      </c>
      <c r="L29" s="623">
        <v>5.18</v>
      </c>
      <c r="M29" s="623">
        <v>5.57</v>
      </c>
    </row>
    <row r="30" spans="1:13" s="115" customFormat="1" ht="12.75" customHeight="1">
      <c r="A30" s="627">
        <v>51</v>
      </c>
      <c r="B30" s="610" t="s">
        <v>608</v>
      </c>
      <c r="C30" s="625">
        <v>3.64</v>
      </c>
      <c r="D30" s="625">
        <v>3.65</v>
      </c>
      <c r="E30" s="625">
        <v>3.74</v>
      </c>
      <c r="F30" s="625">
        <v>3.88</v>
      </c>
      <c r="G30" s="625">
        <v>4.04</v>
      </c>
      <c r="H30" s="625">
        <v>4.1900000000000004</v>
      </c>
      <c r="I30" s="625">
        <v>4.3499999999999996</v>
      </c>
      <c r="J30" s="625">
        <v>4.45</v>
      </c>
      <c r="K30" s="625">
        <v>4.79</v>
      </c>
      <c r="L30" s="625">
        <v>5.13</v>
      </c>
      <c r="M30" s="625">
        <v>5.54</v>
      </c>
    </row>
    <row r="31" spans="1:13" s="127" customFormat="1" ht="12.75" customHeight="1">
      <c r="A31" s="627">
        <v>52</v>
      </c>
      <c r="B31" s="610" t="s">
        <v>609</v>
      </c>
      <c r="C31" s="625">
        <v>3.82</v>
      </c>
      <c r="D31" s="625">
        <v>3.85</v>
      </c>
      <c r="E31" s="625">
        <v>3.94</v>
      </c>
      <c r="F31" s="625">
        <v>4.0199999999999996</v>
      </c>
      <c r="G31" s="625">
        <v>4.1399999999999997</v>
      </c>
      <c r="H31" s="625">
        <v>4.3</v>
      </c>
      <c r="I31" s="625">
        <v>4.5</v>
      </c>
      <c r="J31" s="625">
        <v>4.66</v>
      </c>
      <c r="K31" s="625">
        <v>4.9400000000000004</v>
      </c>
      <c r="L31" s="625">
        <v>5.33</v>
      </c>
      <c r="M31" s="625">
        <v>5.72</v>
      </c>
    </row>
    <row r="32" spans="1:13" s="115" customFormat="1" ht="12.75" customHeight="1">
      <c r="A32" s="627">
        <v>53</v>
      </c>
      <c r="B32" s="610" t="s">
        <v>610</v>
      </c>
      <c r="C32" s="625">
        <v>3.37</v>
      </c>
      <c r="D32" s="625">
        <v>3.4</v>
      </c>
      <c r="E32" s="625">
        <v>3.47</v>
      </c>
      <c r="F32" s="625">
        <v>3.59</v>
      </c>
      <c r="G32" s="625">
        <v>3.75</v>
      </c>
      <c r="H32" s="625">
        <v>3.89</v>
      </c>
      <c r="I32" s="625">
        <v>4.03</v>
      </c>
      <c r="J32" s="625">
        <v>4.22</v>
      </c>
      <c r="K32" s="625">
        <v>4.45</v>
      </c>
      <c r="L32" s="625">
        <v>4.84</v>
      </c>
      <c r="M32" s="625">
        <v>5.23</v>
      </c>
    </row>
    <row r="33" spans="1:13" s="115" customFormat="1" ht="12.75" customHeight="1">
      <c r="A33" s="627">
        <v>54</v>
      </c>
      <c r="B33" s="610" t="s">
        <v>611</v>
      </c>
      <c r="C33" s="625">
        <v>3.87</v>
      </c>
      <c r="D33" s="625">
        <v>3.92</v>
      </c>
      <c r="E33" s="625">
        <v>3.95</v>
      </c>
      <c r="F33" s="625">
        <v>3.97</v>
      </c>
      <c r="G33" s="625">
        <v>4.0599999999999996</v>
      </c>
      <c r="H33" s="625">
        <v>4.3499999999999996</v>
      </c>
      <c r="I33" s="625">
        <v>4.66</v>
      </c>
      <c r="J33" s="625">
        <v>4.72</v>
      </c>
      <c r="K33" s="625">
        <v>4.82</v>
      </c>
      <c r="L33" s="625">
        <v>5.16</v>
      </c>
      <c r="M33" s="625">
        <v>5.45</v>
      </c>
    </row>
    <row r="34" spans="1:13" s="115" customFormat="1" ht="16.5" customHeight="1">
      <c r="A34" s="600">
        <v>6</v>
      </c>
      <c r="B34" s="612" t="s">
        <v>612</v>
      </c>
      <c r="C34" s="623">
        <v>3.53</v>
      </c>
      <c r="D34" s="623">
        <v>3.64</v>
      </c>
      <c r="E34" s="623">
        <v>3.81</v>
      </c>
      <c r="F34" s="623">
        <v>3.85</v>
      </c>
      <c r="G34" s="623">
        <v>4.04</v>
      </c>
      <c r="H34" s="623">
        <v>4.24</v>
      </c>
      <c r="I34" s="623">
        <v>4.21</v>
      </c>
      <c r="J34" s="623">
        <v>4.41</v>
      </c>
      <c r="K34" s="623">
        <v>4.6900000000000004</v>
      </c>
      <c r="L34" s="623">
        <v>5</v>
      </c>
      <c r="M34" s="623">
        <v>5.48</v>
      </c>
    </row>
    <row r="35" spans="1:13" s="115" customFormat="1" ht="21.75" customHeight="1">
      <c r="A35" s="624">
        <v>61</v>
      </c>
      <c r="B35" s="610" t="s">
        <v>613</v>
      </c>
      <c r="C35" s="625">
        <v>3.44</v>
      </c>
      <c r="D35" s="625">
        <v>3.46</v>
      </c>
      <c r="E35" s="625">
        <v>3.57</v>
      </c>
      <c r="F35" s="625">
        <v>3.69</v>
      </c>
      <c r="G35" s="625">
        <v>3.82</v>
      </c>
      <c r="H35" s="625">
        <v>3.94</v>
      </c>
      <c r="I35" s="625">
        <v>4.09</v>
      </c>
      <c r="J35" s="625">
        <v>4.29</v>
      </c>
      <c r="K35" s="625">
        <v>4.57</v>
      </c>
      <c r="L35" s="625">
        <v>4.91</v>
      </c>
      <c r="M35" s="625">
        <v>5.26</v>
      </c>
    </row>
    <row r="36" spans="1:13" s="115" customFormat="1" ht="22.5" customHeight="1">
      <c r="A36" s="624">
        <v>62</v>
      </c>
      <c r="B36" s="610" t="s">
        <v>614</v>
      </c>
      <c r="C36" s="625">
        <v>3.91</v>
      </c>
      <c r="D36" s="625">
        <v>4.34</v>
      </c>
      <c r="E36" s="625">
        <v>4.78</v>
      </c>
      <c r="F36" s="625">
        <v>4.5</v>
      </c>
      <c r="G36" s="625">
        <v>4.99</v>
      </c>
      <c r="H36" s="625">
        <v>5.53</v>
      </c>
      <c r="I36" s="625">
        <v>4.7699999999999996</v>
      </c>
      <c r="J36" s="625">
        <v>5.03</v>
      </c>
      <c r="K36" s="625">
        <v>5.32</v>
      </c>
      <c r="L36" s="625">
        <v>5.45</v>
      </c>
      <c r="M36" s="625">
        <v>6.58</v>
      </c>
    </row>
    <row r="37" spans="1:13" s="115" customFormat="1" ht="12.75" customHeight="1">
      <c r="A37" s="600">
        <v>7</v>
      </c>
      <c r="B37" s="612" t="s">
        <v>615</v>
      </c>
      <c r="C37" s="623">
        <v>3.95</v>
      </c>
      <c r="D37" s="623">
        <v>3.99</v>
      </c>
      <c r="E37" s="623">
        <v>4.0599999999999996</v>
      </c>
      <c r="F37" s="623">
        <v>4.16</v>
      </c>
      <c r="G37" s="623">
        <v>4.3099999999999996</v>
      </c>
      <c r="H37" s="623">
        <v>4.46</v>
      </c>
      <c r="I37" s="623">
        <v>4.62</v>
      </c>
      <c r="J37" s="623">
        <v>4.8099999999999996</v>
      </c>
      <c r="K37" s="623">
        <v>5.0599999999999996</v>
      </c>
      <c r="L37" s="623">
        <v>5.41</v>
      </c>
      <c r="M37" s="623">
        <v>5.8</v>
      </c>
    </row>
    <row r="38" spans="1:13" s="115" customFormat="1" ht="12.75" customHeight="1">
      <c r="A38" s="624">
        <v>71</v>
      </c>
      <c r="B38" s="610" t="s">
        <v>616</v>
      </c>
      <c r="C38" s="625">
        <v>3.72</v>
      </c>
      <c r="D38" s="625">
        <v>3.76</v>
      </c>
      <c r="E38" s="625">
        <v>3.8</v>
      </c>
      <c r="F38" s="625">
        <v>3.86</v>
      </c>
      <c r="G38" s="625">
        <v>4</v>
      </c>
      <c r="H38" s="625">
        <v>4.1500000000000004</v>
      </c>
      <c r="I38" s="625">
        <v>4.32</v>
      </c>
      <c r="J38" s="625">
        <v>4.5599999999999996</v>
      </c>
      <c r="K38" s="625">
        <v>4.76</v>
      </c>
      <c r="L38" s="625">
        <v>5.1100000000000003</v>
      </c>
      <c r="M38" s="625">
        <v>5.53</v>
      </c>
    </row>
    <row r="39" spans="1:13" s="115" customFormat="1" ht="12.75" customHeight="1">
      <c r="A39" s="624">
        <v>72</v>
      </c>
      <c r="B39" s="610" t="s">
        <v>617</v>
      </c>
      <c r="C39" s="625">
        <v>4.49</v>
      </c>
      <c r="D39" s="625">
        <v>4.5199999999999996</v>
      </c>
      <c r="E39" s="625">
        <v>4.59</v>
      </c>
      <c r="F39" s="625">
        <v>4.71</v>
      </c>
      <c r="G39" s="625">
        <v>4.87</v>
      </c>
      <c r="H39" s="625">
        <v>5.03</v>
      </c>
      <c r="I39" s="625">
        <v>5.16</v>
      </c>
      <c r="J39" s="625">
        <v>5.31</v>
      </c>
      <c r="K39" s="625">
        <v>5.6</v>
      </c>
      <c r="L39" s="625">
        <v>5.96</v>
      </c>
      <c r="M39" s="625">
        <v>6.33</v>
      </c>
    </row>
    <row r="40" spans="1:13" s="115" customFormat="1" ht="23.25" customHeight="1">
      <c r="A40" s="624">
        <v>73</v>
      </c>
      <c r="B40" s="610" t="s">
        <v>618</v>
      </c>
      <c r="C40" s="625">
        <v>3.89</v>
      </c>
      <c r="D40" s="625">
        <v>3.92</v>
      </c>
      <c r="E40" s="625">
        <v>3.98</v>
      </c>
      <c r="F40" s="625">
        <v>4.09</v>
      </c>
      <c r="G40" s="625">
        <v>4.2</v>
      </c>
      <c r="H40" s="625">
        <v>4.26</v>
      </c>
      <c r="I40" s="625">
        <v>4.41</v>
      </c>
      <c r="J40" s="625">
        <v>4.62</v>
      </c>
      <c r="K40" s="625">
        <v>4.8</v>
      </c>
      <c r="L40" s="625">
        <v>5.16</v>
      </c>
      <c r="M40" s="625">
        <v>5.5</v>
      </c>
    </row>
    <row r="41" spans="1:13" s="237" customFormat="1" ht="12.75" customHeight="1">
      <c r="A41" s="624">
        <v>74</v>
      </c>
      <c r="B41" s="610" t="s">
        <v>619</v>
      </c>
      <c r="C41" s="625">
        <v>4.7300000000000004</v>
      </c>
      <c r="D41" s="625">
        <v>4.78</v>
      </c>
      <c r="E41" s="625">
        <v>4.8600000000000003</v>
      </c>
      <c r="F41" s="625">
        <v>4.93</v>
      </c>
      <c r="G41" s="625">
        <v>5.05</v>
      </c>
      <c r="H41" s="625">
        <v>5.18</v>
      </c>
      <c r="I41" s="625">
        <v>5.31</v>
      </c>
      <c r="J41" s="625">
        <v>5.48</v>
      </c>
      <c r="K41" s="625">
        <v>5.74</v>
      </c>
      <c r="L41" s="625">
        <v>6.07</v>
      </c>
      <c r="M41" s="625">
        <v>6.47</v>
      </c>
    </row>
    <row r="42" spans="1:13" s="237" customFormat="1" ht="22.5" customHeight="1">
      <c r="A42" s="624">
        <v>75</v>
      </c>
      <c r="B42" s="610" t="s">
        <v>620</v>
      </c>
      <c r="C42" s="625">
        <v>3.44</v>
      </c>
      <c r="D42" s="625">
        <v>3.48</v>
      </c>
      <c r="E42" s="625">
        <v>3.57</v>
      </c>
      <c r="F42" s="625">
        <v>3.71</v>
      </c>
      <c r="G42" s="625">
        <v>3.85</v>
      </c>
      <c r="H42" s="625">
        <v>4</v>
      </c>
      <c r="I42" s="625">
        <v>4.2</v>
      </c>
      <c r="J42" s="625">
        <v>4.37</v>
      </c>
      <c r="K42" s="625">
        <v>4.6399999999999997</v>
      </c>
      <c r="L42" s="625">
        <v>5</v>
      </c>
      <c r="M42" s="625">
        <v>5.35</v>
      </c>
    </row>
    <row r="43" spans="1:13" s="237" customFormat="1" ht="12.75" customHeight="1">
      <c r="A43" s="600">
        <v>8</v>
      </c>
      <c r="B43" s="612" t="s">
        <v>621</v>
      </c>
      <c r="C43" s="623">
        <v>3.74</v>
      </c>
      <c r="D43" s="623">
        <v>3.77</v>
      </c>
      <c r="E43" s="623">
        <v>3.84</v>
      </c>
      <c r="F43" s="623">
        <v>3.95</v>
      </c>
      <c r="G43" s="623">
        <v>4.1100000000000003</v>
      </c>
      <c r="H43" s="623">
        <v>4.28</v>
      </c>
      <c r="I43" s="623">
        <v>4.5</v>
      </c>
      <c r="J43" s="623">
        <v>4.67</v>
      </c>
      <c r="K43" s="623">
        <v>4.95</v>
      </c>
      <c r="L43" s="623">
        <v>5.33</v>
      </c>
      <c r="M43" s="623">
        <v>5.72</v>
      </c>
    </row>
    <row r="44" spans="1:13" s="237" customFormat="1" ht="12.75" customHeight="1">
      <c r="A44" s="624">
        <v>81</v>
      </c>
      <c r="B44" s="610" t="s">
        <v>622</v>
      </c>
      <c r="C44" s="625">
        <v>3.54</v>
      </c>
      <c r="D44" s="625">
        <v>3.59</v>
      </c>
      <c r="E44" s="625">
        <v>3.69</v>
      </c>
      <c r="F44" s="625">
        <v>3.83</v>
      </c>
      <c r="G44" s="625">
        <v>3.96</v>
      </c>
      <c r="H44" s="625">
        <v>4.12</v>
      </c>
      <c r="I44" s="625">
        <v>4.3099999999999996</v>
      </c>
      <c r="J44" s="625">
        <v>4.49</v>
      </c>
      <c r="K44" s="625">
        <v>4.75</v>
      </c>
      <c r="L44" s="625">
        <v>5.1100000000000003</v>
      </c>
      <c r="M44" s="625">
        <v>5.49</v>
      </c>
    </row>
    <row r="45" spans="1:13" s="237" customFormat="1" ht="12.75" customHeight="1">
      <c r="A45" s="624">
        <v>82</v>
      </c>
      <c r="B45" s="610" t="s">
        <v>623</v>
      </c>
      <c r="C45" s="625">
        <v>4.17</v>
      </c>
      <c r="D45" s="625">
        <v>4.21</v>
      </c>
      <c r="E45" s="625">
        <v>4.22</v>
      </c>
      <c r="F45" s="625">
        <v>4.3</v>
      </c>
      <c r="G45" s="625">
        <v>4.41</v>
      </c>
      <c r="H45" s="625">
        <v>4.58</v>
      </c>
      <c r="I45" s="625">
        <v>4.78</v>
      </c>
      <c r="J45" s="625">
        <v>4.79</v>
      </c>
      <c r="K45" s="625">
        <v>5.2</v>
      </c>
      <c r="L45" s="625">
        <v>5.55</v>
      </c>
      <c r="M45" s="625">
        <v>5.97</v>
      </c>
    </row>
    <row r="46" spans="1:13" s="237" customFormat="1" ht="12.75" customHeight="1">
      <c r="A46" s="624">
        <v>83</v>
      </c>
      <c r="B46" s="610" t="s">
        <v>624</v>
      </c>
      <c r="C46" s="625">
        <v>3.89</v>
      </c>
      <c r="D46" s="625">
        <v>3.9</v>
      </c>
      <c r="E46" s="625">
        <v>3.95</v>
      </c>
      <c r="F46" s="625">
        <v>4.0199999999999996</v>
      </c>
      <c r="G46" s="625">
        <v>4.22</v>
      </c>
      <c r="H46" s="625">
        <v>4.38</v>
      </c>
      <c r="I46" s="625">
        <v>4.63</v>
      </c>
      <c r="J46" s="625">
        <v>4.83</v>
      </c>
      <c r="K46" s="625">
        <v>5.1100000000000003</v>
      </c>
      <c r="L46" s="625">
        <v>5.51</v>
      </c>
      <c r="M46" s="625">
        <v>5.89</v>
      </c>
    </row>
    <row r="47" spans="1:13" s="237" customFormat="1" ht="12.75" customHeight="1">
      <c r="A47" s="600">
        <v>9</v>
      </c>
      <c r="B47" s="612" t="s">
        <v>625</v>
      </c>
      <c r="C47" s="623">
        <v>3.3</v>
      </c>
      <c r="D47" s="623">
        <v>3.34</v>
      </c>
      <c r="E47" s="623">
        <v>3.45</v>
      </c>
      <c r="F47" s="623">
        <v>3.59</v>
      </c>
      <c r="G47" s="623">
        <v>3.76</v>
      </c>
      <c r="H47" s="623">
        <v>3.92</v>
      </c>
      <c r="I47" s="623">
        <v>4.1100000000000003</v>
      </c>
      <c r="J47" s="623">
        <v>4.32</v>
      </c>
      <c r="K47" s="623">
        <v>4.5599999999999996</v>
      </c>
      <c r="L47" s="623">
        <v>4.8600000000000003</v>
      </c>
      <c r="M47" s="623">
        <v>5.12</v>
      </c>
    </row>
    <row r="48" spans="1:13" s="237" customFormat="1" ht="12.75" customHeight="1">
      <c r="A48" s="624">
        <v>91</v>
      </c>
      <c r="B48" s="610" t="s">
        <v>626</v>
      </c>
      <c r="C48" s="625">
        <v>3.12</v>
      </c>
      <c r="D48" s="625">
        <v>3.14</v>
      </c>
      <c r="E48" s="625">
        <v>3.25</v>
      </c>
      <c r="F48" s="625">
        <v>3.39</v>
      </c>
      <c r="G48" s="625">
        <v>3.53</v>
      </c>
      <c r="H48" s="625">
        <v>3.64</v>
      </c>
      <c r="I48" s="625">
        <v>3.84</v>
      </c>
      <c r="J48" s="625">
        <v>4</v>
      </c>
      <c r="K48" s="625">
        <v>4.24</v>
      </c>
      <c r="L48" s="625">
        <v>4.58</v>
      </c>
      <c r="M48" s="625">
        <v>4.93</v>
      </c>
    </row>
    <row r="49" spans="1:13" s="237" customFormat="1" ht="12.75" customHeight="1">
      <c r="A49" s="624">
        <v>92</v>
      </c>
      <c r="B49" s="610" t="s">
        <v>627</v>
      </c>
      <c r="C49" s="625">
        <v>3.2</v>
      </c>
      <c r="D49" s="625">
        <v>3.21</v>
      </c>
      <c r="E49" s="625">
        <v>3.31</v>
      </c>
      <c r="F49" s="625">
        <v>3.46</v>
      </c>
      <c r="G49" s="625">
        <v>3.62</v>
      </c>
      <c r="H49" s="625">
        <v>3.75</v>
      </c>
      <c r="I49" s="625">
        <v>3.93</v>
      </c>
      <c r="J49" s="625">
        <v>4.12</v>
      </c>
      <c r="K49" s="625">
        <v>4.33</v>
      </c>
      <c r="L49" s="625">
        <v>4.62</v>
      </c>
      <c r="M49" s="625">
        <v>4.9400000000000004</v>
      </c>
    </row>
    <row r="50" spans="1:13" s="237" customFormat="1" ht="12.75" customHeight="1">
      <c r="A50" s="624">
        <v>93</v>
      </c>
      <c r="B50" s="610" t="s">
        <v>628</v>
      </c>
      <c r="C50" s="625">
        <v>3.39</v>
      </c>
      <c r="D50" s="625">
        <v>3.39</v>
      </c>
      <c r="E50" s="625">
        <v>3.48</v>
      </c>
      <c r="F50" s="625">
        <v>3.61</v>
      </c>
      <c r="G50" s="625">
        <v>3.75</v>
      </c>
      <c r="H50" s="625">
        <v>3.9</v>
      </c>
      <c r="I50" s="625">
        <v>4.08</v>
      </c>
      <c r="J50" s="625">
        <v>4.26</v>
      </c>
      <c r="K50" s="625">
        <v>4.47</v>
      </c>
      <c r="L50" s="625">
        <v>4.78</v>
      </c>
      <c r="M50" s="625">
        <v>5.13</v>
      </c>
    </row>
    <row r="51" spans="1:13" s="237" customFormat="1" ht="12.75" customHeight="1">
      <c r="A51" s="624">
        <v>94</v>
      </c>
      <c r="B51" s="610" t="s">
        <v>629</v>
      </c>
      <c r="C51" s="625">
        <v>3.13</v>
      </c>
      <c r="D51" s="625">
        <v>3.15</v>
      </c>
      <c r="E51" s="625">
        <v>3.25</v>
      </c>
      <c r="F51" s="625">
        <v>3.41</v>
      </c>
      <c r="G51" s="625">
        <v>3.55</v>
      </c>
      <c r="H51" s="625">
        <v>3.68</v>
      </c>
      <c r="I51" s="625">
        <v>3.87</v>
      </c>
      <c r="J51" s="625">
        <v>4.03</v>
      </c>
      <c r="K51" s="625">
        <v>4.28</v>
      </c>
      <c r="L51" s="625">
        <v>4.58</v>
      </c>
      <c r="M51" s="625">
        <v>4.93</v>
      </c>
    </row>
    <row r="52" spans="1:13" s="237" customFormat="1" ht="12.75" customHeight="1">
      <c r="A52" s="624">
        <v>95</v>
      </c>
      <c r="B52" s="610" t="s">
        <v>630</v>
      </c>
      <c r="C52" s="625">
        <v>4.12</v>
      </c>
      <c r="D52" s="625">
        <v>4.25</v>
      </c>
      <c r="E52" s="625">
        <v>4.38</v>
      </c>
      <c r="F52" s="625">
        <v>4.55</v>
      </c>
      <c r="G52" s="625">
        <v>4.63</v>
      </c>
      <c r="H52" s="625">
        <v>4.79</v>
      </c>
      <c r="I52" s="625">
        <v>5.0599999999999996</v>
      </c>
      <c r="J52" s="625">
        <v>5.26</v>
      </c>
      <c r="K52" s="625">
        <v>5.73</v>
      </c>
      <c r="L52" s="625">
        <v>5.97</v>
      </c>
      <c r="M52" s="625">
        <v>6.36</v>
      </c>
    </row>
    <row r="53" spans="1:13" s="237" customFormat="1" ht="12.75" customHeight="1">
      <c r="A53" s="624">
        <v>96</v>
      </c>
      <c r="B53" s="610" t="s">
        <v>631</v>
      </c>
      <c r="C53" s="625">
        <v>3.58</v>
      </c>
      <c r="D53" s="625">
        <v>3.66</v>
      </c>
      <c r="E53" s="625">
        <v>3.76</v>
      </c>
      <c r="F53" s="625">
        <v>3.91</v>
      </c>
      <c r="G53" s="625">
        <v>4.1399999999999997</v>
      </c>
      <c r="H53" s="625">
        <v>4.3600000000000003</v>
      </c>
      <c r="I53" s="625">
        <v>4.5599999999999996</v>
      </c>
      <c r="J53" s="625">
        <v>4.82</v>
      </c>
      <c r="K53" s="625">
        <v>5.14</v>
      </c>
      <c r="L53" s="625">
        <v>5.45</v>
      </c>
      <c r="M53" s="625">
        <v>5.48</v>
      </c>
    </row>
    <row r="54" spans="1:13" s="237" customFormat="1" ht="12.75" customHeight="1">
      <c r="A54" s="35" t="s">
        <v>632</v>
      </c>
      <c r="B54" s="706"/>
      <c r="C54" s="765">
        <v>9.48</v>
      </c>
      <c r="D54" s="765">
        <v>11.05</v>
      </c>
      <c r="E54" s="765">
        <v>10.43</v>
      </c>
      <c r="F54" s="765">
        <v>11.29</v>
      </c>
      <c r="G54" s="765">
        <v>9.69</v>
      </c>
      <c r="H54" s="765">
        <v>11.13</v>
      </c>
      <c r="I54" s="765">
        <v>12</v>
      </c>
      <c r="J54" s="765">
        <v>12.53</v>
      </c>
      <c r="K54" s="765">
        <v>13.29</v>
      </c>
      <c r="L54" s="765">
        <v>16.690000000000001</v>
      </c>
      <c r="M54" s="765">
        <v>18.2</v>
      </c>
    </row>
    <row r="55" spans="1:13" s="237" customFormat="1" ht="15" customHeight="1">
      <c r="A55" s="19" t="s">
        <v>769</v>
      </c>
      <c r="B55" s="613"/>
      <c r="C55" s="95"/>
      <c r="D55" s="95"/>
      <c r="E55" s="96"/>
      <c r="F55" s="96"/>
      <c r="G55" s="96"/>
      <c r="H55" s="96"/>
      <c r="I55" s="96"/>
      <c r="J55" s="96"/>
      <c r="K55" s="96"/>
      <c r="L55" s="96"/>
      <c r="M55" s="96"/>
    </row>
    <row r="56" spans="1:13" ht="10.5" customHeight="1">
      <c r="B56" s="999" t="s">
        <v>647</v>
      </c>
      <c r="C56" s="999"/>
      <c r="D56" s="999"/>
      <c r="E56" s="999"/>
      <c r="F56" s="999"/>
      <c r="G56" s="999"/>
      <c r="H56" s="999"/>
      <c r="I56" s="999"/>
      <c r="J56" s="999"/>
      <c r="K56" s="999"/>
      <c r="L56" s="999"/>
      <c r="M56" s="592"/>
    </row>
    <row r="57" spans="1:13" ht="15" customHeight="1">
      <c r="B57" s="205"/>
    </row>
  </sheetData>
  <mergeCells count="2">
    <mergeCell ref="A1:M1"/>
    <mergeCell ref="B56:L56"/>
  </mergeCells>
  <conditionalFormatting sqref="A1 A56:B56 E55 A2:C3 B55 B4:C4 A57:C1048576 A5:A6 N1:XFD1048576">
    <cfRule type="cellIs" dxfId="666" priority="38" operator="equal">
      <formula>0</formula>
    </cfRule>
  </conditionalFormatting>
  <conditionalFormatting sqref="C55">
    <cfRule type="cellIs" dxfId="665" priority="37" operator="equal">
      <formula>0</formula>
    </cfRule>
  </conditionalFormatting>
  <conditionalFormatting sqref="E2:E4 E57:E1048576 F4:G4">
    <cfRule type="cellIs" dxfId="664" priority="35" operator="equal">
      <formula>0</formula>
    </cfRule>
  </conditionalFormatting>
  <conditionalFormatting sqref="D2:D4 D57:D1048576">
    <cfRule type="cellIs" dxfId="663" priority="34" operator="equal">
      <formula>0</formula>
    </cfRule>
  </conditionalFormatting>
  <conditionalFormatting sqref="D55">
    <cfRule type="cellIs" dxfId="662" priority="33" operator="equal">
      <formula>0</formula>
    </cfRule>
  </conditionalFormatting>
  <conditionalFormatting sqref="G55">
    <cfRule type="cellIs" dxfId="661" priority="32" operator="equal">
      <formula>0</formula>
    </cfRule>
  </conditionalFormatting>
  <conditionalFormatting sqref="G2:G3 G57:G1048576">
    <cfRule type="cellIs" dxfId="660" priority="31" operator="equal">
      <formula>0</formula>
    </cfRule>
  </conditionalFormatting>
  <conditionalFormatting sqref="F55">
    <cfRule type="cellIs" dxfId="659" priority="30" operator="equal">
      <formula>0</formula>
    </cfRule>
  </conditionalFormatting>
  <conditionalFormatting sqref="F2:F3 F57:F1048576">
    <cfRule type="cellIs" dxfId="658" priority="29" operator="equal">
      <formula>0</formula>
    </cfRule>
  </conditionalFormatting>
  <conditionalFormatting sqref="H4">
    <cfRule type="cellIs" dxfId="657" priority="28" operator="equal">
      <formula>0</formula>
    </cfRule>
  </conditionalFormatting>
  <conditionalFormatting sqref="I2:I3 I57:I1048576">
    <cfRule type="cellIs" dxfId="656" priority="23" operator="equal">
      <formula>0</formula>
    </cfRule>
  </conditionalFormatting>
  <conditionalFormatting sqref="H55">
    <cfRule type="cellIs" dxfId="655" priority="27" operator="equal">
      <formula>0</formula>
    </cfRule>
  </conditionalFormatting>
  <conditionalFormatting sqref="H2:H3 H57:H1048576">
    <cfRule type="cellIs" dxfId="654" priority="26" operator="equal">
      <formula>0</formula>
    </cfRule>
  </conditionalFormatting>
  <conditionalFormatting sqref="I4">
    <cfRule type="cellIs" dxfId="653" priority="25" operator="equal">
      <formula>0</formula>
    </cfRule>
  </conditionalFormatting>
  <conditionalFormatting sqref="J4">
    <cfRule type="cellIs" dxfId="652" priority="22" operator="equal">
      <formula>0</formula>
    </cfRule>
  </conditionalFormatting>
  <conditionalFormatting sqref="I55">
    <cfRule type="cellIs" dxfId="651" priority="24" operator="equal">
      <formula>0</formula>
    </cfRule>
  </conditionalFormatting>
  <conditionalFormatting sqref="K55">
    <cfRule type="cellIs" dxfId="650" priority="18" operator="equal">
      <formula>0</formula>
    </cfRule>
  </conditionalFormatting>
  <conditionalFormatting sqref="K2:K3 K57:K1048576">
    <cfRule type="cellIs" dxfId="649" priority="17" operator="equal">
      <formula>0</formula>
    </cfRule>
  </conditionalFormatting>
  <conditionalFormatting sqref="J55">
    <cfRule type="cellIs" dxfId="648" priority="21" operator="equal">
      <formula>0</formula>
    </cfRule>
  </conditionalFormatting>
  <conditionalFormatting sqref="J2:J3 J57:J1048576">
    <cfRule type="cellIs" dxfId="647" priority="20" operator="equal">
      <formula>0</formula>
    </cfRule>
  </conditionalFormatting>
  <conditionalFormatting sqref="K4">
    <cfRule type="cellIs" dxfId="646" priority="19" operator="equal">
      <formula>0</formula>
    </cfRule>
  </conditionalFormatting>
  <conditionalFormatting sqref="L2:L3 L57:L1048576">
    <cfRule type="cellIs" dxfId="645" priority="14" operator="equal">
      <formula>0</formula>
    </cfRule>
  </conditionalFormatting>
  <conditionalFormatting sqref="L4">
    <cfRule type="cellIs" dxfId="644" priority="16" operator="equal">
      <formula>0</formula>
    </cfRule>
  </conditionalFormatting>
  <conditionalFormatting sqref="M55">
    <cfRule type="cellIs" dxfId="643" priority="11" operator="equal">
      <formula>0</formula>
    </cfRule>
  </conditionalFormatting>
  <conditionalFormatting sqref="L55">
    <cfRule type="cellIs" dxfId="642" priority="15" operator="equal">
      <formula>0</formula>
    </cfRule>
  </conditionalFormatting>
  <conditionalFormatting sqref="M4">
    <cfRule type="cellIs" dxfId="641" priority="12" operator="equal">
      <formula>0</formula>
    </cfRule>
  </conditionalFormatting>
  <conditionalFormatting sqref="M2:M3 M57:M1048576">
    <cfRule type="cellIs" dxfId="640" priority="10" operator="equal">
      <formula>0</formula>
    </cfRule>
  </conditionalFormatting>
  <conditionalFormatting sqref="A4">
    <cfRule type="cellIs" dxfId="639" priority="13" operator="equal">
      <formula>0</formula>
    </cfRule>
  </conditionalFormatting>
  <conditionalFormatting sqref="C7:G53 B5:L6 C54:L54">
    <cfRule type="cellIs" dxfId="638" priority="9" operator="equal">
      <formula>0</formula>
    </cfRule>
  </conditionalFormatting>
  <conditionalFormatting sqref="H7:H53">
    <cfRule type="cellIs" dxfId="637" priority="8" operator="equal">
      <formula>0</formula>
    </cfRule>
  </conditionalFormatting>
  <conditionalFormatting sqref="I7:I53">
    <cfRule type="cellIs" dxfId="636" priority="7" operator="equal">
      <formula>0</formula>
    </cfRule>
  </conditionalFormatting>
  <conditionalFormatting sqref="J7:J53">
    <cfRule type="cellIs" dxfId="635" priority="6" operator="equal">
      <formula>0</formula>
    </cfRule>
  </conditionalFormatting>
  <conditionalFormatting sqref="K7:K53">
    <cfRule type="cellIs" dxfId="634" priority="5" operator="equal">
      <formula>0</formula>
    </cfRule>
  </conditionalFormatting>
  <conditionalFormatting sqref="L7:L53">
    <cfRule type="cellIs" dxfId="633" priority="4" operator="equal">
      <formula>0</formula>
    </cfRule>
  </conditionalFormatting>
  <conditionalFormatting sqref="M5:M6 M54">
    <cfRule type="cellIs" dxfId="632" priority="3" operator="equal">
      <formula>0</formula>
    </cfRule>
  </conditionalFormatting>
  <conditionalFormatting sqref="M7:M53">
    <cfRule type="cellIs" dxfId="631" priority="2" operator="equal">
      <formula>0</formula>
    </cfRule>
  </conditionalFormatting>
  <conditionalFormatting sqref="A55">
    <cfRule type="cellIs" dxfId="630"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75" orientation="portrait" r:id="rId1"/>
  <headerFooter>
    <oddHeader>&amp;C&amp;G</oddHeader>
  </headerFooter>
  <drawing r:id="rId2"/>
  <legacyDrawingHF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25">
    <tabColor indexed="26"/>
    <pageSetUpPr fitToPage="1"/>
  </sheetPr>
  <dimension ref="A1:P19"/>
  <sheetViews>
    <sheetView showGridLines="0" workbookViewId="0">
      <selection activeCell="Y70" sqref="Y70"/>
    </sheetView>
  </sheetViews>
  <sheetFormatPr defaultColWidth="9.140625" defaultRowHeight="15" customHeight="1"/>
  <cols>
    <col min="1" max="1" width="30.7109375" style="6" customWidth="1"/>
    <col min="2" max="12" width="6.28515625" style="6" customWidth="1"/>
    <col min="13" max="13" width="9.140625" style="6"/>
    <col min="14" max="14" width="9.140625" style="6" customWidth="1"/>
    <col min="15" max="16384" width="9.140625" style="6"/>
  </cols>
  <sheetData>
    <row r="1" spans="1:16" s="224" customFormat="1" ht="28.5" customHeight="1">
      <c r="A1" s="997" t="s">
        <v>650</v>
      </c>
      <c r="B1" s="997"/>
      <c r="C1" s="997"/>
      <c r="D1" s="997"/>
      <c r="E1" s="997"/>
      <c r="F1" s="997"/>
      <c r="G1" s="997"/>
      <c r="H1" s="997"/>
      <c r="I1" s="997"/>
      <c r="J1" s="997"/>
      <c r="K1" s="997"/>
      <c r="L1" s="997"/>
    </row>
    <row r="2" spans="1:16" s="227" customFormat="1" ht="15" customHeight="1">
      <c r="A2" s="226"/>
      <c r="B2" s="226"/>
      <c r="C2" s="226"/>
      <c r="D2" s="226"/>
      <c r="E2" s="226"/>
      <c r="F2" s="226"/>
      <c r="G2" s="226"/>
      <c r="H2" s="226"/>
      <c r="I2" s="226"/>
      <c r="J2" s="226"/>
      <c r="K2" s="226"/>
      <c r="L2" s="226"/>
    </row>
    <row r="3" spans="1:16" s="227" customFormat="1" ht="15" customHeight="1">
      <c r="A3" s="226" t="s">
        <v>13</v>
      </c>
      <c r="B3" s="223"/>
      <c r="D3" s="223"/>
      <c r="E3" s="223"/>
      <c r="F3" s="223"/>
      <c r="G3" s="306"/>
      <c r="H3" s="223"/>
      <c r="I3" s="308"/>
      <c r="J3" s="360"/>
      <c r="K3" s="360"/>
      <c r="L3" s="360" t="s">
        <v>67</v>
      </c>
    </row>
    <row r="4" spans="1:16" s="230" customFormat="1" ht="28.5" customHeight="1" thickBot="1">
      <c r="A4" s="104"/>
      <c r="B4" s="229">
        <v>2014</v>
      </c>
      <c r="C4" s="229">
        <v>2015</v>
      </c>
      <c r="D4" s="229">
        <v>2016</v>
      </c>
      <c r="E4" s="229">
        <v>2017</v>
      </c>
      <c r="F4" s="229">
        <v>2018</v>
      </c>
      <c r="G4" s="229">
        <v>2019</v>
      </c>
      <c r="H4" s="229">
        <v>2020</v>
      </c>
      <c r="I4" s="229">
        <v>2021</v>
      </c>
      <c r="J4" s="229">
        <v>2022</v>
      </c>
      <c r="K4" s="229">
        <v>2023</v>
      </c>
      <c r="L4" s="229">
        <v>2024</v>
      </c>
    </row>
    <row r="5" spans="1:16" s="230" customFormat="1" ht="15" customHeight="1" thickTop="1">
      <c r="A5" s="375" t="s">
        <v>11</v>
      </c>
      <c r="B5" s="376">
        <v>909.49</v>
      </c>
      <c r="C5" s="376">
        <v>913.93</v>
      </c>
      <c r="D5" s="376">
        <v>924.94</v>
      </c>
      <c r="E5" s="376">
        <v>943</v>
      </c>
      <c r="F5" s="376">
        <v>970.42</v>
      </c>
      <c r="G5" s="376">
        <v>1005.09</v>
      </c>
      <c r="H5" s="376">
        <v>1041.99</v>
      </c>
      <c r="I5" s="376">
        <v>1082.77</v>
      </c>
      <c r="J5" s="376">
        <v>1143.45</v>
      </c>
      <c r="K5" s="376">
        <v>1219.8699999999999</v>
      </c>
      <c r="L5" s="376">
        <v>1308.96</v>
      </c>
    </row>
    <row r="6" spans="1:16" s="227" customFormat="1" ht="15" customHeight="1">
      <c r="A6" s="273" t="s">
        <v>125</v>
      </c>
      <c r="B6" s="356">
        <v>814.02</v>
      </c>
      <c r="C6" s="356">
        <v>822.04</v>
      </c>
      <c r="D6" s="356">
        <v>834.1</v>
      </c>
      <c r="E6" s="356">
        <v>851.63</v>
      </c>
      <c r="F6" s="356">
        <v>878.73</v>
      </c>
      <c r="G6" s="356">
        <v>910.7</v>
      </c>
      <c r="H6" s="356">
        <v>946.93</v>
      </c>
      <c r="I6" s="356">
        <v>985.26</v>
      </c>
      <c r="J6" s="356">
        <v>1034.9100000000001</v>
      </c>
      <c r="K6" s="356">
        <v>1104.8399999999999</v>
      </c>
      <c r="L6" s="356">
        <v>1180.44</v>
      </c>
      <c r="N6" s="561">
        <f>+L6/$L$5*100</f>
        <v>90.181518151815183</v>
      </c>
      <c r="O6" s="561">
        <f>+B6/$B$5*100</f>
        <v>89.502908223289964</v>
      </c>
      <c r="P6" s="561">
        <f>+N6-O6</f>
        <v>0.67860992852521917</v>
      </c>
    </row>
    <row r="7" spans="1:16" s="227" customFormat="1" ht="15" customHeight="1">
      <c r="A7" s="273" t="s">
        <v>126</v>
      </c>
      <c r="B7" s="356">
        <v>1355.5</v>
      </c>
      <c r="C7" s="356">
        <v>1369.22</v>
      </c>
      <c r="D7" s="356">
        <v>1380.34</v>
      </c>
      <c r="E7" s="356">
        <v>1384.89</v>
      </c>
      <c r="F7" s="356">
        <v>1383.1</v>
      </c>
      <c r="G7" s="356">
        <v>1377.83</v>
      </c>
      <c r="H7" s="356">
        <v>1398.04</v>
      </c>
      <c r="I7" s="356">
        <v>1401.27</v>
      </c>
      <c r="J7" s="356">
        <v>1434.7</v>
      </c>
      <c r="K7" s="356">
        <v>1540.55</v>
      </c>
      <c r="L7" s="356">
        <v>1675.48</v>
      </c>
      <c r="N7" s="561">
        <f t="shared" ref="N7:N10" si="0">+L7/$L$5*100</f>
        <v>128.00085564111967</v>
      </c>
      <c r="O7" s="561">
        <f t="shared" ref="O7:O10" si="1">+B7/$B$5*100</f>
        <v>149.03957162805528</v>
      </c>
      <c r="P7" s="561">
        <f t="shared" ref="P7:P10" si="2">+N7-O7</f>
        <v>-21.038715986935614</v>
      </c>
    </row>
    <row r="8" spans="1:16" s="227" customFormat="1" ht="15" customHeight="1">
      <c r="A8" s="273" t="s">
        <v>142</v>
      </c>
      <c r="B8" s="356">
        <v>972.19</v>
      </c>
      <c r="C8" s="356">
        <v>967.53</v>
      </c>
      <c r="D8" s="356">
        <v>971.01</v>
      </c>
      <c r="E8" s="356">
        <v>992.05</v>
      </c>
      <c r="F8" s="356">
        <v>1032.1099999999999</v>
      </c>
      <c r="G8" s="356">
        <v>1074.6099999999999</v>
      </c>
      <c r="H8" s="356">
        <v>1119.8599999999999</v>
      </c>
      <c r="I8" s="356">
        <v>1179.75</v>
      </c>
      <c r="J8" s="356">
        <v>1261.6500000000001</v>
      </c>
      <c r="K8" s="356">
        <v>1353.7</v>
      </c>
      <c r="L8" s="356">
        <v>1439.19</v>
      </c>
      <c r="N8" s="561">
        <f t="shared" si="0"/>
        <v>109.9491199119912</v>
      </c>
      <c r="O8" s="561">
        <f t="shared" si="1"/>
        <v>106.89397354561348</v>
      </c>
      <c r="P8" s="561">
        <f t="shared" si="2"/>
        <v>3.055146366377727</v>
      </c>
    </row>
    <row r="9" spans="1:16" s="227" customFormat="1" ht="15" customHeight="1">
      <c r="A9" s="273" t="s">
        <v>43</v>
      </c>
      <c r="B9" s="356">
        <v>1444.7</v>
      </c>
      <c r="C9" s="356">
        <v>1449</v>
      </c>
      <c r="D9" s="356">
        <v>1443.02</v>
      </c>
      <c r="E9" s="356">
        <v>1460.94</v>
      </c>
      <c r="F9" s="356">
        <v>1499.23</v>
      </c>
      <c r="G9" s="356">
        <v>1520.65</v>
      </c>
      <c r="H9" s="356">
        <v>1451.9</v>
      </c>
      <c r="I9" s="356">
        <v>1476.86</v>
      </c>
      <c r="J9" s="356">
        <v>1594.67</v>
      </c>
      <c r="K9" s="356">
        <v>1672.43</v>
      </c>
      <c r="L9" s="356">
        <v>1750.46</v>
      </c>
      <c r="N9" s="561">
        <f t="shared" si="0"/>
        <v>133.72906735117957</v>
      </c>
      <c r="O9" s="561">
        <f t="shared" si="1"/>
        <v>158.84726605020396</v>
      </c>
      <c r="P9" s="561">
        <f t="shared" si="2"/>
        <v>-25.11819869902439</v>
      </c>
    </row>
    <row r="10" spans="1:16" s="227" customFormat="1" ht="15" customHeight="1">
      <c r="A10" s="274" t="s">
        <v>198</v>
      </c>
      <c r="B10" s="357">
        <v>1121.4000000000001</v>
      </c>
      <c r="C10" s="357">
        <v>1104.3499999999999</v>
      </c>
      <c r="D10" s="357">
        <v>1107.47</v>
      </c>
      <c r="E10" s="357">
        <v>1109.81</v>
      </c>
      <c r="F10" s="357">
        <v>1145.6199999999999</v>
      </c>
      <c r="G10" s="357">
        <v>1184.1099999999999</v>
      </c>
      <c r="H10" s="357">
        <v>1211.97</v>
      </c>
      <c r="I10" s="357">
        <v>1273.56</v>
      </c>
      <c r="J10" s="357">
        <v>1356.61</v>
      </c>
      <c r="K10" s="357">
        <v>1446.74</v>
      </c>
      <c r="L10" s="357">
        <v>1568.84</v>
      </c>
      <c r="N10" s="561">
        <f t="shared" si="0"/>
        <v>119.85392983742817</v>
      </c>
      <c r="O10" s="561">
        <f t="shared" si="1"/>
        <v>123.29987135647451</v>
      </c>
      <c r="P10" s="561">
        <f t="shared" si="2"/>
        <v>-3.4459415190463432</v>
      </c>
    </row>
    <row r="11" spans="1:16" s="232" customFormat="1" ht="15" customHeight="1">
      <c r="A11" s="19" t="s">
        <v>769</v>
      </c>
      <c r="B11" s="282"/>
      <c r="C11" s="283"/>
      <c r="D11" s="283"/>
      <c r="E11" s="283"/>
      <c r="F11" s="283"/>
      <c r="G11" s="283"/>
      <c r="H11" s="283"/>
      <c r="I11" s="283"/>
      <c r="J11" s="283"/>
      <c r="K11" s="283"/>
      <c r="L11" s="283"/>
    </row>
    <row r="12" spans="1:16" s="232" customFormat="1" ht="15" customHeight="1">
      <c r="A12" s="1000" t="s">
        <v>132</v>
      </c>
      <c r="B12" s="1000"/>
      <c r="C12" s="1000"/>
      <c r="D12" s="1000"/>
      <c r="E12" s="1000"/>
      <c r="F12" s="1000"/>
      <c r="G12" s="1000"/>
      <c r="H12" s="1000"/>
      <c r="I12" s="1000"/>
      <c r="J12" s="1000"/>
      <c r="K12" s="1000"/>
      <c r="L12" s="1000"/>
    </row>
    <row r="13" spans="1:16" s="232" customFormat="1" ht="15" customHeight="1">
      <c r="A13" s="1000" t="s">
        <v>133</v>
      </c>
      <c r="B13" s="1000"/>
      <c r="C13" s="1000"/>
      <c r="D13" s="1000"/>
      <c r="E13" s="1000"/>
      <c r="F13" s="1000"/>
      <c r="G13" s="1000"/>
      <c r="H13" s="1000"/>
      <c r="I13" s="1000"/>
      <c r="J13" s="1000"/>
      <c r="K13" s="1000"/>
      <c r="L13" s="1000"/>
    </row>
    <row r="14" spans="1:16" s="232" customFormat="1" ht="24" customHeight="1">
      <c r="A14" s="1000" t="s">
        <v>200</v>
      </c>
      <c r="B14" s="1000"/>
      <c r="C14" s="1000"/>
      <c r="D14" s="1000"/>
      <c r="E14" s="1000"/>
      <c r="F14" s="1000"/>
      <c r="G14" s="1000"/>
      <c r="H14" s="1000"/>
      <c r="I14" s="1000"/>
      <c r="J14" s="1000"/>
      <c r="K14" s="1000"/>
      <c r="L14" s="1000"/>
    </row>
    <row r="15" spans="1:16" ht="15" customHeight="1">
      <c r="N15" s="222"/>
    </row>
    <row r="16" spans="1:16" ht="15" customHeight="1">
      <c r="N16" s="222"/>
    </row>
    <row r="17" spans="14:14" ht="15" customHeight="1">
      <c r="N17" s="222"/>
    </row>
    <row r="18" spans="14:14" ht="15" customHeight="1">
      <c r="N18" s="222"/>
    </row>
    <row r="19" spans="14:14" ht="15" customHeight="1">
      <c r="N19" s="222"/>
    </row>
  </sheetData>
  <mergeCells count="4">
    <mergeCell ref="A1:L1"/>
    <mergeCell ref="A12:L12"/>
    <mergeCell ref="A13:L13"/>
    <mergeCell ref="A14:L14"/>
  </mergeCells>
  <conditionalFormatting sqref="D3 A1 A4:A10 F15 F21:F1048576 H21:H1048576 H15 A2:C2 A3:B3 B4:C4 B11:C11 B5:K5 A12:A1048576 B6:E9 B10:K10 B15:E1048576 M1:XFD5 M11:XFD1048576 M6:M10 Q6:XFD10">
    <cfRule type="cellIs" dxfId="629" priority="60" operator="equal">
      <formula>0</formula>
    </cfRule>
  </conditionalFormatting>
  <conditionalFormatting sqref="D2 D4 D11">
    <cfRule type="cellIs" dxfId="628" priority="59" operator="equal">
      <formula>0</formula>
    </cfRule>
  </conditionalFormatting>
  <conditionalFormatting sqref="E3">
    <cfRule type="cellIs" dxfId="627" priority="57" operator="equal">
      <formula>0</formula>
    </cfRule>
  </conditionalFormatting>
  <conditionalFormatting sqref="E2 E4 E11">
    <cfRule type="cellIs" dxfId="626" priority="56" operator="equal">
      <formula>0</formula>
    </cfRule>
  </conditionalFormatting>
  <conditionalFormatting sqref="H3">
    <cfRule type="cellIs" dxfId="625" priority="55" operator="equal">
      <formula>0</formula>
    </cfRule>
  </conditionalFormatting>
  <conditionalFormatting sqref="H2 H11">
    <cfRule type="cellIs" dxfId="624" priority="54" operator="equal">
      <formula>0</formula>
    </cfRule>
  </conditionalFormatting>
  <conditionalFormatting sqref="F7:H7">
    <cfRule type="cellIs" dxfId="623" priority="53" operator="equal">
      <formula>0</formula>
    </cfRule>
  </conditionalFormatting>
  <conditionalFormatting sqref="F3">
    <cfRule type="cellIs" dxfId="622" priority="52" operator="equal">
      <formula>0</formula>
    </cfRule>
  </conditionalFormatting>
  <conditionalFormatting sqref="F2 F11 F4:H4">
    <cfRule type="cellIs" dxfId="621" priority="51" operator="equal">
      <formula>0</formula>
    </cfRule>
  </conditionalFormatting>
  <conditionalFormatting sqref="F6:H6 F8:H9">
    <cfRule type="cellIs" dxfId="620" priority="50" operator="equal">
      <formula>0</formula>
    </cfRule>
  </conditionalFormatting>
  <conditionalFormatting sqref="G21:G1048576 G15">
    <cfRule type="cellIs" dxfId="619" priority="48" operator="equal">
      <formula>0</formula>
    </cfRule>
  </conditionalFormatting>
  <conditionalFormatting sqref="G3">
    <cfRule type="cellIs" dxfId="618" priority="47" operator="equal">
      <formula>0</formula>
    </cfRule>
  </conditionalFormatting>
  <conditionalFormatting sqref="G2 G11">
    <cfRule type="cellIs" dxfId="617" priority="46" operator="equal">
      <formula>0</formula>
    </cfRule>
  </conditionalFormatting>
  <conditionalFormatting sqref="I21:I1048576 I15">
    <cfRule type="cellIs" dxfId="616" priority="44" operator="equal">
      <formula>0</formula>
    </cfRule>
  </conditionalFormatting>
  <conditionalFormatting sqref="I3">
    <cfRule type="cellIs" dxfId="615" priority="43" operator="equal">
      <formula>0</formula>
    </cfRule>
  </conditionalFormatting>
  <conditionalFormatting sqref="I2 I11">
    <cfRule type="cellIs" dxfId="614" priority="42" operator="equal">
      <formula>0</formula>
    </cfRule>
  </conditionalFormatting>
  <conditionalFormatting sqref="I7">
    <cfRule type="cellIs" dxfId="613" priority="41" operator="equal">
      <formula>0</formula>
    </cfRule>
  </conditionalFormatting>
  <conditionalFormatting sqref="I4">
    <cfRule type="cellIs" dxfId="612" priority="40" operator="equal">
      <formula>0</formula>
    </cfRule>
  </conditionalFormatting>
  <conditionalFormatting sqref="I6 I8:I9">
    <cfRule type="cellIs" dxfId="611" priority="39" operator="equal">
      <formula>0</formula>
    </cfRule>
  </conditionalFormatting>
  <conditionalFormatting sqref="J21:J1048576 J15">
    <cfRule type="cellIs" dxfId="610" priority="38" operator="equal">
      <formula>0</formula>
    </cfRule>
  </conditionalFormatting>
  <conditionalFormatting sqref="J3">
    <cfRule type="cellIs" dxfId="609" priority="37" operator="equal">
      <formula>0</formula>
    </cfRule>
  </conditionalFormatting>
  <conditionalFormatting sqref="J2 J11">
    <cfRule type="cellIs" dxfId="608" priority="36" operator="equal">
      <formula>0</formula>
    </cfRule>
  </conditionalFormatting>
  <conditionalFormatting sqref="J7">
    <cfRule type="cellIs" dxfId="607" priority="35" operator="equal">
      <formula>0</formula>
    </cfRule>
  </conditionalFormatting>
  <conditionalFormatting sqref="J4">
    <cfRule type="cellIs" dxfId="606" priority="34" operator="equal">
      <formula>0</formula>
    </cfRule>
  </conditionalFormatting>
  <conditionalFormatting sqref="J6 J8:J9">
    <cfRule type="cellIs" dxfId="605" priority="33" operator="equal">
      <formula>0</formula>
    </cfRule>
  </conditionalFormatting>
  <conditionalFormatting sqref="K21:K1048576 K15">
    <cfRule type="cellIs" dxfId="604" priority="31" operator="equal">
      <formula>0</formula>
    </cfRule>
  </conditionalFormatting>
  <conditionalFormatting sqref="K3">
    <cfRule type="cellIs" dxfId="603" priority="30" operator="equal">
      <formula>0</formula>
    </cfRule>
  </conditionalFormatting>
  <conditionalFormatting sqref="K2 K11">
    <cfRule type="cellIs" dxfId="602" priority="29" operator="equal">
      <formula>0</formula>
    </cfRule>
  </conditionalFormatting>
  <conditionalFormatting sqref="K7">
    <cfRule type="cellIs" dxfId="601" priority="28" operator="equal">
      <formula>0</formula>
    </cfRule>
  </conditionalFormatting>
  <conditionalFormatting sqref="K4">
    <cfRule type="cellIs" dxfId="600" priority="27" operator="equal">
      <formula>0</formula>
    </cfRule>
  </conditionalFormatting>
  <conditionalFormatting sqref="K6 K8:K9">
    <cfRule type="cellIs" dxfId="599" priority="26" operator="equal">
      <formula>0</formula>
    </cfRule>
  </conditionalFormatting>
  <conditionalFormatting sqref="L5 L10">
    <cfRule type="cellIs" dxfId="598" priority="9" operator="equal">
      <formula>0</formula>
    </cfRule>
  </conditionalFormatting>
  <conditionalFormatting sqref="L21:L1048576 L15">
    <cfRule type="cellIs" dxfId="597" priority="8" operator="equal">
      <formula>0</formula>
    </cfRule>
  </conditionalFormatting>
  <conditionalFormatting sqref="L3">
    <cfRule type="cellIs" dxfId="596" priority="7" operator="equal">
      <formula>0</formula>
    </cfRule>
  </conditionalFormatting>
  <conditionalFormatting sqref="L2 L11">
    <cfRule type="cellIs" dxfId="595" priority="6" operator="equal">
      <formula>0</formula>
    </cfRule>
  </conditionalFormatting>
  <conditionalFormatting sqref="L7">
    <cfRule type="cellIs" dxfId="594" priority="5" operator="equal">
      <formula>0</formula>
    </cfRule>
  </conditionalFormatting>
  <conditionalFormatting sqref="L4">
    <cfRule type="cellIs" dxfId="593" priority="4" operator="equal">
      <formula>0</formula>
    </cfRule>
  </conditionalFormatting>
  <conditionalFormatting sqref="L6 L8:L9">
    <cfRule type="cellIs" dxfId="592" priority="3" operator="equal">
      <formula>0</formula>
    </cfRule>
  </conditionalFormatting>
  <conditionalFormatting sqref="N6:P10">
    <cfRule type="cellIs" dxfId="591" priority="2" operator="equal">
      <formula>0</formula>
    </cfRule>
  </conditionalFormatting>
  <conditionalFormatting sqref="A11">
    <cfRule type="cellIs" dxfId="590"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0C5E1-65C7-4695-A7EE-E46091F54B6E}">
  <sheetPr>
    <tabColor rgb="FFE1EAEF"/>
  </sheetPr>
  <dimension ref="A1:AN58"/>
  <sheetViews>
    <sheetView showGridLines="0" topLeftCell="A7" workbookViewId="0">
      <selection activeCell="Y70" sqref="Y70"/>
    </sheetView>
  </sheetViews>
  <sheetFormatPr defaultColWidth="9.140625" defaultRowHeight="11.25"/>
  <cols>
    <col min="1" max="1" width="27.42578125" style="805" customWidth="1"/>
    <col min="2" max="12" width="8.140625" style="805" customWidth="1"/>
    <col min="13" max="13" width="10" style="805" bestFit="1" customWidth="1"/>
    <col min="14" max="27" width="9.140625" style="692"/>
    <col min="28" max="28" width="31.85546875" style="692" customWidth="1"/>
    <col min="29" max="40" width="9.140625" style="692"/>
    <col min="41" max="16384" width="9.140625" style="805"/>
  </cols>
  <sheetData>
    <row r="1" spans="1:40" s="766" customFormat="1" ht="28.5" customHeight="1">
      <c r="A1" s="1001" t="s">
        <v>802</v>
      </c>
      <c r="B1" s="1001"/>
      <c r="C1" s="1001"/>
      <c r="D1" s="1001"/>
      <c r="E1" s="1001"/>
      <c r="F1" s="1001"/>
      <c r="G1" s="1001"/>
      <c r="H1" s="1001"/>
      <c r="I1" s="1001"/>
      <c r="J1" s="1001"/>
      <c r="K1" s="1001"/>
      <c r="L1" s="1001"/>
      <c r="N1" s="767"/>
      <c r="O1" s="768"/>
      <c r="P1" s="767"/>
      <c r="Q1" s="767"/>
      <c r="R1" s="767"/>
      <c r="S1" s="767"/>
      <c r="T1" s="767"/>
      <c r="U1" s="767"/>
      <c r="V1" s="767"/>
      <c r="W1" s="767"/>
      <c r="X1" s="767"/>
      <c r="Y1" s="767"/>
      <c r="Z1" s="767"/>
      <c r="AA1" s="767"/>
      <c r="AB1" s="692"/>
      <c r="AC1" s="768"/>
      <c r="AD1" s="673"/>
      <c r="AE1" s="673"/>
      <c r="AF1" s="673"/>
      <c r="AG1" s="673"/>
      <c r="AH1" s="691"/>
      <c r="AI1" s="673"/>
      <c r="AJ1" s="673"/>
      <c r="AK1" s="673"/>
      <c r="AL1" s="673"/>
      <c r="AM1" s="673"/>
      <c r="AN1" s="673"/>
    </row>
    <row r="2" spans="1:40" s="769" customFormat="1" ht="15" customHeight="1">
      <c r="A2" s="225"/>
      <c r="B2" s="225"/>
      <c r="C2" s="225"/>
      <c r="D2" s="225"/>
      <c r="E2" s="225"/>
      <c r="F2" s="225"/>
      <c r="G2" s="225"/>
      <c r="H2" s="225"/>
      <c r="I2" s="225"/>
      <c r="J2" s="225"/>
      <c r="K2" s="225"/>
      <c r="L2" s="225"/>
      <c r="M2" s="766"/>
      <c r="N2" s="250"/>
      <c r="O2" s="768"/>
      <c r="P2" s="250"/>
      <c r="Q2" s="250"/>
      <c r="R2" s="250"/>
      <c r="S2" s="250"/>
      <c r="T2" s="250"/>
      <c r="U2" s="250"/>
      <c r="V2" s="250"/>
      <c r="W2" s="250"/>
      <c r="X2" s="250"/>
      <c r="Y2" s="250"/>
      <c r="Z2" s="250"/>
      <c r="AA2" s="250"/>
      <c r="AB2" s="692"/>
      <c r="AC2" s="677"/>
      <c r="AD2" s="677"/>
      <c r="AE2" s="677"/>
      <c r="AF2" s="677"/>
      <c r="AG2" s="677"/>
      <c r="AH2" s="677"/>
      <c r="AI2" s="677"/>
      <c r="AJ2" s="677"/>
      <c r="AK2" s="677"/>
      <c r="AL2" s="677"/>
      <c r="AM2" s="250"/>
      <c r="AN2" s="677"/>
    </row>
    <row r="3" spans="1:40" s="769" customFormat="1" ht="14.25" customHeight="1">
      <c r="A3" s="225" t="s">
        <v>13</v>
      </c>
      <c r="B3" s="770"/>
      <c r="C3" s="770"/>
      <c r="D3" s="770"/>
      <c r="E3" s="225"/>
      <c r="F3" s="225"/>
      <c r="G3" s="225"/>
      <c r="H3" s="225"/>
      <c r="I3" s="225"/>
      <c r="J3" s="225"/>
      <c r="K3" s="225"/>
      <c r="L3" s="225"/>
      <c r="M3" s="766"/>
      <c r="N3" s="250"/>
      <c r="O3" s="250"/>
      <c r="P3" s="250"/>
      <c r="Q3" s="250"/>
      <c r="R3" s="250"/>
      <c r="S3" s="250"/>
      <c r="T3" s="250"/>
      <c r="U3" s="250"/>
      <c r="V3" s="250"/>
      <c r="W3" s="250"/>
      <c r="X3" s="250"/>
      <c r="Y3" s="250"/>
      <c r="Z3" s="250"/>
      <c r="AA3" s="250"/>
      <c r="AB3" s="771"/>
      <c r="AC3" s="678"/>
      <c r="AD3" s="678"/>
      <c r="AE3" s="678"/>
      <c r="AF3" s="678"/>
      <c r="AG3" s="678"/>
      <c r="AH3" s="678"/>
      <c r="AI3" s="678"/>
      <c r="AJ3" s="678"/>
      <c r="AK3" s="678"/>
      <c r="AL3" s="678"/>
      <c r="AM3" s="250"/>
      <c r="AN3" s="678"/>
    </row>
    <row r="4" spans="1:40" s="776" customFormat="1" ht="28.5" customHeight="1" thickBot="1">
      <c r="A4" s="104"/>
      <c r="B4" s="772">
        <v>2014</v>
      </c>
      <c r="C4" s="772">
        <v>2015</v>
      </c>
      <c r="D4" s="772">
        <v>2016</v>
      </c>
      <c r="E4" s="772">
        <v>2017</v>
      </c>
      <c r="F4" s="772">
        <v>2018</v>
      </c>
      <c r="G4" s="772">
        <v>2019</v>
      </c>
      <c r="H4" s="772">
        <v>2020</v>
      </c>
      <c r="I4" s="772">
        <v>2021</v>
      </c>
      <c r="J4" s="772">
        <v>2022</v>
      </c>
      <c r="K4" s="772">
        <v>2023</v>
      </c>
      <c r="L4" s="772">
        <v>2024</v>
      </c>
      <c r="M4" s="766"/>
      <c r="N4" s="230">
        <f>+B4</f>
        <v>2014</v>
      </c>
      <c r="O4" s="230">
        <f t="shared" ref="O4:W4" si="0">+C4</f>
        <v>2015</v>
      </c>
      <c r="P4" s="230">
        <f t="shared" si="0"/>
        <v>2016</v>
      </c>
      <c r="Q4" s="230">
        <f t="shared" si="0"/>
        <v>2017</v>
      </c>
      <c r="R4" s="230">
        <f t="shared" si="0"/>
        <v>2018</v>
      </c>
      <c r="S4" s="230">
        <f t="shared" si="0"/>
        <v>2019</v>
      </c>
      <c r="T4" s="230">
        <f t="shared" si="0"/>
        <v>2020</v>
      </c>
      <c r="U4" s="230">
        <f t="shared" si="0"/>
        <v>2021</v>
      </c>
      <c r="V4" s="230">
        <f t="shared" si="0"/>
        <v>2022</v>
      </c>
      <c r="W4" s="230">
        <f t="shared" si="0"/>
        <v>2023</v>
      </c>
      <c r="X4" s="230">
        <f>+L4</f>
        <v>2024</v>
      </c>
      <c r="Y4" s="774"/>
      <c r="Z4" s="773"/>
      <c r="AA4" s="773"/>
      <c r="AB4" s="775"/>
      <c r="AC4" s="678"/>
      <c r="AD4" s="678"/>
      <c r="AE4" s="678"/>
      <c r="AF4" s="678"/>
      <c r="AG4" s="678"/>
      <c r="AH4" s="678"/>
      <c r="AI4" s="678"/>
      <c r="AJ4" s="678"/>
      <c r="AK4" s="678"/>
      <c r="AL4" s="678"/>
      <c r="AM4" s="773"/>
      <c r="AN4" s="678"/>
    </row>
    <row r="5" spans="1:40" s="780" customFormat="1" ht="29.25" customHeight="1" thickTop="1">
      <c r="A5" s="288" t="s">
        <v>803</v>
      </c>
      <c r="B5" s="777">
        <v>1928307</v>
      </c>
      <c r="C5" s="777">
        <v>1991131</v>
      </c>
      <c r="D5" s="777">
        <v>2054911</v>
      </c>
      <c r="E5" s="777">
        <v>2131943</v>
      </c>
      <c r="F5" s="777">
        <v>2205449</v>
      </c>
      <c r="G5" s="777">
        <v>2232400</v>
      </c>
      <c r="H5" s="777">
        <v>2164118</v>
      </c>
      <c r="I5" s="777">
        <v>2200594</v>
      </c>
      <c r="J5" s="777">
        <v>2376115</v>
      </c>
      <c r="K5" s="777">
        <v>2467600</v>
      </c>
      <c r="L5" s="777">
        <v>2506911</v>
      </c>
      <c r="M5" s="766"/>
      <c r="N5" s="749"/>
      <c r="O5" s="778"/>
      <c r="P5" s="778"/>
      <c r="Q5" s="778"/>
      <c r="R5" s="778"/>
      <c r="S5" s="778"/>
      <c r="T5" s="778"/>
      <c r="U5" s="778"/>
      <c r="V5" s="778"/>
      <c r="W5" s="778"/>
      <c r="X5" s="778"/>
      <c r="Y5" s="778"/>
      <c r="Z5" s="749"/>
      <c r="AA5" s="749"/>
      <c r="AB5" s="779"/>
      <c r="AC5" s="678"/>
      <c r="AD5" s="678"/>
      <c r="AE5" s="678"/>
      <c r="AF5" s="678"/>
      <c r="AG5" s="678"/>
      <c r="AH5" s="678"/>
      <c r="AI5" s="678"/>
      <c r="AJ5" s="678"/>
      <c r="AK5" s="678"/>
      <c r="AL5" s="678"/>
      <c r="AM5" s="749"/>
      <c r="AN5" s="678"/>
    </row>
    <row r="6" spans="1:40" s="784" customFormat="1" ht="29.25" customHeight="1">
      <c r="A6" s="781" t="s">
        <v>804</v>
      </c>
      <c r="B6" s="777">
        <v>641.92999999999995</v>
      </c>
      <c r="C6" s="777">
        <v>650</v>
      </c>
      <c r="D6" s="777">
        <v>650</v>
      </c>
      <c r="E6" s="777">
        <v>660</v>
      </c>
      <c r="F6" s="777">
        <v>690</v>
      </c>
      <c r="G6" s="777">
        <v>720</v>
      </c>
      <c r="H6" s="777">
        <v>750</v>
      </c>
      <c r="I6" s="777">
        <v>786</v>
      </c>
      <c r="J6" s="777">
        <v>816.21</v>
      </c>
      <c r="K6" s="777">
        <v>880</v>
      </c>
      <c r="L6" s="777">
        <v>950</v>
      </c>
      <c r="M6" s="658">
        <f>+(L6/B6-1)*100</f>
        <v>47.991213995295446</v>
      </c>
      <c r="N6" s="775"/>
      <c r="O6" s="782"/>
      <c r="P6" s="782"/>
      <c r="Q6" s="782"/>
      <c r="R6" s="782"/>
      <c r="S6" s="782"/>
      <c r="T6" s="782"/>
      <c r="U6" s="782"/>
      <c r="V6" s="782"/>
      <c r="W6" s="782"/>
      <c r="X6" s="782"/>
      <c r="Y6" s="782"/>
      <c r="Z6" s="775"/>
      <c r="AA6" s="775"/>
      <c r="AB6" s="783"/>
      <c r="AC6" s="678"/>
      <c r="AD6" s="678"/>
      <c r="AE6" s="678"/>
      <c r="AF6" s="678"/>
      <c r="AG6" s="678"/>
      <c r="AH6" s="678"/>
      <c r="AI6" s="678"/>
      <c r="AJ6" s="678"/>
      <c r="AK6" s="678"/>
      <c r="AL6" s="678"/>
      <c r="AM6" s="775"/>
      <c r="AN6" s="678"/>
    </row>
    <row r="7" spans="1:40" s="784" customFormat="1" ht="12" customHeight="1">
      <c r="A7" s="785" t="s">
        <v>805</v>
      </c>
      <c r="B7" s="786"/>
      <c r="C7" s="786"/>
      <c r="D7" s="786"/>
      <c r="E7" s="786"/>
      <c r="F7" s="786"/>
      <c r="G7" s="786"/>
      <c r="H7" s="786"/>
      <c r="I7" s="786"/>
      <c r="J7" s="786"/>
      <c r="K7" s="786"/>
      <c r="L7" s="786"/>
      <c r="M7" s="766"/>
      <c r="N7" s="779"/>
      <c r="O7" s="775"/>
      <c r="P7" s="775"/>
      <c r="Q7" s="775"/>
      <c r="R7" s="775"/>
      <c r="S7" s="775"/>
      <c r="T7" s="775"/>
      <c r="U7" s="775"/>
      <c r="V7" s="775"/>
      <c r="W7" s="775"/>
      <c r="X7" s="775"/>
      <c r="Y7" s="775"/>
      <c r="Z7" s="775"/>
      <c r="AA7" s="775"/>
      <c r="AB7" s="783"/>
      <c r="AC7" s="678"/>
      <c r="AD7" s="678"/>
      <c r="AE7" s="678"/>
      <c r="AF7" s="678"/>
      <c r="AG7" s="678"/>
      <c r="AH7" s="678"/>
      <c r="AI7" s="678"/>
      <c r="AJ7" s="678"/>
      <c r="AK7" s="678"/>
      <c r="AL7" s="678"/>
      <c r="AM7" s="775"/>
      <c r="AN7" s="678"/>
    </row>
    <row r="8" spans="1:40" s="784" customFormat="1" ht="18" customHeight="1">
      <c r="A8" s="787" t="s">
        <v>105</v>
      </c>
      <c r="B8" s="788">
        <v>505</v>
      </c>
      <c r="C8" s="788">
        <v>505</v>
      </c>
      <c r="D8" s="788">
        <v>530</v>
      </c>
      <c r="E8" s="788">
        <v>557</v>
      </c>
      <c r="F8" s="788">
        <v>580</v>
      </c>
      <c r="G8" s="788">
        <v>600</v>
      </c>
      <c r="H8" s="788">
        <v>635</v>
      </c>
      <c r="I8" s="788">
        <v>665</v>
      </c>
      <c r="J8" s="788">
        <v>705</v>
      </c>
      <c r="K8" s="788">
        <v>760</v>
      </c>
      <c r="L8" s="788">
        <v>820</v>
      </c>
      <c r="M8" s="789"/>
      <c r="N8" s="783"/>
      <c r="O8" s="790"/>
      <c r="P8" s="791"/>
      <c r="Q8" s="791"/>
      <c r="R8" s="791"/>
      <c r="S8" s="791"/>
      <c r="T8" s="791"/>
      <c r="U8" s="791"/>
      <c r="V8" s="791"/>
      <c r="W8" s="791"/>
      <c r="X8" s="791"/>
      <c r="Y8" s="791"/>
      <c r="Z8" s="775"/>
      <c r="AA8" s="775"/>
      <c r="AB8" s="783"/>
      <c r="AC8" s="678"/>
      <c r="AD8" s="678"/>
      <c r="AE8" s="678"/>
      <c r="AF8" s="678"/>
      <c r="AG8" s="678"/>
      <c r="AH8" s="678"/>
      <c r="AI8" s="678"/>
      <c r="AJ8" s="678"/>
      <c r="AK8" s="678"/>
      <c r="AL8" s="678"/>
      <c r="AM8" s="775"/>
      <c r="AN8" s="678"/>
    </row>
    <row r="9" spans="1:40" s="784" customFormat="1" ht="18" customHeight="1">
      <c r="A9" s="787" t="s">
        <v>106</v>
      </c>
      <c r="B9" s="788">
        <v>505</v>
      </c>
      <c r="C9" s="788">
        <v>509</v>
      </c>
      <c r="D9" s="788">
        <v>530</v>
      </c>
      <c r="E9" s="788">
        <v>557</v>
      </c>
      <c r="F9" s="788">
        <v>580</v>
      </c>
      <c r="G9" s="788">
        <v>600</v>
      </c>
      <c r="H9" s="788">
        <v>635</v>
      </c>
      <c r="I9" s="788">
        <v>665</v>
      </c>
      <c r="J9" s="788">
        <v>705</v>
      </c>
      <c r="K9" s="788">
        <v>760</v>
      </c>
      <c r="L9" s="788">
        <v>820</v>
      </c>
      <c r="M9" s="766"/>
      <c r="N9" s="783"/>
      <c r="O9" s="791"/>
      <c r="P9" s="791"/>
      <c r="Q9" s="791"/>
      <c r="R9" s="791"/>
      <c r="S9" s="791"/>
      <c r="T9" s="791"/>
      <c r="U9" s="791"/>
      <c r="V9" s="791"/>
      <c r="W9" s="791"/>
      <c r="X9" s="791"/>
      <c r="Y9" s="791"/>
      <c r="Z9" s="775"/>
      <c r="AA9" s="775"/>
      <c r="AB9" s="783"/>
      <c r="AC9" s="678"/>
      <c r="AD9" s="678"/>
      <c r="AE9" s="678"/>
      <c r="AF9" s="678"/>
      <c r="AG9" s="678"/>
      <c r="AH9" s="678"/>
      <c r="AI9" s="678"/>
      <c r="AJ9" s="678"/>
      <c r="AK9" s="678"/>
      <c r="AL9" s="678"/>
      <c r="AM9" s="775"/>
      <c r="AN9" s="678"/>
    </row>
    <row r="10" spans="1:40" s="784" customFormat="1" ht="18" customHeight="1">
      <c r="A10" s="787" t="s">
        <v>107</v>
      </c>
      <c r="B10" s="788">
        <v>540</v>
      </c>
      <c r="C10" s="788">
        <v>544.99</v>
      </c>
      <c r="D10" s="788">
        <v>550</v>
      </c>
      <c r="E10" s="788">
        <v>571</v>
      </c>
      <c r="F10" s="788">
        <v>600</v>
      </c>
      <c r="G10" s="788">
        <v>622</v>
      </c>
      <c r="H10" s="788">
        <v>650</v>
      </c>
      <c r="I10" s="788">
        <v>683.5</v>
      </c>
      <c r="J10" s="788">
        <v>721.65</v>
      </c>
      <c r="K10" s="788">
        <v>785</v>
      </c>
      <c r="L10" s="788">
        <v>850</v>
      </c>
      <c r="M10" s="766"/>
      <c r="N10" s="783"/>
      <c r="O10" s="791"/>
      <c r="P10" s="791"/>
      <c r="Q10" s="791"/>
      <c r="R10" s="791"/>
      <c r="S10" s="791"/>
      <c r="T10" s="791"/>
      <c r="U10" s="791"/>
      <c r="V10" s="791"/>
      <c r="W10" s="791"/>
      <c r="X10" s="791"/>
      <c r="Y10" s="791"/>
      <c r="Z10" s="775"/>
      <c r="AA10" s="775"/>
      <c r="AB10" s="783"/>
      <c r="AC10" s="678"/>
      <c r="AD10" s="678"/>
      <c r="AE10" s="678"/>
      <c r="AF10" s="678"/>
      <c r="AG10" s="678"/>
      <c r="AH10" s="678"/>
      <c r="AI10" s="678"/>
      <c r="AJ10" s="678"/>
      <c r="AK10" s="678"/>
      <c r="AL10" s="678"/>
      <c r="AM10" s="775"/>
      <c r="AN10" s="678"/>
    </row>
    <row r="11" spans="1:40" s="784" customFormat="1" ht="18" customHeight="1">
      <c r="A11" s="787" t="s">
        <v>108</v>
      </c>
      <c r="B11" s="788">
        <v>586.80999999999995</v>
      </c>
      <c r="C11" s="788">
        <v>591.6</v>
      </c>
      <c r="D11" s="788">
        <v>600</v>
      </c>
      <c r="E11" s="788">
        <v>605</v>
      </c>
      <c r="F11" s="788">
        <v>630</v>
      </c>
      <c r="G11" s="788">
        <v>650</v>
      </c>
      <c r="H11" s="788">
        <v>693.62</v>
      </c>
      <c r="I11" s="788">
        <v>720</v>
      </c>
      <c r="J11" s="788">
        <v>760</v>
      </c>
      <c r="K11" s="788">
        <v>823.33</v>
      </c>
      <c r="L11" s="788">
        <v>898</v>
      </c>
      <c r="N11" s="783"/>
      <c r="O11" s="791"/>
      <c r="P11" s="791"/>
      <c r="Q11" s="791"/>
      <c r="R11" s="791"/>
      <c r="S11" s="791"/>
      <c r="T11" s="791"/>
      <c r="U11" s="791"/>
      <c r="V11" s="791"/>
      <c r="W11" s="791"/>
      <c r="X11" s="791"/>
      <c r="Y11" s="791"/>
      <c r="Z11" s="775"/>
      <c r="AA11" s="775"/>
      <c r="AB11" s="783"/>
      <c r="AC11" s="678"/>
      <c r="AD11" s="678"/>
      <c r="AE11" s="678"/>
      <c r="AF11" s="678"/>
      <c r="AG11" s="678"/>
      <c r="AH11" s="678"/>
      <c r="AI11" s="678"/>
      <c r="AJ11" s="678"/>
      <c r="AK11" s="678"/>
      <c r="AL11" s="678"/>
      <c r="AM11" s="775"/>
      <c r="AN11" s="678"/>
    </row>
    <row r="12" spans="1:40" s="784" customFormat="1" ht="18" customHeight="1">
      <c r="A12" s="787" t="s">
        <v>109</v>
      </c>
      <c r="B12" s="788">
        <v>641.92999999999995</v>
      </c>
      <c r="C12" s="788">
        <v>650</v>
      </c>
      <c r="D12" s="788">
        <v>650</v>
      </c>
      <c r="E12" s="788">
        <v>660</v>
      </c>
      <c r="F12" s="788">
        <v>690</v>
      </c>
      <c r="G12" s="788">
        <v>720</v>
      </c>
      <c r="H12" s="788">
        <v>750</v>
      </c>
      <c r="I12" s="788">
        <v>786</v>
      </c>
      <c r="J12" s="788">
        <v>816.21</v>
      </c>
      <c r="K12" s="788">
        <v>880</v>
      </c>
      <c r="L12" s="788">
        <v>950</v>
      </c>
      <c r="N12" s="783"/>
      <c r="O12" s="791"/>
      <c r="P12" s="791"/>
      <c r="Q12" s="791"/>
      <c r="R12" s="791"/>
      <c r="S12" s="791"/>
      <c r="T12" s="791"/>
      <c r="U12" s="791"/>
      <c r="V12" s="791"/>
      <c r="W12" s="791"/>
      <c r="X12" s="791"/>
      <c r="Y12" s="791"/>
      <c r="Z12" s="775"/>
      <c r="AA12" s="775"/>
      <c r="AB12" s="783"/>
      <c r="AC12" s="678"/>
      <c r="AD12" s="678"/>
      <c r="AE12" s="678"/>
      <c r="AF12" s="678"/>
      <c r="AG12" s="678"/>
      <c r="AH12" s="678"/>
      <c r="AI12" s="678"/>
      <c r="AJ12" s="678"/>
      <c r="AK12" s="678"/>
      <c r="AL12" s="678"/>
      <c r="AM12" s="775"/>
      <c r="AN12" s="678"/>
    </row>
    <row r="13" spans="1:40" s="784" customFormat="1" ht="18" customHeight="1">
      <c r="A13" s="787" t="s">
        <v>110</v>
      </c>
      <c r="B13" s="788">
        <v>731.94</v>
      </c>
      <c r="C13" s="788">
        <v>738.8</v>
      </c>
      <c r="D13" s="788">
        <v>745.91</v>
      </c>
      <c r="E13" s="788">
        <v>750</v>
      </c>
      <c r="F13" s="788">
        <v>775.51</v>
      </c>
      <c r="G13" s="788">
        <v>800</v>
      </c>
      <c r="H13" s="788">
        <v>840</v>
      </c>
      <c r="I13" s="788">
        <v>875</v>
      </c>
      <c r="J13" s="788">
        <v>920</v>
      </c>
      <c r="K13" s="788">
        <v>1000</v>
      </c>
      <c r="L13" s="788">
        <v>1052</v>
      </c>
      <c r="N13" s="783"/>
      <c r="O13" s="791"/>
      <c r="P13" s="791"/>
      <c r="Q13" s="791"/>
      <c r="R13" s="791"/>
      <c r="S13" s="791"/>
      <c r="T13" s="791"/>
      <c r="U13" s="791"/>
      <c r="V13" s="791"/>
      <c r="W13" s="791"/>
      <c r="X13" s="791"/>
      <c r="Y13" s="791"/>
      <c r="Z13" s="775"/>
      <c r="AA13" s="775"/>
      <c r="AB13" s="783"/>
      <c r="AC13" s="678"/>
      <c r="AD13" s="678"/>
      <c r="AE13" s="678"/>
      <c r="AF13" s="678"/>
      <c r="AG13" s="678"/>
      <c r="AH13" s="678"/>
      <c r="AI13" s="678"/>
      <c r="AJ13" s="678"/>
      <c r="AK13" s="678"/>
      <c r="AL13" s="678"/>
      <c r="AM13" s="775"/>
      <c r="AN13" s="678"/>
    </row>
    <row r="14" spans="1:40" s="784" customFormat="1" ht="18" customHeight="1">
      <c r="A14" s="787" t="s">
        <v>111</v>
      </c>
      <c r="B14" s="788">
        <v>874.65</v>
      </c>
      <c r="C14" s="788">
        <v>877.5</v>
      </c>
      <c r="D14" s="788">
        <v>884.35</v>
      </c>
      <c r="E14" s="788">
        <v>900</v>
      </c>
      <c r="F14" s="788">
        <v>919.34</v>
      </c>
      <c r="G14" s="788">
        <v>959.4</v>
      </c>
      <c r="H14" s="788">
        <v>1000</v>
      </c>
      <c r="I14" s="788">
        <v>1025.8599999999999</v>
      </c>
      <c r="J14" s="788">
        <v>1095.51</v>
      </c>
      <c r="K14" s="788">
        <v>1155</v>
      </c>
      <c r="L14" s="788">
        <v>1245.72</v>
      </c>
      <c r="N14" s="783"/>
      <c r="O14" s="791"/>
      <c r="P14" s="791"/>
      <c r="Q14" s="791"/>
      <c r="R14" s="791"/>
      <c r="S14" s="791"/>
      <c r="T14" s="791"/>
      <c r="U14" s="791"/>
      <c r="V14" s="791"/>
      <c r="W14" s="791"/>
      <c r="X14" s="791"/>
      <c r="Y14" s="791"/>
      <c r="Z14" s="775"/>
      <c r="AA14" s="775"/>
      <c r="AB14" s="783"/>
      <c r="AC14" s="678"/>
      <c r="AD14" s="678"/>
      <c r="AE14" s="678"/>
      <c r="AF14" s="678"/>
      <c r="AG14" s="678"/>
      <c r="AH14" s="678"/>
      <c r="AI14" s="678"/>
      <c r="AJ14" s="678"/>
      <c r="AK14" s="678"/>
      <c r="AL14" s="678"/>
      <c r="AM14" s="775"/>
      <c r="AN14" s="678"/>
    </row>
    <row r="15" spans="1:40" s="784" customFormat="1" ht="18" customHeight="1">
      <c r="A15" s="787" t="s">
        <v>112</v>
      </c>
      <c r="B15" s="788">
        <v>1100</v>
      </c>
      <c r="C15" s="788">
        <v>1110</v>
      </c>
      <c r="D15" s="788">
        <v>1118</v>
      </c>
      <c r="E15" s="788">
        <v>1132</v>
      </c>
      <c r="F15" s="788">
        <v>1166.48</v>
      </c>
      <c r="G15" s="788">
        <v>1200.01</v>
      </c>
      <c r="H15" s="788">
        <v>1226.76</v>
      </c>
      <c r="I15" s="788">
        <v>1270</v>
      </c>
      <c r="J15" s="788">
        <v>1345.5</v>
      </c>
      <c r="K15" s="788">
        <v>1425</v>
      </c>
      <c r="L15" s="788">
        <v>1500</v>
      </c>
      <c r="N15" s="783"/>
      <c r="O15" s="791"/>
      <c r="P15" s="791"/>
      <c r="Q15" s="791"/>
      <c r="R15" s="791"/>
      <c r="S15" s="791"/>
      <c r="T15" s="791"/>
      <c r="U15" s="791"/>
      <c r="V15" s="791"/>
      <c r="W15" s="791"/>
      <c r="X15" s="791"/>
      <c r="Y15" s="791"/>
      <c r="Z15" s="775"/>
      <c r="AA15" s="775"/>
      <c r="AB15" s="779"/>
      <c r="AC15" s="678"/>
      <c r="AD15" s="678"/>
      <c r="AE15" s="678"/>
      <c r="AF15" s="678"/>
      <c r="AG15" s="678"/>
      <c r="AH15" s="678"/>
      <c r="AI15" s="678"/>
      <c r="AJ15" s="678"/>
      <c r="AK15" s="678"/>
      <c r="AL15" s="678"/>
      <c r="AM15" s="775"/>
      <c r="AN15" s="678"/>
    </row>
    <row r="16" spans="1:40" s="784" customFormat="1" ht="18" customHeight="1">
      <c r="A16" s="787" t="s">
        <v>113</v>
      </c>
      <c r="B16" s="788">
        <v>1561.6</v>
      </c>
      <c r="C16" s="788">
        <v>1564.96</v>
      </c>
      <c r="D16" s="788">
        <v>1570.83</v>
      </c>
      <c r="E16" s="788">
        <v>1585</v>
      </c>
      <c r="F16" s="788">
        <v>1612.88</v>
      </c>
      <c r="G16" s="788">
        <v>1676</v>
      </c>
      <c r="H16" s="788">
        <v>1725.5</v>
      </c>
      <c r="I16" s="788">
        <v>1800</v>
      </c>
      <c r="J16" s="788">
        <v>1897.61</v>
      </c>
      <c r="K16" s="788">
        <v>2000</v>
      </c>
      <c r="L16" s="788">
        <v>2140</v>
      </c>
      <c r="N16" s="783"/>
      <c r="O16" s="791"/>
      <c r="P16" s="791"/>
      <c r="Q16" s="791"/>
      <c r="R16" s="791"/>
      <c r="S16" s="791"/>
      <c r="T16" s="791"/>
      <c r="U16" s="791"/>
      <c r="V16" s="791"/>
      <c r="W16" s="791"/>
      <c r="X16" s="791"/>
      <c r="Y16" s="791"/>
      <c r="Z16" s="775"/>
      <c r="AA16" s="775"/>
      <c r="AB16" s="783"/>
      <c r="AC16" s="678"/>
      <c r="AD16" s="678"/>
      <c r="AE16" s="678"/>
      <c r="AF16" s="678"/>
      <c r="AG16" s="678"/>
      <c r="AH16" s="678"/>
      <c r="AI16" s="678"/>
      <c r="AJ16" s="678"/>
      <c r="AK16" s="678"/>
      <c r="AL16" s="678"/>
      <c r="AM16" s="775"/>
      <c r="AN16" s="678"/>
    </row>
    <row r="17" spans="1:40" s="784" customFormat="1" ht="20.25" customHeight="1">
      <c r="A17" s="785" t="s">
        <v>806</v>
      </c>
      <c r="B17" s="786"/>
      <c r="C17" s="786"/>
      <c r="D17" s="786"/>
      <c r="E17" s="786"/>
      <c r="F17" s="786"/>
      <c r="G17" s="786"/>
      <c r="H17" s="786"/>
      <c r="I17" s="786"/>
      <c r="J17" s="786"/>
      <c r="K17" s="786"/>
      <c r="L17" s="786"/>
      <c r="M17" s="766"/>
      <c r="N17" s="779"/>
      <c r="O17" s="775"/>
      <c r="P17" s="775"/>
      <c r="Q17" s="775"/>
      <c r="R17" s="775"/>
      <c r="S17" s="775"/>
      <c r="T17" s="768"/>
      <c r="U17" s="250"/>
      <c r="V17" s="775"/>
      <c r="W17" s="775"/>
      <c r="X17" s="775"/>
      <c r="Y17" s="775"/>
      <c r="Z17" s="775"/>
      <c r="AA17" s="775"/>
      <c r="AB17" s="783"/>
      <c r="AC17" s="678"/>
      <c r="AD17" s="678"/>
      <c r="AE17" s="678"/>
      <c r="AF17" s="678"/>
      <c r="AG17" s="678"/>
      <c r="AH17" s="678"/>
      <c r="AI17" s="678"/>
      <c r="AJ17" s="678"/>
      <c r="AK17" s="678"/>
      <c r="AL17" s="678"/>
      <c r="AM17" s="775"/>
      <c r="AN17" s="678"/>
    </row>
    <row r="18" spans="1:40" s="784" customFormat="1" ht="18" customHeight="1">
      <c r="A18" s="787" t="s">
        <v>105</v>
      </c>
      <c r="B18" s="788">
        <v>501.84</v>
      </c>
      <c r="C18" s="788">
        <v>502.14</v>
      </c>
      <c r="D18" s="788">
        <v>527.24</v>
      </c>
      <c r="E18" s="788">
        <v>554.41</v>
      </c>
      <c r="F18" s="788">
        <v>577.6</v>
      </c>
      <c r="G18" s="788">
        <v>597.32000000000005</v>
      </c>
      <c r="H18" s="788">
        <v>632.38</v>
      </c>
      <c r="I18" s="788">
        <v>662.06</v>
      </c>
      <c r="J18" s="788">
        <v>702.13</v>
      </c>
      <c r="K18" s="788">
        <v>757.16</v>
      </c>
      <c r="L18" s="788">
        <v>817.3</v>
      </c>
      <c r="M18" s="789"/>
      <c r="N18" s="783"/>
      <c r="O18" s="792"/>
      <c r="P18" s="792"/>
      <c r="Q18" s="792"/>
      <c r="R18" s="792"/>
      <c r="S18" s="792"/>
      <c r="T18" s="792"/>
      <c r="U18" s="792"/>
      <c r="V18" s="792"/>
      <c r="W18" s="792"/>
      <c r="X18" s="792"/>
      <c r="Y18" s="792"/>
      <c r="Z18" s="775"/>
      <c r="AA18" s="775"/>
      <c r="AB18" s="783"/>
      <c r="AC18" s="678"/>
      <c r="AD18" s="678"/>
      <c r="AE18" s="678"/>
      <c r="AF18" s="678"/>
      <c r="AG18" s="678"/>
      <c r="AH18" s="678"/>
      <c r="AI18" s="678"/>
      <c r="AJ18" s="678"/>
      <c r="AK18" s="678"/>
      <c r="AL18" s="678"/>
      <c r="AM18" s="775"/>
      <c r="AN18" s="678"/>
    </row>
    <row r="19" spans="1:40" s="784" customFormat="1" ht="18" customHeight="1">
      <c r="A19" s="787" t="s">
        <v>106</v>
      </c>
      <c r="B19" s="788">
        <v>505</v>
      </c>
      <c r="C19" s="788">
        <v>505.23</v>
      </c>
      <c r="D19" s="788">
        <v>530</v>
      </c>
      <c r="E19" s="788">
        <v>557</v>
      </c>
      <c r="F19" s="788">
        <v>580</v>
      </c>
      <c r="G19" s="788">
        <v>600</v>
      </c>
      <c r="H19" s="788">
        <v>635</v>
      </c>
      <c r="I19" s="788">
        <v>665</v>
      </c>
      <c r="J19" s="788">
        <v>705</v>
      </c>
      <c r="K19" s="788">
        <v>760</v>
      </c>
      <c r="L19" s="788">
        <v>820</v>
      </c>
      <c r="M19" s="766"/>
      <c r="N19" s="783"/>
      <c r="O19" s="792"/>
      <c r="P19" s="792"/>
      <c r="Q19" s="792"/>
      <c r="R19" s="792"/>
      <c r="S19" s="792"/>
      <c r="T19" s="792"/>
      <c r="U19" s="792"/>
      <c r="V19" s="792"/>
      <c r="W19" s="792"/>
      <c r="X19" s="792"/>
      <c r="Y19" s="792"/>
      <c r="Z19" s="775"/>
      <c r="AA19" s="775"/>
      <c r="AB19" s="783"/>
      <c r="AC19" s="678"/>
      <c r="AD19" s="678"/>
      <c r="AE19" s="678"/>
      <c r="AF19" s="678"/>
      <c r="AG19" s="678"/>
      <c r="AH19" s="678"/>
      <c r="AI19" s="678"/>
      <c r="AJ19" s="678"/>
      <c r="AK19" s="678"/>
      <c r="AL19" s="678"/>
      <c r="AM19" s="775"/>
      <c r="AN19" s="678"/>
    </row>
    <row r="20" spans="1:40" s="784" customFormat="1" ht="18" customHeight="1">
      <c r="A20" s="787" t="s">
        <v>107</v>
      </c>
      <c r="B20" s="788">
        <v>519.44000000000005</v>
      </c>
      <c r="C20" s="788">
        <v>524.33000000000004</v>
      </c>
      <c r="D20" s="788">
        <v>538.51</v>
      </c>
      <c r="E20" s="788">
        <v>561.30999999999995</v>
      </c>
      <c r="F20" s="788">
        <v>588.05999999999995</v>
      </c>
      <c r="G20" s="788">
        <v>609.83000000000004</v>
      </c>
      <c r="H20" s="788">
        <v>640.13</v>
      </c>
      <c r="I20" s="788">
        <v>670.65</v>
      </c>
      <c r="J20" s="788">
        <v>710.95</v>
      </c>
      <c r="K20" s="788">
        <v>770</v>
      </c>
      <c r="L20" s="788">
        <v>833.34</v>
      </c>
      <c r="M20" s="766"/>
      <c r="N20" s="783"/>
      <c r="O20" s="792"/>
      <c r="P20" s="792"/>
      <c r="Q20" s="792"/>
      <c r="R20" s="792"/>
      <c r="S20" s="792"/>
      <c r="T20" s="792"/>
      <c r="U20" s="792"/>
      <c r="V20" s="792"/>
      <c r="W20" s="792"/>
      <c r="X20" s="792"/>
      <c r="Y20" s="792"/>
      <c r="Z20" s="775"/>
      <c r="AA20" s="775"/>
      <c r="AB20" s="783"/>
      <c r="AC20" s="678"/>
      <c r="AD20" s="678"/>
      <c r="AE20" s="678"/>
      <c r="AF20" s="678"/>
      <c r="AG20" s="678"/>
      <c r="AH20" s="678"/>
      <c r="AI20" s="678"/>
      <c r="AJ20" s="678"/>
      <c r="AK20" s="678"/>
      <c r="AL20" s="678"/>
      <c r="AM20" s="775"/>
      <c r="AN20" s="678"/>
    </row>
    <row r="21" spans="1:40" s="784" customFormat="1" ht="18" customHeight="1">
      <c r="A21" s="787" t="s">
        <v>108</v>
      </c>
      <c r="B21" s="788">
        <v>559.27</v>
      </c>
      <c r="C21" s="788">
        <v>562.91</v>
      </c>
      <c r="D21" s="788">
        <v>571.98</v>
      </c>
      <c r="E21" s="788">
        <v>590.72</v>
      </c>
      <c r="F21" s="788">
        <v>611.89</v>
      </c>
      <c r="G21" s="788">
        <v>637.97</v>
      </c>
      <c r="H21" s="788">
        <v>665.43</v>
      </c>
      <c r="I21" s="788">
        <v>700.07</v>
      </c>
      <c r="J21" s="788">
        <v>742.32</v>
      </c>
      <c r="K21" s="788">
        <v>801.98</v>
      </c>
      <c r="L21" s="788">
        <v>867.48</v>
      </c>
      <c r="N21" s="783"/>
      <c r="O21" s="792"/>
      <c r="P21" s="792"/>
      <c r="Q21" s="792"/>
      <c r="R21" s="792"/>
      <c r="S21" s="792"/>
      <c r="T21" s="792"/>
      <c r="U21" s="792"/>
      <c r="V21" s="792"/>
      <c r="W21" s="792"/>
      <c r="X21" s="792"/>
      <c r="Y21" s="792"/>
      <c r="Z21" s="775"/>
      <c r="AA21" s="775"/>
      <c r="AB21" s="783"/>
      <c r="AC21" s="678"/>
      <c r="AD21" s="678"/>
      <c r="AE21" s="678"/>
      <c r="AF21" s="678"/>
      <c r="AG21" s="678"/>
      <c r="AH21" s="678"/>
      <c r="AI21" s="678"/>
      <c r="AJ21" s="678"/>
      <c r="AK21" s="678"/>
      <c r="AL21" s="678"/>
      <c r="AM21" s="775"/>
      <c r="AN21" s="678"/>
    </row>
    <row r="22" spans="1:40" s="784" customFormat="1" ht="18" customHeight="1">
      <c r="A22" s="787" t="s">
        <v>109</v>
      </c>
      <c r="B22" s="788">
        <v>612.55999999999995</v>
      </c>
      <c r="C22" s="788">
        <v>615.41</v>
      </c>
      <c r="D22" s="788">
        <v>621.13</v>
      </c>
      <c r="E22" s="788">
        <v>634.72</v>
      </c>
      <c r="F22" s="788">
        <v>656.84</v>
      </c>
      <c r="G22" s="788">
        <v>685.8</v>
      </c>
      <c r="H22" s="788">
        <v>715.99</v>
      </c>
      <c r="I22" s="788">
        <v>748.23</v>
      </c>
      <c r="J22" s="788">
        <v>791.55</v>
      </c>
      <c r="K22" s="788">
        <v>850.67</v>
      </c>
      <c r="L22" s="788">
        <v>914.06</v>
      </c>
      <c r="N22" s="783"/>
      <c r="O22" s="792"/>
      <c r="P22" s="792"/>
      <c r="Q22" s="792"/>
      <c r="R22" s="792"/>
      <c r="S22" s="792"/>
      <c r="T22" s="792"/>
      <c r="U22" s="792"/>
      <c r="V22" s="792"/>
      <c r="W22" s="792"/>
      <c r="X22" s="792"/>
      <c r="Y22" s="792"/>
      <c r="Z22" s="775"/>
      <c r="AA22" s="775"/>
      <c r="AB22" s="783"/>
      <c r="AC22" s="678"/>
      <c r="AD22" s="678"/>
      <c r="AE22" s="678"/>
      <c r="AF22" s="678"/>
      <c r="AG22" s="678"/>
      <c r="AH22" s="678"/>
      <c r="AI22" s="678"/>
      <c r="AJ22" s="678"/>
      <c r="AK22" s="678"/>
      <c r="AL22" s="678"/>
      <c r="AM22" s="775"/>
      <c r="AN22" s="678"/>
    </row>
    <row r="23" spans="1:40" s="784" customFormat="1" ht="18" customHeight="1">
      <c r="A23" s="787" t="s">
        <v>110</v>
      </c>
      <c r="B23" s="788">
        <v>682.58</v>
      </c>
      <c r="C23" s="788">
        <v>686.09</v>
      </c>
      <c r="D23" s="788">
        <v>691.85</v>
      </c>
      <c r="E23" s="788">
        <v>706.05</v>
      </c>
      <c r="F23" s="788">
        <v>728.06</v>
      </c>
      <c r="G23" s="788">
        <v>758.83</v>
      </c>
      <c r="H23" s="788">
        <v>790.27</v>
      </c>
      <c r="I23" s="788">
        <v>820.89</v>
      </c>
      <c r="J23" s="788">
        <v>866.79</v>
      </c>
      <c r="K23" s="788">
        <v>930.9</v>
      </c>
      <c r="L23" s="788">
        <v>996.19</v>
      </c>
      <c r="N23" s="783"/>
      <c r="O23" s="792"/>
      <c r="P23" s="792"/>
      <c r="Q23" s="792"/>
      <c r="R23" s="792"/>
      <c r="S23" s="792"/>
      <c r="T23" s="792"/>
      <c r="U23" s="792"/>
      <c r="V23" s="792"/>
      <c r="W23" s="792"/>
      <c r="X23" s="792"/>
      <c r="Y23" s="792"/>
      <c r="Z23" s="775"/>
      <c r="AA23" s="775"/>
      <c r="AB23" s="783"/>
      <c r="AC23" s="678"/>
      <c r="AD23" s="678"/>
      <c r="AE23" s="678"/>
      <c r="AF23" s="678"/>
      <c r="AG23" s="678"/>
      <c r="AH23" s="678"/>
      <c r="AI23" s="678"/>
      <c r="AJ23" s="678"/>
      <c r="AK23" s="678"/>
      <c r="AL23" s="678"/>
      <c r="AM23" s="775"/>
      <c r="AN23" s="678"/>
    </row>
    <row r="24" spans="1:40" s="784" customFormat="1" ht="18" customHeight="1">
      <c r="A24" s="787" t="s">
        <v>111</v>
      </c>
      <c r="B24" s="788">
        <v>795.21</v>
      </c>
      <c r="C24" s="788">
        <v>797.9</v>
      </c>
      <c r="D24" s="788">
        <v>801.73</v>
      </c>
      <c r="E24" s="788">
        <v>814.57</v>
      </c>
      <c r="F24" s="788">
        <v>840.55</v>
      </c>
      <c r="G24" s="788">
        <v>873.05</v>
      </c>
      <c r="H24" s="788">
        <v>913.19</v>
      </c>
      <c r="I24" s="788">
        <v>948.16</v>
      </c>
      <c r="J24" s="788">
        <v>997.28</v>
      </c>
      <c r="K24" s="788">
        <v>1061.8800000000001</v>
      </c>
      <c r="L24" s="788">
        <v>1143.1400000000001</v>
      </c>
      <c r="N24" s="783"/>
      <c r="O24" s="792"/>
      <c r="P24" s="792"/>
      <c r="Q24" s="792"/>
      <c r="R24" s="792"/>
      <c r="S24" s="792"/>
      <c r="T24" s="792"/>
      <c r="U24" s="792"/>
      <c r="V24" s="792"/>
      <c r="W24" s="792"/>
      <c r="X24" s="792"/>
      <c r="Y24" s="792"/>
      <c r="Z24" s="775"/>
      <c r="AA24" s="775"/>
      <c r="AB24" s="783"/>
      <c r="AC24" s="678"/>
      <c r="AD24" s="678"/>
      <c r="AE24" s="678"/>
      <c r="AF24" s="678"/>
      <c r="AG24" s="678"/>
      <c r="AH24" s="678"/>
      <c r="AI24" s="678"/>
      <c r="AJ24" s="678"/>
      <c r="AK24" s="678"/>
      <c r="AL24" s="678"/>
      <c r="AM24" s="775"/>
      <c r="AN24" s="678"/>
    </row>
    <row r="25" spans="1:40" s="784" customFormat="1" ht="18" customHeight="1">
      <c r="A25" s="787" t="s">
        <v>112</v>
      </c>
      <c r="B25" s="788">
        <v>983.25</v>
      </c>
      <c r="C25" s="788">
        <v>987.03</v>
      </c>
      <c r="D25" s="788">
        <v>990.02</v>
      </c>
      <c r="E25" s="788">
        <v>1002.09</v>
      </c>
      <c r="F25" s="788">
        <v>1031.17</v>
      </c>
      <c r="G25" s="788">
        <v>1071.29</v>
      </c>
      <c r="H25" s="788">
        <v>1110.27</v>
      </c>
      <c r="I25" s="788">
        <v>1149.05</v>
      </c>
      <c r="J25" s="788">
        <v>1204.55</v>
      </c>
      <c r="K25" s="788">
        <v>1279.47</v>
      </c>
      <c r="L25" s="788">
        <v>1367.39</v>
      </c>
      <c r="N25" s="783"/>
      <c r="O25" s="792"/>
      <c r="P25" s="792"/>
      <c r="Q25" s="792"/>
      <c r="R25" s="792"/>
      <c r="S25" s="792"/>
      <c r="T25" s="792"/>
      <c r="U25" s="792"/>
      <c r="V25" s="792"/>
      <c r="W25" s="792"/>
      <c r="X25" s="792"/>
      <c r="Y25" s="792"/>
      <c r="Z25" s="775"/>
      <c r="AA25" s="775"/>
      <c r="AB25" s="783"/>
      <c r="AC25" s="678"/>
      <c r="AD25" s="678"/>
      <c r="AE25" s="678"/>
      <c r="AF25" s="678"/>
      <c r="AG25" s="678"/>
      <c r="AH25" s="678"/>
      <c r="AI25" s="678"/>
      <c r="AJ25" s="678"/>
      <c r="AK25" s="678"/>
      <c r="AL25" s="678"/>
      <c r="AM25" s="775"/>
      <c r="AN25" s="678"/>
    </row>
    <row r="26" spans="1:40" s="784" customFormat="1" ht="18" customHeight="1">
      <c r="A26" s="787" t="s">
        <v>113</v>
      </c>
      <c r="B26" s="788">
        <v>1303.02</v>
      </c>
      <c r="C26" s="788">
        <v>1306.26</v>
      </c>
      <c r="D26" s="788">
        <v>1308.5899999999999</v>
      </c>
      <c r="E26" s="788">
        <v>1319.42</v>
      </c>
      <c r="F26" s="788">
        <v>1350.97</v>
      </c>
      <c r="G26" s="788">
        <v>1395.54</v>
      </c>
      <c r="H26" s="788">
        <v>1438.29</v>
      </c>
      <c r="I26" s="788">
        <v>1487.95</v>
      </c>
      <c r="J26" s="788">
        <v>1567.64</v>
      </c>
      <c r="K26" s="788">
        <v>1661.65</v>
      </c>
      <c r="L26" s="788">
        <v>1775.07</v>
      </c>
      <c r="M26" s="793"/>
      <c r="N26" s="661">
        <f>+(B26+B27)/(B19+B18)</f>
        <v>3.9090322196178144</v>
      </c>
      <c r="O26" s="661">
        <f t="shared" ref="O26:X26" si="1">+(C26+C27)/(C19+C18)</f>
        <v>3.9292514170562951</v>
      </c>
      <c r="P26" s="661">
        <f t="shared" si="1"/>
        <v>3.7616246074685025</v>
      </c>
      <c r="Q26" s="661">
        <f t="shared" si="1"/>
        <v>3.6072736433899286</v>
      </c>
      <c r="R26" s="661">
        <f t="shared" si="1"/>
        <v>3.5331720801658606</v>
      </c>
      <c r="S26" s="661">
        <f t="shared" si="1"/>
        <v>3.521857147629706</v>
      </c>
      <c r="T26" s="661">
        <f t="shared" si="1"/>
        <v>3.4064684624974353</v>
      </c>
      <c r="U26" s="661">
        <f t="shared" si="1"/>
        <v>3.3635178514912667</v>
      </c>
      <c r="V26" s="661">
        <f t="shared" si="1"/>
        <v>3.3500031979987632</v>
      </c>
      <c r="W26" s="661">
        <f t="shared" si="1"/>
        <v>3.2868122017453665</v>
      </c>
      <c r="X26" s="661">
        <f t="shared" si="1"/>
        <v>3.2558052891956266</v>
      </c>
      <c r="Y26" s="792"/>
      <c r="Z26" s="775"/>
      <c r="AA26" s="775"/>
      <c r="AB26" s="775"/>
      <c r="AC26" s="678"/>
      <c r="AD26" s="678"/>
      <c r="AE26" s="678"/>
      <c r="AF26" s="678"/>
      <c r="AG26" s="678"/>
      <c r="AH26" s="678"/>
      <c r="AI26" s="678"/>
      <c r="AJ26" s="678"/>
      <c r="AK26" s="678"/>
      <c r="AL26" s="678"/>
      <c r="AM26" s="775"/>
      <c r="AN26" s="678"/>
    </row>
    <row r="27" spans="1:40" s="784" customFormat="1" ht="18" customHeight="1">
      <c r="A27" s="787" t="s">
        <v>114</v>
      </c>
      <c r="B27" s="788">
        <v>2632.75</v>
      </c>
      <c r="C27" s="788">
        <v>2651.95</v>
      </c>
      <c r="D27" s="788">
        <v>2668.35</v>
      </c>
      <c r="E27" s="788">
        <v>2689.74</v>
      </c>
      <c r="F27" s="788">
        <v>2739.03</v>
      </c>
      <c r="G27" s="788">
        <v>2821.25</v>
      </c>
      <c r="H27" s="788">
        <v>2879</v>
      </c>
      <c r="I27" s="788">
        <v>2975.64</v>
      </c>
      <c r="J27" s="788">
        <v>3146.25</v>
      </c>
      <c r="K27" s="788">
        <v>3324.97</v>
      </c>
      <c r="L27" s="788">
        <v>3555.66</v>
      </c>
      <c r="N27" s="661">
        <f>+B27/B18</f>
        <v>5.2461940060577081</v>
      </c>
      <c r="O27" s="661">
        <f t="shared" ref="O27:X27" si="2">+C27/C18</f>
        <v>5.281296052893615</v>
      </c>
      <c r="P27" s="661">
        <f t="shared" si="2"/>
        <v>5.0609779227676199</v>
      </c>
      <c r="Q27" s="661">
        <f t="shared" si="2"/>
        <v>4.8515358669576667</v>
      </c>
      <c r="R27" s="661">
        <f t="shared" si="2"/>
        <v>4.7420879501385045</v>
      </c>
      <c r="S27" s="661">
        <f t="shared" si="2"/>
        <v>4.7231802049152876</v>
      </c>
      <c r="T27" s="661">
        <f t="shared" si="2"/>
        <v>4.552642398557829</v>
      </c>
      <c r="U27" s="661">
        <f t="shared" si="2"/>
        <v>4.4945171132525754</v>
      </c>
      <c r="V27" s="661">
        <f t="shared" si="2"/>
        <v>4.481007790580092</v>
      </c>
      <c r="W27" s="661">
        <f t="shared" si="2"/>
        <v>4.3913703840667759</v>
      </c>
      <c r="X27" s="661">
        <f t="shared" si="2"/>
        <v>4.3504955340756153</v>
      </c>
      <c r="Y27" s="792"/>
      <c r="Z27" s="775"/>
      <c r="AA27" s="775"/>
      <c r="AB27" s="794"/>
      <c r="AC27" s="678"/>
      <c r="AD27" s="678"/>
      <c r="AE27" s="678"/>
      <c r="AF27" s="678"/>
      <c r="AG27" s="678"/>
      <c r="AH27" s="678"/>
      <c r="AI27" s="678"/>
      <c r="AJ27" s="678"/>
      <c r="AK27" s="678"/>
      <c r="AL27" s="678"/>
      <c r="AM27" s="775"/>
      <c r="AN27" s="678"/>
    </row>
    <row r="28" spans="1:40" s="784" customFormat="1" ht="29.25" customHeight="1">
      <c r="A28" s="795" t="s">
        <v>124</v>
      </c>
      <c r="B28" s="796">
        <f>ROUND(0.666666666666667*B6,2)</f>
        <v>427.95</v>
      </c>
      <c r="C28" s="796">
        <f>ROUND(0.666666666666667*C6,2)</f>
        <v>433.33</v>
      </c>
      <c r="D28" s="796">
        <f t="shared" ref="D28:L28" si="3">ROUND(0.666666666666667*D6,2)</f>
        <v>433.33</v>
      </c>
      <c r="E28" s="796">
        <f t="shared" si="3"/>
        <v>440</v>
      </c>
      <c r="F28" s="796">
        <f t="shared" si="3"/>
        <v>460</v>
      </c>
      <c r="G28" s="796">
        <f t="shared" si="3"/>
        <v>480</v>
      </c>
      <c r="H28" s="796">
        <f t="shared" si="3"/>
        <v>500</v>
      </c>
      <c r="I28" s="796">
        <f t="shared" si="3"/>
        <v>524</v>
      </c>
      <c r="J28" s="796">
        <f t="shared" si="3"/>
        <v>544.14</v>
      </c>
      <c r="K28" s="796">
        <f t="shared" si="3"/>
        <v>586.66999999999996</v>
      </c>
      <c r="L28" s="796">
        <f t="shared" si="3"/>
        <v>633.33000000000004</v>
      </c>
      <c r="N28" s="775"/>
      <c r="O28" s="775"/>
      <c r="P28" s="775"/>
      <c r="Q28" s="775"/>
      <c r="R28" s="775"/>
      <c r="S28" s="775"/>
      <c r="T28" s="775"/>
      <c r="U28" s="775"/>
      <c r="V28" s="775"/>
      <c r="W28" s="775"/>
      <c r="X28" s="775"/>
      <c r="Y28" s="775"/>
      <c r="Z28" s="775"/>
      <c r="AA28" s="775"/>
      <c r="AB28" s="794"/>
      <c r="AC28" s="678"/>
      <c r="AD28" s="678"/>
      <c r="AE28" s="678"/>
      <c r="AF28" s="678"/>
      <c r="AG28" s="678"/>
      <c r="AH28" s="678"/>
      <c r="AI28" s="678"/>
      <c r="AJ28" s="678"/>
      <c r="AK28" s="678"/>
      <c r="AL28" s="678"/>
      <c r="AM28" s="775"/>
      <c r="AN28" s="678"/>
    </row>
    <row r="29" spans="1:40" s="784" customFormat="1" ht="29.25" customHeight="1">
      <c r="A29" s="797" t="s">
        <v>807</v>
      </c>
      <c r="B29" s="798">
        <v>0.15</v>
      </c>
      <c r="C29" s="798">
        <v>0.15</v>
      </c>
      <c r="D29" s="798">
        <v>0.1</v>
      </c>
      <c r="E29" s="798">
        <v>0</v>
      </c>
      <c r="F29" s="798">
        <v>0</v>
      </c>
      <c r="G29" s="798">
        <v>0</v>
      </c>
      <c r="H29" s="798">
        <v>0</v>
      </c>
      <c r="I29" s="798">
        <v>0</v>
      </c>
      <c r="J29" s="798">
        <v>0</v>
      </c>
      <c r="K29" s="798">
        <v>0</v>
      </c>
      <c r="L29" s="798">
        <v>0</v>
      </c>
      <c r="N29" s="794"/>
      <c r="O29" s="790"/>
      <c r="P29" s="799"/>
      <c r="Q29" s="799"/>
      <c r="R29" s="799"/>
      <c r="S29" s="799"/>
      <c r="T29" s="799"/>
      <c r="U29" s="799"/>
      <c r="V29" s="799"/>
      <c r="W29" s="799"/>
      <c r="X29" s="799"/>
      <c r="Y29" s="799"/>
      <c r="Z29" s="775"/>
      <c r="AA29" s="775"/>
      <c r="AB29" s="775"/>
      <c r="AC29" s="678"/>
      <c r="AD29" s="678"/>
      <c r="AE29" s="678"/>
      <c r="AF29" s="678"/>
      <c r="AG29" s="678"/>
      <c r="AH29" s="678"/>
      <c r="AI29" s="678"/>
      <c r="AJ29" s="678"/>
      <c r="AK29" s="678"/>
      <c r="AL29" s="678"/>
      <c r="AM29" s="775"/>
      <c r="AN29" s="678"/>
    </row>
    <row r="30" spans="1:40" s="784" customFormat="1" ht="18.75" customHeight="1">
      <c r="A30" s="787" t="s">
        <v>115</v>
      </c>
      <c r="B30" s="800">
        <v>0.11</v>
      </c>
      <c r="C30" s="800">
        <v>0.1</v>
      </c>
      <c r="D30" s="800">
        <v>0</v>
      </c>
      <c r="E30" s="800">
        <v>0</v>
      </c>
      <c r="F30" s="800">
        <v>0</v>
      </c>
      <c r="G30" s="800">
        <v>0</v>
      </c>
      <c r="H30" s="800">
        <v>0</v>
      </c>
      <c r="I30" s="800">
        <v>0</v>
      </c>
      <c r="J30" s="800">
        <v>0</v>
      </c>
      <c r="K30" s="800">
        <v>0</v>
      </c>
      <c r="L30" s="800">
        <v>0</v>
      </c>
      <c r="N30" s="794"/>
      <c r="O30" s="799"/>
      <c r="P30" s="799"/>
      <c r="Q30" s="799"/>
      <c r="R30" s="799"/>
      <c r="S30" s="799"/>
      <c r="T30" s="799"/>
      <c r="U30" s="799"/>
      <c r="V30" s="799"/>
      <c r="W30" s="799"/>
      <c r="X30" s="799"/>
      <c r="Y30" s="799"/>
      <c r="Z30" s="775"/>
      <c r="AA30" s="775"/>
      <c r="AB30" s="250"/>
      <c r="AC30" s="775"/>
      <c r="AD30" s="775"/>
      <c r="AE30" s="775"/>
      <c r="AF30" s="775"/>
      <c r="AG30" s="775"/>
      <c r="AH30" s="775"/>
      <c r="AI30" s="775"/>
      <c r="AJ30" s="775"/>
      <c r="AK30" s="775"/>
      <c r="AL30" s="775"/>
      <c r="AM30" s="775"/>
      <c r="AN30" s="775"/>
    </row>
    <row r="31" spans="1:40" s="784" customFormat="1" ht="14.25" customHeight="1">
      <c r="A31" s="801" t="s">
        <v>116</v>
      </c>
      <c r="B31" s="802">
        <v>0.2</v>
      </c>
      <c r="C31" s="802">
        <v>0.2</v>
      </c>
      <c r="D31" s="802">
        <v>0.1</v>
      </c>
      <c r="E31" s="802">
        <v>0</v>
      </c>
      <c r="F31" s="802">
        <v>0</v>
      </c>
      <c r="G31" s="802">
        <v>0</v>
      </c>
      <c r="H31" s="802">
        <v>0</v>
      </c>
      <c r="I31" s="802">
        <v>0</v>
      </c>
      <c r="J31" s="802">
        <v>0</v>
      </c>
      <c r="K31" s="802">
        <v>0</v>
      </c>
      <c r="L31" s="802">
        <v>0</v>
      </c>
      <c r="N31" s="775"/>
      <c r="O31" s="799"/>
      <c r="P31" s="799"/>
      <c r="Q31" s="799"/>
      <c r="R31" s="799"/>
      <c r="S31" s="799"/>
      <c r="T31" s="799"/>
      <c r="U31" s="799"/>
      <c r="V31" s="799"/>
      <c r="W31" s="799"/>
      <c r="X31" s="799"/>
      <c r="Y31" s="799"/>
      <c r="Z31" s="775"/>
      <c r="AA31" s="775"/>
      <c r="AB31" s="775"/>
      <c r="AC31" s="775"/>
      <c r="AD31" s="775"/>
      <c r="AE31" s="775"/>
      <c r="AF31" s="775"/>
      <c r="AG31" s="775"/>
      <c r="AH31" s="775"/>
      <c r="AI31" s="775"/>
      <c r="AJ31" s="775"/>
      <c r="AK31" s="775"/>
      <c r="AL31" s="775"/>
      <c r="AM31" s="775"/>
      <c r="AN31" s="775"/>
    </row>
    <row r="32" spans="1:40" s="804" customFormat="1" ht="15" customHeight="1">
      <c r="A32" s="210" t="s">
        <v>769</v>
      </c>
      <c r="B32" s="264"/>
      <c r="C32" s="264"/>
      <c r="D32" s="264"/>
      <c r="E32" s="803"/>
      <c r="F32" s="803"/>
      <c r="G32" s="803"/>
      <c r="H32" s="803"/>
      <c r="I32" s="803"/>
      <c r="J32" s="803"/>
      <c r="K32" s="803"/>
      <c r="L32" s="803"/>
      <c r="N32" s="250"/>
      <c r="O32" s="799"/>
      <c r="P32" s="799"/>
      <c r="Q32" s="799"/>
      <c r="R32" s="799"/>
      <c r="S32" s="799"/>
      <c r="T32" s="799"/>
      <c r="U32" s="799"/>
      <c r="V32" s="799"/>
      <c r="W32" s="799"/>
      <c r="X32" s="799"/>
      <c r="Y32" s="799"/>
      <c r="Z32" s="250"/>
      <c r="AA32" s="250"/>
      <c r="AB32" s="250"/>
      <c r="AC32" s="250"/>
      <c r="AD32" s="250"/>
      <c r="AE32" s="250"/>
      <c r="AF32" s="250"/>
      <c r="AG32" s="250"/>
      <c r="AH32" s="250"/>
      <c r="AI32" s="250"/>
      <c r="AJ32" s="250"/>
      <c r="AK32" s="250"/>
      <c r="AL32" s="250"/>
      <c r="AM32" s="250"/>
      <c r="AN32" s="250"/>
    </row>
    <row r="33" spans="1:15" ht="11.25" customHeight="1">
      <c r="A33" s="1002" t="s">
        <v>195</v>
      </c>
      <c r="B33" s="1002"/>
      <c r="C33" s="1002"/>
      <c r="D33" s="1002"/>
      <c r="E33" s="1002"/>
      <c r="F33" s="1002"/>
      <c r="G33" s="1002"/>
      <c r="H33" s="1002"/>
      <c r="I33" s="1002"/>
      <c r="J33" s="1002"/>
      <c r="K33" s="1002"/>
      <c r="L33" s="1002"/>
    </row>
    <row r="34" spans="1:15" s="692" customFormat="1" ht="11.25" customHeight="1">
      <c r="A34" s="1002" t="s">
        <v>808</v>
      </c>
      <c r="B34" s="1002"/>
      <c r="C34" s="1002"/>
      <c r="D34" s="1002"/>
      <c r="E34" s="1002"/>
      <c r="F34" s="1002"/>
      <c r="G34" s="1002"/>
      <c r="H34" s="1002"/>
      <c r="I34" s="1002"/>
      <c r="J34" s="1002"/>
      <c r="K34" s="806"/>
      <c r="L34" s="806"/>
    </row>
    <row r="35" spans="1:15" s="692" customFormat="1">
      <c r="B35" s="807"/>
      <c r="C35" s="807"/>
      <c r="D35" s="807"/>
      <c r="E35" s="784"/>
      <c r="F35" s="784"/>
      <c r="G35" s="784"/>
      <c r="H35" s="784"/>
      <c r="I35" s="784"/>
      <c r="J35" s="784"/>
      <c r="K35" s="784"/>
      <c r="L35" s="784"/>
    </row>
    <row r="36" spans="1:15" s="692" customFormat="1">
      <c r="B36" s="807"/>
      <c r="C36" s="807"/>
      <c r="D36" s="807"/>
    </row>
    <row r="37" spans="1:15">
      <c r="O37" s="239"/>
    </row>
    <row r="39" spans="1:15">
      <c r="O39" s="749"/>
    </row>
    <row r="40" spans="1:15">
      <c r="F40" s="798"/>
    </row>
    <row r="41" spans="1:15">
      <c r="B41" s="800"/>
    </row>
    <row r="49" spans="15:24">
      <c r="O49" s="808"/>
      <c r="P49" s="808"/>
      <c r="Q49" s="808"/>
      <c r="R49" s="808"/>
      <c r="S49" s="808"/>
      <c r="T49" s="808"/>
      <c r="U49" s="808"/>
      <c r="V49" s="808"/>
      <c r="W49" s="808"/>
      <c r="X49" s="808"/>
    </row>
    <row r="50" spans="15:24">
      <c r="O50" s="808"/>
      <c r="P50" s="808"/>
      <c r="Q50" s="808"/>
      <c r="R50" s="808"/>
      <c r="S50" s="808"/>
      <c r="T50" s="808"/>
      <c r="U50" s="808"/>
      <c r="V50" s="808"/>
      <c r="W50" s="808"/>
      <c r="X50" s="808"/>
    </row>
    <row r="51" spans="15:24">
      <c r="O51" s="808"/>
      <c r="P51" s="808"/>
      <c r="Q51" s="808"/>
      <c r="R51" s="808"/>
      <c r="S51" s="808"/>
      <c r="T51" s="808"/>
      <c r="U51" s="808"/>
      <c r="V51" s="808"/>
      <c r="W51" s="808"/>
      <c r="X51" s="808"/>
    </row>
    <row r="52" spans="15:24">
      <c r="O52" s="808"/>
      <c r="P52" s="808"/>
      <c r="Q52" s="808"/>
      <c r="R52" s="808"/>
      <c r="S52" s="808"/>
      <c r="T52" s="808"/>
      <c r="U52" s="808"/>
      <c r="V52" s="808"/>
      <c r="W52" s="808"/>
      <c r="X52" s="808"/>
    </row>
    <row r="53" spans="15:24">
      <c r="O53" s="808"/>
      <c r="P53" s="808"/>
      <c r="Q53" s="808"/>
      <c r="R53" s="808"/>
      <c r="S53" s="808"/>
      <c r="T53" s="808"/>
      <c r="U53" s="808"/>
      <c r="V53" s="808"/>
      <c r="W53" s="808"/>
      <c r="X53" s="808"/>
    </row>
    <row r="54" spans="15:24">
      <c r="O54" s="808"/>
      <c r="P54" s="808"/>
      <c r="Q54" s="808"/>
      <c r="R54" s="808"/>
      <c r="S54" s="808"/>
      <c r="T54" s="808"/>
      <c r="U54" s="808"/>
      <c r="V54" s="808"/>
      <c r="W54" s="808"/>
      <c r="X54" s="808"/>
    </row>
    <row r="55" spans="15:24">
      <c r="O55" s="808"/>
      <c r="P55" s="808"/>
      <c r="Q55" s="808"/>
      <c r="R55" s="808"/>
      <c r="S55" s="808"/>
      <c r="T55" s="808"/>
      <c r="U55" s="808"/>
      <c r="V55" s="808"/>
      <c r="W55" s="808"/>
      <c r="X55" s="808"/>
    </row>
    <row r="56" spans="15:24">
      <c r="O56" s="808"/>
      <c r="P56" s="808"/>
      <c r="Q56" s="808"/>
      <c r="R56" s="808"/>
      <c r="S56" s="808"/>
      <c r="T56" s="808"/>
      <c r="U56" s="808"/>
      <c r="V56" s="808"/>
      <c r="W56" s="808"/>
      <c r="X56" s="808"/>
    </row>
    <row r="57" spans="15:24">
      <c r="O57" s="808"/>
      <c r="P57" s="808"/>
      <c r="Q57" s="808"/>
      <c r="R57" s="808"/>
      <c r="S57" s="808"/>
      <c r="T57" s="808"/>
      <c r="U57" s="808"/>
      <c r="V57" s="808"/>
      <c r="W57" s="808"/>
      <c r="X57" s="808"/>
    </row>
    <row r="58" spans="15:24">
      <c r="O58" s="808"/>
      <c r="P58" s="808"/>
      <c r="Q58" s="808"/>
      <c r="R58" s="808"/>
      <c r="S58" s="808"/>
      <c r="T58" s="808"/>
      <c r="U58" s="808"/>
      <c r="V58" s="808"/>
      <c r="W58" s="808"/>
      <c r="X58" s="808"/>
    </row>
  </sheetData>
  <mergeCells count="3">
    <mergeCell ref="A1:L1"/>
    <mergeCell ref="A33:L33"/>
    <mergeCell ref="A34:J34"/>
  </mergeCells>
  <conditionalFormatting sqref="A1:A6 E32 E2:E3 E35:E1048576 M33:XFD36 M31 M32:N32 AQ1:XFD6 AO17:XFD29 AO1:AO6 M38:XFD38 M37:N37 P37:XFD37 AA32:XFD32 M1:AA3 AA4:AA6 A33:A1048576 B38:C40 M40:XFD48 M39:N39 P39:XFD39 M5:N5 M29:N30 A17:A31 B42:C47 C41 M4 M28:Y28 M27 M18:N25 M17:Y17 M59:XFD1048576 M49:O49 M50:N58 Y49:XFD58 AA17:AA31 AC30:XFD31 Y4 N6">
    <cfRule type="cellIs" dxfId="589" priority="35" operator="equal">
      <formula>0</formula>
    </cfRule>
  </conditionalFormatting>
  <conditionalFormatting sqref="A32">
    <cfRule type="cellIs" dxfId="588" priority="34" operator="equal">
      <formula>0</formula>
    </cfRule>
  </conditionalFormatting>
  <conditionalFormatting sqref="C35:C37 C48:C1048576">
    <cfRule type="cellIs" dxfId="587" priority="33" operator="equal">
      <formula>0</formula>
    </cfRule>
  </conditionalFormatting>
  <conditionalFormatting sqref="C2:C4">
    <cfRule type="cellIs" dxfId="586" priority="32" operator="equal">
      <formula>0</formula>
    </cfRule>
  </conditionalFormatting>
  <conditionalFormatting sqref="B35:B37 B48:B1048576">
    <cfRule type="cellIs" dxfId="585" priority="31" operator="equal">
      <formula>0</formula>
    </cfRule>
  </conditionalFormatting>
  <conditionalFormatting sqref="B2:B4">
    <cfRule type="cellIs" dxfId="584" priority="30" operator="equal">
      <formula>0</formula>
    </cfRule>
  </conditionalFormatting>
  <conditionalFormatting sqref="D35:D1048576">
    <cfRule type="cellIs" dxfId="583" priority="29" operator="equal">
      <formula>0</formula>
    </cfRule>
  </conditionalFormatting>
  <conditionalFormatting sqref="D2:D4 E4">
    <cfRule type="cellIs" dxfId="582" priority="28" operator="equal">
      <formula>0</formula>
    </cfRule>
  </conditionalFormatting>
  <conditionalFormatting sqref="F4">
    <cfRule type="cellIs" dxfId="581" priority="26" operator="equal">
      <formula>0</formula>
    </cfRule>
  </conditionalFormatting>
  <conditionalFormatting sqref="F32 F2:F3 F35:F39 F41:F1048576">
    <cfRule type="cellIs" dxfId="580" priority="27" operator="equal">
      <formula>0</formula>
    </cfRule>
  </conditionalFormatting>
  <conditionalFormatting sqref="G32 G2:G3 G35:G1048576">
    <cfRule type="cellIs" dxfId="579" priority="25" operator="equal">
      <formula>0</formula>
    </cfRule>
  </conditionalFormatting>
  <conditionalFormatting sqref="H32 H2:H3 H35:H1048576">
    <cfRule type="cellIs" dxfId="578" priority="23" operator="equal">
      <formula>0</formula>
    </cfRule>
  </conditionalFormatting>
  <conditionalFormatting sqref="G4">
    <cfRule type="cellIs" dxfId="577" priority="24" operator="equal">
      <formula>0</formula>
    </cfRule>
  </conditionalFormatting>
  <conditionalFormatting sqref="AB1:AB2">
    <cfRule type="cellIs" dxfId="576" priority="21" operator="equal">
      <formula>0</formula>
    </cfRule>
  </conditionalFormatting>
  <conditionalFormatting sqref="H4">
    <cfRule type="cellIs" dxfId="575" priority="22" operator="equal">
      <formula>0</formula>
    </cfRule>
  </conditionalFormatting>
  <conditionalFormatting sqref="AB3">
    <cfRule type="cellIs" dxfId="574" priority="20" operator="equal">
      <formula>0</formula>
    </cfRule>
  </conditionalFormatting>
  <conditionalFormatting sqref="I32 I2:I3 I35:I1048576">
    <cfRule type="cellIs" dxfId="573" priority="19" operator="equal">
      <formula>0</formula>
    </cfRule>
  </conditionalFormatting>
  <conditionalFormatting sqref="J32 J2:J3 J35:J1048576">
    <cfRule type="cellIs" dxfId="572" priority="17" operator="equal">
      <formula>0</formula>
    </cfRule>
  </conditionalFormatting>
  <conditionalFormatting sqref="I4">
    <cfRule type="cellIs" dxfId="571" priority="18" operator="equal">
      <formula>0</formula>
    </cfRule>
  </conditionalFormatting>
  <conditionalFormatting sqref="F40">
    <cfRule type="cellIs" dxfId="570" priority="15" operator="equal">
      <formula>0</formula>
    </cfRule>
  </conditionalFormatting>
  <conditionalFormatting sqref="J4">
    <cfRule type="cellIs" dxfId="569" priority="16" operator="equal">
      <formula>0</formula>
    </cfRule>
  </conditionalFormatting>
  <conditionalFormatting sqref="O37">
    <cfRule type="cellIs" dxfId="568" priority="14" operator="equal">
      <formula>0</formula>
    </cfRule>
  </conditionalFormatting>
  <conditionalFormatting sqref="K32 K2:K3 K35:K1048576">
    <cfRule type="cellIs" dxfId="567" priority="13" operator="equal">
      <formula>0</formula>
    </cfRule>
  </conditionalFormatting>
  <conditionalFormatting sqref="K4">
    <cfRule type="cellIs" dxfId="566" priority="12" operator="equal">
      <formula>0</formula>
    </cfRule>
  </conditionalFormatting>
  <conditionalFormatting sqref="O39">
    <cfRule type="cellIs" dxfId="565" priority="11" operator="equal">
      <formula>0</formula>
    </cfRule>
  </conditionalFormatting>
  <conditionalFormatting sqref="L32 L2:L3 L35:L1048576">
    <cfRule type="cellIs" dxfId="564" priority="10" operator="equal">
      <formula>0</formula>
    </cfRule>
  </conditionalFormatting>
  <conditionalFormatting sqref="L4">
    <cfRule type="cellIs" dxfId="563" priority="9" operator="equal">
      <formula>0</formula>
    </cfRule>
  </conditionalFormatting>
  <conditionalFormatting sqref="AB30 AB4 AB15:AB28">
    <cfRule type="cellIs" dxfId="562" priority="5" operator="equal">
      <formula>0</formula>
    </cfRule>
  </conditionalFormatting>
  <conditionalFormatting sqref="AO7:XFD16 AA7:AA16 A7:A16 M7:Y16">
    <cfRule type="cellIs" dxfId="561" priority="7" operator="equal">
      <formula>0</formula>
    </cfRule>
  </conditionalFormatting>
  <conditionalFormatting sqref="O29">
    <cfRule type="cellIs" dxfId="560" priority="6" operator="equal">
      <formula>0</formula>
    </cfRule>
  </conditionalFormatting>
  <conditionalFormatting sqref="AB5:AB14">
    <cfRule type="cellIs" dxfId="559" priority="4" operator="equal">
      <formula>0</formula>
    </cfRule>
  </conditionalFormatting>
  <conditionalFormatting sqref="N4:X4">
    <cfRule type="cellIs" dxfId="558" priority="3" operator="equal">
      <formula>0</formula>
    </cfRule>
  </conditionalFormatting>
  <conditionalFormatting sqref="M6">
    <cfRule type="cellIs" dxfId="557" priority="2" operator="equal">
      <formula>0</formula>
    </cfRule>
  </conditionalFormatting>
  <conditionalFormatting sqref="N26:X27">
    <cfRule type="cellIs" dxfId="556" priority="1" operator="equal">
      <formula>0</formula>
    </cfRule>
  </conditionalFormatting>
  <printOptions horizontalCentered="1"/>
  <pageMargins left="0.19685039370078741" right="0.19685039370078741" top="1.5748031496062993" bottom="0.39370078740157483" header="0.51181102362204722" footer="0"/>
  <pageSetup paperSize="9" scale="85" fitToWidth="0" orientation="portrait" r:id="rId1"/>
  <headerFooter>
    <oddHeader>&amp;C&amp;G</oddHeader>
  </headerFooter>
  <drawing r:id="rId2"/>
  <legacyDrawingHF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37">
    <tabColor rgb="FFA50021"/>
    <pageSetUpPr fitToPage="1"/>
  </sheetPr>
  <dimension ref="A1:P29"/>
  <sheetViews>
    <sheetView showGridLines="0" zoomScaleNormal="100" workbookViewId="0">
      <selection activeCell="Y70" sqref="Y70"/>
    </sheetView>
  </sheetViews>
  <sheetFormatPr defaultColWidth="9.140625" defaultRowHeight="11.25"/>
  <cols>
    <col min="1" max="1" width="17.140625" style="6" customWidth="1"/>
    <col min="2" max="12" width="7.5703125" style="6" customWidth="1"/>
    <col min="13" max="16384" width="9.140625" style="6"/>
  </cols>
  <sheetData>
    <row r="1" spans="1:14" s="37" customFormat="1" ht="28.5" customHeight="1">
      <c r="A1" s="947" t="s">
        <v>811</v>
      </c>
      <c r="B1" s="947"/>
      <c r="C1" s="947"/>
      <c r="D1" s="947"/>
      <c r="E1" s="947"/>
      <c r="F1" s="947"/>
      <c r="G1" s="947"/>
      <c r="H1" s="947"/>
      <c r="I1" s="947"/>
      <c r="J1" s="947"/>
      <c r="K1" s="947"/>
      <c r="L1" s="947"/>
    </row>
    <row r="2" spans="1:14" s="39" customFormat="1" ht="15" customHeight="1">
      <c r="A2" s="146"/>
      <c r="B2" s="38"/>
      <c r="C2" s="38"/>
      <c r="D2" s="38"/>
      <c r="E2" s="38"/>
      <c r="F2" s="38"/>
      <c r="G2" s="38"/>
      <c r="H2" s="38"/>
      <c r="I2" s="38"/>
      <c r="J2" s="38"/>
      <c r="K2" s="38"/>
      <c r="L2" s="38"/>
    </row>
    <row r="3" spans="1:14" s="39" customFormat="1" ht="14.25" customHeight="1">
      <c r="A3" s="293" t="s">
        <v>13</v>
      </c>
      <c r="B3" s="379"/>
      <c r="C3" s="37"/>
      <c r="D3" s="38"/>
      <c r="E3" s="38"/>
      <c r="F3" s="38"/>
      <c r="G3" s="38"/>
      <c r="H3" s="38"/>
      <c r="I3" s="38"/>
      <c r="J3" s="38"/>
      <c r="K3" s="38"/>
      <c r="L3" s="38"/>
    </row>
    <row r="4" spans="1:14" s="42" customFormat="1" ht="28.5" customHeight="1" thickBot="1">
      <c r="A4" s="147"/>
      <c r="B4" s="157">
        <v>2014</v>
      </c>
      <c r="C4" s="157">
        <v>2015</v>
      </c>
      <c r="D4" s="157">
        <v>2016</v>
      </c>
      <c r="E4" s="157">
        <v>2017</v>
      </c>
      <c r="F4" s="157">
        <v>2018</v>
      </c>
      <c r="G4" s="157">
        <v>2019</v>
      </c>
      <c r="H4" s="157">
        <v>2020</v>
      </c>
      <c r="I4" s="157">
        <v>2021</v>
      </c>
      <c r="J4" s="157">
        <v>2022</v>
      </c>
      <c r="K4" s="157">
        <v>2023</v>
      </c>
      <c r="L4" s="157">
        <v>2024</v>
      </c>
    </row>
    <row r="5" spans="1:14" s="318" customFormat="1" ht="20.25" customHeight="1" thickTop="1">
      <c r="A5" s="201" t="s">
        <v>11</v>
      </c>
      <c r="B5" s="351">
        <v>1928307</v>
      </c>
      <c r="C5" s="351">
        <v>1991131</v>
      </c>
      <c r="D5" s="351">
        <v>2054911</v>
      </c>
      <c r="E5" s="351">
        <v>2131943</v>
      </c>
      <c r="F5" s="351">
        <v>2205449</v>
      </c>
      <c r="G5" s="351">
        <v>2232400</v>
      </c>
      <c r="H5" s="351">
        <v>2164118</v>
      </c>
      <c r="I5" s="351">
        <v>2200594</v>
      </c>
      <c r="J5" s="351">
        <v>2376115</v>
      </c>
      <c r="K5" s="351">
        <v>2467600</v>
      </c>
      <c r="L5" s="351">
        <v>2506911</v>
      </c>
      <c r="N5" s="42"/>
    </row>
    <row r="6" spans="1:14" ht="20.25" customHeight="1">
      <c r="A6" s="307" t="s">
        <v>117</v>
      </c>
      <c r="B6" s="352">
        <v>5299</v>
      </c>
      <c r="C6" s="352">
        <v>4830</v>
      </c>
      <c r="D6" s="352">
        <v>5114</v>
      </c>
      <c r="E6" s="352">
        <v>4504</v>
      </c>
      <c r="F6" s="352">
        <v>3892</v>
      </c>
      <c r="G6" s="352">
        <v>4213</v>
      </c>
      <c r="H6" s="352">
        <v>3675</v>
      </c>
      <c r="I6" s="352">
        <v>3820</v>
      </c>
      <c r="J6" s="352">
        <v>4185</v>
      </c>
      <c r="K6" s="352">
        <v>3854</v>
      </c>
      <c r="L6" s="352">
        <v>3093</v>
      </c>
      <c r="N6" s="42"/>
    </row>
    <row r="7" spans="1:14" ht="15" customHeight="1">
      <c r="A7" s="307" t="s">
        <v>118</v>
      </c>
      <c r="B7" s="352">
        <v>96190</v>
      </c>
      <c r="C7" s="352">
        <v>94391</v>
      </c>
      <c r="D7" s="352">
        <v>111160</v>
      </c>
      <c r="E7" s="352">
        <v>113811</v>
      </c>
      <c r="F7" s="352">
        <v>115227</v>
      </c>
      <c r="G7" s="352">
        <v>107826</v>
      </c>
      <c r="H7" s="352">
        <v>106652</v>
      </c>
      <c r="I7" s="352">
        <v>101440</v>
      </c>
      <c r="J7" s="352">
        <v>106931</v>
      </c>
      <c r="K7" s="352">
        <v>101620</v>
      </c>
      <c r="L7" s="352">
        <v>100450</v>
      </c>
      <c r="N7" s="42"/>
    </row>
    <row r="8" spans="1:14" ht="15" customHeight="1">
      <c r="A8" s="190" t="s">
        <v>634</v>
      </c>
      <c r="B8" s="353">
        <v>1184863</v>
      </c>
      <c r="C8" s="353">
        <v>1223442</v>
      </c>
      <c r="D8" s="353">
        <v>1240882</v>
      </c>
      <c r="E8" s="353">
        <v>1261225</v>
      </c>
      <c r="F8" s="353">
        <v>1255162</v>
      </c>
      <c r="G8" s="353">
        <v>1212391</v>
      </c>
      <c r="H8" s="353">
        <v>1110879</v>
      </c>
      <c r="I8" s="353">
        <v>1069792</v>
      </c>
      <c r="J8" s="353">
        <v>1029091</v>
      </c>
      <c r="K8" s="353">
        <v>858643</v>
      </c>
      <c r="L8" s="353">
        <v>580255</v>
      </c>
    </row>
    <row r="9" spans="1:14" ht="15" customHeight="1">
      <c r="A9" s="154" t="s">
        <v>173</v>
      </c>
      <c r="B9" s="352">
        <v>324052</v>
      </c>
      <c r="C9" s="352">
        <v>340648</v>
      </c>
      <c r="D9" s="352">
        <v>358090</v>
      </c>
      <c r="E9" s="352">
        <v>390355</v>
      </c>
      <c r="F9" s="352">
        <v>433973</v>
      </c>
      <c r="G9" s="352">
        <v>476979</v>
      </c>
      <c r="H9" s="352">
        <v>496154</v>
      </c>
      <c r="I9" s="352">
        <v>542243</v>
      </c>
      <c r="J9" s="352">
        <v>657005</v>
      </c>
      <c r="K9" s="352">
        <v>816406</v>
      </c>
      <c r="L9" s="352">
        <v>1017706</v>
      </c>
    </row>
    <row r="10" spans="1:14" ht="15" customHeight="1">
      <c r="A10" s="307" t="s">
        <v>174</v>
      </c>
      <c r="B10" s="352">
        <v>205599</v>
      </c>
      <c r="C10" s="352">
        <v>211987</v>
      </c>
      <c r="D10" s="352">
        <v>219147</v>
      </c>
      <c r="E10" s="352">
        <v>235210</v>
      </c>
      <c r="F10" s="352">
        <v>259576</v>
      </c>
      <c r="G10" s="352">
        <v>284340</v>
      </c>
      <c r="H10" s="352">
        <v>295953</v>
      </c>
      <c r="I10" s="352">
        <v>319188</v>
      </c>
      <c r="J10" s="352">
        <v>377436</v>
      </c>
      <c r="K10" s="352">
        <v>448121</v>
      </c>
      <c r="L10" s="352">
        <v>521804</v>
      </c>
    </row>
    <row r="11" spans="1:14" ht="15" customHeight="1">
      <c r="A11" s="307" t="s">
        <v>175</v>
      </c>
      <c r="B11" s="352">
        <v>73982</v>
      </c>
      <c r="C11" s="352">
        <v>76280</v>
      </c>
      <c r="D11" s="352">
        <v>79072</v>
      </c>
      <c r="E11" s="352">
        <v>83250</v>
      </c>
      <c r="F11" s="352">
        <v>90232</v>
      </c>
      <c r="G11" s="352">
        <v>96145</v>
      </c>
      <c r="H11" s="352">
        <v>99786</v>
      </c>
      <c r="I11" s="352">
        <v>107743</v>
      </c>
      <c r="J11" s="352">
        <v>131037</v>
      </c>
      <c r="K11" s="352">
        <v>152841</v>
      </c>
      <c r="L11" s="352">
        <v>176768</v>
      </c>
    </row>
    <row r="12" spans="1:14" ht="15" customHeight="1">
      <c r="A12" s="307" t="s">
        <v>176</v>
      </c>
      <c r="B12" s="352">
        <v>21232</v>
      </c>
      <c r="C12" s="352">
        <v>21937</v>
      </c>
      <c r="D12" s="352">
        <v>23194</v>
      </c>
      <c r="E12" s="352">
        <v>24313</v>
      </c>
      <c r="F12" s="352">
        <v>26441</v>
      </c>
      <c r="G12" s="352">
        <v>28479</v>
      </c>
      <c r="H12" s="352">
        <v>28950</v>
      </c>
      <c r="I12" s="352">
        <v>32106</v>
      </c>
      <c r="J12" s="352">
        <v>39500</v>
      </c>
      <c r="K12" s="352">
        <v>48240</v>
      </c>
      <c r="L12" s="352">
        <v>59324</v>
      </c>
    </row>
    <row r="13" spans="1:14" ht="15" customHeight="1">
      <c r="A13" s="307" t="s">
        <v>177</v>
      </c>
      <c r="B13" s="352">
        <v>17090</v>
      </c>
      <c r="C13" s="352">
        <v>17616</v>
      </c>
      <c r="D13" s="352">
        <v>18252</v>
      </c>
      <c r="E13" s="352">
        <v>19275</v>
      </c>
      <c r="F13" s="352">
        <v>20946</v>
      </c>
      <c r="G13" s="352">
        <v>22027</v>
      </c>
      <c r="H13" s="352">
        <v>22069</v>
      </c>
      <c r="I13" s="352">
        <v>24262</v>
      </c>
      <c r="J13" s="352">
        <v>30930</v>
      </c>
      <c r="K13" s="352">
        <v>37875</v>
      </c>
      <c r="L13" s="352">
        <v>47511</v>
      </c>
    </row>
    <row r="14" spans="1:14" s="166" customFormat="1" ht="15" customHeight="1">
      <c r="A14" s="149"/>
      <c r="B14" s="150"/>
      <c r="C14" s="150"/>
      <c r="D14" s="150"/>
      <c r="E14" s="150"/>
      <c r="F14" s="150"/>
      <c r="G14" s="150"/>
      <c r="H14" s="150"/>
      <c r="I14" s="150"/>
      <c r="J14" s="150"/>
      <c r="K14" s="150"/>
      <c r="L14" s="150"/>
    </row>
    <row r="15" spans="1:14" s="45" customFormat="1" ht="11.25" customHeight="1">
      <c r="A15" s="152" t="s">
        <v>119</v>
      </c>
      <c r="B15" s="151"/>
      <c r="C15" s="151"/>
      <c r="D15" s="151"/>
      <c r="E15" s="151"/>
      <c r="F15" s="151"/>
      <c r="G15" s="151"/>
      <c r="H15" s="151"/>
      <c r="I15" s="151"/>
      <c r="J15" s="151"/>
      <c r="K15" s="151"/>
      <c r="L15" s="151"/>
    </row>
    <row r="16" spans="1:14" s="42" customFormat="1" ht="11.25" customHeight="1">
      <c r="A16" s="201" t="s">
        <v>11</v>
      </c>
      <c r="B16" s="319">
        <v>100</v>
      </c>
      <c r="C16" s="319">
        <v>100</v>
      </c>
      <c r="D16" s="319">
        <v>100</v>
      </c>
      <c r="E16" s="319">
        <v>100</v>
      </c>
      <c r="F16" s="319">
        <v>100</v>
      </c>
      <c r="G16" s="319">
        <v>100</v>
      </c>
      <c r="H16" s="319">
        <v>100</v>
      </c>
      <c r="I16" s="319">
        <v>100</v>
      </c>
      <c r="J16" s="319">
        <v>100</v>
      </c>
      <c r="K16" s="319">
        <v>100</v>
      </c>
      <c r="L16" s="319">
        <v>100</v>
      </c>
    </row>
    <row r="17" spans="1:16" s="310" customFormat="1" ht="20.25" customHeight="1">
      <c r="A17" s="307" t="s">
        <v>117</v>
      </c>
      <c r="B17" s="148">
        <v>0.27480064118420977</v>
      </c>
      <c r="C17" s="148">
        <v>0.24257570195029862</v>
      </c>
      <c r="D17" s="148">
        <v>0.24886722587985563</v>
      </c>
      <c r="E17" s="148">
        <v>0.21126268385224184</v>
      </c>
      <c r="F17" s="148">
        <v>0.17647200184633607</v>
      </c>
      <c r="G17" s="148">
        <v>0.18872065938003943</v>
      </c>
      <c r="H17" s="148">
        <v>0.16981513947021373</v>
      </c>
      <c r="I17" s="148">
        <v>0.17358949447285596</v>
      </c>
      <c r="J17" s="148">
        <v>0.1761278389303548</v>
      </c>
      <c r="K17" s="148">
        <v>0.15618414653914733</v>
      </c>
      <c r="L17" s="148">
        <v>0.12337893128236303</v>
      </c>
    </row>
    <row r="18" spans="1:16" s="310" customFormat="1" ht="20.25" customHeight="1">
      <c r="A18" s="307" t="s">
        <v>118</v>
      </c>
      <c r="B18" s="148">
        <v>4.9883135828475442</v>
      </c>
      <c r="C18" s="148">
        <v>4.7405720668303593</v>
      </c>
      <c r="D18" s="148">
        <v>5.4094800212758605</v>
      </c>
      <c r="E18" s="148">
        <v>5.3383697406544171</v>
      </c>
      <c r="F18" s="148">
        <v>5.2246503999865785</v>
      </c>
      <c r="G18" s="148">
        <v>4.8300483784268051</v>
      </c>
      <c r="H18" s="148">
        <v>4.9281970761298597</v>
      </c>
      <c r="I18" s="148">
        <v>4.6096644814990855</v>
      </c>
      <c r="J18" s="148">
        <v>4.5002451480673287</v>
      </c>
      <c r="K18" s="148">
        <v>4.118171502674663</v>
      </c>
      <c r="L18" s="148">
        <v>4.0069232613363619</v>
      </c>
      <c r="N18" s="363"/>
    </row>
    <row r="19" spans="1:16" s="311" customFormat="1" ht="15" customHeight="1">
      <c r="A19" s="190" t="s">
        <v>634</v>
      </c>
      <c r="B19" s="148">
        <v>61.445765637940433</v>
      </c>
      <c r="C19" s="148">
        <v>61.444575972148499</v>
      </c>
      <c r="D19" s="148">
        <v>60.386167576114005</v>
      </c>
      <c r="E19" s="148">
        <v>59.158476563397798</v>
      </c>
      <c r="F19" s="148">
        <v>56.911857857515635</v>
      </c>
      <c r="G19" s="148">
        <v>54.308860419279704</v>
      </c>
      <c r="H19" s="148">
        <v>51.331720359056213</v>
      </c>
      <c r="I19" s="148">
        <v>48.613783369399357</v>
      </c>
      <c r="J19" s="148">
        <v>43.309814550221688</v>
      </c>
      <c r="K19" s="148">
        <v>34.796685038093692</v>
      </c>
      <c r="L19" s="148">
        <v>23.146214604347744</v>
      </c>
      <c r="M19" s="564"/>
      <c r="N19" s="564">
        <f>+L18+L19</f>
        <v>27.153137865684105</v>
      </c>
      <c r="O19" s="564">
        <f>+B18+B19</f>
        <v>66.434079220787979</v>
      </c>
    </row>
    <row r="20" spans="1:16" s="312" customFormat="1" ht="15" customHeight="1">
      <c r="A20" s="154" t="s">
        <v>173</v>
      </c>
      <c r="B20" s="148">
        <v>16.805000448580024</v>
      </c>
      <c r="C20" s="148">
        <v>17.108266608274391</v>
      </c>
      <c r="D20" s="148">
        <v>17.426058841477808</v>
      </c>
      <c r="E20" s="148">
        <v>18.309823480271284</v>
      </c>
      <c r="F20" s="148">
        <v>19.677308339480987</v>
      </c>
      <c r="G20" s="148">
        <v>21.366197814011826</v>
      </c>
      <c r="H20" s="148">
        <v>22.926383866314129</v>
      </c>
      <c r="I20" s="148">
        <v>24.640756086765663</v>
      </c>
      <c r="J20" s="148">
        <v>27.650387291860874</v>
      </c>
      <c r="K20" s="148">
        <v>33.085021883611603</v>
      </c>
      <c r="L20" s="148">
        <v>40.596016372340301</v>
      </c>
      <c r="M20" s="564"/>
      <c r="N20" s="564">
        <f>+L18-B18</f>
        <v>-0.98139032151118233</v>
      </c>
      <c r="O20" s="564"/>
      <c r="P20" s="566">
        <f>+N19-O19</f>
        <v>-39.280941355103877</v>
      </c>
    </row>
    <row r="21" spans="1:16" s="312" customFormat="1" ht="15" customHeight="1">
      <c r="A21" s="307" t="s">
        <v>174</v>
      </c>
      <c r="B21" s="148">
        <v>10.662150788230297</v>
      </c>
      <c r="C21" s="148">
        <v>10.646562179987153</v>
      </c>
      <c r="D21" s="148">
        <v>10.664549462239483</v>
      </c>
      <c r="E21" s="148">
        <v>11.032658940694006</v>
      </c>
      <c r="F21" s="148">
        <v>11.769757541434874</v>
      </c>
      <c r="G21" s="148">
        <v>12.736964701666368</v>
      </c>
      <c r="H21" s="148">
        <v>13.675455774592699</v>
      </c>
      <c r="I21" s="148">
        <v>14.504629204660196</v>
      </c>
      <c r="J21" s="148">
        <v>15.884584710756844</v>
      </c>
      <c r="K21" s="148">
        <v>18.160196142000324</v>
      </c>
      <c r="L21" s="148">
        <v>20.814620064294264</v>
      </c>
      <c r="M21" s="564"/>
      <c r="N21" s="565">
        <f>+L19-B19</f>
        <v>-38.299551033592692</v>
      </c>
      <c r="O21" s="311"/>
    </row>
    <row r="22" spans="1:16" s="312" customFormat="1" ht="15" customHeight="1">
      <c r="A22" s="307" t="s">
        <v>175</v>
      </c>
      <c r="B22" s="148">
        <v>3.8366297482714113</v>
      </c>
      <c r="C22" s="148">
        <v>3.8309885185856678</v>
      </c>
      <c r="D22" s="148">
        <v>3.8479525390637357</v>
      </c>
      <c r="E22" s="148">
        <v>3.9048886391427917</v>
      </c>
      <c r="F22" s="148">
        <v>4.0913210869986107</v>
      </c>
      <c r="G22" s="148">
        <v>4.3067998566565135</v>
      </c>
      <c r="H22" s="148">
        <v>4.6109315665781621</v>
      </c>
      <c r="I22" s="148">
        <v>4.8960871473792986</v>
      </c>
      <c r="J22" s="148">
        <v>5.5147583345082207</v>
      </c>
      <c r="K22" s="148">
        <v>6.1939131139568806</v>
      </c>
      <c r="L22" s="148">
        <v>7.0512275864599907</v>
      </c>
    </row>
    <row r="23" spans="1:16" s="312" customFormat="1" ht="15" customHeight="1">
      <c r="A23" s="307" t="s">
        <v>176</v>
      </c>
      <c r="B23" s="148">
        <v>1.1010694873793436</v>
      </c>
      <c r="C23" s="148">
        <v>1.1017356467254038</v>
      </c>
      <c r="D23" s="148">
        <v>1.12871068382037</v>
      </c>
      <c r="E23" s="148">
        <v>1.1404151049066509</v>
      </c>
      <c r="F23" s="148">
        <v>1.1988941934272794</v>
      </c>
      <c r="G23" s="148">
        <v>1.275712237950188</v>
      </c>
      <c r="H23" s="148">
        <v>1.3377274252143367</v>
      </c>
      <c r="I23" s="148">
        <v>1.4589697145407103</v>
      </c>
      <c r="J23" s="148">
        <v>1.6623774522697765</v>
      </c>
      <c r="K23" s="148">
        <v>1.9549359701734479</v>
      </c>
      <c r="L23" s="148">
        <v>2.3664182733252197</v>
      </c>
      <c r="N23" s="311"/>
    </row>
    <row r="24" spans="1:16" s="311" customFormat="1" ht="15" customHeight="1">
      <c r="A24" s="35" t="s">
        <v>177</v>
      </c>
      <c r="B24" s="148">
        <v>0.88626966556673814</v>
      </c>
      <c r="C24" s="148">
        <v>0.88472330549823186</v>
      </c>
      <c r="D24" s="148">
        <v>0.88821365012888631</v>
      </c>
      <c r="E24" s="148">
        <v>0.90410484708080852</v>
      </c>
      <c r="F24" s="211">
        <v>0.94973857930970074</v>
      </c>
      <c r="G24" s="211">
        <v>0.98669593262856115</v>
      </c>
      <c r="H24" s="211">
        <v>1.0197687926443937</v>
      </c>
      <c r="I24" s="211">
        <v>1.1025205012828354</v>
      </c>
      <c r="J24" s="211">
        <v>1.301704673384916</v>
      </c>
      <c r="K24" s="211">
        <v>1.5348922029502352</v>
      </c>
      <c r="L24" s="211">
        <v>1.895200906613757</v>
      </c>
    </row>
    <row r="25" spans="1:16" s="311" customFormat="1" ht="25.5" customHeight="1">
      <c r="A25" s="992" t="s">
        <v>783</v>
      </c>
      <c r="B25" s="992"/>
      <c r="C25" s="992"/>
      <c r="D25" s="992"/>
      <c r="E25" s="992"/>
      <c r="F25" s="992"/>
      <c r="G25" s="992"/>
      <c r="H25" s="992"/>
      <c r="I25" s="992"/>
      <c r="J25" s="992"/>
      <c r="K25" s="992"/>
      <c r="L25" s="992"/>
    </row>
    <row r="26" spans="1:16" s="162" customFormat="1" ht="15" customHeight="1">
      <c r="A26" s="19" t="s">
        <v>769</v>
      </c>
      <c r="B26" s="153"/>
      <c r="C26" s="153"/>
      <c r="D26" s="153"/>
      <c r="E26" s="153"/>
      <c r="F26" s="153"/>
      <c r="G26" s="153"/>
      <c r="H26" s="153"/>
      <c r="I26" s="153"/>
      <c r="J26" s="153"/>
      <c r="K26" s="153"/>
      <c r="L26" s="153"/>
    </row>
    <row r="27" spans="1:16" s="162" customFormat="1" ht="4.5" customHeight="1"/>
    <row r="28" spans="1:16" ht="15" customHeight="1">
      <c r="A28" s="1003" t="s">
        <v>128</v>
      </c>
      <c r="B28" s="1003"/>
      <c r="C28" s="1003"/>
      <c r="D28" s="1003"/>
      <c r="E28" s="1003"/>
      <c r="F28" s="1003"/>
      <c r="G28" s="1003"/>
      <c r="H28" s="1003"/>
      <c r="I28" s="1003"/>
      <c r="J28" s="1003"/>
      <c r="K28" s="1003"/>
      <c r="L28" s="1003"/>
    </row>
    <row r="29" spans="1:16" ht="25.5" customHeight="1"/>
  </sheetData>
  <mergeCells count="3">
    <mergeCell ref="A28:L28"/>
    <mergeCell ref="A1:L1"/>
    <mergeCell ref="A25:L25"/>
  </mergeCells>
  <conditionalFormatting sqref="A1 A28 M18 M1:N4 B26:D26 A30:D1048576 A2:D4 A6:K6 A14:D15 A8:J8 A5:L5 A7:L7 A9:L9 O1:XFD14 N5:N14 O18:XFD19 M15:XFD17 M27:XFD1048576 O23:XFD26 P20:XFD22 M23:M26 B10:J13 A9:A13 A16:L24">
    <cfRule type="cellIs" dxfId="555" priority="50" operator="equal">
      <formula>0</formula>
    </cfRule>
  </conditionalFormatting>
  <conditionalFormatting sqref="E26 E30:E1048576 E2:E4 E14:E15">
    <cfRule type="cellIs" dxfId="554" priority="48" operator="equal">
      <formula>0</formula>
    </cfRule>
  </conditionalFormatting>
  <conditionalFormatting sqref="F26 F30:F1048576 F2:F4 F14:F15 G4:H4">
    <cfRule type="cellIs" dxfId="553" priority="45" operator="equal">
      <formula>0</formula>
    </cfRule>
  </conditionalFormatting>
  <conditionalFormatting sqref="H26 H30:H1048576 H2:H3 H14:H15">
    <cfRule type="cellIs" dxfId="552" priority="39" operator="equal">
      <formula>0</formula>
    </cfRule>
  </conditionalFormatting>
  <conditionalFormatting sqref="G26 G30:G1048576 G2:G3 G14:G15">
    <cfRule type="cellIs" dxfId="551" priority="32" operator="equal">
      <formula>0</formula>
    </cfRule>
  </conditionalFormatting>
  <conditionalFormatting sqref="I4">
    <cfRule type="cellIs" dxfId="550" priority="30" operator="equal">
      <formula>0</formula>
    </cfRule>
  </conditionalFormatting>
  <conditionalFormatting sqref="I26 I30:I1048576 I2:I3 I14:I15">
    <cfRule type="cellIs" dxfId="549" priority="28" operator="equal">
      <formula>0</formula>
    </cfRule>
  </conditionalFormatting>
  <conditionalFormatting sqref="J4">
    <cfRule type="cellIs" dxfId="548" priority="26" operator="equal">
      <formula>0</formula>
    </cfRule>
  </conditionalFormatting>
  <conditionalFormatting sqref="J26 J30:J1048576 J2:J3 J14:J15">
    <cfRule type="cellIs" dxfId="547" priority="24" operator="equal">
      <formula>0</formula>
    </cfRule>
  </conditionalFormatting>
  <conditionalFormatting sqref="N23:N26">
    <cfRule type="cellIs" dxfId="546" priority="21" operator="equal">
      <formula>0</formula>
    </cfRule>
    <cfRule type="cellIs" priority="22" operator="equal">
      <formula>0</formula>
    </cfRule>
  </conditionalFormatting>
  <conditionalFormatting sqref="K10:K13">
    <cfRule type="cellIs" dxfId="545" priority="19" operator="equal">
      <formula>0</formula>
    </cfRule>
  </conditionalFormatting>
  <conditionalFormatting sqref="K4">
    <cfRule type="cellIs" dxfId="544" priority="18" operator="equal">
      <formula>0</formula>
    </cfRule>
  </conditionalFormatting>
  <conditionalFormatting sqref="K26 K30:K1048576 K2:K3 K14:K15">
    <cfRule type="cellIs" dxfId="543" priority="16" operator="equal">
      <formula>0</formula>
    </cfRule>
  </conditionalFormatting>
  <conditionalFormatting sqref="K8">
    <cfRule type="cellIs" dxfId="542" priority="15" operator="equal">
      <formula>0</formula>
    </cfRule>
  </conditionalFormatting>
  <conditionalFormatting sqref="L6">
    <cfRule type="cellIs" dxfId="541" priority="12" operator="equal">
      <formula>0</formula>
    </cfRule>
  </conditionalFormatting>
  <conditionalFormatting sqref="L10:L13">
    <cfRule type="cellIs" dxfId="540" priority="11" operator="equal">
      <formula>0</formula>
    </cfRule>
  </conditionalFormatting>
  <conditionalFormatting sqref="L4">
    <cfRule type="cellIs" dxfId="539" priority="10" operator="equal">
      <formula>0</formula>
    </cfRule>
  </conditionalFormatting>
  <conditionalFormatting sqref="L26 L30:L1048576 L2:L3 L14:L15">
    <cfRule type="cellIs" dxfId="538" priority="9" operator="equal">
      <formula>0</formula>
    </cfRule>
  </conditionalFormatting>
  <conditionalFormatting sqref="L8">
    <cfRule type="cellIs" dxfId="537" priority="8" operator="equal">
      <formula>0</formula>
    </cfRule>
  </conditionalFormatting>
  <conditionalFormatting sqref="O19:O21">
    <cfRule type="cellIs" dxfId="536" priority="6" operator="equal">
      <formula>0</formula>
    </cfRule>
    <cfRule type="cellIs" priority="7" operator="equal">
      <formula>0</formula>
    </cfRule>
  </conditionalFormatting>
  <conditionalFormatting sqref="A26">
    <cfRule type="cellIs" dxfId="535" priority="3" operator="equal">
      <formula>0</formula>
    </cfRule>
  </conditionalFormatting>
  <conditionalFormatting sqref="A25">
    <cfRule type="cellIs" dxfId="534" priority="1" operator="equal">
      <formula>0</formula>
    </cfRule>
    <cfRule type="cellIs" priority="2"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38">
    <tabColor rgb="FFA50021"/>
    <pageSetUpPr fitToPage="1"/>
  </sheetPr>
  <dimension ref="A1:AN41"/>
  <sheetViews>
    <sheetView showGridLines="0" workbookViewId="0">
      <selection activeCell="Y70" sqref="Y70"/>
    </sheetView>
  </sheetViews>
  <sheetFormatPr defaultColWidth="9.140625" defaultRowHeight="11.25"/>
  <cols>
    <col min="1" max="1" width="17.140625" style="194" customWidth="1"/>
    <col min="2" max="12" width="7.5703125" style="194" customWidth="1"/>
    <col min="13" max="13" width="10" style="6" bestFit="1" customWidth="1"/>
    <col min="14" max="14" width="9.5703125" style="6" bestFit="1" customWidth="1"/>
    <col min="15" max="25" width="9.140625" style="6"/>
    <col min="26" max="16384" width="9.140625" style="194"/>
  </cols>
  <sheetData>
    <row r="1" spans="1:40" s="165" customFormat="1" ht="28.5" customHeight="1">
      <c r="A1" s="1001" t="s">
        <v>810</v>
      </c>
      <c r="B1" s="1001"/>
      <c r="C1" s="1001"/>
      <c r="D1" s="1001"/>
      <c r="E1" s="1001"/>
      <c r="F1" s="1001"/>
      <c r="G1" s="1001"/>
      <c r="H1" s="1001"/>
      <c r="I1" s="1001"/>
      <c r="J1" s="1001"/>
      <c r="K1" s="1001"/>
      <c r="L1" s="1001"/>
      <c r="M1" s="652"/>
      <c r="N1" s="652"/>
      <c r="O1" s="652"/>
      <c r="P1" s="652"/>
      <c r="Q1" s="652"/>
      <c r="R1" s="652"/>
      <c r="S1" s="652"/>
      <c r="T1" s="652"/>
      <c r="U1" s="652"/>
      <c r="V1" s="652"/>
      <c r="W1" s="652"/>
      <c r="X1" s="652"/>
      <c r="Y1" s="652"/>
    </row>
    <row r="2" spans="1:40" s="191" customFormat="1" ht="15" customHeight="1">
      <c r="A2" s="146"/>
      <c r="B2" s="146"/>
      <c r="C2" s="146"/>
      <c r="D2" s="146"/>
      <c r="E2" s="146"/>
      <c r="F2" s="146"/>
      <c r="G2" s="146"/>
      <c r="H2" s="146"/>
      <c r="I2" s="146"/>
      <c r="J2" s="146"/>
      <c r="K2" s="146"/>
      <c r="L2" s="146"/>
      <c r="M2" s="652"/>
      <c r="N2" s="653"/>
      <c r="O2" s="653"/>
      <c r="P2" s="653"/>
      <c r="Q2" s="653"/>
      <c r="R2" s="653"/>
      <c r="S2" s="653"/>
      <c r="T2" s="653"/>
      <c r="U2" s="653"/>
      <c r="V2" s="653"/>
      <c r="W2" s="653"/>
      <c r="X2" s="653"/>
      <c r="Y2" s="653"/>
    </row>
    <row r="3" spans="1:40" s="191" customFormat="1" ht="14.25" customHeight="1">
      <c r="A3" s="146" t="s">
        <v>13</v>
      </c>
      <c r="B3" s="309"/>
      <c r="C3" s="309"/>
      <c r="D3" s="309"/>
      <c r="E3" s="309"/>
      <c r="F3" s="309"/>
      <c r="G3" s="309"/>
      <c r="H3" s="146"/>
      <c r="I3" s="146"/>
      <c r="J3" s="146"/>
      <c r="K3" s="146"/>
      <c r="L3" s="146"/>
      <c r="M3" s="652"/>
      <c r="N3" s="653"/>
      <c r="O3" s="653"/>
      <c r="P3" s="653"/>
      <c r="Q3" s="653"/>
      <c r="R3" s="653"/>
      <c r="S3" s="653"/>
      <c r="T3" s="653"/>
      <c r="U3" s="653"/>
      <c r="V3" s="653"/>
      <c r="W3" s="653"/>
      <c r="X3" s="653"/>
      <c r="Y3" s="653"/>
    </row>
    <row r="4" spans="1:40" s="193" customFormat="1" ht="28.5" customHeight="1" thickBot="1">
      <c r="A4" s="104"/>
      <c r="B4" s="160">
        <v>2014</v>
      </c>
      <c r="C4" s="160">
        <v>2015</v>
      </c>
      <c r="D4" s="160">
        <v>2016</v>
      </c>
      <c r="E4" s="160">
        <v>2017</v>
      </c>
      <c r="F4" s="160">
        <v>2018</v>
      </c>
      <c r="G4" s="160">
        <v>2019</v>
      </c>
      <c r="H4" s="160">
        <v>2020</v>
      </c>
      <c r="I4" s="160">
        <v>2021</v>
      </c>
      <c r="J4" s="160">
        <v>2022</v>
      </c>
      <c r="K4" s="160">
        <v>2023</v>
      </c>
      <c r="L4" s="160">
        <v>2024</v>
      </c>
      <c r="M4" s="652"/>
      <c r="N4" s="230">
        <f>+B4</f>
        <v>2014</v>
      </c>
      <c r="O4" s="230">
        <f t="shared" ref="O4:W4" si="0">+C4</f>
        <v>2015</v>
      </c>
      <c r="P4" s="230">
        <f t="shared" si="0"/>
        <v>2016</v>
      </c>
      <c r="Q4" s="230">
        <f t="shared" si="0"/>
        <v>2017</v>
      </c>
      <c r="R4" s="230">
        <f t="shared" si="0"/>
        <v>2018</v>
      </c>
      <c r="S4" s="230">
        <f t="shared" si="0"/>
        <v>2019</v>
      </c>
      <c r="T4" s="230">
        <f t="shared" si="0"/>
        <v>2020</v>
      </c>
      <c r="U4" s="230">
        <f t="shared" si="0"/>
        <v>2021</v>
      </c>
      <c r="V4" s="230">
        <f t="shared" si="0"/>
        <v>2022</v>
      </c>
      <c r="W4" s="230">
        <f t="shared" si="0"/>
        <v>2023</v>
      </c>
      <c r="X4" s="230">
        <f>+L4</f>
        <v>2024</v>
      </c>
      <c r="Y4" s="230"/>
    </row>
    <row r="5" spans="1:40" s="97" customFormat="1" ht="29.25" customHeight="1" thickTop="1">
      <c r="A5" s="288" t="s">
        <v>123</v>
      </c>
      <c r="B5" s="358">
        <v>1928307</v>
      </c>
      <c r="C5" s="358">
        <v>1991131</v>
      </c>
      <c r="D5" s="358">
        <v>2054911</v>
      </c>
      <c r="E5" s="358">
        <v>2131943</v>
      </c>
      <c r="F5" s="359">
        <v>2205449</v>
      </c>
      <c r="G5" s="359">
        <v>2232400</v>
      </c>
      <c r="H5" s="359">
        <v>2164118</v>
      </c>
      <c r="I5" s="359">
        <v>2200594</v>
      </c>
      <c r="J5" s="359">
        <v>2376115</v>
      </c>
      <c r="K5" s="359">
        <v>2467600</v>
      </c>
      <c r="L5" s="359">
        <v>2506911</v>
      </c>
      <c r="M5" s="652"/>
      <c r="N5" s="79"/>
      <c r="O5" s="79"/>
      <c r="P5" s="79"/>
      <c r="Q5" s="79"/>
      <c r="R5" s="79"/>
      <c r="S5" s="79"/>
      <c r="T5" s="79"/>
      <c r="U5" s="79"/>
      <c r="V5" s="79"/>
      <c r="W5" s="79"/>
      <c r="X5" s="79"/>
      <c r="Y5" s="79"/>
    </row>
    <row r="6" spans="1:40" s="145" customFormat="1" ht="29.25" customHeight="1">
      <c r="A6" s="294" t="s">
        <v>120</v>
      </c>
      <c r="B6" s="358">
        <v>786.99</v>
      </c>
      <c r="C6" s="358">
        <v>790.03</v>
      </c>
      <c r="D6" s="358">
        <v>800</v>
      </c>
      <c r="E6" s="358">
        <v>822.95</v>
      </c>
      <c r="F6" s="359">
        <v>854.8</v>
      </c>
      <c r="G6" s="359">
        <v>892.01</v>
      </c>
      <c r="H6" s="359">
        <v>926.14</v>
      </c>
      <c r="I6" s="359">
        <v>962.2</v>
      </c>
      <c r="J6" s="359">
        <v>1017.5</v>
      </c>
      <c r="K6" s="359">
        <v>1100.17</v>
      </c>
      <c r="L6" s="359">
        <v>1191.02</v>
      </c>
      <c r="M6" s="658">
        <f>+(L6/B6-1)*100</f>
        <v>51.338644709589708</v>
      </c>
      <c r="N6" s="659"/>
      <c r="O6" s="659"/>
      <c r="P6" s="659"/>
      <c r="Q6" s="659"/>
      <c r="R6" s="659"/>
      <c r="S6" s="659"/>
      <c r="T6" s="659"/>
      <c r="U6" s="659"/>
      <c r="V6" s="659"/>
      <c r="W6" s="659"/>
      <c r="X6" s="659"/>
      <c r="Y6" s="659"/>
    </row>
    <row r="7" spans="1:40" s="145" customFormat="1" ht="12" customHeight="1">
      <c r="A7" s="54" t="s">
        <v>809</v>
      </c>
      <c r="B7" s="809"/>
      <c r="C7" s="809"/>
      <c r="D7" s="809"/>
      <c r="E7" s="809"/>
      <c r="F7" s="809"/>
      <c r="G7" s="809"/>
      <c r="H7" s="809"/>
      <c r="I7" s="809"/>
      <c r="J7" s="809"/>
      <c r="K7" s="809"/>
      <c r="L7" s="809"/>
      <c r="M7" s="766"/>
      <c r="N7" s="810"/>
      <c r="O7" s="811"/>
      <c r="P7" s="811"/>
      <c r="Q7" s="811"/>
      <c r="R7" s="811"/>
      <c r="S7" s="811"/>
      <c r="T7" s="811"/>
      <c r="U7" s="811"/>
      <c r="V7" s="811"/>
      <c r="W7" s="811"/>
      <c r="X7" s="811"/>
      <c r="Y7" s="811"/>
      <c r="Z7" s="811"/>
      <c r="AA7" s="811"/>
      <c r="AB7" s="812"/>
      <c r="AC7" s="678"/>
      <c r="AD7" s="678"/>
      <c r="AE7" s="678"/>
      <c r="AF7" s="678"/>
      <c r="AG7" s="678"/>
      <c r="AH7" s="678"/>
      <c r="AI7" s="678"/>
      <c r="AJ7" s="678"/>
      <c r="AK7" s="678"/>
      <c r="AL7" s="678"/>
      <c r="AM7" s="811"/>
      <c r="AN7" s="678"/>
    </row>
    <row r="8" spans="1:40" s="145" customFormat="1" ht="18" customHeight="1">
      <c r="A8" s="56" t="s">
        <v>105</v>
      </c>
      <c r="B8" s="813">
        <v>555.6</v>
      </c>
      <c r="C8" s="813">
        <v>557.4</v>
      </c>
      <c r="D8" s="813">
        <v>578</v>
      </c>
      <c r="E8" s="813">
        <v>605</v>
      </c>
      <c r="F8" s="813">
        <v>632.79999999999995</v>
      </c>
      <c r="G8" s="813">
        <v>655.20000000000005</v>
      </c>
      <c r="H8" s="813">
        <v>695</v>
      </c>
      <c r="I8" s="813">
        <v>728</v>
      </c>
      <c r="J8" s="813">
        <v>775</v>
      </c>
      <c r="K8" s="813">
        <v>839.6</v>
      </c>
      <c r="L8" s="813">
        <v>911</v>
      </c>
      <c r="M8" s="789"/>
      <c r="N8" s="812"/>
      <c r="O8" s="814"/>
      <c r="P8" s="815"/>
      <c r="Q8" s="816"/>
      <c r="R8" s="816"/>
      <c r="S8" s="816"/>
      <c r="T8" s="816"/>
      <c r="U8" s="816"/>
      <c r="V8" s="816"/>
      <c r="W8" s="816"/>
      <c r="X8" s="816"/>
      <c r="Y8" s="816"/>
      <c r="Z8" s="811"/>
      <c r="AA8" s="811"/>
      <c r="AB8" s="812"/>
      <c r="AC8" s="678"/>
      <c r="AD8" s="678"/>
      <c r="AE8" s="678"/>
      <c r="AF8" s="678"/>
      <c r="AG8" s="678"/>
      <c r="AH8" s="678"/>
      <c r="AI8" s="678"/>
      <c r="AJ8" s="678"/>
      <c r="AK8" s="678"/>
      <c r="AL8" s="678"/>
      <c r="AM8" s="811"/>
      <c r="AN8" s="678"/>
    </row>
    <row r="9" spans="1:40" s="145" customFormat="1" ht="18" customHeight="1">
      <c r="A9" s="56" t="s">
        <v>106</v>
      </c>
      <c r="B9" s="813">
        <v>603</v>
      </c>
      <c r="C9" s="813">
        <v>599.86</v>
      </c>
      <c r="D9" s="813">
        <v>618.22</v>
      </c>
      <c r="E9" s="813">
        <v>651.55999999999995</v>
      </c>
      <c r="F9" s="813">
        <v>681.85</v>
      </c>
      <c r="G9" s="813">
        <v>709.7</v>
      </c>
      <c r="H9" s="813">
        <v>737.42</v>
      </c>
      <c r="I9" s="813">
        <v>766</v>
      </c>
      <c r="J9" s="813">
        <v>809.94</v>
      </c>
      <c r="K9" s="813">
        <v>885</v>
      </c>
      <c r="L9" s="813">
        <v>958</v>
      </c>
      <c r="M9" s="766"/>
      <c r="N9" s="812"/>
      <c r="O9" s="814"/>
      <c r="P9" s="816"/>
      <c r="Q9" s="816"/>
      <c r="R9" s="816"/>
      <c r="S9" s="816"/>
      <c r="T9" s="816"/>
      <c r="U9" s="816"/>
      <c r="V9" s="816"/>
      <c r="W9" s="816"/>
      <c r="X9" s="816"/>
      <c r="Y9" s="816"/>
      <c r="Z9" s="811"/>
      <c r="AA9" s="811"/>
      <c r="AB9" s="812"/>
      <c r="AC9" s="678"/>
      <c r="AD9" s="678"/>
      <c r="AE9" s="678"/>
      <c r="AF9" s="678"/>
      <c r="AG9" s="678"/>
      <c r="AH9" s="678"/>
      <c r="AI9" s="678"/>
      <c r="AJ9" s="678"/>
      <c r="AK9" s="678"/>
      <c r="AL9" s="678"/>
      <c r="AM9" s="811"/>
      <c r="AN9" s="678"/>
    </row>
    <row r="10" spans="1:40" s="145" customFormat="1" ht="18" customHeight="1">
      <c r="A10" s="56" t="s">
        <v>107</v>
      </c>
      <c r="B10" s="813">
        <v>644.95000000000005</v>
      </c>
      <c r="C10" s="813">
        <v>647</v>
      </c>
      <c r="D10" s="813">
        <v>659.1</v>
      </c>
      <c r="E10" s="813">
        <v>687.15</v>
      </c>
      <c r="F10" s="813">
        <v>718</v>
      </c>
      <c r="G10" s="813">
        <v>747.99</v>
      </c>
      <c r="H10" s="813">
        <v>779.94</v>
      </c>
      <c r="I10" s="813">
        <v>811.33</v>
      </c>
      <c r="J10" s="813">
        <v>857.6</v>
      </c>
      <c r="K10" s="813">
        <v>932</v>
      </c>
      <c r="L10" s="813">
        <v>1018</v>
      </c>
      <c r="M10" s="766"/>
      <c r="N10" s="812"/>
      <c r="O10" s="814"/>
      <c r="P10" s="816"/>
      <c r="Q10" s="816"/>
      <c r="R10" s="816"/>
      <c r="S10" s="816"/>
      <c r="T10" s="816"/>
      <c r="U10" s="816"/>
      <c r="V10" s="816"/>
      <c r="W10" s="816"/>
      <c r="X10" s="816"/>
      <c r="Y10" s="816"/>
      <c r="Z10" s="811"/>
      <c r="AA10" s="811"/>
      <c r="AB10" s="812"/>
      <c r="AC10" s="678"/>
      <c r="AD10" s="678"/>
      <c r="AE10" s="678"/>
      <c r="AF10" s="678"/>
      <c r="AG10" s="678"/>
      <c r="AH10" s="678"/>
      <c r="AI10" s="678"/>
      <c r="AJ10" s="678"/>
      <c r="AK10" s="678"/>
      <c r="AL10" s="678"/>
      <c r="AM10" s="811"/>
      <c r="AN10" s="678"/>
    </row>
    <row r="11" spans="1:40" s="145" customFormat="1" ht="18" customHeight="1">
      <c r="A11" s="56" t="s">
        <v>108</v>
      </c>
      <c r="B11" s="813">
        <v>704.8</v>
      </c>
      <c r="C11" s="813">
        <v>708.44</v>
      </c>
      <c r="D11" s="813">
        <v>719.7</v>
      </c>
      <c r="E11" s="813">
        <v>745.51</v>
      </c>
      <c r="F11" s="813">
        <v>777.65</v>
      </c>
      <c r="G11" s="813">
        <v>809.71</v>
      </c>
      <c r="H11" s="813">
        <v>844.75</v>
      </c>
      <c r="I11" s="813">
        <v>879.77</v>
      </c>
      <c r="J11" s="813">
        <v>929.8</v>
      </c>
      <c r="K11" s="813">
        <v>1005</v>
      </c>
      <c r="L11" s="813">
        <v>1090.9000000000001</v>
      </c>
      <c r="N11" s="812"/>
      <c r="O11" s="814"/>
      <c r="P11" s="816"/>
      <c r="Q11" s="816"/>
      <c r="R11" s="816"/>
      <c r="S11" s="816"/>
      <c r="T11" s="816"/>
      <c r="U11" s="816"/>
      <c r="V11" s="816"/>
      <c r="W11" s="816"/>
      <c r="X11" s="816"/>
      <c r="Y11" s="816"/>
      <c r="Z11" s="811"/>
      <c r="AA11" s="811"/>
      <c r="AB11" s="812"/>
      <c r="AC11" s="678"/>
      <c r="AD11" s="678"/>
      <c r="AE11" s="678"/>
      <c r="AF11" s="678"/>
      <c r="AG11" s="678"/>
      <c r="AH11" s="678"/>
      <c r="AI11" s="678"/>
      <c r="AJ11" s="678"/>
      <c r="AK11" s="678"/>
      <c r="AL11" s="678"/>
      <c r="AM11" s="811"/>
      <c r="AN11" s="678"/>
    </row>
    <row r="12" spans="1:40" s="145" customFormat="1" ht="18" customHeight="1">
      <c r="A12" s="56" t="s">
        <v>109</v>
      </c>
      <c r="B12" s="813">
        <v>786.98</v>
      </c>
      <c r="C12" s="813">
        <v>790.03</v>
      </c>
      <c r="D12" s="813">
        <v>800</v>
      </c>
      <c r="E12" s="813">
        <v>822.95</v>
      </c>
      <c r="F12" s="813">
        <v>854.8</v>
      </c>
      <c r="G12" s="813">
        <v>892.01</v>
      </c>
      <c r="H12" s="813">
        <v>926.14</v>
      </c>
      <c r="I12" s="813">
        <v>962.2</v>
      </c>
      <c r="J12" s="813">
        <v>1017.5</v>
      </c>
      <c r="K12" s="813">
        <v>1100.17</v>
      </c>
      <c r="L12" s="813">
        <v>1191.02</v>
      </c>
      <c r="N12" s="812"/>
      <c r="O12" s="814"/>
      <c r="P12" s="816"/>
      <c r="Q12" s="816"/>
      <c r="R12" s="816"/>
      <c r="S12" s="816"/>
      <c r="T12" s="816"/>
      <c r="U12" s="816"/>
      <c r="V12" s="816"/>
      <c r="W12" s="816"/>
      <c r="X12" s="816"/>
      <c r="Y12" s="816"/>
      <c r="Z12" s="811"/>
      <c r="AA12" s="811"/>
      <c r="AB12" s="812"/>
      <c r="AC12" s="678"/>
      <c r="AD12" s="678"/>
      <c r="AE12" s="678"/>
      <c r="AF12" s="678"/>
      <c r="AG12" s="678"/>
      <c r="AH12" s="678"/>
      <c r="AI12" s="678"/>
      <c r="AJ12" s="678"/>
      <c r="AK12" s="678"/>
      <c r="AL12" s="678"/>
      <c r="AM12" s="811"/>
      <c r="AN12" s="678"/>
    </row>
    <row r="13" spans="1:40" s="145" customFormat="1" ht="18" customHeight="1">
      <c r="A13" s="56" t="s">
        <v>110</v>
      </c>
      <c r="B13" s="813">
        <v>894.88</v>
      </c>
      <c r="C13" s="813">
        <v>898.82</v>
      </c>
      <c r="D13" s="813">
        <v>905.9</v>
      </c>
      <c r="E13" s="813">
        <v>930.11</v>
      </c>
      <c r="F13" s="813">
        <v>964.53</v>
      </c>
      <c r="G13" s="813">
        <v>1005.04</v>
      </c>
      <c r="H13" s="813">
        <v>1047</v>
      </c>
      <c r="I13" s="813">
        <v>1087.1600000000001</v>
      </c>
      <c r="J13" s="813">
        <v>1145.4000000000001</v>
      </c>
      <c r="K13" s="813">
        <v>1233</v>
      </c>
      <c r="L13" s="813">
        <v>1335.83</v>
      </c>
      <c r="N13" s="812"/>
      <c r="O13" s="814"/>
      <c r="P13" s="816"/>
      <c r="Q13" s="816"/>
      <c r="R13" s="816"/>
      <c r="S13" s="816"/>
      <c r="T13" s="816"/>
      <c r="U13" s="816"/>
      <c r="V13" s="816"/>
      <c r="W13" s="816"/>
      <c r="X13" s="816"/>
      <c r="Y13" s="816"/>
      <c r="Z13" s="811"/>
      <c r="AA13" s="811"/>
      <c r="AB13" s="812"/>
      <c r="AC13" s="678"/>
      <c r="AD13" s="678"/>
      <c r="AE13" s="678"/>
      <c r="AF13" s="678"/>
      <c r="AG13" s="678"/>
      <c r="AH13" s="678"/>
      <c r="AI13" s="678"/>
      <c r="AJ13" s="678"/>
      <c r="AK13" s="678"/>
      <c r="AL13" s="678"/>
      <c r="AM13" s="811"/>
      <c r="AN13" s="678"/>
    </row>
    <row r="14" spans="1:40" s="145" customFormat="1" ht="18" customHeight="1">
      <c r="A14" s="56" t="s">
        <v>111</v>
      </c>
      <c r="B14" s="813">
        <v>1065.29</v>
      </c>
      <c r="C14" s="813">
        <v>1071.26</v>
      </c>
      <c r="D14" s="813">
        <v>1076.72</v>
      </c>
      <c r="E14" s="813">
        <v>1098.5</v>
      </c>
      <c r="F14" s="813">
        <v>1136</v>
      </c>
      <c r="G14" s="813">
        <v>1183.3800000000001</v>
      </c>
      <c r="H14" s="813">
        <v>1235.17</v>
      </c>
      <c r="I14" s="813">
        <v>1278.04</v>
      </c>
      <c r="J14" s="813">
        <v>1343.83</v>
      </c>
      <c r="K14" s="813">
        <v>1440.06</v>
      </c>
      <c r="L14" s="813">
        <v>1551</v>
      </c>
      <c r="N14" s="812"/>
      <c r="O14" s="814"/>
      <c r="P14" s="816"/>
      <c r="Q14" s="816"/>
      <c r="R14" s="816"/>
      <c r="S14" s="816"/>
      <c r="T14" s="816"/>
      <c r="U14" s="816"/>
      <c r="V14" s="816"/>
      <c r="W14" s="816"/>
      <c r="X14" s="816"/>
      <c r="Y14" s="816"/>
      <c r="Z14" s="811"/>
      <c r="AA14" s="811"/>
      <c r="AB14" s="812"/>
      <c r="AC14" s="678"/>
      <c r="AD14" s="678"/>
      <c r="AE14" s="678"/>
      <c r="AF14" s="678"/>
      <c r="AG14" s="678"/>
      <c r="AH14" s="678"/>
      <c r="AI14" s="678"/>
      <c r="AJ14" s="678"/>
      <c r="AK14" s="678"/>
      <c r="AL14" s="678"/>
      <c r="AM14" s="811"/>
      <c r="AN14" s="678"/>
    </row>
    <row r="15" spans="1:40" s="145" customFormat="1" ht="18" customHeight="1">
      <c r="A15" s="56" t="s">
        <v>112</v>
      </c>
      <c r="B15" s="813">
        <v>1349.76</v>
      </c>
      <c r="C15" s="813">
        <v>1350</v>
      </c>
      <c r="D15" s="813">
        <v>1351.02</v>
      </c>
      <c r="E15" s="813">
        <v>1374.6</v>
      </c>
      <c r="F15" s="813">
        <v>1417.92</v>
      </c>
      <c r="G15" s="813">
        <v>1471.67</v>
      </c>
      <c r="H15" s="813">
        <v>1517.99</v>
      </c>
      <c r="I15" s="813">
        <v>1569.5</v>
      </c>
      <c r="J15" s="813">
        <v>1652.03</v>
      </c>
      <c r="K15" s="813">
        <v>1763.96</v>
      </c>
      <c r="L15" s="813">
        <v>1893.43</v>
      </c>
      <c r="N15" s="812"/>
      <c r="O15" s="814"/>
      <c r="P15" s="816"/>
      <c r="Q15" s="816"/>
      <c r="R15" s="816"/>
      <c r="S15" s="816"/>
      <c r="T15" s="816"/>
      <c r="U15" s="816"/>
      <c r="V15" s="816"/>
      <c r="W15" s="816"/>
      <c r="X15" s="816"/>
      <c r="Y15" s="816"/>
      <c r="Z15" s="811"/>
      <c r="AA15" s="811"/>
      <c r="AB15" s="810"/>
      <c r="AC15" s="678"/>
      <c r="AD15" s="678"/>
      <c r="AE15" s="678"/>
      <c r="AF15" s="678"/>
      <c r="AG15" s="678"/>
      <c r="AH15" s="678"/>
      <c r="AI15" s="678"/>
      <c r="AJ15" s="678"/>
      <c r="AK15" s="678"/>
      <c r="AL15" s="678"/>
      <c r="AM15" s="811"/>
      <c r="AN15" s="678"/>
    </row>
    <row r="16" spans="1:40" s="145" customFormat="1" ht="18" customHeight="1">
      <c r="A16" s="56" t="s">
        <v>113</v>
      </c>
      <c r="B16" s="813">
        <v>1932.5</v>
      </c>
      <c r="C16" s="813">
        <v>1929.23</v>
      </c>
      <c r="D16" s="813">
        <v>1934.8</v>
      </c>
      <c r="E16" s="813">
        <v>1951.52</v>
      </c>
      <c r="F16" s="813">
        <v>2000</v>
      </c>
      <c r="G16" s="813">
        <v>2061.38</v>
      </c>
      <c r="H16" s="813">
        <v>2123.3000000000002</v>
      </c>
      <c r="I16" s="813">
        <v>2181.67</v>
      </c>
      <c r="J16" s="813">
        <v>2306.09</v>
      </c>
      <c r="K16" s="813">
        <v>2460.2399999999998</v>
      </c>
      <c r="L16" s="813">
        <v>2644.06</v>
      </c>
      <c r="N16" s="812"/>
      <c r="O16" s="814"/>
      <c r="P16" s="816"/>
      <c r="Q16" s="816"/>
      <c r="R16" s="816"/>
      <c r="S16" s="816"/>
      <c r="T16" s="816"/>
      <c r="U16" s="816"/>
      <c r="V16" s="816"/>
      <c r="W16" s="816"/>
      <c r="X16" s="816"/>
      <c r="Y16" s="816"/>
      <c r="Z16" s="811"/>
      <c r="AA16" s="811"/>
      <c r="AB16" s="812"/>
      <c r="AC16" s="678"/>
      <c r="AD16" s="678"/>
      <c r="AE16" s="678"/>
      <c r="AF16" s="678"/>
      <c r="AG16" s="678"/>
      <c r="AH16" s="678"/>
      <c r="AI16" s="678"/>
      <c r="AJ16" s="678"/>
      <c r="AK16" s="678"/>
      <c r="AL16" s="678"/>
      <c r="AM16" s="811"/>
      <c r="AN16" s="678"/>
    </row>
    <row r="17" spans="1:25" s="145" customFormat="1" ht="20.25" customHeight="1">
      <c r="A17" s="54" t="s">
        <v>121</v>
      </c>
      <c r="B17" s="352"/>
      <c r="C17" s="352"/>
      <c r="D17" s="352"/>
      <c r="E17" s="352"/>
      <c r="F17" s="353"/>
      <c r="G17" s="353"/>
      <c r="H17" s="353"/>
      <c r="I17" s="353"/>
      <c r="J17" s="353"/>
      <c r="K17" s="353"/>
      <c r="L17" s="353"/>
      <c r="M17" s="652"/>
      <c r="N17" s="659"/>
      <c r="O17" s="659"/>
      <c r="P17" s="659"/>
      <c r="Q17" s="659"/>
      <c r="R17" s="659"/>
      <c r="S17" s="659"/>
      <c r="T17" s="659"/>
      <c r="U17" s="659"/>
      <c r="V17" s="659"/>
      <c r="W17" s="659"/>
      <c r="X17" s="659"/>
      <c r="Y17" s="659"/>
    </row>
    <row r="18" spans="1:25" s="145" customFormat="1" ht="19.5" customHeight="1">
      <c r="A18" s="56" t="s">
        <v>105</v>
      </c>
      <c r="B18" s="352">
        <v>517.54999999999995</v>
      </c>
      <c r="C18" s="352">
        <v>518.95000000000005</v>
      </c>
      <c r="D18" s="352">
        <v>541.09</v>
      </c>
      <c r="E18" s="352">
        <v>568.88</v>
      </c>
      <c r="F18" s="353">
        <v>593.04999999999995</v>
      </c>
      <c r="G18" s="353">
        <v>615.49</v>
      </c>
      <c r="H18" s="353">
        <v>651.89</v>
      </c>
      <c r="I18" s="353">
        <v>684.62</v>
      </c>
      <c r="J18" s="353">
        <v>726.79</v>
      </c>
      <c r="K18" s="353">
        <v>786.12</v>
      </c>
      <c r="L18" s="353">
        <v>851.09</v>
      </c>
      <c r="M18" s="660"/>
      <c r="N18" s="659"/>
      <c r="O18" s="659"/>
      <c r="P18" s="659"/>
      <c r="Q18" s="659"/>
      <c r="R18" s="659"/>
      <c r="S18" s="659"/>
      <c r="T18" s="659"/>
      <c r="U18" s="659"/>
      <c r="V18" s="659"/>
      <c r="W18" s="659"/>
      <c r="X18" s="659"/>
      <c r="Y18" s="659"/>
    </row>
    <row r="19" spans="1:25" s="145" customFormat="1" ht="14.25" customHeight="1">
      <c r="A19" s="56" t="s">
        <v>106</v>
      </c>
      <c r="B19" s="352">
        <v>580.52</v>
      </c>
      <c r="C19" s="352">
        <v>581.94000000000005</v>
      </c>
      <c r="D19" s="352">
        <v>600.67999999999995</v>
      </c>
      <c r="E19" s="352">
        <v>630.6</v>
      </c>
      <c r="F19" s="353">
        <v>660.08</v>
      </c>
      <c r="G19" s="353">
        <v>687.04</v>
      </c>
      <c r="H19" s="353">
        <v>720.8</v>
      </c>
      <c r="I19" s="353">
        <v>751.73</v>
      </c>
      <c r="J19" s="353">
        <v>795.53</v>
      </c>
      <c r="K19" s="353">
        <v>863.33</v>
      </c>
      <c r="L19" s="353">
        <v>938.65</v>
      </c>
      <c r="M19" s="652"/>
      <c r="N19" s="659"/>
      <c r="O19" s="659"/>
      <c r="P19" s="659"/>
      <c r="Q19" s="659"/>
      <c r="R19" s="659"/>
      <c r="S19" s="659"/>
      <c r="T19" s="659"/>
      <c r="U19" s="659"/>
      <c r="V19" s="659"/>
      <c r="W19" s="659"/>
      <c r="X19" s="659"/>
      <c r="Y19" s="659"/>
    </row>
    <row r="20" spans="1:25" s="145" customFormat="1" ht="14.25" customHeight="1">
      <c r="A20" s="56" t="s">
        <v>107</v>
      </c>
      <c r="B20" s="352">
        <v>622.01</v>
      </c>
      <c r="C20" s="352">
        <v>622.59</v>
      </c>
      <c r="D20" s="352">
        <v>637.89</v>
      </c>
      <c r="E20" s="352">
        <v>666.63</v>
      </c>
      <c r="F20" s="353">
        <v>697.55</v>
      </c>
      <c r="G20" s="353">
        <v>726.15</v>
      </c>
      <c r="H20" s="353">
        <v>756.5</v>
      </c>
      <c r="I20" s="353">
        <v>787.93</v>
      </c>
      <c r="J20" s="353">
        <v>832.19</v>
      </c>
      <c r="K20" s="353">
        <v>904.46</v>
      </c>
      <c r="L20" s="353">
        <v>985.3</v>
      </c>
      <c r="M20" s="652"/>
      <c r="N20" s="659"/>
      <c r="O20" s="659"/>
      <c r="P20" s="659"/>
      <c r="Q20" s="659"/>
      <c r="R20" s="659"/>
      <c r="S20" s="659"/>
      <c r="T20" s="659"/>
      <c r="U20" s="659"/>
      <c r="V20" s="659"/>
      <c r="W20" s="659"/>
      <c r="X20" s="659"/>
      <c r="Y20" s="659"/>
    </row>
    <row r="21" spans="1:25" s="145" customFormat="1" ht="14.25" customHeight="1">
      <c r="A21" s="56" t="s">
        <v>108</v>
      </c>
      <c r="B21" s="352">
        <v>673.51</v>
      </c>
      <c r="C21" s="352">
        <v>675.9</v>
      </c>
      <c r="D21" s="352">
        <v>687.11</v>
      </c>
      <c r="E21" s="352">
        <v>713.34</v>
      </c>
      <c r="F21" s="353">
        <v>744.93</v>
      </c>
      <c r="G21" s="353">
        <v>776.91</v>
      </c>
      <c r="H21" s="353">
        <v>809.55</v>
      </c>
      <c r="I21" s="353">
        <v>843.68</v>
      </c>
      <c r="J21" s="353">
        <v>892.08</v>
      </c>
      <c r="K21" s="353">
        <v>967.54</v>
      </c>
      <c r="L21" s="353">
        <v>1052.71</v>
      </c>
      <c r="M21" s="659"/>
      <c r="N21" s="659"/>
      <c r="O21" s="659"/>
      <c r="P21" s="659"/>
      <c r="Q21" s="659"/>
      <c r="R21" s="659"/>
      <c r="S21" s="659"/>
      <c r="T21" s="659"/>
      <c r="U21" s="659"/>
      <c r="V21" s="659"/>
      <c r="W21" s="659"/>
      <c r="X21" s="659"/>
      <c r="Y21" s="659"/>
    </row>
    <row r="22" spans="1:25" s="145" customFormat="1" ht="14.25" customHeight="1">
      <c r="A22" s="56" t="s">
        <v>109</v>
      </c>
      <c r="B22" s="352">
        <v>744.94</v>
      </c>
      <c r="C22" s="352">
        <v>748.82</v>
      </c>
      <c r="D22" s="352">
        <v>758.29</v>
      </c>
      <c r="E22" s="352">
        <v>782.49</v>
      </c>
      <c r="F22" s="353">
        <v>814.41</v>
      </c>
      <c r="G22" s="353">
        <v>849.92</v>
      </c>
      <c r="H22" s="353">
        <v>884.65</v>
      </c>
      <c r="I22" s="353">
        <v>918.75</v>
      </c>
      <c r="J22" s="353">
        <v>971.89</v>
      </c>
      <c r="K22" s="353">
        <v>1050.28</v>
      </c>
      <c r="L22" s="353">
        <v>1138.47</v>
      </c>
      <c r="M22" s="659"/>
      <c r="N22" s="659"/>
      <c r="O22" s="659"/>
      <c r="P22" s="659"/>
      <c r="Q22" s="659"/>
      <c r="R22" s="659"/>
      <c r="S22" s="659"/>
      <c r="T22" s="659"/>
      <c r="U22" s="659"/>
      <c r="V22" s="659"/>
      <c r="W22" s="659"/>
      <c r="X22" s="659"/>
      <c r="Y22" s="659"/>
    </row>
    <row r="23" spans="1:25" s="145" customFormat="1" ht="14.25" customHeight="1">
      <c r="A23" s="56" t="s">
        <v>110</v>
      </c>
      <c r="B23" s="352">
        <v>836.57</v>
      </c>
      <c r="C23" s="352">
        <v>841.18</v>
      </c>
      <c r="D23" s="352">
        <v>849.51</v>
      </c>
      <c r="E23" s="352">
        <v>872.87</v>
      </c>
      <c r="F23" s="353">
        <v>905.46</v>
      </c>
      <c r="G23" s="353">
        <v>945.3</v>
      </c>
      <c r="H23" s="353">
        <v>982.04</v>
      </c>
      <c r="I23" s="353">
        <v>1019.55</v>
      </c>
      <c r="J23" s="353">
        <v>1077.81</v>
      </c>
      <c r="K23" s="353">
        <v>1161.1199999999999</v>
      </c>
      <c r="L23" s="353">
        <v>1257.6400000000001</v>
      </c>
      <c r="M23" s="659"/>
      <c r="N23" s="659"/>
      <c r="O23" s="659"/>
      <c r="P23" s="659"/>
      <c r="Q23" s="659"/>
      <c r="R23" s="659"/>
      <c r="S23" s="659"/>
      <c r="T23" s="659"/>
      <c r="U23" s="659"/>
      <c r="V23" s="659"/>
      <c r="W23" s="659"/>
      <c r="X23" s="659"/>
      <c r="Y23" s="659"/>
    </row>
    <row r="24" spans="1:25" s="145" customFormat="1" ht="14.25" customHeight="1">
      <c r="A24" s="56" t="s">
        <v>111</v>
      </c>
      <c r="B24" s="352">
        <v>971.94</v>
      </c>
      <c r="C24" s="352">
        <v>976.82</v>
      </c>
      <c r="D24" s="352">
        <v>983.8</v>
      </c>
      <c r="E24" s="352">
        <v>1007.14</v>
      </c>
      <c r="F24" s="353">
        <v>1044.1400000000001</v>
      </c>
      <c r="G24" s="353">
        <v>1088.52</v>
      </c>
      <c r="H24" s="353">
        <v>1132.48</v>
      </c>
      <c r="I24" s="353">
        <v>1173.75</v>
      </c>
      <c r="J24" s="353">
        <v>1239.4100000000001</v>
      </c>
      <c r="K24" s="353">
        <v>1330.62</v>
      </c>
      <c r="L24" s="353">
        <v>1436.98</v>
      </c>
      <c r="M24" s="659"/>
      <c r="N24" s="659"/>
      <c r="O24" s="659"/>
      <c r="P24" s="659"/>
      <c r="Q24" s="659"/>
      <c r="R24" s="659"/>
      <c r="S24" s="659"/>
      <c r="T24" s="659"/>
      <c r="U24" s="659"/>
      <c r="V24" s="659"/>
      <c r="W24" s="659"/>
      <c r="X24" s="659"/>
      <c r="Y24" s="659"/>
    </row>
    <row r="25" spans="1:25" s="145" customFormat="1" ht="14.25" customHeight="1">
      <c r="A25" s="56" t="s">
        <v>112</v>
      </c>
      <c r="B25" s="352">
        <v>1195.08</v>
      </c>
      <c r="C25" s="352">
        <v>1199.49</v>
      </c>
      <c r="D25" s="352">
        <v>1202.99</v>
      </c>
      <c r="E25" s="352">
        <v>1225.68</v>
      </c>
      <c r="F25" s="353">
        <v>1266.6400000000001</v>
      </c>
      <c r="G25" s="353">
        <v>1314.59</v>
      </c>
      <c r="H25" s="353">
        <v>1363.34</v>
      </c>
      <c r="I25" s="353">
        <v>1407.67</v>
      </c>
      <c r="J25" s="353">
        <v>1484.44</v>
      </c>
      <c r="K25" s="353">
        <v>1587.73</v>
      </c>
      <c r="L25" s="353">
        <v>1706.43</v>
      </c>
      <c r="M25" s="659"/>
      <c r="N25" s="659"/>
      <c r="O25" s="659"/>
      <c r="P25" s="659"/>
      <c r="Q25" s="659"/>
      <c r="R25" s="659"/>
      <c r="S25" s="659"/>
      <c r="T25" s="659"/>
      <c r="U25" s="659"/>
      <c r="V25" s="659"/>
      <c r="W25" s="659"/>
      <c r="X25" s="659"/>
      <c r="Y25" s="659"/>
    </row>
    <row r="26" spans="1:25" s="145" customFormat="1" ht="14.25" customHeight="1">
      <c r="A26" s="56" t="s">
        <v>113</v>
      </c>
      <c r="B26" s="352">
        <v>1596.19</v>
      </c>
      <c r="C26" s="352">
        <v>1594</v>
      </c>
      <c r="D26" s="352">
        <v>1597.23</v>
      </c>
      <c r="E26" s="352">
        <v>1617.02</v>
      </c>
      <c r="F26" s="353">
        <v>1663.94</v>
      </c>
      <c r="G26" s="353">
        <v>1717.19</v>
      </c>
      <c r="H26" s="353">
        <v>1773.49</v>
      </c>
      <c r="I26" s="353">
        <v>1827.6</v>
      </c>
      <c r="J26" s="353">
        <v>1929.99</v>
      </c>
      <c r="K26" s="353">
        <v>2057.54</v>
      </c>
      <c r="L26" s="353">
        <v>2209.75</v>
      </c>
      <c r="M26" s="659"/>
      <c r="N26" s="661">
        <f>+(B26+B27)/(B19+B18)</f>
        <v>4.362162703652773</v>
      </c>
      <c r="O26" s="661">
        <f t="shared" ref="O26:W26" si="1">+(C26+C27)/(C19+C18)</f>
        <v>4.3609170761838136</v>
      </c>
      <c r="P26" s="661">
        <f t="shared" si="1"/>
        <v>4.2190633840440714</v>
      </c>
      <c r="Q26" s="661">
        <f t="shared" si="1"/>
        <v>4.0565995264614658</v>
      </c>
      <c r="R26" s="661">
        <f t="shared" si="1"/>
        <v>3.971064454605667</v>
      </c>
      <c r="S26" s="661">
        <f t="shared" si="1"/>
        <v>3.9119789947256498</v>
      </c>
      <c r="T26" s="661">
        <f t="shared" si="1"/>
        <v>3.7927427168552259</v>
      </c>
      <c r="U26" s="661">
        <f t="shared" si="1"/>
        <v>3.7270860166393986</v>
      </c>
      <c r="V26" s="661">
        <f t="shared" si="1"/>
        <v>3.7178911135635082</v>
      </c>
      <c r="W26" s="661">
        <f t="shared" si="1"/>
        <v>3.6468883567249692</v>
      </c>
      <c r="X26" s="661">
        <f>+(L26+L27)/(L19+L18)</f>
        <v>3.6095745750779442</v>
      </c>
      <c r="Y26" s="659"/>
    </row>
    <row r="27" spans="1:25" s="145" customFormat="1" ht="14.25" customHeight="1">
      <c r="A27" s="56" t="s">
        <v>114</v>
      </c>
      <c r="B27" s="352">
        <v>3193.77</v>
      </c>
      <c r="C27" s="352">
        <v>3206.89</v>
      </c>
      <c r="D27" s="352">
        <v>3219.97</v>
      </c>
      <c r="E27" s="352">
        <v>3248.79</v>
      </c>
      <c r="F27" s="353">
        <v>3312.32</v>
      </c>
      <c r="G27" s="353">
        <v>3378.28</v>
      </c>
      <c r="H27" s="353">
        <v>3432.77</v>
      </c>
      <c r="I27" s="353">
        <v>3525.8</v>
      </c>
      <c r="J27" s="353">
        <v>3729.83</v>
      </c>
      <c r="K27" s="353">
        <v>3957.82</v>
      </c>
      <c r="L27" s="353">
        <v>4250.45</v>
      </c>
      <c r="M27" s="659"/>
      <c r="N27" s="661">
        <f t="shared" ref="N27:W27" si="2">+B27/B18</f>
        <v>6.1709400057965418</v>
      </c>
      <c r="O27" s="661">
        <f t="shared" si="2"/>
        <v>6.1795741400905664</v>
      </c>
      <c r="P27" s="661">
        <f t="shared" si="2"/>
        <v>5.9508954148108444</v>
      </c>
      <c r="Q27" s="661">
        <f t="shared" si="2"/>
        <v>5.7108529039516238</v>
      </c>
      <c r="R27" s="661">
        <f t="shared" si="2"/>
        <v>5.5852289014417007</v>
      </c>
      <c r="S27" s="661">
        <f t="shared" si="2"/>
        <v>5.4887650489853614</v>
      </c>
      <c r="T27" s="661">
        <f t="shared" si="2"/>
        <v>5.2658730767460771</v>
      </c>
      <c r="U27" s="661">
        <f t="shared" si="2"/>
        <v>5.1500102246501713</v>
      </c>
      <c r="V27" s="661">
        <f t="shared" si="2"/>
        <v>5.1319225636015906</v>
      </c>
      <c r="W27" s="661">
        <f t="shared" si="2"/>
        <v>5.0346257568819013</v>
      </c>
      <c r="X27" s="661">
        <f>+L27/L18</f>
        <v>4.9941251806506948</v>
      </c>
      <c r="Y27" s="659"/>
    </row>
    <row r="28" spans="1:25" s="145" customFormat="1" ht="29.25" customHeight="1">
      <c r="A28" s="291" t="s">
        <v>124</v>
      </c>
      <c r="B28" s="100">
        <v>524.66</v>
      </c>
      <c r="C28" s="100">
        <v>526.69000000000005</v>
      </c>
      <c r="D28" s="100">
        <v>533.33000000000004</v>
      </c>
      <c r="E28" s="100">
        <v>548.63</v>
      </c>
      <c r="F28" s="290">
        <v>569.87</v>
      </c>
      <c r="G28" s="290">
        <v>594.66999999999996</v>
      </c>
      <c r="H28" s="290">
        <v>617.42999999999995</v>
      </c>
      <c r="I28" s="290">
        <v>641.47</v>
      </c>
      <c r="J28" s="290">
        <v>678.33</v>
      </c>
      <c r="K28" s="290">
        <v>733.45</v>
      </c>
      <c r="L28" s="290">
        <v>794.01</v>
      </c>
      <c r="M28" s="659"/>
      <c r="N28" s="659"/>
      <c r="O28" s="659"/>
      <c r="P28" s="659"/>
      <c r="Q28" s="659"/>
      <c r="R28" s="659"/>
      <c r="S28" s="659"/>
      <c r="T28" s="659"/>
      <c r="U28" s="659"/>
      <c r="V28" s="659"/>
      <c r="W28" s="659"/>
      <c r="X28" s="659"/>
      <c r="Y28" s="659"/>
    </row>
    <row r="29" spans="1:25" s="145" customFormat="1" ht="29.25" customHeight="1">
      <c r="A29" s="289" t="s">
        <v>122</v>
      </c>
      <c r="B29" s="292">
        <v>6.78</v>
      </c>
      <c r="C29" s="292">
        <v>6.7</v>
      </c>
      <c r="D29" s="292">
        <v>5.86</v>
      </c>
      <c r="E29" s="292">
        <v>0.19</v>
      </c>
      <c r="F29" s="292">
        <v>0.16</v>
      </c>
      <c r="G29" s="292">
        <v>0.18</v>
      </c>
      <c r="H29" s="292">
        <v>0.14000000000000001</v>
      </c>
      <c r="I29" s="292">
        <v>0.11</v>
      </c>
      <c r="J29" s="292">
        <v>0.11</v>
      </c>
      <c r="K29" s="292">
        <v>0.1</v>
      </c>
      <c r="L29" s="292">
        <v>0.09</v>
      </c>
      <c r="M29" s="659"/>
      <c r="N29" s="659"/>
      <c r="O29" s="659"/>
      <c r="P29" s="659"/>
      <c r="Q29" s="659"/>
      <c r="R29" s="659"/>
      <c r="S29" s="659"/>
      <c r="T29" s="659"/>
      <c r="U29" s="659"/>
      <c r="V29" s="659"/>
      <c r="W29" s="659"/>
      <c r="X29" s="659"/>
      <c r="Y29" s="659"/>
    </row>
    <row r="30" spans="1:25" s="145" customFormat="1" ht="18.75" customHeight="1">
      <c r="A30" s="56" t="s">
        <v>115</v>
      </c>
      <c r="B30" s="158">
        <v>5.01</v>
      </c>
      <c r="C30" s="158">
        <v>4.99</v>
      </c>
      <c r="D30" s="158">
        <v>4.38</v>
      </c>
      <c r="E30" s="158">
        <v>0.1</v>
      </c>
      <c r="F30" s="158">
        <v>0.08</v>
      </c>
      <c r="G30" s="158">
        <v>0.09</v>
      </c>
      <c r="H30" s="158">
        <v>7.0000000000000007E-2</v>
      </c>
      <c r="I30" s="158">
        <v>7.0000000000000007E-2</v>
      </c>
      <c r="J30" s="158">
        <v>0.08</v>
      </c>
      <c r="K30" s="158">
        <v>0.08</v>
      </c>
      <c r="L30" s="158">
        <v>7.0000000000000007E-2</v>
      </c>
      <c r="M30" s="659"/>
      <c r="N30" s="659"/>
      <c r="O30" s="659"/>
      <c r="P30" s="659"/>
      <c r="Q30" s="659"/>
      <c r="R30" s="659"/>
      <c r="S30" s="659"/>
      <c r="T30" s="659"/>
      <c r="U30" s="659"/>
      <c r="V30" s="659"/>
      <c r="W30" s="659"/>
      <c r="X30" s="659"/>
      <c r="Y30" s="659"/>
    </row>
    <row r="31" spans="1:25" s="145" customFormat="1" ht="14.25" customHeight="1">
      <c r="A31" s="58" t="s">
        <v>116</v>
      </c>
      <c r="B31" s="159">
        <v>8.8699999999999992</v>
      </c>
      <c r="C31" s="159">
        <v>8.6999999999999993</v>
      </c>
      <c r="D31" s="159">
        <v>7.59</v>
      </c>
      <c r="E31" s="159">
        <v>0.28999999999999998</v>
      </c>
      <c r="F31" s="159">
        <v>0.24</v>
      </c>
      <c r="G31" s="159">
        <v>0.28000000000000003</v>
      </c>
      <c r="H31" s="159">
        <v>0.21</v>
      </c>
      <c r="I31" s="159">
        <v>0.15</v>
      </c>
      <c r="J31" s="159">
        <v>0.15</v>
      </c>
      <c r="K31" s="159">
        <v>0.13</v>
      </c>
      <c r="L31" s="159">
        <v>0.11</v>
      </c>
      <c r="M31" s="659"/>
      <c r="N31" s="659"/>
      <c r="O31" s="659"/>
      <c r="P31" s="659"/>
      <c r="Q31" s="659"/>
      <c r="R31" s="659"/>
      <c r="S31" s="659"/>
      <c r="T31" s="659"/>
      <c r="U31" s="659"/>
      <c r="V31" s="659"/>
      <c r="W31" s="659"/>
      <c r="X31" s="659"/>
      <c r="Y31" s="659"/>
    </row>
    <row r="32" spans="1:25" s="76" customFormat="1" ht="15" customHeight="1">
      <c r="A32" s="19" t="s">
        <v>769</v>
      </c>
      <c r="B32" s="281"/>
      <c r="C32" s="281"/>
      <c r="D32" s="295"/>
      <c r="E32" s="295"/>
      <c r="F32" s="295"/>
      <c r="G32" s="295"/>
      <c r="H32" s="316"/>
      <c r="I32" s="316"/>
      <c r="J32" s="316"/>
      <c r="K32" s="316"/>
      <c r="L32" s="316"/>
      <c r="M32" s="651"/>
      <c r="N32" s="651"/>
      <c r="O32" s="651"/>
      <c r="P32" s="651"/>
      <c r="Q32" s="651"/>
      <c r="R32" s="651"/>
      <c r="S32" s="651"/>
      <c r="T32" s="651"/>
      <c r="U32" s="651"/>
      <c r="V32" s="651"/>
      <c r="W32" s="651"/>
      <c r="X32" s="651"/>
      <c r="Y32" s="651"/>
    </row>
    <row r="33" spans="1:25" ht="11.25" customHeight="1">
      <c r="A33" s="1000" t="s">
        <v>195</v>
      </c>
      <c r="B33" s="1000"/>
      <c r="C33" s="1000"/>
      <c r="D33" s="1000"/>
      <c r="E33" s="1000"/>
      <c r="F33" s="1000"/>
      <c r="G33" s="1000"/>
      <c r="H33" s="1000"/>
      <c r="I33" s="1000"/>
      <c r="J33" s="1000"/>
      <c r="K33" s="1000"/>
      <c r="L33" s="1000"/>
    </row>
    <row r="34" spans="1:25" s="302" customFormat="1" ht="11.25" customHeight="1">
      <c r="A34" s="1000" t="s">
        <v>140</v>
      </c>
      <c r="B34" s="1000"/>
      <c r="C34" s="1000"/>
      <c r="D34" s="1000"/>
      <c r="E34" s="1000"/>
      <c r="F34" s="1000"/>
      <c r="G34" s="1000"/>
      <c r="H34" s="1000"/>
      <c r="I34" s="1000"/>
      <c r="J34" s="1000"/>
      <c r="K34" s="1000"/>
      <c r="L34" s="1000"/>
      <c r="M34" s="6"/>
      <c r="N34" s="6"/>
      <c r="O34" s="6"/>
      <c r="P34" s="6"/>
      <c r="Q34" s="6"/>
      <c r="R34" s="6"/>
      <c r="S34" s="6"/>
      <c r="T34" s="6"/>
      <c r="U34" s="6"/>
      <c r="V34" s="6"/>
      <c r="W34" s="6"/>
      <c r="X34" s="6"/>
      <c r="Y34" s="6"/>
    </row>
    <row r="35" spans="1:25" s="302" customFormat="1">
      <c r="D35" s="303"/>
      <c r="E35" s="303"/>
      <c r="F35" s="303"/>
      <c r="G35" s="303"/>
      <c r="H35" s="145"/>
      <c r="I35" s="145"/>
      <c r="J35" s="145"/>
      <c r="K35" s="145"/>
      <c r="L35" s="145"/>
      <c r="M35" s="6"/>
      <c r="N35" s="6"/>
      <c r="O35" s="6"/>
      <c r="P35" s="6"/>
      <c r="Q35" s="6"/>
      <c r="R35" s="6"/>
      <c r="S35" s="6"/>
      <c r="T35" s="6"/>
      <c r="U35" s="6"/>
      <c r="V35" s="6"/>
      <c r="W35" s="6"/>
      <c r="X35" s="6"/>
      <c r="Y35" s="6"/>
    </row>
    <row r="36" spans="1:25" s="302" customFormat="1">
      <c r="D36" s="303"/>
      <c r="E36" s="303"/>
      <c r="F36" s="303"/>
      <c r="G36" s="303"/>
      <c r="M36" s="6"/>
      <c r="N36" s="6"/>
      <c r="O36" s="6"/>
      <c r="P36" s="6"/>
      <c r="Q36" s="6"/>
      <c r="R36" s="6"/>
      <c r="S36" s="6"/>
      <c r="T36" s="6"/>
      <c r="U36" s="6"/>
      <c r="V36" s="6"/>
      <c r="W36" s="6"/>
      <c r="X36" s="6"/>
      <c r="Y36" s="6"/>
    </row>
    <row r="38" spans="1:25">
      <c r="N38" s="263"/>
      <c r="O38" s="263"/>
      <c r="P38" s="263"/>
      <c r="Q38" s="263"/>
      <c r="R38" s="263"/>
      <c r="S38" s="263"/>
      <c r="T38" s="263"/>
      <c r="U38" s="263"/>
      <c r="V38" s="263"/>
      <c r="W38" s="263"/>
      <c r="X38" s="263"/>
    </row>
    <row r="39" spans="1:25">
      <c r="M39" s="662"/>
      <c r="N39" s="663"/>
      <c r="O39" s="663"/>
      <c r="P39" s="663"/>
      <c r="Q39" s="663"/>
      <c r="R39" s="663"/>
      <c r="S39" s="663"/>
      <c r="T39" s="663"/>
      <c r="U39" s="663"/>
      <c r="V39" s="663"/>
      <c r="W39" s="663"/>
      <c r="X39" s="663"/>
    </row>
    <row r="40" spans="1:25">
      <c r="M40" s="664"/>
      <c r="N40" s="665"/>
      <c r="O40" s="665"/>
      <c r="P40" s="665"/>
      <c r="Q40" s="665"/>
      <c r="R40" s="665"/>
      <c r="S40" s="665"/>
      <c r="T40" s="665"/>
      <c r="U40" s="665"/>
      <c r="V40" s="665"/>
      <c r="W40" s="665"/>
      <c r="X40" s="665"/>
    </row>
    <row r="41" spans="1:25">
      <c r="M41" s="664"/>
      <c r="N41" s="665"/>
      <c r="O41" s="665"/>
      <c r="P41" s="665"/>
      <c r="Q41" s="665"/>
      <c r="R41" s="665"/>
      <c r="S41" s="665"/>
      <c r="T41" s="665"/>
      <c r="U41" s="665"/>
      <c r="V41" s="665"/>
      <c r="W41" s="665"/>
      <c r="X41" s="665"/>
    </row>
  </sheetData>
  <mergeCells count="3">
    <mergeCell ref="A33:L33"/>
    <mergeCell ref="A34:L34"/>
    <mergeCell ref="A1:L1"/>
  </mergeCells>
  <conditionalFormatting sqref="A33:A34 H32 H2:H3 H35:H1048576 A35:D1048576 A2:C6 Z1:XFD6 Z17:XFD1048576 B17:C32 A17:A31">
    <cfRule type="cellIs" dxfId="533" priority="60" operator="equal">
      <formula>0</formula>
    </cfRule>
  </conditionalFormatting>
  <conditionalFormatting sqref="D2:D4">
    <cfRule type="cellIs" dxfId="532" priority="59" operator="equal">
      <formula>0</formula>
    </cfRule>
  </conditionalFormatting>
  <conditionalFormatting sqref="D5:D6 D17:D31">
    <cfRule type="cellIs" dxfId="531" priority="58" operator="equal">
      <formula>0</formula>
    </cfRule>
  </conditionalFormatting>
  <conditionalFormatting sqref="F35:F1048576">
    <cfRule type="cellIs" dxfId="530" priority="56" operator="equal">
      <formula>0</formula>
    </cfRule>
  </conditionalFormatting>
  <conditionalFormatting sqref="F2:F4">
    <cfRule type="cellIs" dxfId="529" priority="55" operator="equal">
      <formula>0</formula>
    </cfRule>
  </conditionalFormatting>
  <conditionalFormatting sqref="F5">
    <cfRule type="cellIs" dxfId="528" priority="53" operator="equal">
      <formula>0</formula>
    </cfRule>
  </conditionalFormatting>
  <conditionalFormatting sqref="F6 F17:F31">
    <cfRule type="cellIs" dxfId="527" priority="51" operator="equal">
      <formula>0</formula>
    </cfRule>
  </conditionalFormatting>
  <conditionalFormatting sqref="E35:E1048576">
    <cfRule type="cellIs" dxfId="526" priority="50" operator="equal">
      <formula>0</formula>
    </cfRule>
  </conditionalFormatting>
  <conditionalFormatting sqref="E2:E4">
    <cfRule type="cellIs" dxfId="525" priority="49" operator="equal">
      <formula>0</formula>
    </cfRule>
  </conditionalFormatting>
  <conditionalFormatting sqref="E5">
    <cfRule type="cellIs" dxfId="524" priority="48" operator="equal">
      <formula>0</formula>
    </cfRule>
  </conditionalFormatting>
  <conditionalFormatting sqref="E6 E17:E31">
    <cfRule type="cellIs" dxfId="523" priority="47" operator="equal">
      <formula>0</formula>
    </cfRule>
  </conditionalFormatting>
  <conditionalFormatting sqref="G6:H6 G29:H31 G28 G17:H27">
    <cfRule type="cellIs" dxfId="522" priority="43" operator="equal">
      <formula>0</formula>
    </cfRule>
  </conditionalFormatting>
  <conditionalFormatting sqref="G35:G1048576">
    <cfRule type="cellIs" dxfId="521" priority="46" operator="equal">
      <formula>0</formula>
    </cfRule>
  </conditionalFormatting>
  <conditionalFormatting sqref="G2:G4 H4">
    <cfRule type="cellIs" dxfId="520" priority="45" operator="equal">
      <formula>0</formula>
    </cfRule>
  </conditionalFormatting>
  <conditionalFormatting sqref="G5:H5">
    <cfRule type="cellIs" dxfId="519" priority="44" operator="equal">
      <formula>0</formula>
    </cfRule>
  </conditionalFormatting>
  <conditionalFormatting sqref="I32 I2:I3 I35:I1048576">
    <cfRule type="cellIs" dxfId="518" priority="42" operator="equal">
      <formula>0</formula>
    </cfRule>
  </conditionalFormatting>
  <conditionalFormatting sqref="I6 H28 I17:I31">
    <cfRule type="cellIs" dxfId="517" priority="39" operator="equal">
      <formula>0</formula>
    </cfRule>
  </conditionalFormatting>
  <conditionalFormatting sqref="I4">
    <cfRule type="cellIs" dxfId="516" priority="41" operator="equal">
      <formula>0</formula>
    </cfRule>
  </conditionalFormatting>
  <conditionalFormatting sqref="I5">
    <cfRule type="cellIs" dxfId="515" priority="40" operator="equal">
      <formula>0</formula>
    </cfRule>
  </conditionalFormatting>
  <conditionalFormatting sqref="J32 J2:J3 J35:J1048576">
    <cfRule type="cellIs" dxfId="514" priority="38" operator="equal">
      <formula>0</formula>
    </cfRule>
  </conditionalFormatting>
  <conditionalFormatting sqref="J6 J17:J31">
    <cfRule type="cellIs" dxfId="513" priority="35" operator="equal">
      <formula>0</formula>
    </cfRule>
  </conditionalFormatting>
  <conditionalFormatting sqref="J4">
    <cfRule type="cellIs" dxfId="512" priority="37" operator="equal">
      <formula>0</formula>
    </cfRule>
  </conditionalFormatting>
  <conditionalFormatting sqref="J5">
    <cfRule type="cellIs" dxfId="511" priority="36" operator="equal">
      <formula>0</formula>
    </cfRule>
  </conditionalFormatting>
  <conditionalFormatting sqref="K32 K2:K3 K35:K1048576">
    <cfRule type="cellIs" dxfId="510" priority="34" operator="equal">
      <formula>0</formula>
    </cfRule>
  </conditionalFormatting>
  <conditionalFormatting sqref="K6 K17:K31">
    <cfRule type="cellIs" dxfId="509" priority="31" operator="equal">
      <formula>0</formula>
    </cfRule>
  </conditionalFormatting>
  <conditionalFormatting sqref="K4">
    <cfRule type="cellIs" dxfId="508" priority="33" operator="equal">
      <formula>0</formula>
    </cfRule>
  </conditionalFormatting>
  <conditionalFormatting sqref="K5">
    <cfRule type="cellIs" dxfId="507" priority="32" operator="equal">
      <formula>0</formula>
    </cfRule>
  </conditionalFormatting>
  <conditionalFormatting sqref="L32 L2:L3 L35:L1048576">
    <cfRule type="cellIs" dxfId="506" priority="28" operator="equal">
      <formula>0</formula>
    </cfRule>
  </conditionalFormatting>
  <conditionalFormatting sqref="L6 L17:L31">
    <cfRule type="cellIs" dxfId="505" priority="25" operator="equal">
      <formula>0</formula>
    </cfRule>
  </conditionalFormatting>
  <conditionalFormatting sqref="L4">
    <cfRule type="cellIs" dxfId="504" priority="27" operator="equal">
      <formula>0</formula>
    </cfRule>
  </conditionalFormatting>
  <conditionalFormatting sqref="L5">
    <cfRule type="cellIs" dxfId="503" priority="26" operator="equal">
      <formula>0</formula>
    </cfRule>
  </conditionalFormatting>
  <conditionalFormatting sqref="M1:Y6 M17:Y1048576">
    <cfRule type="cellIs" dxfId="502" priority="6" operator="equal">
      <formula>0</formula>
    </cfRule>
  </conditionalFormatting>
  <conditionalFormatting sqref="A32">
    <cfRule type="cellIs" dxfId="501" priority="5" operator="equal">
      <formula>0</formula>
    </cfRule>
  </conditionalFormatting>
  <conditionalFormatting sqref="AB15:AB16">
    <cfRule type="cellIs" dxfId="500" priority="4" operator="equal">
      <formula>0</formula>
    </cfRule>
  </conditionalFormatting>
  <conditionalFormatting sqref="AO7:XFD16 AA7:AA16 A7:A16 M7:Y7 M8:N16 P8:Y16">
    <cfRule type="cellIs" dxfId="499" priority="3" operator="equal">
      <formula>0</formula>
    </cfRule>
  </conditionalFormatting>
  <conditionalFormatting sqref="AB7:AB14">
    <cfRule type="cellIs" dxfId="498" priority="2" operator="equal">
      <formula>0</formula>
    </cfRule>
  </conditionalFormatting>
  <conditionalFormatting sqref="A1">
    <cfRule type="cellIs" dxfId="497"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29">
    <tabColor rgb="FFA50021"/>
    <pageSetUpPr fitToPage="1"/>
  </sheetPr>
  <dimension ref="A1:AB52"/>
  <sheetViews>
    <sheetView showGridLines="0" workbookViewId="0">
      <selection activeCell="Y70" sqref="Y70"/>
    </sheetView>
  </sheetViews>
  <sheetFormatPr defaultColWidth="9.140625" defaultRowHeight="12.75"/>
  <cols>
    <col min="1" max="1" width="2.42578125" style="129" customWidth="1"/>
    <col min="2" max="2" width="29" style="129" customWidth="1"/>
    <col min="3" max="13" width="6.28515625" style="129" customWidth="1"/>
    <col min="14" max="15" width="9.140625" style="129"/>
    <col min="29" max="16384" width="9.140625" style="129"/>
  </cols>
  <sheetData>
    <row r="1" spans="1:18" s="128" customFormat="1" ht="28.5" customHeight="1">
      <c r="A1" s="954" t="s">
        <v>812</v>
      </c>
      <c r="B1" s="954"/>
      <c r="C1" s="954"/>
      <c r="D1" s="954"/>
      <c r="E1" s="954"/>
      <c r="F1" s="954"/>
      <c r="G1" s="954"/>
      <c r="H1" s="954"/>
      <c r="I1" s="954"/>
      <c r="J1" s="954"/>
      <c r="K1" s="954"/>
      <c r="L1" s="954"/>
      <c r="M1" s="954"/>
    </row>
    <row r="2" spans="1:18" ht="15" customHeight="1">
      <c r="A2" s="101"/>
      <c r="B2" s="101"/>
      <c r="C2" s="101"/>
      <c r="D2" s="101"/>
      <c r="E2" s="101"/>
      <c r="F2" s="101"/>
      <c r="G2" s="101"/>
      <c r="H2" s="101"/>
      <c r="I2" s="101"/>
      <c r="J2" s="101"/>
      <c r="K2" s="101"/>
      <c r="L2" s="101"/>
      <c r="M2" s="101"/>
    </row>
    <row r="3" spans="1:18" s="115" customFormat="1" ht="15" customHeight="1">
      <c r="A3" s="28" t="s">
        <v>41</v>
      </c>
      <c r="B3" s="19"/>
      <c r="C3" s="29"/>
      <c r="E3" s="29"/>
      <c r="F3" s="29"/>
      <c r="G3" s="29"/>
      <c r="H3" s="29"/>
      <c r="I3" s="29"/>
      <c r="J3" s="29"/>
      <c r="K3" s="29"/>
      <c r="L3" s="29"/>
      <c r="M3" s="29" t="s">
        <v>67</v>
      </c>
    </row>
    <row r="4" spans="1:18" s="115" customFormat="1" ht="28.5" customHeight="1" thickBot="1">
      <c r="A4" s="104" t="s">
        <v>2</v>
      </c>
      <c r="B4" s="30"/>
      <c r="C4" s="4">
        <v>2014</v>
      </c>
      <c r="D4" s="4">
        <v>2015</v>
      </c>
      <c r="E4" s="200">
        <v>2016</v>
      </c>
      <c r="F4" s="200">
        <v>2017</v>
      </c>
      <c r="G4" s="200">
        <v>2018</v>
      </c>
      <c r="H4" s="200">
        <v>2019</v>
      </c>
      <c r="I4" s="200">
        <v>2020</v>
      </c>
      <c r="J4" s="200">
        <v>2021</v>
      </c>
      <c r="K4" s="200">
        <v>2022</v>
      </c>
      <c r="L4" s="200">
        <v>2023</v>
      </c>
      <c r="M4" s="200">
        <v>2024</v>
      </c>
    </row>
    <row r="5" spans="1:18" s="115" customFormat="1" ht="16.5" customHeight="1" thickTop="1">
      <c r="A5" s="32" t="s">
        <v>42</v>
      </c>
      <c r="B5" s="201"/>
      <c r="C5" s="817">
        <v>1093.21</v>
      </c>
      <c r="D5" s="817">
        <v>1096.6600000000001</v>
      </c>
      <c r="E5" s="817">
        <v>1107.8599999999999</v>
      </c>
      <c r="F5" s="817">
        <v>1133.3399999999999</v>
      </c>
      <c r="G5" s="817">
        <v>1170.25</v>
      </c>
      <c r="H5" s="817">
        <v>1209.94</v>
      </c>
      <c r="I5" s="817">
        <v>1250.75</v>
      </c>
      <c r="J5" s="817">
        <v>1294.1099999999999</v>
      </c>
      <c r="K5" s="817">
        <v>1368</v>
      </c>
      <c r="L5" s="817">
        <v>1466.66</v>
      </c>
      <c r="M5" s="817">
        <v>1582.75</v>
      </c>
      <c r="N5" s="666"/>
      <c r="O5" s="559">
        <f>+(M5/C5-1)*100</f>
        <v>44.78005140823813</v>
      </c>
      <c r="P5" s="559">
        <f>+M5-L5</f>
        <v>116.08999999999992</v>
      </c>
      <c r="Q5" s="559">
        <f>+P5/L5*100</f>
        <v>7.9152632511965901</v>
      </c>
      <c r="R5" s="2"/>
    </row>
    <row r="6" spans="1:18" s="115" customFormat="1" ht="16.5" customHeight="1">
      <c r="A6" s="201" t="s">
        <v>72</v>
      </c>
      <c r="B6" s="307" t="s">
        <v>169</v>
      </c>
      <c r="C6" s="96">
        <v>794.63</v>
      </c>
      <c r="D6" s="96">
        <v>802.68</v>
      </c>
      <c r="E6" s="96">
        <v>832.8</v>
      </c>
      <c r="F6" s="96">
        <v>850.4</v>
      </c>
      <c r="G6" s="96">
        <v>896.43</v>
      </c>
      <c r="H6" s="96">
        <v>945.56</v>
      </c>
      <c r="I6" s="96">
        <v>949.69</v>
      </c>
      <c r="J6" s="96">
        <v>1011.43</v>
      </c>
      <c r="K6" s="96">
        <v>1058.3699999999999</v>
      </c>
      <c r="L6" s="96">
        <v>1125.73</v>
      </c>
      <c r="M6" s="96">
        <v>1210.1300000000001</v>
      </c>
    </row>
    <row r="7" spans="1:18" s="115" customFormat="1" ht="12.75" customHeight="1">
      <c r="A7" s="201" t="s">
        <v>73</v>
      </c>
      <c r="B7" s="307" t="s">
        <v>101</v>
      </c>
      <c r="C7" s="96">
        <v>1253.19</v>
      </c>
      <c r="D7" s="96">
        <v>1254.1099999999999</v>
      </c>
      <c r="E7" s="96">
        <v>1286.78</v>
      </c>
      <c r="F7" s="96">
        <v>1296.04</v>
      </c>
      <c r="G7" s="96">
        <v>1403.23</v>
      </c>
      <c r="H7" s="96">
        <v>1459.11</v>
      </c>
      <c r="I7" s="96">
        <v>1500.09</v>
      </c>
      <c r="J7" s="96">
        <v>1596.03</v>
      </c>
      <c r="K7" s="96">
        <v>1702.24</v>
      </c>
      <c r="L7" s="96">
        <v>1969.8</v>
      </c>
      <c r="M7" s="96">
        <v>2021.23</v>
      </c>
    </row>
    <row r="8" spans="1:18" s="115" customFormat="1" ht="12.75" customHeight="1">
      <c r="A8" s="201" t="s">
        <v>74</v>
      </c>
      <c r="B8" s="307" t="s">
        <v>100</v>
      </c>
      <c r="C8" s="96">
        <v>1003.09</v>
      </c>
      <c r="D8" s="96">
        <v>1015.82</v>
      </c>
      <c r="E8" s="96">
        <v>1031.5999999999999</v>
      </c>
      <c r="F8" s="96">
        <v>1068.43</v>
      </c>
      <c r="G8" s="96">
        <v>1110.54</v>
      </c>
      <c r="H8" s="96">
        <v>1154.94</v>
      </c>
      <c r="I8" s="96">
        <v>1198.04</v>
      </c>
      <c r="J8" s="96">
        <v>1224.79</v>
      </c>
      <c r="K8" s="96">
        <v>1302.5899999999999</v>
      </c>
      <c r="L8" s="96">
        <v>1400.65</v>
      </c>
      <c r="M8" s="96">
        <v>1521.41</v>
      </c>
    </row>
    <row r="9" spans="1:18" s="115" customFormat="1" ht="16.5" customHeight="1">
      <c r="A9" s="103"/>
      <c r="B9" s="102" t="s">
        <v>87</v>
      </c>
      <c r="C9" s="818">
        <v>901.74</v>
      </c>
      <c r="D9" s="818">
        <v>913.71</v>
      </c>
      <c r="E9" s="818">
        <v>932.43</v>
      </c>
      <c r="F9" s="818">
        <v>962.08</v>
      </c>
      <c r="G9" s="818">
        <v>994.87</v>
      </c>
      <c r="H9" s="818">
        <v>1026.1300000000001</v>
      </c>
      <c r="I9" s="818">
        <v>1065.8399999999999</v>
      </c>
      <c r="J9" s="818">
        <v>1115.4100000000001</v>
      </c>
      <c r="K9" s="818">
        <v>1159.73</v>
      </c>
      <c r="L9" s="818">
        <v>1240.1600000000001</v>
      </c>
      <c r="M9" s="818">
        <v>1321.3</v>
      </c>
    </row>
    <row r="10" spans="1:18" s="115" customFormat="1" ht="12.75" customHeight="1">
      <c r="A10" s="103"/>
      <c r="B10" s="102" t="s">
        <v>88</v>
      </c>
      <c r="C10" s="818">
        <v>1297</v>
      </c>
      <c r="D10" s="818">
        <v>1298.25</v>
      </c>
      <c r="E10" s="818">
        <v>1316.87</v>
      </c>
      <c r="F10" s="818">
        <v>1312.07</v>
      </c>
      <c r="G10" s="818">
        <v>1340.8</v>
      </c>
      <c r="H10" s="818">
        <v>1374.56</v>
      </c>
      <c r="I10" s="818">
        <v>1405.73</v>
      </c>
      <c r="J10" s="818">
        <v>1441.98</v>
      </c>
      <c r="K10" s="818">
        <v>1497.34</v>
      </c>
      <c r="L10" s="818">
        <v>1582.85</v>
      </c>
      <c r="M10" s="818">
        <v>1727.56</v>
      </c>
    </row>
    <row r="11" spans="1:18" s="115" customFormat="1" ht="12.75" customHeight="1">
      <c r="A11" s="103"/>
      <c r="B11" s="102" t="s">
        <v>89</v>
      </c>
      <c r="C11" s="818">
        <v>2496.13</v>
      </c>
      <c r="D11" s="818">
        <v>2358.4899999999998</v>
      </c>
      <c r="E11" s="818">
        <v>2254.23</v>
      </c>
      <c r="F11" s="818">
        <v>2289.1999999999998</v>
      </c>
      <c r="G11" s="818">
        <v>2626.44</v>
      </c>
      <c r="H11" s="818">
        <v>2299.7600000000002</v>
      </c>
      <c r="I11" s="818">
        <v>2306.13</v>
      </c>
      <c r="J11" s="818">
        <v>2376.2399999999998</v>
      </c>
      <c r="K11" s="818">
        <v>2774.95</v>
      </c>
      <c r="L11" s="818">
        <v>2537.11</v>
      </c>
      <c r="M11" s="818">
        <v>2690.06</v>
      </c>
    </row>
    <row r="12" spans="1:18" s="115" customFormat="1" ht="12.75" customHeight="1">
      <c r="A12" s="103"/>
      <c r="B12" s="102" t="s">
        <v>0</v>
      </c>
      <c r="C12" s="818">
        <v>828.75</v>
      </c>
      <c r="D12" s="818">
        <v>839.15</v>
      </c>
      <c r="E12" s="818">
        <v>867.67</v>
      </c>
      <c r="F12" s="818">
        <v>904.55</v>
      </c>
      <c r="G12" s="818">
        <v>946.29</v>
      </c>
      <c r="H12" s="818">
        <v>979.48</v>
      </c>
      <c r="I12" s="818">
        <v>1016.07</v>
      </c>
      <c r="J12" s="818">
        <v>1055.82</v>
      </c>
      <c r="K12" s="818">
        <v>1124.17</v>
      </c>
      <c r="L12" s="818">
        <v>1203.51</v>
      </c>
      <c r="M12" s="818">
        <v>1300.75</v>
      </c>
    </row>
    <row r="13" spans="1:18" s="115" customFormat="1" ht="12.75" customHeight="1">
      <c r="A13" s="103"/>
      <c r="B13" s="102" t="s">
        <v>90</v>
      </c>
      <c r="C13" s="818">
        <v>677.28</v>
      </c>
      <c r="D13" s="818">
        <v>684.56</v>
      </c>
      <c r="E13" s="818">
        <v>709.31</v>
      </c>
      <c r="F13" s="818">
        <v>742.32</v>
      </c>
      <c r="G13" s="818">
        <v>781.48</v>
      </c>
      <c r="H13" s="818">
        <v>818.69</v>
      </c>
      <c r="I13" s="818">
        <v>848.84</v>
      </c>
      <c r="J13" s="818">
        <v>886.18</v>
      </c>
      <c r="K13" s="818">
        <v>942.57</v>
      </c>
      <c r="L13" s="818">
        <v>1023.34</v>
      </c>
      <c r="M13" s="818">
        <v>1113.06</v>
      </c>
    </row>
    <row r="14" spans="1:18" s="115" customFormat="1" ht="12.75" customHeight="1">
      <c r="A14" s="103"/>
      <c r="B14" s="102" t="s">
        <v>143</v>
      </c>
      <c r="C14" s="818">
        <v>729.64</v>
      </c>
      <c r="D14" s="818">
        <v>748.8</v>
      </c>
      <c r="E14" s="818">
        <v>773.93</v>
      </c>
      <c r="F14" s="818">
        <v>798.73</v>
      </c>
      <c r="G14" s="818">
        <v>837.82</v>
      </c>
      <c r="H14" s="818">
        <v>886.32</v>
      </c>
      <c r="I14" s="818">
        <v>908.07</v>
      </c>
      <c r="J14" s="818">
        <v>956.48</v>
      </c>
      <c r="K14" s="818">
        <v>1023.68</v>
      </c>
      <c r="L14" s="818">
        <v>1098.19</v>
      </c>
      <c r="M14" s="818">
        <v>1197.04</v>
      </c>
    </row>
    <row r="15" spans="1:18" s="115" customFormat="1" ht="12.75" customHeight="1">
      <c r="A15" s="103"/>
      <c r="B15" s="102" t="s">
        <v>144</v>
      </c>
      <c r="C15" s="818">
        <v>968.27</v>
      </c>
      <c r="D15" s="818">
        <v>977.14</v>
      </c>
      <c r="E15" s="818">
        <v>997.01</v>
      </c>
      <c r="F15" s="818">
        <v>1024.83</v>
      </c>
      <c r="G15" s="818">
        <v>1054.6099999999999</v>
      </c>
      <c r="H15" s="818">
        <v>1096.6600000000001</v>
      </c>
      <c r="I15" s="818">
        <v>1126.1600000000001</v>
      </c>
      <c r="J15" s="818">
        <v>1168.8499999999999</v>
      </c>
      <c r="K15" s="818">
        <v>1222.6400000000001</v>
      </c>
      <c r="L15" s="818">
        <v>1324.53</v>
      </c>
      <c r="M15" s="818">
        <v>1427.47</v>
      </c>
    </row>
    <row r="16" spans="1:18" s="115" customFormat="1" ht="12.75" customHeight="1">
      <c r="A16" s="103"/>
      <c r="B16" s="102" t="s">
        <v>145</v>
      </c>
      <c r="C16" s="818">
        <v>1435.92</v>
      </c>
      <c r="D16" s="818">
        <v>1428.78</v>
      </c>
      <c r="E16" s="818">
        <v>1439.41</v>
      </c>
      <c r="F16" s="818">
        <v>1454.26</v>
      </c>
      <c r="G16" s="818">
        <v>1459.39</v>
      </c>
      <c r="H16" s="818">
        <v>1499.59</v>
      </c>
      <c r="I16" s="818">
        <v>1537.92</v>
      </c>
      <c r="J16" s="818">
        <v>1575.64</v>
      </c>
      <c r="K16" s="818">
        <v>1618.78</v>
      </c>
      <c r="L16" s="818">
        <v>1724.92</v>
      </c>
      <c r="M16" s="818">
        <v>1845.69</v>
      </c>
    </row>
    <row r="17" spans="1:13" s="115" customFormat="1" ht="12.75" customHeight="1">
      <c r="A17" s="103"/>
      <c r="B17" s="102" t="s">
        <v>146</v>
      </c>
      <c r="C17" s="818">
        <v>1044.07</v>
      </c>
      <c r="D17" s="818">
        <v>1042.8900000000001</v>
      </c>
      <c r="E17" s="818">
        <v>1051.1600000000001</v>
      </c>
      <c r="F17" s="818">
        <v>1075.6400000000001</v>
      </c>
      <c r="G17" s="818">
        <v>1119.1500000000001</v>
      </c>
      <c r="H17" s="818">
        <v>1155.67</v>
      </c>
      <c r="I17" s="818">
        <v>1187.42</v>
      </c>
      <c r="J17" s="818">
        <v>1226.81</v>
      </c>
      <c r="K17" s="818">
        <v>1263.23</v>
      </c>
      <c r="L17" s="818">
        <v>1341.82</v>
      </c>
      <c r="M17" s="818">
        <v>1439</v>
      </c>
    </row>
    <row r="18" spans="1:13" s="115" customFormat="1" ht="12.75" customHeight="1">
      <c r="A18" s="103"/>
      <c r="B18" s="102" t="s">
        <v>147</v>
      </c>
      <c r="C18" s="818">
        <v>3199.8</v>
      </c>
      <c r="D18" s="818">
        <v>3252.24</v>
      </c>
      <c r="E18" s="818">
        <v>3248.73</v>
      </c>
      <c r="F18" s="818">
        <v>3297.75</v>
      </c>
      <c r="G18" s="818">
        <v>3620.97</v>
      </c>
      <c r="H18" s="818">
        <v>3459.65</v>
      </c>
      <c r="I18" s="818">
        <v>3496.14</v>
      </c>
      <c r="J18" s="818">
        <v>3690.73</v>
      </c>
      <c r="K18" s="818">
        <v>3735.62</v>
      </c>
      <c r="L18" s="818">
        <v>4115.71</v>
      </c>
      <c r="M18" s="818">
        <v>4121.18</v>
      </c>
    </row>
    <row r="19" spans="1:13" s="115" customFormat="1" ht="12.75" customHeight="1">
      <c r="A19" s="103"/>
      <c r="B19" s="102" t="s">
        <v>148</v>
      </c>
      <c r="C19" s="818">
        <v>1577.28</v>
      </c>
      <c r="D19" s="818">
        <v>1583.05</v>
      </c>
      <c r="E19" s="818">
        <v>1587.92</v>
      </c>
      <c r="F19" s="818">
        <v>1589.13</v>
      </c>
      <c r="G19" s="818">
        <v>1632.09</v>
      </c>
      <c r="H19" s="818">
        <v>1709.43</v>
      </c>
      <c r="I19" s="818">
        <v>1748.48</v>
      </c>
      <c r="J19" s="818">
        <v>1769.7</v>
      </c>
      <c r="K19" s="818">
        <v>1836.43</v>
      </c>
      <c r="L19" s="818">
        <v>1918.56</v>
      </c>
      <c r="M19" s="818">
        <v>2078.6999999999998</v>
      </c>
    </row>
    <row r="20" spans="1:13" s="115" customFormat="1" ht="12.75" customHeight="1">
      <c r="A20" s="103"/>
      <c r="B20" s="102" t="s">
        <v>157</v>
      </c>
      <c r="C20" s="818">
        <v>1713.02</v>
      </c>
      <c r="D20" s="818">
        <v>1766.56</v>
      </c>
      <c r="E20" s="818">
        <v>1724.18</v>
      </c>
      <c r="F20" s="818">
        <v>1777.09</v>
      </c>
      <c r="G20" s="818">
        <v>1812.54</v>
      </c>
      <c r="H20" s="818">
        <v>1950.04</v>
      </c>
      <c r="I20" s="818">
        <v>1901.69</v>
      </c>
      <c r="J20" s="818">
        <v>1962.63</v>
      </c>
      <c r="K20" s="818">
        <v>2042.99</v>
      </c>
      <c r="L20" s="818">
        <v>2158.0100000000002</v>
      </c>
      <c r="M20" s="818">
        <v>2265.65</v>
      </c>
    </row>
    <row r="21" spans="1:13" s="115" customFormat="1" ht="12.75" customHeight="1">
      <c r="A21" s="103"/>
      <c r="B21" s="102" t="s">
        <v>149</v>
      </c>
      <c r="C21" s="818">
        <v>1158.1199999999999</v>
      </c>
      <c r="D21" s="818">
        <v>1178.44</v>
      </c>
      <c r="E21" s="818">
        <v>1195.99</v>
      </c>
      <c r="F21" s="818">
        <v>1223.4000000000001</v>
      </c>
      <c r="G21" s="818">
        <v>1274.29</v>
      </c>
      <c r="H21" s="818">
        <v>1313.38</v>
      </c>
      <c r="I21" s="818">
        <v>1348.71</v>
      </c>
      <c r="J21" s="818">
        <v>1387.55</v>
      </c>
      <c r="K21" s="818">
        <v>1450.69</v>
      </c>
      <c r="L21" s="818">
        <v>1555.99</v>
      </c>
      <c r="M21" s="818">
        <v>1667.89</v>
      </c>
    </row>
    <row r="22" spans="1:13" s="115" customFormat="1" ht="12.75" customHeight="1">
      <c r="A22" s="103"/>
      <c r="B22" s="102" t="s">
        <v>156</v>
      </c>
      <c r="C22" s="818">
        <v>1070.3900000000001</v>
      </c>
      <c r="D22" s="818">
        <v>1078.6199999999999</v>
      </c>
      <c r="E22" s="818">
        <v>1084.52</v>
      </c>
      <c r="F22" s="818">
        <v>1122.96</v>
      </c>
      <c r="G22" s="818">
        <v>1149.1400000000001</v>
      </c>
      <c r="H22" s="818">
        <v>1191.29</v>
      </c>
      <c r="I22" s="818">
        <v>1208.46</v>
      </c>
      <c r="J22" s="818">
        <v>1258.27</v>
      </c>
      <c r="K22" s="818">
        <v>1324.11</v>
      </c>
      <c r="L22" s="818">
        <v>1425.89</v>
      </c>
      <c r="M22" s="818">
        <v>1541.75</v>
      </c>
    </row>
    <row r="23" spans="1:13" s="115" customFormat="1" ht="12.75" customHeight="1">
      <c r="A23" s="103"/>
      <c r="B23" s="102" t="s">
        <v>91</v>
      </c>
      <c r="C23" s="818">
        <v>1218.31</v>
      </c>
      <c r="D23" s="818">
        <v>1223.98</v>
      </c>
      <c r="E23" s="818">
        <v>1228.2</v>
      </c>
      <c r="F23" s="818">
        <v>1264.72</v>
      </c>
      <c r="G23" s="818">
        <v>1332.52</v>
      </c>
      <c r="H23" s="818">
        <v>1358.43</v>
      </c>
      <c r="I23" s="818">
        <v>1415.49</v>
      </c>
      <c r="J23" s="818">
        <v>1447.12</v>
      </c>
      <c r="K23" s="818">
        <v>1501.73</v>
      </c>
      <c r="L23" s="818">
        <v>1638.7</v>
      </c>
      <c r="M23" s="818">
        <v>1708.07</v>
      </c>
    </row>
    <row r="24" spans="1:13" s="115" customFormat="1" ht="12.75" customHeight="1">
      <c r="A24" s="103"/>
      <c r="B24" s="102" t="s">
        <v>154</v>
      </c>
      <c r="C24" s="818">
        <v>1012.63</v>
      </c>
      <c r="D24" s="818">
        <v>1028.0899999999999</v>
      </c>
      <c r="E24" s="818">
        <v>1035.1199999999999</v>
      </c>
      <c r="F24" s="818">
        <v>1074.6500000000001</v>
      </c>
      <c r="G24" s="818">
        <v>1115.1099999999999</v>
      </c>
      <c r="H24" s="818">
        <v>1153.9000000000001</v>
      </c>
      <c r="I24" s="818">
        <v>1174.8699999999999</v>
      </c>
      <c r="J24" s="818">
        <v>1198.68</v>
      </c>
      <c r="K24" s="818">
        <v>1278.27</v>
      </c>
      <c r="L24" s="818">
        <v>1366.85</v>
      </c>
      <c r="M24" s="818">
        <v>1469.33</v>
      </c>
    </row>
    <row r="25" spans="1:13" s="115" customFormat="1" ht="12.75" customHeight="1">
      <c r="A25" s="103"/>
      <c r="B25" s="102" t="s">
        <v>155</v>
      </c>
      <c r="C25" s="818">
        <v>1285.8399999999999</v>
      </c>
      <c r="D25" s="818">
        <v>1306.5</v>
      </c>
      <c r="E25" s="818">
        <v>1318.4</v>
      </c>
      <c r="F25" s="818">
        <v>1357.54</v>
      </c>
      <c r="G25" s="818">
        <v>1383.3</v>
      </c>
      <c r="H25" s="818">
        <v>1440.49</v>
      </c>
      <c r="I25" s="818">
        <v>1484.94</v>
      </c>
      <c r="J25" s="818">
        <v>1503.8</v>
      </c>
      <c r="K25" s="818">
        <v>1676.91</v>
      </c>
      <c r="L25" s="818">
        <v>1790.14</v>
      </c>
      <c r="M25" s="818">
        <v>1979.49</v>
      </c>
    </row>
    <row r="26" spans="1:13" s="115" customFormat="1" ht="12.75" customHeight="1">
      <c r="A26" s="103"/>
      <c r="B26" s="102" t="s">
        <v>150</v>
      </c>
      <c r="C26" s="818">
        <v>1299.4000000000001</v>
      </c>
      <c r="D26" s="818">
        <v>1362.28</v>
      </c>
      <c r="E26" s="818">
        <v>1375.47</v>
      </c>
      <c r="F26" s="818">
        <v>1411.55</v>
      </c>
      <c r="G26" s="818">
        <v>1451.47</v>
      </c>
      <c r="H26" s="818">
        <v>1431.8</v>
      </c>
      <c r="I26" s="818">
        <v>1592.95</v>
      </c>
      <c r="J26" s="818">
        <v>1520.7</v>
      </c>
      <c r="K26" s="818">
        <v>1705.14</v>
      </c>
      <c r="L26" s="818">
        <v>1881.82</v>
      </c>
      <c r="M26" s="818">
        <v>2038.52</v>
      </c>
    </row>
    <row r="27" spans="1:13" s="115" customFormat="1" ht="12.75" customHeight="1">
      <c r="A27" s="103"/>
      <c r="B27" s="102" t="s">
        <v>158</v>
      </c>
      <c r="C27" s="818">
        <v>1135.78</v>
      </c>
      <c r="D27" s="818">
        <v>1152.98</v>
      </c>
      <c r="E27" s="818">
        <v>1165.05</v>
      </c>
      <c r="F27" s="818">
        <v>1201.4100000000001</v>
      </c>
      <c r="G27" s="818">
        <v>1228.76</v>
      </c>
      <c r="H27" s="818">
        <v>1289.45</v>
      </c>
      <c r="I27" s="818">
        <v>1305.01</v>
      </c>
      <c r="J27" s="818">
        <v>1363.41</v>
      </c>
      <c r="K27" s="818">
        <v>1430.3</v>
      </c>
      <c r="L27" s="818">
        <v>1543.5</v>
      </c>
      <c r="M27" s="818">
        <v>1665.65</v>
      </c>
    </row>
    <row r="28" spans="1:13" s="115" customFormat="1" ht="12.75" customHeight="1">
      <c r="A28" s="103"/>
      <c r="B28" s="102" t="s">
        <v>151</v>
      </c>
      <c r="C28" s="818">
        <v>1249.3699999999999</v>
      </c>
      <c r="D28" s="818">
        <v>1264.83</v>
      </c>
      <c r="E28" s="818">
        <v>1253.02</v>
      </c>
      <c r="F28" s="818">
        <v>1302.55</v>
      </c>
      <c r="G28" s="818">
        <v>1258.6600000000001</v>
      </c>
      <c r="H28" s="818">
        <v>1309.1199999999999</v>
      </c>
      <c r="I28" s="818">
        <v>1396.01</v>
      </c>
      <c r="J28" s="818">
        <v>1351.65</v>
      </c>
      <c r="K28" s="818">
        <v>1524.68</v>
      </c>
      <c r="L28" s="818">
        <v>1532.35</v>
      </c>
      <c r="M28" s="818">
        <v>1757.92</v>
      </c>
    </row>
    <row r="29" spans="1:13" s="115" customFormat="1" ht="12.75" customHeight="1">
      <c r="A29" s="103"/>
      <c r="B29" s="102" t="s">
        <v>159</v>
      </c>
      <c r="C29" s="818">
        <v>1035.79</v>
      </c>
      <c r="D29" s="818">
        <v>1057.98</v>
      </c>
      <c r="E29" s="818">
        <v>1049.19</v>
      </c>
      <c r="F29" s="818">
        <v>1089.79</v>
      </c>
      <c r="G29" s="818">
        <v>1134.9000000000001</v>
      </c>
      <c r="H29" s="818">
        <v>1180.68</v>
      </c>
      <c r="I29" s="818">
        <v>1193.8900000000001</v>
      </c>
      <c r="J29" s="818">
        <v>1231.97</v>
      </c>
      <c r="K29" s="818">
        <v>1286.0899999999999</v>
      </c>
      <c r="L29" s="818">
        <v>1388.69</v>
      </c>
      <c r="M29" s="818">
        <v>1467.86</v>
      </c>
    </row>
    <row r="30" spans="1:13" s="127" customFormat="1" ht="12.75" customHeight="1">
      <c r="A30" s="103"/>
      <c r="B30" s="102" t="s">
        <v>152</v>
      </c>
      <c r="C30" s="818">
        <v>761.82</v>
      </c>
      <c r="D30" s="818">
        <v>771.93</v>
      </c>
      <c r="E30" s="818">
        <v>785.38</v>
      </c>
      <c r="F30" s="818">
        <v>818.22</v>
      </c>
      <c r="G30" s="818">
        <v>854.55</v>
      </c>
      <c r="H30" s="818">
        <v>890.25</v>
      </c>
      <c r="I30" s="818">
        <v>913.69</v>
      </c>
      <c r="J30" s="818">
        <v>950.15</v>
      </c>
      <c r="K30" s="818">
        <v>1012.62</v>
      </c>
      <c r="L30" s="818">
        <v>1099.3800000000001</v>
      </c>
      <c r="M30" s="818">
        <v>1202.7</v>
      </c>
    </row>
    <row r="31" spans="1:13" s="115" customFormat="1" ht="12.75" customHeight="1">
      <c r="A31" s="103"/>
      <c r="B31" s="102" t="s">
        <v>153</v>
      </c>
      <c r="C31" s="818">
        <v>948.48</v>
      </c>
      <c r="D31" s="818">
        <v>945.62</v>
      </c>
      <c r="E31" s="818">
        <v>981.5</v>
      </c>
      <c r="F31" s="818">
        <v>1019.25</v>
      </c>
      <c r="G31" s="818">
        <v>1055.57</v>
      </c>
      <c r="H31" s="818">
        <v>1098.77</v>
      </c>
      <c r="I31" s="818">
        <v>1122.73</v>
      </c>
      <c r="J31" s="818">
        <v>1144.1199999999999</v>
      </c>
      <c r="K31" s="818">
        <v>1236.22</v>
      </c>
      <c r="L31" s="818">
        <v>1368.1</v>
      </c>
      <c r="M31" s="818">
        <v>1474.92</v>
      </c>
    </row>
    <row r="32" spans="1:13" s="115" customFormat="1" ht="12.75" customHeight="1">
      <c r="A32" s="103"/>
      <c r="B32" s="102" t="s">
        <v>160</v>
      </c>
      <c r="C32" s="818">
        <v>1227.1300000000001</v>
      </c>
      <c r="D32" s="818">
        <v>1210.3499999999999</v>
      </c>
      <c r="E32" s="818">
        <v>1205.1300000000001</v>
      </c>
      <c r="F32" s="818">
        <v>1229.29</v>
      </c>
      <c r="G32" s="818">
        <v>1299.29</v>
      </c>
      <c r="H32" s="818">
        <v>1325.13</v>
      </c>
      <c r="I32" s="818">
        <v>1333.77</v>
      </c>
      <c r="J32" s="818">
        <v>1382.08</v>
      </c>
      <c r="K32" s="818">
        <v>1443.37</v>
      </c>
      <c r="L32" s="818">
        <v>1595.26</v>
      </c>
      <c r="M32" s="818">
        <v>1697.25</v>
      </c>
    </row>
    <row r="33" spans="1:13" s="115" customFormat="1" ht="16.5" customHeight="1">
      <c r="A33" s="201" t="s">
        <v>75</v>
      </c>
      <c r="B33" s="307" t="s">
        <v>161</v>
      </c>
      <c r="C33" s="96">
        <v>2899.03</v>
      </c>
      <c r="D33" s="96">
        <v>2923.78</v>
      </c>
      <c r="E33" s="96">
        <v>2941.6</v>
      </c>
      <c r="F33" s="96">
        <v>2914.67</v>
      </c>
      <c r="G33" s="96">
        <v>2948.55</v>
      </c>
      <c r="H33" s="96">
        <v>2904.2</v>
      </c>
      <c r="I33" s="96">
        <v>2956.05</v>
      </c>
      <c r="J33" s="96">
        <v>2965.84</v>
      </c>
      <c r="K33" s="96">
        <v>3040.89</v>
      </c>
      <c r="L33" s="96">
        <v>3171.51</v>
      </c>
      <c r="M33" s="96">
        <v>3320.85</v>
      </c>
    </row>
    <row r="34" spans="1:13" s="115" customFormat="1" ht="12.75" customHeight="1">
      <c r="A34" s="201" t="s">
        <v>76</v>
      </c>
      <c r="B34" s="307" t="s">
        <v>170</v>
      </c>
      <c r="C34" s="96">
        <v>1091.92</v>
      </c>
      <c r="D34" s="96">
        <v>1102.67</v>
      </c>
      <c r="E34" s="96">
        <v>1092.5</v>
      </c>
      <c r="F34" s="96">
        <v>1108.54</v>
      </c>
      <c r="G34" s="96">
        <v>1150.68</v>
      </c>
      <c r="H34" s="96">
        <v>1174.83</v>
      </c>
      <c r="I34" s="96">
        <v>1204.9000000000001</v>
      </c>
      <c r="J34" s="96">
        <v>1227.3</v>
      </c>
      <c r="K34" s="96">
        <v>1275.54</v>
      </c>
      <c r="L34" s="96">
        <v>1387.57</v>
      </c>
      <c r="M34" s="96">
        <v>1478.52</v>
      </c>
    </row>
    <row r="35" spans="1:13" s="115" customFormat="1" ht="12.75" customHeight="1">
      <c r="A35" s="201" t="s">
        <v>77</v>
      </c>
      <c r="B35" s="307" t="s">
        <v>78</v>
      </c>
      <c r="C35" s="96">
        <v>962.23</v>
      </c>
      <c r="D35" s="96">
        <v>958.61</v>
      </c>
      <c r="E35" s="96">
        <v>955.52</v>
      </c>
      <c r="F35" s="96">
        <v>967.03</v>
      </c>
      <c r="G35" s="96">
        <v>993.18</v>
      </c>
      <c r="H35" s="96">
        <v>1025</v>
      </c>
      <c r="I35" s="96">
        <v>1042.3699999999999</v>
      </c>
      <c r="J35" s="96">
        <v>1103.17</v>
      </c>
      <c r="K35" s="96">
        <v>1149.6099999999999</v>
      </c>
      <c r="L35" s="96">
        <v>1231.28</v>
      </c>
      <c r="M35" s="96">
        <v>1336.73</v>
      </c>
    </row>
    <row r="36" spans="1:13" s="115" customFormat="1" ht="12.75" customHeight="1">
      <c r="A36" s="201" t="s">
        <v>79</v>
      </c>
      <c r="B36" s="307" t="s">
        <v>171</v>
      </c>
      <c r="C36" s="96">
        <v>1014.14</v>
      </c>
      <c r="D36" s="96">
        <v>1022.01</v>
      </c>
      <c r="E36" s="96">
        <v>1039.55</v>
      </c>
      <c r="F36" s="96">
        <v>1066.6400000000001</v>
      </c>
      <c r="G36" s="96">
        <v>1099.03</v>
      </c>
      <c r="H36" s="96">
        <v>1140.32</v>
      </c>
      <c r="I36" s="96">
        <v>1176.33</v>
      </c>
      <c r="J36" s="96">
        <v>1224.17</v>
      </c>
      <c r="K36" s="96">
        <v>1280.54</v>
      </c>
      <c r="L36" s="96">
        <v>1373.91</v>
      </c>
      <c r="M36" s="96">
        <v>1471.31</v>
      </c>
    </row>
    <row r="37" spans="1:13" s="115" customFormat="1" ht="12.75" customHeight="1">
      <c r="A37" s="201" t="s">
        <v>52</v>
      </c>
      <c r="B37" s="307" t="s">
        <v>92</v>
      </c>
      <c r="C37" s="96">
        <v>1335.45</v>
      </c>
      <c r="D37" s="96">
        <v>1342.5</v>
      </c>
      <c r="E37" s="96">
        <v>1359.02</v>
      </c>
      <c r="F37" s="96">
        <v>1384.77</v>
      </c>
      <c r="G37" s="96">
        <v>1425.95</v>
      </c>
      <c r="H37" s="96">
        <v>1489.52</v>
      </c>
      <c r="I37" s="96">
        <v>1418.68</v>
      </c>
      <c r="J37" s="96">
        <v>1463.67</v>
      </c>
      <c r="K37" s="96">
        <v>1651.37</v>
      </c>
      <c r="L37" s="96">
        <v>1761.67</v>
      </c>
      <c r="M37" s="96">
        <v>1856.48</v>
      </c>
    </row>
    <row r="38" spans="1:13" s="115" customFormat="1" ht="12.75" customHeight="1">
      <c r="A38" s="201" t="s">
        <v>10</v>
      </c>
      <c r="B38" s="307" t="s">
        <v>162</v>
      </c>
      <c r="C38" s="96">
        <v>734.04</v>
      </c>
      <c r="D38" s="96">
        <v>736.8</v>
      </c>
      <c r="E38" s="96">
        <v>758.99</v>
      </c>
      <c r="F38" s="96">
        <v>788.29</v>
      </c>
      <c r="G38" s="96">
        <v>820.22</v>
      </c>
      <c r="H38" s="96">
        <v>851.31</v>
      </c>
      <c r="I38" s="96">
        <v>858.93</v>
      </c>
      <c r="J38" s="96">
        <v>913.66</v>
      </c>
      <c r="K38" s="96">
        <v>977.82</v>
      </c>
      <c r="L38" s="96">
        <v>1046.9100000000001</v>
      </c>
      <c r="M38" s="96">
        <v>1125.3499999999999</v>
      </c>
    </row>
    <row r="39" spans="1:13" s="115" customFormat="1" ht="12.75" customHeight="1">
      <c r="A39" s="201" t="s">
        <v>80</v>
      </c>
      <c r="B39" s="307" t="s">
        <v>168</v>
      </c>
      <c r="C39" s="96">
        <v>1779.88</v>
      </c>
      <c r="D39" s="96">
        <v>1770.68</v>
      </c>
      <c r="E39" s="96">
        <v>1797.94</v>
      </c>
      <c r="F39" s="96">
        <v>1808.57</v>
      </c>
      <c r="G39" s="96">
        <v>1867.06</v>
      </c>
      <c r="H39" s="96">
        <v>1919.57</v>
      </c>
      <c r="I39" s="96">
        <v>1970.06</v>
      </c>
      <c r="J39" s="96">
        <v>2046.09</v>
      </c>
      <c r="K39" s="96">
        <v>2222.2600000000002</v>
      </c>
      <c r="L39" s="96">
        <v>2360.1999999999998</v>
      </c>
      <c r="M39" s="96">
        <v>2565.69</v>
      </c>
    </row>
    <row r="40" spans="1:13" s="59" customFormat="1" ht="12.75" customHeight="1">
      <c r="A40" s="201" t="s">
        <v>81</v>
      </c>
      <c r="B40" s="307" t="s">
        <v>163</v>
      </c>
      <c r="C40" s="96">
        <v>2312.4899999999998</v>
      </c>
      <c r="D40" s="96">
        <v>2302.13</v>
      </c>
      <c r="E40" s="96">
        <v>2313.46</v>
      </c>
      <c r="F40" s="96">
        <v>2305.21</v>
      </c>
      <c r="G40" s="96">
        <v>2321.41</v>
      </c>
      <c r="H40" s="96">
        <v>2330.36</v>
      </c>
      <c r="I40" s="96">
        <v>2366.37</v>
      </c>
      <c r="J40" s="96">
        <v>2374.41</v>
      </c>
      <c r="K40" s="96">
        <v>2429.02</v>
      </c>
      <c r="L40" s="96">
        <v>2579.31</v>
      </c>
      <c r="M40" s="96">
        <v>2718.01</v>
      </c>
    </row>
    <row r="41" spans="1:13" s="59" customFormat="1" ht="12.75" customHeight="1">
      <c r="A41" s="201" t="s">
        <v>82</v>
      </c>
      <c r="B41" s="307" t="s">
        <v>102</v>
      </c>
      <c r="C41" s="96">
        <v>1087.28</v>
      </c>
      <c r="D41" s="96">
        <v>1080.53</v>
      </c>
      <c r="E41" s="96">
        <v>1101.57</v>
      </c>
      <c r="F41" s="96">
        <v>1115</v>
      </c>
      <c r="G41" s="96">
        <v>1148.17</v>
      </c>
      <c r="H41" s="96">
        <v>1193.98</v>
      </c>
      <c r="I41" s="96">
        <v>1237.47</v>
      </c>
      <c r="J41" s="96">
        <v>1277.49</v>
      </c>
      <c r="K41" s="96">
        <v>1343.29</v>
      </c>
      <c r="L41" s="96">
        <v>1449.6</v>
      </c>
      <c r="M41" s="96">
        <v>1535.49</v>
      </c>
    </row>
    <row r="42" spans="1:13" s="59" customFormat="1" ht="12.75" customHeight="1">
      <c r="A42" s="201" t="s">
        <v>53</v>
      </c>
      <c r="B42" s="307" t="s">
        <v>172</v>
      </c>
      <c r="C42" s="96">
        <v>1347.85</v>
      </c>
      <c r="D42" s="96">
        <v>1352.56</v>
      </c>
      <c r="E42" s="96">
        <v>1358.58</v>
      </c>
      <c r="F42" s="96">
        <v>1414.09</v>
      </c>
      <c r="G42" s="96">
        <v>1446.18</v>
      </c>
      <c r="H42" s="96">
        <v>1498.25</v>
      </c>
      <c r="I42" s="96">
        <v>1543.35</v>
      </c>
      <c r="J42" s="96">
        <v>1612.77</v>
      </c>
      <c r="K42" s="96">
        <v>1708.75</v>
      </c>
      <c r="L42" s="96">
        <v>1854.12</v>
      </c>
      <c r="M42" s="96">
        <v>1980.2</v>
      </c>
    </row>
    <row r="43" spans="1:13" s="59" customFormat="1" ht="12.75" customHeight="1">
      <c r="A43" s="201" t="s">
        <v>84</v>
      </c>
      <c r="B43" s="307" t="s">
        <v>166</v>
      </c>
      <c r="C43" s="96">
        <v>915.77</v>
      </c>
      <c r="D43" s="96">
        <v>909.36</v>
      </c>
      <c r="E43" s="96">
        <v>915.81</v>
      </c>
      <c r="F43" s="96">
        <v>940.16</v>
      </c>
      <c r="G43" s="96">
        <v>974.19</v>
      </c>
      <c r="H43" s="96">
        <v>1006.82</v>
      </c>
      <c r="I43" s="96">
        <v>1032.8800000000001</v>
      </c>
      <c r="J43" s="96">
        <v>1086.1400000000001</v>
      </c>
      <c r="K43" s="96">
        <v>1156.51</v>
      </c>
      <c r="L43" s="96">
        <v>1263.92</v>
      </c>
      <c r="M43" s="96">
        <v>1367.59</v>
      </c>
    </row>
    <row r="44" spans="1:13" s="59" customFormat="1" ht="12.75" customHeight="1">
      <c r="A44" s="201" t="s">
        <v>85</v>
      </c>
      <c r="B44" s="307" t="s">
        <v>167</v>
      </c>
      <c r="C44" s="96">
        <v>1049.32</v>
      </c>
      <c r="D44" s="96">
        <v>1055.0899999999999</v>
      </c>
      <c r="E44" s="96">
        <v>1031.68</v>
      </c>
      <c r="F44" s="96">
        <v>1056.22</v>
      </c>
      <c r="G44" s="96">
        <v>1099.5999999999999</v>
      </c>
      <c r="H44" s="96">
        <v>1161.46</v>
      </c>
      <c r="I44" s="96">
        <v>1222.78</v>
      </c>
      <c r="J44" s="96">
        <v>1269.25</v>
      </c>
      <c r="K44" s="96">
        <v>1293.6300000000001</v>
      </c>
      <c r="L44" s="96">
        <v>1386.73</v>
      </c>
      <c r="M44" s="96">
        <v>1479.67</v>
      </c>
    </row>
    <row r="45" spans="1:13" s="59" customFormat="1" ht="12.75" customHeight="1">
      <c r="A45" s="201" t="s">
        <v>93</v>
      </c>
      <c r="B45" s="307" t="s">
        <v>83</v>
      </c>
      <c r="C45" s="96">
        <v>1224.42</v>
      </c>
      <c r="D45" s="96">
        <v>1215.92</v>
      </c>
      <c r="E45" s="96">
        <v>1218.18</v>
      </c>
      <c r="F45" s="96">
        <v>1243.1300000000001</v>
      </c>
      <c r="G45" s="96">
        <v>1272.3900000000001</v>
      </c>
      <c r="H45" s="96">
        <v>1336.35</v>
      </c>
      <c r="I45" s="96">
        <v>1375.08</v>
      </c>
      <c r="J45" s="96">
        <v>1415.08</v>
      </c>
      <c r="K45" s="96">
        <v>1477.62</v>
      </c>
      <c r="L45" s="96">
        <v>1587.99</v>
      </c>
      <c r="M45" s="96">
        <v>1682.54</v>
      </c>
    </row>
    <row r="46" spans="1:13" s="59" customFormat="1" ht="12.75" customHeight="1">
      <c r="A46" s="201" t="s">
        <v>86</v>
      </c>
      <c r="B46" s="307" t="s">
        <v>138</v>
      </c>
      <c r="C46" s="96">
        <v>941.14</v>
      </c>
      <c r="D46" s="96">
        <v>957.95</v>
      </c>
      <c r="E46" s="96">
        <v>977.41</v>
      </c>
      <c r="F46" s="96">
        <v>1008.97</v>
      </c>
      <c r="G46" s="96">
        <v>1045.1199999999999</v>
      </c>
      <c r="H46" s="96">
        <v>1088.3399999999999</v>
      </c>
      <c r="I46" s="96">
        <v>1112.49</v>
      </c>
      <c r="J46" s="96">
        <v>1148.8</v>
      </c>
      <c r="K46" s="96">
        <v>1186.79</v>
      </c>
      <c r="L46" s="96">
        <v>1250.5999999999999</v>
      </c>
      <c r="M46" s="96">
        <v>1396.03</v>
      </c>
    </row>
    <row r="47" spans="1:13" s="59" customFormat="1" ht="12.75" customHeight="1">
      <c r="A47" s="201" t="s">
        <v>94</v>
      </c>
      <c r="B47" s="307" t="s">
        <v>164</v>
      </c>
      <c r="C47" s="96">
        <v>1556.9</v>
      </c>
      <c r="D47" s="96">
        <v>1683.9</v>
      </c>
      <c r="E47" s="96">
        <v>1710.96</v>
      </c>
      <c r="F47" s="96">
        <v>1798.97</v>
      </c>
      <c r="G47" s="96">
        <v>1800.76</v>
      </c>
      <c r="H47" s="96">
        <v>1856.55</v>
      </c>
      <c r="I47" s="96">
        <v>2043.82</v>
      </c>
      <c r="J47" s="96">
        <v>1981.67</v>
      </c>
      <c r="K47" s="96">
        <v>2006.93</v>
      </c>
      <c r="L47" s="96">
        <v>2131.9699999999998</v>
      </c>
      <c r="M47" s="96">
        <v>2222.9899999999998</v>
      </c>
    </row>
    <row r="48" spans="1:13" s="59" customFormat="1" ht="12.75" customHeight="1">
      <c r="A48" s="201" t="s">
        <v>95</v>
      </c>
      <c r="B48" s="307" t="s">
        <v>103</v>
      </c>
      <c r="C48" s="96">
        <v>957.11</v>
      </c>
      <c r="D48" s="96">
        <v>956.51</v>
      </c>
      <c r="E48" s="96">
        <v>964.7</v>
      </c>
      <c r="F48" s="96">
        <v>994.49</v>
      </c>
      <c r="G48" s="96">
        <v>1024</v>
      </c>
      <c r="H48" s="96">
        <v>1057.8699999999999</v>
      </c>
      <c r="I48" s="96">
        <v>1115.8800000000001</v>
      </c>
      <c r="J48" s="96">
        <v>1140.2</v>
      </c>
      <c r="K48" s="96">
        <v>1185.8599999999999</v>
      </c>
      <c r="L48" s="96">
        <v>1259.4000000000001</v>
      </c>
      <c r="M48" s="96">
        <v>1356.2</v>
      </c>
    </row>
    <row r="49" spans="1:13" s="59" customFormat="1" ht="12.75" customHeight="1">
      <c r="A49" s="34" t="s">
        <v>96</v>
      </c>
      <c r="B49" s="35" t="s">
        <v>165</v>
      </c>
      <c r="C49" s="819">
        <v>1860.19</v>
      </c>
      <c r="D49" s="819">
        <v>2012.88</v>
      </c>
      <c r="E49" s="819">
        <v>2228.17</v>
      </c>
      <c r="F49" s="819">
        <v>2104.88</v>
      </c>
      <c r="G49" s="819">
        <v>2323.9899999999998</v>
      </c>
      <c r="H49" s="819">
        <v>2299.36</v>
      </c>
      <c r="I49" s="819">
        <v>2045.65</v>
      </c>
      <c r="J49" s="819">
        <v>1997.5</v>
      </c>
      <c r="K49" s="819">
        <v>3245.89</v>
      </c>
      <c r="L49" s="819">
        <v>3521.63</v>
      </c>
      <c r="M49" s="819">
        <v>3420.75</v>
      </c>
    </row>
    <row r="50" spans="1:13" s="59" customFormat="1" ht="15" customHeight="1">
      <c r="A50" s="19" t="s">
        <v>769</v>
      </c>
      <c r="B50" s="8"/>
      <c r="C50" s="95"/>
      <c r="D50" s="95"/>
      <c r="E50" s="95"/>
      <c r="F50" s="95"/>
      <c r="G50" s="96"/>
      <c r="H50" s="96"/>
      <c r="I50" s="96"/>
      <c r="J50" s="96"/>
      <c r="K50" s="96"/>
      <c r="L50" s="96"/>
      <c r="M50" s="96"/>
    </row>
    <row r="51" spans="1:13" ht="10.5" customHeight="1">
      <c r="B51" s="999" t="s">
        <v>4</v>
      </c>
      <c r="C51" s="999"/>
      <c r="D51" s="999"/>
      <c r="E51" s="999"/>
      <c r="F51" s="999"/>
      <c r="G51" s="999"/>
      <c r="H51" s="999"/>
      <c r="I51" s="999"/>
      <c r="J51" s="999"/>
      <c r="K51" s="999"/>
      <c r="L51" s="999"/>
      <c r="M51" s="380"/>
    </row>
    <row r="52" spans="1:13" ht="15" customHeight="1">
      <c r="B52" s="205"/>
    </row>
  </sheetData>
  <mergeCells count="2">
    <mergeCell ref="B51:L51"/>
    <mergeCell ref="A1:M1"/>
  </mergeCells>
  <phoneticPr fontId="24" type="noConversion"/>
  <conditionalFormatting sqref="E3 A1 A51:B51 G50 A5:B5 A2:E2 A3:C3 A4:E4 A52:E1048576 B50:D50 C5:I49 N1:O4 AC1:XFD1048576 N6:O1048576">
    <cfRule type="cellIs" dxfId="496" priority="52" operator="equal">
      <formula>0</formula>
    </cfRule>
  </conditionalFormatting>
  <conditionalFormatting sqref="E50">
    <cfRule type="cellIs" dxfId="495" priority="51" operator="equal">
      <formula>0</formula>
    </cfRule>
  </conditionalFormatting>
  <conditionalFormatting sqref="G2:G4 G52:G1048576 H4:I4">
    <cfRule type="cellIs" dxfId="494" priority="46" operator="equal">
      <formula>0</formula>
    </cfRule>
  </conditionalFormatting>
  <conditionalFormatting sqref="F2:F4 F52:F1048576">
    <cfRule type="cellIs" dxfId="493" priority="43" operator="equal">
      <formula>0</formula>
    </cfRule>
  </conditionalFormatting>
  <conditionalFormatting sqref="F50">
    <cfRule type="cellIs" dxfId="492" priority="42" operator="equal">
      <formula>0</formula>
    </cfRule>
  </conditionalFormatting>
  <conditionalFormatting sqref="I50">
    <cfRule type="cellIs" dxfId="491" priority="37" operator="equal">
      <formula>0</formula>
    </cfRule>
  </conditionalFormatting>
  <conditionalFormatting sqref="I2:I3 I52:I1048576">
    <cfRule type="cellIs" dxfId="490" priority="36" operator="equal">
      <formula>0</formula>
    </cfRule>
  </conditionalFormatting>
  <conditionalFormatting sqref="H50">
    <cfRule type="cellIs" dxfId="489" priority="34" operator="equal">
      <formula>0</formula>
    </cfRule>
  </conditionalFormatting>
  <conditionalFormatting sqref="H2:H3 H52:H1048576">
    <cfRule type="cellIs" dxfId="488" priority="33" operator="equal">
      <formula>0</formula>
    </cfRule>
  </conditionalFormatting>
  <conditionalFormatting sqref="J4">
    <cfRule type="cellIs" dxfId="487" priority="31" operator="equal">
      <formula>0</formula>
    </cfRule>
  </conditionalFormatting>
  <conditionalFormatting sqref="J5:J49">
    <cfRule type="cellIs" dxfId="486" priority="30" operator="equal">
      <formula>0</formula>
    </cfRule>
  </conditionalFormatting>
  <conditionalFormatting sqref="J50">
    <cfRule type="cellIs" dxfId="485" priority="29" operator="equal">
      <formula>0</formula>
    </cfRule>
  </conditionalFormatting>
  <conditionalFormatting sqref="J2:J3 J52:J1048576">
    <cfRule type="cellIs" dxfId="484" priority="28" operator="equal">
      <formula>0</formula>
    </cfRule>
  </conditionalFormatting>
  <conditionalFormatting sqref="K4">
    <cfRule type="cellIs" dxfId="483" priority="27" operator="equal">
      <formula>0</formula>
    </cfRule>
  </conditionalFormatting>
  <conditionalFormatting sqref="K5:K49">
    <cfRule type="cellIs" dxfId="482" priority="26" operator="equal">
      <formula>0</formula>
    </cfRule>
  </conditionalFormatting>
  <conditionalFormatting sqref="K50">
    <cfRule type="cellIs" dxfId="481" priority="25" operator="equal">
      <formula>0</formula>
    </cfRule>
  </conditionalFormatting>
  <conditionalFormatting sqref="K2:K3 K52:K1048576">
    <cfRule type="cellIs" dxfId="480" priority="24" operator="equal">
      <formula>0</formula>
    </cfRule>
  </conditionalFormatting>
  <conditionalFormatting sqref="L4">
    <cfRule type="cellIs" dxfId="479" priority="20" operator="equal">
      <formula>0</formula>
    </cfRule>
  </conditionalFormatting>
  <conditionalFormatting sqref="L5:L49">
    <cfRule type="cellIs" dxfId="478" priority="19" operator="equal">
      <formula>0</formula>
    </cfRule>
  </conditionalFormatting>
  <conditionalFormatting sqref="L50">
    <cfRule type="cellIs" dxfId="477" priority="18" operator="equal">
      <formula>0</formula>
    </cfRule>
  </conditionalFormatting>
  <conditionalFormatting sqref="L2:L3 L52:L1048576">
    <cfRule type="cellIs" dxfId="476" priority="17" operator="equal">
      <formula>0</formula>
    </cfRule>
  </conditionalFormatting>
  <conditionalFormatting sqref="M4">
    <cfRule type="cellIs" dxfId="475" priority="16" operator="equal">
      <formula>0</formula>
    </cfRule>
  </conditionalFormatting>
  <conditionalFormatting sqref="M5:M49">
    <cfRule type="cellIs" dxfId="474" priority="15" operator="equal">
      <formula>0</formula>
    </cfRule>
  </conditionalFormatting>
  <conditionalFormatting sqref="M50">
    <cfRule type="cellIs" dxfId="473" priority="14" operator="equal">
      <formula>0</formula>
    </cfRule>
  </conditionalFormatting>
  <conditionalFormatting sqref="M2:M3 M52:M1048576">
    <cfRule type="cellIs" dxfId="472" priority="13" operator="equal">
      <formula>0</formula>
    </cfRule>
  </conditionalFormatting>
  <conditionalFormatting sqref="N5:O5">
    <cfRule type="cellIs" dxfId="471" priority="2" operator="equal">
      <formula>0</formula>
    </cfRule>
  </conditionalFormatting>
  <conditionalFormatting sqref="A50">
    <cfRule type="cellIs" dxfId="470"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98" orientation="portrait" r:id="rId1"/>
  <headerFooter>
    <oddHeader>&amp;C&amp;G</oddHeader>
  </headerFooter>
  <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DEB6E-D6AE-4190-828F-D495D7F6AE9C}">
  <sheetPr>
    <tabColor rgb="FFFFFF00"/>
  </sheetPr>
  <dimension ref="A1:AB96"/>
  <sheetViews>
    <sheetView showGridLines="0" showRowColHeaders="0" zoomScaleNormal="100" zoomScaleSheetLayoutView="100" workbookViewId="0"/>
  </sheetViews>
  <sheetFormatPr defaultColWidth="0" defaultRowHeight="15" zeroHeight="1"/>
  <cols>
    <col min="1" max="11" width="8.42578125" style="894" customWidth="1"/>
    <col min="12" max="12" width="7" style="894" customWidth="1"/>
    <col min="13" max="23" width="8.7109375" style="894" customWidth="1"/>
    <col min="24" max="27" width="8.7109375" style="894" hidden="1" customWidth="1"/>
    <col min="28" max="28" width="11.28515625" style="894" hidden="1" customWidth="1"/>
    <col min="29" max="16384" width="8.7109375" style="894" hidden="1"/>
  </cols>
  <sheetData>
    <row r="1" spans="1:28">
      <c r="A1" s="912"/>
      <c r="B1" s="912"/>
      <c r="C1" s="912"/>
      <c r="D1" s="912"/>
      <c r="E1" s="912"/>
      <c r="F1" s="912"/>
      <c r="G1" s="912"/>
      <c r="H1" s="912"/>
      <c r="I1" s="912"/>
      <c r="J1" s="912"/>
      <c r="K1" s="912"/>
      <c r="L1" s="912"/>
      <c r="M1" s="912"/>
      <c r="N1" s="912"/>
      <c r="O1" s="912"/>
      <c r="P1" s="912"/>
      <c r="Q1" s="912"/>
      <c r="R1" s="912"/>
      <c r="S1" s="912"/>
      <c r="T1" s="912"/>
      <c r="U1" s="912"/>
      <c r="V1" s="912"/>
      <c r="W1" s="912"/>
    </row>
    <row r="2" spans="1:28">
      <c r="A2" s="912"/>
      <c r="B2" s="912"/>
      <c r="C2" s="912"/>
      <c r="D2" s="912"/>
      <c r="E2" s="912"/>
      <c r="F2" s="912"/>
      <c r="G2" s="912"/>
      <c r="H2" s="912"/>
      <c r="I2" s="912"/>
      <c r="J2" s="912"/>
      <c r="K2" s="912"/>
      <c r="L2" s="912"/>
      <c r="M2" s="912"/>
      <c r="N2" s="912"/>
      <c r="O2" s="912"/>
      <c r="P2" s="912"/>
      <c r="Q2" s="912"/>
      <c r="R2" s="912"/>
      <c r="S2" s="912"/>
      <c r="T2" s="912"/>
      <c r="U2" s="912"/>
      <c r="V2" s="912"/>
      <c r="W2" s="912"/>
    </row>
    <row r="3" spans="1:28">
      <c r="A3" s="912"/>
      <c r="B3" s="912"/>
      <c r="C3" s="912"/>
      <c r="D3" s="912"/>
      <c r="E3" s="912"/>
      <c r="F3" s="912"/>
      <c r="G3" s="912"/>
      <c r="H3" s="912"/>
      <c r="I3" s="912"/>
      <c r="J3" s="912"/>
      <c r="K3" s="912"/>
      <c r="L3" s="912"/>
      <c r="M3" s="912"/>
      <c r="N3" s="912"/>
      <c r="O3" s="912"/>
      <c r="P3" s="912"/>
      <c r="Q3" s="912"/>
      <c r="R3" s="912"/>
      <c r="S3" s="912"/>
      <c r="T3" s="912"/>
      <c r="U3" s="912"/>
      <c r="V3" s="912"/>
      <c r="W3" s="912"/>
    </row>
    <row r="4" spans="1:28">
      <c r="A4" s="912"/>
      <c r="B4" s="912"/>
      <c r="C4" s="912"/>
      <c r="D4" s="912"/>
      <c r="E4" s="912"/>
      <c r="F4" s="912"/>
      <c r="G4" s="912"/>
      <c r="H4" s="912"/>
      <c r="I4" s="912"/>
      <c r="J4" s="912"/>
      <c r="K4" s="912"/>
      <c r="L4" s="912"/>
      <c r="M4" s="912"/>
      <c r="N4" s="912"/>
      <c r="O4" s="912"/>
      <c r="P4" s="912"/>
      <c r="Q4" s="912"/>
      <c r="R4" s="912"/>
      <c r="S4" s="912"/>
      <c r="T4" s="912"/>
      <c r="U4" s="912"/>
      <c r="V4" s="912"/>
      <c r="W4" s="912"/>
    </row>
    <row r="5" spans="1:28">
      <c r="A5" s="912"/>
      <c r="B5" s="912"/>
      <c r="C5" s="912"/>
      <c r="D5" s="912"/>
      <c r="E5" s="912"/>
      <c r="F5" s="912"/>
      <c r="G5" s="912"/>
      <c r="H5" s="912"/>
      <c r="I5" s="912"/>
      <c r="J5" s="912"/>
      <c r="K5" s="912"/>
      <c r="L5" s="912"/>
      <c r="M5" s="912"/>
      <c r="N5" s="912"/>
      <c r="O5" s="912"/>
      <c r="P5" s="912"/>
      <c r="Q5" s="912"/>
      <c r="R5" s="912"/>
      <c r="S5" s="912"/>
      <c r="T5" s="912"/>
      <c r="U5" s="912"/>
      <c r="V5" s="912"/>
      <c r="W5" s="912"/>
      <c r="Z5" s="907"/>
    </row>
    <row r="6" spans="1:28">
      <c r="A6" s="912"/>
      <c r="B6" s="912"/>
      <c r="C6" s="912"/>
      <c r="D6" s="912"/>
      <c r="E6" s="912"/>
      <c r="F6" s="912"/>
      <c r="G6" s="913"/>
      <c r="H6" s="912"/>
      <c r="I6" s="912"/>
      <c r="J6" s="912"/>
      <c r="K6" s="912"/>
      <c r="L6" s="937"/>
      <c r="M6" s="937"/>
      <c r="N6" s="937"/>
      <c r="O6" s="937"/>
      <c r="P6" s="937"/>
      <c r="Q6" s="937"/>
      <c r="R6" s="912"/>
      <c r="S6" s="912"/>
      <c r="T6" s="912"/>
      <c r="U6" s="912"/>
      <c r="V6" s="912"/>
      <c r="W6" s="912"/>
    </row>
    <row r="7" spans="1:28">
      <c r="A7" s="938"/>
      <c r="B7" s="938"/>
      <c r="C7" s="938"/>
      <c r="D7" s="938"/>
      <c r="E7" s="938"/>
      <c r="F7" s="938"/>
      <c r="G7" s="912"/>
      <c r="H7" s="912"/>
      <c r="I7" s="912"/>
      <c r="J7" s="912"/>
      <c r="K7" s="912"/>
      <c r="L7" s="912"/>
      <c r="M7" s="912"/>
      <c r="N7" s="912"/>
      <c r="O7" s="912"/>
      <c r="P7" s="912"/>
      <c r="Q7" s="912"/>
      <c r="R7" s="912"/>
      <c r="S7" s="912"/>
      <c r="T7" s="912"/>
      <c r="U7" s="912"/>
      <c r="V7" s="912"/>
      <c r="W7" s="912"/>
    </row>
    <row r="8" spans="1:28" ht="15" customHeight="1">
      <c r="A8" s="912"/>
      <c r="B8" s="912"/>
      <c r="C8" s="912"/>
      <c r="D8" s="912"/>
      <c r="E8" s="912"/>
      <c r="F8" s="916"/>
      <c r="G8" s="916"/>
      <c r="H8" s="912"/>
      <c r="I8" s="912"/>
      <c r="J8" s="912"/>
      <c r="K8" s="912"/>
      <c r="L8" s="912"/>
      <c r="M8" s="912"/>
      <c r="N8" s="912"/>
      <c r="O8" s="912"/>
      <c r="P8" s="912"/>
      <c r="Q8" s="912"/>
      <c r="R8" s="912"/>
      <c r="S8" s="912"/>
      <c r="T8" s="912"/>
      <c r="U8" s="912"/>
      <c r="V8" s="912"/>
      <c r="W8" s="912"/>
    </row>
    <row r="9" spans="1:28" ht="15" customHeight="1">
      <c r="A9" s="912"/>
      <c r="B9" s="912"/>
      <c r="C9" s="912"/>
      <c r="D9" s="912"/>
      <c r="E9" s="912"/>
      <c r="F9" s="916"/>
      <c r="G9" s="916"/>
      <c r="H9" s="912"/>
      <c r="I9" s="912"/>
      <c r="J9" s="912"/>
      <c r="K9" s="912"/>
      <c r="L9" s="912"/>
      <c r="M9" s="912"/>
      <c r="N9" s="912"/>
      <c r="O9" s="912"/>
      <c r="P9" s="912"/>
      <c r="Q9" s="912"/>
      <c r="R9" s="912"/>
      <c r="S9" s="912"/>
      <c r="T9" s="912"/>
      <c r="U9" s="912"/>
      <c r="V9" s="912"/>
      <c r="W9" s="912"/>
    </row>
    <row r="10" spans="1:28">
      <c r="A10" s="912"/>
      <c r="B10" s="912"/>
      <c r="C10" s="912"/>
      <c r="D10" s="912"/>
      <c r="E10" s="912"/>
      <c r="F10" s="916"/>
      <c r="G10" s="916"/>
      <c r="H10" s="912"/>
      <c r="I10" s="912"/>
      <c r="J10" s="912"/>
      <c r="K10" s="912"/>
      <c r="L10" s="912"/>
      <c r="M10" s="912"/>
      <c r="N10" s="912"/>
      <c r="O10" s="912"/>
      <c r="P10" s="912"/>
      <c r="Q10" s="912"/>
      <c r="R10" s="912"/>
      <c r="S10" s="912"/>
      <c r="T10" s="912"/>
      <c r="U10" s="912"/>
      <c r="V10" s="912"/>
      <c r="W10" s="912"/>
      <c r="AB10" s="903"/>
    </row>
    <row r="11" spans="1:28" ht="15" customHeight="1">
      <c r="A11" s="912"/>
      <c r="B11" s="912"/>
      <c r="C11" s="912"/>
      <c r="D11" s="912"/>
      <c r="E11" s="912"/>
      <c r="F11" s="916"/>
      <c r="G11" s="916"/>
      <c r="H11" s="912"/>
      <c r="I11" s="912"/>
      <c r="J11" s="912"/>
      <c r="K11" s="912"/>
      <c r="L11" s="912"/>
      <c r="M11" s="912"/>
      <c r="N11" s="912"/>
      <c r="O11" s="912"/>
      <c r="P11" s="912"/>
      <c r="Q11" s="912"/>
      <c r="R11" s="912"/>
      <c r="S11" s="912"/>
      <c r="T11" s="912"/>
      <c r="U11" s="912"/>
      <c r="V11" s="912"/>
      <c r="W11" s="912"/>
    </row>
    <row r="12" spans="1:28" ht="15" customHeight="1">
      <c r="A12" s="912"/>
      <c r="B12" s="912"/>
      <c r="C12" s="912"/>
      <c r="D12" s="912"/>
      <c r="E12" s="912"/>
      <c r="F12" s="916"/>
      <c r="G12" s="916"/>
      <c r="H12" s="912"/>
      <c r="I12" s="912"/>
      <c r="J12" s="912"/>
      <c r="K12" s="912"/>
      <c r="L12" s="912"/>
      <c r="M12" s="912"/>
      <c r="N12" s="912"/>
      <c r="O12" s="912"/>
      <c r="P12" s="912"/>
      <c r="Q12" s="912"/>
      <c r="R12" s="912"/>
      <c r="S12" s="912"/>
      <c r="T12" s="912"/>
      <c r="U12" s="912"/>
      <c r="V12" s="912"/>
      <c r="W12" s="912"/>
    </row>
    <row r="13" spans="1:28">
      <c r="A13" s="912"/>
      <c r="B13" s="912"/>
      <c r="C13" s="912"/>
      <c r="D13" s="912"/>
      <c r="E13" s="912"/>
      <c r="F13" s="916"/>
      <c r="G13" s="916"/>
      <c r="H13" s="912"/>
      <c r="I13" s="912"/>
      <c r="J13" s="912"/>
      <c r="K13" s="912"/>
      <c r="L13" s="912"/>
      <c r="M13" s="912"/>
      <c r="N13" s="912"/>
      <c r="O13" s="912"/>
      <c r="P13" s="912"/>
      <c r="Q13" s="912"/>
      <c r="R13" s="912"/>
      <c r="S13" s="912"/>
      <c r="T13" s="912"/>
      <c r="U13" s="912"/>
      <c r="V13" s="912"/>
      <c r="W13" s="912"/>
    </row>
    <row r="14" spans="1:28">
      <c r="A14" s="912"/>
      <c r="B14" s="912"/>
      <c r="C14" s="912"/>
      <c r="D14" s="912"/>
      <c r="E14" s="912"/>
      <c r="F14" s="912"/>
      <c r="G14" s="912"/>
      <c r="H14" s="912"/>
      <c r="I14" s="912"/>
      <c r="J14" s="912"/>
      <c r="K14" s="912"/>
      <c r="L14" s="912"/>
      <c r="M14" s="912"/>
      <c r="N14" s="912"/>
      <c r="O14" s="912"/>
      <c r="P14" s="912"/>
      <c r="Q14" s="912"/>
      <c r="R14" s="912"/>
      <c r="S14" s="912"/>
      <c r="T14" s="912"/>
      <c r="U14" s="912"/>
      <c r="V14" s="912"/>
      <c r="W14" s="912"/>
    </row>
    <row r="15" spans="1:28">
      <c r="A15" s="912"/>
      <c r="B15" s="912"/>
      <c r="C15" s="912"/>
      <c r="D15" s="912"/>
      <c r="E15" s="912"/>
      <c r="F15" s="912"/>
      <c r="G15" s="912"/>
      <c r="H15" s="912"/>
      <c r="I15" s="912"/>
      <c r="J15" s="912"/>
      <c r="K15" s="912"/>
      <c r="L15" s="912"/>
      <c r="M15" s="912"/>
      <c r="N15" s="912"/>
      <c r="O15" s="912"/>
      <c r="P15" s="912"/>
      <c r="Q15" s="912"/>
      <c r="R15" s="912"/>
      <c r="S15" s="912"/>
      <c r="T15" s="912"/>
      <c r="U15" s="912"/>
      <c r="V15" s="912"/>
      <c r="W15" s="912"/>
    </row>
    <row r="16" spans="1:28">
      <c r="A16" s="912"/>
      <c r="B16" s="912"/>
      <c r="C16" s="912"/>
      <c r="D16" s="912"/>
      <c r="E16" s="912"/>
      <c r="F16" s="912"/>
      <c r="G16" s="912"/>
      <c r="H16" s="912"/>
      <c r="I16" s="912"/>
      <c r="J16" s="912"/>
      <c r="K16" s="912"/>
      <c r="L16" s="912"/>
      <c r="M16" s="912"/>
      <c r="N16" s="912"/>
      <c r="O16" s="912"/>
      <c r="P16" s="912"/>
      <c r="Q16" s="912"/>
      <c r="R16" s="912"/>
      <c r="S16" s="912"/>
      <c r="T16" s="912"/>
      <c r="U16" s="912"/>
      <c r="V16" s="912"/>
      <c r="W16" s="912"/>
    </row>
    <row r="17" spans="1:28">
      <c r="A17" s="912"/>
      <c r="B17" s="912"/>
      <c r="C17" s="912"/>
      <c r="D17" s="912"/>
      <c r="E17" s="912"/>
      <c r="F17" s="912"/>
      <c r="G17" s="912"/>
      <c r="H17" s="912"/>
      <c r="I17" s="912"/>
      <c r="J17" s="912"/>
      <c r="K17" s="912"/>
      <c r="L17" s="912"/>
      <c r="M17" s="912"/>
      <c r="N17" s="912"/>
      <c r="O17" s="912"/>
      <c r="P17" s="912"/>
      <c r="Q17" s="912"/>
      <c r="R17" s="912"/>
      <c r="S17" s="912"/>
      <c r="T17" s="912"/>
      <c r="U17" s="912"/>
      <c r="V17" s="912"/>
      <c r="W17" s="912"/>
    </row>
    <row r="18" spans="1:28">
      <c r="A18" s="912"/>
      <c r="B18" s="912"/>
      <c r="C18" s="912"/>
      <c r="D18" s="912"/>
      <c r="E18" s="912"/>
      <c r="F18" s="912"/>
      <c r="G18" s="912"/>
      <c r="H18" s="912"/>
      <c r="I18" s="912"/>
      <c r="J18" s="912"/>
      <c r="K18" s="912"/>
      <c r="L18" s="912"/>
      <c r="M18" s="912"/>
      <c r="N18" s="912"/>
      <c r="O18" s="912"/>
      <c r="P18" s="912"/>
      <c r="Q18" s="912"/>
      <c r="R18" s="912"/>
      <c r="S18" s="912"/>
      <c r="T18" s="912"/>
      <c r="U18" s="912"/>
      <c r="V18" s="912"/>
      <c r="W18" s="912"/>
    </row>
    <row r="19" spans="1:28">
      <c r="A19" s="912"/>
      <c r="B19" s="912"/>
      <c r="C19" s="912"/>
      <c r="D19" s="912"/>
      <c r="E19" s="912"/>
      <c r="F19" s="912"/>
      <c r="G19" s="912"/>
      <c r="H19" s="912"/>
      <c r="I19" s="912"/>
      <c r="J19" s="912"/>
      <c r="K19" s="912"/>
      <c r="L19" s="912"/>
      <c r="M19" s="912"/>
      <c r="N19" s="912"/>
      <c r="O19" s="912"/>
      <c r="P19" s="912"/>
      <c r="Q19" s="912"/>
      <c r="R19" s="912"/>
      <c r="S19" s="912"/>
      <c r="T19" s="912"/>
      <c r="U19" s="912"/>
      <c r="V19" s="912"/>
      <c r="W19" s="912"/>
      <c r="AB19" s="904"/>
    </row>
    <row r="20" spans="1:28">
      <c r="A20" s="912"/>
      <c r="B20" s="912"/>
      <c r="C20" s="912"/>
      <c r="D20" s="912"/>
      <c r="E20" s="912"/>
      <c r="F20" s="912"/>
      <c r="G20" s="912"/>
      <c r="H20" s="912"/>
      <c r="I20" s="912"/>
      <c r="J20" s="912"/>
      <c r="K20" s="912"/>
      <c r="L20" s="912"/>
      <c r="M20" s="912"/>
      <c r="N20" s="912"/>
      <c r="O20" s="912"/>
      <c r="P20" s="912"/>
      <c r="Q20" s="912"/>
      <c r="R20" s="912"/>
      <c r="S20" s="912"/>
      <c r="T20" s="912"/>
      <c r="U20" s="912"/>
      <c r="V20" s="912"/>
      <c r="W20" s="912"/>
      <c r="AB20" s="904"/>
    </row>
    <row r="21" spans="1:28">
      <c r="A21" s="912"/>
      <c r="B21" s="912"/>
      <c r="C21" s="912"/>
      <c r="D21" s="912"/>
      <c r="E21" s="912"/>
      <c r="F21" s="912"/>
      <c r="G21" s="912"/>
      <c r="H21" s="912"/>
      <c r="I21" s="912"/>
      <c r="J21" s="912"/>
      <c r="K21" s="912"/>
      <c r="L21" s="912"/>
      <c r="M21" s="912"/>
      <c r="N21" s="912"/>
      <c r="O21" s="912"/>
      <c r="P21" s="912"/>
      <c r="Q21" s="912"/>
      <c r="R21" s="912"/>
      <c r="S21" s="912"/>
      <c r="T21" s="912"/>
      <c r="U21" s="912"/>
      <c r="V21" s="912"/>
      <c r="W21" s="912"/>
      <c r="AB21" s="905"/>
    </row>
    <row r="22" spans="1:28">
      <c r="A22" s="912"/>
      <c r="B22" s="912"/>
      <c r="C22" s="912"/>
      <c r="D22" s="912"/>
      <c r="E22" s="912"/>
      <c r="F22" s="912"/>
      <c r="G22" s="912"/>
      <c r="H22" s="912"/>
      <c r="I22" s="912"/>
      <c r="J22" s="912"/>
      <c r="K22" s="912"/>
      <c r="L22" s="912"/>
      <c r="M22" s="912"/>
      <c r="N22" s="912"/>
      <c r="O22" s="912"/>
      <c r="P22" s="912"/>
      <c r="Q22" s="912"/>
      <c r="R22" s="912"/>
      <c r="S22" s="912"/>
      <c r="T22" s="912"/>
      <c r="U22" s="912"/>
      <c r="V22" s="912"/>
      <c r="W22" s="912"/>
    </row>
    <row r="23" spans="1:28">
      <c r="A23" s="912"/>
      <c r="B23" s="912"/>
      <c r="C23" s="912"/>
      <c r="D23" s="912"/>
      <c r="E23" s="912"/>
      <c r="F23" s="912"/>
      <c r="G23" s="912"/>
      <c r="H23" s="912"/>
      <c r="I23" s="912"/>
      <c r="J23" s="912"/>
      <c r="K23" s="912"/>
      <c r="L23" s="912"/>
      <c r="M23" s="912"/>
      <c r="N23" s="912"/>
      <c r="O23" s="912"/>
      <c r="P23" s="912"/>
      <c r="Q23" s="912"/>
      <c r="R23" s="912"/>
      <c r="S23" s="912"/>
      <c r="T23" s="912"/>
      <c r="U23" s="912"/>
      <c r="V23" s="912"/>
      <c r="W23" s="912"/>
    </row>
    <row r="24" spans="1:28">
      <c r="A24" s="912"/>
      <c r="B24" s="912"/>
      <c r="C24" s="912"/>
      <c r="D24" s="912"/>
      <c r="E24" s="912"/>
      <c r="F24" s="912"/>
      <c r="G24" s="912"/>
      <c r="H24" s="912"/>
      <c r="I24" s="912"/>
      <c r="J24" s="912"/>
      <c r="K24" s="912"/>
      <c r="L24" s="912"/>
      <c r="M24" s="912"/>
      <c r="N24" s="912"/>
      <c r="O24" s="912"/>
      <c r="P24" s="912"/>
      <c r="Q24" s="912"/>
      <c r="R24" s="912"/>
      <c r="S24" s="912"/>
      <c r="T24" s="912"/>
      <c r="U24" s="912"/>
      <c r="V24" s="912"/>
      <c r="W24" s="912"/>
    </row>
    <row r="25" spans="1:28">
      <c r="A25" s="912"/>
      <c r="B25" s="912"/>
      <c r="C25" s="912"/>
      <c r="D25" s="912"/>
      <c r="E25" s="912"/>
      <c r="F25" s="912"/>
      <c r="G25" s="912"/>
      <c r="H25" s="912"/>
      <c r="I25" s="912"/>
      <c r="J25" s="912"/>
      <c r="K25" s="912"/>
      <c r="L25" s="912"/>
      <c r="M25" s="912"/>
      <c r="N25" s="912"/>
      <c r="O25" s="912"/>
      <c r="P25" s="912"/>
      <c r="Q25" s="912"/>
      <c r="R25" s="912"/>
      <c r="S25" s="912"/>
      <c r="T25" s="912"/>
      <c r="U25" s="912"/>
      <c r="V25" s="912"/>
      <c r="W25" s="912"/>
    </row>
    <row r="26" spans="1:28">
      <c r="A26" s="912"/>
      <c r="B26" s="912"/>
      <c r="C26" s="912"/>
      <c r="D26" s="912"/>
      <c r="E26" s="912"/>
      <c r="F26" s="912"/>
      <c r="G26" s="912"/>
      <c r="H26" s="912"/>
      <c r="I26" s="912"/>
      <c r="J26" s="912"/>
      <c r="K26" s="912"/>
      <c r="L26" s="912"/>
      <c r="M26" s="912"/>
      <c r="N26" s="912"/>
      <c r="O26" s="912"/>
      <c r="P26" s="912"/>
      <c r="Q26" s="912"/>
      <c r="R26" s="912"/>
      <c r="S26" s="912"/>
      <c r="T26" s="912"/>
      <c r="U26" s="912"/>
      <c r="V26" s="912"/>
      <c r="W26" s="912"/>
    </row>
    <row r="27" spans="1:28">
      <c r="A27" s="912"/>
      <c r="B27" s="912"/>
      <c r="C27" s="912"/>
      <c r="D27" s="912"/>
      <c r="E27" s="912"/>
      <c r="F27" s="912"/>
      <c r="G27" s="912"/>
      <c r="H27" s="912"/>
      <c r="I27" s="912"/>
      <c r="J27" s="912"/>
      <c r="K27" s="912"/>
      <c r="L27" s="912"/>
      <c r="M27" s="912"/>
      <c r="N27" s="912"/>
      <c r="O27" s="912"/>
      <c r="P27" s="912"/>
      <c r="Q27" s="912"/>
      <c r="R27" s="912"/>
      <c r="S27" s="912"/>
      <c r="T27" s="912"/>
      <c r="U27" s="912"/>
      <c r="V27" s="912"/>
      <c r="W27" s="912"/>
    </row>
    <row r="28" spans="1:28">
      <c r="A28" s="912"/>
      <c r="B28" s="912"/>
      <c r="C28" s="912"/>
      <c r="D28" s="912"/>
      <c r="E28" s="912"/>
      <c r="F28" s="912"/>
      <c r="G28" s="912"/>
      <c r="H28" s="912"/>
      <c r="I28" s="912"/>
      <c r="J28" s="912"/>
      <c r="K28" s="912"/>
      <c r="L28" s="912"/>
      <c r="M28" s="912"/>
      <c r="N28" s="912"/>
      <c r="O28" s="912"/>
      <c r="P28" s="917"/>
      <c r="Q28" s="917"/>
      <c r="R28" s="917"/>
      <c r="S28" s="917"/>
      <c r="T28" s="917"/>
      <c r="U28" s="917"/>
      <c r="V28" s="917"/>
      <c r="W28" s="917"/>
      <c r="X28" s="895"/>
      <c r="Y28" s="895"/>
    </row>
    <row r="29" spans="1:28">
      <c r="A29" s="912"/>
      <c r="B29" s="912"/>
      <c r="C29" s="912"/>
      <c r="D29" s="912"/>
      <c r="E29" s="912"/>
      <c r="F29" s="912"/>
      <c r="G29" s="912"/>
      <c r="H29" s="912"/>
      <c r="I29" s="912"/>
      <c r="J29" s="912"/>
      <c r="K29" s="912"/>
      <c r="L29" s="912"/>
      <c r="M29" s="912"/>
      <c r="N29" s="912"/>
      <c r="O29" s="912"/>
      <c r="P29" s="918"/>
      <c r="Q29" s="918"/>
      <c r="R29" s="918"/>
      <c r="S29" s="918"/>
      <c r="T29" s="918"/>
      <c r="U29" s="918"/>
      <c r="V29" s="912"/>
      <c r="W29" s="919"/>
      <c r="X29" s="896"/>
      <c r="Y29" s="906"/>
    </row>
    <row r="30" spans="1:28">
      <c r="A30" s="912"/>
      <c r="B30" s="912"/>
      <c r="C30" s="912"/>
      <c r="D30" s="912"/>
      <c r="E30" s="912"/>
      <c r="F30" s="912"/>
      <c r="G30" s="912"/>
      <c r="H30" s="912"/>
      <c r="I30" s="912"/>
      <c r="J30" s="912"/>
      <c r="K30" s="912"/>
      <c r="L30" s="912"/>
      <c r="M30" s="912"/>
      <c r="N30" s="912"/>
      <c r="O30" s="912"/>
      <c r="P30" s="912"/>
      <c r="Q30" s="912"/>
      <c r="R30" s="912"/>
      <c r="S30" s="912"/>
      <c r="T30" s="912"/>
      <c r="U30" s="912"/>
      <c r="V30" s="912"/>
      <c r="W30" s="912"/>
    </row>
    <row r="31" spans="1:28">
      <c r="A31" s="912"/>
      <c r="B31" s="912"/>
      <c r="C31" s="912"/>
      <c r="D31" s="912"/>
      <c r="E31" s="912"/>
      <c r="F31" s="912"/>
      <c r="G31" s="912"/>
      <c r="H31" s="912"/>
      <c r="I31" s="912"/>
      <c r="J31" s="912"/>
      <c r="K31" s="912"/>
      <c r="L31" s="912"/>
      <c r="M31" s="912"/>
      <c r="N31" s="912"/>
      <c r="O31" s="912"/>
      <c r="P31" s="920"/>
      <c r="Q31" s="912"/>
      <c r="R31" s="912"/>
      <c r="S31" s="912"/>
      <c r="T31" s="912"/>
      <c r="U31" s="912"/>
      <c r="V31" s="912"/>
      <c r="W31" s="912"/>
    </row>
    <row r="32" spans="1:28">
      <c r="A32" s="912"/>
      <c r="B32" s="912"/>
      <c r="C32" s="912"/>
      <c r="D32" s="912"/>
      <c r="E32" s="912"/>
      <c r="F32" s="912"/>
      <c r="G32" s="912"/>
      <c r="H32" s="912"/>
      <c r="I32" s="912"/>
      <c r="J32" s="912"/>
      <c r="K32" s="912"/>
      <c r="L32" s="912"/>
      <c r="M32" s="912"/>
      <c r="N32" s="912"/>
      <c r="O32" s="912"/>
      <c r="P32" s="919"/>
      <c r="Q32" s="912"/>
      <c r="R32" s="912"/>
      <c r="S32" s="912"/>
      <c r="T32" s="912"/>
      <c r="U32" s="912"/>
      <c r="V32" s="912"/>
      <c r="W32" s="912"/>
    </row>
    <row r="33" spans="1:25">
      <c r="A33" s="912"/>
      <c r="B33" s="912"/>
      <c r="C33" s="912"/>
      <c r="D33" s="912"/>
      <c r="E33" s="912"/>
      <c r="F33" s="912"/>
      <c r="G33" s="912"/>
      <c r="H33" s="912"/>
      <c r="I33" s="912"/>
      <c r="J33" s="912"/>
      <c r="K33" s="912"/>
      <c r="L33" s="912"/>
      <c r="M33" s="912"/>
      <c r="N33" s="912"/>
      <c r="O33" s="912"/>
      <c r="P33" s="919"/>
      <c r="Q33" s="912"/>
      <c r="R33" s="912"/>
      <c r="S33" s="912"/>
      <c r="T33" s="912"/>
      <c r="U33" s="912"/>
      <c r="V33" s="912"/>
      <c r="W33" s="912"/>
      <c r="Y33" s="900"/>
    </row>
    <row r="34" spans="1:25">
      <c r="A34" s="912"/>
      <c r="B34" s="912"/>
      <c r="C34" s="912"/>
      <c r="D34" s="912"/>
      <c r="E34" s="912"/>
      <c r="F34" s="912"/>
      <c r="G34" s="912"/>
      <c r="H34" s="912"/>
      <c r="I34" s="912"/>
      <c r="J34" s="912"/>
      <c r="K34" s="912"/>
      <c r="L34" s="912"/>
      <c r="M34" s="912"/>
      <c r="N34" s="912"/>
      <c r="O34" s="912"/>
      <c r="P34" s="919"/>
      <c r="Q34" s="912"/>
      <c r="R34" s="912"/>
      <c r="S34" s="912"/>
      <c r="T34" s="912"/>
      <c r="U34" s="912"/>
      <c r="V34" s="912"/>
      <c r="W34" s="912"/>
    </row>
    <row r="35" spans="1:25">
      <c r="A35" s="928"/>
      <c r="B35" s="912"/>
      <c r="C35" s="912"/>
      <c r="D35" s="912"/>
      <c r="E35" s="912"/>
      <c r="F35" s="912"/>
      <c r="G35" s="912"/>
      <c r="H35" s="921"/>
      <c r="I35" s="912"/>
      <c r="J35" s="920"/>
      <c r="K35" s="912"/>
      <c r="L35" s="912"/>
      <c r="M35" s="919"/>
      <c r="N35" s="919"/>
      <c r="O35" s="919"/>
      <c r="P35" s="919"/>
      <c r="Q35" s="912"/>
      <c r="R35" s="912"/>
      <c r="S35" s="912"/>
      <c r="T35" s="912"/>
      <c r="U35" s="912"/>
      <c r="V35" s="912"/>
      <c r="W35" s="912"/>
    </row>
    <row r="36" spans="1:25">
      <c r="A36" s="928"/>
      <c r="B36" s="912"/>
      <c r="C36" s="912"/>
      <c r="D36" s="912"/>
      <c r="E36" s="912"/>
      <c r="F36" s="912"/>
      <c r="G36" s="912"/>
      <c r="H36" s="921"/>
      <c r="I36" s="912"/>
      <c r="J36" s="920"/>
      <c r="K36" s="912"/>
      <c r="L36" s="912"/>
      <c r="M36" s="919"/>
      <c r="N36" s="919"/>
      <c r="O36" s="919"/>
      <c r="P36" s="919"/>
      <c r="Q36" s="912"/>
      <c r="R36" s="912"/>
      <c r="S36" s="912"/>
      <c r="T36" s="912"/>
      <c r="U36" s="912"/>
      <c r="V36" s="912"/>
      <c r="W36" s="912"/>
    </row>
    <row r="37" spans="1:25">
      <c r="A37" s="928"/>
      <c r="B37" s="912"/>
      <c r="C37" s="912"/>
      <c r="D37" s="912"/>
      <c r="E37" s="912"/>
      <c r="F37" s="912"/>
      <c r="G37" s="912"/>
      <c r="H37" s="912"/>
      <c r="I37" s="912"/>
      <c r="J37" s="920"/>
      <c r="K37" s="912"/>
      <c r="L37" s="912"/>
      <c r="M37" s="922"/>
      <c r="N37" s="921"/>
      <c r="O37" s="919"/>
      <c r="P37" s="919"/>
      <c r="Q37" s="929"/>
      <c r="R37" s="912"/>
      <c r="S37" s="912"/>
      <c r="T37" s="912"/>
      <c r="U37" s="912"/>
      <c r="V37" s="912"/>
      <c r="W37" s="912"/>
    </row>
    <row r="38" spans="1:25">
      <c r="A38" s="928"/>
      <c r="B38" s="912"/>
      <c r="C38" s="912"/>
      <c r="D38" s="912"/>
      <c r="E38" s="912"/>
      <c r="F38" s="912"/>
      <c r="G38" s="912"/>
      <c r="H38" s="921"/>
      <c r="I38" s="912"/>
      <c r="J38" s="920"/>
      <c r="K38" s="912"/>
      <c r="L38" s="912"/>
      <c r="M38" s="919"/>
      <c r="N38" s="919"/>
      <c r="O38" s="919"/>
      <c r="P38" s="919"/>
      <c r="Q38" s="912"/>
      <c r="R38" s="912"/>
      <c r="S38" s="912"/>
      <c r="T38" s="912"/>
      <c r="U38" s="912"/>
      <c r="V38" s="912"/>
      <c r="W38" s="912"/>
    </row>
    <row r="39" spans="1:25">
      <c r="A39" s="928"/>
      <c r="B39" s="912"/>
      <c r="C39" s="912"/>
      <c r="D39" s="912"/>
      <c r="E39" s="912"/>
      <c r="F39" s="912"/>
      <c r="G39" s="912"/>
      <c r="H39" s="920"/>
      <c r="I39" s="920"/>
      <c r="J39" s="920"/>
      <c r="K39" s="912"/>
      <c r="L39" s="919"/>
      <c r="M39" s="919"/>
      <c r="N39" s="919"/>
      <c r="O39" s="919"/>
      <c r="P39" s="919"/>
      <c r="Q39" s="912"/>
      <c r="R39" s="912"/>
      <c r="S39" s="912"/>
      <c r="T39" s="912"/>
      <c r="U39" s="912"/>
      <c r="V39" s="912"/>
      <c r="W39" s="912"/>
    </row>
    <row r="40" spans="1:25">
      <c r="A40" s="912"/>
      <c r="B40" s="912"/>
      <c r="C40" s="912"/>
      <c r="D40" s="912"/>
      <c r="E40" s="912"/>
      <c r="F40" s="912"/>
      <c r="G40" s="919"/>
      <c r="H40" s="919"/>
      <c r="I40" s="919"/>
      <c r="J40" s="919"/>
      <c r="K40" s="919"/>
      <c r="L40" s="919"/>
      <c r="M40" s="919"/>
      <c r="N40" s="919"/>
      <c r="O40" s="919"/>
      <c r="P40" s="919"/>
      <c r="Q40" s="912"/>
      <c r="R40" s="912"/>
      <c r="S40" s="912"/>
      <c r="T40" s="912"/>
      <c r="U40" s="912"/>
      <c r="V40" s="912"/>
      <c r="W40" s="912"/>
    </row>
    <row r="41" spans="1:25">
      <c r="A41" s="912"/>
      <c r="B41" s="912"/>
      <c r="C41" s="912"/>
      <c r="D41" s="912"/>
      <c r="E41" s="912"/>
      <c r="F41" s="912"/>
      <c r="G41" s="919"/>
      <c r="H41" s="919"/>
      <c r="I41" s="919"/>
      <c r="J41" s="919"/>
      <c r="K41" s="919"/>
      <c r="L41" s="919"/>
      <c r="M41" s="919"/>
      <c r="N41" s="919"/>
      <c r="O41" s="919"/>
      <c r="P41" s="919"/>
      <c r="Q41" s="912"/>
      <c r="R41" s="912"/>
      <c r="S41" s="912"/>
      <c r="T41" s="912"/>
      <c r="U41" s="912"/>
      <c r="V41" s="912"/>
      <c r="W41" s="912"/>
    </row>
    <row r="42" spans="1:25">
      <c r="A42" s="912"/>
      <c r="B42" s="912"/>
      <c r="C42" s="912"/>
      <c r="D42" s="912"/>
      <c r="E42" s="912"/>
      <c r="F42" s="912"/>
      <c r="G42" s="919"/>
      <c r="H42" s="919"/>
      <c r="I42" s="919"/>
      <c r="J42" s="919"/>
      <c r="K42" s="919"/>
      <c r="L42" s="919"/>
      <c r="M42" s="919"/>
      <c r="N42" s="919"/>
      <c r="O42" s="919"/>
      <c r="P42" s="919"/>
      <c r="Q42" s="912"/>
      <c r="R42" s="912"/>
      <c r="S42" s="912"/>
      <c r="T42" s="912"/>
      <c r="U42" s="912"/>
      <c r="V42" s="912"/>
      <c r="W42" s="912"/>
    </row>
    <row r="43" spans="1:25">
      <c r="A43" s="912"/>
      <c r="B43" s="912"/>
      <c r="C43" s="912"/>
      <c r="D43" s="912"/>
      <c r="E43" s="912"/>
      <c r="F43" s="912"/>
      <c r="G43" s="919"/>
      <c r="H43" s="919"/>
      <c r="I43" s="919"/>
      <c r="J43" s="919"/>
      <c r="K43" s="919"/>
      <c r="L43" s="919"/>
      <c r="M43" s="919"/>
      <c r="N43" s="919"/>
      <c r="O43" s="919"/>
      <c r="P43" s="919"/>
      <c r="Q43" s="912"/>
      <c r="R43" s="912"/>
      <c r="S43" s="912"/>
      <c r="T43" s="912"/>
      <c r="U43" s="912"/>
      <c r="V43" s="912"/>
      <c r="W43" s="912"/>
    </row>
    <row r="44" spans="1:25">
      <c r="A44" s="912"/>
      <c r="B44" s="912"/>
      <c r="C44" s="912"/>
      <c r="D44" s="912"/>
      <c r="E44" s="912"/>
      <c r="F44" s="912"/>
      <c r="G44" s="919"/>
      <c r="H44" s="919"/>
      <c r="I44" s="919"/>
      <c r="J44" s="919"/>
      <c r="K44" s="919"/>
      <c r="L44" s="919"/>
      <c r="M44" s="919"/>
      <c r="N44" s="919"/>
      <c r="O44" s="919"/>
      <c r="P44" s="919"/>
      <c r="Q44" s="912"/>
      <c r="R44" s="912"/>
      <c r="S44" s="912"/>
      <c r="T44" s="912"/>
      <c r="U44" s="912"/>
      <c r="V44" s="912"/>
      <c r="W44" s="912"/>
    </row>
    <row r="45" spans="1:25">
      <c r="A45" s="912"/>
      <c r="B45" s="912"/>
      <c r="C45" s="912"/>
      <c r="D45" s="912"/>
      <c r="E45" s="912"/>
      <c r="F45" s="912"/>
      <c r="G45" s="919"/>
      <c r="H45" s="919"/>
      <c r="I45" s="919"/>
      <c r="J45" s="919"/>
      <c r="K45" s="919"/>
      <c r="L45" s="919"/>
      <c r="M45" s="923"/>
      <c r="N45" s="919"/>
      <c r="O45" s="919"/>
      <c r="P45" s="924"/>
      <c r="Q45" s="924"/>
      <c r="R45" s="912"/>
      <c r="S45" s="912"/>
      <c r="T45" s="912"/>
      <c r="U45" s="912"/>
      <c r="V45" s="912"/>
      <c r="W45" s="912"/>
    </row>
    <row r="46" spans="1:25">
      <c r="A46" s="912"/>
      <c r="B46" s="912"/>
      <c r="C46" s="912"/>
      <c r="D46" s="912"/>
      <c r="E46" s="912"/>
      <c r="F46" s="912"/>
      <c r="G46" s="919"/>
      <c r="H46" s="919"/>
      <c r="I46" s="919"/>
      <c r="J46" s="919"/>
      <c r="K46" s="919"/>
      <c r="L46" s="919"/>
      <c r="M46" s="919"/>
      <c r="N46" s="919"/>
      <c r="O46" s="919"/>
      <c r="P46" s="919"/>
      <c r="Q46" s="912"/>
      <c r="R46" s="912"/>
      <c r="S46" s="912"/>
      <c r="T46" s="912"/>
      <c r="U46" s="912"/>
      <c r="V46" s="912"/>
      <c r="W46" s="912"/>
    </row>
    <row r="47" spans="1:25">
      <c r="A47" s="912"/>
      <c r="B47" s="912"/>
      <c r="C47" s="912"/>
      <c r="D47" s="912"/>
      <c r="E47" s="912"/>
      <c r="F47" s="912"/>
      <c r="G47" s="919"/>
      <c r="H47" s="919"/>
      <c r="I47" s="919"/>
      <c r="J47" s="919"/>
      <c r="K47" s="919"/>
      <c r="L47" s="919"/>
      <c r="M47" s="919"/>
      <c r="N47" s="919"/>
      <c r="O47" s="919"/>
      <c r="P47" s="919"/>
      <c r="Q47" s="912"/>
      <c r="R47" s="912"/>
      <c r="S47" s="912"/>
      <c r="T47" s="912"/>
      <c r="U47" s="912"/>
      <c r="V47" s="912"/>
      <c r="W47" s="912"/>
    </row>
    <row r="48" spans="1:25">
      <c r="A48" s="912"/>
      <c r="B48" s="912"/>
      <c r="C48" s="912"/>
      <c r="D48" s="912"/>
      <c r="E48" s="912"/>
      <c r="F48" s="912"/>
      <c r="G48" s="919"/>
      <c r="H48" s="919"/>
      <c r="I48" s="919"/>
      <c r="J48" s="919"/>
      <c r="K48" s="919"/>
      <c r="L48" s="919"/>
      <c r="M48" s="919"/>
      <c r="N48" s="919"/>
      <c r="O48" s="919"/>
      <c r="P48" s="919"/>
      <c r="Q48" s="912"/>
      <c r="R48" s="912"/>
      <c r="S48" s="912"/>
      <c r="T48" s="912"/>
      <c r="U48" s="912"/>
      <c r="V48" s="912"/>
      <c r="W48" s="912"/>
    </row>
    <row r="49" spans="1:28">
      <c r="A49" s="912"/>
      <c r="B49" s="912"/>
      <c r="C49" s="912"/>
      <c r="D49" s="912"/>
      <c r="E49" s="912"/>
      <c r="F49" s="912"/>
      <c r="G49" s="919"/>
      <c r="H49" s="919"/>
      <c r="I49" s="919"/>
      <c r="J49" s="919"/>
      <c r="K49" s="919"/>
      <c r="L49" s="925"/>
      <c r="M49" s="925"/>
      <c r="N49" s="925"/>
      <c r="O49" s="925"/>
      <c r="P49" s="919"/>
      <c r="Q49" s="919"/>
      <c r="R49" s="919"/>
      <c r="S49" s="919"/>
      <c r="T49" s="919"/>
      <c r="U49" s="919"/>
      <c r="V49" s="919"/>
      <c r="W49" s="919"/>
      <c r="X49" s="896"/>
      <c r="Y49" s="896"/>
    </row>
    <row r="50" spans="1:28">
      <c r="A50" s="912"/>
      <c r="B50" s="912"/>
      <c r="C50" s="912"/>
      <c r="D50" s="912"/>
      <c r="E50" s="912"/>
      <c r="F50" s="912"/>
      <c r="G50" s="919"/>
      <c r="H50" s="919"/>
      <c r="I50" s="919"/>
      <c r="J50" s="919"/>
      <c r="K50" s="919"/>
      <c r="L50" s="919"/>
      <c r="M50" s="919"/>
      <c r="N50" s="919"/>
      <c r="O50" s="919"/>
      <c r="P50" s="919"/>
      <c r="Q50" s="919"/>
      <c r="R50" s="919"/>
      <c r="S50" s="919"/>
      <c r="T50" s="919"/>
      <c r="U50" s="919"/>
      <c r="V50" s="919"/>
      <c r="W50" s="919"/>
      <c r="X50" s="896"/>
      <c r="Y50" s="896"/>
    </row>
    <row r="51" spans="1:28">
      <c r="A51" s="912"/>
      <c r="B51" s="912"/>
      <c r="C51" s="912"/>
      <c r="D51" s="912"/>
      <c r="E51" s="912"/>
      <c r="F51" s="912"/>
      <c r="G51" s="919"/>
      <c r="H51" s="919"/>
      <c r="I51" s="919"/>
      <c r="J51" s="919"/>
      <c r="K51" s="919"/>
      <c r="L51" s="919"/>
      <c r="M51" s="919"/>
      <c r="N51" s="919"/>
      <c r="O51" s="919"/>
      <c r="P51" s="912"/>
      <c r="Q51" s="912"/>
      <c r="R51" s="912"/>
      <c r="S51" s="912"/>
      <c r="T51" s="912"/>
      <c r="U51" s="912"/>
      <c r="V51" s="912"/>
      <c r="W51" s="912"/>
    </row>
    <row r="52" spans="1:28">
      <c r="A52" s="912"/>
      <c r="B52" s="912"/>
      <c r="C52" s="912"/>
      <c r="D52" s="912"/>
      <c r="E52" s="912"/>
      <c r="F52" s="912"/>
      <c r="G52" s="912"/>
      <c r="H52" s="912"/>
      <c r="I52" s="912"/>
      <c r="J52" s="912"/>
      <c r="K52" s="912"/>
      <c r="L52" s="912"/>
      <c r="M52" s="912"/>
      <c r="N52" s="912"/>
      <c r="O52" s="912"/>
      <c r="P52" s="912"/>
      <c r="Q52" s="912"/>
      <c r="R52" s="912"/>
      <c r="S52" s="912"/>
      <c r="T52" s="912"/>
      <c r="U52" s="912"/>
      <c r="V52" s="912"/>
      <c r="W52" s="912"/>
    </row>
    <row r="53" spans="1:28">
      <c r="A53" s="912"/>
      <c r="B53" s="912"/>
      <c r="C53" s="912"/>
      <c r="D53" s="912"/>
      <c r="E53" s="912"/>
      <c r="F53" s="912"/>
      <c r="G53" s="912"/>
      <c r="H53" s="912"/>
      <c r="I53" s="912"/>
      <c r="J53" s="912"/>
      <c r="K53" s="912"/>
      <c r="L53" s="912"/>
      <c r="M53" s="912"/>
      <c r="N53" s="912"/>
      <c r="O53" s="912"/>
      <c r="P53" s="912"/>
      <c r="Q53" s="912"/>
      <c r="R53" s="912"/>
      <c r="S53" s="912"/>
      <c r="T53" s="912"/>
      <c r="U53" s="912"/>
      <c r="V53" s="912"/>
      <c r="W53" s="912"/>
    </row>
    <row r="54" spans="1:28">
      <c r="A54" s="912"/>
      <c r="B54" s="912"/>
      <c r="C54" s="912"/>
      <c r="D54" s="912"/>
      <c r="E54" s="912"/>
      <c r="F54" s="912"/>
      <c r="G54" s="912"/>
      <c r="H54" s="912"/>
      <c r="I54" s="912"/>
      <c r="J54" s="912"/>
      <c r="K54" s="912"/>
      <c r="L54" s="912"/>
      <c r="M54" s="912"/>
      <c r="N54" s="912"/>
      <c r="O54" s="912"/>
      <c r="P54" s="912"/>
      <c r="Q54" s="912"/>
      <c r="R54" s="912"/>
      <c r="S54" s="912"/>
      <c r="T54" s="912"/>
      <c r="U54" s="912"/>
      <c r="V54" s="912"/>
      <c r="W54" s="912"/>
    </row>
    <row r="55" spans="1:28" hidden="1">
      <c r="B55" s="898"/>
      <c r="J55" s="899"/>
      <c r="R55" s="899"/>
    </row>
    <row r="56" spans="1:28" hidden="1">
      <c r="R56" s="899"/>
      <c r="AB56" s="901"/>
    </row>
    <row r="57" spans="1:28" hidden="1">
      <c r="C57" s="901"/>
      <c r="O57" s="901"/>
      <c r="AB57" s="901"/>
    </row>
    <row r="58" spans="1:28" hidden="1">
      <c r="AB58" s="901"/>
    </row>
    <row r="59" spans="1:28" hidden="1"/>
    <row r="60" spans="1:28" hidden="1">
      <c r="AB60" s="897"/>
    </row>
    <row r="61" spans="1:28" hidden="1">
      <c r="AB61" s="897"/>
    </row>
    <row r="62" spans="1:28" hidden="1"/>
    <row r="63" spans="1:28" hidden="1"/>
    <row r="64" spans="1:28" hidden="1"/>
    <row r="65" hidden="1"/>
    <row r="66" hidden="1"/>
    <row r="67" hidden="1"/>
    <row r="68" hidden="1"/>
    <row r="69" hidden="1"/>
    <row r="70" hidden="1"/>
    <row r="71" hidden="1"/>
    <row r="72" hidden="1"/>
    <row r="73" hidden="1"/>
    <row r="74" hidden="1"/>
    <row r="75" hidden="1"/>
    <row r="76" hidden="1"/>
    <row r="77" hidden="1"/>
    <row r="78" hidden="1"/>
    <row r="79" hidden="1"/>
    <row r="80" hidden="1"/>
    <row r="81" spans="2:2" hidden="1"/>
    <row r="82" spans="2:2" hidden="1"/>
    <row r="83" spans="2:2" hidden="1"/>
    <row r="84" spans="2:2" hidden="1"/>
    <row r="85" spans="2:2" hidden="1"/>
    <row r="86" spans="2:2" hidden="1"/>
    <row r="87" spans="2:2" hidden="1"/>
    <row r="88" spans="2:2" hidden="1"/>
    <row r="89" spans="2:2" hidden="1"/>
    <row r="90" spans="2:2" hidden="1"/>
    <row r="91" spans="2:2" hidden="1"/>
    <row r="92" spans="2:2" hidden="1">
      <c r="B92" s="897"/>
    </row>
    <row r="93" spans="2:2" hidden="1">
      <c r="B93" s="897"/>
    </row>
    <row r="94" spans="2:2" hidden="1">
      <c r="B94" s="897"/>
    </row>
    <row r="95" spans="2:2" hidden="1">
      <c r="B95" s="897"/>
    </row>
    <row r="96" spans="2:2" hidden="1">
      <c r="B96" s="897"/>
    </row>
  </sheetData>
  <sheetProtection algorithmName="SHA-512" hashValue="KZJRRg0EdVkpXDCkVcFZNULYlYFSz0Wne8wycHX+0N/Jo8ldcArlcgIFNiSCVlgXr2ZnXYy/chHM8fx+HIz26w==" saltValue="awDk6XRALwIM5DgPvv9uRA==" spinCount="100000" sheet="1" objects="1" scenarios="1"/>
  <mergeCells count="2">
    <mergeCell ref="L6:Q6"/>
    <mergeCell ref="A7:F7"/>
  </mergeCells>
  <printOptions horizontalCentered="1" verticalCentered="1"/>
  <pageMargins left="0" right="0" top="0" bottom="0" header="0" footer="0"/>
  <pageSetup paperSize="9" scale="75" fitToWidth="0" fitToHeight="0"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418817" r:id="rId4" name="Drop Down 1">
              <controlPr defaultSize="0" autoLine="0" autoPict="0">
                <anchor moveWithCells="1">
                  <from>
                    <xdr:col>12</xdr:col>
                    <xdr:colOff>523875</xdr:colOff>
                    <xdr:row>2</xdr:row>
                    <xdr:rowOff>152400</xdr:rowOff>
                  </from>
                  <to>
                    <xdr:col>14</xdr:col>
                    <xdr:colOff>76200</xdr:colOff>
                    <xdr:row>3</xdr:row>
                    <xdr:rowOff>161925</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30">
    <tabColor rgb="FFA50021"/>
    <pageSetUpPr fitToPage="1"/>
  </sheetPr>
  <dimension ref="A1:GC42"/>
  <sheetViews>
    <sheetView showGridLines="0" workbookViewId="0">
      <selection activeCell="Y70" sqref="Y70"/>
    </sheetView>
  </sheetViews>
  <sheetFormatPr defaultColWidth="9.140625" defaultRowHeight="11.25"/>
  <cols>
    <col min="1" max="1" width="14.7109375" style="129" customWidth="1"/>
    <col min="2" max="2" width="2.42578125" style="129" customWidth="1"/>
    <col min="3" max="13" width="6.42578125" style="129" customWidth="1"/>
    <col min="14" max="185" width="9.140625" style="129"/>
    <col min="186" max="16384" width="9.140625" style="27"/>
  </cols>
  <sheetData>
    <row r="1" spans="1:15" s="134" customFormat="1" ht="28.5" customHeight="1">
      <c r="A1" s="954" t="s">
        <v>813</v>
      </c>
      <c r="B1" s="954"/>
      <c r="C1" s="954"/>
      <c r="D1" s="954"/>
      <c r="E1" s="954"/>
      <c r="F1" s="954"/>
      <c r="G1" s="954"/>
      <c r="H1" s="954"/>
      <c r="I1" s="954"/>
      <c r="J1" s="954"/>
      <c r="K1" s="954"/>
      <c r="L1" s="954"/>
      <c r="M1" s="954"/>
    </row>
    <row r="2" spans="1:15" s="135" customFormat="1" ht="15" customHeight="1">
      <c r="A2" s="88"/>
      <c r="B2" s="88"/>
      <c r="C2" s="89"/>
      <c r="D2" s="89"/>
      <c r="E2" s="89"/>
      <c r="F2" s="89"/>
      <c r="G2" s="89"/>
      <c r="H2" s="89"/>
      <c r="I2" s="89"/>
      <c r="J2" s="89"/>
      <c r="K2" s="89"/>
      <c r="L2" s="89"/>
      <c r="M2" s="89"/>
    </row>
    <row r="3" spans="1:15" s="59" customFormat="1" ht="15" customHeight="1">
      <c r="A3" s="65" t="s">
        <v>13</v>
      </c>
      <c r="B3" s="66"/>
      <c r="C3" s="142"/>
      <c r="E3" s="186"/>
      <c r="F3" s="215"/>
      <c r="G3" s="212"/>
      <c r="H3" s="306"/>
      <c r="I3" s="260"/>
      <c r="J3" s="308"/>
      <c r="K3" s="360"/>
      <c r="L3" s="360"/>
      <c r="M3" s="360" t="s">
        <v>67</v>
      </c>
    </row>
    <row r="4" spans="1:15" s="119" customFormat="1" ht="29.25" customHeight="1" thickBot="1">
      <c r="A4" s="67"/>
      <c r="B4" s="67"/>
      <c r="C4" s="41">
        <v>2014</v>
      </c>
      <c r="D4" s="41">
        <v>2015</v>
      </c>
      <c r="E4" s="41">
        <v>2016</v>
      </c>
      <c r="F4" s="41">
        <v>2017</v>
      </c>
      <c r="G4" s="41">
        <v>2018</v>
      </c>
      <c r="H4" s="41">
        <v>2019</v>
      </c>
      <c r="I4" s="41">
        <v>2020</v>
      </c>
      <c r="J4" s="41">
        <v>2021</v>
      </c>
      <c r="K4" s="41">
        <v>2022</v>
      </c>
      <c r="L4" s="41">
        <v>2023</v>
      </c>
      <c r="M4" s="41">
        <v>2024</v>
      </c>
    </row>
    <row r="5" spans="1:15" s="69" customFormat="1" ht="16.5" customHeight="1" thickTop="1">
      <c r="A5" s="63" t="s">
        <v>11</v>
      </c>
      <c r="B5" s="66" t="s">
        <v>44</v>
      </c>
      <c r="C5" s="820">
        <v>1093.21</v>
      </c>
      <c r="D5" s="820">
        <v>1096.6600000000001</v>
      </c>
      <c r="E5" s="820">
        <v>1107.8599999999999</v>
      </c>
      <c r="F5" s="820">
        <v>1133.3399999999999</v>
      </c>
      <c r="G5" s="820">
        <v>1170.25</v>
      </c>
      <c r="H5" s="820">
        <v>1209.94</v>
      </c>
      <c r="I5" s="820">
        <v>1250.75</v>
      </c>
      <c r="J5" s="820">
        <v>1294.1099999999999</v>
      </c>
      <c r="K5" s="820">
        <v>1368</v>
      </c>
      <c r="L5" s="820">
        <v>1466.66</v>
      </c>
      <c r="M5" s="820">
        <v>1582.75</v>
      </c>
      <c r="O5" s="362"/>
    </row>
    <row r="6" spans="1:15" s="69" customFormat="1" ht="12.75" customHeight="1">
      <c r="A6" s="38"/>
      <c r="B6" s="66" t="s">
        <v>52</v>
      </c>
      <c r="C6" s="90">
        <v>1203.32</v>
      </c>
      <c r="D6" s="90">
        <v>1207.76</v>
      </c>
      <c r="E6" s="90">
        <v>1215.1099999999999</v>
      </c>
      <c r="F6" s="90">
        <v>1236.8499999999999</v>
      </c>
      <c r="G6" s="90">
        <v>1273.99</v>
      </c>
      <c r="H6" s="90">
        <v>1312.43</v>
      </c>
      <c r="I6" s="90">
        <v>1349.35</v>
      </c>
      <c r="J6" s="90">
        <v>1395.7</v>
      </c>
      <c r="K6" s="90">
        <v>1476.2</v>
      </c>
      <c r="L6" s="90">
        <v>1577.33</v>
      </c>
      <c r="M6" s="90">
        <v>1693.55</v>
      </c>
      <c r="O6" s="362"/>
    </row>
    <row r="7" spans="1:15" s="69" customFormat="1" ht="12.75" customHeight="1">
      <c r="A7" s="38"/>
      <c r="B7" s="66" t="s">
        <v>53</v>
      </c>
      <c r="C7" s="90">
        <v>963.12</v>
      </c>
      <c r="D7" s="90">
        <v>966.85</v>
      </c>
      <c r="E7" s="90">
        <v>982.49</v>
      </c>
      <c r="F7" s="90">
        <v>1011.02</v>
      </c>
      <c r="G7" s="90">
        <v>1046.5899999999999</v>
      </c>
      <c r="H7" s="90">
        <v>1086.97</v>
      </c>
      <c r="I7" s="90">
        <v>1130.8699999999999</v>
      </c>
      <c r="J7" s="90">
        <v>1172.08</v>
      </c>
      <c r="K7" s="90">
        <v>1237.52</v>
      </c>
      <c r="L7" s="90">
        <v>1332.02</v>
      </c>
      <c r="M7" s="90">
        <v>1445.59</v>
      </c>
      <c r="O7" s="362"/>
    </row>
    <row r="8" spans="1:15" s="69" customFormat="1" ht="16.5" customHeight="1">
      <c r="A8" s="70" t="s">
        <v>31</v>
      </c>
      <c r="B8" s="66" t="s">
        <v>44</v>
      </c>
      <c r="C8" s="90">
        <v>806.53</v>
      </c>
      <c r="D8" s="90">
        <v>800.62</v>
      </c>
      <c r="E8" s="90">
        <v>818.42</v>
      </c>
      <c r="F8" s="90">
        <v>843.26</v>
      </c>
      <c r="G8" s="90">
        <v>872.71</v>
      </c>
      <c r="H8" s="90">
        <v>909.21</v>
      </c>
      <c r="I8" s="90">
        <v>943.65</v>
      </c>
      <c r="J8" s="90">
        <v>982.14</v>
      </c>
      <c r="K8" s="90">
        <v>1033.82</v>
      </c>
      <c r="L8" s="90">
        <v>1118.21</v>
      </c>
      <c r="M8" s="90">
        <v>1209.51</v>
      </c>
    </row>
    <row r="9" spans="1:15" s="69" customFormat="1" ht="12.75" customHeight="1">
      <c r="A9" s="64"/>
      <c r="B9" s="71" t="s">
        <v>52</v>
      </c>
      <c r="C9" s="91">
        <v>854.92</v>
      </c>
      <c r="D9" s="91">
        <v>849.34</v>
      </c>
      <c r="E9" s="91">
        <v>864.49</v>
      </c>
      <c r="F9" s="91">
        <v>888.52</v>
      </c>
      <c r="G9" s="91">
        <v>918.11</v>
      </c>
      <c r="H9" s="91">
        <v>956.37</v>
      </c>
      <c r="I9" s="91">
        <v>991</v>
      </c>
      <c r="J9" s="91">
        <v>1032.23</v>
      </c>
      <c r="K9" s="91">
        <v>1086.3599999999999</v>
      </c>
      <c r="L9" s="91">
        <v>1170.48</v>
      </c>
      <c r="M9" s="91">
        <v>1266.1400000000001</v>
      </c>
    </row>
    <row r="10" spans="1:15" s="69" customFormat="1" ht="12.75" customHeight="1">
      <c r="A10" s="64"/>
      <c r="B10" s="71" t="s">
        <v>53</v>
      </c>
      <c r="C10" s="91">
        <v>757.38</v>
      </c>
      <c r="D10" s="91">
        <v>752.39</v>
      </c>
      <c r="E10" s="91">
        <v>772.14</v>
      </c>
      <c r="F10" s="91">
        <v>797.72</v>
      </c>
      <c r="G10" s="91">
        <v>826.82</v>
      </c>
      <c r="H10" s="91">
        <v>861.22</v>
      </c>
      <c r="I10" s="91">
        <v>894.34</v>
      </c>
      <c r="J10" s="91">
        <v>930.58</v>
      </c>
      <c r="K10" s="91">
        <v>980</v>
      </c>
      <c r="L10" s="91">
        <v>1064.69</v>
      </c>
      <c r="M10" s="91">
        <v>1150.5899999999999</v>
      </c>
    </row>
    <row r="11" spans="1:15" s="124" customFormat="1" ht="16.5" customHeight="1">
      <c r="A11" s="70" t="s">
        <v>32</v>
      </c>
      <c r="B11" s="66" t="s">
        <v>44</v>
      </c>
      <c r="C11" s="90">
        <v>944.07</v>
      </c>
      <c r="D11" s="90">
        <v>938.61</v>
      </c>
      <c r="E11" s="90">
        <v>943.88</v>
      </c>
      <c r="F11" s="90">
        <v>962.67</v>
      </c>
      <c r="G11" s="90">
        <v>989.72</v>
      </c>
      <c r="H11" s="90">
        <v>1016.06</v>
      </c>
      <c r="I11" s="90">
        <v>1054.57</v>
      </c>
      <c r="J11" s="90">
        <v>1089.75</v>
      </c>
      <c r="K11" s="90">
        <v>1139.81</v>
      </c>
      <c r="L11" s="90">
        <v>1220.3900000000001</v>
      </c>
      <c r="M11" s="90">
        <v>1305.19</v>
      </c>
    </row>
    <row r="12" spans="1:15" s="69" customFormat="1" ht="12.75" customHeight="1">
      <c r="A12" s="64"/>
      <c r="B12" s="71" t="s">
        <v>52</v>
      </c>
      <c r="C12" s="91">
        <v>991.81</v>
      </c>
      <c r="D12" s="91">
        <v>983.06</v>
      </c>
      <c r="E12" s="91">
        <v>985.78</v>
      </c>
      <c r="F12" s="91">
        <v>1001.49</v>
      </c>
      <c r="G12" s="91">
        <v>1029.73</v>
      </c>
      <c r="H12" s="91">
        <v>1054.73</v>
      </c>
      <c r="I12" s="91">
        <v>1092.3699999999999</v>
      </c>
      <c r="J12" s="91">
        <v>1128.8</v>
      </c>
      <c r="K12" s="91">
        <v>1182.05</v>
      </c>
      <c r="L12" s="91">
        <v>1262.93</v>
      </c>
      <c r="M12" s="91">
        <v>1348.54</v>
      </c>
    </row>
    <row r="13" spans="1:15" s="69" customFormat="1" ht="12.75" customHeight="1">
      <c r="A13" s="64"/>
      <c r="B13" s="71" t="s">
        <v>53</v>
      </c>
      <c r="C13" s="91">
        <v>887.26</v>
      </c>
      <c r="D13" s="91">
        <v>886.32</v>
      </c>
      <c r="E13" s="91">
        <v>894.31</v>
      </c>
      <c r="F13" s="91">
        <v>917.19</v>
      </c>
      <c r="G13" s="91">
        <v>942.68</v>
      </c>
      <c r="H13" s="91">
        <v>970.3</v>
      </c>
      <c r="I13" s="91">
        <v>1008.46</v>
      </c>
      <c r="J13" s="91">
        <v>1042.9000000000001</v>
      </c>
      <c r="K13" s="91">
        <v>1089.54</v>
      </c>
      <c r="L13" s="91">
        <v>1169.51</v>
      </c>
      <c r="M13" s="91">
        <v>1253.1400000000001</v>
      </c>
    </row>
    <row r="14" spans="1:15" s="124" customFormat="1" ht="16.5" customHeight="1">
      <c r="A14" s="70" t="s">
        <v>33</v>
      </c>
      <c r="B14" s="66" t="s">
        <v>44</v>
      </c>
      <c r="C14" s="90">
        <v>991.85</v>
      </c>
      <c r="D14" s="90">
        <v>988.29</v>
      </c>
      <c r="E14" s="90">
        <v>992.69</v>
      </c>
      <c r="F14" s="90">
        <v>1017.14</v>
      </c>
      <c r="G14" s="90">
        <v>1046.0999999999999</v>
      </c>
      <c r="H14" s="90">
        <v>1074.45</v>
      </c>
      <c r="I14" s="90">
        <v>1122.26</v>
      </c>
      <c r="J14" s="90">
        <v>1154.1400000000001</v>
      </c>
      <c r="K14" s="90">
        <v>1208.67</v>
      </c>
      <c r="L14" s="90">
        <v>1291.75</v>
      </c>
      <c r="M14" s="90">
        <v>1384.52</v>
      </c>
    </row>
    <row r="15" spans="1:15" s="69" customFormat="1" ht="12.75" customHeight="1">
      <c r="A15" s="64"/>
      <c r="B15" s="71" t="s">
        <v>52</v>
      </c>
      <c r="C15" s="91">
        <v>1062.94</v>
      </c>
      <c r="D15" s="91">
        <v>1060.06</v>
      </c>
      <c r="E15" s="91">
        <v>1057.23</v>
      </c>
      <c r="F15" s="91">
        <v>1078.6600000000001</v>
      </c>
      <c r="G15" s="91">
        <v>1107.01</v>
      </c>
      <c r="H15" s="91">
        <v>1136.01</v>
      </c>
      <c r="I15" s="91">
        <v>1181.3</v>
      </c>
      <c r="J15" s="91">
        <v>1216.0899999999999</v>
      </c>
      <c r="K15" s="91">
        <v>1272.03</v>
      </c>
      <c r="L15" s="91">
        <v>1353.43</v>
      </c>
      <c r="M15" s="91">
        <v>1448.98</v>
      </c>
    </row>
    <row r="16" spans="1:15" s="69" customFormat="1" ht="12.75" customHeight="1">
      <c r="A16" s="64"/>
      <c r="B16" s="71" t="s">
        <v>53</v>
      </c>
      <c r="C16" s="91">
        <v>902.14</v>
      </c>
      <c r="D16" s="91">
        <v>899.17</v>
      </c>
      <c r="E16" s="91">
        <v>911.78</v>
      </c>
      <c r="F16" s="91">
        <v>939.01</v>
      </c>
      <c r="G16" s="91">
        <v>968.9</v>
      </c>
      <c r="H16" s="91">
        <v>995.58</v>
      </c>
      <c r="I16" s="91">
        <v>1042.68</v>
      </c>
      <c r="J16" s="91">
        <v>1072.9000000000001</v>
      </c>
      <c r="K16" s="91">
        <v>1126.32</v>
      </c>
      <c r="L16" s="91">
        <v>1211.6500000000001</v>
      </c>
      <c r="M16" s="91">
        <v>1299.99</v>
      </c>
    </row>
    <row r="17" spans="1:13" s="124" customFormat="1" ht="16.5" customHeight="1">
      <c r="A17" s="70" t="s">
        <v>34</v>
      </c>
      <c r="B17" s="66" t="s">
        <v>44</v>
      </c>
      <c r="C17" s="90">
        <v>1072.24</v>
      </c>
      <c r="D17" s="90">
        <v>1070.95</v>
      </c>
      <c r="E17" s="90">
        <v>1076.6199999999999</v>
      </c>
      <c r="F17" s="90">
        <v>1096.01</v>
      </c>
      <c r="G17" s="90">
        <v>1127.46</v>
      </c>
      <c r="H17" s="90">
        <v>1167.28</v>
      </c>
      <c r="I17" s="90">
        <v>1210.42</v>
      </c>
      <c r="J17" s="90">
        <v>1249.07</v>
      </c>
      <c r="K17" s="90">
        <v>1301.43</v>
      </c>
      <c r="L17" s="90">
        <v>1399.52</v>
      </c>
      <c r="M17" s="90">
        <v>1495.04</v>
      </c>
    </row>
    <row r="18" spans="1:13" s="69" customFormat="1" ht="12.75" customHeight="1">
      <c r="A18" s="64"/>
      <c r="B18" s="71" t="s">
        <v>52</v>
      </c>
      <c r="C18" s="91">
        <v>1198.45</v>
      </c>
      <c r="D18" s="91">
        <v>1189.81</v>
      </c>
      <c r="E18" s="91">
        <v>1190.76</v>
      </c>
      <c r="F18" s="91">
        <v>1204.67</v>
      </c>
      <c r="G18" s="91">
        <v>1232.08</v>
      </c>
      <c r="H18" s="91">
        <v>1271.3399999999999</v>
      </c>
      <c r="I18" s="91">
        <v>1314.84</v>
      </c>
      <c r="J18" s="91">
        <v>1357.16</v>
      </c>
      <c r="K18" s="91">
        <v>1409.3</v>
      </c>
      <c r="L18" s="91">
        <v>1509.6</v>
      </c>
      <c r="M18" s="91">
        <v>1605.39</v>
      </c>
    </row>
    <row r="19" spans="1:13" s="69" customFormat="1" ht="12.75" customHeight="1">
      <c r="A19" s="64"/>
      <c r="B19" s="71" t="s">
        <v>53</v>
      </c>
      <c r="C19" s="91">
        <v>927.7</v>
      </c>
      <c r="D19" s="91">
        <v>933.28</v>
      </c>
      <c r="E19" s="91">
        <v>944.55</v>
      </c>
      <c r="F19" s="91">
        <v>968.85</v>
      </c>
      <c r="G19" s="91">
        <v>1003.1</v>
      </c>
      <c r="H19" s="91">
        <v>1039.51</v>
      </c>
      <c r="I19" s="91">
        <v>1079.5899999999999</v>
      </c>
      <c r="J19" s="91">
        <v>1115.3900000000001</v>
      </c>
      <c r="K19" s="91">
        <v>1167.98</v>
      </c>
      <c r="L19" s="91">
        <v>1261.73</v>
      </c>
      <c r="M19" s="91">
        <v>1354.4</v>
      </c>
    </row>
    <row r="20" spans="1:13" s="124" customFormat="1" ht="16.5" customHeight="1">
      <c r="A20" s="70" t="s">
        <v>35</v>
      </c>
      <c r="B20" s="66" t="s">
        <v>44</v>
      </c>
      <c r="C20" s="90">
        <v>1140.33</v>
      </c>
      <c r="D20" s="90">
        <v>1148.49</v>
      </c>
      <c r="E20" s="90">
        <v>1153.07</v>
      </c>
      <c r="F20" s="90">
        <v>1184.83</v>
      </c>
      <c r="G20" s="90">
        <v>1219.22</v>
      </c>
      <c r="H20" s="90">
        <v>1253.82</v>
      </c>
      <c r="I20" s="90">
        <v>1289.1600000000001</v>
      </c>
      <c r="J20" s="90">
        <v>1348.27</v>
      </c>
      <c r="K20" s="90">
        <v>1409.53</v>
      </c>
      <c r="L20" s="90">
        <v>1509.32</v>
      </c>
      <c r="M20" s="90">
        <v>1612.97</v>
      </c>
    </row>
    <row r="21" spans="1:13" s="69" customFormat="1" ht="12.75" customHeight="1">
      <c r="A21" s="64"/>
      <c r="B21" s="71" t="s">
        <v>52</v>
      </c>
      <c r="C21" s="91">
        <v>1293.32</v>
      </c>
      <c r="D21" s="91">
        <v>1303.08</v>
      </c>
      <c r="E21" s="91">
        <v>1301.04</v>
      </c>
      <c r="F21" s="91">
        <v>1329.25</v>
      </c>
      <c r="G21" s="91">
        <v>1366.92</v>
      </c>
      <c r="H21" s="91">
        <v>1395.04</v>
      </c>
      <c r="I21" s="91">
        <v>1425.24</v>
      </c>
      <c r="J21" s="91">
        <v>1492.3</v>
      </c>
      <c r="K21" s="91">
        <v>1555.02</v>
      </c>
      <c r="L21" s="91">
        <v>1651.18</v>
      </c>
      <c r="M21" s="91">
        <v>1758.3</v>
      </c>
    </row>
    <row r="22" spans="1:13" s="69" customFormat="1" ht="12.75" customHeight="1">
      <c r="A22" s="64"/>
      <c r="B22" s="71" t="s">
        <v>53</v>
      </c>
      <c r="C22" s="91">
        <v>971.42</v>
      </c>
      <c r="D22" s="91">
        <v>980.7</v>
      </c>
      <c r="E22" s="91">
        <v>991.86</v>
      </c>
      <c r="F22" s="91">
        <v>1021.55</v>
      </c>
      <c r="G22" s="91">
        <v>1052.8699999999999</v>
      </c>
      <c r="H22" s="91">
        <v>1094.1600000000001</v>
      </c>
      <c r="I22" s="91">
        <v>1132.58</v>
      </c>
      <c r="J22" s="91">
        <v>1182.58</v>
      </c>
      <c r="K22" s="91">
        <v>1241.83</v>
      </c>
      <c r="L22" s="91">
        <v>1342.32</v>
      </c>
      <c r="M22" s="91">
        <v>1442.83</v>
      </c>
    </row>
    <row r="23" spans="1:13" s="124" customFormat="1" ht="16.5" customHeight="1">
      <c r="A23" s="70" t="s">
        <v>36</v>
      </c>
      <c r="B23" s="66" t="s">
        <v>44</v>
      </c>
      <c r="C23" s="90">
        <v>1296.58</v>
      </c>
      <c r="D23" s="90">
        <v>1300.02</v>
      </c>
      <c r="E23" s="90">
        <v>1297.18</v>
      </c>
      <c r="F23" s="90">
        <v>1297.67</v>
      </c>
      <c r="G23" s="90">
        <v>1336.31</v>
      </c>
      <c r="H23" s="90">
        <v>1376.38</v>
      </c>
      <c r="I23" s="90">
        <v>1422.36</v>
      </c>
      <c r="J23" s="90">
        <v>1455.98</v>
      </c>
      <c r="K23" s="90">
        <v>1550.32</v>
      </c>
      <c r="L23" s="90">
        <v>1654.56</v>
      </c>
      <c r="M23" s="90">
        <v>1759.57</v>
      </c>
    </row>
    <row r="24" spans="1:13" s="69" customFormat="1" ht="12.75" customHeight="1">
      <c r="A24" s="64"/>
      <c r="B24" s="71" t="s">
        <v>52</v>
      </c>
      <c r="C24" s="91">
        <v>1443.92</v>
      </c>
      <c r="D24" s="91">
        <v>1456.57</v>
      </c>
      <c r="E24" s="91">
        <v>1449.96</v>
      </c>
      <c r="F24" s="91">
        <v>1434.15</v>
      </c>
      <c r="G24" s="91">
        <v>1460.24</v>
      </c>
      <c r="H24" s="91">
        <v>1496.81</v>
      </c>
      <c r="I24" s="91">
        <v>1547.2</v>
      </c>
      <c r="J24" s="91">
        <v>1582.43</v>
      </c>
      <c r="K24" s="91">
        <v>1685.08</v>
      </c>
      <c r="L24" s="91">
        <v>1794.97</v>
      </c>
      <c r="M24" s="91">
        <v>1890.8</v>
      </c>
    </row>
    <row r="25" spans="1:13" s="69" customFormat="1" ht="12.75" customHeight="1">
      <c r="A25" s="64"/>
      <c r="B25" s="71" t="s">
        <v>53</v>
      </c>
      <c r="C25" s="91">
        <v>1105.21</v>
      </c>
      <c r="D25" s="91">
        <v>1101.69</v>
      </c>
      <c r="E25" s="91">
        <v>1104.73</v>
      </c>
      <c r="F25" s="91">
        <v>1123.8499999999999</v>
      </c>
      <c r="G25" s="91">
        <v>1176.6099999999999</v>
      </c>
      <c r="H25" s="91">
        <v>1220.45</v>
      </c>
      <c r="I25" s="91">
        <v>1259.83</v>
      </c>
      <c r="J25" s="91">
        <v>1295.3699999999999</v>
      </c>
      <c r="K25" s="91">
        <v>1376.76</v>
      </c>
      <c r="L25" s="91">
        <v>1473.22</v>
      </c>
      <c r="M25" s="91">
        <v>1583.73</v>
      </c>
    </row>
    <row r="26" spans="1:13" s="123" customFormat="1" ht="16.5" customHeight="1">
      <c r="A26" s="70" t="s">
        <v>37</v>
      </c>
      <c r="B26" s="66" t="s">
        <v>44</v>
      </c>
      <c r="C26" s="90">
        <v>1396.69</v>
      </c>
      <c r="D26" s="90">
        <v>1353.64</v>
      </c>
      <c r="E26" s="90">
        <v>1443.61</v>
      </c>
      <c r="F26" s="90">
        <v>1379.49</v>
      </c>
      <c r="G26" s="90">
        <v>1417.78</v>
      </c>
      <c r="H26" s="90">
        <v>1398.66</v>
      </c>
      <c r="I26" s="90">
        <v>1463.38</v>
      </c>
      <c r="J26" s="90">
        <v>1499.33</v>
      </c>
      <c r="K26" s="90">
        <v>1584.94</v>
      </c>
      <c r="L26" s="90">
        <v>1698.84</v>
      </c>
      <c r="M26" s="90">
        <v>1813.77</v>
      </c>
    </row>
    <row r="27" spans="1:13" s="116" customFormat="1" ht="12.75" customHeight="1">
      <c r="A27" s="64"/>
      <c r="B27" s="71" t="s">
        <v>52</v>
      </c>
      <c r="C27" s="91">
        <v>1562.2</v>
      </c>
      <c r="D27" s="91">
        <v>1480.07</v>
      </c>
      <c r="E27" s="91">
        <v>1633.41</v>
      </c>
      <c r="F27" s="91">
        <v>1540.65</v>
      </c>
      <c r="G27" s="91">
        <v>1568.29</v>
      </c>
      <c r="H27" s="91">
        <v>1512.26</v>
      </c>
      <c r="I27" s="91">
        <v>1547.83</v>
      </c>
      <c r="J27" s="91">
        <v>1613.43</v>
      </c>
      <c r="K27" s="91">
        <v>1699.9</v>
      </c>
      <c r="L27" s="91">
        <v>1807.63</v>
      </c>
      <c r="M27" s="91">
        <v>1925.98</v>
      </c>
    </row>
    <row r="28" spans="1:13" s="116" customFormat="1" ht="12.75" customHeight="1">
      <c r="A28" s="64"/>
      <c r="B28" s="71" t="s">
        <v>53</v>
      </c>
      <c r="C28" s="91">
        <v>1171.04</v>
      </c>
      <c r="D28" s="91">
        <v>1166.45</v>
      </c>
      <c r="E28" s="91">
        <v>1184.08</v>
      </c>
      <c r="F28" s="91">
        <v>1177.04</v>
      </c>
      <c r="G28" s="91">
        <v>1221.0899999999999</v>
      </c>
      <c r="H28" s="91">
        <v>1247.28</v>
      </c>
      <c r="I28" s="91">
        <v>1346.5</v>
      </c>
      <c r="J28" s="91">
        <v>1352.44</v>
      </c>
      <c r="K28" s="91">
        <v>1433.72</v>
      </c>
      <c r="L28" s="91">
        <v>1549.07</v>
      </c>
      <c r="M28" s="91">
        <v>1661.78</v>
      </c>
    </row>
    <row r="29" spans="1:13" s="123" customFormat="1" ht="16.5" customHeight="1">
      <c r="A29" s="70" t="s">
        <v>38</v>
      </c>
      <c r="B29" s="66" t="s">
        <v>44</v>
      </c>
      <c r="C29" s="90">
        <v>1408.23</v>
      </c>
      <c r="D29" s="90">
        <v>1513.13</v>
      </c>
      <c r="E29" s="90">
        <v>1410.28</v>
      </c>
      <c r="F29" s="90">
        <v>1513.38</v>
      </c>
      <c r="G29" s="90">
        <v>1565</v>
      </c>
      <c r="H29" s="90">
        <v>1613.12</v>
      </c>
      <c r="I29" s="90">
        <v>1720.84</v>
      </c>
      <c r="J29" s="90">
        <v>1657.67</v>
      </c>
      <c r="K29" s="90">
        <v>1689.85</v>
      </c>
      <c r="L29" s="90">
        <v>1744.47</v>
      </c>
      <c r="M29" s="90">
        <v>1801.2</v>
      </c>
    </row>
    <row r="30" spans="1:13" s="116" customFormat="1" ht="12.75" customHeight="1">
      <c r="A30" s="64"/>
      <c r="B30" s="71" t="s">
        <v>52</v>
      </c>
      <c r="C30" s="91">
        <v>1553.64</v>
      </c>
      <c r="D30" s="91">
        <v>1698.44</v>
      </c>
      <c r="E30" s="91">
        <v>1533.37</v>
      </c>
      <c r="F30" s="91">
        <v>1731.77</v>
      </c>
      <c r="G30" s="91">
        <v>1782.54</v>
      </c>
      <c r="H30" s="91">
        <v>1840.75</v>
      </c>
      <c r="I30" s="91">
        <v>1972.17</v>
      </c>
      <c r="J30" s="91">
        <v>1828.16</v>
      </c>
      <c r="K30" s="91">
        <v>1845.51</v>
      </c>
      <c r="L30" s="91">
        <v>1918.11</v>
      </c>
      <c r="M30" s="91">
        <v>1912.5</v>
      </c>
    </row>
    <row r="31" spans="1:13" s="116" customFormat="1" ht="12.75" customHeight="1">
      <c r="A31" s="64"/>
      <c r="B31" s="71" t="s">
        <v>53</v>
      </c>
      <c r="C31" s="91">
        <v>1203.6500000000001</v>
      </c>
      <c r="D31" s="91">
        <v>1254.48</v>
      </c>
      <c r="E31" s="91">
        <v>1230.1300000000001</v>
      </c>
      <c r="F31" s="91">
        <v>1194</v>
      </c>
      <c r="G31" s="91">
        <v>1235.55</v>
      </c>
      <c r="H31" s="91">
        <v>1274.6600000000001</v>
      </c>
      <c r="I31" s="91">
        <v>1359.18</v>
      </c>
      <c r="J31" s="91">
        <v>1418.74</v>
      </c>
      <c r="K31" s="91">
        <v>1473.4</v>
      </c>
      <c r="L31" s="91">
        <v>1522.76</v>
      </c>
      <c r="M31" s="91">
        <v>1656.2</v>
      </c>
    </row>
    <row r="32" spans="1:13" s="123" customFormat="1" ht="16.5" customHeight="1">
      <c r="A32" s="70" t="s">
        <v>39</v>
      </c>
      <c r="B32" s="66" t="s">
        <v>44</v>
      </c>
      <c r="C32" s="90">
        <v>1368.03</v>
      </c>
      <c r="D32" s="90">
        <v>1377.46</v>
      </c>
      <c r="E32" s="90">
        <v>1432.02</v>
      </c>
      <c r="F32" s="90">
        <v>1470.09</v>
      </c>
      <c r="G32" s="90">
        <v>1495.07</v>
      </c>
      <c r="H32" s="90">
        <v>1495.93</v>
      </c>
      <c r="I32" s="90">
        <v>1574.23</v>
      </c>
      <c r="J32" s="90">
        <v>1640.68</v>
      </c>
      <c r="K32" s="90">
        <v>1702.96</v>
      </c>
      <c r="L32" s="90">
        <v>1844.74</v>
      </c>
      <c r="M32" s="90">
        <v>1997.32</v>
      </c>
    </row>
    <row r="33" spans="1:13" s="116" customFormat="1" ht="12.75" customHeight="1">
      <c r="A33" s="64"/>
      <c r="B33" s="71" t="s">
        <v>52</v>
      </c>
      <c r="C33" s="91">
        <v>1482.67</v>
      </c>
      <c r="D33" s="91">
        <v>1505.39</v>
      </c>
      <c r="E33" s="91">
        <v>1555.54</v>
      </c>
      <c r="F33" s="91">
        <v>1578.34</v>
      </c>
      <c r="G33" s="91">
        <v>1598.94</v>
      </c>
      <c r="H33" s="91">
        <v>1604.08</v>
      </c>
      <c r="I33" s="91">
        <v>1686.07</v>
      </c>
      <c r="J33" s="91">
        <v>1774.56</v>
      </c>
      <c r="K33" s="91">
        <v>1841.49</v>
      </c>
      <c r="L33" s="91">
        <v>1987.57</v>
      </c>
      <c r="M33" s="91">
        <v>2160.08</v>
      </c>
    </row>
    <row r="34" spans="1:13" s="116" customFormat="1" ht="12.75" customHeight="1">
      <c r="A34" s="64"/>
      <c r="B34" s="71" t="s">
        <v>53</v>
      </c>
      <c r="C34" s="91">
        <v>1200.42</v>
      </c>
      <c r="D34" s="91">
        <v>1198.58</v>
      </c>
      <c r="E34" s="91">
        <v>1258.3800000000001</v>
      </c>
      <c r="F34" s="91">
        <v>1311.56</v>
      </c>
      <c r="G34" s="91">
        <v>1341.62</v>
      </c>
      <c r="H34" s="91">
        <v>1337.04</v>
      </c>
      <c r="I34" s="91">
        <v>1410.05</v>
      </c>
      <c r="J34" s="91">
        <v>1443.38</v>
      </c>
      <c r="K34" s="91">
        <v>1499.83</v>
      </c>
      <c r="L34" s="91">
        <v>1637.92</v>
      </c>
      <c r="M34" s="91">
        <v>1758.55</v>
      </c>
    </row>
    <row r="35" spans="1:13" s="123" customFormat="1" ht="16.5" customHeight="1">
      <c r="A35" s="70" t="s">
        <v>40</v>
      </c>
      <c r="B35" s="66" t="s">
        <v>44</v>
      </c>
      <c r="C35" s="90">
        <v>1451.56</v>
      </c>
      <c r="D35" s="90">
        <v>1436.07</v>
      </c>
      <c r="E35" s="90">
        <v>1432.18</v>
      </c>
      <c r="F35" s="90">
        <v>1403.12</v>
      </c>
      <c r="G35" s="90">
        <v>1456.8</v>
      </c>
      <c r="H35" s="90">
        <v>1569.21</v>
      </c>
      <c r="I35" s="90">
        <v>1574.72</v>
      </c>
      <c r="J35" s="90">
        <v>1629.39</v>
      </c>
      <c r="K35" s="90">
        <v>1759.55</v>
      </c>
      <c r="L35" s="90">
        <v>1876.18</v>
      </c>
      <c r="M35" s="90">
        <v>2009.31</v>
      </c>
    </row>
    <row r="36" spans="1:13" s="116" customFormat="1" ht="12.75" customHeight="1">
      <c r="A36" s="64"/>
      <c r="B36" s="71" t="s">
        <v>52</v>
      </c>
      <c r="C36" s="91">
        <v>1583.39</v>
      </c>
      <c r="D36" s="91">
        <v>1563.21</v>
      </c>
      <c r="E36" s="91">
        <v>1549.33</v>
      </c>
      <c r="F36" s="91">
        <v>1518.44</v>
      </c>
      <c r="G36" s="91">
        <v>1591.24</v>
      </c>
      <c r="H36" s="91">
        <v>1715.02</v>
      </c>
      <c r="I36" s="91">
        <v>1711.32</v>
      </c>
      <c r="J36" s="91">
        <v>1764.57</v>
      </c>
      <c r="K36" s="91">
        <v>1882.96</v>
      </c>
      <c r="L36" s="91">
        <v>1990.54</v>
      </c>
      <c r="M36" s="91">
        <v>2085.98</v>
      </c>
    </row>
    <row r="37" spans="1:13" s="116" customFormat="1" ht="12.75" customHeight="1">
      <c r="A37" s="72"/>
      <c r="B37" s="71" t="s">
        <v>53</v>
      </c>
      <c r="C37" s="91">
        <v>1286.24</v>
      </c>
      <c r="D37" s="91">
        <v>1276.28</v>
      </c>
      <c r="E37" s="91">
        <v>1279.67</v>
      </c>
      <c r="F37" s="91">
        <v>1268.3599999999999</v>
      </c>
      <c r="G37" s="91">
        <v>1298.0899999999999</v>
      </c>
      <c r="H37" s="91">
        <v>1396.38</v>
      </c>
      <c r="I37" s="91">
        <v>1403.75</v>
      </c>
      <c r="J37" s="91">
        <v>1460.85</v>
      </c>
      <c r="K37" s="91">
        <v>1602.14</v>
      </c>
      <c r="L37" s="91">
        <v>1720.71</v>
      </c>
      <c r="M37" s="91">
        <v>1894.56</v>
      </c>
    </row>
    <row r="38" spans="1:13" s="123" customFormat="1" ht="16.5" customHeight="1">
      <c r="A38" s="73" t="s">
        <v>71</v>
      </c>
      <c r="B38" s="66" t="s">
        <v>44</v>
      </c>
      <c r="C38" s="90">
        <v>1231.3699999999999</v>
      </c>
      <c r="D38" s="90">
        <v>1254.25</v>
      </c>
      <c r="E38" s="90">
        <v>1261.7</v>
      </c>
      <c r="F38" s="90">
        <v>1301.44</v>
      </c>
      <c r="G38" s="90">
        <v>1362.77</v>
      </c>
      <c r="H38" s="90">
        <v>1418.1</v>
      </c>
      <c r="I38" s="90">
        <v>1377.77</v>
      </c>
      <c r="J38" s="90">
        <v>1468.75</v>
      </c>
      <c r="K38" s="90">
        <v>1625.46</v>
      </c>
      <c r="L38" s="90">
        <v>1731.15</v>
      </c>
      <c r="M38" s="90">
        <v>1965.09</v>
      </c>
    </row>
    <row r="39" spans="1:13" s="116" customFormat="1" ht="12.75" customHeight="1">
      <c r="A39" s="72"/>
      <c r="B39" s="71" t="s">
        <v>52</v>
      </c>
      <c r="C39" s="91">
        <v>1374.62</v>
      </c>
      <c r="D39" s="91">
        <v>1413.26</v>
      </c>
      <c r="E39" s="91">
        <v>1419.73</v>
      </c>
      <c r="F39" s="91">
        <v>1429.38</v>
      </c>
      <c r="G39" s="91">
        <v>1494.77</v>
      </c>
      <c r="H39" s="91">
        <v>1561.56</v>
      </c>
      <c r="I39" s="91">
        <v>1483.6</v>
      </c>
      <c r="J39" s="91">
        <v>1578.06</v>
      </c>
      <c r="K39" s="91">
        <v>1809.53</v>
      </c>
      <c r="L39" s="91">
        <v>1940.59</v>
      </c>
      <c r="M39" s="91">
        <v>2177.8000000000002</v>
      </c>
    </row>
    <row r="40" spans="1:13" s="116" customFormat="1" ht="12.75" customHeight="1">
      <c r="A40" s="74"/>
      <c r="B40" s="75" t="s">
        <v>53</v>
      </c>
      <c r="C40" s="821">
        <v>1081.02</v>
      </c>
      <c r="D40" s="821">
        <v>1096.52</v>
      </c>
      <c r="E40" s="821">
        <v>1113.8399999999999</v>
      </c>
      <c r="F40" s="821">
        <v>1167.82</v>
      </c>
      <c r="G40" s="821">
        <v>1223.27</v>
      </c>
      <c r="H40" s="821">
        <v>1273.75</v>
      </c>
      <c r="I40" s="821">
        <v>1283.54</v>
      </c>
      <c r="J40" s="821">
        <v>1368.53</v>
      </c>
      <c r="K40" s="821">
        <v>1448.5</v>
      </c>
      <c r="L40" s="821">
        <v>1531.35</v>
      </c>
      <c r="M40" s="821">
        <v>1753.68</v>
      </c>
    </row>
    <row r="41" spans="1:13" s="59" customFormat="1" ht="15" customHeight="1">
      <c r="A41" s="19" t="s">
        <v>769</v>
      </c>
      <c r="B41" s="66"/>
      <c r="C41" s="91"/>
      <c r="D41" s="90"/>
      <c r="E41" s="90"/>
      <c r="F41" s="90"/>
      <c r="G41" s="90"/>
      <c r="H41" s="90"/>
      <c r="I41" s="90"/>
      <c r="J41" s="90"/>
      <c r="K41" s="90"/>
      <c r="L41" s="90"/>
      <c r="M41" s="90"/>
    </row>
    <row r="42" spans="1:13" s="59" customFormat="1" ht="23.25" customHeight="1">
      <c r="A42" s="955" t="s">
        <v>5</v>
      </c>
      <c r="B42" s="955"/>
      <c r="C42" s="955"/>
      <c r="D42" s="955"/>
      <c r="E42" s="955"/>
      <c r="F42" s="955"/>
      <c r="G42" s="955"/>
      <c r="H42" s="955"/>
      <c r="I42" s="955"/>
      <c r="J42" s="955"/>
      <c r="K42" s="955"/>
      <c r="L42" s="955"/>
      <c r="M42" s="955"/>
    </row>
  </sheetData>
  <mergeCells count="2">
    <mergeCell ref="A1:M1"/>
    <mergeCell ref="A42:M42"/>
  </mergeCells>
  <phoneticPr fontId="24" type="noConversion"/>
  <conditionalFormatting sqref="E3 A1 G41 A42 A2:E2 A3:C3 A43:E1048576 B41:E41 A4:E4 A5:I40 N1:XFD1048576">
    <cfRule type="cellIs" dxfId="469" priority="58" operator="equal">
      <formula>0</formula>
    </cfRule>
  </conditionalFormatting>
  <conditionalFormatting sqref="G2:G4 G43:G1048576 H4:I4">
    <cfRule type="cellIs" dxfId="468" priority="56" operator="equal">
      <formula>0</formula>
    </cfRule>
  </conditionalFormatting>
  <conditionalFormatting sqref="F2:F4 F43:F1048576">
    <cfRule type="cellIs" dxfId="467" priority="53" operator="equal">
      <formula>0</formula>
    </cfRule>
  </conditionalFormatting>
  <conditionalFormatting sqref="F41">
    <cfRule type="cellIs" dxfId="466" priority="52" operator="equal">
      <formula>0</formula>
    </cfRule>
  </conditionalFormatting>
  <conditionalFormatting sqref="I41">
    <cfRule type="cellIs" dxfId="465" priority="50" operator="equal">
      <formula>0</formula>
    </cfRule>
  </conditionalFormatting>
  <conditionalFormatting sqref="I2:I3 I43:I1048576">
    <cfRule type="cellIs" dxfId="464" priority="49" operator="equal">
      <formula>0</formula>
    </cfRule>
  </conditionalFormatting>
  <conditionalFormatting sqref="H41">
    <cfRule type="cellIs" dxfId="463" priority="44" operator="equal">
      <formula>0</formula>
    </cfRule>
  </conditionalFormatting>
  <conditionalFormatting sqref="H2:H3 H43:H1048576">
    <cfRule type="cellIs" dxfId="462" priority="43" operator="equal">
      <formula>0</formula>
    </cfRule>
  </conditionalFormatting>
  <conditionalFormatting sqref="J8:J40">
    <cfRule type="cellIs" dxfId="461" priority="39" operator="equal">
      <formula>0</formula>
    </cfRule>
  </conditionalFormatting>
  <conditionalFormatting sqref="J4">
    <cfRule type="cellIs" dxfId="460" priority="38" operator="equal">
      <formula>0</formula>
    </cfRule>
  </conditionalFormatting>
  <conditionalFormatting sqref="J5:J7">
    <cfRule type="cellIs" dxfId="459" priority="37" operator="equal">
      <formula>0</formula>
    </cfRule>
  </conditionalFormatting>
  <conditionalFormatting sqref="J41">
    <cfRule type="cellIs" dxfId="458" priority="36" operator="equal">
      <formula>0</formula>
    </cfRule>
  </conditionalFormatting>
  <conditionalFormatting sqref="J2:J3 J43:J1048576">
    <cfRule type="cellIs" dxfId="457" priority="35" operator="equal">
      <formula>0</formula>
    </cfRule>
  </conditionalFormatting>
  <conditionalFormatting sqref="K8:K40">
    <cfRule type="cellIs" dxfId="456" priority="34" operator="equal">
      <formula>0</formula>
    </cfRule>
  </conditionalFormatting>
  <conditionalFormatting sqref="K4">
    <cfRule type="cellIs" dxfId="455" priority="33" operator="equal">
      <formula>0</formula>
    </cfRule>
  </conditionalFormatting>
  <conditionalFormatting sqref="K5:K7">
    <cfRule type="cellIs" dxfId="454" priority="32" operator="equal">
      <formula>0</formula>
    </cfRule>
  </conditionalFormatting>
  <conditionalFormatting sqref="K41">
    <cfRule type="cellIs" dxfId="453" priority="31" operator="equal">
      <formula>0</formula>
    </cfRule>
  </conditionalFormatting>
  <conditionalFormatting sqref="K2:K3 K43:K1048576">
    <cfRule type="cellIs" dxfId="452" priority="30" operator="equal">
      <formula>0</formula>
    </cfRule>
  </conditionalFormatting>
  <conditionalFormatting sqref="L8:L40">
    <cfRule type="cellIs" dxfId="451" priority="27" operator="equal">
      <formula>0</formula>
    </cfRule>
  </conditionalFormatting>
  <conditionalFormatting sqref="L4">
    <cfRule type="cellIs" dxfId="450" priority="26" operator="equal">
      <formula>0</formula>
    </cfRule>
  </conditionalFormatting>
  <conditionalFormatting sqref="L5:L7">
    <cfRule type="cellIs" dxfId="449" priority="25" operator="equal">
      <formula>0</formula>
    </cfRule>
  </conditionalFormatting>
  <conditionalFormatting sqref="L41">
    <cfRule type="cellIs" dxfId="448" priority="24" operator="equal">
      <formula>0</formula>
    </cfRule>
  </conditionalFormatting>
  <conditionalFormatting sqref="L2:L3 L43:L1048576">
    <cfRule type="cellIs" dxfId="447" priority="23" operator="equal">
      <formula>0</formula>
    </cfRule>
  </conditionalFormatting>
  <conditionalFormatting sqref="M8:M40">
    <cfRule type="cellIs" dxfId="446" priority="16" operator="equal">
      <formula>0</formula>
    </cfRule>
  </conditionalFormatting>
  <conditionalFormatting sqref="M4">
    <cfRule type="cellIs" dxfId="445" priority="15" operator="equal">
      <formula>0</formula>
    </cfRule>
  </conditionalFormatting>
  <conditionalFormatting sqref="M5:M7">
    <cfRule type="cellIs" dxfId="444" priority="14" operator="equal">
      <formula>0</formula>
    </cfRule>
  </conditionalFormatting>
  <conditionalFormatting sqref="M41">
    <cfRule type="cellIs" dxfId="443" priority="13" operator="equal">
      <formula>0</formula>
    </cfRule>
  </conditionalFormatting>
  <conditionalFormatting sqref="M2:M3 M43:M1048576">
    <cfRule type="cellIs" dxfId="442" priority="12" operator="equal">
      <formula>0</formula>
    </cfRule>
  </conditionalFormatting>
  <conditionalFormatting sqref="A41">
    <cfRule type="cellIs" dxfId="441"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311">
    <tabColor rgb="FFA50021"/>
    <pageSetUpPr fitToPage="1"/>
  </sheetPr>
  <dimension ref="A1:GP25"/>
  <sheetViews>
    <sheetView showGridLines="0" workbookViewId="0">
      <selection activeCell="Y70" sqref="Y70"/>
    </sheetView>
  </sheetViews>
  <sheetFormatPr defaultColWidth="9.140625" defaultRowHeight="15" customHeight="1"/>
  <cols>
    <col min="1" max="1" width="17.140625" style="79" customWidth="1"/>
    <col min="2" max="4" width="6.42578125" style="84" customWidth="1"/>
    <col min="5" max="12" width="6.42578125" style="79" customWidth="1"/>
    <col min="13" max="198" width="9.140625" style="79"/>
    <col min="199" max="16384" width="9.140625" style="6"/>
  </cols>
  <sheetData>
    <row r="1" spans="1:48" s="86" customFormat="1" ht="28.5" customHeight="1">
      <c r="A1" s="954" t="s">
        <v>814</v>
      </c>
      <c r="B1" s="954"/>
      <c r="C1" s="954"/>
      <c r="D1" s="954"/>
      <c r="E1" s="954"/>
      <c r="F1" s="954"/>
      <c r="G1" s="954"/>
      <c r="H1" s="954"/>
      <c r="I1" s="954"/>
      <c r="J1" s="954"/>
      <c r="K1" s="954"/>
      <c r="L1" s="954"/>
    </row>
    <row r="2" spans="1:48" s="2" customFormat="1" ht="15" customHeight="1">
      <c r="A2" s="9"/>
      <c r="B2" s="10"/>
      <c r="C2" s="10"/>
      <c r="D2" s="10"/>
    </row>
    <row r="3" spans="1:48" s="2" customFormat="1" ht="15" customHeight="1">
      <c r="A3" s="11" t="s">
        <v>13</v>
      </c>
      <c r="B3" s="142"/>
      <c r="E3" s="215"/>
      <c r="F3" s="186"/>
      <c r="G3" s="306"/>
      <c r="H3" s="260"/>
      <c r="I3" s="308"/>
      <c r="J3" s="360"/>
      <c r="K3" s="360"/>
      <c r="L3" s="360" t="s">
        <v>67</v>
      </c>
    </row>
    <row r="4" spans="1:48" s="2" customFormat="1" ht="28.5" customHeight="1" thickBot="1">
      <c r="A4" s="13"/>
      <c r="B4" s="14">
        <v>2014</v>
      </c>
      <c r="C4" s="14">
        <v>2015</v>
      </c>
      <c r="D4" s="14">
        <v>2016</v>
      </c>
      <c r="E4" s="14">
        <v>2017</v>
      </c>
      <c r="F4" s="14">
        <v>2018</v>
      </c>
      <c r="G4" s="14">
        <v>2019</v>
      </c>
      <c r="H4" s="14">
        <v>2020</v>
      </c>
      <c r="I4" s="14">
        <v>2021</v>
      </c>
      <c r="J4" s="14">
        <v>2022</v>
      </c>
      <c r="K4" s="14">
        <v>2023</v>
      </c>
      <c r="L4" s="14">
        <v>2024</v>
      </c>
      <c r="O4" s="378"/>
      <c r="P4" s="560">
        <f>+B4</f>
        <v>2014</v>
      </c>
      <c r="Q4" s="560">
        <f t="shared" ref="Q4:W4" si="0">+C4</f>
        <v>2015</v>
      </c>
      <c r="R4" s="560">
        <f t="shared" si="0"/>
        <v>2016</v>
      </c>
      <c r="S4" s="560">
        <f t="shared" si="0"/>
        <v>2017</v>
      </c>
      <c r="T4" s="560">
        <f t="shared" si="0"/>
        <v>2018</v>
      </c>
      <c r="U4" s="560">
        <f t="shared" si="0"/>
        <v>2019</v>
      </c>
      <c r="V4" s="560">
        <f t="shared" si="0"/>
        <v>2020</v>
      </c>
      <c r="W4" s="560">
        <f t="shared" si="0"/>
        <v>2021</v>
      </c>
      <c r="X4" s="560">
        <f>+J4</f>
        <v>2022</v>
      </c>
      <c r="Y4" s="560">
        <f t="shared" ref="Y4:Z4" si="1">+K4</f>
        <v>2023</v>
      </c>
      <c r="Z4" s="560">
        <f t="shared" si="1"/>
        <v>2024</v>
      </c>
      <c r="AA4" s="560">
        <f>+B4</f>
        <v>2014</v>
      </c>
      <c r="AB4" s="560">
        <f t="shared" ref="AB4:AJ4" si="2">+C4</f>
        <v>2015</v>
      </c>
      <c r="AC4" s="560">
        <f t="shared" si="2"/>
        <v>2016</v>
      </c>
      <c r="AD4" s="560">
        <f t="shared" si="2"/>
        <v>2017</v>
      </c>
      <c r="AE4" s="560">
        <f t="shared" si="2"/>
        <v>2018</v>
      </c>
      <c r="AF4" s="560">
        <f t="shared" si="2"/>
        <v>2019</v>
      </c>
      <c r="AG4" s="560">
        <f t="shared" si="2"/>
        <v>2020</v>
      </c>
      <c r="AH4" s="560">
        <f t="shared" si="2"/>
        <v>2021</v>
      </c>
      <c r="AI4" s="560">
        <f t="shared" si="2"/>
        <v>2022</v>
      </c>
      <c r="AJ4" s="560">
        <f t="shared" si="2"/>
        <v>2023</v>
      </c>
      <c r="AK4" s="560">
        <f>+L4</f>
        <v>2024</v>
      </c>
      <c r="AL4" s="560">
        <f>+B4</f>
        <v>2014</v>
      </c>
      <c r="AM4" s="560">
        <f t="shared" ref="AM4:AV4" si="3">+C4</f>
        <v>2015</v>
      </c>
      <c r="AN4" s="560">
        <f t="shared" si="3"/>
        <v>2016</v>
      </c>
      <c r="AO4" s="560">
        <f t="shared" si="3"/>
        <v>2017</v>
      </c>
      <c r="AP4" s="560">
        <f t="shared" si="3"/>
        <v>2018</v>
      </c>
      <c r="AQ4" s="560">
        <f t="shared" si="3"/>
        <v>2019</v>
      </c>
      <c r="AR4" s="560">
        <f t="shared" si="3"/>
        <v>2020</v>
      </c>
      <c r="AS4" s="560">
        <f t="shared" si="3"/>
        <v>2021</v>
      </c>
      <c r="AT4" s="560">
        <f t="shared" si="3"/>
        <v>2022</v>
      </c>
      <c r="AU4" s="560">
        <f t="shared" si="3"/>
        <v>2023</v>
      </c>
      <c r="AV4" s="560">
        <f t="shared" si="3"/>
        <v>2024</v>
      </c>
    </row>
    <row r="5" spans="1:48" s="2" customFormat="1" ht="20.25" customHeight="1" thickTop="1">
      <c r="A5" s="15" t="s">
        <v>11</v>
      </c>
      <c r="B5" s="822">
        <v>1093.21</v>
      </c>
      <c r="C5" s="822">
        <v>1096.6600000000001</v>
      </c>
      <c r="D5" s="822">
        <v>1107.8599999999999</v>
      </c>
      <c r="E5" s="822">
        <v>1133.3399999999999</v>
      </c>
      <c r="F5" s="822">
        <v>1170.25</v>
      </c>
      <c r="G5" s="822">
        <v>1209.94</v>
      </c>
      <c r="H5" s="822">
        <v>1250.75</v>
      </c>
      <c r="I5" s="822">
        <v>1294.1099999999999</v>
      </c>
      <c r="J5" s="822">
        <v>1368</v>
      </c>
      <c r="K5" s="822">
        <v>1466.66</v>
      </c>
      <c r="L5" s="822">
        <v>1582.75</v>
      </c>
      <c r="M5" s="115"/>
    </row>
    <row r="6" spans="1:48" s="2" customFormat="1" ht="20.25" customHeight="1">
      <c r="A6" s="15" t="s">
        <v>14</v>
      </c>
      <c r="B6" s="707">
        <v>971.91</v>
      </c>
      <c r="C6" s="707">
        <v>984.24</v>
      </c>
      <c r="D6" s="707">
        <v>1001.02</v>
      </c>
      <c r="E6" s="707">
        <v>1028.8399999999999</v>
      </c>
      <c r="F6" s="707">
        <v>1070.6300000000001</v>
      </c>
      <c r="G6" s="707">
        <v>1111.21</v>
      </c>
      <c r="H6" s="707">
        <v>1147</v>
      </c>
      <c r="I6" s="707">
        <v>1177.95</v>
      </c>
      <c r="J6" s="707">
        <v>1252.03</v>
      </c>
      <c r="K6" s="707">
        <v>1348.68</v>
      </c>
      <c r="L6" s="707">
        <v>1454.71</v>
      </c>
      <c r="N6" s="559">
        <f>+(L6/B6-1)*100</f>
        <v>49.675381465362037</v>
      </c>
      <c r="O6" s="419">
        <f t="shared" ref="O6:O10" si="4">+L6-B6</f>
        <v>482.80000000000007</v>
      </c>
      <c r="P6" s="559">
        <f>B6*100/B$5</f>
        <v>88.904236148589931</v>
      </c>
      <c r="Q6" s="559">
        <f t="shared" ref="Q6:Z21" si="5">C6*100/C$5</f>
        <v>89.748873853336491</v>
      </c>
      <c r="R6" s="559">
        <f t="shared" si="5"/>
        <v>90.356182189085274</v>
      </c>
      <c r="S6" s="559">
        <f t="shared" si="5"/>
        <v>90.779466003141152</v>
      </c>
      <c r="T6" s="559">
        <f t="shared" si="5"/>
        <v>91.487289040803262</v>
      </c>
      <c r="U6" s="559">
        <f t="shared" si="5"/>
        <v>91.840091244193928</v>
      </c>
      <c r="V6" s="559">
        <f t="shared" si="5"/>
        <v>91.704977013791719</v>
      </c>
      <c r="W6" s="559">
        <f t="shared" si="5"/>
        <v>91.023946959686583</v>
      </c>
      <c r="X6" s="559">
        <f t="shared" si="5"/>
        <v>91.522660818713447</v>
      </c>
      <c r="Y6" s="559">
        <f t="shared" si="5"/>
        <v>91.955872526693298</v>
      </c>
      <c r="Z6" s="559">
        <f t="shared" si="5"/>
        <v>91.910282735744744</v>
      </c>
      <c r="AA6" s="2">
        <f>+RANK(B6,B$6:B$23,0)</f>
        <v>5</v>
      </c>
      <c r="AB6" s="2">
        <f t="shared" ref="AB6:AK21" si="6">+RANK(C6,C$6:C$23,0)</f>
        <v>4</v>
      </c>
      <c r="AC6" s="2">
        <f t="shared" si="6"/>
        <v>4</v>
      </c>
      <c r="AD6" s="2">
        <f t="shared" si="6"/>
        <v>4</v>
      </c>
      <c r="AE6" s="2">
        <f t="shared" si="6"/>
        <v>4</v>
      </c>
      <c r="AF6" s="2">
        <f t="shared" si="6"/>
        <v>4</v>
      </c>
      <c r="AG6" s="2">
        <f t="shared" si="6"/>
        <v>4</v>
      </c>
      <c r="AH6" s="2">
        <f t="shared" si="6"/>
        <v>4</v>
      </c>
      <c r="AI6" s="2">
        <f t="shared" si="6"/>
        <v>4</v>
      </c>
      <c r="AJ6" s="2">
        <f t="shared" si="6"/>
        <v>4</v>
      </c>
      <c r="AK6" s="2">
        <f>+RANK(L6,L$6:L$23,0)</f>
        <v>4</v>
      </c>
      <c r="AL6" s="559">
        <f>+(B6/B$5-1)*100</f>
        <v>-11.095763851410078</v>
      </c>
      <c r="AM6" s="559">
        <f t="shared" ref="AM6:AV21" si="7">+(C6/C$5-1)*100</f>
        <v>-10.251126146663514</v>
      </c>
      <c r="AN6" s="559">
        <f t="shared" si="7"/>
        <v>-9.6438178109147348</v>
      </c>
      <c r="AO6" s="559">
        <f t="shared" si="7"/>
        <v>-9.2205339968588369</v>
      </c>
      <c r="AP6" s="559">
        <f t="shared" si="7"/>
        <v>-8.5127109591967454</v>
      </c>
      <c r="AQ6" s="559">
        <f t="shared" si="7"/>
        <v>-8.1599087558060788</v>
      </c>
      <c r="AR6" s="559">
        <f t="shared" si="7"/>
        <v>-8.2950229862082772</v>
      </c>
      <c r="AS6" s="559">
        <f t="shared" si="7"/>
        <v>-8.9760530403134133</v>
      </c>
      <c r="AT6" s="559">
        <f t="shared" si="7"/>
        <v>-8.4773391812865473</v>
      </c>
      <c r="AU6" s="559">
        <f t="shared" si="7"/>
        <v>-8.0441274733066948</v>
      </c>
      <c r="AV6" s="559">
        <f t="shared" si="7"/>
        <v>-8.0897172642552473</v>
      </c>
    </row>
    <row r="7" spans="1:48" s="2" customFormat="1" ht="15" customHeight="1">
      <c r="A7" s="15" t="s">
        <v>15</v>
      </c>
      <c r="B7" s="707">
        <v>983.84</v>
      </c>
      <c r="C7" s="707">
        <v>984.04</v>
      </c>
      <c r="D7" s="707">
        <v>981.92</v>
      </c>
      <c r="E7" s="707">
        <v>1009.59</v>
      </c>
      <c r="F7" s="707">
        <v>1059.6099999999999</v>
      </c>
      <c r="G7" s="707">
        <v>1062.3599999999999</v>
      </c>
      <c r="H7" s="707">
        <v>1092.76</v>
      </c>
      <c r="I7" s="707">
        <v>1153.3900000000001</v>
      </c>
      <c r="J7" s="707">
        <v>1192.76</v>
      </c>
      <c r="K7" s="707">
        <v>1305.52</v>
      </c>
      <c r="L7" s="707">
        <v>1376.09</v>
      </c>
      <c r="N7" s="559">
        <f t="shared" ref="N7:N23" si="8">+(L7/B7-1)*100</f>
        <v>39.869287689055113</v>
      </c>
      <c r="O7" s="419">
        <f t="shared" si="4"/>
        <v>392.24999999999989</v>
      </c>
      <c r="P7" s="559">
        <f t="shared" ref="P7:Z23" si="9">B7*100/B$5</f>
        <v>89.995517787067442</v>
      </c>
      <c r="Q7" s="559">
        <f t="shared" si="5"/>
        <v>89.730636660405224</v>
      </c>
      <c r="R7" s="559">
        <f t="shared" si="5"/>
        <v>88.6321376347192</v>
      </c>
      <c r="S7" s="559">
        <f t="shared" si="5"/>
        <v>89.080946582667167</v>
      </c>
      <c r="T7" s="559">
        <f t="shared" si="5"/>
        <v>90.545609912411862</v>
      </c>
      <c r="U7" s="559">
        <f t="shared" si="5"/>
        <v>87.802700960378189</v>
      </c>
      <c r="V7" s="559">
        <f t="shared" si="5"/>
        <v>87.368378972616426</v>
      </c>
      <c r="W7" s="559">
        <f t="shared" si="5"/>
        <v>89.126117563421985</v>
      </c>
      <c r="X7" s="559">
        <f t="shared" si="5"/>
        <v>87.190058479532169</v>
      </c>
      <c r="Y7" s="559">
        <f t="shared" si="5"/>
        <v>89.013131877872169</v>
      </c>
      <c r="Z7" s="559">
        <f t="shared" si="5"/>
        <v>86.942978992260308</v>
      </c>
      <c r="AA7" s="2">
        <f t="shared" ref="AA7:AK23" si="10">+RANK(B7,B$6:B$23,0)</f>
        <v>4</v>
      </c>
      <c r="AB7" s="2">
        <f t="shared" si="6"/>
        <v>5</v>
      </c>
      <c r="AC7" s="2">
        <f t="shared" si="6"/>
        <v>6</v>
      </c>
      <c r="AD7" s="2">
        <f t="shared" si="6"/>
        <v>6</v>
      </c>
      <c r="AE7" s="2">
        <f t="shared" si="6"/>
        <v>5</v>
      </c>
      <c r="AF7" s="2">
        <f t="shared" si="6"/>
        <v>7</v>
      </c>
      <c r="AG7" s="2">
        <f t="shared" si="6"/>
        <v>7</v>
      </c>
      <c r="AH7" s="2">
        <f t="shared" si="6"/>
        <v>7</v>
      </c>
      <c r="AI7" s="2">
        <f t="shared" si="6"/>
        <v>7</v>
      </c>
      <c r="AJ7" s="2">
        <f t="shared" si="6"/>
        <v>6</v>
      </c>
      <c r="AK7" s="2">
        <f t="shared" si="6"/>
        <v>7</v>
      </c>
      <c r="AL7" s="559">
        <f t="shared" ref="AL7:AV23" si="11">+(B7/B$5-1)*100</f>
        <v>-10.004482212932553</v>
      </c>
      <c r="AM7" s="559">
        <f t="shared" si="7"/>
        <v>-10.269363339594783</v>
      </c>
      <c r="AN7" s="559">
        <f t="shared" si="7"/>
        <v>-11.367862365280812</v>
      </c>
      <c r="AO7" s="559">
        <f t="shared" si="7"/>
        <v>-10.919053417332824</v>
      </c>
      <c r="AP7" s="559">
        <f t="shared" si="7"/>
        <v>-9.454390087588127</v>
      </c>
      <c r="AQ7" s="559">
        <f t="shared" si="7"/>
        <v>-12.197299039621811</v>
      </c>
      <c r="AR7" s="559">
        <f t="shared" si="7"/>
        <v>-12.631621027383567</v>
      </c>
      <c r="AS7" s="559">
        <f t="shared" si="7"/>
        <v>-10.87388243657802</v>
      </c>
      <c r="AT7" s="559">
        <f t="shared" si="7"/>
        <v>-12.809941520467838</v>
      </c>
      <c r="AU7" s="559">
        <f t="shared" si="7"/>
        <v>-10.986868122127834</v>
      </c>
      <c r="AV7" s="559">
        <f t="shared" si="7"/>
        <v>-13.057021007739699</v>
      </c>
    </row>
    <row r="8" spans="1:48" s="2" customFormat="1" ht="15" customHeight="1">
      <c r="A8" s="15" t="s">
        <v>65</v>
      </c>
      <c r="B8" s="707">
        <v>876.17</v>
      </c>
      <c r="C8" s="707">
        <v>880.48</v>
      </c>
      <c r="D8" s="707">
        <v>895.72</v>
      </c>
      <c r="E8" s="707">
        <v>929.88</v>
      </c>
      <c r="F8" s="707">
        <v>968.01</v>
      </c>
      <c r="G8" s="707">
        <v>1012.37</v>
      </c>
      <c r="H8" s="707">
        <v>1057.55</v>
      </c>
      <c r="I8" s="707">
        <v>1105.67</v>
      </c>
      <c r="J8" s="707">
        <v>1156.32</v>
      </c>
      <c r="K8" s="707">
        <v>1244.8900000000001</v>
      </c>
      <c r="L8" s="707">
        <v>1361.73</v>
      </c>
      <c r="N8" s="559">
        <f t="shared" si="8"/>
        <v>55.418469018569461</v>
      </c>
      <c r="O8" s="419">
        <f t="shared" si="4"/>
        <v>485.56000000000006</v>
      </c>
      <c r="P8" s="559">
        <f t="shared" si="9"/>
        <v>80.146540920774598</v>
      </c>
      <c r="Q8" s="559">
        <f t="shared" si="5"/>
        <v>80.287418160596715</v>
      </c>
      <c r="R8" s="559">
        <f t="shared" si="5"/>
        <v>80.851371111873348</v>
      </c>
      <c r="S8" s="559">
        <f t="shared" si="5"/>
        <v>82.047752660278476</v>
      </c>
      <c r="T8" s="559">
        <f t="shared" si="5"/>
        <v>82.718222602008112</v>
      </c>
      <c r="U8" s="559">
        <f t="shared" si="5"/>
        <v>83.671091128485713</v>
      </c>
      <c r="V8" s="559">
        <f t="shared" si="5"/>
        <v>84.553268039176487</v>
      </c>
      <c r="W8" s="559">
        <f t="shared" si="5"/>
        <v>85.438641228334532</v>
      </c>
      <c r="X8" s="559">
        <f t="shared" si="5"/>
        <v>84.526315789473685</v>
      </c>
      <c r="Y8" s="559">
        <f t="shared" si="5"/>
        <v>84.879249451133873</v>
      </c>
      <c r="Z8" s="559">
        <f t="shared" si="5"/>
        <v>86.03569736218607</v>
      </c>
      <c r="AA8" s="2">
        <f t="shared" si="10"/>
        <v>15</v>
      </c>
      <c r="AB8" s="2">
        <f t="shared" si="6"/>
        <v>15</v>
      </c>
      <c r="AC8" s="2">
        <f t="shared" si="6"/>
        <v>14</v>
      </c>
      <c r="AD8" s="2">
        <f t="shared" si="6"/>
        <v>14</v>
      </c>
      <c r="AE8" s="2">
        <f t="shared" si="6"/>
        <v>13</v>
      </c>
      <c r="AF8" s="2">
        <f t="shared" si="6"/>
        <v>12</v>
      </c>
      <c r="AG8" s="2">
        <f t="shared" si="6"/>
        <v>11</v>
      </c>
      <c r="AH8" s="2">
        <f t="shared" si="6"/>
        <v>11</v>
      </c>
      <c r="AI8" s="2">
        <f t="shared" si="6"/>
        <v>10</v>
      </c>
      <c r="AJ8" s="2">
        <f t="shared" si="6"/>
        <v>10</v>
      </c>
      <c r="AK8" s="2">
        <f t="shared" si="6"/>
        <v>10</v>
      </c>
      <c r="AL8" s="559">
        <f t="shared" si="11"/>
        <v>-19.853459079225409</v>
      </c>
      <c r="AM8" s="559">
        <f t="shared" si="7"/>
        <v>-19.712581839403288</v>
      </c>
      <c r="AN8" s="559">
        <f t="shared" si="7"/>
        <v>-19.148628888126652</v>
      </c>
      <c r="AO8" s="559">
        <f t="shared" si="7"/>
        <v>-17.952247339721527</v>
      </c>
      <c r="AP8" s="559">
        <f t="shared" si="7"/>
        <v>-17.281777397991881</v>
      </c>
      <c r="AQ8" s="559">
        <f t="shared" si="7"/>
        <v>-16.32890887151429</v>
      </c>
      <c r="AR8" s="559">
        <f t="shared" si="7"/>
        <v>-15.446731960823513</v>
      </c>
      <c r="AS8" s="559">
        <f t="shared" si="7"/>
        <v>-14.561358771665455</v>
      </c>
      <c r="AT8" s="559">
        <f t="shared" si="7"/>
        <v>-15.473684210526317</v>
      </c>
      <c r="AU8" s="559">
        <f t="shared" si="7"/>
        <v>-15.120750548866123</v>
      </c>
      <c r="AV8" s="559">
        <f t="shared" si="7"/>
        <v>-13.96430263781393</v>
      </c>
    </row>
    <row r="9" spans="1:48" s="2" customFormat="1" ht="15" customHeight="1">
      <c r="A9" s="15" t="s">
        <v>16</v>
      </c>
      <c r="B9" s="707">
        <v>838.71</v>
      </c>
      <c r="C9" s="707">
        <v>838.85</v>
      </c>
      <c r="D9" s="707">
        <v>858.81</v>
      </c>
      <c r="E9" s="707">
        <v>882.59</v>
      </c>
      <c r="F9" s="707">
        <v>910.81</v>
      </c>
      <c r="G9" s="707">
        <v>944.95</v>
      </c>
      <c r="H9" s="707">
        <v>977.7</v>
      </c>
      <c r="I9" s="707">
        <v>1012.23</v>
      </c>
      <c r="J9" s="707">
        <v>1054.3699999999999</v>
      </c>
      <c r="K9" s="707">
        <v>1136.1600000000001</v>
      </c>
      <c r="L9" s="707">
        <v>1251.51</v>
      </c>
      <c r="N9" s="559">
        <f t="shared" si="8"/>
        <v>49.218442608291291</v>
      </c>
      <c r="O9" s="419">
        <f t="shared" si="4"/>
        <v>412.79999999999995</v>
      </c>
      <c r="P9" s="559">
        <f t="shared" si="9"/>
        <v>76.719934870701877</v>
      </c>
      <c r="Q9" s="559">
        <f t="shared" si="5"/>
        <v>76.491346451954115</v>
      </c>
      <c r="R9" s="559">
        <f t="shared" si="5"/>
        <v>77.519722708645503</v>
      </c>
      <c r="S9" s="559">
        <f t="shared" si="5"/>
        <v>77.875130146293259</v>
      </c>
      <c r="T9" s="559">
        <f t="shared" si="5"/>
        <v>77.830378124332412</v>
      </c>
      <c r="U9" s="559">
        <f t="shared" si="5"/>
        <v>78.098913995735316</v>
      </c>
      <c r="V9" s="559">
        <f t="shared" si="5"/>
        <v>78.169098540875481</v>
      </c>
      <c r="W9" s="559">
        <f t="shared" si="5"/>
        <v>78.218234925933658</v>
      </c>
      <c r="X9" s="559">
        <f t="shared" si="5"/>
        <v>77.073830409356717</v>
      </c>
      <c r="Y9" s="559">
        <f t="shared" si="5"/>
        <v>77.465806662757558</v>
      </c>
      <c r="Z9" s="559">
        <f t="shared" si="5"/>
        <v>79.071868583162214</v>
      </c>
      <c r="AA9" s="2">
        <f t="shared" si="10"/>
        <v>17</v>
      </c>
      <c r="AB9" s="2">
        <f t="shared" si="6"/>
        <v>17</v>
      </c>
      <c r="AC9" s="2">
        <f t="shared" si="6"/>
        <v>17</v>
      </c>
      <c r="AD9" s="2">
        <f t="shared" si="6"/>
        <v>18</v>
      </c>
      <c r="AE9" s="2">
        <f t="shared" si="6"/>
        <v>18</v>
      </c>
      <c r="AF9" s="2">
        <f t="shared" si="6"/>
        <v>18</v>
      </c>
      <c r="AG9" s="2">
        <f t="shared" si="6"/>
        <v>18</v>
      </c>
      <c r="AH9" s="2">
        <f t="shared" si="6"/>
        <v>18</v>
      </c>
      <c r="AI9" s="2">
        <f t="shared" si="6"/>
        <v>18</v>
      </c>
      <c r="AJ9" s="2">
        <f t="shared" si="6"/>
        <v>18</v>
      </c>
      <c r="AK9" s="2">
        <f t="shared" si="6"/>
        <v>18</v>
      </c>
      <c r="AL9" s="559">
        <f t="shared" si="11"/>
        <v>-23.280065129298123</v>
      </c>
      <c r="AM9" s="559">
        <f t="shared" si="7"/>
        <v>-23.508653548045888</v>
      </c>
      <c r="AN9" s="559">
        <f t="shared" si="7"/>
        <v>-22.480277291354501</v>
      </c>
      <c r="AO9" s="559">
        <f t="shared" si="7"/>
        <v>-22.124869853706731</v>
      </c>
      <c r="AP9" s="559">
        <f t="shared" si="7"/>
        <v>-22.169621875667602</v>
      </c>
      <c r="AQ9" s="559">
        <f t="shared" si="7"/>
        <v>-21.90108600426467</v>
      </c>
      <c r="AR9" s="559">
        <f t="shared" si="7"/>
        <v>-21.830901459124519</v>
      </c>
      <c r="AS9" s="559">
        <f t="shared" si="7"/>
        <v>-21.781765074066339</v>
      </c>
      <c r="AT9" s="559">
        <f t="shared" si="7"/>
        <v>-22.926169590643287</v>
      </c>
      <c r="AU9" s="559">
        <f t="shared" si="7"/>
        <v>-22.534193337242435</v>
      </c>
      <c r="AV9" s="559">
        <f t="shared" si="7"/>
        <v>-20.928131416837779</v>
      </c>
    </row>
    <row r="10" spans="1:48" s="2" customFormat="1" ht="15" customHeight="1">
      <c r="A10" s="15" t="s">
        <v>17</v>
      </c>
      <c r="B10" s="707">
        <v>853.23</v>
      </c>
      <c r="C10" s="707">
        <v>858.65</v>
      </c>
      <c r="D10" s="707">
        <v>875.03</v>
      </c>
      <c r="E10" s="707">
        <v>904.07</v>
      </c>
      <c r="F10" s="707">
        <v>935.09</v>
      </c>
      <c r="G10" s="707">
        <v>971.15</v>
      </c>
      <c r="H10" s="707">
        <v>1010.47</v>
      </c>
      <c r="I10" s="707">
        <v>1053.79</v>
      </c>
      <c r="J10" s="707">
        <v>1106.6500000000001</v>
      </c>
      <c r="K10" s="707">
        <v>1180.77</v>
      </c>
      <c r="L10" s="707">
        <v>1279.54</v>
      </c>
      <c r="N10" s="559">
        <f t="shared" si="8"/>
        <v>49.964253483820301</v>
      </c>
      <c r="O10" s="419">
        <f t="shared" si="4"/>
        <v>426.30999999999995</v>
      </c>
      <c r="P10" s="559">
        <f t="shared" si="9"/>
        <v>78.048133478471655</v>
      </c>
      <c r="Q10" s="559">
        <f t="shared" si="5"/>
        <v>78.29682855214925</v>
      </c>
      <c r="R10" s="559">
        <f t="shared" si="5"/>
        <v>78.983806618164763</v>
      </c>
      <c r="S10" s="559">
        <f t="shared" si="5"/>
        <v>79.770413115216968</v>
      </c>
      <c r="T10" s="559">
        <f t="shared" si="5"/>
        <v>79.905148472548603</v>
      </c>
      <c r="U10" s="559">
        <f t="shared" si="5"/>
        <v>80.264310626973241</v>
      </c>
      <c r="V10" s="559">
        <f t="shared" si="5"/>
        <v>80.789126524085546</v>
      </c>
      <c r="W10" s="559">
        <f t="shared" si="5"/>
        <v>81.429708448277196</v>
      </c>
      <c r="X10" s="559">
        <f t="shared" si="5"/>
        <v>80.895467836257325</v>
      </c>
      <c r="Y10" s="559">
        <f t="shared" si="5"/>
        <v>80.507411397324532</v>
      </c>
      <c r="Z10" s="559">
        <f t="shared" si="5"/>
        <v>80.842836834623284</v>
      </c>
      <c r="AA10" s="2">
        <f t="shared" si="10"/>
        <v>16</v>
      </c>
      <c r="AB10" s="2">
        <f t="shared" si="6"/>
        <v>16</v>
      </c>
      <c r="AC10" s="2">
        <f t="shared" si="6"/>
        <v>16</v>
      </c>
      <c r="AD10" s="2">
        <f t="shared" si="6"/>
        <v>16</v>
      </c>
      <c r="AE10" s="2">
        <f t="shared" si="6"/>
        <v>16</v>
      </c>
      <c r="AF10" s="2">
        <f t="shared" si="6"/>
        <v>17</v>
      </c>
      <c r="AG10" s="2">
        <f t="shared" si="6"/>
        <v>17</v>
      </c>
      <c r="AH10" s="2">
        <f t="shared" si="6"/>
        <v>15</v>
      </c>
      <c r="AI10" s="2">
        <f t="shared" si="6"/>
        <v>15</v>
      </c>
      <c r="AJ10" s="2">
        <f t="shared" si="6"/>
        <v>16</v>
      </c>
      <c r="AK10" s="2">
        <f t="shared" si="6"/>
        <v>16</v>
      </c>
      <c r="AL10" s="559">
        <f t="shared" si="11"/>
        <v>-21.951866521528341</v>
      </c>
      <c r="AM10" s="559">
        <f t="shared" si="7"/>
        <v>-21.703171447850757</v>
      </c>
      <c r="AN10" s="559">
        <f t="shared" si="7"/>
        <v>-21.016193381835247</v>
      </c>
      <c r="AO10" s="559">
        <f t="shared" si="7"/>
        <v>-20.229586884783025</v>
      </c>
      <c r="AP10" s="559">
        <f t="shared" si="7"/>
        <v>-20.094851527451397</v>
      </c>
      <c r="AQ10" s="559">
        <f t="shared" si="7"/>
        <v>-19.735689373026766</v>
      </c>
      <c r="AR10" s="559">
        <f t="shared" si="7"/>
        <v>-19.210873475914447</v>
      </c>
      <c r="AS10" s="559">
        <f t="shared" si="7"/>
        <v>-18.570291551722807</v>
      </c>
      <c r="AT10" s="559">
        <f t="shared" si="7"/>
        <v>-19.104532163742682</v>
      </c>
      <c r="AU10" s="559">
        <f t="shared" si="7"/>
        <v>-19.492588602675475</v>
      </c>
      <c r="AV10" s="559">
        <f t="shared" si="7"/>
        <v>-19.157163165376723</v>
      </c>
    </row>
    <row r="11" spans="1:48" s="2" customFormat="1" ht="15" customHeight="1">
      <c r="A11" s="15" t="s">
        <v>18</v>
      </c>
      <c r="B11" s="707">
        <v>966.21</v>
      </c>
      <c r="C11" s="707">
        <v>967</v>
      </c>
      <c r="D11" s="707">
        <v>990.53</v>
      </c>
      <c r="E11" s="707">
        <v>1018.25</v>
      </c>
      <c r="F11" s="707">
        <v>1053.3599999999999</v>
      </c>
      <c r="G11" s="707">
        <v>1094.1400000000001</v>
      </c>
      <c r="H11" s="707">
        <v>1118.0999999999999</v>
      </c>
      <c r="I11" s="707">
        <v>1169.3900000000001</v>
      </c>
      <c r="J11" s="707">
        <v>1222.97</v>
      </c>
      <c r="K11" s="707">
        <v>1317.31</v>
      </c>
      <c r="L11" s="707">
        <v>1422.04</v>
      </c>
      <c r="N11" s="559">
        <f t="shared" si="8"/>
        <v>47.177114705912793</v>
      </c>
      <c r="O11" s="419">
        <f t="shared" ref="O11:O23" si="12">+L11-B11</f>
        <v>455.82999999999993</v>
      </c>
      <c r="P11" s="559">
        <f t="shared" si="9"/>
        <v>88.382835868680303</v>
      </c>
      <c r="Q11" s="559">
        <f t="shared" si="5"/>
        <v>88.176827822661522</v>
      </c>
      <c r="R11" s="559">
        <f t="shared" si="5"/>
        <v>89.409311645875846</v>
      </c>
      <c r="S11" s="559">
        <f t="shared" si="5"/>
        <v>89.845059734942737</v>
      </c>
      <c r="T11" s="559">
        <f t="shared" si="5"/>
        <v>90.011535996581912</v>
      </c>
      <c r="U11" s="559">
        <f t="shared" si="5"/>
        <v>90.42927748483396</v>
      </c>
      <c r="V11" s="559">
        <f t="shared" si="5"/>
        <v>89.394363381970805</v>
      </c>
      <c r="W11" s="559">
        <f t="shared" si="5"/>
        <v>90.362488505613911</v>
      </c>
      <c r="X11" s="559">
        <f t="shared" si="5"/>
        <v>89.398391812865498</v>
      </c>
      <c r="Y11" s="559">
        <f t="shared" si="5"/>
        <v>89.816999168178029</v>
      </c>
      <c r="Z11" s="559">
        <f t="shared" si="5"/>
        <v>89.84615384615384</v>
      </c>
      <c r="AA11" s="2">
        <f t="shared" si="10"/>
        <v>6</v>
      </c>
      <c r="AB11" s="2">
        <f t="shared" si="6"/>
        <v>6</v>
      </c>
      <c r="AC11" s="2">
        <f t="shared" si="6"/>
        <v>5</v>
      </c>
      <c r="AD11" s="2">
        <f t="shared" si="6"/>
        <v>5</v>
      </c>
      <c r="AE11" s="2">
        <f t="shared" si="6"/>
        <v>6</v>
      </c>
      <c r="AF11" s="2">
        <f t="shared" si="6"/>
        <v>5</v>
      </c>
      <c r="AG11" s="2">
        <f t="shared" si="6"/>
        <v>5</v>
      </c>
      <c r="AH11" s="2">
        <f t="shared" si="6"/>
        <v>5</v>
      </c>
      <c r="AI11" s="2">
        <f t="shared" si="6"/>
        <v>5</v>
      </c>
      <c r="AJ11" s="2">
        <f t="shared" si="6"/>
        <v>5</v>
      </c>
      <c r="AK11" s="2">
        <f t="shared" si="6"/>
        <v>5</v>
      </c>
      <c r="AL11" s="559">
        <f t="shared" si="11"/>
        <v>-11.61716413131969</v>
      </c>
      <c r="AM11" s="559">
        <f t="shared" si="7"/>
        <v>-11.823172177338471</v>
      </c>
      <c r="AN11" s="559">
        <f t="shared" si="7"/>
        <v>-10.590688354124167</v>
      </c>
      <c r="AO11" s="559">
        <f t="shared" si="7"/>
        <v>-10.154940265057256</v>
      </c>
      <c r="AP11" s="559">
        <f t="shared" si="7"/>
        <v>-9.988464003418084</v>
      </c>
      <c r="AQ11" s="559">
        <f t="shared" si="7"/>
        <v>-9.5707225151660413</v>
      </c>
      <c r="AR11" s="559">
        <f t="shared" si="7"/>
        <v>-10.605636618029191</v>
      </c>
      <c r="AS11" s="559">
        <f t="shared" si="7"/>
        <v>-9.6375114943860858</v>
      </c>
      <c r="AT11" s="559">
        <f t="shared" si="7"/>
        <v>-10.601608187134504</v>
      </c>
      <c r="AU11" s="559">
        <f t="shared" si="7"/>
        <v>-10.183000831821975</v>
      </c>
      <c r="AV11" s="559">
        <f t="shared" si="7"/>
        <v>-10.153846153846157</v>
      </c>
    </row>
    <row r="12" spans="1:48" s="2" customFormat="1" ht="15" customHeight="1">
      <c r="A12" s="15" t="s">
        <v>19</v>
      </c>
      <c r="B12" s="707">
        <v>955.65</v>
      </c>
      <c r="C12" s="707">
        <v>956.12</v>
      </c>
      <c r="D12" s="707">
        <v>967.64</v>
      </c>
      <c r="E12" s="707">
        <v>992.35</v>
      </c>
      <c r="F12" s="707">
        <v>1020.7</v>
      </c>
      <c r="G12" s="707">
        <v>1045.47</v>
      </c>
      <c r="H12" s="707">
        <v>1086.77</v>
      </c>
      <c r="I12" s="707">
        <v>1127.29</v>
      </c>
      <c r="J12" s="707">
        <v>1190.57</v>
      </c>
      <c r="K12" s="707">
        <v>1271.71</v>
      </c>
      <c r="L12" s="707">
        <v>1371.98</v>
      </c>
      <c r="N12" s="559">
        <f t="shared" si="8"/>
        <v>43.565112750483962</v>
      </c>
      <c r="O12" s="419">
        <f t="shared" si="12"/>
        <v>416.33000000000004</v>
      </c>
      <c r="P12" s="559">
        <f t="shared" si="9"/>
        <v>87.416873244847736</v>
      </c>
      <c r="Q12" s="559">
        <f t="shared" si="5"/>
        <v>87.184724527200771</v>
      </c>
      <c r="R12" s="559">
        <f t="shared" si="5"/>
        <v>87.343166104020369</v>
      </c>
      <c r="S12" s="559">
        <f t="shared" si="5"/>
        <v>87.559779060123176</v>
      </c>
      <c r="T12" s="559">
        <f t="shared" si="5"/>
        <v>87.220679342020929</v>
      </c>
      <c r="U12" s="559">
        <f t="shared" si="5"/>
        <v>86.406763971767191</v>
      </c>
      <c r="V12" s="559">
        <f t="shared" si="5"/>
        <v>86.889466320207873</v>
      </c>
      <c r="W12" s="559">
        <f t="shared" si="5"/>
        <v>87.109287463971384</v>
      </c>
      <c r="X12" s="559">
        <f t="shared" si="5"/>
        <v>87.029970760233923</v>
      </c>
      <c r="Y12" s="559">
        <f t="shared" si="5"/>
        <v>86.707894126791487</v>
      </c>
      <c r="Z12" s="559">
        <f t="shared" si="5"/>
        <v>86.68330437529616</v>
      </c>
      <c r="AA12" s="2">
        <f t="shared" si="10"/>
        <v>7</v>
      </c>
      <c r="AB12" s="2">
        <f t="shared" si="6"/>
        <v>9</v>
      </c>
      <c r="AC12" s="2">
        <f t="shared" si="6"/>
        <v>8</v>
      </c>
      <c r="AD12" s="2">
        <f t="shared" si="6"/>
        <v>8</v>
      </c>
      <c r="AE12" s="2">
        <f t="shared" si="6"/>
        <v>9</v>
      </c>
      <c r="AF12" s="2">
        <f t="shared" si="6"/>
        <v>9</v>
      </c>
      <c r="AG12" s="2">
        <f t="shared" si="6"/>
        <v>8</v>
      </c>
      <c r="AH12" s="2">
        <f t="shared" si="6"/>
        <v>8</v>
      </c>
      <c r="AI12" s="2">
        <f t="shared" si="6"/>
        <v>8</v>
      </c>
      <c r="AJ12" s="2">
        <f t="shared" si="6"/>
        <v>8</v>
      </c>
      <c r="AK12" s="2">
        <f t="shared" si="6"/>
        <v>8</v>
      </c>
      <c r="AL12" s="559">
        <f t="shared" si="11"/>
        <v>-12.583126755152263</v>
      </c>
      <c r="AM12" s="559">
        <f t="shared" si="7"/>
        <v>-12.815275472799236</v>
      </c>
      <c r="AN12" s="559">
        <f t="shared" si="7"/>
        <v>-12.656833895979624</v>
      </c>
      <c r="AO12" s="559">
        <f t="shared" si="7"/>
        <v>-12.440220939876811</v>
      </c>
      <c r="AP12" s="559">
        <f t="shared" si="7"/>
        <v>-12.779320657979065</v>
      </c>
      <c r="AQ12" s="559">
        <f t="shared" si="7"/>
        <v>-13.593236028232802</v>
      </c>
      <c r="AR12" s="559">
        <f t="shared" si="7"/>
        <v>-13.110533679792125</v>
      </c>
      <c r="AS12" s="559">
        <f t="shared" si="7"/>
        <v>-12.890712536028614</v>
      </c>
      <c r="AT12" s="559">
        <f t="shared" si="7"/>
        <v>-12.97002923976609</v>
      </c>
      <c r="AU12" s="559">
        <f t="shared" si="7"/>
        <v>-13.292105873208515</v>
      </c>
      <c r="AV12" s="559">
        <f t="shared" si="7"/>
        <v>-13.316695624703833</v>
      </c>
    </row>
    <row r="13" spans="1:48" s="2" customFormat="1" ht="15" customHeight="1">
      <c r="A13" s="15" t="s">
        <v>20</v>
      </c>
      <c r="B13" s="707">
        <v>927.58</v>
      </c>
      <c r="C13" s="707">
        <v>926.13</v>
      </c>
      <c r="D13" s="707">
        <v>942.73</v>
      </c>
      <c r="E13" s="707">
        <v>968.19</v>
      </c>
      <c r="F13" s="707">
        <v>999.05</v>
      </c>
      <c r="G13" s="707">
        <v>1029.01</v>
      </c>
      <c r="H13" s="707">
        <v>1070.96</v>
      </c>
      <c r="I13" s="707">
        <v>1106.32</v>
      </c>
      <c r="J13" s="707">
        <v>1150.81</v>
      </c>
      <c r="K13" s="707">
        <v>1238.68</v>
      </c>
      <c r="L13" s="707">
        <v>1320.22</v>
      </c>
      <c r="N13" s="559">
        <f t="shared" si="8"/>
        <v>42.329502576597157</v>
      </c>
      <c r="O13" s="419">
        <f t="shared" si="12"/>
        <v>392.64</v>
      </c>
      <c r="P13" s="559">
        <f t="shared" si="9"/>
        <v>84.849205550626138</v>
      </c>
      <c r="Q13" s="559">
        <f t="shared" si="5"/>
        <v>84.450057447157732</v>
      </c>
      <c r="R13" s="559">
        <f t="shared" si="5"/>
        <v>85.094687054320957</v>
      </c>
      <c r="S13" s="559">
        <f t="shared" si="5"/>
        <v>85.428026893959455</v>
      </c>
      <c r="T13" s="559">
        <f t="shared" si="5"/>
        <v>85.37064729758599</v>
      </c>
      <c r="U13" s="559">
        <f t="shared" si="5"/>
        <v>85.04636593550093</v>
      </c>
      <c r="V13" s="559">
        <f t="shared" si="5"/>
        <v>85.625424745152912</v>
      </c>
      <c r="W13" s="559">
        <f t="shared" si="5"/>
        <v>85.488868797861088</v>
      </c>
      <c r="X13" s="559">
        <f t="shared" si="5"/>
        <v>84.123538011695913</v>
      </c>
      <c r="Y13" s="559">
        <f t="shared" si="5"/>
        <v>84.455838435629246</v>
      </c>
      <c r="Z13" s="559">
        <f t="shared" si="5"/>
        <v>83.413046912020221</v>
      </c>
      <c r="AA13" s="2">
        <f t="shared" si="10"/>
        <v>10</v>
      </c>
      <c r="AB13" s="2">
        <f t="shared" si="6"/>
        <v>10</v>
      </c>
      <c r="AC13" s="2">
        <f t="shared" si="6"/>
        <v>10</v>
      </c>
      <c r="AD13" s="2">
        <f t="shared" si="6"/>
        <v>10</v>
      </c>
      <c r="AE13" s="2">
        <f t="shared" si="6"/>
        <v>10</v>
      </c>
      <c r="AF13" s="2">
        <f t="shared" si="6"/>
        <v>10</v>
      </c>
      <c r="AG13" s="2">
        <f t="shared" si="6"/>
        <v>10</v>
      </c>
      <c r="AH13" s="2">
        <f t="shared" si="6"/>
        <v>10</v>
      </c>
      <c r="AI13" s="2">
        <f t="shared" si="6"/>
        <v>12</v>
      </c>
      <c r="AJ13" s="2">
        <f t="shared" si="6"/>
        <v>11</v>
      </c>
      <c r="AK13" s="2">
        <f t="shared" si="6"/>
        <v>12</v>
      </c>
      <c r="AL13" s="559">
        <f t="shared" si="11"/>
        <v>-15.150794449373862</v>
      </c>
      <c r="AM13" s="559">
        <f t="shared" si="7"/>
        <v>-15.549942552842278</v>
      </c>
      <c r="AN13" s="559">
        <f t="shared" si="7"/>
        <v>-14.90531294567905</v>
      </c>
      <c r="AO13" s="559">
        <f t="shared" si="7"/>
        <v>-14.571973106040536</v>
      </c>
      <c r="AP13" s="559">
        <f t="shared" si="7"/>
        <v>-14.629352702414023</v>
      </c>
      <c r="AQ13" s="559">
        <f t="shared" si="7"/>
        <v>-14.953634064499067</v>
      </c>
      <c r="AR13" s="559">
        <f t="shared" si="7"/>
        <v>-14.374575254847088</v>
      </c>
      <c r="AS13" s="559">
        <f t="shared" si="7"/>
        <v>-14.511131202138916</v>
      </c>
      <c r="AT13" s="559">
        <f t="shared" si="7"/>
        <v>-15.876461988304102</v>
      </c>
      <c r="AU13" s="559">
        <f t="shared" si="7"/>
        <v>-15.54416156437075</v>
      </c>
      <c r="AV13" s="559">
        <f t="shared" si="7"/>
        <v>-16.586953087979783</v>
      </c>
    </row>
    <row r="14" spans="1:48" s="2" customFormat="1" ht="15" customHeight="1">
      <c r="A14" s="15" t="s">
        <v>21</v>
      </c>
      <c r="B14" s="707">
        <v>830.16</v>
      </c>
      <c r="C14" s="707">
        <v>837.53</v>
      </c>
      <c r="D14" s="707">
        <v>857.61</v>
      </c>
      <c r="E14" s="707">
        <v>896.02</v>
      </c>
      <c r="F14" s="707">
        <v>934.77</v>
      </c>
      <c r="G14" s="707">
        <v>973.04</v>
      </c>
      <c r="H14" s="707">
        <v>1010.86</v>
      </c>
      <c r="I14" s="707">
        <v>1047.3699999999999</v>
      </c>
      <c r="J14" s="707">
        <v>1100.0999999999999</v>
      </c>
      <c r="K14" s="707">
        <v>1176.51</v>
      </c>
      <c r="L14" s="707">
        <v>1289.44</v>
      </c>
      <c r="N14" s="559">
        <f t="shared" si="8"/>
        <v>55.324274838585353</v>
      </c>
      <c r="O14" s="419">
        <f t="shared" si="12"/>
        <v>459.28000000000009</v>
      </c>
      <c r="P14" s="559">
        <f t="shared" si="9"/>
        <v>75.937834450837443</v>
      </c>
      <c r="Q14" s="559">
        <f t="shared" si="5"/>
        <v>76.370980978607761</v>
      </c>
      <c r="R14" s="559">
        <f t="shared" si="5"/>
        <v>77.411405773292657</v>
      </c>
      <c r="S14" s="559">
        <f t="shared" si="5"/>
        <v>79.060123175746028</v>
      </c>
      <c r="T14" s="559">
        <f t="shared" si="5"/>
        <v>79.877803888058111</v>
      </c>
      <c r="U14" s="559">
        <f t="shared" si="5"/>
        <v>80.420516719837337</v>
      </c>
      <c r="V14" s="559">
        <f t="shared" si="5"/>
        <v>80.820307815310812</v>
      </c>
      <c r="W14" s="559">
        <f t="shared" si="5"/>
        <v>80.933614607722674</v>
      </c>
      <c r="X14" s="559">
        <f t="shared" si="5"/>
        <v>80.416666666666657</v>
      </c>
      <c r="Y14" s="559">
        <f t="shared" si="5"/>
        <v>80.216955531616051</v>
      </c>
      <c r="Z14" s="559">
        <f t="shared" si="5"/>
        <v>81.468330437529616</v>
      </c>
      <c r="AA14" s="2">
        <f t="shared" si="10"/>
        <v>18</v>
      </c>
      <c r="AB14" s="2">
        <f t="shared" si="6"/>
        <v>18</v>
      </c>
      <c r="AC14" s="2">
        <f t="shared" si="6"/>
        <v>18</v>
      </c>
      <c r="AD14" s="2">
        <f t="shared" si="6"/>
        <v>17</v>
      </c>
      <c r="AE14" s="2">
        <f t="shared" si="6"/>
        <v>17</v>
      </c>
      <c r="AF14" s="2">
        <f t="shared" si="6"/>
        <v>16</v>
      </c>
      <c r="AG14" s="2">
        <f t="shared" si="6"/>
        <v>16</v>
      </c>
      <c r="AH14" s="2">
        <f t="shared" si="6"/>
        <v>16</v>
      </c>
      <c r="AI14" s="2">
        <f t="shared" si="6"/>
        <v>17</v>
      </c>
      <c r="AJ14" s="2">
        <f t="shared" si="6"/>
        <v>17</v>
      </c>
      <c r="AK14" s="2">
        <f t="shared" si="6"/>
        <v>15</v>
      </c>
      <c r="AL14" s="559">
        <f t="shared" si="11"/>
        <v>-24.062165549162561</v>
      </c>
      <c r="AM14" s="559">
        <f t="shared" si="7"/>
        <v>-23.629019021392239</v>
      </c>
      <c r="AN14" s="559">
        <f t="shared" si="7"/>
        <v>-22.588594226707336</v>
      </c>
      <c r="AO14" s="559">
        <f t="shared" si="7"/>
        <v>-20.939876824253968</v>
      </c>
      <c r="AP14" s="559">
        <f t="shared" si="7"/>
        <v>-20.122196111941893</v>
      </c>
      <c r="AQ14" s="559">
        <f t="shared" si="7"/>
        <v>-19.579483280162655</v>
      </c>
      <c r="AR14" s="559">
        <f t="shared" si="7"/>
        <v>-19.179692184689191</v>
      </c>
      <c r="AS14" s="559">
        <f t="shared" si="7"/>
        <v>-19.066385392277319</v>
      </c>
      <c r="AT14" s="559">
        <f t="shared" si="7"/>
        <v>-19.583333333333343</v>
      </c>
      <c r="AU14" s="559">
        <f t="shared" si="7"/>
        <v>-19.783044468383949</v>
      </c>
      <c r="AV14" s="559">
        <f t="shared" si="7"/>
        <v>-18.531669562470377</v>
      </c>
    </row>
    <row r="15" spans="1:48" s="2" customFormat="1" ht="15" customHeight="1">
      <c r="A15" s="15" t="s">
        <v>22</v>
      </c>
      <c r="B15" s="707">
        <v>953.78</v>
      </c>
      <c r="C15" s="707">
        <v>959.4</v>
      </c>
      <c r="D15" s="707">
        <v>975.87</v>
      </c>
      <c r="E15" s="707">
        <v>1005.47</v>
      </c>
      <c r="F15" s="707">
        <v>1040.3800000000001</v>
      </c>
      <c r="G15" s="707">
        <v>1073.6500000000001</v>
      </c>
      <c r="H15" s="707">
        <v>1108.21</v>
      </c>
      <c r="I15" s="707">
        <v>1156.54</v>
      </c>
      <c r="J15" s="707">
        <v>1211.27</v>
      </c>
      <c r="K15" s="707">
        <v>1289.3599999999999</v>
      </c>
      <c r="L15" s="707">
        <v>1392.79</v>
      </c>
      <c r="N15" s="559">
        <f t="shared" si="8"/>
        <v>46.028434230115955</v>
      </c>
      <c r="O15" s="419">
        <f t="shared" si="12"/>
        <v>439.01</v>
      </c>
      <c r="P15" s="559">
        <f t="shared" si="9"/>
        <v>87.245817363544049</v>
      </c>
      <c r="Q15" s="559">
        <f t="shared" si="5"/>
        <v>87.483814491273492</v>
      </c>
      <c r="R15" s="559">
        <f t="shared" si="5"/>
        <v>88.086039752315287</v>
      </c>
      <c r="S15" s="559">
        <f t="shared" si="5"/>
        <v>88.717419309298194</v>
      </c>
      <c r="T15" s="559">
        <f t="shared" si="5"/>
        <v>88.902371288186302</v>
      </c>
      <c r="U15" s="559">
        <f t="shared" si="5"/>
        <v>88.735805081243711</v>
      </c>
      <c r="V15" s="559">
        <f t="shared" si="5"/>
        <v>88.603637817309618</v>
      </c>
      <c r="W15" s="559">
        <f t="shared" si="5"/>
        <v>89.369528092666016</v>
      </c>
      <c r="X15" s="559">
        <f t="shared" si="5"/>
        <v>88.543128654970758</v>
      </c>
      <c r="Y15" s="559">
        <f t="shared" si="5"/>
        <v>87.911308687766748</v>
      </c>
      <c r="Z15" s="559">
        <f t="shared" si="5"/>
        <v>87.998104564839679</v>
      </c>
      <c r="AA15" s="2">
        <f t="shared" si="10"/>
        <v>8</v>
      </c>
      <c r="AB15" s="2">
        <f t="shared" si="6"/>
        <v>7</v>
      </c>
      <c r="AC15" s="2">
        <f t="shared" si="6"/>
        <v>7</v>
      </c>
      <c r="AD15" s="2">
        <f t="shared" si="6"/>
        <v>7</v>
      </c>
      <c r="AE15" s="2">
        <f t="shared" si="6"/>
        <v>7</v>
      </c>
      <c r="AF15" s="2">
        <f t="shared" si="6"/>
        <v>6</v>
      </c>
      <c r="AG15" s="2">
        <f t="shared" si="6"/>
        <v>6</v>
      </c>
      <c r="AH15" s="2">
        <f t="shared" si="6"/>
        <v>6</v>
      </c>
      <c r="AI15" s="2">
        <f t="shared" si="6"/>
        <v>6</v>
      </c>
      <c r="AJ15" s="2">
        <f t="shared" si="6"/>
        <v>7</v>
      </c>
      <c r="AK15" s="2">
        <f t="shared" si="6"/>
        <v>6</v>
      </c>
      <c r="AL15" s="559">
        <f t="shared" si="11"/>
        <v>-12.754182636455946</v>
      </c>
      <c r="AM15" s="559">
        <f t="shared" si="7"/>
        <v>-12.516185508726508</v>
      </c>
      <c r="AN15" s="559">
        <f t="shared" si="7"/>
        <v>-11.913960247684718</v>
      </c>
      <c r="AO15" s="559">
        <f t="shared" si="7"/>
        <v>-11.282580690701815</v>
      </c>
      <c r="AP15" s="559">
        <f t="shared" si="7"/>
        <v>-11.097628711813702</v>
      </c>
      <c r="AQ15" s="559">
        <f t="shared" si="7"/>
        <v>-11.264194918756299</v>
      </c>
      <c r="AR15" s="559">
        <f t="shared" si="7"/>
        <v>-11.396362182690378</v>
      </c>
      <c r="AS15" s="559">
        <f t="shared" si="7"/>
        <v>-10.630471907333995</v>
      </c>
      <c r="AT15" s="559">
        <f t="shared" si="7"/>
        <v>-11.45687134502924</v>
      </c>
      <c r="AU15" s="559">
        <f t="shared" si="7"/>
        <v>-12.088691312233246</v>
      </c>
      <c r="AV15" s="559">
        <f t="shared" si="7"/>
        <v>-12.001895435160325</v>
      </c>
    </row>
    <row r="16" spans="1:48" s="2" customFormat="1" ht="15" customHeight="1">
      <c r="A16" s="15" t="s">
        <v>23</v>
      </c>
      <c r="B16" s="707">
        <v>1392.42</v>
      </c>
      <c r="C16" s="707">
        <v>1391.17</v>
      </c>
      <c r="D16" s="707">
        <v>1395.75</v>
      </c>
      <c r="E16" s="707">
        <v>1416.56</v>
      </c>
      <c r="F16" s="707">
        <v>1449.43</v>
      </c>
      <c r="G16" s="707">
        <v>1487.75</v>
      </c>
      <c r="H16" s="707">
        <v>1526.77</v>
      </c>
      <c r="I16" s="707">
        <v>1576.15</v>
      </c>
      <c r="J16" s="707">
        <v>1668.92</v>
      </c>
      <c r="K16" s="707">
        <v>1779.36</v>
      </c>
      <c r="L16" s="707">
        <v>1896.51</v>
      </c>
      <c r="N16" s="559">
        <f t="shared" si="8"/>
        <v>36.202438919291581</v>
      </c>
      <c r="O16" s="419">
        <f t="shared" si="12"/>
        <v>504.08999999999992</v>
      </c>
      <c r="P16" s="559">
        <f t="shared" si="9"/>
        <v>127.36985574592255</v>
      </c>
      <c r="Q16" s="559">
        <f t="shared" si="5"/>
        <v>126.85517845093283</v>
      </c>
      <c r="R16" s="559">
        <f t="shared" si="5"/>
        <v>125.98613543227485</v>
      </c>
      <c r="S16" s="559">
        <f t="shared" si="5"/>
        <v>124.98985300086471</v>
      </c>
      <c r="T16" s="559">
        <f t="shared" si="5"/>
        <v>123.85644093142491</v>
      </c>
      <c r="U16" s="559">
        <f t="shared" si="5"/>
        <v>122.96064267649635</v>
      </c>
      <c r="V16" s="559">
        <f t="shared" si="5"/>
        <v>122.06835898460923</v>
      </c>
      <c r="W16" s="559">
        <f t="shared" si="5"/>
        <v>121.79412878348828</v>
      </c>
      <c r="X16" s="559">
        <f t="shared" si="5"/>
        <v>121.99707602339181</v>
      </c>
      <c r="Y16" s="559">
        <f t="shared" si="5"/>
        <v>121.32055145705208</v>
      </c>
      <c r="Z16" s="559">
        <f t="shared" si="5"/>
        <v>119.82372453009003</v>
      </c>
      <c r="AA16" s="2">
        <f t="shared" si="10"/>
        <v>1</v>
      </c>
      <c r="AB16" s="2">
        <f t="shared" si="6"/>
        <v>1</v>
      </c>
      <c r="AC16" s="2">
        <f t="shared" si="6"/>
        <v>1</v>
      </c>
      <c r="AD16" s="2">
        <f t="shared" si="6"/>
        <v>1</v>
      </c>
      <c r="AE16" s="2">
        <f t="shared" si="6"/>
        <v>1</v>
      </c>
      <c r="AF16" s="2">
        <f t="shared" si="6"/>
        <v>1</v>
      </c>
      <c r="AG16" s="2">
        <f t="shared" si="6"/>
        <v>1</v>
      </c>
      <c r="AH16" s="2">
        <f t="shared" si="6"/>
        <v>1</v>
      </c>
      <c r="AI16" s="2">
        <f t="shared" si="6"/>
        <v>1</v>
      </c>
      <c r="AJ16" s="2">
        <f t="shared" si="6"/>
        <v>1</v>
      </c>
      <c r="AK16" s="2">
        <f t="shared" si="6"/>
        <v>1</v>
      </c>
      <c r="AL16" s="559">
        <f t="shared" si="11"/>
        <v>27.369855745922568</v>
      </c>
      <c r="AM16" s="559">
        <f t="shared" si="7"/>
        <v>26.855178450932836</v>
      </c>
      <c r="AN16" s="559">
        <f t="shared" si="7"/>
        <v>25.986135432274835</v>
      </c>
      <c r="AO16" s="559">
        <f t="shared" si="7"/>
        <v>24.989853000864713</v>
      </c>
      <c r="AP16" s="559">
        <f t="shared" si="7"/>
        <v>23.856440931424917</v>
      </c>
      <c r="AQ16" s="559">
        <f t="shared" si="7"/>
        <v>22.960642676496356</v>
      </c>
      <c r="AR16" s="559">
        <f t="shared" si="7"/>
        <v>22.068358984609237</v>
      </c>
      <c r="AS16" s="559">
        <f t="shared" si="7"/>
        <v>21.794128783488276</v>
      </c>
      <c r="AT16" s="559">
        <f t="shared" si="7"/>
        <v>21.997076023391827</v>
      </c>
      <c r="AU16" s="559">
        <f t="shared" si="7"/>
        <v>21.320551457052073</v>
      </c>
      <c r="AV16" s="559">
        <f t="shared" si="7"/>
        <v>19.823724530090026</v>
      </c>
    </row>
    <row r="17" spans="1:48" s="2" customFormat="1" ht="15" customHeight="1">
      <c r="A17" s="15" t="s">
        <v>24</v>
      </c>
      <c r="B17" s="707">
        <v>897.83</v>
      </c>
      <c r="C17" s="707">
        <v>901.87</v>
      </c>
      <c r="D17" s="707">
        <v>915.42</v>
      </c>
      <c r="E17" s="707">
        <v>934.83</v>
      </c>
      <c r="F17" s="707">
        <v>968.23</v>
      </c>
      <c r="G17" s="707">
        <v>989.48</v>
      </c>
      <c r="H17" s="707">
        <v>1029.47</v>
      </c>
      <c r="I17" s="707">
        <v>1078.92</v>
      </c>
      <c r="J17" s="707">
        <v>1126.5999999999999</v>
      </c>
      <c r="K17" s="707">
        <v>1197.92</v>
      </c>
      <c r="L17" s="707">
        <v>1295.3599999999999</v>
      </c>
      <c r="N17" s="559">
        <f t="shared" si="8"/>
        <v>44.276756178786613</v>
      </c>
      <c r="O17" s="419">
        <f t="shared" si="12"/>
        <v>397.52999999999986</v>
      </c>
      <c r="P17" s="559">
        <f t="shared" si="9"/>
        <v>82.127861984431163</v>
      </c>
      <c r="Q17" s="559">
        <f t="shared" si="5"/>
        <v>82.237885944595405</v>
      </c>
      <c r="R17" s="559">
        <f t="shared" si="5"/>
        <v>82.629574133915838</v>
      </c>
      <c r="S17" s="559">
        <f t="shared" si="5"/>
        <v>82.484514796971794</v>
      </c>
      <c r="T17" s="559">
        <f t="shared" si="5"/>
        <v>82.737022003845325</v>
      </c>
      <c r="U17" s="559">
        <f t="shared" si="5"/>
        <v>81.77926178157594</v>
      </c>
      <c r="V17" s="559">
        <f t="shared" si="5"/>
        <v>82.308215070957431</v>
      </c>
      <c r="W17" s="559">
        <f t="shared" si="5"/>
        <v>83.371583559357404</v>
      </c>
      <c r="X17" s="559">
        <f t="shared" si="5"/>
        <v>82.353801169590639</v>
      </c>
      <c r="Y17" s="559">
        <f t="shared" si="5"/>
        <v>81.67673489424952</v>
      </c>
      <c r="Z17" s="559">
        <f t="shared" si="5"/>
        <v>81.842362975833197</v>
      </c>
      <c r="AA17" s="2">
        <f t="shared" si="10"/>
        <v>11</v>
      </c>
      <c r="AB17" s="2">
        <f t="shared" si="6"/>
        <v>11</v>
      </c>
      <c r="AC17" s="2">
        <f t="shared" si="6"/>
        <v>11</v>
      </c>
      <c r="AD17" s="2">
        <f t="shared" si="6"/>
        <v>13</v>
      </c>
      <c r="AE17" s="2">
        <f t="shared" si="6"/>
        <v>12</v>
      </c>
      <c r="AF17" s="2">
        <f t="shared" si="6"/>
        <v>15</v>
      </c>
      <c r="AG17" s="2">
        <f t="shared" si="6"/>
        <v>14</v>
      </c>
      <c r="AH17" s="2">
        <f t="shared" si="6"/>
        <v>14</v>
      </c>
      <c r="AI17" s="2">
        <f t="shared" si="6"/>
        <v>14</v>
      </c>
      <c r="AJ17" s="2">
        <f t="shared" si="6"/>
        <v>14</v>
      </c>
      <c r="AK17" s="2">
        <f t="shared" si="6"/>
        <v>14</v>
      </c>
      <c r="AL17" s="559">
        <f t="shared" si="11"/>
        <v>-17.872138015568829</v>
      </c>
      <c r="AM17" s="559">
        <f t="shared" si="7"/>
        <v>-17.762114055404599</v>
      </c>
      <c r="AN17" s="559">
        <f t="shared" si="7"/>
        <v>-17.370425866084162</v>
      </c>
      <c r="AO17" s="559">
        <f t="shared" si="7"/>
        <v>-17.515485203028202</v>
      </c>
      <c r="AP17" s="559">
        <f t="shared" si="7"/>
        <v>-17.262977996154671</v>
      </c>
      <c r="AQ17" s="559">
        <f t="shared" si="7"/>
        <v>-18.22073821842406</v>
      </c>
      <c r="AR17" s="559">
        <f t="shared" si="7"/>
        <v>-17.691784929042576</v>
      </c>
      <c r="AS17" s="559">
        <f t="shared" si="7"/>
        <v>-16.628416440642589</v>
      </c>
      <c r="AT17" s="559">
        <f t="shared" si="7"/>
        <v>-17.646198830409364</v>
      </c>
      <c r="AU17" s="559">
        <f t="shared" si="7"/>
        <v>-18.323265105750476</v>
      </c>
      <c r="AV17" s="559">
        <f t="shared" si="7"/>
        <v>-18.157637024166807</v>
      </c>
    </row>
    <row r="18" spans="1:48" s="2" customFormat="1" ht="15" customHeight="1">
      <c r="A18" s="15" t="s">
        <v>25</v>
      </c>
      <c r="B18" s="707">
        <v>1041.1099999999999</v>
      </c>
      <c r="C18" s="707">
        <v>1048.67</v>
      </c>
      <c r="D18" s="707">
        <v>1058.57</v>
      </c>
      <c r="E18" s="707">
        <v>1082.4000000000001</v>
      </c>
      <c r="F18" s="707">
        <v>1128.55</v>
      </c>
      <c r="G18" s="707">
        <v>1173.8800000000001</v>
      </c>
      <c r="H18" s="707">
        <v>1224.71</v>
      </c>
      <c r="I18" s="707">
        <v>1267.81</v>
      </c>
      <c r="J18" s="707">
        <v>1343.18</v>
      </c>
      <c r="K18" s="707">
        <v>1444.09</v>
      </c>
      <c r="L18" s="707">
        <v>1583.93</v>
      </c>
      <c r="N18" s="559">
        <f t="shared" si="8"/>
        <v>52.138582858679698</v>
      </c>
      <c r="O18" s="419">
        <f t="shared" si="12"/>
        <v>542.82000000000016</v>
      </c>
      <c r="P18" s="559">
        <f t="shared" si="9"/>
        <v>95.234218494159379</v>
      </c>
      <c r="Q18" s="559">
        <f t="shared" si="5"/>
        <v>95.623985556143197</v>
      </c>
      <c r="R18" s="559">
        <f t="shared" si="5"/>
        <v>95.550881880382008</v>
      </c>
      <c r="S18" s="559">
        <f t="shared" si="5"/>
        <v>95.505320556937917</v>
      </c>
      <c r="T18" s="559">
        <f t="shared" si="5"/>
        <v>96.43665883358257</v>
      </c>
      <c r="U18" s="559">
        <f t="shared" si="5"/>
        <v>97.019686926624473</v>
      </c>
      <c r="V18" s="559">
        <f t="shared" si="5"/>
        <v>97.918049170497696</v>
      </c>
      <c r="W18" s="559">
        <f t="shared" si="5"/>
        <v>97.967715263772021</v>
      </c>
      <c r="X18" s="559">
        <f t="shared" si="5"/>
        <v>98.185672514619881</v>
      </c>
      <c r="Y18" s="559">
        <f t="shared" si="5"/>
        <v>98.461129368769846</v>
      </c>
      <c r="Z18" s="559">
        <f t="shared" si="5"/>
        <v>100.07455378297267</v>
      </c>
      <c r="AA18" s="2">
        <f t="shared" si="10"/>
        <v>3</v>
      </c>
      <c r="AB18" s="2">
        <f t="shared" si="6"/>
        <v>3</v>
      </c>
      <c r="AC18" s="2">
        <f t="shared" si="6"/>
        <v>3</v>
      </c>
      <c r="AD18" s="2">
        <f t="shared" si="6"/>
        <v>3</v>
      </c>
      <c r="AE18" s="2">
        <f t="shared" si="6"/>
        <v>3</v>
      </c>
      <c r="AF18" s="2">
        <f t="shared" si="6"/>
        <v>3</v>
      </c>
      <c r="AG18" s="2">
        <f t="shared" si="6"/>
        <v>3</v>
      </c>
      <c r="AH18" s="2">
        <f t="shared" si="6"/>
        <v>3</v>
      </c>
      <c r="AI18" s="2">
        <f t="shared" si="6"/>
        <v>3</v>
      </c>
      <c r="AJ18" s="2">
        <f t="shared" si="6"/>
        <v>3</v>
      </c>
      <c r="AK18" s="2">
        <f t="shared" si="6"/>
        <v>2</v>
      </c>
      <c r="AL18" s="559">
        <f t="shared" si="11"/>
        <v>-4.7657815058406054</v>
      </c>
      <c r="AM18" s="559">
        <f t="shared" si="7"/>
        <v>-4.3760144438568016</v>
      </c>
      <c r="AN18" s="559">
        <f t="shared" si="7"/>
        <v>-4.4491181196180012</v>
      </c>
      <c r="AO18" s="559">
        <f t="shared" si="7"/>
        <v>-4.494679443062088</v>
      </c>
      <c r="AP18" s="559">
        <f t="shared" si="7"/>
        <v>-3.563341166417433</v>
      </c>
      <c r="AQ18" s="559">
        <f t="shared" si="7"/>
        <v>-2.9803130733755401</v>
      </c>
      <c r="AR18" s="559">
        <f t="shared" si="7"/>
        <v>-2.0819508295022993</v>
      </c>
      <c r="AS18" s="559">
        <f t="shared" si="7"/>
        <v>-2.032284736227985</v>
      </c>
      <c r="AT18" s="559">
        <f t="shared" si="7"/>
        <v>-1.8143274853801072</v>
      </c>
      <c r="AU18" s="559">
        <f t="shared" si="7"/>
        <v>-1.5388706312301492</v>
      </c>
      <c r="AV18" s="559">
        <f t="shared" si="7"/>
        <v>7.4553782972675009E-2</v>
      </c>
    </row>
    <row r="19" spans="1:48" s="2" customFormat="1" ht="15" customHeight="1">
      <c r="A19" s="15" t="s">
        <v>26</v>
      </c>
      <c r="B19" s="707">
        <v>948.38</v>
      </c>
      <c r="C19" s="707">
        <v>957.21</v>
      </c>
      <c r="D19" s="707">
        <v>962.52</v>
      </c>
      <c r="E19" s="707">
        <v>990.46</v>
      </c>
      <c r="F19" s="707">
        <v>1023.31</v>
      </c>
      <c r="G19" s="707">
        <v>1050.52</v>
      </c>
      <c r="H19" s="707">
        <v>1086.33</v>
      </c>
      <c r="I19" s="707">
        <v>1122.5899999999999</v>
      </c>
      <c r="J19" s="707">
        <v>1182.04</v>
      </c>
      <c r="K19" s="707">
        <v>1264.1500000000001</v>
      </c>
      <c r="L19" s="707">
        <v>1369.46</v>
      </c>
      <c r="N19" s="559">
        <f t="shared" si="8"/>
        <v>44.399924081064547</v>
      </c>
      <c r="O19" s="419">
        <f t="shared" si="12"/>
        <v>421.08000000000004</v>
      </c>
      <c r="P19" s="559">
        <f t="shared" si="9"/>
        <v>86.751859203629678</v>
      </c>
      <c r="Q19" s="559">
        <f t="shared" si="5"/>
        <v>87.284117228676152</v>
      </c>
      <c r="R19" s="559">
        <f t="shared" si="5"/>
        <v>86.881013846514904</v>
      </c>
      <c r="S19" s="559">
        <f t="shared" si="5"/>
        <v>87.393015335203913</v>
      </c>
      <c r="T19" s="559">
        <f t="shared" si="5"/>
        <v>87.443708609271525</v>
      </c>
      <c r="U19" s="559">
        <f t="shared" si="5"/>
        <v>86.824140040001978</v>
      </c>
      <c r="V19" s="559">
        <f t="shared" si="5"/>
        <v>86.854287427543468</v>
      </c>
      <c r="W19" s="559">
        <f t="shared" si="5"/>
        <v>86.7461034997025</v>
      </c>
      <c r="X19" s="559">
        <f t="shared" si="5"/>
        <v>86.406432748538009</v>
      </c>
      <c r="Y19" s="559">
        <f t="shared" si="5"/>
        <v>86.19243723835109</v>
      </c>
      <c r="Z19" s="559">
        <f t="shared" si="5"/>
        <v>86.524087821829099</v>
      </c>
      <c r="AA19" s="2">
        <f t="shared" si="10"/>
        <v>9</v>
      </c>
      <c r="AB19" s="2">
        <f t="shared" si="6"/>
        <v>8</v>
      </c>
      <c r="AC19" s="2">
        <f t="shared" si="6"/>
        <v>9</v>
      </c>
      <c r="AD19" s="2">
        <f t="shared" si="6"/>
        <v>9</v>
      </c>
      <c r="AE19" s="2">
        <f t="shared" si="6"/>
        <v>8</v>
      </c>
      <c r="AF19" s="2">
        <f t="shared" si="6"/>
        <v>8</v>
      </c>
      <c r="AG19" s="2">
        <f t="shared" si="6"/>
        <v>9</v>
      </c>
      <c r="AH19" s="2">
        <f t="shared" si="6"/>
        <v>9</v>
      </c>
      <c r="AI19" s="2">
        <f t="shared" si="6"/>
        <v>9</v>
      </c>
      <c r="AJ19" s="2">
        <f t="shared" si="6"/>
        <v>9</v>
      </c>
      <c r="AK19" s="2">
        <f t="shared" si="6"/>
        <v>9</v>
      </c>
      <c r="AL19" s="559">
        <f t="shared" si="11"/>
        <v>-13.248140796370322</v>
      </c>
      <c r="AM19" s="559">
        <f t="shared" si="7"/>
        <v>-12.715882771323839</v>
      </c>
      <c r="AN19" s="559">
        <f t="shared" si="7"/>
        <v>-13.118986153485091</v>
      </c>
      <c r="AO19" s="559">
        <f t="shared" si="7"/>
        <v>-12.606984664796084</v>
      </c>
      <c r="AP19" s="559">
        <f t="shared" si="7"/>
        <v>-12.556291390728481</v>
      </c>
      <c r="AQ19" s="559">
        <f t="shared" si="7"/>
        <v>-13.175859959998027</v>
      </c>
      <c r="AR19" s="559">
        <f t="shared" si="7"/>
        <v>-13.145712572456535</v>
      </c>
      <c r="AS19" s="559">
        <f t="shared" si="7"/>
        <v>-13.253896500297502</v>
      </c>
      <c r="AT19" s="559">
        <f t="shared" si="7"/>
        <v>-13.593567251461991</v>
      </c>
      <c r="AU19" s="559">
        <f t="shared" si="7"/>
        <v>-13.807562761648917</v>
      </c>
      <c r="AV19" s="559">
        <f t="shared" si="7"/>
        <v>-13.475912178170901</v>
      </c>
    </row>
    <row r="20" spans="1:48" s="2" customFormat="1" ht="15" customHeight="1">
      <c r="A20" s="15" t="s">
        <v>27</v>
      </c>
      <c r="B20" s="707">
        <v>1148.6600000000001</v>
      </c>
      <c r="C20" s="707">
        <v>1162.18</v>
      </c>
      <c r="D20" s="707">
        <v>1190.04</v>
      </c>
      <c r="E20" s="707">
        <v>1207.8800000000001</v>
      </c>
      <c r="F20" s="707">
        <v>1219.8</v>
      </c>
      <c r="G20" s="707">
        <v>1249</v>
      </c>
      <c r="H20" s="707">
        <v>1293.57</v>
      </c>
      <c r="I20" s="707">
        <v>1308.51</v>
      </c>
      <c r="J20" s="707">
        <v>1373.25</v>
      </c>
      <c r="K20" s="707">
        <v>1456.04</v>
      </c>
      <c r="L20" s="707">
        <v>1560.37</v>
      </c>
      <c r="N20" s="559">
        <f t="shared" si="8"/>
        <v>35.842634025734313</v>
      </c>
      <c r="O20" s="419">
        <f t="shared" si="12"/>
        <v>411.70999999999981</v>
      </c>
      <c r="P20" s="559">
        <f t="shared" si="9"/>
        <v>105.07221851245416</v>
      </c>
      <c r="Q20" s="559">
        <f t="shared" si="5"/>
        <v>105.97450440428209</v>
      </c>
      <c r="R20" s="559">
        <f t="shared" si="5"/>
        <v>107.41790478941384</v>
      </c>
      <c r="S20" s="559">
        <f t="shared" si="5"/>
        <v>106.5770201351757</v>
      </c>
      <c r="T20" s="559">
        <f t="shared" si="5"/>
        <v>104.23413800469984</v>
      </c>
      <c r="U20" s="559">
        <f t="shared" si="5"/>
        <v>103.22825925252491</v>
      </c>
      <c r="V20" s="559">
        <f t="shared" si="5"/>
        <v>103.42354587247651</v>
      </c>
      <c r="W20" s="559">
        <f t="shared" si="5"/>
        <v>101.11273384797275</v>
      </c>
      <c r="X20" s="559">
        <f t="shared" si="5"/>
        <v>100.38377192982456</v>
      </c>
      <c r="Y20" s="559">
        <f t="shared" si="5"/>
        <v>99.275905799571817</v>
      </c>
      <c r="Z20" s="559">
        <f t="shared" si="5"/>
        <v>98.586005370399619</v>
      </c>
      <c r="AA20" s="2">
        <f t="shared" si="10"/>
        <v>2</v>
      </c>
      <c r="AB20" s="2">
        <f t="shared" si="6"/>
        <v>2</v>
      </c>
      <c r="AC20" s="2">
        <f t="shared" si="6"/>
        <v>2</v>
      </c>
      <c r="AD20" s="2">
        <f t="shared" si="6"/>
        <v>2</v>
      </c>
      <c r="AE20" s="2">
        <f t="shared" si="6"/>
        <v>2</v>
      </c>
      <c r="AF20" s="2">
        <f t="shared" si="6"/>
        <v>2</v>
      </c>
      <c r="AG20" s="2">
        <f t="shared" si="6"/>
        <v>2</v>
      </c>
      <c r="AH20" s="2">
        <f t="shared" si="6"/>
        <v>2</v>
      </c>
      <c r="AI20" s="2">
        <f t="shared" si="6"/>
        <v>2</v>
      </c>
      <c r="AJ20" s="2">
        <f t="shared" si="6"/>
        <v>2</v>
      </c>
      <c r="AK20" s="2">
        <f t="shared" si="6"/>
        <v>3</v>
      </c>
      <c r="AL20" s="559">
        <f t="shared" si="11"/>
        <v>5.072218512454163</v>
      </c>
      <c r="AM20" s="559">
        <f t="shared" si="7"/>
        <v>5.9745044042820883</v>
      </c>
      <c r="AN20" s="559">
        <f t="shared" si="7"/>
        <v>7.4179047894138206</v>
      </c>
      <c r="AO20" s="559">
        <f t="shared" si="7"/>
        <v>6.5770201351756929</v>
      </c>
      <c r="AP20" s="559">
        <f t="shared" si="7"/>
        <v>4.23413800469985</v>
      </c>
      <c r="AQ20" s="559">
        <f t="shared" si="7"/>
        <v>3.2282592525249232</v>
      </c>
      <c r="AR20" s="559">
        <f t="shared" si="7"/>
        <v>3.4235458724765078</v>
      </c>
      <c r="AS20" s="559">
        <f t="shared" si="7"/>
        <v>1.1127338479727467</v>
      </c>
      <c r="AT20" s="559">
        <f t="shared" si="7"/>
        <v>0.38377192982457231</v>
      </c>
      <c r="AU20" s="559">
        <f t="shared" si="7"/>
        <v>-0.72409420042819361</v>
      </c>
      <c r="AV20" s="559">
        <f t="shared" si="7"/>
        <v>-1.4139946296003902</v>
      </c>
    </row>
    <row r="21" spans="1:48" s="2" customFormat="1" ht="15" customHeight="1">
      <c r="A21" s="15" t="s">
        <v>28</v>
      </c>
      <c r="B21" s="707">
        <v>881.13</v>
      </c>
      <c r="C21" s="707">
        <v>895.53</v>
      </c>
      <c r="D21" s="707">
        <v>899.57</v>
      </c>
      <c r="E21" s="707">
        <v>950.1</v>
      </c>
      <c r="F21" s="707">
        <v>978.08</v>
      </c>
      <c r="G21" s="707">
        <v>1013.26</v>
      </c>
      <c r="H21" s="707">
        <v>1057.21</v>
      </c>
      <c r="I21" s="707">
        <v>1094.98</v>
      </c>
      <c r="J21" s="707">
        <v>1154.3399999999999</v>
      </c>
      <c r="K21" s="707">
        <v>1237.67</v>
      </c>
      <c r="L21" s="707">
        <v>1340.14</v>
      </c>
      <c r="N21" s="559">
        <f t="shared" si="8"/>
        <v>52.093334695220925</v>
      </c>
      <c r="O21" s="419">
        <f t="shared" si="12"/>
        <v>459.0100000000001</v>
      </c>
      <c r="P21" s="559">
        <f t="shared" si="9"/>
        <v>80.600250638029294</v>
      </c>
      <c r="Q21" s="559">
        <f t="shared" si="5"/>
        <v>81.65976692867433</v>
      </c>
      <c r="R21" s="559">
        <f t="shared" si="5"/>
        <v>81.198887946130384</v>
      </c>
      <c r="S21" s="559">
        <f t="shared" si="5"/>
        <v>83.831859812589343</v>
      </c>
      <c r="T21" s="559">
        <f t="shared" si="5"/>
        <v>83.578722495193333</v>
      </c>
      <c r="U21" s="559">
        <f t="shared" si="5"/>
        <v>83.744648494966683</v>
      </c>
      <c r="V21" s="559">
        <f t="shared" si="5"/>
        <v>84.526084349390359</v>
      </c>
      <c r="W21" s="559">
        <f t="shared" si="5"/>
        <v>84.61259089258256</v>
      </c>
      <c r="X21" s="559">
        <f t="shared" si="5"/>
        <v>84.381578947368411</v>
      </c>
      <c r="Y21" s="559">
        <f t="shared" si="5"/>
        <v>84.386974486247667</v>
      </c>
      <c r="Z21" s="559">
        <f t="shared" si="5"/>
        <v>84.671615858474169</v>
      </c>
      <c r="AA21" s="2">
        <f t="shared" si="10"/>
        <v>13</v>
      </c>
      <c r="AB21" s="2">
        <f t="shared" si="6"/>
        <v>12</v>
      </c>
      <c r="AC21" s="2">
        <f t="shared" si="6"/>
        <v>12</v>
      </c>
      <c r="AD21" s="2">
        <f t="shared" si="6"/>
        <v>11</v>
      </c>
      <c r="AE21" s="2">
        <f t="shared" si="6"/>
        <v>11</v>
      </c>
      <c r="AF21" s="2">
        <f t="shared" si="6"/>
        <v>11</v>
      </c>
      <c r="AG21" s="2">
        <f t="shared" si="6"/>
        <v>12</v>
      </c>
      <c r="AH21" s="2">
        <f t="shared" si="6"/>
        <v>12</v>
      </c>
      <c r="AI21" s="2">
        <f t="shared" si="6"/>
        <v>11</v>
      </c>
      <c r="AJ21" s="2">
        <f t="shared" si="6"/>
        <v>12</v>
      </c>
      <c r="AK21" s="2">
        <f t="shared" si="6"/>
        <v>11</v>
      </c>
      <c r="AL21" s="559">
        <f t="shared" si="11"/>
        <v>-19.399749361970709</v>
      </c>
      <c r="AM21" s="559">
        <f t="shared" si="7"/>
        <v>-18.340233071325674</v>
      </c>
      <c r="AN21" s="559">
        <f t="shared" si="7"/>
        <v>-18.801112053869605</v>
      </c>
      <c r="AO21" s="559">
        <f t="shared" si="7"/>
        <v>-16.16814018741065</v>
      </c>
      <c r="AP21" s="559">
        <f t="shared" si="7"/>
        <v>-16.421277504806664</v>
      </c>
      <c r="AQ21" s="559">
        <f t="shared" si="7"/>
        <v>-16.25535150503331</v>
      </c>
      <c r="AR21" s="559">
        <f t="shared" si="7"/>
        <v>-15.473915650609626</v>
      </c>
      <c r="AS21" s="559">
        <f t="shared" si="7"/>
        <v>-15.387409107417449</v>
      </c>
      <c r="AT21" s="559">
        <f t="shared" si="7"/>
        <v>-15.618421052631582</v>
      </c>
      <c r="AU21" s="559">
        <f t="shared" si="7"/>
        <v>-15.613025513752332</v>
      </c>
      <c r="AV21" s="559">
        <f t="shared" si="7"/>
        <v>-15.32838414152582</v>
      </c>
    </row>
    <row r="22" spans="1:48" s="2" customFormat="1" ht="15" customHeight="1">
      <c r="A22" s="15" t="s">
        <v>29</v>
      </c>
      <c r="B22" s="707">
        <v>880.9</v>
      </c>
      <c r="C22" s="707">
        <v>893.71</v>
      </c>
      <c r="D22" s="707">
        <v>897.29</v>
      </c>
      <c r="E22" s="707">
        <v>935.06</v>
      </c>
      <c r="F22" s="707">
        <v>966.03</v>
      </c>
      <c r="G22" s="707">
        <v>994.48</v>
      </c>
      <c r="H22" s="707">
        <v>1017.83</v>
      </c>
      <c r="I22" s="707">
        <v>1045.4000000000001</v>
      </c>
      <c r="J22" s="707">
        <v>1104.24</v>
      </c>
      <c r="K22" s="707">
        <v>1185.9000000000001</v>
      </c>
      <c r="L22" s="707">
        <v>1278.46</v>
      </c>
      <c r="N22" s="559">
        <f t="shared" si="8"/>
        <v>45.131115904188903</v>
      </c>
      <c r="O22" s="419">
        <f t="shared" si="12"/>
        <v>397.56000000000006</v>
      </c>
      <c r="P22" s="559">
        <f t="shared" si="9"/>
        <v>80.579211679366267</v>
      </c>
      <c r="Q22" s="559">
        <f t="shared" si="9"/>
        <v>81.493808472999831</v>
      </c>
      <c r="R22" s="559">
        <f t="shared" si="9"/>
        <v>80.993085768959986</v>
      </c>
      <c r="S22" s="559">
        <f t="shared" si="9"/>
        <v>82.504808795242383</v>
      </c>
      <c r="T22" s="559">
        <f t="shared" si="9"/>
        <v>82.549027985473188</v>
      </c>
      <c r="U22" s="559">
        <f t="shared" si="9"/>
        <v>82.192505413491574</v>
      </c>
      <c r="V22" s="559">
        <f t="shared" si="9"/>
        <v>81.377573455926438</v>
      </c>
      <c r="W22" s="559">
        <f t="shared" si="9"/>
        <v>80.781386435465322</v>
      </c>
      <c r="X22" s="559">
        <f t="shared" si="9"/>
        <v>80.719298245614041</v>
      </c>
      <c r="Y22" s="559">
        <f t="shared" si="9"/>
        <v>80.857185714480522</v>
      </c>
      <c r="Z22" s="559">
        <f t="shared" si="9"/>
        <v>80.774601168851689</v>
      </c>
      <c r="AA22" s="2">
        <f t="shared" si="10"/>
        <v>14</v>
      </c>
      <c r="AB22" s="2">
        <f t="shared" si="10"/>
        <v>13</v>
      </c>
      <c r="AC22" s="2">
        <f t="shared" si="10"/>
        <v>13</v>
      </c>
      <c r="AD22" s="2">
        <f t="shared" si="10"/>
        <v>12</v>
      </c>
      <c r="AE22" s="2">
        <f t="shared" si="10"/>
        <v>14</v>
      </c>
      <c r="AF22" s="2">
        <f t="shared" si="10"/>
        <v>14</v>
      </c>
      <c r="AG22" s="2">
        <f t="shared" si="10"/>
        <v>15</v>
      </c>
      <c r="AH22" s="2">
        <f t="shared" si="10"/>
        <v>17</v>
      </c>
      <c r="AI22" s="2">
        <f t="shared" si="10"/>
        <v>16</v>
      </c>
      <c r="AJ22" s="2">
        <f t="shared" si="10"/>
        <v>15</v>
      </c>
      <c r="AK22" s="2">
        <f t="shared" si="10"/>
        <v>17</v>
      </c>
      <c r="AL22" s="559">
        <f t="shared" si="11"/>
        <v>-19.420788320633729</v>
      </c>
      <c r="AM22" s="559">
        <f t="shared" si="11"/>
        <v>-18.506191527000169</v>
      </c>
      <c r="AN22" s="559">
        <f t="shared" si="11"/>
        <v>-19.006914231040017</v>
      </c>
      <c r="AO22" s="559">
        <f t="shared" si="11"/>
        <v>-17.495191204757621</v>
      </c>
      <c r="AP22" s="559">
        <f t="shared" si="11"/>
        <v>-17.450972014526812</v>
      </c>
      <c r="AQ22" s="559">
        <f t="shared" si="11"/>
        <v>-17.807494586508422</v>
      </c>
      <c r="AR22" s="559">
        <f t="shared" si="11"/>
        <v>-18.622426544073555</v>
      </c>
      <c r="AS22" s="559">
        <f t="shared" si="11"/>
        <v>-19.218613564534682</v>
      </c>
      <c r="AT22" s="559">
        <f t="shared" si="11"/>
        <v>-19.280701754385966</v>
      </c>
      <c r="AU22" s="559">
        <f t="shared" si="11"/>
        <v>-19.142814285519481</v>
      </c>
      <c r="AV22" s="559">
        <f t="shared" si="11"/>
        <v>-19.225398831148311</v>
      </c>
    </row>
    <row r="23" spans="1:48" s="18" customFormat="1" ht="15" customHeight="1">
      <c r="A23" s="17" t="s">
        <v>30</v>
      </c>
      <c r="B23" s="823">
        <v>884.4</v>
      </c>
      <c r="C23" s="823">
        <v>887.05</v>
      </c>
      <c r="D23" s="823">
        <v>894.61</v>
      </c>
      <c r="E23" s="823">
        <v>922.31</v>
      </c>
      <c r="F23" s="823">
        <v>963.93</v>
      </c>
      <c r="G23" s="823">
        <v>1002.21</v>
      </c>
      <c r="H23" s="823">
        <v>1032.4000000000001</v>
      </c>
      <c r="I23" s="823">
        <v>1081.24</v>
      </c>
      <c r="J23" s="823">
        <v>1127.4000000000001</v>
      </c>
      <c r="K23" s="823">
        <v>1214.08</v>
      </c>
      <c r="L23" s="823">
        <v>1307.67</v>
      </c>
      <c r="N23" s="559">
        <f t="shared" si="8"/>
        <v>47.859565807327023</v>
      </c>
      <c r="O23" s="419">
        <f t="shared" si="12"/>
        <v>423.2700000000001</v>
      </c>
      <c r="P23" s="559">
        <f t="shared" si="9"/>
        <v>80.899369745977438</v>
      </c>
      <c r="Q23" s="559">
        <f t="shared" si="9"/>
        <v>80.886509948388735</v>
      </c>
      <c r="R23" s="559">
        <f t="shared" si="9"/>
        <v>80.751177946671973</v>
      </c>
      <c r="S23" s="559">
        <f t="shared" si="9"/>
        <v>81.379815412850519</v>
      </c>
      <c r="T23" s="559">
        <f t="shared" si="9"/>
        <v>82.36957914975433</v>
      </c>
      <c r="U23" s="559">
        <f t="shared" si="9"/>
        <v>82.831380068433148</v>
      </c>
      <c r="V23" s="559">
        <f t="shared" si="9"/>
        <v>82.542474515290834</v>
      </c>
      <c r="W23" s="559">
        <f t="shared" si="9"/>
        <v>83.550857345975231</v>
      </c>
      <c r="X23" s="559">
        <f t="shared" si="9"/>
        <v>82.412280701754398</v>
      </c>
      <c r="Y23" s="559">
        <f t="shared" si="9"/>
        <v>82.778558084354927</v>
      </c>
      <c r="Z23" s="559">
        <f t="shared" si="9"/>
        <v>82.620123203285416</v>
      </c>
      <c r="AA23" s="2">
        <f t="shared" si="10"/>
        <v>12</v>
      </c>
      <c r="AB23" s="2">
        <f t="shared" si="10"/>
        <v>14</v>
      </c>
      <c r="AC23" s="2">
        <f t="shared" si="10"/>
        <v>15</v>
      </c>
      <c r="AD23" s="2">
        <f t="shared" si="10"/>
        <v>15</v>
      </c>
      <c r="AE23" s="2">
        <f t="shared" si="10"/>
        <v>15</v>
      </c>
      <c r="AF23" s="2">
        <f t="shared" si="10"/>
        <v>13</v>
      </c>
      <c r="AG23" s="2">
        <f t="shared" si="10"/>
        <v>13</v>
      </c>
      <c r="AH23" s="2">
        <f t="shared" si="10"/>
        <v>13</v>
      </c>
      <c r="AI23" s="2">
        <f t="shared" si="10"/>
        <v>13</v>
      </c>
      <c r="AJ23" s="2">
        <f t="shared" si="10"/>
        <v>13</v>
      </c>
      <c r="AK23" s="2">
        <f t="shared" si="10"/>
        <v>13</v>
      </c>
      <c r="AL23" s="559">
        <f t="shared" si="11"/>
        <v>-19.100630254022565</v>
      </c>
      <c r="AM23" s="559">
        <f t="shared" si="11"/>
        <v>-19.113490051611272</v>
      </c>
      <c r="AN23" s="559">
        <f t="shared" si="11"/>
        <v>-19.248822053328031</v>
      </c>
      <c r="AO23" s="559">
        <f t="shared" si="11"/>
        <v>-18.620184587149492</v>
      </c>
      <c r="AP23" s="559">
        <f t="shared" si="11"/>
        <v>-17.630420850245677</v>
      </c>
      <c r="AQ23" s="559">
        <f t="shared" si="11"/>
        <v>-17.168619931566852</v>
      </c>
      <c r="AR23" s="559">
        <f t="shared" si="11"/>
        <v>-17.457525484709169</v>
      </c>
      <c r="AS23" s="559">
        <f t="shared" si="11"/>
        <v>-16.449142654024762</v>
      </c>
      <c r="AT23" s="559">
        <f t="shared" si="11"/>
        <v>-17.587719298245609</v>
      </c>
      <c r="AU23" s="559">
        <f t="shared" si="11"/>
        <v>-17.221441915645087</v>
      </c>
      <c r="AV23" s="559">
        <f t="shared" si="11"/>
        <v>-17.379876796714576</v>
      </c>
    </row>
    <row r="24" spans="1:48" s="2" customFormat="1" ht="15" customHeight="1">
      <c r="A24" s="19" t="s">
        <v>769</v>
      </c>
      <c r="B24" s="87"/>
      <c r="C24" s="87"/>
      <c r="D24" s="87"/>
      <c r="F24" s="87"/>
      <c r="G24" s="87"/>
      <c r="H24" s="87"/>
      <c r="I24" s="87"/>
      <c r="J24" s="87"/>
      <c r="K24" s="87"/>
      <c r="L24" s="87"/>
    </row>
    <row r="25" spans="1:48" s="2" customFormat="1" ht="21.75" customHeight="1">
      <c r="A25" s="955" t="s">
        <v>98</v>
      </c>
      <c r="B25" s="955"/>
      <c r="C25" s="955"/>
      <c r="D25" s="955"/>
      <c r="E25" s="955"/>
      <c r="F25" s="955"/>
      <c r="G25" s="955"/>
      <c r="H25" s="955"/>
      <c r="I25" s="955"/>
      <c r="J25" s="955"/>
      <c r="K25" s="955"/>
      <c r="L25" s="955"/>
    </row>
  </sheetData>
  <mergeCells count="2">
    <mergeCell ref="A1:L1"/>
    <mergeCell ref="A25:L25"/>
  </mergeCells>
  <phoneticPr fontId="24" type="noConversion"/>
  <conditionalFormatting sqref="A1 F2:F4 F24 A25:A1048576 G4:H4 F26:F1048576 B5:H23 A2:D2 A3:B3 B24:D24 A4:D23 B26:D1048576 M1:XFD3 M24:XFD1048576 M4:M23 AW4:XFD23">
    <cfRule type="cellIs" dxfId="440" priority="27" operator="equal">
      <formula>0</formula>
    </cfRule>
  </conditionalFormatting>
  <conditionalFormatting sqref="E24 E2:E4 E26:E1048576">
    <cfRule type="cellIs" dxfId="439" priority="24" operator="equal">
      <formula>0</formula>
    </cfRule>
  </conditionalFormatting>
  <conditionalFormatting sqref="H2:H3 H24 H26:H1048576">
    <cfRule type="cellIs" dxfId="438" priority="22" operator="equal">
      <formula>0</formula>
    </cfRule>
  </conditionalFormatting>
  <conditionalFormatting sqref="G2:G3 G24 G26:G1048576">
    <cfRule type="cellIs" dxfId="437" priority="20" operator="equal">
      <formula>0</formula>
    </cfRule>
  </conditionalFormatting>
  <conditionalFormatting sqref="I4:I23">
    <cfRule type="cellIs" dxfId="436" priority="19" operator="equal">
      <formula>0</formula>
    </cfRule>
  </conditionalFormatting>
  <conditionalFormatting sqref="I2:I3 I24 I26:I1048576">
    <cfRule type="cellIs" dxfId="435" priority="18" operator="equal">
      <formula>0</formula>
    </cfRule>
  </conditionalFormatting>
  <conditionalFormatting sqref="J4:J23">
    <cfRule type="cellIs" dxfId="434" priority="17" operator="equal">
      <formula>0</formula>
    </cfRule>
  </conditionalFormatting>
  <conditionalFormatting sqref="J2:J3 J24 J26:J1048576">
    <cfRule type="cellIs" dxfId="433" priority="16" operator="equal">
      <formula>0</formula>
    </cfRule>
  </conditionalFormatting>
  <conditionalFormatting sqref="K4:K23">
    <cfRule type="cellIs" dxfId="432" priority="13" operator="equal">
      <formula>0</formula>
    </cfRule>
  </conditionalFormatting>
  <conditionalFormatting sqref="K2:K3 K24 K26:K1048576">
    <cfRule type="cellIs" dxfId="431" priority="12" operator="equal">
      <formula>0</formula>
    </cfRule>
  </conditionalFormatting>
  <conditionalFormatting sqref="L4:L23">
    <cfRule type="cellIs" dxfId="430" priority="4" operator="equal">
      <formula>0</formula>
    </cfRule>
  </conditionalFormatting>
  <conditionalFormatting sqref="L2:L3 L24 L26:L1048576">
    <cfRule type="cellIs" dxfId="429" priority="3" operator="equal">
      <formula>0</formula>
    </cfRule>
  </conditionalFormatting>
  <conditionalFormatting sqref="AL4:AV23">
    <cfRule type="cellIs" dxfId="428" priority="2" operator="equal">
      <formula>0</formula>
    </cfRule>
  </conditionalFormatting>
  <conditionalFormatting sqref="A24">
    <cfRule type="cellIs" dxfId="427"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8445-5801-4EDD-85B9-F3C7562894A5}">
  <sheetPr>
    <tabColor rgb="FFA50021"/>
    <pageSetUpPr fitToPage="1"/>
  </sheetPr>
  <dimension ref="A1:GF35"/>
  <sheetViews>
    <sheetView showGridLines="0" workbookViewId="0">
      <selection activeCell="Y70" sqref="Y70"/>
    </sheetView>
  </sheetViews>
  <sheetFormatPr defaultColWidth="9.140625" defaultRowHeight="15" customHeight="1"/>
  <cols>
    <col min="1" max="1" width="23.5703125" style="576" customWidth="1"/>
    <col min="2" max="3" width="6.42578125" style="577" customWidth="1"/>
    <col min="4" max="12" width="6.42578125" style="576" customWidth="1"/>
    <col min="13" max="13" width="9.140625" style="576"/>
    <col min="14" max="14" width="5.85546875" style="2" bestFit="1" customWidth="1"/>
    <col min="15" max="37" width="9.140625" style="2"/>
    <col min="38" max="188" width="9.140625" style="576"/>
    <col min="189" max="16384" width="9.140625" style="578"/>
  </cols>
  <sheetData>
    <row r="1" spans="1:37" s="573" customFormat="1" ht="28.5" customHeight="1">
      <c r="A1" s="989" t="s">
        <v>815</v>
      </c>
      <c r="B1" s="989"/>
      <c r="C1" s="989"/>
      <c r="D1" s="989"/>
      <c r="E1" s="989"/>
      <c r="F1" s="989"/>
      <c r="G1" s="989"/>
      <c r="H1" s="989"/>
      <c r="I1" s="989"/>
      <c r="J1" s="989"/>
      <c r="K1" s="989"/>
      <c r="L1" s="989"/>
      <c r="N1" s="1"/>
      <c r="O1" s="1"/>
      <c r="P1" s="1"/>
      <c r="Q1" s="1"/>
      <c r="R1" s="1"/>
      <c r="S1" s="1"/>
      <c r="T1" s="1"/>
      <c r="U1" s="1"/>
      <c r="V1" s="1"/>
      <c r="W1" s="1"/>
      <c r="X1" s="1"/>
      <c r="Y1" s="1"/>
      <c r="Z1" s="1"/>
      <c r="AA1" s="1"/>
      <c r="AB1" s="1"/>
      <c r="AC1" s="1"/>
      <c r="AD1" s="1"/>
      <c r="AE1" s="1"/>
      <c r="AF1" s="1"/>
      <c r="AG1" s="1"/>
      <c r="AH1" s="1"/>
      <c r="AI1" s="1"/>
      <c r="AJ1" s="1"/>
      <c r="AK1" s="1"/>
    </row>
    <row r="2" spans="1:37" s="2" customFormat="1" ht="15" customHeight="1">
      <c r="A2" s="9"/>
      <c r="B2" s="10"/>
      <c r="C2" s="10"/>
    </row>
    <row r="3" spans="1:37" s="2" customFormat="1" ht="15" customHeight="1">
      <c r="A3" s="11" t="s">
        <v>13</v>
      </c>
      <c r="D3" s="574"/>
      <c r="E3" s="574"/>
      <c r="F3" s="574"/>
      <c r="G3" s="574"/>
      <c r="H3" s="574"/>
      <c r="I3" s="574"/>
      <c r="J3" s="574"/>
      <c r="K3" s="574"/>
      <c r="L3" s="574" t="s">
        <v>67</v>
      </c>
    </row>
    <row r="4" spans="1:37" s="2" customFormat="1" ht="28.5" customHeight="1" thickBot="1">
      <c r="A4" s="13"/>
      <c r="B4" s="14">
        <v>2014</v>
      </c>
      <c r="C4" s="14">
        <v>2015</v>
      </c>
      <c r="D4" s="14">
        <v>2016</v>
      </c>
      <c r="E4" s="14">
        <v>2017</v>
      </c>
      <c r="F4" s="14">
        <v>2018</v>
      </c>
      <c r="G4" s="14">
        <v>2019</v>
      </c>
      <c r="H4" s="14">
        <v>2020</v>
      </c>
      <c r="I4" s="14">
        <v>2021</v>
      </c>
      <c r="J4" s="14">
        <v>2022</v>
      </c>
      <c r="K4" s="14">
        <v>2023</v>
      </c>
      <c r="L4" s="14">
        <v>2024</v>
      </c>
      <c r="O4" s="649"/>
      <c r="P4" s="560">
        <f>+B4</f>
        <v>2014</v>
      </c>
      <c r="Q4" s="560">
        <f t="shared" ref="Q4:W4" si="0">+C4</f>
        <v>2015</v>
      </c>
      <c r="R4" s="560">
        <f t="shared" si="0"/>
        <v>2016</v>
      </c>
      <c r="S4" s="560">
        <f t="shared" si="0"/>
        <v>2017</v>
      </c>
      <c r="T4" s="560">
        <f t="shared" si="0"/>
        <v>2018</v>
      </c>
      <c r="U4" s="560">
        <f t="shared" si="0"/>
        <v>2019</v>
      </c>
      <c r="V4" s="560">
        <f t="shared" si="0"/>
        <v>2020</v>
      </c>
      <c r="W4" s="560">
        <f t="shared" si="0"/>
        <v>2021</v>
      </c>
      <c r="X4" s="560">
        <f>+J4</f>
        <v>2022</v>
      </c>
      <c r="Y4" s="560">
        <f t="shared" ref="Y4:Z4" si="1">+K4</f>
        <v>2023</v>
      </c>
      <c r="Z4" s="560">
        <f t="shared" si="1"/>
        <v>2024</v>
      </c>
      <c r="AA4" s="560">
        <f>+B4</f>
        <v>2014</v>
      </c>
      <c r="AB4" s="560">
        <f t="shared" ref="AB4:AJ4" si="2">+C4</f>
        <v>2015</v>
      </c>
      <c r="AC4" s="560">
        <f t="shared" si="2"/>
        <v>2016</v>
      </c>
      <c r="AD4" s="560">
        <f t="shared" si="2"/>
        <v>2017</v>
      </c>
      <c r="AE4" s="560">
        <f t="shared" si="2"/>
        <v>2018</v>
      </c>
      <c r="AF4" s="560">
        <f t="shared" si="2"/>
        <v>2019</v>
      </c>
      <c r="AG4" s="560">
        <f t="shared" si="2"/>
        <v>2020</v>
      </c>
      <c r="AH4" s="560">
        <f t="shared" si="2"/>
        <v>2021</v>
      </c>
      <c r="AI4" s="560">
        <f t="shared" si="2"/>
        <v>2022</v>
      </c>
      <c r="AJ4" s="560">
        <f t="shared" si="2"/>
        <v>2023</v>
      </c>
      <c r="AK4" s="560">
        <f>+L4</f>
        <v>2024</v>
      </c>
    </row>
    <row r="5" spans="1:37" s="2" customFormat="1" ht="20.25" customHeight="1" thickTop="1">
      <c r="A5" s="113" t="s">
        <v>11</v>
      </c>
      <c r="B5" s="712">
        <v>1093.21</v>
      </c>
      <c r="C5" s="712">
        <v>1096.6600000000001</v>
      </c>
      <c r="D5" s="712">
        <v>1107.8599999999999</v>
      </c>
      <c r="E5" s="712">
        <v>1133.3399999999999</v>
      </c>
      <c r="F5" s="712">
        <v>1170.25</v>
      </c>
      <c r="G5" s="712">
        <v>1209.94</v>
      </c>
      <c r="H5" s="712">
        <v>1250.75</v>
      </c>
      <c r="I5" s="712">
        <v>1294.1099999999999</v>
      </c>
      <c r="J5" s="712">
        <v>1368</v>
      </c>
      <c r="K5" s="712">
        <v>1466.66</v>
      </c>
      <c r="L5" s="712">
        <v>1582.75</v>
      </c>
      <c r="M5" s="115"/>
    </row>
    <row r="6" spans="1:37" s="2" customFormat="1" ht="20.25" customHeight="1">
      <c r="A6" s="15" t="s">
        <v>496</v>
      </c>
      <c r="B6" s="296">
        <v>967.2</v>
      </c>
      <c r="C6" s="296">
        <v>975.01</v>
      </c>
      <c r="D6" s="296">
        <v>986.93</v>
      </c>
      <c r="E6" s="296">
        <v>1015.58</v>
      </c>
      <c r="F6" s="296">
        <v>1056.5999999999999</v>
      </c>
      <c r="G6" s="296">
        <v>1100.44</v>
      </c>
      <c r="H6" s="296">
        <v>1145.23</v>
      </c>
      <c r="I6" s="296">
        <v>1187.19</v>
      </c>
      <c r="J6" s="296">
        <v>1253.46</v>
      </c>
      <c r="K6" s="296">
        <v>1348.66</v>
      </c>
      <c r="L6" s="296">
        <v>1474.68</v>
      </c>
      <c r="N6" s="559">
        <f>+(L6/B6-1)*100</f>
        <v>52.468982630272954</v>
      </c>
      <c r="O6" s="419">
        <f t="shared" ref="O6:O33" si="3">+L6-B6</f>
        <v>507.48</v>
      </c>
      <c r="P6" s="559">
        <f>B6*100/B$5</f>
        <v>88.473394864664613</v>
      </c>
      <c r="Q6" s="559">
        <f t="shared" ref="Q6:Z21" si="4">C6*100/C$5</f>
        <v>88.90722739955865</v>
      </c>
      <c r="R6" s="559">
        <f t="shared" si="4"/>
        <v>89.084360839817307</v>
      </c>
      <c r="S6" s="559">
        <f t="shared" si="4"/>
        <v>89.609472885453627</v>
      </c>
      <c r="T6" s="559">
        <f t="shared" si="4"/>
        <v>90.288399914548165</v>
      </c>
      <c r="U6" s="559">
        <f t="shared" si="4"/>
        <v>90.949964461047657</v>
      </c>
      <c r="V6" s="559">
        <f t="shared" si="4"/>
        <v>91.563461922846287</v>
      </c>
      <c r="W6" s="559">
        <f t="shared" si="4"/>
        <v>91.737951178802433</v>
      </c>
      <c r="X6" s="559">
        <f t="shared" si="4"/>
        <v>91.627192982456137</v>
      </c>
      <c r="Y6" s="559">
        <f t="shared" si="4"/>
        <v>91.954508884131286</v>
      </c>
      <c r="Z6" s="559">
        <f t="shared" si="4"/>
        <v>93.172010740799237</v>
      </c>
      <c r="AA6" s="2">
        <f>+IFERROR(RANK(B6,(B$6,B$15,B$22,B$26,B$27,B$28,B$33),0),"")</f>
        <v>4</v>
      </c>
      <c r="AB6" s="2">
        <f>+IFERROR(RANK(C6,(C$6,C$15,C$22,C$26,C$27,C$28,C$33),0),"")</f>
        <v>4</v>
      </c>
      <c r="AC6" s="2">
        <f>+IFERROR(RANK(D6,(D$6,D$15,D$22,D$26,D$27,D$28,D$33),0),"")</f>
        <v>4</v>
      </c>
      <c r="AD6" s="2">
        <f>+IFERROR(RANK(E6,(E$6,E$15,E$22,E$26,E$27,E$28,E$33),0),"")</f>
        <v>4</v>
      </c>
      <c r="AE6" s="2">
        <f>+IFERROR(RANK(F6,(F$6,F$15,F$22,F$26,F$27,F$28,F$33),0),"")</f>
        <v>4</v>
      </c>
      <c r="AF6" s="2">
        <f>+IFERROR(RANK(G6,(G$6,G$15,G$22,G$26,G$27,G$28,G$33),0),"")</f>
        <v>3</v>
      </c>
      <c r="AG6" s="2">
        <f>+IFERROR(RANK(H6,(H$6,H$15,H$22,H$26,H$27,H$28,H$33),0),"")</f>
        <v>3</v>
      </c>
      <c r="AH6" s="2">
        <f>+IFERROR(RANK(I6,(I$6,I$15,I$22,I$26,I$27,I$28,I$33),0),"")</f>
        <v>3</v>
      </c>
      <c r="AI6" s="2">
        <f>+IFERROR(RANK(J6,(J$6,J$15,J$22,J$26,J$27,J$28,J$33),0),"")</f>
        <v>3</v>
      </c>
      <c r="AJ6" s="2">
        <f>+IFERROR(RANK(K6,(K$6,K$15,K$22,K$26,K$27,K$28,K$33),0),"")</f>
        <v>3</v>
      </c>
      <c r="AK6" s="2">
        <f>+IFERROR(RANK(L6,(L$6,L$15,L$22,L$26,L$27,L$28,L$33),0),"")</f>
        <v>3</v>
      </c>
    </row>
    <row r="7" spans="1:37" s="2" customFormat="1" ht="15" customHeight="1">
      <c r="A7" s="572" t="s">
        <v>497</v>
      </c>
      <c r="B7" s="713">
        <v>881.13</v>
      </c>
      <c r="C7" s="713">
        <v>895.53</v>
      </c>
      <c r="D7" s="713">
        <v>899.57</v>
      </c>
      <c r="E7" s="713">
        <v>950.1</v>
      </c>
      <c r="F7" s="713">
        <v>978.08</v>
      </c>
      <c r="G7" s="713">
        <v>1013.26</v>
      </c>
      <c r="H7" s="713">
        <v>1057.21</v>
      </c>
      <c r="I7" s="713">
        <v>1094.98</v>
      </c>
      <c r="J7" s="713">
        <v>1154.3399999999999</v>
      </c>
      <c r="K7" s="713">
        <v>1237.67</v>
      </c>
      <c r="L7" s="713">
        <v>1340.14</v>
      </c>
      <c r="N7" s="559">
        <f t="shared" ref="N7:N33" si="5">+(L7/B7-1)*100</f>
        <v>52.093334695220925</v>
      </c>
      <c r="O7" s="419">
        <f t="shared" si="3"/>
        <v>459.0100000000001</v>
      </c>
      <c r="P7" s="559">
        <f t="shared" ref="P7:Z23" si="6">B7*100/B$5</f>
        <v>80.600250638029294</v>
      </c>
      <c r="Q7" s="559">
        <f t="shared" si="4"/>
        <v>81.65976692867433</v>
      </c>
      <c r="R7" s="559">
        <f t="shared" si="4"/>
        <v>81.198887946130384</v>
      </c>
      <c r="S7" s="559">
        <f t="shared" si="4"/>
        <v>83.831859812589343</v>
      </c>
      <c r="T7" s="559">
        <f t="shared" si="4"/>
        <v>83.578722495193333</v>
      </c>
      <c r="U7" s="559">
        <f t="shared" si="4"/>
        <v>83.744648494966683</v>
      </c>
      <c r="V7" s="559">
        <f t="shared" si="4"/>
        <v>84.526084349390359</v>
      </c>
      <c r="W7" s="559">
        <f t="shared" si="4"/>
        <v>84.61259089258256</v>
      </c>
      <c r="X7" s="559">
        <f t="shared" si="4"/>
        <v>84.381578947368411</v>
      </c>
      <c r="Y7" s="559">
        <f t="shared" si="4"/>
        <v>84.386974486247667</v>
      </c>
      <c r="Z7" s="559">
        <f t="shared" si="4"/>
        <v>84.671615858474169</v>
      </c>
      <c r="AA7" s="2" t="str">
        <f>+IFERROR(RANK(B7,(B$6,B$15,B$22,B$26,B$27,B$28,B$33),0),"")</f>
        <v/>
      </c>
      <c r="AB7" s="2" t="str">
        <f>+IFERROR(RANK(C7,(C$6,C$15,C$22,C$26,C$27,C$28,C$33),0),"")</f>
        <v/>
      </c>
      <c r="AC7" s="2" t="str">
        <f>+IFERROR(RANK(D7,(D$6,D$15,D$22,D$26,D$27,D$28,D$33),0),"")</f>
        <v/>
      </c>
      <c r="AD7" s="2" t="str">
        <f>+IFERROR(RANK(E7,(E$6,E$15,E$22,E$26,E$27,E$28,E$33),0),"")</f>
        <v/>
      </c>
      <c r="AE7" s="2" t="str">
        <f>+IFERROR(RANK(F7,(F$6,F$15,F$22,F$26,F$27,F$28,F$33),0),"")</f>
        <v/>
      </c>
      <c r="AF7" s="2" t="str">
        <f>+IFERROR(RANK(G7,(G$6,G$15,G$22,G$26,G$27,G$28,G$33),0),"")</f>
        <v/>
      </c>
      <c r="AG7" s="2" t="str">
        <f>+IFERROR(RANK(H7,(H$6,H$15,H$22,H$26,H$27,H$28,H$33),0),"")</f>
        <v/>
      </c>
      <c r="AH7" s="2" t="str">
        <f>+IFERROR(RANK(I7,(I$6,I$15,I$22,I$26,I$27,I$28,I$33),0),"")</f>
        <v/>
      </c>
      <c r="AI7" s="2" t="str">
        <f>+IFERROR(RANK(J7,(J$6,J$15,J$22,J$26,J$27,J$28,J$33),0),"")</f>
        <v/>
      </c>
      <c r="AJ7" s="2" t="str">
        <f>+IFERROR(RANK(K7,(K$6,K$15,K$22,K$26,K$27,K$28,K$33),0),"")</f>
        <v/>
      </c>
      <c r="AK7" s="2" t="str">
        <f>+IFERROR(RANK(L7,(L$6,L$15,L$22,L$26,L$27,L$28,L$33),0),"")</f>
        <v/>
      </c>
    </row>
    <row r="8" spans="1:37" s="2" customFormat="1" ht="15" customHeight="1">
      <c r="A8" s="572" t="s">
        <v>498</v>
      </c>
      <c r="B8" s="713">
        <v>896.26</v>
      </c>
      <c r="C8" s="713">
        <v>899.93</v>
      </c>
      <c r="D8" s="713">
        <v>913.42</v>
      </c>
      <c r="E8" s="713">
        <v>948.41</v>
      </c>
      <c r="F8" s="713">
        <v>988.7</v>
      </c>
      <c r="G8" s="713">
        <v>1044.54</v>
      </c>
      <c r="H8" s="713">
        <v>1088.49</v>
      </c>
      <c r="I8" s="713">
        <v>1134.32</v>
      </c>
      <c r="J8" s="713">
        <v>1183.08</v>
      </c>
      <c r="K8" s="713">
        <v>1276.47</v>
      </c>
      <c r="L8" s="713">
        <v>1403.34</v>
      </c>
      <c r="N8" s="559">
        <f t="shared" si="5"/>
        <v>56.577332470488464</v>
      </c>
      <c r="O8" s="419">
        <f t="shared" si="3"/>
        <v>507.07999999999993</v>
      </c>
      <c r="P8" s="559">
        <f t="shared" si="6"/>
        <v>81.984248223122734</v>
      </c>
      <c r="Q8" s="559">
        <f t="shared" si="4"/>
        <v>82.060985173162138</v>
      </c>
      <c r="R8" s="559">
        <f t="shared" si="4"/>
        <v>82.449045908327776</v>
      </c>
      <c r="S8" s="559">
        <f t="shared" si="4"/>
        <v>83.682743042687989</v>
      </c>
      <c r="T8" s="559">
        <f t="shared" si="4"/>
        <v>84.486220892971588</v>
      </c>
      <c r="U8" s="559">
        <f t="shared" si="4"/>
        <v>86.32990065623089</v>
      </c>
      <c r="V8" s="559">
        <f t="shared" si="4"/>
        <v>87.026983809714167</v>
      </c>
      <c r="W8" s="559">
        <f t="shared" si="4"/>
        <v>87.65251794669696</v>
      </c>
      <c r="X8" s="559">
        <f t="shared" si="4"/>
        <v>86.482456140350877</v>
      </c>
      <c r="Y8" s="559">
        <f t="shared" si="4"/>
        <v>87.032441056550255</v>
      </c>
      <c r="Z8" s="559">
        <f t="shared" si="4"/>
        <v>88.664665929552996</v>
      </c>
      <c r="AA8" s="2" t="str">
        <f>+IFERROR(RANK(B8,(B$6,B$15,B$22,B$26,B$27,B$28,B$33),0),"")</f>
        <v/>
      </c>
      <c r="AB8" s="2" t="str">
        <f>+IFERROR(RANK(C8,(C$6,C$15,C$22,C$26,C$27,C$28,C$33),0),"")</f>
        <v/>
      </c>
      <c r="AC8" s="2" t="str">
        <f>+IFERROR(RANK(D8,(D$6,D$15,D$22,D$26,D$27,D$28,D$33),0),"")</f>
        <v/>
      </c>
      <c r="AD8" s="2" t="str">
        <f>+IFERROR(RANK(E8,(E$6,E$15,E$22,E$26,E$27,E$28,E$33),0),"")</f>
        <v/>
      </c>
      <c r="AE8" s="2" t="str">
        <f>+IFERROR(RANK(F8,(F$6,F$15,F$22,F$26,F$27,F$28,F$33),0),"")</f>
        <v/>
      </c>
      <c r="AF8" s="2" t="str">
        <f>+IFERROR(RANK(G8,(G$6,G$15,G$22,G$26,G$27,G$28,G$33),0),"")</f>
        <v/>
      </c>
      <c r="AG8" s="2" t="str">
        <f>+IFERROR(RANK(H8,(H$6,H$15,H$22,H$26,H$27,H$28,H$33),0),"")</f>
        <v/>
      </c>
      <c r="AH8" s="2" t="str">
        <f>+IFERROR(RANK(I8,(I$6,I$15,I$22,I$26,I$27,I$28,I$33),0),"")</f>
        <v/>
      </c>
      <c r="AI8" s="2" t="str">
        <f>+IFERROR(RANK(J8,(J$6,J$15,J$22,J$26,J$27,J$28,J$33),0),"")</f>
        <v/>
      </c>
      <c r="AJ8" s="2" t="str">
        <f>+IFERROR(RANK(K8,(K$6,K$15,K$22,K$26,K$27,K$28,K$33),0),"")</f>
        <v/>
      </c>
      <c r="AK8" s="2" t="str">
        <f>+IFERROR(RANK(L8,(L$6,L$15,L$22,L$26,L$27,L$28,L$33),0),"")</f>
        <v/>
      </c>
    </row>
    <row r="9" spans="1:37" s="2" customFormat="1" ht="15" customHeight="1">
      <c r="A9" s="572" t="s">
        <v>499</v>
      </c>
      <c r="B9" s="713">
        <v>860.01</v>
      </c>
      <c r="C9" s="713">
        <v>866.17</v>
      </c>
      <c r="D9" s="713">
        <v>883.04</v>
      </c>
      <c r="E9" s="713">
        <v>916.3</v>
      </c>
      <c r="F9" s="713">
        <v>952.13</v>
      </c>
      <c r="G9" s="713">
        <v>984.13</v>
      </c>
      <c r="H9" s="713">
        <v>1030.3399999999999</v>
      </c>
      <c r="I9" s="713">
        <v>1080.78</v>
      </c>
      <c r="J9" s="713">
        <v>1132.33</v>
      </c>
      <c r="K9" s="713">
        <v>1215.1300000000001</v>
      </c>
      <c r="L9" s="713">
        <v>1321.75</v>
      </c>
      <c r="N9" s="559">
        <f t="shared" si="5"/>
        <v>53.690073371239876</v>
      </c>
      <c r="O9" s="419">
        <f t="shared" si="3"/>
        <v>461.74</v>
      </c>
      <c r="P9" s="559">
        <f t="shared" si="6"/>
        <v>78.66832539036416</v>
      </c>
      <c r="Q9" s="559">
        <f t="shared" si="4"/>
        <v>78.982547006364769</v>
      </c>
      <c r="R9" s="559">
        <f t="shared" si="4"/>
        <v>79.706822161644979</v>
      </c>
      <c r="S9" s="559">
        <f t="shared" si="4"/>
        <v>80.849524414562268</v>
      </c>
      <c r="T9" s="559">
        <f t="shared" si="4"/>
        <v>81.361247596667383</v>
      </c>
      <c r="U9" s="559">
        <f t="shared" si="4"/>
        <v>81.337091095426217</v>
      </c>
      <c r="V9" s="559">
        <f t="shared" si="4"/>
        <v>82.377773335998384</v>
      </c>
      <c r="W9" s="559">
        <f t="shared" si="4"/>
        <v>83.515311681387217</v>
      </c>
      <c r="X9" s="559">
        <f t="shared" si="4"/>
        <v>82.772660818713447</v>
      </c>
      <c r="Y9" s="559">
        <f t="shared" si="4"/>
        <v>82.850149318860545</v>
      </c>
      <c r="Z9" s="559">
        <f t="shared" si="4"/>
        <v>83.50971410519665</v>
      </c>
      <c r="AA9" s="2" t="str">
        <f>+IFERROR(RANK(B9,(B$6,B$15,B$22,B$26,B$27,B$28,B$33),0),"")</f>
        <v/>
      </c>
      <c r="AB9" s="2" t="str">
        <f>+IFERROR(RANK(C9,(C$6,C$15,C$22,C$26,C$27,C$28,C$33),0),"")</f>
        <v/>
      </c>
      <c r="AC9" s="2" t="str">
        <f>+IFERROR(RANK(D9,(D$6,D$15,D$22,D$26,D$27,D$28,D$33),0),"")</f>
        <v/>
      </c>
      <c r="AD9" s="2" t="str">
        <f>+IFERROR(RANK(E9,(E$6,E$15,E$22,E$26,E$27,E$28,E$33),0),"")</f>
        <v/>
      </c>
      <c r="AE9" s="2" t="str">
        <f>+IFERROR(RANK(F9,(F$6,F$15,F$22,F$26,F$27,F$28,F$33),0),"")</f>
        <v/>
      </c>
      <c r="AF9" s="2" t="str">
        <f>+IFERROR(RANK(G9,(G$6,G$15,G$22,G$26,G$27,G$28,G$33),0),"")</f>
        <v/>
      </c>
      <c r="AG9" s="2" t="str">
        <f>+IFERROR(RANK(H9,(H$6,H$15,H$22,H$26,H$27,H$28,H$33),0),"")</f>
        <v/>
      </c>
      <c r="AH9" s="2" t="str">
        <f>+IFERROR(RANK(I9,(I$6,I$15,I$22,I$26,I$27,I$28,I$33),0),"")</f>
        <v/>
      </c>
      <c r="AI9" s="2" t="str">
        <f>+IFERROR(RANK(J9,(J$6,J$15,J$22,J$26,J$27,J$28,J$33),0),"")</f>
        <v/>
      </c>
      <c r="AJ9" s="2" t="str">
        <f>+IFERROR(RANK(K9,(K$6,K$15,K$22,K$26,K$27,K$28,K$33),0),"")</f>
        <v/>
      </c>
      <c r="AK9" s="2" t="str">
        <f>+IFERROR(RANK(L9,(L$6,L$15,L$22,L$26,L$27,L$28,L$33),0),"")</f>
        <v/>
      </c>
    </row>
    <row r="10" spans="1:37" s="2" customFormat="1" ht="15" customHeight="1">
      <c r="A10" s="572" t="s">
        <v>500</v>
      </c>
      <c r="B10" s="713">
        <v>1075.96</v>
      </c>
      <c r="C10" s="713">
        <v>1084.73</v>
      </c>
      <c r="D10" s="713">
        <v>1095.5</v>
      </c>
      <c r="E10" s="713">
        <v>1118.23</v>
      </c>
      <c r="F10" s="713">
        <v>1164.5899999999999</v>
      </c>
      <c r="G10" s="713">
        <v>1208.1300000000001</v>
      </c>
      <c r="H10" s="713">
        <v>1257.1099999999999</v>
      </c>
      <c r="I10" s="713">
        <v>1301.06</v>
      </c>
      <c r="J10" s="713">
        <v>1378.56</v>
      </c>
      <c r="K10" s="713">
        <v>1480.08</v>
      </c>
      <c r="L10" s="713">
        <v>1620.05</v>
      </c>
      <c r="N10" s="559">
        <f t="shared" si="5"/>
        <v>50.56786497639316</v>
      </c>
      <c r="O10" s="419">
        <f t="shared" si="3"/>
        <v>544.08999999999992</v>
      </c>
      <c r="P10" s="559">
        <f t="shared" si="6"/>
        <v>98.422078100273509</v>
      </c>
      <c r="Q10" s="559">
        <f t="shared" si="4"/>
        <v>98.912151441650096</v>
      </c>
      <c r="R10" s="559">
        <f t="shared" si="4"/>
        <v>98.884335565865726</v>
      </c>
      <c r="S10" s="559">
        <f t="shared" si="4"/>
        <v>98.666772548396779</v>
      </c>
      <c r="T10" s="559">
        <f t="shared" si="4"/>
        <v>99.516342661824382</v>
      </c>
      <c r="U10" s="559">
        <f t="shared" si="4"/>
        <v>99.850405805246552</v>
      </c>
      <c r="V10" s="559">
        <f t="shared" si="4"/>
        <v>100.50849490305815</v>
      </c>
      <c r="W10" s="559">
        <f t="shared" si="4"/>
        <v>100.53704862801463</v>
      </c>
      <c r="X10" s="559">
        <f t="shared" si="4"/>
        <v>100.7719298245614</v>
      </c>
      <c r="Y10" s="559">
        <f t="shared" si="4"/>
        <v>100.91500415910981</v>
      </c>
      <c r="Z10" s="559">
        <f t="shared" si="4"/>
        <v>102.35665771600063</v>
      </c>
      <c r="AA10" s="2" t="str">
        <f>+IFERROR(RANK(B10,(B$6,B$15,B$22,B$26,B$27,B$28,B$33),0),"")</f>
        <v/>
      </c>
      <c r="AB10" s="2" t="str">
        <f>+IFERROR(RANK(C10,(C$6,C$15,C$22,C$26,C$27,C$28,C$33),0),"")</f>
        <v/>
      </c>
      <c r="AC10" s="2" t="str">
        <f>+IFERROR(RANK(D10,(D$6,D$15,D$22,D$26,D$27,D$28,D$33),0),"")</f>
        <v/>
      </c>
      <c r="AD10" s="2" t="str">
        <f>+IFERROR(RANK(E10,(E$6,E$15,E$22,E$26,E$27,E$28,E$33),0),"")</f>
        <v/>
      </c>
      <c r="AE10" s="2" t="str">
        <f>+IFERROR(RANK(F10,(F$6,F$15,F$22,F$26,F$27,F$28,F$33),0),"")</f>
        <v/>
      </c>
      <c r="AF10" s="2" t="str">
        <f>+IFERROR(RANK(G10,(G$6,G$15,G$22,G$26,G$27,G$28,G$33),0),"")</f>
        <v/>
      </c>
      <c r="AG10" s="2" t="str">
        <f>+IFERROR(RANK(H10,(H$6,H$15,H$22,H$26,H$27,H$28,H$33),0),"")</f>
        <v/>
      </c>
      <c r="AH10" s="2" t="str">
        <f>+IFERROR(RANK(I10,(I$6,I$15,I$22,I$26,I$27,I$28,I$33),0),"")</f>
        <v/>
      </c>
      <c r="AI10" s="2" t="str">
        <f>+IFERROR(RANK(J10,(J$6,J$15,J$22,J$26,J$27,J$28,J$33),0),"")</f>
        <v/>
      </c>
      <c r="AJ10" s="2" t="str">
        <f>+IFERROR(RANK(K10,(K$6,K$15,K$22,K$26,K$27,K$28,K$33),0),"")</f>
        <v/>
      </c>
      <c r="AK10" s="2" t="str">
        <f>+IFERROR(RANK(L10,(L$6,L$15,L$22,L$26,L$27,L$28,L$33),0),"")</f>
        <v/>
      </c>
    </row>
    <row r="11" spans="1:37" s="2" customFormat="1" ht="15" customHeight="1">
      <c r="A11" s="572" t="s">
        <v>501</v>
      </c>
      <c r="B11" s="713">
        <v>814.78</v>
      </c>
      <c r="C11" s="713">
        <v>810.7</v>
      </c>
      <c r="D11" s="713">
        <v>844.1</v>
      </c>
      <c r="E11" s="713">
        <v>919.39</v>
      </c>
      <c r="F11" s="713">
        <v>941.5</v>
      </c>
      <c r="G11" s="713">
        <v>954.21</v>
      </c>
      <c r="H11" s="713">
        <v>975.61</v>
      </c>
      <c r="I11" s="713">
        <v>995.06</v>
      </c>
      <c r="J11" s="713">
        <v>1043.3699999999999</v>
      </c>
      <c r="K11" s="713">
        <v>1128.21</v>
      </c>
      <c r="L11" s="713">
        <v>1207.05</v>
      </c>
      <c r="N11" s="559">
        <f t="shared" si="5"/>
        <v>48.144284346694818</v>
      </c>
      <c r="O11" s="419">
        <f t="shared" si="3"/>
        <v>392.27</v>
      </c>
      <c r="P11" s="559">
        <f t="shared" si="6"/>
        <v>74.530968432414625</v>
      </c>
      <c r="Q11" s="559">
        <f t="shared" si="4"/>
        <v>73.924461546878703</v>
      </c>
      <c r="R11" s="559">
        <f t="shared" si="4"/>
        <v>76.191937609445247</v>
      </c>
      <c r="S11" s="559">
        <f t="shared" si="4"/>
        <v>81.122169869589001</v>
      </c>
      <c r="T11" s="559">
        <f t="shared" si="4"/>
        <v>80.4528946806238</v>
      </c>
      <c r="U11" s="559">
        <f t="shared" si="4"/>
        <v>78.864241202043075</v>
      </c>
      <c r="V11" s="559">
        <f t="shared" si="4"/>
        <v>78.001998800719562</v>
      </c>
      <c r="W11" s="559">
        <f t="shared" si="4"/>
        <v>76.891454358593947</v>
      </c>
      <c r="X11" s="559">
        <f t="shared" si="4"/>
        <v>76.269736842105246</v>
      </c>
      <c r="Y11" s="559">
        <f t="shared" si="4"/>
        <v>76.923758744357926</v>
      </c>
      <c r="Z11" s="559">
        <f t="shared" si="4"/>
        <v>76.262833675564679</v>
      </c>
      <c r="AA11" s="2" t="str">
        <f>+IFERROR(RANK(B11,(B$6,B$15,B$22,B$26,B$27,B$28,B$33),0),"")</f>
        <v/>
      </c>
      <c r="AB11" s="2" t="str">
        <f>+IFERROR(RANK(C11,(C$6,C$15,C$22,C$26,C$27,C$28,C$33),0),"")</f>
        <v/>
      </c>
      <c r="AC11" s="2" t="str">
        <f>+IFERROR(RANK(D11,(D$6,D$15,D$22,D$26,D$27,D$28,D$33),0),"")</f>
        <v/>
      </c>
      <c r="AD11" s="2" t="str">
        <f>+IFERROR(RANK(E11,(E$6,E$15,E$22,E$26,E$27,E$28,E$33),0),"")</f>
        <v/>
      </c>
      <c r="AE11" s="2" t="str">
        <f>+IFERROR(RANK(F11,(F$6,F$15,F$22,F$26,F$27,F$28,F$33),0),"")</f>
        <v/>
      </c>
      <c r="AF11" s="2" t="str">
        <f>+IFERROR(RANK(G11,(G$6,G$15,G$22,G$26,G$27,G$28,G$33),0),"")</f>
        <v/>
      </c>
      <c r="AG11" s="2" t="str">
        <f>+IFERROR(RANK(H11,(H$6,H$15,H$22,H$26,H$27,H$28,H$33),0),"")</f>
        <v/>
      </c>
      <c r="AH11" s="2" t="str">
        <f>+IFERROR(RANK(I11,(I$6,I$15,I$22,I$26,I$27,I$28,I$33),0),"")</f>
        <v/>
      </c>
      <c r="AI11" s="2" t="str">
        <f>+IFERROR(RANK(J11,(J$6,J$15,J$22,J$26,J$27,J$28,J$33),0),"")</f>
        <v/>
      </c>
      <c r="AJ11" s="2" t="str">
        <f>+IFERROR(RANK(K11,(K$6,K$15,K$22,K$26,K$27,K$28,K$33),0),"")</f>
        <v/>
      </c>
      <c r="AK11" s="2" t="str">
        <f>+IFERROR(RANK(L11,(L$6,L$15,L$22,L$26,L$27,L$28,L$33),0),"")</f>
        <v/>
      </c>
    </row>
    <row r="12" spans="1:37" s="2" customFormat="1" ht="15" customHeight="1">
      <c r="A12" s="572" t="s">
        <v>502</v>
      </c>
      <c r="B12" s="713">
        <v>773.97</v>
      </c>
      <c r="C12" s="713">
        <v>781.94</v>
      </c>
      <c r="D12" s="713">
        <v>796.84</v>
      </c>
      <c r="E12" s="713">
        <v>821.23</v>
      </c>
      <c r="F12" s="713">
        <v>858.44</v>
      </c>
      <c r="G12" s="713">
        <v>898.09</v>
      </c>
      <c r="H12" s="713">
        <v>936.96</v>
      </c>
      <c r="I12" s="713">
        <v>980.68</v>
      </c>
      <c r="J12" s="713">
        <v>1026.1300000000001</v>
      </c>
      <c r="K12" s="713">
        <v>1107.17</v>
      </c>
      <c r="L12" s="713">
        <v>1210.7</v>
      </c>
      <c r="N12" s="559">
        <f t="shared" si="5"/>
        <v>56.427251702262367</v>
      </c>
      <c r="O12" s="419">
        <f t="shared" si="3"/>
        <v>436.73</v>
      </c>
      <c r="P12" s="559">
        <f t="shared" si="6"/>
        <v>70.797925375728354</v>
      </c>
      <c r="Q12" s="559">
        <f t="shared" si="4"/>
        <v>71.301953203362928</v>
      </c>
      <c r="R12" s="559">
        <f t="shared" si="4"/>
        <v>71.926055638799127</v>
      </c>
      <c r="S12" s="559">
        <f t="shared" si="4"/>
        <v>72.461044346797962</v>
      </c>
      <c r="T12" s="559">
        <f t="shared" si="4"/>
        <v>73.355265968810087</v>
      </c>
      <c r="U12" s="559">
        <f t="shared" si="4"/>
        <v>74.225994677422023</v>
      </c>
      <c r="V12" s="559">
        <f t="shared" si="4"/>
        <v>74.911852888267035</v>
      </c>
      <c r="W12" s="559">
        <f t="shared" si="4"/>
        <v>75.780265974298942</v>
      </c>
      <c r="X12" s="559">
        <f t="shared" si="4"/>
        <v>75.009502923976612</v>
      </c>
      <c r="Y12" s="559">
        <f t="shared" si="4"/>
        <v>75.489206769121679</v>
      </c>
      <c r="Z12" s="559">
        <f t="shared" si="4"/>
        <v>76.493444953403881</v>
      </c>
      <c r="AA12" s="2" t="str">
        <f>+IFERROR(RANK(B12,(B$6,B$15,B$22,B$26,B$27,B$28,B$33),0),"")</f>
        <v/>
      </c>
      <c r="AB12" s="2" t="str">
        <f>+IFERROR(RANK(C12,(C$6,C$15,C$22,C$26,C$27,C$28,C$33),0),"")</f>
        <v/>
      </c>
      <c r="AC12" s="2" t="str">
        <f>+IFERROR(RANK(D12,(D$6,D$15,D$22,D$26,D$27,D$28,D$33),0),"")</f>
        <v/>
      </c>
      <c r="AD12" s="2" t="str">
        <f>+IFERROR(RANK(E12,(E$6,E$15,E$22,E$26,E$27,E$28,E$33),0),"")</f>
        <v/>
      </c>
      <c r="AE12" s="2" t="str">
        <f>+IFERROR(RANK(F12,(F$6,F$15,F$22,F$26,F$27,F$28,F$33),0),"")</f>
        <v/>
      </c>
      <c r="AF12" s="2" t="str">
        <f>+IFERROR(RANK(G12,(G$6,G$15,G$22,G$26,G$27,G$28,G$33),0),"")</f>
        <v/>
      </c>
      <c r="AG12" s="2" t="str">
        <f>+IFERROR(RANK(H12,(H$6,H$15,H$22,H$26,H$27,H$28,H$33),0),"")</f>
        <v/>
      </c>
      <c r="AH12" s="2" t="str">
        <f>+IFERROR(RANK(I12,(I$6,I$15,I$22,I$26,I$27,I$28,I$33),0),"")</f>
        <v/>
      </c>
      <c r="AI12" s="2" t="str">
        <f>+IFERROR(RANK(J12,(J$6,J$15,J$22,J$26,J$27,J$28,J$33),0),"")</f>
        <v/>
      </c>
      <c r="AJ12" s="2" t="str">
        <f>+IFERROR(RANK(K12,(K$6,K$15,K$22,K$26,K$27,K$28,K$33),0),"")</f>
        <v/>
      </c>
      <c r="AK12" s="2" t="str">
        <f>+IFERROR(RANK(L12,(L$6,L$15,L$22,L$26,L$27,L$28,L$33),0),"")</f>
        <v/>
      </c>
    </row>
    <row r="13" spans="1:37" s="2" customFormat="1" ht="15" customHeight="1">
      <c r="A13" s="572" t="s">
        <v>503</v>
      </c>
      <c r="B13" s="713">
        <v>878.1</v>
      </c>
      <c r="C13" s="713">
        <v>887.03</v>
      </c>
      <c r="D13" s="713">
        <v>882.6</v>
      </c>
      <c r="E13" s="713">
        <v>899.6</v>
      </c>
      <c r="F13" s="713">
        <v>936.21</v>
      </c>
      <c r="G13" s="713">
        <v>971.09</v>
      </c>
      <c r="H13" s="713">
        <v>993.68</v>
      </c>
      <c r="I13" s="713">
        <v>1031.52</v>
      </c>
      <c r="J13" s="713">
        <v>1089.0999999999999</v>
      </c>
      <c r="K13" s="713">
        <v>1168.78</v>
      </c>
      <c r="L13" s="713">
        <v>1268.7</v>
      </c>
      <c r="N13" s="559">
        <f t="shared" si="5"/>
        <v>44.482405193030417</v>
      </c>
      <c r="O13" s="419">
        <f t="shared" si="3"/>
        <v>390.6</v>
      </c>
      <c r="P13" s="559">
        <f t="shared" si="6"/>
        <v>80.323085226077325</v>
      </c>
      <c r="Q13" s="559">
        <f t="shared" si="4"/>
        <v>80.884686229095607</v>
      </c>
      <c r="R13" s="559">
        <f t="shared" si="4"/>
        <v>79.667105952015604</v>
      </c>
      <c r="S13" s="559">
        <f t="shared" si="4"/>
        <v>79.376003670566647</v>
      </c>
      <c r="T13" s="559">
        <f t="shared" si="4"/>
        <v>80.000854518265328</v>
      </c>
      <c r="U13" s="559">
        <f t="shared" si="4"/>
        <v>80.259351703390251</v>
      </c>
      <c r="V13" s="559">
        <f t="shared" si="4"/>
        <v>79.446731960823513</v>
      </c>
      <c r="W13" s="559">
        <f t="shared" si="4"/>
        <v>79.708834643113804</v>
      </c>
      <c r="X13" s="559">
        <f t="shared" si="4"/>
        <v>79.612573099415201</v>
      </c>
      <c r="Y13" s="559">
        <f t="shared" si="4"/>
        <v>79.689907681398552</v>
      </c>
      <c r="Z13" s="559">
        <f t="shared" si="4"/>
        <v>80.157952930026852</v>
      </c>
      <c r="AA13" s="2" t="str">
        <f>+IFERROR(RANK(B13,(B$6,B$15,B$22,B$26,B$27,B$28,B$33),0),"")</f>
        <v/>
      </c>
      <c r="AB13" s="2" t="str">
        <f>+IFERROR(RANK(C13,(C$6,C$15,C$22,C$26,C$27,C$28,C$33),0),"")</f>
        <v/>
      </c>
      <c r="AC13" s="2" t="str">
        <f>+IFERROR(RANK(D13,(D$6,D$15,D$22,D$26,D$27,D$28,D$33),0),"")</f>
        <v/>
      </c>
      <c r="AD13" s="2" t="str">
        <f>+IFERROR(RANK(E13,(E$6,E$15,E$22,E$26,E$27,E$28,E$33),0),"")</f>
        <v/>
      </c>
      <c r="AE13" s="2" t="str">
        <f>+IFERROR(RANK(F13,(F$6,F$15,F$22,F$26,F$27,F$28,F$33),0),"")</f>
        <v/>
      </c>
      <c r="AF13" s="2" t="str">
        <f>+IFERROR(RANK(G13,(G$6,G$15,G$22,G$26,G$27,G$28,G$33),0),"")</f>
        <v/>
      </c>
      <c r="AG13" s="2" t="str">
        <f>+IFERROR(RANK(H13,(H$6,H$15,H$22,H$26,H$27,H$28,H$33),0),"")</f>
        <v/>
      </c>
      <c r="AH13" s="2" t="str">
        <f>+IFERROR(RANK(I13,(I$6,I$15,I$22,I$26,I$27,I$28,I$33),0),"")</f>
        <v/>
      </c>
      <c r="AI13" s="2" t="str">
        <f>+IFERROR(RANK(J13,(J$6,J$15,J$22,J$26,J$27,J$28,J$33),0),"")</f>
        <v/>
      </c>
      <c r="AJ13" s="2" t="str">
        <f>+IFERROR(RANK(K13,(K$6,K$15,K$22,K$26,K$27,K$28,K$33),0),"")</f>
        <v/>
      </c>
      <c r="AK13" s="2" t="str">
        <f>+IFERROR(RANK(L13,(L$6,L$15,L$22,L$26,L$27,L$28,L$33),0),"")</f>
        <v/>
      </c>
    </row>
    <row r="14" spans="1:37" s="2" customFormat="1" ht="15" customHeight="1">
      <c r="A14" s="572" t="s">
        <v>504</v>
      </c>
      <c r="B14" s="713">
        <v>834.9</v>
      </c>
      <c r="C14" s="713">
        <v>845.13</v>
      </c>
      <c r="D14" s="713">
        <v>868.28</v>
      </c>
      <c r="E14" s="713">
        <v>890.97</v>
      </c>
      <c r="F14" s="713">
        <v>918.08</v>
      </c>
      <c r="G14" s="713">
        <v>953.02</v>
      </c>
      <c r="H14" s="713">
        <v>988.17</v>
      </c>
      <c r="I14" s="713">
        <v>1021.88</v>
      </c>
      <c r="J14" s="713">
        <v>1066.68</v>
      </c>
      <c r="K14" s="713">
        <v>1149.46</v>
      </c>
      <c r="L14" s="713">
        <v>1267.6300000000001</v>
      </c>
      <c r="N14" s="559">
        <f t="shared" si="5"/>
        <v>51.830159300515042</v>
      </c>
      <c r="O14" s="419">
        <f t="shared" si="3"/>
        <v>432.73000000000013</v>
      </c>
      <c r="P14" s="559">
        <f t="shared" si="6"/>
        <v>76.371419946762288</v>
      </c>
      <c r="Q14" s="559">
        <f t="shared" si="4"/>
        <v>77.063994309995806</v>
      </c>
      <c r="R14" s="559">
        <f t="shared" si="4"/>
        <v>78.374523856805013</v>
      </c>
      <c r="S14" s="559">
        <f t="shared" si="4"/>
        <v>78.614537561543756</v>
      </c>
      <c r="T14" s="559">
        <f t="shared" si="4"/>
        <v>78.451612903225808</v>
      </c>
      <c r="U14" s="559">
        <f t="shared" si="4"/>
        <v>78.765889217647157</v>
      </c>
      <c r="V14" s="559">
        <f t="shared" si="4"/>
        <v>79.006196282230661</v>
      </c>
      <c r="W14" s="559">
        <f t="shared" si="4"/>
        <v>78.96392115044317</v>
      </c>
      <c r="X14" s="559">
        <f t="shared" si="4"/>
        <v>77.973684210526315</v>
      </c>
      <c r="Y14" s="559">
        <f t="shared" si="4"/>
        <v>78.372628966495299</v>
      </c>
      <c r="Z14" s="559">
        <f t="shared" si="4"/>
        <v>80.090349075975368</v>
      </c>
      <c r="AA14" s="2" t="str">
        <f>+IFERROR(RANK(B14,(B$6,B$15,B$22,B$26,B$27,B$28,B$33),0),"")</f>
        <v/>
      </c>
      <c r="AB14" s="2" t="str">
        <f>+IFERROR(RANK(C14,(C$6,C$15,C$22,C$26,C$27,C$28,C$33),0),"")</f>
        <v/>
      </c>
      <c r="AC14" s="2" t="str">
        <f>+IFERROR(RANK(D14,(D$6,D$15,D$22,D$26,D$27,D$28,D$33),0),"")</f>
        <v/>
      </c>
      <c r="AD14" s="2" t="str">
        <f>+IFERROR(RANK(E14,(E$6,E$15,E$22,E$26,E$27,E$28,E$33),0),"")</f>
        <v/>
      </c>
      <c r="AE14" s="2" t="str">
        <f>+IFERROR(RANK(F14,(F$6,F$15,F$22,F$26,F$27,F$28,F$33),0),"")</f>
        <v/>
      </c>
      <c r="AF14" s="2" t="str">
        <f>+IFERROR(RANK(G14,(G$6,G$15,G$22,G$26,G$27,G$28,G$33),0),"")</f>
        <v/>
      </c>
      <c r="AG14" s="2" t="str">
        <f>+IFERROR(RANK(H14,(H$6,H$15,H$22,H$26,H$27,H$28,H$33),0),"")</f>
        <v/>
      </c>
      <c r="AH14" s="2" t="str">
        <f>+IFERROR(RANK(I14,(I$6,I$15,I$22,I$26,I$27,I$28,I$33),0),"")</f>
        <v/>
      </c>
      <c r="AI14" s="2" t="str">
        <f>+IFERROR(RANK(J14,(J$6,J$15,J$22,J$26,J$27,J$28,J$33),0),"")</f>
        <v/>
      </c>
      <c r="AJ14" s="2" t="str">
        <f>+IFERROR(RANK(K14,(K$6,K$15,K$22,K$26,K$27,K$28,K$33),0),"")</f>
        <v/>
      </c>
      <c r="AK14" s="2" t="str">
        <f>+IFERROR(RANK(L14,(L$6,L$15,L$22,L$26,L$27,L$28,L$33),0),"")</f>
        <v/>
      </c>
    </row>
    <row r="15" spans="1:37" s="2" customFormat="1" ht="15" customHeight="1">
      <c r="A15" s="15" t="s">
        <v>505</v>
      </c>
      <c r="B15" s="714">
        <v>949.89</v>
      </c>
      <c r="C15" s="714">
        <v>956.66</v>
      </c>
      <c r="D15" s="714">
        <v>972.23</v>
      </c>
      <c r="E15" s="714">
        <v>1002.79</v>
      </c>
      <c r="F15" s="714">
        <v>1042.94</v>
      </c>
      <c r="G15" s="714">
        <v>1082.1199999999999</v>
      </c>
      <c r="H15" s="714">
        <v>1113.26</v>
      </c>
      <c r="I15" s="714">
        <v>1157.6300000000001</v>
      </c>
      <c r="J15" s="714">
        <v>1218.07</v>
      </c>
      <c r="K15" s="714">
        <v>1305.72</v>
      </c>
      <c r="L15" s="714">
        <v>1410.88</v>
      </c>
      <c r="N15" s="559">
        <f t="shared" si="5"/>
        <v>48.530882523239541</v>
      </c>
      <c r="O15" s="419">
        <f t="shared" si="3"/>
        <v>460.99000000000012</v>
      </c>
      <c r="P15" s="559">
        <f t="shared" si="6"/>
        <v>86.889984540939068</v>
      </c>
      <c r="Q15" s="559">
        <f t="shared" si="4"/>
        <v>87.233964948115187</v>
      </c>
      <c r="R15" s="559">
        <f t="shared" si="4"/>
        <v>87.757478381744988</v>
      </c>
      <c r="S15" s="559">
        <f t="shared" si="4"/>
        <v>88.480950112058167</v>
      </c>
      <c r="T15" s="559">
        <f t="shared" si="4"/>
        <v>89.121127964110229</v>
      </c>
      <c r="U15" s="559">
        <f t="shared" si="4"/>
        <v>89.435839793708766</v>
      </c>
      <c r="V15" s="559">
        <f t="shared" si="4"/>
        <v>89.007395562662396</v>
      </c>
      <c r="W15" s="559">
        <f t="shared" si="4"/>
        <v>89.453755863102842</v>
      </c>
      <c r="X15" s="559">
        <f t="shared" si="4"/>
        <v>89.040204678362571</v>
      </c>
      <c r="Y15" s="559">
        <f t="shared" si="4"/>
        <v>89.02676830349229</v>
      </c>
      <c r="Z15" s="559">
        <f t="shared" si="4"/>
        <v>89.141051966513984</v>
      </c>
      <c r="AA15" s="2">
        <f>+IFERROR(RANK(B15,(B$6,B$15,B$22,B$26,B$27,B$28,B$33),0),"")</f>
        <v>5</v>
      </c>
      <c r="AB15" s="2">
        <f>+IFERROR(RANK(C15,(C$6,C$15,C$22,C$26,C$27,C$28,C$33),0),"")</f>
        <v>5</v>
      </c>
      <c r="AC15" s="2">
        <f>+IFERROR(RANK(D15,(D$6,D$15,D$22,D$26,D$27,D$28,D$33),0),"")</f>
        <v>5</v>
      </c>
      <c r="AD15" s="2">
        <f>+IFERROR(RANK(E15,(E$6,E$15,E$22,E$26,E$27,E$28,E$33),0),"")</f>
        <v>5</v>
      </c>
      <c r="AE15" s="2">
        <f>+IFERROR(RANK(F15,(F$6,F$15,F$22,F$26,F$27,F$28,F$33),0),"")</f>
        <v>5</v>
      </c>
      <c r="AF15" s="2">
        <f>+IFERROR(RANK(G15,(G$6,G$15,G$22,G$26,G$27,G$28,G$33),0),"")</f>
        <v>5</v>
      </c>
      <c r="AG15" s="2">
        <f>+IFERROR(RANK(H15,(H$6,H$15,H$22,H$26,H$27,H$28,H$33),0),"")</f>
        <v>5</v>
      </c>
      <c r="AH15" s="2">
        <f>+IFERROR(RANK(I15,(I$6,I$15,I$22,I$26,I$27,I$28,I$33),0),"")</f>
        <v>5</v>
      </c>
      <c r="AI15" s="2">
        <f>+IFERROR(RANK(J15,(J$6,J$15,J$22,J$26,J$27,J$28,J$33),0),"")</f>
        <v>5</v>
      </c>
      <c r="AJ15" s="2">
        <f>+IFERROR(RANK(K15,(K$6,K$15,K$22,K$26,K$27,K$28,K$33),0),"")</f>
        <v>5</v>
      </c>
      <c r="AK15" s="2">
        <f>+IFERROR(RANK(L15,(L$6,L$15,L$22,L$26,L$27,L$28,L$33),0),"")</f>
        <v>4</v>
      </c>
    </row>
    <row r="16" spans="1:37" s="2" customFormat="1" ht="15" customHeight="1">
      <c r="A16" s="572" t="s">
        <v>506</v>
      </c>
      <c r="B16" s="713">
        <v>996.2</v>
      </c>
      <c r="C16" s="713">
        <v>1007.63</v>
      </c>
      <c r="D16" s="713">
        <v>1017.74</v>
      </c>
      <c r="E16" s="713">
        <v>1047.92</v>
      </c>
      <c r="F16" s="713">
        <v>1091.01</v>
      </c>
      <c r="G16" s="713">
        <v>1133.26</v>
      </c>
      <c r="H16" s="713">
        <v>1165.8699999999999</v>
      </c>
      <c r="I16" s="713">
        <v>1209.9100000000001</v>
      </c>
      <c r="J16" s="713">
        <v>1282.9000000000001</v>
      </c>
      <c r="K16" s="713">
        <v>1382.49</v>
      </c>
      <c r="L16" s="713">
        <v>1492.3</v>
      </c>
      <c r="N16" s="559">
        <f t="shared" si="5"/>
        <v>49.799237100983731</v>
      </c>
      <c r="O16" s="419">
        <f t="shared" si="3"/>
        <v>496.09999999999991</v>
      </c>
      <c r="P16" s="559">
        <f t="shared" si="6"/>
        <v>91.126133130871466</v>
      </c>
      <c r="Q16" s="559">
        <f t="shared" si="4"/>
        <v>91.881713566647818</v>
      </c>
      <c r="R16" s="559">
        <f t="shared" si="4"/>
        <v>91.865398155001543</v>
      </c>
      <c r="S16" s="559">
        <f t="shared" si="4"/>
        <v>92.462985511849936</v>
      </c>
      <c r="T16" s="559">
        <f t="shared" si="4"/>
        <v>93.228797265541544</v>
      </c>
      <c r="U16" s="559">
        <f t="shared" si="4"/>
        <v>93.662495660941858</v>
      </c>
      <c r="V16" s="559">
        <f t="shared" si="4"/>
        <v>93.21367179692183</v>
      </c>
      <c r="W16" s="559">
        <f t="shared" si="4"/>
        <v>93.493597916714975</v>
      </c>
      <c r="X16" s="559">
        <f t="shared" si="4"/>
        <v>93.779239766081886</v>
      </c>
      <c r="Y16" s="559">
        <f t="shared" si="4"/>
        <v>94.26111027777398</v>
      </c>
      <c r="Z16" s="559">
        <f t="shared" si="4"/>
        <v>94.2852629916285</v>
      </c>
      <c r="AA16" s="2" t="str">
        <f>+IFERROR(RANK(B16,(B$6,B$15,B$22,B$26,B$27,B$28,B$33),0),"")</f>
        <v/>
      </c>
      <c r="AB16" s="2" t="str">
        <f>+IFERROR(RANK(C16,(C$6,C$15,C$22,C$26,C$27,C$28,C$33),0),"")</f>
        <v/>
      </c>
      <c r="AC16" s="2" t="str">
        <f>+IFERROR(RANK(D16,(D$6,D$15,D$22,D$26,D$27,D$28,D$33),0),"")</f>
        <v/>
      </c>
      <c r="AD16" s="2" t="str">
        <f>+IFERROR(RANK(E16,(E$6,E$15,E$22,E$26,E$27,E$28,E$33),0),"")</f>
        <v/>
      </c>
      <c r="AE16" s="2" t="str">
        <f>+IFERROR(RANK(F16,(F$6,F$15,F$22,F$26,F$27,F$28,F$33),0),"")</f>
        <v/>
      </c>
      <c r="AF16" s="2" t="str">
        <f>+IFERROR(RANK(G16,(G$6,G$15,G$22,G$26,G$27,G$28,G$33),0),"")</f>
        <v/>
      </c>
      <c r="AG16" s="2" t="str">
        <f>+IFERROR(RANK(H16,(H$6,H$15,H$22,H$26,H$27,H$28,H$33),0),"")</f>
        <v/>
      </c>
      <c r="AH16" s="2" t="str">
        <f>+IFERROR(RANK(I16,(I$6,I$15,I$22,I$26,I$27,I$28,I$33),0),"")</f>
        <v/>
      </c>
      <c r="AI16" s="2" t="str">
        <f>+IFERROR(RANK(J16,(J$6,J$15,J$22,J$26,J$27,J$28,J$33),0),"")</f>
        <v/>
      </c>
      <c r="AJ16" s="2" t="str">
        <f>+IFERROR(RANK(K16,(K$6,K$15,K$22,K$26,K$27,K$28,K$33),0),"")</f>
        <v/>
      </c>
      <c r="AK16" s="2" t="str">
        <f>+IFERROR(RANK(L16,(L$6,L$15,L$22,L$26,L$27,L$28,L$33),0),"")</f>
        <v/>
      </c>
    </row>
    <row r="17" spans="1:38" s="2" customFormat="1" ht="15" customHeight="1">
      <c r="A17" s="572" t="s">
        <v>507</v>
      </c>
      <c r="B17" s="713">
        <v>963.48</v>
      </c>
      <c r="C17" s="713">
        <v>964.08</v>
      </c>
      <c r="D17" s="713">
        <v>988.14</v>
      </c>
      <c r="E17" s="713">
        <v>1015.53</v>
      </c>
      <c r="F17" s="713">
        <v>1052.5</v>
      </c>
      <c r="G17" s="713">
        <v>1093.1500000000001</v>
      </c>
      <c r="H17" s="713">
        <v>1119.46</v>
      </c>
      <c r="I17" s="713">
        <v>1167.5999999999999</v>
      </c>
      <c r="J17" s="713">
        <v>1223.82</v>
      </c>
      <c r="K17" s="713">
        <v>1319.21</v>
      </c>
      <c r="L17" s="713">
        <v>1423.9</v>
      </c>
      <c r="N17" s="559">
        <f t="shared" si="5"/>
        <v>47.787188109768763</v>
      </c>
      <c r="O17" s="419">
        <f t="shared" si="3"/>
        <v>460.42000000000007</v>
      </c>
      <c r="P17" s="559">
        <f t="shared" si="6"/>
        <v>88.13311257672359</v>
      </c>
      <c r="Q17" s="559">
        <f t="shared" si="4"/>
        <v>87.910564805865079</v>
      </c>
      <c r="R17" s="559">
        <f t="shared" si="4"/>
        <v>89.19358041629809</v>
      </c>
      <c r="S17" s="559">
        <f t="shared" si="4"/>
        <v>89.605061146699143</v>
      </c>
      <c r="T17" s="559">
        <f t="shared" si="4"/>
        <v>89.938047425763727</v>
      </c>
      <c r="U17" s="559">
        <f t="shared" si="4"/>
        <v>90.34745524571467</v>
      </c>
      <c r="V17" s="559">
        <f t="shared" si="4"/>
        <v>89.503098141115331</v>
      </c>
      <c r="W17" s="559">
        <f t="shared" si="4"/>
        <v>90.224169506456164</v>
      </c>
      <c r="X17" s="559">
        <f t="shared" si="4"/>
        <v>89.46052631578948</v>
      </c>
      <c r="Y17" s="559">
        <f t="shared" si="4"/>
        <v>89.946545211569145</v>
      </c>
      <c r="Z17" s="559">
        <f t="shared" si="4"/>
        <v>89.963670826093818</v>
      </c>
      <c r="AA17" s="2" t="str">
        <f>+IFERROR(RANK(B17,(B$6,B$15,B$22,B$26,B$27,B$28,B$33),0),"")</f>
        <v/>
      </c>
      <c r="AB17" s="2" t="str">
        <f>+IFERROR(RANK(C17,(C$6,C$15,C$22,C$26,C$27,C$28,C$33),0),"")</f>
        <v/>
      </c>
      <c r="AC17" s="2" t="str">
        <f>+IFERROR(RANK(D17,(D$6,D$15,D$22,D$26,D$27,D$28,D$33),0),"")</f>
        <v/>
      </c>
      <c r="AD17" s="2" t="str">
        <f>+IFERROR(RANK(E17,(E$6,E$15,E$22,E$26,E$27,E$28,E$33),0),"")</f>
        <v/>
      </c>
      <c r="AE17" s="2" t="str">
        <f>+IFERROR(RANK(F17,(F$6,F$15,F$22,F$26,F$27,F$28,F$33),0),"")</f>
        <v/>
      </c>
      <c r="AF17" s="2" t="str">
        <f>+IFERROR(RANK(G17,(G$6,G$15,G$22,G$26,G$27,G$28,G$33),0),"")</f>
        <v/>
      </c>
      <c r="AG17" s="2" t="str">
        <f>+IFERROR(RANK(H17,(H$6,H$15,H$22,H$26,H$27,H$28,H$33),0),"")</f>
        <v/>
      </c>
      <c r="AH17" s="2" t="str">
        <f>+IFERROR(RANK(I17,(I$6,I$15,I$22,I$26,I$27,I$28,I$33),0),"")</f>
        <v/>
      </c>
      <c r="AI17" s="2" t="str">
        <f>+IFERROR(RANK(J17,(J$6,J$15,J$22,J$26,J$27,J$28,J$33),0),"")</f>
        <v/>
      </c>
      <c r="AJ17" s="2" t="str">
        <f>+IFERROR(RANK(K17,(K$6,K$15,K$22,K$26,K$27,K$28,K$33),0),"")</f>
        <v/>
      </c>
      <c r="AK17" s="2" t="str">
        <f>+IFERROR(RANK(L17,(L$6,L$15,L$22,L$26,L$27,L$28,L$33),0),"")</f>
        <v/>
      </c>
    </row>
    <row r="18" spans="1:38" s="2" customFormat="1" ht="15" customHeight="1">
      <c r="A18" s="572" t="s">
        <v>508</v>
      </c>
      <c r="B18" s="713">
        <v>988.89</v>
      </c>
      <c r="C18" s="713">
        <v>997.9</v>
      </c>
      <c r="D18" s="713">
        <v>1012.22</v>
      </c>
      <c r="E18" s="713">
        <v>1043.69</v>
      </c>
      <c r="F18" s="713">
        <v>1087.48</v>
      </c>
      <c r="G18" s="713">
        <v>1121.98</v>
      </c>
      <c r="H18" s="713">
        <v>1150.1300000000001</v>
      </c>
      <c r="I18" s="713">
        <v>1194.01</v>
      </c>
      <c r="J18" s="713">
        <v>1251.2</v>
      </c>
      <c r="K18" s="713">
        <v>1326.74</v>
      </c>
      <c r="L18" s="713">
        <v>1434.69</v>
      </c>
      <c r="N18" s="559">
        <f t="shared" si="5"/>
        <v>45.080848223766054</v>
      </c>
      <c r="O18" s="419">
        <f t="shared" si="3"/>
        <v>445.80000000000007</v>
      </c>
      <c r="P18" s="559">
        <f t="shared" si="6"/>
        <v>90.457460140320705</v>
      </c>
      <c r="Q18" s="559">
        <f t="shared" si="4"/>
        <v>90.994474130541818</v>
      </c>
      <c r="R18" s="559">
        <f t="shared" si="4"/>
        <v>91.367140252378462</v>
      </c>
      <c r="S18" s="559">
        <f t="shared" si="4"/>
        <v>92.089752413221106</v>
      </c>
      <c r="T18" s="559">
        <f t="shared" si="4"/>
        <v>92.927152317880797</v>
      </c>
      <c r="U18" s="559">
        <f t="shared" si="4"/>
        <v>92.7302180273402</v>
      </c>
      <c r="V18" s="559">
        <f t="shared" si="4"/>
        <v>91.955226863881677</v>
      </c>
      <c r="W18" s="559">
        <f t="shared" si="4"/>
        <v>92.264954292911739</v>
      </c>
      <c r="X18" s="559">
        <f t="shared" si="4"/>
        <v>91.461988304093566</v>
      </c>
      <c r="Y18" s="559">
        <f t="shared" si="4"/>
        <v>90.459956636166524</v>
      </c>
      <c r="Z18" s="559">
        <f t="shared" si="4"/>
        <v>90.64539567208972</v>
      </c>
      <c r="AA18" s="2" t="str">
        <f>+IFERROR(RANK(B18,(B$6,B$15,B$22,B$26,B$27,B$28,B$33),0),"")</f>
        <v/>
      </c>
      <c r="AB18" s="2" t="str">
        <f>+IFERROR(RANK(C18,(C$6,C$15,C$22,C$26,C$27,C$28,C$33),0),"")</f>
        <v/>
      </c>
      <c r="AC18" s="2" t="str">
        <f>+IFERROR(RANK(D18,(D$6,D$15,D$22,D$26,D$27,D$28,D$33),0),"")</f>
        <v/>
      </c>
      <c r="AD18" s="2" t="str">
        <f>+IFERROR(RANK(E18,(E$6,E$15,E$22,E$26,E$27,E$28,E$33),0),"")</f>
        <v/>
      </c>
      <c r="AE18" s="2" t="str">
        <f>+IFERROR(RANK(F18,(F$6,F$15,F$22,F$26,F$27,F$28,F$33),0),"")</f>
        <v/>
      </c>
      <c r="AF18" s="2" t="str">
        <f>+IFERROR(RANK(G18,(G$6,G$15,G$22,G$26,G$27,G$28,G$33),0),"")</f>
        <v/>
      </c>
      <c r="AG18" s="2" t="str">
        <f>+IFERROR(RANK(H18,(H$6,H$15,H$22,H$26,H$27,H$28,H$33),0),"")</f>
        <v/>
      </c>
      <c r="AH18" s="2" t="str">
        <f>+IFERROR(RANK(I18,(I$6,I$15,I$22,I$26,I$27,I$28,I$33),0),"")</f>
        <v/>
      </c>
      <c r="AI18" s="2" t="str">
        <f>+IFERROR(RANK(J18,(J$6,J$15,J$22,J$26,J$27,J$28,J$33),0),"")</f>
        <v/>
      </c>
      <c r="AJ18" s="2" t="str">
        <f>+IFERROR(RANK(K18,(K$6,K$15,K$22,K$26,K$27,K$28,K$33),0),"")</f>
        <v/>
      </c>
      <c r="AK18" s="2" t="str">
        <f>+IFERROR(RANK(L18,(L$6,L$15,L$22,L$26,L$27,L$28,L$33),0),"")</f>
        <v/>
      </c>
    </row>
    <row r="19" spans="1:38" s="2" customFormat="1" ht="15" customHeight="1">
      <c r="A19" s="572" t="s">
        <v>509</v>
      </c>
      <c r="B19" s="713">
        <v>902.75</v>
      </c>
      <c r="C19" s="713">
        <v>906.45</v>
      </c>
      <c r="D19" s="713">
        <v>913.09</v>
      </c>
      <c r="E19" s="713">
        <v>943.87</v>
      </c>
      <c r="F19" s="713">
        <v>986.58</v>
      </c>
      <c r="G19" s="713">
        <v>1025.08</v>
      </c>
      <c r="H19" s="713">
        <v>1055.3900000000001</v>
      </c>
      <c r="I19" s="713">
        <v>1099.74</v>
      </c>
      <c r="J19" s="713">
        <v>1154.72</v>
      </c>
      <c r="K19" s="713">
        <v>1239.6199999999999</v>
      </c>
      <c r="L19" s="713">
        <v>1331.89</v>
      </c>
      <c r="N19" s="559">
        <f t="shared" si="5"/>
        <v>47.536970368319032</v>
      </c>
      <c r="O19" s="419">
        <f t="shared" si="3"/>
        <v>429.1400000000001</v>
      </c>
      <c r="P19" s="559">
        <f t="shared" si="6"/>
        <v>82.577912752353157</v>
      </c>
      <c r="Q19" s="559">
        <f t="shared" si="4"/>
        <v>82.655517662721351</v>
      </c>
      <c r="R19" s="559">
        <f t="shared" si="4"/>
        <v>82.419258751105744</v>
      </c>
      <c r="S19" s="559">
        <f t="shared" si="4"/>
        <v>83.282157163781392</v>
      </c>
      <c r="T19" s="559">
        <f t="shared" si="4"/>
        <v>84.305063020722073</v>
      </c>
      <c r="U19" s="559">
        <f t="shared" si="4"/>
        <v>84.721556440815249</v>
      </c>
      <c r="V19" s="559">
        <f t="shared" si="4"/>
        <v>84.380571657005802</v>
      </c>
      <c r="W19" s="559">
        <f t="shared" si="4"/>
        <v>84.980411247884646</v>
      </c>
      <c r="X19" s="559">
        <f t="shared" si="4"/>
        <v>84.409356725146196</v>
      </c>
      <c r="Y19" s="559">
        <f t="shared" si="4"/>
        <v>84.519929636043784</v>
      </c>
      <c r="Z19" s="559">
        <f t="shared" si="4"/>
        <v>84.150371189385567</v>
      </c>
      <c r="AA19" s="2" t="str">
        <f>+IFERROR(RANK(B19,(B$6,B$15,B$22,B$26,B$27,B$28,B$33),0),"")</f>
        <v/>
      </c>
      <c r="AB19" s="2" t="str">
        <f>+IFERROR(RANK(C19,(C$6,C$15,C$22,C$26,C$27,C$28,C$33),0),"")</f>
        <v/>
      </c>
      <c r="AC19" s="2" t="str">
        <f>+IFERROR(RANK(D19,(D$6,D$15,D$22,D$26,D$27,D$28,D$33),0),"")</f>
        <v/>
      </c>
      <c r="AD19" s="2" t="str">
        <f>+IFERROR(RANK(E19,(E$6,E$15,E$22,E$26,E$27,E$28,E$33),0),"")</f>
        <v/>
      </c>
      <c r="AE19" s="2" t="str">
        <f>+IFERROR(RANK(F19,(F$6,F$15,F$22,F$26,F$27,F$28,F$33),0),"")</f>
        <v/>
      </c>
      <c r="AF19" s="2" t="str">
        <f>+IFERROR(RANK(G19,(G$6,G$15,G$22,G$26,G$27,G$28,G$33),0),"")</f>
        <v/>
      </c>
      <c r="AG19" s="2" t="str">
        <f>+IFERROR(RANK(H19,(H$6,H$15,H$22,H$26,H$27,H$28,H$33),0),"")</f>
        <v/>
      </c>
      <c r="AH19" s="2" t="str">
        <f>+IFERROR(RANK(I19,(I$6,I$15,I$22,I$26,I$27,I$28,I$33),0),"")</f>
        <v/>
      </c>
      <c r="AI19" s="2" t="str">
        <f>+IFERROR(RANK(J19,(J$6,J$15,J$22,J$26,J$27,J$28,J$33),0),"")</f>
        <v/>
      </c>
      <c r="AJ19" s="2" t="str">
        <f>+IFERROR(RANK(K19,(K$6,K$15,K$22,K$26,K$27,K$28,K$33),0),"")</f>
        <v/>
      </c>
      <c r="AK19" s="2" t="str">
        <f>+IFERROR(RANK(L19,(L$6,L$15,L$22,L$26,L$27,L$28,L$33),0),"")</f>
        <v/>
      </c>
    </row>
    <row r="20" spans="1:38" s="2" customFormat="1" ht="15" customHeight="1">
      <c r="A20" s="572" t="s">
        <v>510</v>
      </c>
      <c r="B20" s="713">
        <v>861.23</v>
      </c>
      <c r="C20" s="713">
        <v>865.41</v>
      </c>
      <c r="D20" s="713">
        <v>884.32</v>
      </c>
      <c r="E20" s="713">
        <v>914.65</v>
      </c>
      <c r="F20" s="713">
        <v>943.51</v>
      </c>
      <c r="G20" s="713">
        <v>976.21</v>
      </c>
      <c r="H20" s="713">
        <v>1016.05</v>
      </c>
      <c r="I20" s="713">
        <v>1061.8900000000001</v>
      </c>
      <c r="J20" s="713">
        <v>1106.8499999999999</v>
      </c>
      <c r="K20" s="713">
        <v>1188.93</v>
      </c>
      <c r="L20" s="713">
        <v>1279.02</v>
      </c>
      <c r="N20" s="559">
        <f t="shared" si="5"/>
        <v>48.510850759959581</v>
      </c>
      <c r="O20" s="419">
        <f t="shared" si="3"/>
        <v>417.78999999999996</v>
      </c>
      <c r="P20" s="559">
        <f t="shared" si="6"/>
        <v>78.779923345011483</v>
      </c>
      <c r="Q20" s="559">
        <f t="shared" si="4"/>
        <v>78.913245673225973</v>
      </c>
      <c r="R20" s="559">
        <f t="shared" si="4"/>
        <v>79.822360226021345</v>
      </c>
      <c r="S20" s="559">
        <f t="shared" si="4"/>
        <v>80.703937035664495</v>
      </c>
      <c r="T20" s="559">
        <f t="shared" si="4"/>
        <v>80.624652851954707</v>
      </c>
      <c r="U20" s="559">
        <f t="shared" si="4"/>
        <v>80.682513182471851</v>
      </c>
      <c r="V20" s="559">
        <f t="shared" si="4"/>
        <v>81.235258844693178</v>
      </c>
      <c r="W20" s="559">
        <f t="shared" si="4"/>
        <v>82.055621237761883</v>
      </c>
      <c r="X20" s="559">
        <f t="shared" si="4"/>
        <v>80.910087719298232</v>
      </c>
      <c r="Y20" s="559">
        <f t="shared" si="4"/>
        <v>81.063777562625276</v>
      </c>
      <c r="Z20" s="559">
        <f t="shared" si="4"/>
        <v>80.809982625177696</v>
      </c>
      <c r="AA20" s="2" t="str">
        <f>+IFERROR(RANK(B20,(B$6,B$15,B$22,B$26,B$27,B$28,B$33),0),"")</f>
        <v/>
      </c>
      <c r="AB20" s="2" t="str">
        <f>+IFERROR(RANK(C20,(C$6,C$15,C$22,C$26,C$27,C$28,C$33),0),"")</f>
        <v/>
      </c>
      <c r="AC20" s="2" t="str">
        <f>+IFERROR(RANK(D20,(D$6,D$15,D$22,D$26,D$27,D$28,D$33),0),"")</f>
        <v/>
      </c>
      <c r="AD20" s="2" t="str">
        <f>+IFERROR(RANK(E20,(E$6,E$15,E$22,E$26,E$27,E$28,E$33),0),"")</f>
        <v/>
      </c>
      <c r="AE20" s="2" t="str">
        <f>+IFERROR(RANK(F20,(F$6,F$15,F$22,F$26,F$27,F$28,F$33),0),"")</f>
        <v/>
      </c>
      <c r="AF20" s="2" t="str">
        <f>+IFERROR(RANK(G20,(G$6,G$15,G$22,G$26,G$27,G$28,G$33),0),"")</f>
        <v/>
      </c>
      <c r="AG20" s="2" t="str">
        <f>+IFERROR(RANK(H20,(H$6,H$15,H$22,H$26,H$27,H$28,H$33),0),"")</f>
        <v/>
      </c>
      <c r="AH20" s="2" t="str">
        <f>+IFERROR(RANK(I20,(I$6,I$15,I$22,I$26,I$27,I$28,I$33),0),"")</f>
        <v/>
      </c>
      <c r="AI20" s="2" t="str">
        <f>+IFERROR(RANK(J20,(J$6,J$15,J$22,J$26,J$27,J$28,J$33),0),"")</f>
        <v/>
      </c>
      <c r="AJ20" s="2" t="str">
        <f>+IFERROR(RANK(K20,(K$6,K$15,K$22,K$26,K$27,K$28,K$33),0),"")</f>
        <v/>
      </c>
      <c r="AK20" s="2" t="str">
        <f>+IFERROR(RANK(L20,(L$6,L$15,L$22,L$26,L$27,L$28,L$33),0),"")</f>
        <v/>
      </c>
    </row>
    <row r="21" spans="1:38" s="2" customFormat="1" ht="15" customHeight="1">
      <c r="A21" s="572" t="s">
        <v>511</v>
      </c>
      <c r="B21" s="713">
        <v>837.86</v>
      </c>
      <c r="C21" s="713">
        <v>845.21</v>
      </c>
      <c r="D21" s="713">
        <v>863.35</v>
      </c>
      <c r="E21" s="713">
        <v>897.58</v>
      </c>
      <c r="F21" s="713">
        <v>934.82</v>
      </c>
      <c r="G21" s="713">
        <v>974.36</v>
      </c>
      <c r="H21" s="713">
        <v>1013.44</v>
      </c>
      <c r="I21" s="713">
        <v>1051.24</v>
      </c>
      <c r="J21" s="713">
        <v>1107.68</v>
      </c>
      <c r="K21" s="713">
        <v>1180.54</v>
      </c>
      <c r="L21" s="713">
        <v>1292.95</v>
      </c>
      <c r="N21" s="559">
        <f t="shared" si="5"/>
        <v>54.315756809013436</v>
      </c>
      <c r="O21" s="419">
        <f t="shared" si="3"/>
        <v>455.09000000000003</v>
      </c>
      <c r="P21" s="559">
        <f t="shared" si="6"/>
        <v>76.642182197382013</v>
      </c>
      <c r="Q21" s="559">
        <f t="shared" si="4"/>
        <v>77.071289187168304</v>
      </c>
      <c r="R21" s="559">
        <f t="shared" si="4"/>
        <v>77.929521780730425</v>
      </c>
      <c r="S21" s="559">
        <f t="shared" si="4"/>
        <v>79.197769424885735</v>
      </c>
      <c r="T21" s="559">
        <f t="shared" si="4"/>
        <v>79.88207647938475</v>
      </c>
      <c r="U21" s="559">
        <f t="shared" si="4"/>
        <v>80.529613038663072</v>
      </c>
      <c r="V21" s="559">
        <f t="shared" si="4"/>
        <v>81.026584049570261</v>
      </c>
      <c r="W21" s="559">
        <f t="shared" si="4"/>
        <v>81.232661829365355</v>
      </c>
      <c r="X21" s="559">
        <f t="shared" si="4"/>
        <v>80.970760233918128</v>
      </c>
      <c r="Y21" s="559">
        <f t="shared" si="4"/>
        <v>80.491729507861393</v>
      </c>
      <c r="Z21" s="559">
        <f t="shared" si="4"/>
        <v>81.690096351287323</v>
      </c>
      <c r="AA21" s="2" t="str">
        <f>+IFERROR(RANK(B21,(B$6,B$15,B$22,B$26,B$27,B$28,B$33),0),"")</f>
        <v/>
      </c>
      <c r="AB21" s="2" t="str">
        <f>+IFERROR(RANK(C21,(C$6,C$15,C$22,C$26,C$27,C$28,C$33),0),"")</f>
        <v/>
      </c>
      <c r="AC21" s="2" t="str">
        <f>+IFERROR(RANK(D21,(D$6,D$15,D$22,D$26,D$27,D$28,D$33),0),"")</f>
        <v/>
      </c>
      <c r="AD21" s="2" t="str">
        <f>+IFERROR(RANK(E21,(E$6,E$15,E$22,E$26,E$27,E$28,E$33),0),"")</f>
        <v/>
      </c>
      <c r="AE21" s="2" t="str">
        <f>+IFERROR(RANK(F21,(F$6,F$15,F$22,F$26,F$27,F$28,F$33),0),"")</f>
        <v/>
      </c>
      <c r="AF21" s="2" t="str">
        <f>+IFERROR(RANK(G21,(G$6,G$15,G$22,G$26,G$27,G$28,G$33),0),"")</f>
        <v/>
      </c>
      <c r="AG21" s="2" t="str">
        <f>+IFERROR(RANK(H21,(H$6,H$15,H$22,H$26,H$27,H$28,H$33),0),"")</f>
        <v/>
      </c>
      <c r="AH21" s="2" t="str">
        <f>+IFERROR(RANK(I21,(I$6,I$15,I$22,I$26,I$27,I$28,I$33),0),"")</f>
        <v/>
      </c>
      <c r="AI21" s="2" t="str">
        <f>+IFERROR(RANK(J21,(J$6,J$15,J$22,J$26,J$27,J$28,J$33),0),"")</f>
        <v/>
      </c>
      <c r="AJ21" s="2" t="str">
        <f>+IFERROR(RANK(K21,(K$6,K$15,K$22,K$26,K$27,K$28,K$33),0),"")</f>
        <v/>
      </c>
      <c r="AK21" s="2" t="str">
        <f>+IFERROR(RANK(L21,(L$6,L$15,L$22,L$26,L$27,L$28,L$33),0),"")</f>
        <v/>
      </c>
    </row>
    <row r="22" spans="1:38" s="2" customFormat="1" ht="15" customHeight="1">
      <c r="A22" s="15" t="s">
        <v>512</v>
      </c>
      <c r="B22" s="714">
        <v>941.8</v>
      </c>
      <c r="C22" s="714">
        <v>944.36</v>
      </c>
      <c r="D22" s="714">
        <v>955.71</v>
      </c>
      <c r="E22" s="714">
        <v>976.46</v>
      </c>
      <c r="F22" s="714">
        <v>1005.57</v>
      </c>
      <c r="G22" s="714">
        <v>1035.81</v>
      </c>
      <c r="H22" s="714">
        <v>1074.8599999999999</v>
      </c>
      <c r="I22" s="714">
        <v>1115.56</v>
      </c>
      <c r="J22" s="714">
        <v>1165.73</v>
      </c>
      <c r="K22" s="714">
        <v>1249.77</v>
      </c>
      <c r="L22" s="714">
        <v>1346.57</v>
      </c>
      <c r="N22" s="559">
        <f t="shared" si="5"/>
        <v>42.978339350180519</v>
      </c>
      <c r="O22" s="419">
        <f t="shared" si="3"/>
        <v>404.77</v>
      </c>
      <c r="P22" s="559">
        <f t="shared" si="6"/>
        <v>86.149962038400673</v>
      </c>
      <c r="Q22" s="559">
        <f t="shared" si="6"/>
        <v>86.112377582842441</v>
      </c>
      <c r="R22" s="559">
        <f t="shared" si="6"/>
        <v>86.266315238387534</v>
      </c>
      <c r="S22" s="559">
        <f t="shared" si="6"/>
        <v>86.157728483950095</v>
      </c>
      <c r="T22" s="559">
        <f t="shared" si="6"/>
        <v>85.927793206579793</v>
      </c>
      <c r="U22" s="559">
        <f t="shared" si="6"/>
        <v>85.608377274906189</v>
      </c>
      <c r="V22" s="559">
        <f t="shared" si="6"/>
        <v>85.937237657405547</v>
      </c>
      <c r="W22" s="559">
        <f t="shared" si="6"/>
        <v>86.202873016976923</v>
      </c>
      <c r="X22" s="559">
        <f t="shared" si="6"/>
        <v>85.214181286549703</v>
      </c>
      <c r="Y22" s="559">
        <f t="shared" si="6"/>
        <v>85.211978236264699</v>
      </c>
      <c r="Z22" s="559">
        <f t="shared" si="6"/>
        <v>85.077870794503241</v>
      </c>
      <c r="AA22" s="2">
        <f>+IFERROR(RANK(B22,(B$6,B$15,B$22,B$26,B$27,B$28,B$33),0),"")</f>
        <v>6</v>
      </c>
      <c r="AB22" s="2">
        <f>+IFERROR(RANK(C22,(C$6,C$15,C$22,C$26,C$27,C$28,C$33),0),"")</f>
        <v>6</v>
      </c>
      <c r="AC22" s="2">
        <f>+IFERROR(RANK(D22,(D$6,D$15,D$22,D$26,D$27,D$28,D$33),0),"")</f>
        <v>6</v>
      </c>
      <c r="AD22" s="2">
        <f>+IFERROR(RANK(E22,(E$6,E$15,E$22,E$26,E$27,E$28,E$33),0),"")</f>
        <v>6</v>
      </c>
      <c r="AE22" s="2">
        <f>+IFERROR(RANK(F22,(F$6,F$15,F$22,F$26,F$27,F$28,F$33),0),"")</f>
        <v>6</v>
      </c>
      <c r="AF22" s="2">
        <f>+IFERROR(RANK(G22,(G$6,G$15,G$22,G$26,G$27,G$28,G$33),0),"")</f>
        <v>6</v>
      </c>
      <c r="AG22" s="2">
        <f>+IFERROR(RANK(H22,(H$6,H$15,H$22,H$26,H$27,H$28,H$33),0),"")</f>
        <v>6</v>
      </c>
      <c r="AH22" s="2">
        <f>+IFERROR(RANK(I22,(I$6,I$15,I$22,I$26,I$27,I$28,I$33),0),"")</f>
        <v>6</v>
      </c>
      <c r="AI22" s="2">
        <f>+IFERROR(RANK(J22,(J$6,J$15,J$22,J$26,J$27,J$28,J$33),0),"")</f>
        <v>6</v>
      </c>
      <c r="AJ22" s="2">
        <f>+IFERROR(RANK(K22,(K$6,K$15,K$22,K$26,K$27,K$28,K$33),0),"")</f>
        <v>6</v>
      </c>
      <c r="AK22" s="2">
        <f>+IFERROR(RANK(L22,(L$6,L$15,L$22,L$26,L$27,L$28,L$33),0),"")</f>
        <v>6</v>
      </c>
    </row>
    <row r="23" spans="1:38" s="18" customFormat="1" ht="15" customHeight="1">
      <c r="A23" s="572" t="s">
        <v>513</v>
      </c>
      <c r="B23" s="713">
        <v>919.7</v>
      </c>
      <c r="C23" s="713">
        <v>915.03</v>
      </c>
      <c r="D23" s="713">
        <v>937.13</v>
      </c>
      <c r="E23" s="713">
        <v>958.16</v>
      </c>
      <c r="F23" s="713">
        <v>984.69</v>
      </c>
      <c r="G23" s="713">
        <v>1019.34</v>
      </c>
      <c r="H23" s="713">
        <v>1061.1300000000001</v>
      </c>
      <c r="I23" s="713">
        <v>1106.76</v>
      </c>
      <c r="J23" s="713">
        <v>1152.3900000000001</v>
      </c>
      <c r="K23" s="713">
        <v>1237.75</v>
      </c>
      <c r="L23" s="713">
        <v>1324.42</v>
      </c>
      <c r="N23" s="559">
        <f t="shared" si="5"/>
        <v>44.005654017614447</v>
      </c>
      <c r="O23" s="419">
        <f t="shared" si="3"/>
        <v>404.72</v>
      </c>
      <c r="P23" s="559">
        <f t="shared" si="6"/>
        <v>84.128392532084405</v>
      </c>
      <c r="Q23" s="559">
        <f t="shared" si="6"/>
        <v>83.437893239472572</v>
      </c>
      <c r="R23" s="559">
        <f t="shared" si="6"/>
        <v>84.589208022674356</v>
      </c>
      <c r="S23" s="559">
        <f t="shared" si="6"/>
        <v>84.543032099811185</v>
      </c>
      <c r="T23" s="559">
        <f t="shared" si="6"/>
        <v>84.143559068575087</v>
      </c>
      <c r="U23" s="559">
        <f t="shared" si="6"/>
        <v>84.247152751376092</v>
      </c>
      <c r="V23" s="559">
        <f t="shared" si="6"/>
        <v>84.839496302218677</v>
      </c>
      <c r="W23" s="559">
        <f t="shared" si="6"/>
        <v>85.522868998771358</v>
      </c>
      <c r="X23" s="559">
        <f t="shared" si="6"/>
        <v>84.239035087719316</v>
      </c>
      <c r="Y23" s="559">
        <f t="shared" si="6"/>
        <v>84.3924290564957</v>
      </c>
      <c r="Z23" s="559">
        <f t="shared" si="6"/>
        <v>83.678407834465332</v>
      </c>
      <c r="AA23" s="2" t="str">
        <f>+IFERROR(RANK(B23,(B$6,B$15,B$22,B$26,B$27,B$28,B$33),0),"")</f>
        <v/>
      </c>
      <c r="AB23" s="2" t="str">
        <f>+IFERROR(RANK(C23,(C$6,C$15,C$22,C$26,C$27,C$28,C$33),0),"")</f>
        <v/>
      </c>
      <c r="AC23" s="2" t="str">
        <f>+IFERROR(RANK(D23,(D$6,D$15,D$22,D$26,D$27,D$28,D$33),0),"")</f>
        <v/>
      </c>
      <c r="AD23" s="2" t="str">
        <f>+IFERROR(RANK(E23,(E$6,E$15,E$22,E$26,E$27,E$28,E$33),0),"")</f>
        <v/>
      </c>
      <c r="AE23" s="2" t="str">
        <f>+IFERROR(RANK(F23,(F$6,F$15,F$22,F$26,F$27,F$28,F$33),0),"")</f>
        <v/>
      </c>
      <c r="AF23" s="2" t="str">
        <f>+IFERROR(RANK(G23,(G$6,G$15,G$22,G$26,G$27,G$28,G$33),0),"")</f>
        <v/>
      </c>
      <c r="AG23" s="2" t="str">
        <f>+IFERROR(RANK(H23,(H$6,H$15,H$22,H$26,H$27,H$28,H$33),0),"")</f>
        <v/>
      </c>
      <c r="AH23" s="2" t="str">
        <f>+IFERROR(RANK(I23,(I$6,I$15,I$22,I$26,I$27,I$28,I$33),0),"")</f>
        <v/>
      </c>
      <c r="AI23" s="2" t="str">
        <f>+IFERROR(RANK(J23,(J$6,J$15,J$22,J$26,J$27,J$28,J$33),0),"")</f>
        <v/>
      </c>
      <c r="AJ23" s="2" t="str">
        <f>+IFERROR(RANK(K23,(K$6,K$15,K$22,K$26,K$27,K$28,K$33),0),"")</f>
        <v/>
      </c>
      <c r="AK23" s="2" t="str">
        <f>+IFERROR(RANK(L23,(L$6,L$15,L$22,L$26,L$27,L$28,L$33),0),"")</f>
        <v/>
      </c>
      <c r="AL23" s="2"/>
    </row>
    <row r="24" spans="1:38" s="2" customFormat="1" ht="15" customHeight="1">
      <c r="A24" s="572" t="s">
        <v>514</v>
      </c>
      <c r="B24" s="713">
        <v>952.34</v>
      </c>
      <c r="C24" s="713">
        <v>957.84</v>
      </c>
      <c r="D24" s="713">
        <v>964.48</v>
      </c>
      <c r="E24" s="713">
        <v>993.59</v>
      </c>
      <c r="F24" s="713">
        <v>1030.6199999999999</v>
      </c>
      <c r="G24" s="713">
        <v>1063.3900000000001</v>
      </c>
      <c r="H24" s="713">
        <v>1099.6199999999999</v>
      </c>
      <c r="I24" s="713">
        <v>1126.71</v>
      </c>
      <c r="J24" s="713">
        <v>1175.72</v>
      </c>
      <c r="K24" s="713">
        <v>1259.29</v>
      </c>
      <c r="L24" s="713">
        <v>1367.1</v>
      </c>
      <c r="N24" s="559">
        <f t="shared" si="5"/>
        <v>43.551672721927034</v>
      </c>
      <c r="O24" s="419">
        <f t="shared" si="3"/>
        <v>414.75999999999988</v>
      </c>
      <c r="P24" s="559">
        <f t="shared" ref="P24:Z33" si="7">B24*100/B$5</f>
        <v>87.114095187566889</v>
      </c>
      <c r="Q24" s="559">
        <f t="shared" si="7"/>
        <v>87.341564386409644</v>
      </c>
      <c r="R24" s="559">
        <f t="shared" si="7"/>
        <v>87.057931507591221</v>
      </c>
      <c r="S24" s="559">
        <f t="shared" si="7"/>
        <v>87.669190181234228</v>
      </c>
      <c r="T24" s="559">
        <f t="shared" si="7"/>
        <v>88.068361461226218</v>
      </c>
      <c r="U24" s="559">
        <f t="shared" si="7"/>
        <v>87.887829148552825</v>
      </c>
      <c r="V24" s="559">
        <f t="shared" si="7"/>
        <v>87.916849890065947</v>
      </c>
      <c r="W24" s="559">
        <f t="shared" si="7"/>
        <v>87.064469017316924</v>
      </c>
      <c r="X24" s="559">
        <f t="shared" si="7"/>
        <v>85.944444444444443</v>
      </c>
      <c r="Y24" s="559">
        <f t="shared" si="7"/>
        <v>85.861072095782248</v>
      </c>
      <c r="Z24" s="559">
        <f t="shared" si="7"/>
        <v>86.374980255883742</v>
      </c>
      <c r="AA24" s="2" t="str">
        <f>+IFERROR(RANK(B24,(B$6,B$15,B$22,B$26,B$27,B$28,B$33),0),"")</f>
        <v/>
      </c>
      <c r="AB24" s="2" t="str">
        <f>+IFERROR(RANK(C24,(C$6,C$15,C$22,C$26,C$27,C$28,C$33),0),"")</f>
        <v/>
      </c>
      <c r="AC24" s="2" t="str">
        <f>+IFERROR(RANK(D24,(D$6,D$15,D$22,D$26,D$27,D$28,D$33),0),"")</f>
        <v/>
      </c>
      <c r="AD24" s="2" t="str">
        <f>+IFERROR(RANK(E24,(E$6,E$15,E$22,E$26,E$27,E$28,E$33),0),"")</f>
        <v/>
      </c>
      <c r="AE24" s="2" t="str">
        <f>+IFERROR(RANK(F24,(F$6,F$15,F$22,F$26,F$27,F$28,F$33),0),"")</f>
        <v/>
      </c>
      <c r="AF24" s="2" t="str">
        <f>+IFERROR(RANK(G24,(G$6,G$15,G$22,G$26,G$27,G$28,G$33),0),"")</f>
        <v/>
      </c>
      <c r="AG24" s="2" t="str">
        <f>+IFERROR(RANK(H24,(H$6,H$15,H$22,H$26,H$27,H$28,H$33),0),"")</f>
        <v/>
      </c>
      <c r="AH24" s="2" t="str">
        <f>+IFERROR(RANK(I24,(I$6,I$15,I$22,I$26,I$27,I$28,I$33),0),"")</f>
        <v/>
      </c>
      <c r="AI24" s="2" t="str">
        <f>+IFERROR(RANK(J24,(J$6,J$15,J$22,J$26,J$27,J$28,J$33),0),"")</f>
        <v/>
      </c>
      <c r="AJ24" s="2" t="str">
        <f>+IFERROR(RANK(K24,(K$6,K$15,K$22,K$26,K$27,K$28,K$33),0),"")</f>
        <v/>
      </c>
      <c r="AK24" s="2" t="str">
        <f>+IFERROR(RANK(L24,(L$6,L$15,L$22,L$26,L$27,L$28,L$33),0),"")</f>
        <v/>
      </c>
    </row>
    <row r="25" spans="1:38" s="2" customFormat="1" ht="19.5" customHeight="1">
      <c r="A25" s="572" t="s">
        <v>515</v>
      </c>
      <c r="B25" s="713">
        <v>966.16</v>
      </c>
      <c r="C25" s="713">
        <v>977.93</v>
      </c>
      <c r="D25" s="713">
        <v>976.74</v>
      </c>
      <c r="E25" s="713">
        <v>989.34</v>
      </c>
      <c r="F25" s="713">
        <v>1016</v>
      </c>
      <c r="G25" s="713">
        <v>1037.32</v>
      </c>
      <c r="H25" s="713">
        <v>1075.1500000000001</v>
      </c>
      <c r="I25" s="713">
        <v>1120.1400000000001</v>
      </c>
      <c r="J25" s="713">
        <v>1178.0899999999999</v>
      </c>
      <c r="K25" s="713">
        <v>1260.73</v>
      </c>
      <c r="L25" s="713">
        <v>1363.59</v>
      </c>
      <c r="N25" s="559">
        <f t="shared" si="5"/>
        <v>41.135008694212139</v>
      </c>
      <c r="O25" s="419">
        <f t="shared" si="3"/>
        <v>397.42999999999995</v>
      </c>
      <c r="P25" s="559">
        <f t="shared" si="7"/>
        <v>88.378262182014439</v>
      </c>
      <c r="Q25" s="559">
        <f t="shared" si="7"/>
        <v>89.173490416355108</v>
      </c>
      <c r="R25" s="559">
        <f t="shared" si="7"/>
        <v>88.164569530446087</v>
      </c>
      <c r="S25" s="559">
        <f t="shared" si="7"/>
        <v>87.294192387103607</v>
      </c>
      <c r="T25" s="559">
        <f t="shared" si="7"/>
        <v>86.819055757316818</v>
      </c>
      <c r="U25" s="559">
        <f t="shared" si="7"/>
        <v>85.733176851744716</v>
      </c>
      <c r="V25" s="559">
        <f t="shared" si="7"/>
        <v>85.960423745752564</v>
      </c>
      <c r="W25" s="559">
        <f t="shared" si="7"/>
        <v>86.556784199179376</v>
      </c>
      <c r="X25" s="559">
        <f t="shared" si="7"/>
        <v>86.117690058479525</v>
      </c>
      <c r="Y25" s="559">
        <f t="shared" si="7"/>
        <v>85.959254360247087</v>
      </c>
      <c r="Z25" s="559">
        <f t="shared" si="7"/>
        <v>86.153214342126049</v>
      </c>
      <c r="AA25" s="2" t="str">
        <f>+IFERROR(RANK(B25,(B$6,B$15,B$22,B$26,B$27,B$28,B$33),0),"")</f>
        <v/>
      </c>
      <c r="AB25" s="2" t="str">
        <f>+IFERROR(RANK(C25,(C$6,C$15,C$22,C$26,C$27,C$28,C$33),0),"")</f>
        <v/>
      </c>
      <c r="AC25" s="2" t="str">
        <f>+IFERROR(RANK(D25,(D$6,D$15,D$22,D$26,D$27,D$28,D$33),0),"")</f>
        <v/>
      </c>
      <c r="AD25" s="2" t="str">
        <f>+IFERROR(RANK(E25,(E$6,E$15,E$22,E$26,E$27,E$28,E$33),0),"")</f>
        <v/>
      </c>
      <c r="AE25" s="2" t="str">
        <f>+IFERROR(RANK(F25,(F$6,F$15,F$22,F$26,F$27,F$28,F$33),0),"")</f>
        <v/>
      </c>
      <c r="AF25" s="2" t="str">
        <f>+IFERROR(RANK(G25,(G$6,G$15,G$22,G$26,G$27,G$28,G$33),0),"")</f>
        <v/>
      </c>
      <c r="AG25" s="2" t="str">
        <f>+IFERROR(RANK(H25,(H$6,H$15,H$22,H$26,H$27,H$28,H$33),0),"")</f>
        <v/>
      </c>
      <c r="AH25" s="2" t="str">
        <f>+IFERROR(RANK(I25,(I$6,I$15,I$22,I$26,I$27,I$28,I$33),0),"")</f>
        <v/>
      </c>
      <c r="AI25" s="2" t="str">
        <f>+IFERROR(RANK(J25,(J$6,J$15,J$22,J$26,J$27,J$28,J$33),0),"")</f>
        <v/>
      </c>
      <c r="AJ25" s="2" t="str">
        <f>+IFERROR(RANK(K25,(K$6,K$15,K$22,K$26,K$27,K$28,K$33),0),"")</f>
        <v/>
      </c>
      <c r="AK25" s="2" t="str">
        <f>+IFERROR(RANK(L25,(L$6,L$15,L$22,L$26,L$27,L$28,L$33),0),"")</f>
        <v/>
      </c>
    </row>
    <row r="26" spans="1:38" ht="15" customHeight="1">
      <c r="A26" s="15" t="s">
        <v>516</v>
      </c>
      <c r="B26" s="714">
        <v>1421.25</v>
      </c>
      <c r="C26" s="714">
        <v>1420.24</v>
      </c>
      <c r="D26" s="714">
        <v>1424.28</v>
      </c>
      <c r="E26" s="714">
        <v>1447.51</v>
      </c>
      <c r="F26" s="714">
        <v>1480.76</v>
      </c>
      <c r="G26" s="714">
        <v>1518.6</v>
      </c>
      <c r="H26" s="714">
        <v>1558.34</v>
      </c>
      <c r="I26" s="714">
        <v>1609.14</v>
      </c>
      <c r="J26" s="714">
        <v>1705.14</v>
      </c>
      <c r="K26" s="714">
        <v>1817.17</v>
      </c>
      <c r="L26" s="714">
        <v>1935.68</v>
      </c>
      <c r="N26" s="559">
        <f t="shared" si="5"/>
        <v>36.195602462620947</v>
      </c>
      <c r="O26" s="419">
        <f t="shared" si="3"/>
        <v>514.43000000000006</v>
      </c>
      <c r="P26" s="559">
        <f t="shared" si="7"/>
        <v>130.00704347746543</v>
      </c>
      <c r="Q26" s="559">
        <f t="shared" si="7"/>
        <v>129.50595444349204</v>
      </c>
      <c r="R26" s="559">
        <f t="shared" si="7"/>
        <v>128.56137057028869</v>
      </c>
      <c r="S26" s="559">
        <f t="shared" si="7"/>
        <v>127.72071928988655</v>
      </c>
      <c r="T26" s="559">
        <f t="shared" si="7"/>
        <v>126.53364665669729</v>
      </c>
      <c r="U26" s="559">
        <f t="shared" si="7"/>
        <v>125.51035588541581</v>
      </c>
      <c r="V26" s="559">
        <f t="shared" si="7"/>
        <v>124.59244453328003</v>
      </c>
      <c r="W26" s="559">
        <f t="shared" si="7"/>
        <v>124.34337111992026</v>
      </c>
      <c r="X26" s="559">
        <f t="shared" si="7"/>
        <v>124.64473684210526</v>
      </c>
      <c r="Y26" s="559">
        <f t="shared" si="7"/>
        <v>123.89851772053508</v>
      </c>
      <c r="Z26" s="559">
        <f t="shared" si="7"/>
        <v>122.29853103775075</v>
      </c>
      <c r="AA26" s="2">
        <f>+IFERROR(RANK(B26,(B$6,B$15,B$22,B$26,B$27,B$28,B$33),0),"")</f>
        <v>1</v>
      </c>
      <c r="AB26" s="2">
        <f>+IFERROR(RANK(C26,(C$6,C$15,C$22,C$26,C$27,C$28,C$33),0),"")</f>
        <v>1</v>
      </c>
      <c r="AC26" s="2">
        <f>+IFERROR(RANK(D26,(D$6,D$15,D$22,D$26,D$27,D$28,D$33),0),"")</f>
        <v>1</v>
      </c>
      <c r="AD26" s="2">
        <f>+IFERROR(RANK(E26,(E$6,E$15,E$22,E$26,E$27,E$28,E$33),0),"")</f>
        <v>1</v>
      </c>
      <c r="AE26" s="2">
        <f>+IFERROR(RANK(F26,(F$6,F$15,F$22,F$26,F$27,F$28,F$33),0),"")</f>
        <v>1</v>
      </c>
      <c r="AF26" s="2">
        <f>+IFERROR(RANK(G26,(G$6,G$15,G$22,G$26,G$27,G$28,G$33),0),"")</f>
        <v>1</v>
      </c>
      <c r="AG26" s="2">
        <f>+IFERROR(RANK(H26,(H$6,H$15,H$22,H$26,H$27,H$28,H$33),0),"")</f>
        <v>1</v>
      </c>
      <c r="AH26" s="2">
        <f>+IFERROR(RANK(I26,(I$6,I$15,I$22,I$26,I$27,I$28,I$33),0),"")</f>
        <v>1</v>
      </c>
      <c r="AI26" s="2">
        <f>+IFERROR(RANK(J26,(J$6,J$15,J$22,J$26,J$27,J$28,J$33),0),"")</f>
        <v>1</v>
      </c>
      <c r="AJ26" s="2">
        <f>+IFERROR(RANK(K26,(K$6,K$15,K$22,K$26,K$27,K$28,K$33),0),"")</f>
        <v>1</v>
      </c>
      <c r="AK26" s="2">
        <f>+IFERROR(RANK(L26,(L$6,L$15,L$22,L$26,L$27,L$28,L$33),0),"")</f>
        <v>1</v>
      </c>
      <c r="AL26" s="2"/>
    </row>
    <row r="27" spans="1:38" ht="15" customHeight="1">
      <c r="A27" s="15" t="s">
        <v>517</v>
      </c>
      <c r="B27" s="714">
        <v>1132.8499999999999</v>
      </c>
      <c r="C27" s="714">
        <v>1148.9000000000001</v>
      </c>
      <c r="D27" s="714">
        <v>1180.1199999999999</v>
      </c>
      <c r="E27" s="714">
        <v>1199.6600000000001</v>
      </c>
      <c r="F27" s="714">
        <v>1208.21</v>
      </c>
      <c r="G27" s="714">
        <v>1239.43</v>
      </c>
      <c r="H27" s="714">
        <v>1283.04</v>
      </c>
      <c r="I27" s="714">
        <v>1296.72</v>
      </c>
      <c r="J27" s="714">
        <v>1361.01</v>
      </c>
      <c r="K27" s="714">
        <v>1433.11</v>
      </c>
      <c r="L27" s="714">
        <v>1545.45</v>
      </c>
      <c r="N27" s="559">
        <f t="shared" si="5"/>
        <v>36.42141501522709</v>
      </c>
      <c r="O27" s="419">
        <f t="shared" si="3"/>
        <v>412.60000000000014</v>
      </c>
      <c r="P27" s="559">
        <f t="shared" si="7"/>
        <v>103.62601878870481</v>
      </c>
      <c r="Q27" s="559">
        <f t="shared" si="7"/>
        <v>104.76355479364616</v>
      </c>
      <c r="R27" s="559">
        <f t="shared" si="7"/>
        <v>106.52248479049699</v>
      </c>
      <c r="S27" s="559">
        <f t="shared" si="7"/>
        <v>105.85173028393953</v>
      </c>
      <c r="T27" s="559">
        <f t="shared" si="7"/>
        <v>103.24375133518478</v>
      </c>
      <c r="U27" s="559">
        <f t="shared" si="7"/>
        <v>102.43731094103839</v>
      </c>
      <c r="V27" s="559">
        <f t="shared" si="7"/>
        <v>102.58165100939436</v>
      </c>
      <c r="W27" s="559">
        <f t="shared" si="7"/>
        <v>100.20168300994507</v>
      </c>
      <c r="X27" s="559">
        <f t="shared" si="7"/>
        <v>99.489035087719301</v>
      </c>
      <c r="Y27" s="559">
        <f t="shared" si="7"/>
        <v>97.71248960222546</v>
      </c>
      <c r="Z27" s="559">
        <f t="shared" si="7"/>
        <v>97.643342283999374</v>
      </c>
      <c r="AA27" s="2">
        <f>+IFERROR(RANK(B27,(B$6,B$15,B$22,B$26,B$27,B$28,B$33),0),"")</f>
        <v>2</v>
      </c>
      <c r="AB27" s="2">
        <f>+IFERROR(RANK(C27,(C$6,C$15,C$22,C$26,C$27,C$28,C$33),0),"")</f>
        <v>2</v>
      </c>
      <c r="AC27" s="2">
        <f>+IFERROR(RANK(D27,(D$6,D$15,D$22,D$26,D$27,D$28,D$33),0),"")</f>
        <v>2</v>
      </c>
      <c r="AD27" s="2">
        <f>+IFERROR(RANK(E27,(E$6,E$15,E$22,E$26,E$27,E$28,E$33),0),"")</f>
        <v>2</v>
      </c>
      <c r="AE27" s="2">
        <f>+IFERROR(RANK(F27,(F$6,F$15,F$22,F$26,F$27,F$28,F$33),0),"")</f>
        <v>2</v>
      </c>
      <c r="AF27" s="2">
        <f>+IFERROR(RANK(G27,(G$6,G$15,G$22,G$26,G$27,G$28,G$33),0),"")</f>
        <v>2</v>
      </c>
      <c r="AG27" s="2">
        <f>+IFERROR(RANK(H27,(H$6,H$15,H$22,H$26,H$27,H$28,H$33),0),"")</f>
        <v>2</v>
      </c>
      <c r="AH27" s="2">
        <f>+IFERROR(RANK(I27,(I$6,I$15,I$22,I$26,I$27,I$28,I$33),0),"")</f>
        <v>2</v>
      </c>
      <c r="AI27" s="2">
        <f>+IFERROR(RANK(J27,(J$6,J$15,J$22,J$26,J$27,J$28,J$33),0),"")</f>
        <v>2</v>
      </c>
      <c r="AJ27" s="2">
        <f>+IFERROR(RANK(K27,(K$6,K$15,K$22,K$26,K$27,K$28,K$33),0),"")</f>
        <v>2</v>
      </c>
      <c r="AK27" s="2">
        <f>+IFERROR(RANK(L27,(L$6,L$15,L$22,L$26,L$27,L$28,L$33),0),"")</f>
        <v>2</v>
      </c>
      <c r="AL27" s="2"/>
    </row>
    <row r="28" spans="1:38" ht="15" customHeight="1">
      <c r="A28" s="15" t="s">
        <v>518</v>
      </c>
      <c r="B28" s="714">
        <v>1002.5</v>
      </c>
      <c r="C28" s="714">
        <v>1002.63</v>
      </c>
      <c r="D28" s="714">
        <v>1008.46</v>
      </c>
      <c r="E28" s="714">
        <v>1030.52</v>
      </c>
      <c r="F28" s="714">
        <v>1069.43</v>
      </c>
      <c r="G28" s="714">
        <v>1083.6300000000001</v>
      </c>
      <c r="H28" s="714">
        <v>1124.75</v>
      </c>
      <c r="I28" s="714">
        <v>1171.17</v>
      </c>
      <c r="J28" s="714">
        <v>1225.05</v>
      </c>
      <c r="K28" s="714">
        <v>1326.13</v>
      </c>
      <c r="L28" s="714">
        <v>1409.53</v>
      </c>
      <c r="N28" s="559">
        <f t="shared" si="5"/>
        <v>40.601496259351613</v>
      </c>
      <c r="O28" s="419">
        <f t="shared" si="3"/>
        <v>407.03</v>
      </c>
      <c r="P28" s="559">
        <f t="shared" si="7"/>
        <v>91.702417650771579</v>
      </c>
      <c r="Q28" s="559">
        <f t="shared" si="7"/>
        <v>91.42578374336621</v>
      </c>
      <c r="R28" s="559">
        <f t="shared" si="7"/>
        <v>91.027747188272897</v>
      </c>
      <c r="S28" s="559">
        <f t="shared" si="7"/>
        <v>90.927700425291619</v>
      </c>
      <c r="T28" s="559">
        <f t="shared" si="7"/>
        <v>91.3847468489639</v>
      </c>
      <c r="U28" s="559">
        <f t="shared" si="7"/>
        <v>89.560639370547307</v>
      </c>
      <c r="V28" s="559">
        <f t="shared" si="7"/>
        <v>89.926044373375973</v>
      </c>
      <c r="W28" s="559">
        <f t="shared" si="7"/>
        <v>90.50003477293275</v>
      </c>
      <c r="X28" s="559">
        <f t="shared" si="7"/>
        <v>89.550438596491233</v>
      </c>
      <c r="Y28" s="559">
        <f t="shared" si="7"/>
        <v>90.418365538025171</v>
      </c>
      <c r="Z28" s="559">
        <f t="shared" si="7"/>
        <v>89.055757384299483</v>
      </c>
      <c r="AA28" s="2">
        <f>+IFERROR(RANK(B28,(B$6,B$15,B$22,B$26,B$27,B$28,B$33),0),"")</f>
        <v>3</v>
      </c>
      <c r="AB28" s="2">
        <f>+IFERROR(RANK(C28,(C$6,C$15,C$22,C$26,C$27,C$28,C$33),0),"")</f>
        <v>3</v>
      </c>
      <c r="AC28" s="2">
        <f>+IFERROR(RANK(D28,(D$6,D$15,D$22,D$26,D$27,D$28,D$33),0),"")</f>
        <v>3</v>
      </c>
      <c r="AD28" s="2">
        <f>+IFERROR(RANK(E28,(E$6,E$15,E$22,E$26,E$27,E$28,E$33),0),"")</f>
        <v>3</v>
      </c>
      <c r="AE28" s="2">
        <f>+IFERROR(RANK(F28,(F$6,F$15,F$22,F$26,F$27,F$28,F$33),0),"")</f>
        <v>3</v>
      </c>
      <c r="AF28" s="2">
        <f>+IFERROR(RANK(G28,(G$6,G$15,G$22,G$26,G$27,G$28,G$33),0),"")</f>
        <v>4</v>
      </c>
      <c r="AG28" s="2">
        <f>+IFERROR(RANK(H28,(H$6,H$15,H$22,H$26,H$27,H$28,H$33),0),"")</f>
        <v>4</v>
      </c>
      <c r="AH28" s="2">
        <f>+IFERROR(RANK(I28,(I$6,I$15,I$22,I$26,I$27,I$28,I$33),0),"")</f>
        <v>4</v>
      </c>
      <c r="AI28" s="2">
        <f>+IFERROR(RANK(J28,(J$6,J$15,J$22,J$26,J$27,J$28,J$33),0),"")</f>
        <v>4</v>
      </c>
      <c r="AJ28" s="2">
        <f>+IFERROR(RANK(K28,(K$6,K$15,K$22,K$26,K$27,K$28,K$33),0),"")</f>
        <v>4</v>
      </c>
      <c r="AK28" s="2">
        <f>+IFERROR(RANK(L28,(L$6,L$15,L$22,L$26,L$27,L$28,L$33),0),"")</f>
        <v>5</v>
      </c>
      <c r="AL28" s="2"/>
    </row>
    <row r="29" spans="1:38" ht="15" customHeight="1">
      <c r="A29" s="572" t="s">
        <v>519</v>
      </c>
      <c r="B29" s="713">
        <v>1155.58</v>
      </c>
      <c r="C29" s="713">
        <v>1137.03</v>
      </c>
      <c r="D29" s="713">
        <v>1131.0999999999999</v>
      </c>
      <c r="E29" s="713">
        <v>1142.95</v>
      </c>
      <c r="F29" s="713">
        <v>1184</v>
      </c>
      <c r="G29" s="713">
        <v>1165.44</v>
      </c>
      <c r="H29" s="713">
        <v>1206.6300000000001</v>
      </c>
      <c r="I29" s="713">
        <v>1232.3399999999999</v>
      </c>
      <c r="J29" s="713">
        <v>1283.29</v>
      </c>
      <c r="K29" s="713">
        <v>1419.88</v>
      </c>
      <c r="L29" s="713">
        <v>1480.81</v>
      </c>
      <c r="N29" s="559">
        <f t="shared" si="5"/>
        <v>28.144308485782044</v>
      </c>
      <c r="O29" s="419">
        <f t="shared" si="3"/>
        <v>325.23</v>
      </c>
      <c r="P29" s="559">
        <f t="shared" si="7"/>
        <v>105.70521674701109</v>
      </c>
      <c r="Q29" s="559">
        <f t="shared" si="7"/>
        <v>103.68117739317563</v>
      </c>
      <c r="R29" s="559">
        <f t="shared" si="7"/>
        <v>102.09773798133338</v>
      </c>
      <c r="S29" s="559">
        <f t="shared" si="7"/>
        <v>100.84793618861066</v>
      </c>
      <c r="T29" s="559">
        <f t="shared" si="7"/>
        <v>101.17496261482589</v>
      </c>
      <c r="U29" s="559">
        <f t="shared" si="7"/>
        <v>96.322131675950871</v>
      </c>
      <c r="V29" s="559">
        <f t="shared" si="7"/>
        <v>96.472516490105946</v>
      </c>
      <c r="W29" s="559">
        <f t="shared" si="7"/>
        <v>95.226835431300273</v>
      </c>
      <c r="X29" s="559">
        <f t="shared" si="7"/>
        <v>93.807748538011694</v>
      </c>
      <c r="Y29" s="559">
        <f t="shared" si="7"/>
        <v>96.810440047454762</v>
      </c>
      <c r="Z29" s="559">
        <f t="shared" si="7"/>
        <v>93.559311325225082</v>
      </c>
      <c r="AA29" s="2" t="str">
        <f>+IFERROR(RANK(B29,(B$6,B$15,B$22,B$26,B$27,B$28,B$33),0),"")</f>
        <v/>
      </c>
      <c r="AB29" s="2" t="str">
        <f>+IFERROR(RANK(C29,(C$6,C$15,C$22,C$26,C$27,C$28,C$33),0),"")</f>
        <v/>
      </c>
      <c r="AC29" s="2" t="str">
        <f>+IFERROR(RANK(D29,(D$6,D$15,D$22,D$26,D$27,D$28,D$33),0),"")</f>
        <v/>
      </c>
      <c r="AD29" s="2" t="str">
        <f>+IFERROR(RANK(E29,(E$6,E$15,E$22,E$26,E$27,E$28,E$33),0),"")</f>
        <v/>
      </c>
      <c r="AE29" s="2" t="str">
        <f>+IFERROR(RANK(F29,(F$6,F$15,F$22,F$26,F$27,F$28,F$33),0),"")</f>
        <v/>
      </c>
      <c r="AF29" s="2" t="str">
        <f>+IFERROR(RANK(G29,(G$6,G$15,G$22,G$26,G$27,G$28,G$33),0),"")</f>
        <v/>
      </c>
      <c r="AG29" s="2" t="str">
        <f>+IFERROR(RANK(H29,(H$6,H$15,H$22,H$26,H$27,H$28,H$33),0),"")</f>
        <v/>
      </c>
      <c r="AH29" s="2" t="str">
        <f>+IFERROR(RANK(I29,(I$6,I$15,I$22,I$26,I$27,I$28,I$33),0),"")</f>
        <v/>
      </c>
      <c r="AI29" s="2" t="str">
        <f>+IFERROR(RANK(J29,(J$6,J$15,J$22,J$26,J$27,J$28,J$33),0),"")</f>
        <v/>
      </c>
      <c r="AJ29" s="2" t="str">
        <f>+IFERROR(RANK(K29,(K$6,K$15,K$22,K$26,K$27,K$28,K$33),0),"")</f>
        <v/>
      </c>
      <c r="AK29" s="2" t="str">
        <f>+IFERROR(RANK(L29,(L$6,L$15,L$22,L$26,L$27,L$28,L$33),0),"")</f>
        <v/>
      </c>
      <c r="AL29" s="2"/>
    </row>
    <row r="30" spans="1:38" ht="15" customHeight="1">
      <c r="A30" s="572" t="s">
        <v>520</v>
      </c>
      <c r="B30" s="713">
        <v>1016.33</v>
      </c>
      <c r="C30" s="713">
        <v>1025.9100000000001</v>
      </c>
      <c r="D30" s="713">
        <v>1026.24</v>
      </c>
      <c r="E30" s="713">
        <v>1053.33</v>
      </c>
      <c r="F30" s="713">
        <v>1104.1400000000001</v>
      </c>
      <c r="G30" s="713">
        <v>1129.81</v>
      </c>
      <c r="H30" s="713">
        <v>1166.3</v>
      </c>
      <c r="I30" s="713">
        <v>1237.79</v>
      </c>
      <c r="J30" s="713">
        <v>1284.96</v>
      </c>
      <c r="K30" s="713">
        <v>1401.29</v>
      </c>
      <c r="L30" s="713">
        <v>1469.2</v>
      </c>
      <c r="N30" s="559">
        <f t="shared" si="5"/>
        <v>44.559345881751014</v>
      </c>
      <c r="O30" s="419">
        <f t="shared" si="3"/>
        <v>452.87</v>
      </c>
      <c r="P30" s="559">
        <f t="shared" si="7"/>
        <v>92.96749938255229</v>
      </c>
      <c r="Q30" s="559">
        <f t="shared" si="7"/>
        <v>93.548593000565361</v>
      </c>
      <c r="R30" s="559">
        <f t="shared" si="7"/>
        <v>92.632643113750845</v>
      </c>
      <c r="S30" s="559">
        <f t="shared" si="7"/>
        <v>92.940335645084446</v>
      </c>
      <c r="T30" s="559">
        <f t="shared" si="7"/>
        <v>94.35077974791713</v>
      </c>
      <c r="U30" s="559">
        <f t="shared" si="7"/>
        <v>93.377357554920081</v>
      </c>
      <c r="V30" s="559">
        <f t="shared" si="7"/>
        <v>93.248051169298421</v>
      </c>
      <c r="W30" s="559">
        <f t="shared" si="7"/>
        <v>95.647974283484416</v>
      </c>
      <c r="X30" s="559">
        <f t="shared" si="7"/>
        <v>93.929824561403507</v>
      </c>
      <c r="Y30" s="559">
        <f t="shared" si="7"/>
        <v>95.542934286064934</v>
      </c>
      <c r="Z30" s="559">
        <f t="shared" si="7"/>
        <v>92.825777918180378</v>
      </c>
      <c r="AA30" s="2" t="str">
        <f>+IFERROR(RANK(B30,(B$6,B$15,B$22,B$26,B$27,B$28,B$33),0),"")</f>
        <v/>
      </c>
      <c r="AB30" s="2" t="str">
        <f>+IFERROR(RANK(C30,(C$6,C$15,C$22,C$26,C$27,C$28,C$33),0),"")</f>
        <v/>
      </c>
      <c r="AC30" s="2" t="str">
        <f>+IFERROR(RANK(D30,(D$6,D$15,D$22,D$26,D$27,D$28,D$33),0),"")</f>
        <v/>
      </c>
      <c r="AD30" s="2" t="str">
        <f>+IFERROR(RANK(E30,(E$6,E$15,E$22,E$26,E$27,E$28,E$33),0),"")</f>
        <v/>
      </c>
      <c r="AE30" s="2" t="str">
        <f>+IFERROR(RANK(F30,(F$6,F$15,F$22,F$26,F$27,F$28,F$33),0),"")</f>
        <v/>
      </c>
      <c r="AF30" s="2" t="str">
        <f>+IFERROR(RANK(G30,(G$6,G$15,G$22,G$26,G$27,G$28,G$33),0),"")</f>
        <v/>
      </c>
      <c r="AG30" s="2" t="str">
        <f>+IFERROR(RANK(H30,(H$6,H$15,H$22,H$26,H$27,H$28,H$33),0),"")</f>
        <v/>
      </c>
      <c r="AH30" s="2" t="str">
        <f>+IFERROR(RANK(I30,(I$6,I$15,I$22,I$26,I$27,I$28,I$33),0),"")</f>
        <v/>
      </c>
      <c r="AI30" s="2" t="str">
        <f>+IFERROR(RANK(J30,(J$6,J$15,J$22,J$26,J$27,J$28,J$33),0),"")</f>
        <v/>
      </c>
      <c r="AJ30" s="2" t="str">
        <f>+IFERROR(RANK(K30,(K$6,K$15,K$22,K$26,K$27,K$28,K$33),0),"")</f>
        <v/>
      </c>
      <c r="AK30" s="2" t="str">
        <f>+IFERROR(RANK(L30,(L$6,L$15,L$22,L$26,L$27,L$28,L$33),0),"")</f>
        <v/>
      </c>
      <c r="AL30" s="2"/>
    </row>
    <row r="31" spans="1:38" ht="15" customHeight="1">
      <c r="A31" s="572" t="s">
        <v>521</v>
      </c>
      <c r="B31" s="713">
        <v>897.83</v>
      </c>
      <c r="C31" s="713">
        <v>901.87</v>
      </c>
      <c r="D31" s="713">
        <v>915.42</v>
      </c>
      <c r="E31" s="713">
        <v>934.83</v>
      </c>
      <c r="F31" s="713">
        <v>968.23</v>
      </c>
      <c r="G31" s="713">
        <v>989.48</v>
      </c>
      <c r="H31" s="713">
        <v>1029.47</v>
      </c>
      <c r="I31" s="713">
        <v>1078.92</v>
      </c>
      <c r="J31" s="713">
        <v>1126.5999999999999</v>
      </c>
      <c r="K31" s="713">
        <v>1197.92</v>
      </c>
      <c r="L31" s="713">
        <v>1295.3599999999999</v>
      </c>
      <c r="N31" s="559">
        <f t="shared" si="5"/>
        <v>44.276756178786613</v>
      </c>
      <c r="O31" s="419">
        <f t="shared" si="3"/>
        <v>397.52999999999986</v>
      </c>
      <c r="P31" s="559">
        <f t="shared" si="7"/>
        <v>82.127861984431163</v>
      </c>
      <c r="Q31" s="559">
        <f t="shared" si="7"/>
        <v>82.237885944595405</v>
      </c>
      <c r="R31" s="559">
        <f t="shared" si="7"/>
        <v>82.629574133915838</v>
      </c>
      <c r="S31" s="559">
        <f t="shared" si="7"/>
        <v>82.484514796971794</v>
      </c>
      <c r="T31" s="559">
        <f t="shared" si="7"/>
        <v>82.737022003845325</v>
      </c>
      <c r="U31" s="559">
        <f t="shared" si="7"/>
        <v>81.77926178157594</v>
      </c>
      <c r="V31" s="559">
        <f t="shared" si="7"/>
        <v>82.308215070957431</v>
      </c>
      <c r="W31" s="559">
        <f t="shared" si="7"/>
        <v>83.371583559357404</v>
      </c>
      <c r="X31" s="559">
        <f t="shared" si="7"/>
        <v>82.353801169590639</v>
      </c>
      <c r="Y31" s="559">
        <f t="shared" si="7"/>
        <v>81.67673489424952</v>
      </c>
      <c r="Z31" s="559">
        <f t="shared" si="7"/>
        <v>81.842362975833197</v>
      </c>
      <c r="AA31" s="2" t="str">
        <f>+IFERROR(RANK(B31,(B$6,B$15,B$22,B$26,B$27,B$28,B$33),0),"")</f>
        <v/>
      </c>
      <c r="AB31" s="2" t="str">
        <f>+IFERROR(RANK(C31,(C$6,C$15,C$22,C$26,C$27,C$28,C$33),0),"")</f>
        <v/>
      </c>
      <c r="AC31" s="2" t="str">
        <f>+IFERROR(RANK(D31,(D$6,D$15,D$22,D$26,D$27,D$28,D$33),0),"")</f>
        <v/>
      </c>
      <c r="AD31" s="2" t="str">
        <f>+IFERROR(RANK(E31,(E$6,E$15,E$22,E$26,E$27,E$28,E$33),0),"")</f>
        <v/>
      </c>
      <c r="AE31" s="2" t="str">
        <f>+IFERROR(RANK(F31,(F$6,F$15,F$22,F$26,F$27,F$28,F$33),0),"")</f>
        <v/>
      </c>
      <c r="AF31" s="2" t="str">
        <f>+IFERROR(RANK(G31,(G$6,G$15,G$22,G$26,G$27,G$28,G$33),0),"")</f>
        <v/>
      </c>
      <c r="AG31" s="2" t="str">
        <f>+IFERROR(RANK(H31,(H$6,H$15,H$22,H$26,H$27,H$28,H$33),0),"")</f>
        <v/>
      </c>
      <c r="AH31" s="2" t="str">
        <f>+IFERROR(RANK(I31,(I$6,I$15,I$22,I$26,I$27,I$28,I$33),0),"")</f>
        <v/>
      </c>
      <c r="AI31" s="2" t="str">
        <f>+IFERROR(RANK(J31,(J$6,J$15,J$22,J$26,J$27,J$28,J$33),0),"")</f>
        <v/>
      </c>
      <c r="AJ31" s="2" t="str">
        <f>+IFERROR(RANK(K31,(K$6,K$15,K$22,K$26,K$27,K$28,K$33),0),"")</f>
        <v/>
      </c>
      <c r="AK31" s="2" t="str">
        <f>+IFERROR(RANK(L31,(L$6,L$15,L$22,L$26,L$27,L$28,L$33),0),"")</f>
        <v/>
      </c>
      <c r="AL31" s="2"/>
    </row>
    <row r="32" spans="1:38" ht="15" customHeight="1">
      <c r="A32" s="572" t="s">
        <v>522</v>
      </c>
      <c r="B32" s="713">
        <v>955.65</v>
      </c>
      <c r="C32" s="713">
        <v>956.12</v>
      </c>
      <c r="D32" s="713">
        <v>967.64</v>
      </c>
      <c r="E32" s="713">
        <v>992.35</v>
      </c>
      <c r="F32" s="713">
        <v>1020.7</v>
      </c>
      <c r="G32" s="713">
        <v>1045.47</v>
      </c>
      <c r="H32" s="713">
        <v>1086.77</v>
      </c>
      <c r="I32" s="713">
        <v>1127.29</v>
      </c>
      <c r="J32" s="713">
        <v>1190.57</v>
      </c>
      <c r="K32" s="713">
        <v>1271.71</v>
      </c>
      <c r="L32" s="713">
        <v>1371.98</v>
      </c>
      <c r="N32" s="559">
        <f t="shared" si="5"/>
        <v>43.565112750483962</v>
      </c>
      <c r="O32" s="419">
        <f t="shared" si="3"/>
        <v>416.33000000000004</v>
      </c>
      <c r="P32" s="559">
        <f t="shared" si="7"/>
        <v>87.416873244847736</v>
      </c>
      <c r="Q32" s="559">
        <f t="shared" si="7"/>
        <v>87.184724527200771</v>
      </c>
      <c r="R32" s="559">
        <f t="shared" si="7"/>
        <v>87.343166104020369</v>
      </c>
      <c r="S32" s="559">
        <f t="shared" si="7"/>
        <v>87.559779060123176</v>
      </c>
      <c r="T32" s="559">
        <f t="shared" si="7"/>
        <v>87.220679342020929</v>
      </c>
      <c r="U32" s="559">
        <f t="shared" si="7"/>
        <v>86.406763971767191</v>
      </c>
      <c r="V32" s="559">
        <f t="shared" si="7"/>
        <v>86.889466320207873</v>
      </c>
      <c r="W32" s="559">
        <f t="shared" si="7"/>
        <v>87.109287463971384</v>
      </c>
      <c r="X32" s="559">
        <f t="shared" si="7"/>
        <v>87.029970760233923</v>
      </c>
      <c r="Y32" s="559">
        <f t="shared" si="7"/>
        <v>86.707894126791487</v>
      </c>
      <c r="Z32" s="559">
        <f t="shared" si="7"/>
        <v>86.68330437529616</v>
      </c>
      <c r="AA32" s="2" t="str">
        <f>+IFERROR(RANK(B32,(B$6,B$15,B$22,B$26,B$27,B$28,B$33),0),"")</f>
        <v/>
      </c>
      <c r="AB32" s="2" t="str">
        <f>+IFERROR(RANK(C32,(C$6,C$15,C$22,C$26,C$27,C$28,C$33),0),"")</f>
        <v/>
      </c>
      <c r="AC32" s="2" t="str">
        <f>+IFERROR(RANK(D32,(D$6,D$15,D$22,D$26,D$27,D$28,D$33),0),"")</f>
        <v/>
      </c>
      <c r="AD32" s="2" t="str">
        <f>+IFERROR(RANK(E32,(E$6,E$15,E$22,E$26,E$27,E$28,E$33),0),"")</f>
        <v/>
      </c>
      <c r="AE32" s="2" t="str">
        <f>+IFERROR(RANK(F32,(F$6,F$15,F$22,F$26,F$27,F$28,F$33),0),"")</f>
        <v/>
      </c>
      <c r="AF32" s="2" t="str">
        <f>+IFERROR(RANK(G32,(G$6,G$15,G$22,G$26,G$27,G$28,G$33),0),"")</f>
        <v/>
      </c>
      <c r="AG32" s="2" t="str">
        <f>+IFERROR(RANK(H32,(H$6,H$15,H$22,H$26,H$27,H$28,H$33),0),"")</f>
        <v/>
      </c>
      <c r="AH32" s="2" t="str">
        <f>+IFERROR(RANK(I32,(I$6,I$15,I$22,I$26,I$27,I$28,I$33),0),"")</f>
        <v/>
      </c>
      <c r="AI32" s="2" t="str">
        <f>+IFERROR(RANK(J32,(J$6,J$15,J$22,J$26,J$27,J$28,J$33),0),"")</f>
        <v/>
      </c>
      <c r="AJ32" s="2" t="str">
        <f>+IFERROR(RANK(K32,(K$6,K$15,K$22,K$26,K$27,K$28,K$33),0),"")</f>
        <v/>
      </c>
      <c r="AK32" s="2" t="str">
        <f>+IFERROR(RANK(L32,(L$6,L$15,L$22,L$26,L$27,L$28,L$33),0),"")</f>
        <v/>
      </c>
      <c r="AL32" s="2"/>
    </row>
    <row r="33" spans="1:38" ht="15" customHeight="1">
      <c r="A33" s="17" t="s">
        <v>523</v>
      </c>
      <c r="B33" s="715">
        <v>927.58</v>
      </c>
      <c r="C33" s="715">
        <v>926.13</v>
      </c>
      <c r="D33" s="715">
        <v>942.73</v>
      </c>
      <c r="E33" s="715">
        <v>968.19</v>
      </c>
      <c r="F33" s="715">
        <v>999.05</v>
      </c>
      <c r="G33" s="715">
        <v>1029.01</v>
      </c>
      <c r="H33" s="715">
        <v>1070.96</v>
      </c>
      <c r="I33" s="715">
        <v>1106.32</v>
      </c>
      <c r="J33" s="715">
        <v>1150.81</v>
      </c>
      <c r="K33" s="715">
        <v>1238.68</v>
      </c>
      <c r="L33" s="715">
        <v>1320.22</v>
      </c>
      <c r="N33" s="559">
        <f t="shared" si="5"/>
        <v>42.329502576597157</v>
      </c>
      <c r="O33" s="419">
        <f t="shared" si="3"/>
        <v>392.64</v>
      </c>
      <c r="P33" s="559">
        <f t="shared" si="7"/>
        <v>84.849205550626138</v>
      </c>
      <c r="Q33" s="559">
        <f t="shared" si="7"/>
        <v>84.450057447157732</v>
      </c>
      <c r="R33" s="559">
        <f t="shared" si="7"/>
        <v>85.094687054320957</v>
      </c>
      <c r="S33" s="559">
        <f t="shared" si="7"/>
        <v>85.428026893959455</v>
      </c>
      <c r="T33" s="559">
        <f t="shared" si="7"/>
        <v>85.37064729758599</v>
      </c>
      <c r="U33" s="559">
        <f t="shared" si="7"/>
        <v>85.04636593550093</v>
      </c>
      <c r="V33" s="559">
        <f t="shared" si="7"/>
        <v>85.625424745152912</v>
      </c>
      <c r="W33" s="559">
        <f t="shared" si="7"/>
        <v>85.488868797861088</v>
      </c>
      <c r="X33" s="559">
        <f t="shared" si="7"/>
        <v>84.123538011695913</v>
      </c>
      <c r="Y33" s="559">
        <f t="shared" si="7"/>
        <v>84.455838435629246</v>
      </c>
      <c r="Z33" s="559">
        <f t="shared" si="7"/>
        <v>83.413046912020221</v>
      </c>
      <c r="AA33" s="2">
        <f>+IFERROR(RANK(B33,(B$6,B$15,B$22,B$26,B$27,B$28,B$33),0),"")</f>
        <v>7</v>
      </c>
      <c r="AB33" s="2">
        <f>+IFERROR(RANK(C33,(C$6,C$15,C$22,C$26,C$27,C$28,C$33),0),"")</f>
        <v>7</v>
      </c>
      <c r="AC33" s="2">
        <f>+IFERROR(RANK(D33,(D$6,D$15,D$22,D$26,D$27,D$28,D$33),0),"")</f>
        <v>7</v>
      </c>
      <c r="AD33" s="2">
        <f>+IFERROR(RANK(E33,(E$6,E$15,E$22,E$26,E$27,E$28,E$33),0),"")</f>
        <v>7</v>
      </c>
      <c r="AE33" s="2">
        <f>+IFERROR(RANK(F33,(F$6,F$15,F$22,F$26,F$27,F$28,F$33),0),"")</f>
        <v>7</v>
      </c>
      <c r="AF33" s="2">
        <f>+IFERROR(RANK(G33,(G$6,G$15,G$22,G$26,G$27,G$28,G$33),0),"")</f>
        <v>7</v>
      </c>
      <c r="AG33" s="2">
        <f>+IFERROR(RANK(H33,(H$6,H$15,H$22,H$26,H$27,H$28,H$33),0),"")</f>
        <v>7</v>
      </c>
      <c r="AH33" s="2">
        <f>+IFERROR(RANK(I33,(I$6,I$15,I$22,I$26,I$27,I$28,I$33),0),"")</f>
        <v>7</v>
      </c>
      <c r="AI33" s="2">
        <f>+IFERROR(RANK(J33,(J$6,J$15,J$22,J$26,J$27,J$28,J$33),0),"")</f>
        <v>7</v>
      </c>
      <c r="AJ33" s="2">
        <f>+IFERROR(RANK(K33,(K$6,K$15,K$22,K$26,K$27,K$28,K$33),0),"")</f>
        <v>7</v>
      </c>
      <c r="AK33" s="2">
        <f>+IFERROR(RANK(L33,(L$6,L$15,L$22,L$26,L$27,L$28,L$33),0),"")</f>
        <v>7</v>
      </c>
      <c r="AL33" s="18"/>
    </row>
    <row r="34" spans="1:38" ht="15" customHeight="1">
      <c r="A34" s="19" t="s">
        <v>769</v>
      </c>
      <c r="B34" s="296"/>
      <c r="C34" s="296"/>
      <c r="D34" s="140"/>
      <c r="E34" s="140"/>
      <c r="F34" s="140"/>
      <c r="G34" s="140"/>
      <c r="H34" s="140"/>
      <c r="I34" s="140"/>
      <c r="J34" s="140"/>
      <c r="K34" s="140"/>
      <c r="L34" s="140"/>
      <c r="AL34" s="2"/>
    </row>
    <row r="35" spans="1:38" ht="15" customHeight="1">
      <c r="A35" s="995" t="s">
        <v>129</v>
      </c>
      <c r="B35" s="995"/>
      <c r="C35" s="995"/>
      <c r="D35" s="995"/>
      <c r="E35" s="995"/>
      <c r="F35" s="995"/>
      <c r="G35" s="995"/>
      <c r="H35" s="995"/>
      <c r="I35" s="995"/>
      <c r="J35" s="995"/>
      <c r="K35" s="995"/>
      <c r="L35" s="995"/>
      <c r="AL35" s="2"/>
    </row>
  </sheetData>
  <mergeCells count="2">
    <mergeCell ref="A1:L1"/>
    <mergeCell ref="A35:L35"/>
  </mergeCells>
  <conditionalFormatting sqref="A1 E2:E3 E36:E1048576 A2:C2 A3 A36:C1048576 M1:M1048576 AM1:XFD1048576">
    <cfRule type="cellIs" dxfId="426" priority="36" operator="equal">
      <formula>0</formula>
    </cfRule>
  </conditionalFormatting>
  <conditionalFormatting sqref="D2:D3 D36:D1048576">
    <cfRule type="cellIs" dxfId="425" priority="35" operator="equal">
      <formula>0</formula>
    </cfRule>
  </conditionalFormatting>
  <conditionalFormatting sqref="G2:G3 G36:G1048576">
    <cfRule type="cellIs" dxfId="424" priority="34" operator="equal">
      <formula>0</formula>
    </cfRule>
  </conditionalFormatting>
  <conditionalFormatting sqref="F2:F3 F36:F1048576">
    <cfRule type="cellIs" dxfId="423" priority="33" operator="equal">
      <formula>0</formula>
    </cfRule>
  </conditionalFormatting>
  <conditionalFormatting sqref="H2:H3 H36:H1048576">
    <cfRule type="cellIs" dxfId="422" priority="32" operator="equal">
      <formula>0</formula>
    </cfRule>
  </conditionalFormatting>
  <conditionalFormatting sqref="I2:I3 I36:I1048576">
    <cfRule type="cellIs" dxfId="421" priority="31" operator="equal">
      <formula>0</formula>
    </cfRule>
  </conditionalFormatting>
  <conditionalFormatting sqref="J2:J3 J36:J1048576">
    <cfRule type="cellIs" dxfId="420" priority="30" operator="equal">
      <formula>0</formula>
    </cfRule>
  </conditionalFormatting>
  <conditionalFormatting sqref="K2:K3 K36:K1048576">
    <cfRule type="cellIs" dxfId="419" priority="29" operator="equal">
      <formula>0</formula>
    </cfRule>
  </conditionalFormatting>
  <conditionalFormatting sqref="L2:L3 L36:L1048576">
    <cfRule type="cellIs" dxfId="418" priority="28" operator="equal">
      <formula>0</formula>
    </cfRule>
  </conditionalFormatting>
  <conditionalFormatting sqref="A35 A4:C4 B34:D34 B5:L6">
    <cfRule type="cellIs" dxfId="417" priority="27" operator="equal">
      <formula>0</formula>
    </cfRule>
  </conditionalFormatting>
  <conditionalFormatting sqref="D4">
    <cfRule type="cellIs" dxfId="416" priority="25" operator="equal">
      <formula>0</formula>
    </cfRule>
  </conditionalFormatting>
  <conditionalFormatting sqref="G34">
    <cfRule type="cellIs" dxfId="415" priority="24" operator="equal">
      <formula>0</formula>
    </cfRule>
  </conditionalFormatting>
  <conditionalFormatting sqref="E34">
    <cfRule type="cellIs" dxfId="414" priority="23" operator="equal">
      <formula>0</formula>
    </cfRule>
  </conditionalFormatting>
  <conditionalFormatting sqref="E4:G4">
    <cfRule type="cellIs" dxfId="413" priority="22" operator="equal">
      <formula>0</formula>
    </cfRule>
  </conditionalFormatting>
  <conditionalFormatting sqref="F34">
    <cfRule type="cellIs" dxfId="412" priority="21" operator="equal">
      <formula>0</formula>
    </cfRule>
  </conditionalFormatting>
  <conditionalFormatting sqref="H34">
    <cfRule type="cellIs" dxfId="411" priority="20" operator="equal">
      <formula>0</formula>
    </cfRule>
  </conditionalFormatting>
  <conditionalFormatting sqref="H4">
    <cfRule type="cellIs" dxfId="410" priority="19" operator="equal">
      <formula>0</formula>
    </cfRule>
  </conditionalFormatting>
  <conditionalFormatting sqref="I34">
    <cfRule type="cellIs" dxfId="409" priority="18" operator="equal">
      <formula>0</formula>
    </cfRule>
  </conditionalFormatting>
  <conditionalFormatting sqref="I4">
    <cfRule type="cellIs" dxfId="408" priority="17" operator="equal">
      <formula>0</formula>
    </cfRule>
  </conditionalFormatting>
  <conditionalFormatting sqref="J34">
    <cfRule type="cellIs" dxfId="407" priority="16" operator="equal">
      <formula>0</formula>
    </cfRule>
  </conditionalFormatting>
  <conditionalFormatting sqref="J4">
    <cfRule type="cellIs" dxfId="406" priority="15" operator="equal">
      <formula>0</formula>
    </cfRule>
  </conditionalFormatting>
  <conditionalFormatting sqref="K34">
    <cfRule type="cellIs" dxfId="405" priority="14" operator="equal">
      <formula>0</formula>
    </cfRule>
  </conditionalFormatting>
  <conditionalFormatting sqref="K4">
    <cfRule type="cellIs" dxfId="404" priority="13" operator="equal">
      <formula>0</formula>
    </cfRule>
  </conditionalFormatting>
  <conditionalFormatting sqref="L34">
    <cfRule type="cellIs" dxfId="403" priority="12" operator="equal">
      <formula>0</formula>
    </cfRule>
  </conditionalFormatting>
  <conditionalFormatting sqref="L4">
    <cfRule type="cellIs" dxfId="402" priority="11" operator="equal">
      <formula>0</formula>
    </cfRule>
  </conditionalFormatting>
  <conditionalFormatting sqref="B7:L14">
    <cfRule type="expression" dxfId="401" priority="9">
      <formula>B7=MAX(B$7:B$14)</formula>
    </cfRule>
    <cfRule type="expression" dxfId="400" priority="10">
      <formula>B7=MIN(B$7:B$14)</formula>
    </cfRule>
  </conditionalFormatting>
  <conditionalFormatting sqref="B16:L21">
    <cfRule type="expression" dxfId="399" priority="7">
      <formula>B16=MAX(B$16:B$21)</formula>
    </cfRule>
    <cfRule type="expression" dxfId="398" priority="8">
      <formula>B16=MIN(B$16:B$21)</formula>
    </cfRule>
  </conditionalFormatting>
  <conditionalFormatting sqref="B23:L25">
    <cfRule type="expression" dxfId="397" priority="5">
      <formula>B23=MAX(B$23:B$25)</formula>
    </cfRule>
    <cfRule type="expression" dxfId="396" priority="6">
      <formula>B23=MIN(B$23:B$25)</formula>
    </cfRule>
  </conditionalFormatting>
  <conditionalFormatting sqref="B29:L32">
    <cfRule type="expression" dxfId="395" priority="3">
      <formula>B29=MAX(B$29:B$32)</formula>
    </cfRule>
    <cfRule type="expression" dxfId="394" priority="4">
      <formula>B29=MIN(B$29:B$32)</formula>
    </cfRule>
  </conditionalFormatting>
  <conditionalFormatting sqref="AL1:AL1048576">
    <cfRule type="cellIs" dxfId="393" priority="2" operator="equal">
      <formula>0</formula>
    </cfRule>
  </conditionalFormatting>
  <conditionalFormatting sqref="A34">
    <cfRule type="cellIs" dxfId="392"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93969-BA6A-4D0C-AA71-4C761073AA16}">
  <sheetPr>
    <tabColor rgb="FFA50021"/>
  </sheetPr>
  <dimension ref="A1:AK77"/>
  <sheetViews>
    <sheetView showGridLines="0" workbookViewId="0">
      <selection activeCell="Y70" sqref="Y70"/>
    </sheetView>
  </sheetViews>
  <sheetFormatPr defaultColWidth="9.140625" defaultRowHeight="11.25"/>
  <cols>
    <col min="1" max="1" width="24.140625" style="2" customWidth="1"/>
    <col min="2" max="12" width="8.140625" style="2" customWidth="1"/>
    <col min="13" max="14" width="5.85546875" style="2" bestFit="1" customWidth="1"/>
    <col min="15" max="15" width="5.85546875" style="677" bestFit="1" customWidth="1"/>
    <col min="16" max="16" width="13" style="677" customWidth="1"/>
    <col min="17" max="17" width="7.7109375" style="677" bestFit="1" customWidth="1"/>
    <col min="18" max="18" width="5.85546875" style="677" bestFit="1" customWidth="1"/>
    <col min="19" max="19" width="6.7109375" style="677" bestFit="1" customWidth="1"/>
    <col min="20" max="20" width="5.85546875" style="677" bestFit="1" customWidth="1"/>
    <col min="21" max="21" width="11.5703125" style="677" customWidth="1"/>
    <col min="22" max="23" width="7.7109375" style="677" bestFit="1" customWidth="1"/>
    <col min="24" max="33" width="9.140625" style="677"/>
    <col min="34" max="16384" width="9.140625" style="2"/>
  </cols>
  <sheetData>
    <row r="1" spans="1:37" s="1" customFormat="1" ht="29.25" customHeight="1">
      <c r="A1" s="988" t="s">
        <v>816</v>
      </c>
      <c r="B1" s="982"/>
      <c r="C1" s="982"/>
      <c r="D1" s="982"/>
      <c r="E1" s="982"/>
      <c r="F1" s="982"/>
      <c r="G1" s="982"/>
      <c r="H1" s="982"/>
      <c r="I1" s="982"/>
      <c r="J1" s="982"/>
      <c r="K1" s="982"/>
      <c r="L1" s="982"/>
      <c r="O1" s="690"/>
      <c r="P1" s="675"/>
      <c r="Q1" s="673"/>
      <c r="R1" s="673"/>
      <c r="S1" s="673"/>
      <c r="T1" s="673"/>
      <c r="U1" s="691"/>
      <c r="V1" s="673"/>
      <c r="W1" s="673"/>
      <c r="X1" s="673"/>
      <c r="Y1" s="673"/>
      <c r="Z1" s="673"/>
      <c r="AA1" s="673"/>
      <c r="AB1" s="673"/>
      <c r="AC1" s="673"/>
      <c r="AD1" s="673"/>
      <c r="AE1" s="673"/>
      <c r="AF1" s="673"/>
      <c r="AG1" s="673"/>
    </row>
    <row r="2" spans="1:37" ht="15" customHeight="1">
      <c r="A2" s="9"/>
      <c r="B2" s="172"/>
      <c r="C2" s="172"/>
      <c r="D2" s="172"/>
      <c r="E2" s="172"/>
      <c r="F2" s="172"/>
      <c r="G2" s="172"/>
      <c r="H2" s="172"/>
      <c r="I2" s="172"/>
      <c r="J2" s="172"/>
      <c r="K2" s="172"/>
      <c r="L2" s="172"/>
      <c r="O2" s="692"/>
    </row>
    <row r="3" spans="1:37" ht="15" customHeight="1">
      <c r="A3" s="11" t="s">
        <v>41</v>
      </c>
      <c r="B3" s="172"/>
      <c r="C3" s="172"/>
      <c r="D3" s="172"/>
      <c r="E3" s="172"/>
      <c r="F3" s="172"/>
      <c r="G3" s="172"/>
      <c r="H3" s="172"/>
      <c r="I3" s="172"/>
      <c r="J3" s="172"/>
      <c r="K3" s="172"/>
      <c r="L3" s="574" t="s">
        <v>67</v>
      </c>
      <c r="O3" s="692"/>
      <c r="Q3" s="710"/>
      <c r="R3" s="710"/>
      <c r="S3" s="710"/>
      <c r="T3" s="710"/>
      <c r="U3" s="710"/>
      <c r="V3" s="710"/>
      <c r="W3" s="710"/>
      <c r="X3" s="710"/>
      <c r="Y3" s="710"/>
      <c r="Z3" s="710"/>
      <c r="AA3" s="710"/>
    </row>
    <row r="4" spans="1:37" ht="28.5" customHeight="1" thickBot="1">
      <c r="A4" s="13"/>
      <c r="B4" s="14">
        <v>2014</v>
      </c>
      <c r="C4" s="14">
        <v>2015</v>
      </c>
      <c r="D4" s="14">
        <v>2016</v>
      </c>
      <c r="E4" s="14">
        <v>2017</v>
      </c>
      <c r="F4" s="14">
        <v>2018</v>
      </c>
      <c r="G4" s="14">
        <v>2019</v>
      </c>
      <c r="H4" s="14">
        <v>2020</v>
      </c>
      <c r="I4" s="14">
        <v>2021</v>
      </c>
      <c r="J4" s="14">
        <v>2022</v>
      </c>
      <c r="K4" s="14">
        <v>2023</v>
      </c>
      <c r="L4" s="14">
        <v>2024</v>
      </c>
      <c r="O4" s="649"/>
      <c r="P4" s="560">
        <f>+B4</f>
        <v>2014</v>
      </c>
      <c r="Q4" s="560">
        <f t="shared" ref="Q4:W4" si="0">+C4</f>
        <v>2015</v>
      </c>
      <c r="R4" s="560">
        <f t="shared" si="0"/>
        <v>2016</v>
      </c>
      <c r="S4" s="560">
        <f t="shared" si="0"/>
        <v>2017</v>
      </c>
      <c r="T4" s="560">
        <f t="shared" si="0"/>
        <v>2018</v>
      </c>
      <c r="U4" s="560">
        <f t="shared" si="0"/>
        <v>2019</v>
      </c>
      <c r="V4" s="560">
        <f t="shared" si="0"/>
        <v>2020</v>
      </c>
      <c r="W4" s="560">
        <f t="shared" si="0"/>
        <v>2021</v>
      </c>
      <c r="X4" s="560">
        <f>+J4</f>
        <v>2022</v>
      </c>
      <c r="Y4" s="560">
        <f t="shared" ref="Y4:Z4" si="1">+K4</f>
        <v>2023</v>
      </c>
      <c r="Z4" s="560">
        <f t="shared" si="1"/>
        <v>2024</v>
      </c>
      <c r="AA4" s="560">
        <f>+B4</f>
        <v>2014</v>
      </c>
      <c r="AB4" s="560">
        <f t="shared" ref="AB4:AJ4" si="2">+C4</f>
        <v>2015</v>
      </c>
      <c r="AC4" s="560">
        <f t="shared" si="2"/>
        <v>2016</v>
      </c>
      <c r="AD4" s="560">
        <f t="shared" si="2"/>
        <v>2017</v>
      </c>
      <c r="AE4" s="560">
        <f t="shared" si="2"/>
        <v>2018</v>
      </c>
      <c r="AF4" s="560">
        <f t="shared" si="2"/>
        <v>2019</v>
      </c>
      <c r="AG4" s="560">
        <f t="shared" si="2"/>
        <v>2020</v>
      </c>
      <c r="AH4" s="560">
        <f t="shared" si="2"/>
        <v>2021</v>
      </c>
      <c r="AI4" s="560">
        <f t="shared" si="2"/>
        <v>2022</v>
      </c>
      <c r="AJ4" s="560">
        <f t="shared" si="2"/>
        <v>2023</v>
      </c>
      <c r="AK4" s="560">
        <f>+L4</f>
        <v>2024</v>
      </c>
    </row>
    <row r="5" spans="1:37" ht="20.25" customHeight="1" thickTop="1">
      <c r="A5" s="113" t="s">
        <v>11</v>
      </c>
      <c r="B5" s="87">
        <v>1093.21</v>
      </c>
      <c r="C5" s="87">
        <v>1096.6600000000001</v>
      </c>
      <c r="D5" s="87">
        <v>1107.8599999999999</v>
      </c>
      <c r="E5" s="87">
        <v>1133.3399999999999</v>
      </c>
      <c r="F5" s="87">
        <v>1170.25</v>
      </c>
      <c r="G5" s="87">
        <v>1209.94</v>
      </c>
      <c r="H5" s="87">
        <v>1250.75</v>
      </c>
      <c r="I5" s="87">
        <v>1294.1099999999999</v>
      </c>
      <c r="J5" s="87">
        <v>1368</v>
      </c>
      <c r="K5" s="87">
        <v>1466.66</v>
      </c>
      <c r="L5" s="87">
        <v>1582.75</v>
      </c>
      <c r="O5" s="2"/>
      <c r="P5" s="2"/>
      <c r="Q5" s="2"/>
      <c r="R5" s="2"/>
      <c r="S5" s="2"/>
      <c r="T5" s="2"/>
      <c r="U5" s="2"/>
      <c r="V5" s="2"/>
      <c r="W5" s="2"/>
      <c r="X5" s="2"/>
      <c r="Y5" s="2"/>
      <c r="Z5" s="2"/>
      <c r="AA5" s="2"/>
      <c r="AB5" s="2"/>
      <c r="AC5" s="2"/>
      <c r="AD5" s="2"/>
      <c r="AE5" s="2"/>
      <c r="AF5" s="2"/>
      <c r="AG5" s="2"/>
    </row>
    <row r="6" spans="1:37" ht="20.100000000000001" customHeight="1">
      <c r="A6" s="15" t="s">
        <v>496</v>
      </c>
      <c r="B6" s="87">
        <v>967.2</v>
      </c>
      <c r="C6" s="87">
        <v>975.01</v>
      </c>
      <c r="D6" s="87">
        <v>986.93</v>
      </c>
      <c r="E6" s="87">
        <v>1015.58</v>
      </c>
      <c r="F6" s="87">
        <v>1056.5999999999999</v>
      </c>
      <c r="G6" s="87">
        <v>1100.44</v>
      </c>
      <c r="H6" s="87">
        <v>1145.23</v>
      </c>
      <c r="I6" s="87">
        <v>1187.19</v>
      </c>
      <c r="J6" s="87">
        <v>1253.46</v>
      </c>
      <c r="K6" s="87">
        <v>1348.66</v>
      </c>
      <c r="L6" s="87">
        <v>1474.68</v>
      </c>
      <c r="N6" s="559">
        <f>+(L6/B6-1)*100</f>
        <v>52.468982630272954</v>
      </c>
      <c r="O6" s="419">
        <f t="shared" ref="O6" si="3">+L6-B6</f>
        <v>507.48</v>
      </c>
      <c r="P6" s="559">
        <f>B6*100/B$5</f>
        <v>88.473394864664613</v>
      </c>
      <c r="Q6" s="559">
        <f t="shared" ref="Q6:Z6" si="4">C6*100/C$5</f>
        <v>88.90722739955865</v>
      </c>
      <c r="R6" s="559">
        <f t="shared" si="4"/>
        <v>89.084360839817307</v>
      </c>
      <c r="S6" s="559">
        <f t="shared" si="4"/>
        <v>89.609472885453627</v>
      </c>
      <c r="T6" s="559">
        <f t="shared" si="4"/>
        <v>90.288399914548165</v>
      </c>
      <c r="U6" s="559">
        <f t="shared" si="4"/>
        <v>90.949964461047657</v>
      </c>
      <c r="V6" s="559">
        <f t="shared" si="4"/>
        <v>91.563461922846287</v>
      </c>
      <c r="W6" s="559">
        <f t="shared" si="4"/>
        <v>91.737951178802433</v>
      </c>
      <c r="X6" s="559">
        <f t="shared" si="4"/>
        <v>91.627192982456137</v>
      </c>
      <c r="Y6" s="559">
        <f t="shared" si="4"/>
        <v>91.954508884131286</v>
      </c>
      <c r="Z6" s="559">
        <f t="shared" si="4"/>
        <v>93.172010740799237</v>
      </c>
      <c r="AA6" s="2">
        <f>+IFERROR(RANK(B6,(B$6,B$15,B$22,B$26,B$27,B$28,B$33),0),"")</f>
        <v>3</v>
      </c>
      <c r="AB6" s="2">
        <f>+IFERROR(RANK(C6,(C$6,C$15,C$22,C$26,C$27,C$28,C$33),0),"")</f>
        <v>4</v>
      </c>
      <c r="AC6" s="2">
        <f>+IFERROR(RANK(D6,(D$6,D$15,D$22,D$26,D$27,D$28,D$33),0),"")</f>
        <v>3</v>
      </c>
      <c r="AD6" s="2">
        <f>+IFERROR(RANK(E6,(E$6,E$15,E$22,E$26,E$27,E$28,E$33),0),"")</f>
        <v>3</v>
      </c>
      <c r="AE6" s="2">
        <f>+IFERROR(RANK(F6,(F$6,F$15,F$22,F$26,F$27,F$28,F$33),0),"")</f>
        <v>3</v>
      </c>
      <c r="AF6" s="2">
        <f>+IFERROR(RANK(G6,(G$6,G$15,G$22,G$26,G$27,G$28,G$33),0),"")</f>
        <v>3</v>
      </c>
      <c r="AG6" s="2">
        <f>+IFERROR(RANK(H6,(H$6,H$15,H$22,H$26,H$27,H$28,H$33),0),"")</f>
        <v>3</v>
      </c>
      <c r="AH6" s="2">
        <f>+IFERROR(RANK(I6,(I$6,I$15,I$22,I$26,I$27,I$28,I$33),0),"")</f>
        <v>3</v>
      </c>
      <c r="AI6" s="2">
        <f>+IFERROR(RANK(J6,(J$6,J$15,J$22,J$26,J$27,J$28,J$33),0),"")</f>
        <v>3</v>
      </c>
      <c r="AJ6" s="2">
        <f>+IFERROR(RANK(K6,(K$6,K$15,K$22,K$26,K$27,K$28,K$33),0),"")</f>
        <v>3</v>
      </c>
      <c r="AK6" s="2">
        <f>+IFERROR(RANK(L6,(L$6,L$15,L$22,L$26,L$27,L$28,L$33),0),"")</f>
        <v>2</v>
      </c>
    </row>
    <row r="7" spans="1:37" ht="18" customHeight="1">
      <c r="A7" s="572" t="s">
        <v>497</v>
      </c>
      <c r="B7" s="711">
        <v>881.13</v>
      </c>
      <c r="C7" s="711">
        <v>895.53</v>
      </c>
      <c r="D7" s="711">
        <v>899.57</v>
      </c>
      <c r="E7" s="711">
        <v>950.1</v>
      </c>
      <c r="F7" s="711">
        <v>978.08</v>
      </c>
      <c r="G7" s="711">
        <v>1013.26</v>
      </c>
      <c r="H7" s="711">
        <v>1057.21</v>
      </c>
      <c r="I7" s="711">
        <v>1094.98</v>
      </c>
      <c r="J7" s="711">
        <v>1154.3399999999999</v>
      </c>
      <c r="K7" s="711">
        <v>1237.67</v>
      </c>
      <c r="L7" s="711">
        <v>1340.14</v>
      </c>
      <c r="N7" s="559">
        <f t="shared" ref="N7:N31" si="5">+(L7/B7-1)*100</f>
        <v>52.093334695220925</v>
      </c>
      <c r="O7" s="419">
        <f t="shared" ref="O7:O31" si="6">+L7-B7</f>
        <v>459.0100000000001</v>
      </c>
      <c r="P7" s="559">
        <f t="shared" ref="P7:P31" si="7">B7*100/B$5</f>
        <v>80.600250638029294</v>
      </c>
      <c r="Q7" s="559">
        <f t="shared" ref="Q7:Q31" si="8">C7*100/C$5</f>
        <v>81.65976692867433</v>
      </c>
      <c r="R7" s="559">
        <f t="shared" ref="R7:R31" si="9">D7*100/D$5</f>
        <v>81.198887946130384</v>
      </c>
      <c r="S7" s="559">
        <f t="shared" ref="S7:S31" si="10">E7*100/E$5</f>
        <v>83.831859812589343</v>
      </c>
      <c r="T7" s="559">
        <f t="shared" ref="T7:T31" si="11">F7*100/F$5</f>
        <v>83.578722495193333</v>
      </c>
      <c r="U7" s="559">
        <f t="shared" ref="U7:U31" si="12">G7*100/G$5</f>
        <v>83.744648494966683</v>
      </c>
      <c r="V7" s="559">
        <f t="shared" ref="V7:V31" si="13">H7*100/H$5</f>
        <v>84.526084349390359</v>
      </c>
      <c r="W7" s="559">
        <f t="shared" ref="W7:W31" si="14">I7*100/I$5</f>
        <v>84.61259089258256</v>
      </c>
      <c r="X7" s="559">
        <f t="shared" ref="X7:X31" si="15">J7*100/J$5</f>
        <v>84.381578947368411</v>
      </c>
      <c r="Y7" s="559">
        <f t="shared" ref="Y7:Y31" si="16">K7*100/K$5</f>
        <v>84.386974486247667</v>
      </c>
      <c r="Z7" s="559">
        <f t="shared" ref="Z7:Z31" si="17">L7*100/L$5</f>
        <v>84.671615858474169</v>
      </c>
      <c r="AA7" s="2" t="str">
        <f>+IFERROR(RANK(B7,(B$6,B$15,B$22,B$26,B$27,B$28,B$33),0),"")</f>
        <v/>
      </c>
      <c r="AB7" s="2" t="str">
        <f>+IFERROR(RANK(C7,(C$6,C$15,C$22,C$26,C$27,C$28,C$33),0),"")</f>
        <v/>
      </c>
      <c r="AC7" s="2" t="str">
        <f>+IFERROR(RANK(D7,(D$6,D$15,D$22,D$26,D$27,D$28,D$33),0),"")</f>
        <v/>
      </c>
      <c r="AD7" s="2" t="str">
        <f>+IFERROR(RANK(E7,(E$6,E$15,E$22,E$26,E$27,E$28,E$33),0),"")</f>
        <v/>
      </c>
      <c r="AE7" s="2" t="str">
        <f>+IFERROR(RANK(F7,(F$6,F$15,F$22,F$26,F$27,F$28,F$33),0),"")</f>
        <v/>
      </c>
      <c r="AF7" s="2" t="str">
        <f>+IFERROR(RANK(G7,(G$6,G$15,G$22,G$26,G$27,G$28,G$33),0),"")</f>
        <v/>
      </c>
      <c r="AG7" s="2" t="str">
        <f>+IFERROR(RANK(H7,(H$6,H$15,H$22,H$26,H$27,H$28,H$33),0),"")</f>
        <v/>
      </c>
      <c r="AH7" s="2" t="str">
        <f>+IFERROR(RANK(I7,(I$6,I$15,I$22,I$26,I$27,I$28,I$33),0),"")</f>
        <v/>
      </c>
      <c r="AI7" s="2" t="str">
        <f>+IFERROR(RANK(J7,(J$6,J$15,J$22,J$26,J$27,J$28,J$33),0),"")</f>
        <v/>
      </c>
      <c r="AJ7" s="2" t="str">
        <f>+IFERROR(RANK(K7,(K$6,K$15,K$22,K$26,K$27,K$28,K$33),0),"")</f>
        <v/>
      </c>
      <c r="AK7" s="2" t="str">
        <f>+IFERROR(RANK(L7,(L$6,L$15,L$22,L$26,L$27,L$28,L$33),0),"")</f>
        <v/>
      </c>
    </row>
    <row r="8" spans="1:37" ht="18" customHeight="1">
      <c r="A8" s="572" t="s">
        <v>498</v>
      </c>
      <c r="B8" s="711">
        <v>896.26</v>
      </c>
      <c r="C8" s="711">
        <v>899.93</v>
      </c>
      <c r="D8" s="711">
        <v>913.42</v>
      </c>
      <c r="E8" s="711">
        <v>948.41</v>
      </c>
      <c r="F8" s="711">
        <v>988.7</v>
      </c>
      <c r="G8" s="711">
        <v>1044.54</v>
      </c>
      <c r="H8" s="711">
        <v>1088.49</v>
      </c>
      <c r="I8" s="711">
        <v>1134.32</v>
      </c>
      <c r="J8" s="711">
        <v>1183.08</v>
      </c>
      <c r="K8" s="711">
        <v>1276.47</v>
      </c>
      <c r="L8" s="711">
        <v>1403.34</v>
      </c>
      <c r="N8" s="559">
        <f t="shared" si="5"/>
        <v>56.577332470488464</v>
      </c>
      <c r="O8" s="419">
        <f t="shared" si="6"/>
        <v>507.07999999999993</v>
      </c>
      <c r="P8" s="559">
        <f t="shared" si="7"/>
        <v>81.984248223122734</v>
      </c>
      <c r="Q8" s="559">
        <f t="shared" si="8"/>
        <v>82.060985173162138</v>
      </c>
      <c r="R8" s="559">
        <f t="shared" si="9"/>
        <v>82.449045908327776</v>
      </c>
      <c r="S8" s="559">
        <f t="shared" si="10"/>
        <v>83.682743042687989</v>
      </c>
      <c r="T8" s="559">
        <f t="shared" si="11"/>
        <v>84.486220892971588</v>
      </c>
      <c r="U8" s="559">
        <f t="shared" si="12"/>
        <v>86.32990065623089</v>
      </c>
      <c r="V8" s="559">
        <f t="shared" si="13"/>
        <v>87.026983809714167</v>
      </c>
      <c r="W8" s="559">
        <f t="shared" si="14"/>
        <v>87.65251794669696</v>
      </c>
      <c r="X8" s="559">
        <f t="shared" si="15"/>
        <v>86.482456140350877</v>
      </c>
      <c r="Y8" s="559">
        <f t="shared" si="16"/>
        <v>87.032441056550255</v>
      </c>
      <c r="Z8" s="559">
        <f t="shared" si="17"/>
        <v>88.664665929552996</v>
      </c>
      <c r="AA8" s="2" t="str">
        <f>+IFERROR(RANK(B8,(B$6,B$15,B$22,B$26,B$27,B$28,B$33),0),"")</f>
        <v/>
      </c>
      <c r="AB8" s="2" t="str">
        <f>+IFERROR(RANK(C8,(C$6,C$15,C$22,C$26,C$27,C$28,C$33),0),"")</f>
        <v/>
      </c>
      <c r="AC8" s="2" t="str">
        <f>+IFERROR(RANK(D8,(D$6,D$15,D$22,D$26,D$27,D$28,D$33),0),"")</f>
        <v/>
      </c>
      <c r="AD8" s="2" t="str">
        <f>+IFERROR(RANK(E8,(E$6,E$15,E$22,E$26,E$27,E$28,E$33),0),"")</f>
        <v/>
      </c>
      <c r="AE8" s="2" t="str">
        <f>+IFERROR(RANK(F8,(F$6,F$15,F$22,F$26,F$27,F$28,F$33),0),"")</f>
        <v/>
      </c>
      <c r="AF8" s="2" t="str">
        <f>+IFERROR(RANK(G8,(G$6,G$15,G$22,G$26,G$27,G$28,G$33),0),"")</f>
        <v/>
      </c>
      <c r="AG8" s="2" t="str">
        <f>+IFERROR(RANK(H8,(H$6,H$15,H$22,H$26,H$27,H$28,H$33),0),"")</f>
        <v/>
      </c>
      <c r="AH8" s="2" t="str">
        <f>+IFERROR(RANK(I8,(I$6,I$15,I$22,I$26,I$27,I$28,I$33),0),"")</f>
        <v/>
      </c>
      <c r="AI8" s="2" t="str">
        <f>+IFERROR(RANK(J8,(J$6,J$15,J$22,J$26,J$27,J$28,J$33),0),"")</f>
        <v/>
      </c>
      <c r="AJ8" s="2" t="str">
        <f>+IFERROR(RANK(K8,(K$6,K$15,K$22,K$26,K$27,K$28,K$33),0),"")</f>
        <v/>
      </c>
      <c r="AK8" s="2" t="str">
        <f>+IFERROR(RANK(L8,(L$6,L$15,L$22,L$26,L$27,L$28,L$33),0),"")</f>
        <v/>
      </c>
    </row>
    <row r="9" spans="1:37" ht="18" customHeight="1">
      <c r="A9" s="572" t="s">
        <v>499</v>
      </c>
      <c r="B9" s="711">
        <v>860.01</v>
      </c>
      <c r="C9" s="711">
        <v>866.17</v>
      </c>
      <c r="D9" s="711">
        <v>883.04</v>
      </c>
      <c r="E9" s="711">
        <v>916.3</v>
      </c>
      <c r="F9" s="711">
        <v>952.13</v>
      </c>
      <c r="G9" s="711">
        <v>984.13</v>
      </c>
      <c r="H9" s="711">
        <v>1030.3399999999999</v>
      </c>
      <c r="I9" s="711">
        <v>1080.78</v>
      </c>
      <c r="J9" s="711">
        <v>1132.33</v>
      </c>
      <c r="K9" s="711">
        <v>1215.1300000000001</v>
      </c>
      <c r="L9" s="711">
        <v>1321.75</v>
      </c>
      <c r="N9" s="559">
        <f t="shared" si="5"/>
        <v>53.690073371239876</v>
      </c>
      <c r="O9" s="419">
        <f t="shared" si="6"/>
        <v>461.74</v>
      </c>
      <c r="P9" s="559">
        <f t="shared" si="7"/>
        <v>78.66832539036416</v>
      </c>
      <c r="Q9" s="559">
        <f t="shared" si="8"/>
        <v>78.982547006364769</v>
      </c>
      <c r="R9" s="559">
        <f t="shared" si="9"/>
        <v>79.706822161644979</v>
      </c>
      <c r="S9" s="559">
        <f t="shared" si="10"/>
        <v>80.849524414562268</v>
      </c>
      <c r="T9" s="559">
        <f t="shared" si="11"/>
        <v>81.361247596667383</v>
      </c>
      <c r="U9" s="559">
        <f t="shared" si="12"/>
        <v>81.337091095426217</v>
      </c>
      <c r="V9" s="559">
        <f t="shared" si="13"/>
        <v>82.377773335998384</v>
      </c>
      <c r="W9" s="559">
        <f t="shared" si="14"/>
        <v>83.515311681387217</v>
      </c>
      <c r="X9" s="559">
        <f t="shared" si="15"/>
        <v>82.772660818713447</v>
      </c>
      <c r="Y9" s="559">
        <f t="shared" si="16"/>
        <v>82.850149318860545</v>
      </c>
      <c r="Z9" s="559">
        <f t="shared" si="17"/>
        <v>83.50971410519665</v>
      </c>
      <c r="AA9" s="2" t="str">
        <f>+IFERROR(RANK(B9,(B$6,B$15,B$22,B$26,B$27,B$28,B$33),0),"")</f>
        <v/>
      </c>
      <c r="AB9" s="2" t="str">
        <f>+IFERROR(RANK(C9,(C$6,C$15,C$22,C$26,C$27,C$28,C$33),0),"")</f>
        <v/>
      </c>
      <c r="AC9" s="2" t="str">
        <f>+IFERROR(RANK(D9,(D$6,D$15,D$22,D$26,D$27,D$28,D$33),0),"")</f>
        <v/>
      </c>
      <c r="AD9" s="2" t="str">
        <f>+IFERROR(RANK(E9,(E$6,E$15,E$22,E$26,E$27,E$28,E$33),0),"")</f>
        <v/>
      </c>
      <c r="AE9" s="2" t="str">
        <f>+IFERROR(RANK(F9,(F$6,F$15,F$22,F$26,F$27,F$28,F$33),0),"")</f>
        <v/>
      </c>
      <c r="AF9" s="2" t="str">
        <f>+IFERROR(RANK(G9,(G$6,G$15,G$22,G$26,G$27,G$28,G$33),0),"")</f>
        <v/>
      </c>
      <c r="AG9" s="2" t="str">
        <f>+IFERROR(RANK(H9,(H$6,H$15,H$22,H$26,H$27,H$28,H$33),0),"")</f>
        <v/>
      </c>
      <c r="AH9" s="2" t="str">
        <f>+IFERROR(RANK(I9,(I$6,I$15,I$22,I$26,I$27,I$28,I$33),0),"")</f>
        <v/>
      </c>
      <c r="AI9" s="2" t="str">
        <f>+IFERROR(RANK(J9,(J$6,J$15,J$22,J$26,J$27,J$28,J$33),0),"")</f>
        <v/>
      </c>
      <c r="AJ9" s="2" t="str">
        <f>+IFERROR(RANK(K9,(K$6,K$15,K$22,K$26,K$27,K$28,K$33),0),"")</f>
        <v/>
      </c>
      <c r="AK9" s="2" t="str">
        <f>+IFERROR(RANK(L9,(L$6,L$15,L$22,L$26,L$27,L$28,L$33),0),"")</f>
        <v/>
      </c>
    </row>
    <row r="10" spans="1:37" ht="18" customHeight="1">
      <c r="A10" s="572" t="s">
        <v>500</v>
      </c>
      <c r="B10" s="711">
        <v>1075.96</v>
      </c>
      <c r="C10" s="711">
        <v>1084.73</v>
      </c>
      <c r="D10" s="711">
        <v>1095.5</v>
      </c>
      <c r="E10" s="711">
        <v>1118.23</v>
      </c>
      <c r="F10" s="711">
        <v>1164.5899999999999</v>
      </c>
      <c r="G10" s="711">
        <v>1208.1300000000001</v>
      </c>
      <c r="H10" s="711">
        <v>1257.1099999999999</v>
      </c>
      <c r="I10" s="711">
        <v>1301.06</v>
      </c>
      <c r="J10" s="711">
        <v>1378.56</v>
      </c>
      <c r="K10" s="711">
        <v>1480.08</v>
      </c>
      <c r="L10" s="711">
        <v>1620.05</v>
      </c>
      <c r="N10" s="559">
        <f t="shared" si="5"/>
        <v>50.56786497639316</v>
      </c>
      <c r="O10" s="419">
        <f t="shared" si="6"/>
        <v>544.08999999999992</v>
      </c>
      <c r="P10" s="559">
        <f t="shared" si="7"/>
        <v>98.422078100273509</v>
      </c>
      <c r="Q10" s="559">
        <f t="shared" si="8"/>
        <v>98.912151441650096</v>
      </c>
      <c r="R10" s="559">
        <f t="shared" si="9"/>
        <v>98.884335565865726</v>
      </c>
      <c r="S10" s="559">
        <f t="shared" si="10"/>
        <v>98.666772548396779</v>
      </c>
      <c r="T10" s="559">
        <f t="shared" si="11"/>
        <v>99.516342661824382</v>
      </c>
      <c r="U10" s="559">
        <f t="shared" si="12"/>
        <v>99.850405805246552</v>
      </c>
      <c r="V10" s="559">
        <f t="shared" si="13"/>
        <v>100.50849490305815</v>
      </c>
      <c r="W10" s="559">
        <f t="shared" si="14"/>
        <v>100.53704862801463</v>
      </c>
      <c r="X10" s="559">
        <f t="shared" si="15"/>
        <v>100.7719298245614</v>
      </c>
      <c r="Y10" s="559">
        <f t="shared" si="16"/>
        <v>100.91500415910981</v>
      </c>
      <c r="Z10" s="559">
        <f t="shared" si="17"/>
        <v>102.35665771600063</v>
      </c>
      <c r="AA10" s="2" t="str">
        <f>+IFERROR(RANK(B10,(B$6,B$15,B$22,B$26,B$27,B$28,B$33),0),"")</f>
        <v/>
      </c>
      <c r="AB10" s="2" t="str">
        <f>+IFERROR(RANK(C10,(C$6,C$15,C$22,C$26,C$27,C$28,C$33),0),"")</f>
        <v/>
      </c>
      <c r="AC10" s="2" t="str">
        <f>+IFERROR(RANK(D10,(D$6,D$15,D$22,D$26,D$27,D$28,D$33),0),"")</f>
        <v/>
      </c>
      <c r="AD10" s="2" t="str">
        <f>+IFERROR(RANK(E10,(E$6,E$15,E$22,E$26,E$27,E$28,E$33),0),"")</f>
        <v/>
      </c>
      <c r="AE10" s="2" t="str">
        <f>+IFERROR(RANK(F10,(F$6,F$15,F$22,F$26,F$27,F$28,F$33),0),"")</f>
        <v/>
      </c>
      <c r="AF10" s="2" t="str">
        <f>+IFERROR(RANK(G10,(G$6,G$15,G$22,G$26,G$27,G$28,G$33),0),"")</f>
        <v/>
      </c>
      <c r="AG10" s="2" t="str">
        <f>+IFERROR(RANK(H10,(H$6,H$15,H$22,H$26,H$27,H$28,H$33),0),"")</f>
        <v/>
      </c>
      <c r="AH10" s="2" t="str">
        <f>+IFERROR(RANK(I10,(I$6,I$15,I$22,I$26,I$27,I$28,I$33),0),"")</f>
        <v/>
      </c>
      <c r="AI10" s="2" t="str">
        <f>+IFERROR(RANK(J10,(J$6,J$15,J$22,J$26,J$27,J$28,J$33),0),"")</f>
        <v/>
      </c>
      <c r="AJ10" s="2" t="str">
        <f>+IFERROR(RANK(K10,(K$6,K$15,K$22,K$26,K$27,K$28,K$33),0),"")</f>
        <v/>
      </c>
      <c r="AK10" s="2" t="str">
        <f>+IFERROR(RANK(L10,(L$6,L$15,L$22,L$26,L$27,L$28,L$33),0),"")</f>
        <v/>
      </c>
    </row>
    <row r="11" spans="1:37" ht="18" customHeight="1">
      <c r="A11" s="572" t="s">
        <v>771</v>
      </c>
      <c r="B11" s="711">
        <v>814.78</v>
      </c>
      <c r="C11" s="711">
        <v>810.7</v>
      </c>
      <c r="D11" s="711">
        <v>844.1</v>
      </c>
      <c r="E11" s="711">
        <v>919.39</v>
      </c>
      <c r="F11" s="711">
        <v>941.5</v>
      </c>
      <c r="G11" s="711">
        <v>954.21</v>
      </c>
      <c r="H11" s="711">
        <v>975.61</v>
      </c>
      <c r="I11" s="711">
        <v>995.06</v>
      </c>
      <c r="J11" s="711">
        <v>1043.3699999999999</v>
      </c>
      <c r="K11" s="711">
        <v>1128.21</v>
      </c>
      <c r="L11" s="711">
        <v>1207.05</v>
      </c>
      <c r="N11" s="559">
        <f t="shared" si="5"/>
        <v>48.144284346694818</v>
      </c>
      <c r="O11" s="419">
        <f t="shared" si="6"/>
        <v>392.27</v>
      </c>
      <c r="P11" s="559">
        <f t="shared" si="7"/>
        <v>74.530968432414625</v>
      </c>
      <c r="Q11" s="559">
        <f t="shared" si="8"/>
        <v>73.924461546878703</v>
      </c>
      <c r="R11" s="559">
        <f t="shared" si="9"/>
        <v>76.191937609445247</v>
      </c>
      <c r="S11" s="559">
        <f t="shared" si="10"/>
        <v>81.122169869589001</v>
      </c>
      <c r="T11" s="559">
        <f t="shared" si="11"/>
        <v>80.4528946806238</v>
      </c>
      <c r="U11" s="559">
        <f t="shared" si="12"/>
        <v>78.864241202043075</v>
      </c>
      <c r="V11" s="559">
        <f t="shared" si="13"/>
        <v>78.001998800719562</v>
      </c>
      <c r="W11" s="559">
        <f t="shared" si="14"/>
        <v>76.891454358593947</v>
      </c>
      <c r="X11" s="559">
        <f t="shared" si="15"/>
        <v>76.269736842105246</v>
      </c>
      <c r="Y11" s="559">
        <f t="shared" si="16"/>
        <v>76.923758744357926</v>
      </c>
      <c r="Z11" s="559">
        <f t="shared" si="17"/>
        <v>76.262833675564679</v>
      </c>
      <c r="AA11" s="2" t="str">
        <f>+IFERROR(RANK(B11,(B$6,B$15,B$22,B$26,B$27,B$28,B$33),0),"")</f>
        <v/>
      </c>
      <c r="AB11" s="2" t="str">
        <f>+IFERROR(RANK(C11,(C$6,C$15,C$22,C$26,C$27,C$28,C$33),0),"")</f>
        <v/>
      </c>
      <c r="AC11" s="2" t="str">
        <f>+IFERROR(RANK(D11,(D$6,D$15,D$22,D$26,D$27,D$28,D$33),0),"")</f>
        <v/>
      </c>
      <c r="AD11" s="2" t="str">
        <f>+IFERROR(RANK(E11,(E$6,E$15,E$22,E$26,E$27,E$28,E$33),0),"")</f>
        <v/>
      </c>
      <c r="AE11" s="2" t="str">
        <f>+IFERROR(RANK(F11,(F$6,F$15,F$22,F$26,F$27,F$28,F$33),0),"")</f>
        <v/>
      </c>
      <c r="AF11" s="2" t="str">
        <f>+IFERROR(RANK(G11,(G$6,G$15,G$22,G$26,G$27,G$28,G$33),0),"")</f>
        <v/>
      </c>
      <c r="AG11" s="2" t="str">
        <f>+IFERROR(RANK(H11,(H$6,H$15,H$22,H$26,H$27,H$28,H$33),0),"")</f>
        <v/>
      </c>
      <c r="AH11" s="2" t="str">
        <f>+IFERROR(RANK(I11,(I$6,I$15,I$22,I$26,I$27,I$28,I$33),0),"")</f>
        <v/>
      </c>
      <c r="AI11" s="2" t="str">
        <f>+IFERROR(RANK(J11,(J$6,J$15,J$22,J$26,J$27,J$28,J$33),0),"")</f>
        <v/>
      </c>
      <c r="AJ11" s="2" t="str">
        <f>+IFERROR(RANK(K11,(K$6,K$15,K$22,K$26,K$27,K$28,K$33),0),"")</f>
        <v/>
      </c>
      <c r="AK11" s="2" t="str">
        <f>+IFERROR(RANK(L11,(L$6,L$15,L$22,L$26,L$27,L$28,L$33),0),"")</f>
        <v/>
      </c>
    </row>
    <row r="12" spans="1:37" ht="18" customHeight="1">
      <c r="A12" s="572" t="s">
        <v>502</v>
      </c>
      <c r="B12" s="711">
        <v>773.97</v>
      </c>
      <c r="C12" s="711">
        <v>781.94</v>
      </c>
      <c r="D12" s="711">
        <v>796.84</v>
      </c>
      <c r="E12" s="711">
        <v>821.23</v>
      </c>
      <c r="F12" s="711">
        <v>858.44</v>
      </c>
      <c r="G12" s="711">
        <v>898.09</v>
      </c>
      <c r="H12" s="711">
        <v>936.96</v>
      </c>
      <c r="I12" s="711">
        <v>980.68</v>
      </c>
      <c r="J12" s="711">
        <v>1026.1300000000001</v>
      </c>
      <c r="K12" s="711">
        <v>1107.17</v>
      </c>
      <c r="L12" s="711">
        <v>1210.7</v>
      </c>
      <c r="N12" s="559">
        <f t="shared" si="5"/>
        <v>56.427251702262367</v>
      </c>
      <c r="O12" s="419">
        <f t="shared" si="6"/>
        <v>436.73</v>
      </c>
      <c r="P12" s="559">
        <f t="shared" si="7"/>
        <v>70.797925375728354</v>
      </c>
      <c r="Q12" s="559">
        <f t="shared" si="8"/>
        <v>71.301953203362928</v>
      </c>
      <c r="R12" s="559">
        <f t="shared" si="9"/>
        <v>71.926055638799127</v>
      </c>
      <c r="S12" s="559">
        <f t="shared" si="10"/>
        <v>72.461044346797962</v>
      </c>
      <c r="T12" s="559">
        <f t="shared" si="11"/>
        <v>73.355265968810087</v>
      </c>
      <c r="U12" s="559">
        <f t="shared" si="12"/>
        <v>74.225994677422023</v>
      </c>
      <c r="V12" s="559">
        <f t="shared" si="13"/>
        <v>74.911852888267035</v>
      </c>
      <c r="W12" s="559">
        <f t="shared" si="14"/>
        <v>75.780265974298942</v>
      </c>
      <c r="X12" s="559">
        <f t="shared" si="15"/>
        <v>75.009502923976612</v>
      </c>
      <c r="Y12" s="559">
        <f t="shared" si="16"/>
        <v>75.489206769121679</v>
      </c>
      <c r="Z12" s="559">
        <f t="shared" si="17"/>
        <v>76.493444953403881</v>
      </c>
      <c r="AA12" s="2" t="str">
        <f>+IFERROR(RANK(B12,(B$6,B$15,B$22,B$26,B$27,B$28,B$33),0),"")</f>
        <v/>
      </c>
      <c r="AB12" s="2" t="str">
        <f>+IFERROR(RANK(C12,(C$6,C$15,C$22,C$26,C$27,C$28,C$33),0),"")</f>
        <v/>
      </c>
      <c r="AC12" s="2" t="str">
        <f>+IFERROR(RANK(D12,(D$6,D$15,D$22,D$26,D$27,D$28,D$33),0),"")</f>
        <v/>
      </c>
      <c r="AD12" s="2" t="str">
        <f>+IFERROR(RANK(E12,(E$6,E$15,E$22,E$26,E$27,E$28,E$33),0),"")</f>
        <v/>
      </c>
      <c r="AE12" s="2" t="str">
        <f>+IFERROR(RANK(F12,(F$6,F$15,F$22,F$26,F$27,F$28,F$33),0),"")</f>
        <v/>
      </c>
      <c r="AF12" s="2" t="str">
        <f>+IFERROR(RANK(G12,(G$6,G$15,G$22,G$26,G$27,G$28,G$33),0),"")</f>
        <v/>
      </c>
      <c r="AG12" s="2" t="str">
        <f>+IFERROR(RANK(H12,(H$6,H$15,H$22,H$26,H$27,H$28,H$33),0),"")</f>
        <v/>
      </c>
      <c r="AH12" s="2" t="str">
        <f>+IFERROR(RANK(I12,(I$6,I$15,I$22,I$26,I$27,I$28,I$33),0),"")</f>
        <v/>
      </c>
      <c r="AI12" s="2" t="str">
        <f>+IFERROR(RANK(J12,(J$6,J$15,J$22,J$26,J$27,J$28,J$33),0),"")</f>
        <v/>
      </c>
      <c r="AJ12" s="2" t="str">
        <f>+IFERROR(RANK(K12,(K$6,K$15,K$22,K$26,K$27,K$28,K$33),0),"")</f>
        <v/>
      </c>
      <c r="AK12" s="2" t="str">
        <f>+IFERROR(RANK(L12,(L$6,L$15,L$22,L$26,L$27,L$28,L$33),0),"")</f>
        <v/>
      </c>
    </row>
    <row r="13" spans="1:37" ht="18" customHeight="1">
      <c r="A13" s="572" t="s">
        <v>503</v>
      </c>
      <c r="B13" s="711">
        <v>878.1</v>
      </c>
      <c r="C13" s="711">
        <v>887.03</v>
      </c>
      <c r="D13" s="711">
        <v>882.6</v>
      </c>
      <c r="E13" s="711">
        <v>899.6</v>
      </c>
      <c r="F13" s="711">
        <v>936.21</v>
      </c>
      <c r="G13" s="711">
        <v>971.09</v>
      </c>
      <c r="H13" s="711">
        <v>993.68</v>
      </c>
      <c r="I13" s="711">
        <v>1031.52</v>
      </c>
      <c r="J13" s="711">
        <v>1089.0999999999999</v>
      </c>
      <c r="K13" s="711">
        <v>1168.78</v>
      </c>
      <c r="L13" s="711">
        <v>1268.7</v>
      </c>
      <c r="N13" s="559">
        <f t="shared" si="5"/>
        <v>44.482405193030417</v>
      </c>
      <c r="O13" s="419">
        <f t="shared" si="6"/>
        <v>390.6</v>
      </c>
      <c r="P13" s="559">
        <f t="shared" si="7"/>
        <v>80.323085226077325</v>
      </c>
      <c r="Q13" s="559">
        <f t="shared" si="8"/>
        <v>80.884686229095607</v>
      </c>
      <c r="R13" s="559">
        <f t="shared" si="9"/>
        <v>79.667105952015604</v>
      </c>
      <c r="S13" s="559">
        <f t="shared" si="10"/>
        <v>79.376003670566647</v>
      </c>
      <c r="T13" s="559">
        <f t="shared" si="11"/>
        <v>80.000854518265328</v>
      </c>
      <c r="U13" s="559">
        <f t="shared" si="12"/>
        <v>80.259351703390251</v>
      </c>
      <c r="V13" s="559">
        <f t="shared" si="13"/>
        <v>79.446731960823513</v>
      </c>
      <c r="W13" s="559">
        <f t="shared" si="14"/>
        <v>79.708834643113804</v>
      </c>
      <c r="X13" s="559">
        <f t="shared" si="15"/>
        <v>79.612573099415201</v>
      </c>
      <c r="Y13" s="559">
        <f t="shared" si="16"/>
        <v>79.689907681398552</v>
      </c>
      <c r="Z13" s="559">
        <f t="shared" si="17"/>
        <v>80.157952930026852</v>
      </c>
      <c r="AA13" s="2" t="str">
        <f>+IFERROR(RANK(B13,(B$6,B$15,B$22,B$26,B$27,B$28,B$33),0),"")</f>
        <v/>
      </c>
      <c r="AB13" s="2" t="str">
        <f>+IFERROR(RANK(C13,(C$6,C$15,C$22,C$26,C$27,C$28,C$33),0),"")</f>
        <v/>
      </c>
      <c r="AC13" s="2" t="str">
        <f>+IFERROR(RANK(D13,(D$6,D$15,D$22,D$26,D$27,D$28,D$33),0),"")</f>
        <v/>
      </c>
      <c r="AD13" s="2" t="str">
        <f>+IFERROR(RANK(E13,(E$6,E$15,E$22,E$26,E$27,E$28,E$33),0),"")</f>
        <v/>
      </c>
      <c r="AE13" s="2" t="str">
        <f>+IFERROR(RANK(F13,(F$6,F$15,F$22,F$26,F$27,F$28,F$33),0),"")</f>
        <v/>
      </c>
      <c r="AF13" s="2" t="str">
        <f>+IFERROR(RANK(G13,(G$6,G$15,G$22,G$26,G$27,G$28,G$33),0),"")</f>
        <v/>
      </c>
      <c r="AG13" s="2" t="str">
        <f>+IFERROR(RANK(H13,(H$6,H$15,H$22,H$26,H$27,H$28,H$33),0),"")</f>
        <v/>
      </c>
      <c r="AH13" s="2" t="str">
        <f>+IFERROR(RANK(I13,(I$6,I$15,I$22,I$26,I$27,I$28,I$33),0),"")</f>
        <v/>
      </c>
      <c r="AI13" s="2" t="str">
        <f>+IFERROR(RANK(J13,(J$6,J$15,J$22,J$26,J$27,J$28,J$33),0),"")</f>
        <v/>
      </c>
      <c r="AJ13" s="2" t="str">
        <f>+IFERROR(RANK(K13,(K$6,K$15,K$22,K$26,K$27,K$28,K$33),0),"")</f>
        <v/>
      </c>
      <c r="AK13" s="2" t="str">
        <f>+IFERROR(RANK(L13,(L$6,L$15,L$22,L$26,L$27,L$28,L$33),0),"")</f>
        <v/>
      </c>
    </row>
    <row r="14" spans="1:37" ht="18" customHeight="1">
      <c r="A14" s="572" t="s">
        <v>504</v>
      </c>
      <c r="B14" s="711">
        <v>834.9</v>
      </c>
      <c r="C14" s="711">
        <v>845.13</v>
      </c>
      <c r="D14" s="711">
        <v>868.28</v>
      </c>
      <c r="E14" s="711">
        <v>890.97</v>
      </c>
      <c r="F14" s="711">
        <v>918.08</v>
      </c>
      <c r="G14" s="711">
        <v>953.02</v>
      </c>
      <c r="H14" s="711">
        <v>988.17</v>
      </c>
      <c r="I14" s="711">
        <v>1021.88</v>
      </c>
      <c r="J14" s="711">
        <v>1066.68</v>
      </c>
      <c r="K14" s="711">
        <v>1149.46</v>
      </c>
      <c r="L14" s="711">
        <v>1267.6300000000001</v>
      </c>
      <c r="N14" s="559">
        <f t="shared" si="5"/>
        <v>51.830159300515042</v>
      </c>
      <c r="O14" s="419">
        <f t="shared" si="6"/>
        <v>432.73000000000013</v>
      </c>
      <c r="P14" s="559">
        <f t="shared" si="7"/>
        <v>76.371419946762288</v>
      </c>
      <c r="Q14" s="559">
        <f t="shared" si="8"/>
        <v>77.063994309995806</v>
      </c>
      <c r="R14" s="559">
        <f t="shared" si="9"/>
        <v>78.374523856805013</v>
      </c>
      <c r="S14" s="559">
        <f t="shared" si="10"/>
        <v>78.614537561543756</v>
      </c>
      <c r="T14" s="559">
        <f t="shared" si="11"/>
        <v>78.451612903225808</v>
      </c>
      <c r="U14" s="559">
        <f t="shared" si="12"/>
        <v>78.765889217647157</v>
      </c>
      <c r="V14" s="559">
        <f t="shared" si="13"/>
        <v>79.006196282230661</v>
      </c>
      <c r="W14" s="559">
        <f t="shared" si="14"/>
        <v>78.96392115044317</v>
      </c>
      <c r="X14" s="559">
        <f t="shared" si="15"/>
        <v>77.973684210526315</v>
      </c>
      <c r="Y14" s="559">
        <f t="shared" si="16"/>
        <v>78.372628966495299</v>
      </c>
      <c r="Z14" s="559">
        <f t="shared" si="17"/>
        <v>80.090349075975368</v>
      </c>
      <c r="AA14" s="2" t="str">
        <f>+IFERROR(RANK(B14,(B$6,B$15,B$22,B$26,B$27,B$28,B$33),0),"")</f>
        <v/>
      </c>
      <c r="AB14" s="2" t="str">
        <f>+IFERROR(RANK(C14,(C$6,C$15,C$22,C$26,C$27,C$28,C$33),0),"")</f>
        <v/>
      </c>
      <c r="AC14" s="2" t="str">
        <f>+IFERROR(RANK(D14,(D$6,D$15,D$22,D$26,D$27,D$28,D$33),0),"")</f>
        <v/>
      </c>
      <c r="AD14" s="2" t="str">
        <f>+IFERROR(RANK(E14,(E$6,E$15,E$22,E$26,E$27,E$28,E$33),0),"")</f>
        <v/>
      </c>
      <c r="AE14" s="2" t="str">
        <f>+IFERROR(RANK(F14,(F$6,F$15,F$22,F$26,F$27,F$28,F$33),0),"")</f>
        <v/>
      </c>
      <c r="AF14" s="2" t="str">
        <f>+IFERROR(RANK(G14,(G$6,G$15,G$22,G$26,G$27,G$28,G$33),0),"")</f>
        <v/>
      </c>
      <c r="AG14" s="2" t="str">
        <f>+IFERROR(RANK(H14,(H$6,H$15,H$22,H$26,H$27,H$28,H$33),0),"")</f>
        <v/>
      </c>
      <c r="AH14" s="2" t="str">
        <f>+IFERROR(RANK(I14,(I$6,I$15,I$22,I$26,I$27,I$28,I$33),0),"")</f>
        <v/>
      </c>
      <c r="AI14" s="2" t="str">
        <f>+IFERROR(RANK(J14,(J$6,J$15,J$22,J$26,J$27,J$28,J$33),0),"")</f>
        <v/>
      </c>
      <c r="AJ14" s="2" t="str">
        <f>+IFERROR(RANK(K14,(K$6,K$15,K$22,K$26,K$27,K$28,K$33),0),"")</f>
        <v/>
      </c>
      <c r="AK14" s="2" t="str">
        <f>+IFERROR(RANK(L14,(L$6,L$15,L$22,L$26,L$27,L$28,L$33),0),"")</f>
        <v/>
      </c>
    </row>
    <row r="15" spans="1:37" ht="20.100000000000001" customHeight="1">
      <c r="A15" s="15" t="s">
        <v>505</v>
      </c>
      <c r="B15" s="87">
        <v>945.62</v>
      </c>
      <c r="C15" s="87">
        <v>950.55</v>
      </c>
      <c r="D15" s="87">
        <v>966.29</v>
      </c>
      <c r="E15" s="87">
        <v>995.19</v>
      </c>
      <c r="F15" s="87">
        <v>1032.83</v>
      </c>
      <c r="G15" s="87">
        <v>1070.6600000000001</v>
      </c>
      <c r="H15" s="87">
        <v>1104.06</v>
      </c>
      <c r="I15" s="87">
        <v>1147.1099999999999</v>
      </c>
      <c r="J15" s="87">
        <v>1204.23</v>
      </c>
      <c r="K15" s="87">
        <v>1291.06</v>
      </c>
      <c r="L15" s="87">
        <v>1393.64</v>
      </c>
      <c r="N15" s="559">
        <f t="shared" si="5"/>
        <v>47.378439542310872</v>
      </c>
      <c r="O15" s="419">
        <f t="shared" si="6"/>
        <v>448.0200000000001</v>
      </c>
      <c r="P15" s="559">
        <f t="shared" si="7"/>
        <v>86.499391699673438</v>
      </c>
      <c r="Q15" s="559">
        <f t="shared" si="8"/>
        <v>86.67681870406507</v>
      </c>
      <c r="R15" s="559">
        <f t="shared" si="9"/>
        <v>87.221309551748419</v>
      </c>
      <c r="S15" s="559">
        <f t="shared" si="10"/>
        <v>87.81036582137753</v>
      </c>
      <c r="T15" s="559">
        <f t="shared" si="11"/>
        <v>88.257209997863711</v>
      </c>
      <c r="U15" s="559">
        <f t="shared" si="12"/>
        <v>88.488685389358153</v>
      </c>
      <c r="V15" s="559">
        <f t="shared" si="13"/>
        <v>88.271836897861277</v>
      </c>
      <c r="W15" s="559">
        <f t="shared" si="14"/>
        <v>88.640841968611625</v>
      </c>
      <c r="X15" s="559">
        <f t="shared" si="15"/>
        <v>88.028508771929822</v>
      </c>
      <c r="Y15" s="559">
        <f t="shared" si="16"/>
        <v>88.027218305537744</v>
      </c>
      <c r="Z15" s="559">
        <f t="shared" si="17"/>
        <v>88.051808561048801</v>
      </c>
      <c r="AA15" s="2">
        <f>+IFERROR(RANK(B15,(B$6,B$15,B$22,B$26,B$27,B$28,B$33),0),"")</f>
        <v>5</v>
      </c>
      <c r="AB15" s="2">
        <f>+IFERROR(RANK(C15,(C$6,C$15,C$22,C$26,C$27,C$28,C$33),0),"")</f>
        <v>5</v>
      </c>
      <c r="AC15" s="2">
        <f>+IFERROR(RANK(D15,(D$6,D$15,D$22,D$26,D$27,D$28,D$33),0),"")</f>
        <v>5</v>
      </c>
      <c r="AD15" s="2">
        <f>+IFERROR(RANK(E15,(E$6,E$15,E$22,E$26,E$27,E$28,E$33),0),"")</f>
        <v>4</v>
      </c>
      <c r="AE15" s="2">
        <f>+IFERROR(RANK(F15,(F$6,F$15,F$22,F$26,F$27,F$28,F$33),0),"")</f>
        <v>4</v>
      </c>
      <c r="AF15" s="2">
        <f>+IFERROR(RANK(G15,(G$6,G$15,G$22,G$26,G$27,G$28,G$33),0),"")</f>
        <v>4</v>
      </c>
      <c r="AG15" s="2">
        <f>+IFERROR(RANK(H15,(H$6,H$15,H$22,H$26,H$27,H$28,H$33),0),"")</f>
        <v>4</v>
      </c>
      <c r="AH15" s="2">
        <f>+IFERROR(RANK(I15,(I$6,I$15,I$22,I$26,I$27,I$28,I$33),0),"")</f>
        <v>4</v>
      </c>
      <c r="AI15" s="2">
        <f>+IFERROR(RANK(J15,(J$6,J$15,J$22,J$26,J$27,J$28,J$33),0),"")</f>
        <v>4</v>
      </c>
      <c r="AJ15" s="2">
        <f>+IFERROR(RANK(K15,(K$6,K$15,K$22,K$26,K$27,K$28,K$33),0),"")</f>
        <v>4</v>
      </c>
      <c r="AK15" s="2">
        <f>+IFERROR(RANK(L15,(L$6,L$15,L$22,L$26,L$27,L$28,L$33),0),"")</f>
        <v>4</v>
      </c>
    </row>
    <row r="16" spans="1:37" ht="18" customHeight="1">
      <c r="A16" s="572" t="s">
        <v>513</v>
      </c>
      <c r="B16" s="711">
        <v>919.7</v>
      </c>
      <c r="C16" s="711">
        <v>915.03</v>
      </c>
      <c r="D16" s="711">
        <v>937.13</v>
      </c>
      <c r="E16" s="711">
        <v>958.16</v>
      </c>
      <c r="F16" s="711">
        <v>984.69</v>
      </c>
      <c r="G16" s="711">
        <v>1019.34</v>
      </c>
      <c r="H16" s="711">
        <v>1061.1300000000001</v>
      </c>
      <c r="I16" s="711">
        <v>1106.76</v>
      </c>
      <c r="J16" s="711">
        <v>1152.3900000000001</v>
      </c>
      <c r="K16" s="711">
        <v>1237.75</v>
      </c>
      <c r="L16" s="711">
        <v>1324.42</v>
      </c>
      <c r="N16" s="559">
        <f t="shared" si="5"/>
        <v>44.005654017614447</v>
      </c>
      <c r="O16" s="419">
        <f t="shared" si="6"/>
        <v>404.72</v>
      </c>
      <c r="P16" s="559">
        <f t="shared" si="7"/>
        <v>84.128392532084405</v>
      </c>
      <c r="Q16" s="559">
        <f t="shared" si="8"/>
        <v>83.437893239472572</v>
      </c>
      <c r="R16" s="559">
        <f t="shared" si="9"/>
        <v>84.589208022674356</v>
      </c>
      <c r="S16" s="559">
        <f t="shared" si="10"/>
        <v>84.543032099811185</v>
      </c>
      <c r="T16" s="559">
        <f t="shared" si="11"/>
        <v>84.143559068575087</v>
      </c>
      <c r="U16" s="559">
        <f t="shared" si="12"/>
        <v>84.247152751376092</v>
      </c>
      <c r="V16" s="559">
        <f t="shared" si="13"/>
        <v>84.839496302218677</v>
      </c>
      <c r="W16" s="559">
        <f t="shared" si="14"/>
        <v>85.522868998771358</v>
      </c>
      <c r="X16" s="559">
        <f t="shared" si="15"/>
        <v>84.239035087719316</v>
      </c>
      <c r="Y16" s="559">
        <f t="shared" si="16"/>
        <v>84.3924290564957</v>
      </c>
      <c r="Z16" s="559">
        <f t="shared" si="17"/>
        <v>83.678407834465332</v>
      </c>
      <c r="AA16" s="2" t="str">
        <f>+IFERROR(RANK(B16,(B$6,B$15,B$22,B$26,B$27,B$28,B$33),0),"")</f>
        <v/>
      </c>
      <c r="AB16" s="2" t="str">
        <f>+IFERROR(RANK(C16,(C$6,C$15,C$22,C$26,C$27,C$28,C$33),0),"")</f>
        <v/>
      </c>
      <c r="AC16" s="2" t="str">
        <f>+IFERROR(RANK(D16,(D$6,D$15,D$22,D$26,D$27,D$28,D$33),0),"")</f>
        <v/>
      </c>
      <c r="AD16" s="2" t="str">
        <f>+IFERROR(RANK(E16,(E$6,E$15,E$22,E$26,E$27,E$28,E$33),0),"")</f>
        <v/>
      </c>
      <c r="AE16" s="2" t="str">
        <f>+IFERROR(RANK(F16,(F$6,F$15,F$22,F$26,F$27,F$28,F$33),0),"")</f>
        <v/>
      </c>
      <c r="AF16" s="2" t="str">
        <f>+IFERROR(RANK(G16,(G$6,G$15,G$22,G$26,G$27,G$28,G$33),0),"")</f>
        <v/>
      </c>
      <c r="AG16" s="2" t="str">
        <f>+IFERROR(RANK(H16,(H$6,H$15,H$22,H$26,H$27,H$28,H$33),0),"")</f>
        <v/>
      </c>
      <c r="AH16" s="2" t="str">
        <f>+IFERROR(RANK(I16,(I$6,I$15,I$22,I$26,I$27,I$28,I$33),0),"")</f>
        <v/>
      </c>
      <c r="AI16" s="2" t="str">
        <f>+IFERROR(RANK(J16,(J$6,J$15,J$22,J$26,J$27,J$28,J$33),0),"")</f>
        <v/>
      </c>
      <c r="AJ16" s="2" t="str">
        <f>+IFERROR(RANK(K16,(K$6,K$15,K$22,K$26,K$27,K$28,K$33),0),"")</f>
        <v/>
      </c>
      <c r="AK16" s="2" t="str">
        <f>+IFERROR(RANK(L16,(L$6,L$15,L$22,L$26,L$27,L$28,L$33),0),"")</f>
        <v/>
      </c>
    </row>
    <row r="17" spans="1:37" ht="18" customHeight="1">
      <c r="A17" s="572" t="s">
        <v>506</v>
      </c>
      <c r="B17" s="711">
        <v>996.2</v>
      </c>
      <c r="C17" s="711">
        <v>1007.63</v>
      </c>
      <c r="D17" s="711">
        <v>1017.74</v>
      </c>
      <c r="E17" s="711">
        <v>1047.92</v>
      </c>
      <c r="F17" s="711">
        <v>1091.01</v>
      </c>
      <c r="G17" s="711">
        <v>1133.26</v>
      </c>
      <c r="H17" s="711">
        <v>1165.8699999999999</v>
      </c>
      <c r="I17" s="711">
        <v>1209.9100000000001</v>
      </c>
      <c r="J17" s="711">
        <v>1282.9000000000001</v>
      </c>
      <c r="K17" s="711">
        <v>1382.49</v>
      </c>
      <c r="L17" s="711">
        <v>1492.3</v>
      </c>
      <c r="N17" s="559">
        <f t="shared" si="5"/>
        <v>49.799237100983731</v>
      </c>
      <c r="O17" s="419">
        <f t="shared" si="6"/>
        <v>496.09999999999991</v>
      </c>
      <c r="P17" s="559">
        <f t="shared" si="7"/>
        <v>91.126133130871466</v>
      </c>
      <c r="Q17" s="559">
        <f t="shared" si="8"/>
        <v>91.881713566647818</v>
      </c>
      <c r="R17" s="559">
        <f t="shared" si="9"/>
        <v>91.865398155001543</v>
      </c>
      <c r="S17" s="559">
        <f t="shared" si="10"/>
        <v>92.462985511849936</v>
      </c>
      <c r="T17" s="559">
        <f t="shared" si="11"/>
        <v>93.228797265541544</v>
      </c>
      <c r="U17" s="559">
        <f t="shared" si="12"/>
        <v>93.662495660941858</v>
      </c>
      <c r="V17" s="559">
        <f t="shared" si="13"/>
        <v>93.21367179692183</v>
      </c>
      <c r="W17" s="559">
        <f t="shared" si="14"/>
        <v>93.493597916714975</v>
      </c>
      <c r="X17" s="559">
        <f t="shared" si="15"/>
        <v>93.779239766081886</v>
      </c>
      <c r="Y17" s="559">
        <f t="shared" si="16"/>
        <v>94.26111027777398</v>
      </c>
      <c r="Z17" s="559">
        <f t="shared" si="17"/>
        <v>94.2852629916285</v>
      </c>
      <c r="AA17" s="2" t="str">
        <f>+IFERROR(RANK(B17,(B$6,B$15,B$22,B$26,B$27,B$28,B$33),0),"")</f>
        <v/>
      </c>
      <c r="AB17" s="2" t="str">
        <f>+IFERROR(RANK(C17,(C$6,C$15,C$22,C$26,C$27,C$28,C$33),0),"")</f>
        <v/>
      </c>
      <c r="AC17" s="2" t="str">
        <f>+IFERROR(RANK(D17,(D$6,D$15,D$22,D$26,D$27,D$28,D$33),0),"")</f>
        <v/>
      </c>
      <c r="AD17" s="2" t="str">
        <f>+IFERROR(RANK(E17,(E$6,E$15,E$22,E$26,E$27,E$28,E$33),0),"")</f>
        <v/>
      </c>
      <c r="AE17" s="2" t="str">
        <f>+IFERROR(RANK(F17,(F$6,F$15,F$22,F$26,F$27,F$28,F$33),0),"")</f>
        <v/>
      </c>
      <c r="AF17" s="2" t="str">
        <f>+IFERROR(RANK(G17,(G$6,G$15,G$22,G$26,G$27,G$28,G$33),0),"")</f>
        <v/>
      </c>
      <c r="AG17" s="2" t="str">
        <f>+IFERROR(RANK(H17,(H$6,H$15,H$22,H$26,H$27,H$28,H$33),0),"")</f>
        <v/>
      </c>
      <c r="AH17" s="2" t="str">
        <f>+IFERROR(RANK(I17,(I$6,I$15,I$22,I$26,I$27,I$28,I$33),0),"")</f>
        <v/>
      </c>
      <c r="AI17" s="2" t="str">
        <f>+IFERROR(RANK(J17,(J$6,J$15,J$22,J$26,J$27,J$28,J$33),0),"")</f>
        <v/>
      </c>
      <c r="AJ17" s="2" t="str">
        <f>+IFERROR(RANK(K17,(K$6,K$15,K$22,K$26,K$27,K$28,K$33),0),"")</f>
        <v/>
      </c>
      <c r="AK17" s="2" t="str">
        <f>+IFERROR(RANK(L17,(L$6,L$15,L$22,L$26,L$27,L$28,L$33),0),"")</f>
        <v/>
      </c>
    </row>
    <row r="18" spans="1:37" ht="18" customHeight="1">
      <c r="A18" s="572" t="s">
        <v>507</v>
      </c>
      <c r="B18" s="711">
        <v>963.48</v>
      </c>
      <c r="C18" s="711">
        <v>964.08</v>
      </c>
      <c r="D18" s="711">
        <v>988.14</v>
      </c>
      <c r="E18" s="711">
        <v>1015.53</v>
      </c>
      <c r="F18" s="711">
        <v>1052.5</v>
      </c>
      <c r="G18" s="711">
        <v>1093.1500000000001</v>
      </c>
      <c r="H18" s="711">
        <v>1119.46</v>
      </c>
      <c r="I18" s="711">
        <v>1167.5999999999999</v>
      </c>
      <c r="J18" s="711">
        <v>1223.82</v>
      </c>
      <c r="K18" s="711">
        <v>1319.21</v>
      </c>
      <c r="L18" s="711">
        <v>1423.9</v>
      </c>
      <c r="N18" s="559">
        <f t="shared" si="5"/>
        <v>47.787188109768763</v>
      </c>
      <c r="O18" s="419">
        <f t="shared" si="6"/>
        <v>460.42000000000007</v>
      </c>
      <c r="P18" s="559">
        <f t="shared" si="7"/>
        <v>88.13311257672359</v>
      </c>
      <c r="Q18" s="559">
        <f t="shared" si="8"/>
        <v>87.910564805865079</v>
      </c>
      <c r="R18" s="559">
        <f t="shared" si="9"/>
        <v>89.19358041629809</v>
      </c>
      <c r="S18" s="559">
        <f t="shared" si="10"/>
        <v>89.605061146699143</v>
      </c>
      <c r="T18" s="559">
        <f t="shared" si="11"/>
        <v>89.938047425763727</v>
      </c>
      <c r="U18" s="559">
        <f t="shared" si="12"/>
        <v>90.34745524571467</v>
      </c>
      <c r="V18" s="559">
        <f t="shared" si="13"/>
        <v>89.503098141115331</v>
      </c>
      <c r="W18" s="559">
        <f t="shared" si="14"/>
        <v>90.224169506456164</v>
      </c>
      <c r="X18" s="559">
        <f t="shared" si="15"/>
        <v>89.46052631578948</v>
      </c>
      <c r="Y18" s="559">
        <f t="shared" si="16"/>
        <v>89.946545211569145</v>
      </c>
      <c r="Z18" s="559">
        <f t="shared" si="17"/>
        <v>89.963670826093818</v>
      </c>
      <c r="AA18" s="2" t="str">
        <f>+IFERROR(RANK(B18,(B$6,B$15,B$22,B$26,B$27,B$28,B$33),0),"")</f>
        <v/>
      </c>
      <c r="AB18" s="2" t="str">
        <f>+IFERROR(RANK(C18,(C$6,C$15,C$22,C$26,C$27,C$28,C$33),0),"")</f>
        <v/>
      </c>
      <c r="AC18" s="2" t="str">
        <f>+IFERROR(RANK(D18,(D$6,D$15,D$22,D$26,D$27,D$28,D$33),0),"")</f>
        <v/>
      </c>
      <c r="AD18" s="2" t="str">
        <f>+IFERROR(RANK(E18,(E$6,E$15,E$22,E$26,E$27,E$28,E$33),0),"")</f>
        <v/>
      </c>
      <c r="AE18" s="2" t="str">
        <f>+IFERROR(RANK(F18,(F$6,F$15,F$22,F$26,F$27,F$28,F$33),0),"")</f>
        <v/>
      </c>
      <c r="AF18" s="2" t="str">
        <f>+IFERROR(RANK(G18,(G$6,G$15,G$22,G$26,G$27,G$28,G$33),0),"")</f>
        <v/>
      </c>
      <c r="AG18" s="2" t="str">
        <f>+IFERROR(RANK(H18,(H$6,H$15,H$22,H$26,H$27,H$28,H$33),0),"")</f>
        <v/>
      </c>
      <c r="AH18" s="2" t="str">
        <f>+IFERROR(RANK(I18,(I$6,I$15,I$22,I$26,I$27,I$28,I$33),0),"")</f>
        <v/>
      </c>
      <c r="AI18" s="2" t="str">
        <f>+IFERROR(RANK(J18,(J$6,J$15,J$22,J$26,J$27,J$28,J$33),0),"")</f>
        <v/>
      </c>
      <c r="AJ18" s="2" t="str">
        <f>+IFERROR(RANK(K18,(K$6,K$15,K$22,K$26,K$27,K$28,K$33),0),"")</f>
        <v/>
      </c>
      <c r="AK18" s="2" t="str">
        <f>+IFERROR(RANK(L18,(L$6,L$15,L$22,L$26,L$27,L$28,L$33),0),"")</f>
        <v/>
      </c>
    </row>
    <row r="19" spans="1:37" ht="18" customHeight="1">
      <c r="A19" s="572" t="s">
        <v>508</v>
      </c>
      <c r="B19" s="711">
        <v>988.89</v>
      </c>
      <c r="C19" s="711">
        <v>997.9</v>
      </c>
      <c r="D19" s="711">
        <v>1012.22</v>
      </c>
      <c r="E19" s="711">
        <v>1043.69</v>
      </c>
      <c r="F19" s="711">
        <v>1087.48</v>
      </c>
      <c r="G19" s="711">
        <v>1121.98</v>
      </c>
      <c r="H19" s="711">
        <v>1150.1300000000001</v>
      </c>
      <c r="I19" s="711">
        <v>1194.01</v>
      </c>
      <c r="J19" s="711">
        <v>1251.2</v>
      </c>
      <c r="K19" s="711">
        <v>1326.74</v>
      </c>
      <c r="L19" s="711">
        <v>1434.69</v>
      </c>
      <c r="N19" s="559">
        <f t="shared" si="5"/>
        <v>45.080848223766054</v>
      </c>
      <c r="O19" s="419">
        <f t="shared" si="6"/>
        <v>445.80000000000007</v>
      </c>
      <c r="P19" s="559">
        <f t="shared" si="7"/>
        <v>90.457460140320705</v>
      </c>
      <c r="Q19" s="559">
        <f t="shared" si="8"/>
        <v>90.994474130541818</v>
      </c>
      <c r="R19" s="559">
        <f t="shared" si="9"/>
        <v>91.367140252378462</v>
      </c>
      <c r="S19" s="559">
        <f t="shared" si="10"/>
        <v>92.089752413221106</v>
      </c>
      <c r="T19" s="559">
        <f t="shared" si="11"/>
        <v>92.927152317880797</v>
      </c>
      <c r="U19" s="559">
        <f t="shared" si="12"/>
        <v>92.7302180273402</v>
      </c>
      <c r="V19" s="559">
        <f t="shared" si="13"/>
        <v>91.955226863881677</v>
      </c>
      <c r="W19" s="559">
        <f t="shared" si="14"/>
        <v>92.264954292911739</v>
      </c>
      <c r="X19" s="559">
        <f t="shared" si="15"/>
        <v>91.461988304093566</v>
      </c>
      <c r="Y19" s="559">
        <f t="shared" si="16"/>
        <v>90.459956636166524</v>
      </c>
      <c r="Z19" s="559">
        <f t="shared" si="17"/>
        <v>90.64539567208972</v>
      </c>
      <c r="AA19" s="2" t="str">
        <f>+IFERROR(RANK(B19,(B$6,B$15,B$22,B$26,B$27,B$28,B$33),0),"")</f>
        <v/>
      </c>
      <c r="AB19" s="2" t="str">
        <f>+IFERROR(RANK(C19,(C$6,C$15,C$22,C$26,C$27,C$28,C$33),0),"")</f>
        <v/>
      </c>
      <c r="AC19" s="2" t="str">
        <f>+IFERROR(RANK(D19,(D$6,D$15,D$22,D$26,D$27,D$28,D$33),0),"")</f>
        <v/>
      </c>
      <c r="AD19" s="2" t="str">
        <f>+IFERROR(RANK(E19,(E$6,E$15,E$22,E$26,E$27,E$28,E$33),0),"")</f>
        <v/>
      </c>
      <c r="AE19" s="2" t="str">
        <f>+IFERROR(RANK(F19,(F$6,F$15,F$22,F$26,F$27,F$28,F$33),0),"")</f>
        <v/>
      </c>
      <c r="AF19" s="2" t="str">
        <f>+IFERROR(RANK(G19,(G$6,G$15,G$22,G$26,G$27,G$28,G$33),0),"")</f>
        <v/>
      </c>
      <c r="AG19" s="2" t="str">
        <f>+IFERROR(RANK(H19,(H$6,H$15,H$22,H$26,H$27,H$28,H$33),0),"")</f>
        <v/>
      </c>
      <c r="AH19" s="2" t="str">
        <f>+IFERROR(RANK(I19,(I$6,I$15,I$22,I$26,I$27,I$28,I$33),0),"")</f>
        <v/>
      </c>
      <c r="AI19" s="2" t="str">
        <f>+IFERROR(RANK(J19,(J$6,J$15,J$22,J$26,J$27,J$28,J$33),0),"")</f>
        <v/>
      </c>
      <c r="AJ19" s="2" t="str">
        <f>+IFERROR(RANK(K19,(K$6,K$15,K$22,K$26,K$27,K$28,K$33),0),"")</f>
        <v/>
      </c>
      <c r="AK19" s="2" t="str">
        <f>+IFERROR(RANK(L19,(L$6,L$15,L$22,L$26,L$27,L$28,L$33),0),"")</f>
        <v/>
      </c>
    </row>
    <row r="20" spans="1:37" ht="18" customHeight="1">
      <c r="A20" s="572" t="s">
        <v>509</v>
      </c>
      <c r="B20" s="711">
        <v>902.75</v>
      </c>
      <c r="C20" s="711">
        <v>906.45</v>
      </c>
      <c r="D20" s="711">
        <v>913.09</v>
      </c>
      <c r="E20" s="711">
        <v>943.87</v>
      </c>
      <c r="F20" s="711">
        <v>986.58</v>
      </c>
      <c r="G20" s="711">
        <v>1025.08</v>
      </c>
      <c r="H20" s="711">
        <v>1055.3900000000001</v>
      </c>
      <c r="I20" s="711">
        <v>1099.74</v>
      </c>
      <c r="J20" s="711">
        <v>1154.72</v>
      </c>
      <c r="K20" s="711">
        <v>1239.6199999999999</v>
      </c>
      <c r="L20" s="711">
        <v>1331.89</v>
      </c>
      <c r="N20" s="559">
        <f t="shared" si="5"/>
        <v>47.536970368319032</v>
      </c>
      <c r="O20" s="419">
        <f t="shared" si="6"/>
        <v>429.1400000000001</v>
      </c>
      <c r="P20" s="559">
        <f t="shared" si="7"/>
        <v>82.577912752353157</v>
      </c>
      <c r="Q20" s="559">
        <f t="shared" si="8"/>
        <v>82.655517662721351</v>
      </c>
      <c r="R20" s="559">
        <f t="shared" si="9"/>
        <v>82.419258751105744</v>
      </c>
      <c r="S20" s="559">
        <f t="shared" si="10"/>
        <v>83.282157163781392</v>
      </c>
      <c r="T20" s="559">
        <f t="shared" si="11"/>
        <v>84.305063020722073</v>
      </c>
      <c r="U20" s="559">
        <f t="shared" si="12"/>
        <v>84.721556440815249</v>
      </c>
      <c r="V20" s="559">
        <f t="shared" si="13"/>
        <v>84.380571657005802</v>
      </c>
      <c r="W20" s="559">
        <f t="shared" si="14"/>
        <v>84.980411247884646</v>
      </c>
      <c r="X20" s="559">
        <f t="shared" si="15"/>
        <v>84.409356725146196</v>
      </c>
      <c r="Y20" s="559">
        <f t="shared" si="16"/>
        <v>84.519929636043784</v>
      </c>
      <c r="Z20" s="559">
        <f t="shared" si="17"/>
        <v>84.150371189385567</v>
      </c>
      <c r="AA20" s="2" t="str">
        <f>+IFERROR(RANK(B20,(B$6,B$15,B$22,B$26,B$27,B$28,B$33),0),"")</f>
        <v/>
      </c>
      <c r="AB20" s="2" t="str">
        <f>+IFERROR(RANK(C20,(C$6,C$15,C$22,C$26,C$27,C$28,C$33),0),"")</f>
        <v/>
      </c>
      <c r="AC20" s="2" t="str">
        <f>+IFERROR(RANK(D20,(D$6,D$15,D$22,D$26,D$27,D$28,D$33),0),"")</f>
        <v/>
      </c>
      <c r="AD20" s="2" t="str">
        <f>+IFERROR(RANK(E20,(E$6,E$15,E$22,E$26,E$27,E$28,E$33),0),"")</f>
        <v/>
      </c>
      <c r="AE20" s="2" t="str">
        <f>+IFERROR(RANK(F20,(F$6,F$15,F$22,F$26,F$27,F$28,F$33),0),"")</f>
        <v/>
      </c>
      <c r="AF20" s="2" t="str">
        <f>+IFERROR(RANK(G20,(G$6,G$15,G$22,G$26,G$27,G$28,G$33),0),"")</f>
        <v/>
      </c>
      <c r="AG20" s="2" t="str">
        <f>+IFERROR(RANK(H20,(H$6,H$15,H$22,H$26,H$27,H$28,H$33),0),"")</f>
        <v/>
      </c>
      <c r="AH20" s="2" t="str">
        <f>+IFERROR(RANK(I20,(I$6,I$15,I$22,I$26,I$27,I$28,I$33),0),"")</f>
        <v/>
      </c>
      <c r="AI20" s="2" t="str">
        <f>+IFERROR(RANK(J20,(J$6,J$15,J$22,J$26,J$27,J$28,J$33),0),"")</f>
        <v/>
      </c>
      <c r="AJ20" s="2" t="str">
        <f>+IFERROR(RANK(K20,(K$6,K$15,K$22,K$26,K$27,K$28,K$33),0),"")</f>
        <v/>
      </c>
      <c r="AK20" s="2" t="str">
        <f>+IFERROR(RANK(L20,(L$6,L$15,L$22,L$26,L$27,L$28,L$33),0),"")</f>
        <v/>
      </c>
    </row>
    <row r="21" spans="1:37" ht="18" customHeight="1">
      <c r="A21" s="572" t="s">
        <v>510</v>
      </c>
      <c r="B21" s="711">
        <v>879</v>
      </c>
      <c r="C21" s="711">
        <v>881.47</v>
      </c>
      <c r="D21" s="711">
        <v>899.85</v>
      </c>
      <c r="E21" s="711">
        <v>928.19</v>
      </c>
      <c r="F21" s="711">
        <v>961.39</v>
      </c>
      <c r="G21" s="711">
        <v>995.38</v>
      </c>
      <c r="H21" s="711">
        <v>1036.23</v>
      </c>
      <c r="I21" s="711">
        <v>1082.01</v>
      </c>
      <c r="J21" s="711">
        <v>1129.99</v>
      </c>
      <c r="K21" s="711">
        <v>1214.58</v>
      </c>
      <c r="L21" s="711">
        <v>1306.07</v>
      </c>
      <c r="N21" s="559">
        <f t="shared" si="5"/>
        <v>48.585893060295795</v>
      </c>
      <c r="O21" s="419">
        <f t="shared" si="6"/>
        <v>427.06999999999994</v>
      </c>
      <c r="P21" s="559">
        <f t="shared" si="7"/>
        <v>80.405411586063053</v>
      </c>
      <c r="Q21" s="559">
        <f t="shared" si="8"/>
        <v>80.37769226560647</v>
      </c>
      <c r="R21" s="559">
        <f t="shared" si="9"/>
        <v>81.224161897712719</v>
      </c>
      <c r="S21" s="559">
        <f t="shared" si="10"/>
        <v>81.898635890377122</v>
      </c>
      <c r="T21" s="559">
        <f t="shared" si="11"/>
        <v>82.15253151036103</v>
      </c>
      <c r="U21" s="559">
        <f t="shared" si="12"/>
        <v>82.266889267236394</v>
      </c>
      <c r="V21" s="559">
        <f t="shared" si="13"/>
        <v>82.848690785528689</v>
      </c>
      <c r="W21" s="559">
        <f t="shared" si="14"/>
        <v>83.610357697568219</v>
      </c>
      <c r="X21" s="559">
        <f t="shared" si="15"/>
        <v>82.601608187134502</v>
      </c>
      <c r="Y21" s="559">
        <f t="shared" si="16"/>
        <v>82.812649148405214</v>
      </c>
      <c r="Z21" s="559">
        <f t="shared" si="17"/>
        <v>82.519033328068232</v>
      </c>
      <c r="AA21" s="2" t="str">
        <f>+IFERROR(RANK(B21,(B$6,B$15,B$22,B$26,B$27,B$28,B$33),0),"")</f>
        <v/>
      </c>
      <c r="AB21" s="2" t="str">
        <f>+IFERROR(RANK(C21,(C$6,C$15,C$22,C$26,C$27,C$28,C$33),0),"")</f>
        <v/>
      </c>
      <c r="AC21" s="2" t="str">
        <f>+IFERROR(RANK(D21,(D$6,D$15,D$22,D$26,D$27,D$28,D$33),0),"")</f>
        <v/>
      </c>
      <c r="AD21" s="2" t="str">
        <f>+IFERROR(RANK(E21,(E$6,E$15,E$22,E$26,E$27,E$28,E$33),0),"")</f>
        <v/>
      </c>
      <c r="AE21" s="2" t="str">
        <f>+IFERROR(RANK(F21,(F$6,F$15,F$22,F$26,F$27,F$28,F$33),0),"")</f>
        <v/>
      </c>
      <c r="AF21" s="2" t="str">
        <f>+IFERROR(RANK(G21,(G$6,G$15,G$22,G$26,G$27,G$28,G$33),0),"")</f>
        <v/>
      </c>
      <c r="AG21" s="2" t="str">
        <f>+IFERROR(RANK(H21,(H$6,H$15,H$22,H$26,H$27,H$28,H$33),0),"")</f>
        <v/>
      </c>
      <c r="AH21" s="2" t="str">
        <f>+IFERROR(RANK(I21,(I$6,I$15,I$22,I$26,I$27,I$28,I$33),0),"")</f>
        <v/>
      </c>
      <c r="AI21" s="2" t="str">
        <f>+IFERROR(RANK(J21,(J$6,J$15,J$22,J$26,J$27,J$28,J$33),0),"")</f>
        <v/>
      </c>
      <c r="AJ21" s="2" t="str">
        <f>+IFERROR(RANK(K21,(K$6,K$15,K$22,K$26,K$27,K$28,K$33),0),"")</f>
        <v/>
      </c>
      <c r="AK21" s="2" t="str">
        <f>+IFERROR(RANK(L21,(L$6,L$15,L$22,L$26,L$27,L$28,L$33),0),"")</f>
        <v/>
      </c>
    </row>
    <row r="22" spans="1:37" ht="18" customHeight="1">
      <c r="A22" s="572" t="s">
        <v>514</v>
      </c>
      <c r="B22" s="711">
        <v>940.53</v>
      </c>
      <c r="C22" s="711">
        <v>946.9</v>
      </c>
      <c r="D22" s="711">
        <v>954.17</v>
      </c>
      <c r="E22" s="711">
        <v>984.54</v>
      </c>
      <c r="F22" s="711">
        <v>1019.1</v>
      </c>
      <c r="G22" s="711">
        <v>1051.55</v>
      </c>
      <c r="H22" s="711">
        <v>1087.0899999999999</v>
      </c>
      <c r="I22" s="711">
        <v>1115.82</v>
      </c>
      <c r="J22" s="711">
        <v>1164.27</v>
      </c>
      <c r="K22" s="711">
        <v>1246.74</v>
      </c>
      <c r="L22" s="711">
        <v>1352.82</v>
      </c>
      <c r="N22" s="559">
        <f t="shared" si="5"/>
        <v>43.835922299129201</v>
      </c>
      <c r="O22" s="419">
        <f t="shared" si="6"/>
        <v>412.28999999999996</v>
      </c>
      <c r="P22" s="559">
        <f t="shared" si="7"/>
        <v>86.033790397087472</v>
      </c>
      <c r="Q22" s="559">
        <f t="shared" si="8"/>
        <v>86.343989933069494</v>
      </c>
      <c r="R22" s="559">
        <f t="shared" si="9"/>
        <v>86.12730850468472</v>
      </c>
      <c r="S22" s="559">
        <f t="shared" si="10"/>
        <v>86.870665466673728</v>
      </c>
      <c r="T22" s="559">
        <f t="shared" si="11"/>
        <v>87.083956419568466</v>
      </c>
      <c r="U22" s="559">
        <f t="shared" si="12"/>
        <v>86.9092682281766</v>
      </c>
      <c r="V22" s="559">
        <f t="shared" si="13"/>
        <v>86.915050969418331</v>
      </c>
      <c r="W22" s="559">
        <f t="shared" si="14"/>
        <v>86.222964044787545</v>
      </c>
      <c r="X22" s="559">
        <f t="shared" si="15"/>
        <v>85.107456140350877</v>
      </c>
      <c r="Y22" s="559">
        <f t="shared" si="16"/>
        <v>85.005386388119945</v>
      </c>
      <c r="Z22" s="559">
        <f t="shared" si="17"/>
        <v>85.47275311957037</v>
      </c>
      <c r="AA22" s="2">
        <f>+IFERROR(RANK(B22,(B$6,B$15,B$22,B$26,B$27,B$28,B$33),0),"")</f>
        <v>6</v>
      </c>
      <c r="AB22" s="2">
        <f>+IFERROR(RANK(C22,(C$6,C$15,C$22,C$26,C$27,C$28,C$33),0),"")</f>
        <v>6</v>
      </c>
      <c r="AC22" s="2">
        <f>+IFERROR(RANK(D22,(D$6,D$15,D$22,D$26,D$27,D$28,D$33),0),"")</f>
        <v>6</v>
      </c>
      <c r="AD22" s="2">
        <f>+IFERROR(RANK(E22,(E$6,E$15,E$22,E$26,E$27,E$28,E$33),0),"")</f>
        <v>6</v>
      </c>
      <c r="AE22" s="2">
        <f>+IFERROR(RANK(F22,(F$6,F$15,F$22,F$26,F$27,F$28,F$33),0),"")</f>
        <v>5</v>
      </c>
      <c r="AF22" s="2">
        <f>+IFERROR(RANK(G22,(G$6,G$15,G$22,G$26,G$27,G$28,G$33),0),"")</f>
        <v>5</v>
      </c>
      <c r="AG22" s="2">
        <f>+IFERROR(RANK(H22,(H$6,H$15,H$22,H$26,H$27,H$28,H$33),0),"")</f>
        <v>5</v>
      </c>
      <c r="AH22" s="2">
        <f>+IFERROR(RANK(I22,(I$6,I$15,I$22,I$26,I$27,I$28,I$33),0),"")</f>
        <v>6</v>
      </c>
      <c r="AI22" s="2">
        <f>+IFERROR(RANK(J22,(J$6,J$15,J$22,J$26,J$27,J$28,J$33),0),"")</f>
        <v>6</v>
      </c>
      <c r="AJ22" s="2">
        <f>+IFERROR(RANK(K22,(K$6,K$15,K$22,K$26,K$27,K$28,K$33),0),"")</f>
        <v>6</v>
      </c>
      <c r="AK22" s="2">
        <f>+IFERROR(RANK(L22,(L$6,L$15,L$22,L$26,L$27,L$28,L$33),0),"")</f>
        <v>6</v>
      </c>
    </row>
    <row r="23" spans="1:37" ht="18" customHeight="1">
      <c r="A23" s="572" t="s">
        <v>511</v>
      </c>
      <c r="B23" s="711">
        <v>837.86</v>
      </c>
      <c r="C23" s="711">
        <v>845.21</v>
      </c>
      <c r="D23" s="711">
        <v>863.35</v>
      </c>
      <c r="E23" s="711">
        <v>897.58</v>
      </c>
      <c r="F23" s="711">
        <v>934.82</v>
      </c>
      <c r="G23" s="711">
        <v>974.36</v>
      </c>
      <c r="H23" s="711">
        <v>1013.44</v>
      </c>
      <c r="I23" s="711">
        <v>1051.24</v>
      </c>
      <c r="J23" s="711">
        <v>1107.68</v>
      </c>
      <c r="K23" s="711">
        <v>1180.54</v>
      </c>
      <c r="L23" s="711">
        <v>1292.95</v>
      </c>
      <c r="N23" s="559">
        <f t="shared" si="5"/>
        <v>54.315756809013436</v>
      </c>
      <c r="O23" s="419">
        <f t="shared" si="6"/>
        <v>455.09000000000003</v>
      </c>
      <c r="P23" s="559">
        <f t="shared" si="7"/>
        <v>76.642182197382013</v>
      </c>
      <c r="Q23" s="559">
        <f t="shared" si="8"/>
        <v>77.071289187168304</v>
      </c>
      <c r="R23" s="559">
        <f t="shared" si="9"/>
        <v>77.929521780730425</v>
      </c>
      <c r="S23" s="559">
        <f t="shared" si="10"/>
        <v>79.197769424885735</v>
      </c>
      <c r="T23" s="559">
        <f t="shared" si="11"/>
        <v>79.88207647938475</v>
      </c>
      <c r="U23" s="559">
        <f t="shared" si="12"/>
        <v>80.529613038663072</v>
      </c>
      <c r="V23" s="559">
        <f t="shared" si="13"/>
        <v>81.026584049570261</v>
      </c>
      <c r="W23" s="559">
        <f t="shared" si="14"/>
        <v>81.232661829365355</v>
      </c>
      <c r="X23" s="559">
        <f t="shared" si="15"/>
        <v>80.970760233918128</v>
      </c>
      <c r="Y23" s="559">
        <f t="shared" si="16"/>
        <v>80.491729507861393</v>
      </c>
      <c r="Z23" s="559">
        <f t="shared" si="17"/>
        <v>81.690096351287323</v>
      </c>
      <c r="AA23" s="2" t="str">
        <f>+IFERROR(RANK(B23,(B$6,B$15,B$22,B$26,B$27,B$28,B$33),0),"")</f>
        <v/>
      </c>
      <c r="AB23" s="2" t="str">
        <f>+IFERROR(RANK(C23,(C$6,C$15,C$22,C$26,C$27,C$28,C$33),0),"")</f>
        <v/>
      </c>
      <c r="AC23" s="2" t="str">
        <f>+IFERROR(RANK(D23,(D$6,D$15,D$22,D$26,D$27,D$28,D$33),0),"")</f>
        <v/>
      </c>
      <c r="AD23" s="2" t="str">
        <f>+IFERROR(RANK(E23,(E$6,E$15,E$22,E$26,E$27,E$28,E$33),0),"")</f>
        <v/>
      </c>
      <c r="AE23" s="2" t="str">
        <f>+IFERROR(RANK(F23,(F$6,F$15,F$22,F$26,F$27,F$28,F$33),0),"")</f>
        <v/>
      </c>
      <c r="AF23" s="2" t="str">
        <f>+IFERROR(RANK(G23,(G$6,G$15,G$22,G$26,G$27,G$28,G$33),0),"")</f>
        <v/>
      </c>
      <c r="AG23" s="2" t="str">
        <f>+IFERROR(RANK(H23,(H$6,H$15,H$22,H$26,H$27,H$28,H$33),0),"")</f>
        <v/>
      </c>
      <c r="AH23" s="2" t="str">
        <f>+IFERROR(RANK(I23,(I$6,I$15,I$22,I$26,I$27,I$28,I$33),0),"")</f>
        <v/>
      </c>
      <c r="AI23" s="2" t="str">
        <f>+IFERROR(RANK(J23,(J$6,J$15,J$22,J$26,J$27,J$28,J$33),0),"")</f>
        <v/>
      </c>
      <c r="AJ23" s="2" t="str">
        <f>+IFERROR(RANK(K23,(K$6,K$15,K$22,K$26,K$27,K$28,K$33),0),"")</f>
        <v/>
      </c>
      <c r="AK23" s="2" t="str">
        <f>+IFERROR(RANK(L23,(L$6,L$15,L$22,L$26,L$27,L$28,L$33),0),"")</f>
        <v/>
      </c>
    </row>
    <row r="24" spans="1:37" ht="20.100000000000001" customHeight="1">
      <c r="A24" s="15" t="s">
        <v>772</v>
      </c>
      <c r="B24" s="87">
        <v>1378.34</v>
      </c>
      <c r="C24" s="87">
        <v>1380.08</v>
      </c>
      <c r="D24" s="87">
        <v>1388.49</v>
      </c>
      <c r="E24" s="87">
        <v>1410.52</v>
      </c>
      <c r="F24" s="87">
        <v>1440.11</v>
      </c>
      <c r="G24" s="87">
        <v>1477.39</v>
      </c>
      <c r="H24" s="87">
        <v>1516.42</v>
      </c>
      <c r="I24" s="87">
        <v>1562.69</v>
      </c>
      <c r="J24" s="87">
        <v>1655.56</v>
      </c>
      <c r="K24" s="87">
        <v>1765.15</v>
      </c>
      <c r="L24" s="87">
        <v>1880.94</v>
      </c>
      <c r="N24" s="559">
        <f t="shared" si="5"/>
        <v>36.464152531305793</v>
      </c>
      <c r="O24" s="419">
        <f t="shared" si="6"/>
        <v>502.60000000000014</v>
      </c>
      <c r="P24" s="559">
        <f t="shared" si="7"/>
        <v>126.08190558081246</v>
      </c>
      <c r="Q24" s="559">
        <f t="shared" si="8"/>
        <v>125.84392610289423</v>
      </c>
      <c r="R24" s="559">
        <f t="shared" si="9"/>
        <v>125.33081797339015</v>
      </c>
      <c r="S24" s="559">
        <f t="shared" si="10"/>
        <v>124.45691495932378</v>
      </c>
      <c r="T24" s="559">
        <f t="shared" si="11"/>
        <v>123.06002990813928</v>
      </c>
      <c r="U24" s="559">
        <f t="shared" si="12"/>
        <v>122.10440187116716</v>
      </c>
      <c r="V24" s="559">
        <f t="shared" si="13"/>
        <v>121.24085548670797</v>
      </c>
      <c r="W24" s="559">
        <f t="shared" si="14"/>
        <v>120.75403172836931</v>
      </c>
      <c r="X24" s="559">
        <f t="shared" si="15"/>
        <v>121.02046783625731</v>
      </c>
      <c r="Y24" s="559">
        <f t="shared" si="16"/>
        <v>120.3516834167428</v>
      </c>
      <c r="Z24" s="559">
        <f t="shared" si="17"/>
        <v>118.8399936818828</v>
      </c>
      <c r="AA24" s="2" t="str">
        <f>+IFERROR(RANK(B24,(B$6,B$15,B$22,B$26,B$27,B$28,B$33),0),"")</f>
        <v/>
      </c>
      <c r="AB24" s="2" t="str">
        <f>+IFERROR(RANK(C24,(C$6,C$15,C$22,C$26,C$27,C$28,C$33),0),"")</f>
        <v/>
      </c>
      <c r="AC24" s="2" t="str">
        <f>+IFERROR(RANK(D24,(D$6,D$15,D$22,D$26,D$27,D$28,D$33),0),"")</f>
        <v/>
      </c>
      <c r="AD24" s="2" t="str">
        <f>+IFERROR(RANK(E24,(E$6,E$15,E$22,E$26,E$27,E$28,E$33),0),"")</f>
        <v/>
      </c>
      <c r="AE24" s="2" t="str">
        <f>+IFERROR(RANK(F24,(F$6,F$15,F$22,F$26,F$27,F$28,F$33),0),"")</f>
        <v/>
      </c>
      <c r="AF24" s="2" t="str">
        <f>+IFERROR(RANK(G24,(G$6,G$15,G$22,G$26,G$27,G$28,G$33),0),"")</f>
        <v/>
      </c>
      <c r="AG24" s="2" t="str">
        <f>+IFERROR(RANK(H24,(H$6,H$15,H$22,H$26,H$27,H$28,H$33),0),"")</f>
        <v/>
      </c>
      <c r="AH24" s="2" t="str">
        <f>+IFERROR(RANK(I24,(I$6,I$15,I$22,I$26,I$27,I$28,I$33),0),"")</f>
        <v/>
      </c>
      <c r="AI24" s="2" t="str">
        <f>+IFERROR(RANK(J24,(J$6,J$15,J$22,J$26,J$27,J$28,J$33),0),"")</f>
        <v/>
      </c>
      <c r="AJ24" s="2" t="str">
        <f>+IFERROR(RANK(K24,(K$6,K$15,K$22,K$26,K$27,K$28,K$33),0),"")</f>
        <v/>
      </c>
      <c r="AK24" s="2" t="str">
        <f>+IFERROR(RANK(L24,(L$6,L$15,L$22,L$26,L$27,L$28,L$33),0),"")</f>
        <v/>
      </c>
    </row>
    <row r="25" spans="1:37" ht="20.100000000000001" customHeight="1">
      <c r="A25" s="15" t="s">
        <v>518</v>
      </c>
      <c r="B25" s="87">
        <v>990.15</v>
      </c>
      <c r="C25" s="87">
        <v>994.42</v>
      </c>
      <c r="D25" s="87">
        <v>997.77</v>
      </c>
      <c r="E25" s="87">
        <v>1016.4</v>
      </c>
      <c r="F25" s="87">
        <v>1051.0899999999999</v>
      </c>
      <c r="G25" s="87">
        <v>1067.82</v>
      </c>
      <c r="H25" s="87">
        <v>1107.8499999999999</v>
      </c>
      <c r="I25" s="87">
        <v>1154.01</v>
      </c>
      <c r="J25" s="87">
        <v>1209.19</v>
      </c>
      <c r="K25" s="87">
        <v>1303.8800000000001</v>
      </c>
      <c r="L25" s="87">
        <v>1393.47</v>
      </c>
      <c r="N25" s="559">
        <f t="shared" si="5"/>
        <v>40.73322223905469</v>
      </c>
      <c r="O25" s="419">
        <f t="shared" si="6"/>
        <v>403.32000000000005</v>
      </c>
      <c r="P25" s="559">
        <f t="shared" si="7"/>
        <v>90.572717044300731</v>
      </c>
      <c r="Q25" s="559">
        <f t="shared" si="8"/>
        <v>90.67714697353783</v>
      </c>
      <c r="R25" s="559">
        <f t="shared" si="9"/>
        <v>90.062823822504654</v>
      </c>
      <c r="S25" s="559">
        <f t="shared" si="10"/>
        <v>89.681825401027055</v>
      </c>
      <c r="T25" s="559">
        <f t="shared" si="11"/>
        <v>89.81756035035248</v>
      </c>
      <c r="U25" s="559">
        <f t="shared" si="12"/>
        <v>88.25396300643007</v>
      </c>
      <c r="V25" s="559">
        <f t="shared" si="13"/>
        <v>88.574855086947821</v>
      </c>
      <c r="W25" s="559">
        <f t="shared" si="14"/>
        <v>89.174026937431904</v>
      </c>
      <c r="X25" s="559">
        <f t="shared" si="15"/>
        <v>88.391081871345023</v>
      </c>
      <c r="Y25" s="559">
        <f t="shared" si="16"/>
        <v>88.901313187787224</v>
      </c>
      <c r="Z25" s="559">
        <f t="shared" si="17"/>
        <v>88.041067761806985</v>
      </c>
      <c r="AA25" s="2" t="str">
        <f>+IFERROR(RANK(B25,(B$6,B$15,B$22,B$26,B$27,B$28,B$33),0),"")</f>
        <v/>
      </c>
      <c r="AB25" s="2" t="str">
        <f>+IFERROR(RANK(C25,(C$6,C$15,C$22,C$26,C$27,C$28,C$33),0),"")</f>
        <v/>
      </c>
      <c r="AC25" s="2" t="str">
        <f>+IFERROR(RANK(D25,(D$6,D$15,D$22,D$26,D$27,D$28,D$33),0),"")</f>
        <v/>
      </c>
      <c r="AD25" s="2" t="str">
        <f>+IFERROR(RANK(E25,(E$6,E$15,E$22,E$26,E$27,E$28,E$33),0),"")</f>
        <v/>
      </c>
      <c r="AE25" s="2" t="str">
        <f>+IFERROR(RANK(F25,(F$6,F$15,F$22,F$26,F$27,F$28,F$33),0),"")</f>
        <v/>
      </c>
      <c r="AF25" s="2" t="str">
        <f>+IFERROR(RANK(G25,(G$6,G$15,G$22,G$26,G$27,G$28,G$33),0),"")</f>
        <v/>
      </c>
      <c r="AG25" s="2" t="str">
        <f>+IFERROR(RANK(H25,(H$6,H$15,H$22,H$26,H$27,H$28,H$33),0),"")</f>
        <v/>
      </c>
      <c r="AH25" s="2" t="str">
        <f>+IFERROR(RANK(I25,(I$6,I$15,I$22,I$26,I$27,I$28,I$33),0),"")</f>
        <v/>
      </c>
      <c r="AI25" s="2" t="str">
        <f>+IFERROR(RANK(J25,(J$6,J$15,J$22,J$26,J$27,J$28,J$33),0),"")</f>
        <v/>
      </c>
      <c r="AJ25" s="2" t="str">
        <f>+IFERROR(RANK(K25,(K$6,K$15,K$22,K$26,K$27,K$28,K$33),0),"")</f>
        <v/>
      </c>
      <c r="AK25" s="2" t="str">
        <f>+IFERROR(RANK(L25,(L$6,L$15,L$22,L$26,L$27,L$28,L$33),0),"")</f>
        <v/>
      </c>
    </row>
    <row r="26" spans="1:37" ht="18" customHeight="1">
      <c r="A26" s="572" t="s">
        <v>519</v>
      </c>
      <c r="B26" s="711">
        <v>1155.58</v>
      </c>
      <c r="C26" s="711">
        <v>1137.03</v>
      </c>
      <c r="D26" s="711">
        <v>1131.0999999999999</v>
      </c>
      <c r="E26" s="711">
        <v>1142.95</v>
      </c>
      <c r="F26" s="711">
        <v>1184</v>
      </c>
      <c r="G26" s="711">
        <v>1165.44</v>
      </c>
      <c r="H26" s="711">
        <v>1206.6300000000001</v>
      </c>
      <c r="I26" s="711">
        <v>1232.3399999999999</v>
      </c>
      <c r="J26" s="711">
        <v>1283.29</v>
      </c>
      <c r="K26" s="711">
        <v>1419.88</v>
      </c>
      <c r="L26" s="711">
        <v>1480.81</v>
      </c>
      <c r="N26" s="559">
        <f t="shared" si="5"/>
        <v>28.144308485782044</v>
      </c>
      <c r="O26" s="419">
        <f t="shared" si="6"/>
        <v>325.23</v>
      </c>
      <c r="P26" s="559">
        <f t="shared" si="7"/>
        <v>105.70521674701109</v>
      </c>
      <c r="Q26" s="559">
        <f t="shared" si="8"/>
        <v>103.68117739317563</v>
      </c>
      <c r="R26" s="559">
        <f t="shared" si="9"/>
        <v>102.09773798133338</v>
      </c>
      <c r="S26" s="559">
        <f t="shared" si="10"/>
        <v>100.84793618861066</v>
      </c>
      <c r="T26" s="559">
        <f t="shared" si="11"/>
        <v>101.17496261482589</v>
      </c>
      <c r="U26" s="559">
        <f t="shared" si="12"/>
        <v>96.322131675950871</v>
      </c>
      <c r="V26" s="559">
        <f t="shared" si="13"/>
        <v>96.472516490105946</v>
      </c>
      <c r="W26" s="559">
        <f t="shared" si="14"/>
        <v>95.226835431300273</v>
      </c>
      <c r="X26" s="559">
        <f t="shared" si="15"/>
        <v>93.807748538011694</v>
      </c>
      <c r="Y26" s="559">
        <f t="shared" si="16"/>
        <v>96.810440047454762</v>
      </c>
      <c r="Z26" s="559">
        <f t="shared" si="17"/>
        <v>93.559311325225082</v>
      </c>
      <c r="AA26" s="2">
        <f>+IFERROR(RANK(B26,(B$6,B$15,B$22,B$26,B$27,B$28,B$33),0),"")</f>
        <v>1</v>
      </c>
      <c r="AB26" s="2">
        <f>+IFERROR(RANK(C26,(C$6,C$15,C$22,C$26,C$27,C$28,C$33),0),"")</f>
        <v>1</v>
      </c>
      <c r="AC26" s="2">
        <f>+IFERROR(RANK(D26,(D$6,D$15,D$22,D$26,D$27,D$28,D$33),0),"")</f>
        <v>1</v>
      </c>
      <c r="AD26" s="2">
        <f>+IFERROR(RANK(E26,(E$6,E$15,E$22,E$26,E$27,E$28,E$33),0),"")</f>
        <v>1</v>
      </c>
      <c r="AE26" s="2">
        <f>+IFERROR(RANK(F26,(F$6,F$15,F$22,F$26,F$27,F$28,F$33),0),"")</f>
        <v>1</v>
      </c>
      <c r="AF26" s="2">
        <f>+IFERROR(RANK(G26,(G$6,G$15,G$22,G$26,G$27,G$28,G$33),0),"")</f>
        <v>1</v>
      </c>
      <c r="AG26" s="2">
        <f>+IFERROR(RANK(H26,(H$6,H$15,H$22,H$26,H$27,H$28,H$33),0),"")</f>
        <v>1</v>
      </c>
      <c r="AH26" s="2">
        <f>+IFERROR(RANK(I26,(I$6,I$15,I$22,I$26,I$27,I$28,I$33),0),"")</f>
        <v>2</v>
      </c>
      <c r="AI26" s="2">
        <f>+IFERROR(RANK(J26,(J$6,J$15,J$22,J$26,J$27,J$28,J$33),0),"")</f>
        <v>2</v>
      </c>
      <c r="AJ26" s="2">
        <f>+IFERROR(RANK(K26,(K$6,K$15,K$22,K$26,K$27,K$28,K$33),0),"")</f>
        <v>1</v>
      </c>
      <c r="AK26" s="2">
        <f>+IFERROR(RANK(L26,(L$6,L$15,L$22,L$26,L$27,L$28,L$33),0),"")</f>
        <v>1</v>
      </c>
    </row>
    <row r="27" spans="1:37" ht="18" customHeight="1">
      <c r="A27" s="572" t="s">
        <v>520</v>
      </c>
      <c r="B27" s="711">
        <v>1016.33</v>
      </c>
      <c r="C27" s="711">
        <v>1025.9100000000001</v>
      </c>
      <c r="D27" s="711">
        <v>1026.24</v>
      </c>
      <c r="E27" s="711">
        <v>1053.33</v>
      </c>
      <c r="F27" s="711">
        <v>1104.1400000000001</v>
      </c>
      <c r="G27" s="711">
        <v>1129.81</v>
      </c>
      <c r="H27" s="711">
        <v>1166.3</v>
      </c>
      <c r="I27" s="711">
        <v>1237.79</v>
      </c>
      <c r="J27" s="711">
        <v>1284.96</v>
      </c>
      <c r="K27" s="711">
        <v>1401.29</v>
      </c>
      <c r="L27" s="711">
        <v>1469.2</v>
      </c>
      <c r="N27" s="559">
        <f t="shared" si="5"/>
        <v>44.559345881751014</v>
      </c>
      <c r="O27" s="419">
        <f t="shared" si="6"/>
        <v>452.87</v>
      </c>
      <c r="P27" s="559">
        <f t="shared" si="7"/>
        <v>92.96749938255229</v>
      </c>
      <c r="Q27" s="559">
        <f t="shared" si="8"/>
        <v>93.548593000565361</v>
      </c>
      <c r="R27" s="559">
        <f t="shared" si="9"/>
        <v>92.632643113750845</v>
      </c>
      <c r="S27" s="559">
        <f t="shared" si="10"/>
        <v>92.940335645084446</v>
      </c>
      <c r="T27" s="559">
        <f t="shared" si="11"/>
        <v>94.35077974791713</v>
      </c>
      <c r="U27" s="559">
        <f t="shared" si="12"/>
        <v>93.377357554920081</v>
      </c>
      <c r="V27" s="559">
        <f t="shared" si="13"/>
        <v>93.248051169298421</v>
      </c>
      <c r="W27" s="559">
        <f t="shared" si="14"/>
        <v>95.647974283484416</v>
      </c>
      <c r="X27" s="559">
        <f t="shared" si="15"/>
        <v>93.929824561403507</v>
      </c>
      <c r="Y27" s="559">
        <f t="shared" si="16"/>
        <v>95.542934286064934</v>
      </c>
      <c r="Z27" s="559">
        <f t="shared" si="17"/>
        <v>92.825777918180378</v>
      </c>
      <c r="AA27" s="2">
        <f>+IFERROR(RANK(B27,(B$6,B$15,B$22,B$26,B$27,B$28,B$33),0),"")</f>
        <v>2</v>
      </c>
      <c r="AB27" s="2">
        <f>+IFERROR(RANK(C27,(C$6,C$15,C$22,C$26,C$27,C$28,C$33),0),"")</f>
        <v>2</v>
      </c>
      <c r="AC27" s="2">
        <f>+IFERROR(RANK(D27,(D$6,D$15,D$22,D$26,D$27,D$28,D$33),0),"")</f>
        <v>2</v>
      </c>
      <c r="AD27" s="2">
        <f>+IFERROR(RANK(E27,(E$6,E$15,E$22,E$26,E$27,E$28,E$33),0),"")</f>
        <v>2</v>
      </c>
      <c r="AE27" s="2">
        <f>+IFERROR(RANK(F27,(F$6,F$15,F$22,F$26,F$27,F$28,F$33),0),"")</f>
        <v>2</v>
      </c>
      <c r="AF27" s="2">
        <f>+IFERROR(RANK(G27,(G$6,G$15,G$22,G$26,G$27,G$28,G$33),0),"")</f>
        <v>2</v>
      </c>
      <c r="AG27" s="2">
        <f>+IFERROR(RANK(H27,(H$6,H$15,H$22,H$26,H$27,H$28,H$33),0),"")</f>
        <v>2</v>
      </c>
      <c r="AH27" s="2">
        <f>+IFERROR(RANK(I27,(I$6,I$15,I$22,I$26,I$27,I$28,I$33),0),"")</f>
        <v>1</v>
      </c>
      <c r="AI27" s="2">
        <f>+IFERROR(RANK(J27,(J$6,J$15,J$22,J$26,J$27,J$28,J$33),0),"")</f>
        <v>1</v>
      </c>
      <c r="AJ27" s="2">
        <f>+IFERROR(RANK(K27,(K$6,K$15,K$22,K$26,K$27,K$28,K$33),0),"")</f>
        <v>2</v>
      </c>
      <c r="AK27" s="2">
        <f>+IFERROR(RANK(L27,(L$6,L$15,L$22,L$26,L$27,L$28,L$33),0),"")</f>
        <v>3</v>
      </c>
    </row>
    <row r="28" spans="1:37" ht="18" customHeight="1">
      <c r="A28" s="572" t="s">
        <v>515</v>
      </c>
      <c r="B28" s="711">
        <v>966.16</v>
      </c>
      <c r="C28" s="711">
        <v>977.93</v>
      </c>
      <c r="D28" s="711">
        <v>976.74</v>
      </c>
      <c r="E28" s="711">
        <v>989.34</v>
      </c>
      <c r="F28" s="711">
        <v>1016</v>
      </c>
      <c r="G28" s="711">
        <v>1037.32</v>
      </c>
      <c r="H28" s="711">
        <v>1075.1500000000001</v>
      </c>
      <c r="I28" s="711">
        <v>1120.1400000000001</v>
      </c>
      <c r="J28" s="711">
        <v>1178.0899999999999</v>
      </c>
      <c r="K28" s="711">
        <v>1260.73</v>
      </c>
      <c r="L28" s="711">
        <v>1363.59</v>
      </c>
      <c r="N28" s="559">
        <f t="shared" si="5"/>
        <v>41.135008694212139</v>
      </c>
      <c r="O28" s="419">
        <f t="shared" si="6"/>
        <v>397.42999999999995</v>
      </c>
      <c r="P28" s="559">
        <f t="shared" si="7"/>
        <v>88.378262182014439</v>
      </c>
      <c r="Q28" s="559">
        <f t="shared" si="8"/>
        <v>89.173490416355108</v>
      </c>
      <c r="R28" s="559">
        <f t="shared" si="9"/>
        <v>88.164569530446087</v>
      </c>
      <c r="S28" s="559">
        <f t="shared" si="10"/>
        <v>87.294192387103607</v>
      </c>
      <c r="T28" s="559">
        <f t="shared" si="11"/>
        <v>86.819055757316818</v>
      </c>
      <c r="U28" s="559">
        <f t="shared" si="12"/>
        <v>85.733176851744716</v>
      </c>
      <c r="V28" s="559">
        <f t="shared" si="13"/>
        <v>85.960423745752564</v>
      </c>
      <c r="W28" s="559">
        <f t="shared" si="14"/>
        <v>86.556784199179376</v>
      </c>
      <c r="X28" s="559">
        <f t="shared" si="15"/>
        <v>86.117690058479525</v>
      </c>
      <c r="Y28" s="559">
        <f t="shared" si="16"/>
        <v>85.959254360247087</v>
      </c>
      <c r="Z28" s="559">
        <f t="shared" si="17"/>
        <v>86.153214342126049</v>
      </c>
      <c r="AA28" s="2">
        <f>+IFERROR(RANK(B28,(B$6,B$15,B$22,B$26,B$27,B$28,B$33),0),"")</f>
        <v>4</v>
      </c>
      <c r="AB28" s="2">
        <f>+IFERROR(RANK(C28,(C$6,C$15,C$22,C$26,C$27,C$28,C$33),0),"")</f>
        <v>3</v>
      </c>
      <c r="AC28" s="2">
        <f>+IFERROR(RANK(D28,(D$6,D$15,D$22,D$26,D$27,D$28,D$33),0),"")</f>
        <v>4</v>
      </c>
      <c r="AD28" s="2">
        <f>+IFERROR(RANK(E28,(E$6,E$15,E$22,E$26,E$27,E$28,E$33),0),"")</f>
        <v>5</v>
      </c>
      <c r="AE28" s="2">
        <f>+IFERROR(RANK(F28,(F$6,F$15,F$22,F$26,F$27,F$28,F$33),0),"")</f>
        <v>6</v>
      </c>
      <c r="AF28" s="2">
        <f>+IFERROR(RANK(G28,(G$6,G$15,G$22,G$26,G$27,G$28,G$33),0),"")</f>
        <v>6</v>
      </c>
      <c r="AG28" s="2">
        <f>+IFERROR(RANK(H28,(H$6,H$15,H$22,H$26,H$27,H$28,H$33),0),"")</f>
        <v>6</v>
      </c>
      <c r="AH28" s="2">
        <f>+IFERROR(RANK(I28,(I$6,I$15,I$22,I$26,I$27,I$28,I$33),0),"")</f>
        <v>5</v>
      </c>
      <c r="AI28" s="2">
        <f>+IFERROR(RANK(J28,(J$6,J$15,J$22,J$26,J$27,J$28,J$33),0),"")</f>
        <v>5</v>
      </c>
      <c r="AJ28" s="2">
        <f>+IFERROR(RANK(K28,(K$6,K$15,K$22,K$26,K$27,K$28,K$33),0),"")</f>
        <v>5</v>
      </c>
      <c r="AK28" s="2">
        <f>+IFERROR(RANK(L28,(L$6,L$15,L$22,L$26,L$27,L$28,L$33),0),"")</f>
        <v>5</v>
      </c>
    </row>
    <row r="29" spans="1:37" ht="18" customHeight="1">
      <c r="A29" s="572" t="s">
        <v>521</v>
      </c>
      <c r="B29" s="711">
        <v>897.83</v>
      </c>
      <c r="C29" s="711">
        <v>901.87</v>
      </c>
      <c r="D29" s="711">
        <v>915.42</v>
      </c>
      <c r="E29" s="711">
        <v>934.83</v>
      </c>
      <c r="F29" s="711">
        <v>968.23</v>
      </c>
      <c r="G29" s="711">
        <v>989.48</v>
      </c>
      <c r="H29" s="711">
        <v>1029.47</v>
      </c>
      <c r="I29" s="711">
        <v>1078.92</v>
      </c>
      <c r="J29" s="711">
        <v>1126.5999999999999</v>
      </c>
      <c r="K29" s="711">
        <v>1197.92</v>
      </c>
      <c r="L29" s="711">
        <v>1295.3599999999999</v>
      </c>
      <c r="N29" s="559">
        <f t="shared" si="5"/>
        <v>44.276756178786613</v>
      </c>
      <c r="O29" s="419">
        <f t="shared" si="6"/>
        <v>397.52999999999986</v>
      </c>
      <c r="P29" s="559">
        <f t="shared" si="7"/>
        <v>82.127861984431163</v>
      </c>
      <c r="Q29" s="559">
        <f t="shared" si="8"/>
        <v>82.237885944595405</v>
      </c>
      <c r="R29" s="559">
        <f t="shared" si="9"/>
        <v>82.629574133915838</v>
      </c>
      <c r="S29" s="559">
        <f t="shared" si="10"/>
        <v>82.484514796971794</v>
      </c>
      <c r="T29" s="559">
        <f t="shared" si="11"/>
        <v>82.737022003845325</v>
      </c>
      <c r="U29" s="559">
        <f t="shared" si="12"/>
        <v>81.77926178157594</v>
      </c>
      <c r="V29" s="559">
        <f t="shared" si="13"/>
        <v>82.308215070957431</v>
      </c>
      <c r="W29" s="559">
        <f t="shared" si="14"/>
        <v>83.371583559357404</v>
      </c>
      <c r="X29" s="559">
        <f t="shared" si="15"/>
        <v>82.353801169590639</v>
      </c>
      <c r="Y29" s="559">
        <f t="shared" si="16"/>
        <v>81.67673489424952</v>
      </c>
      <c r="Z29" s="559">
        <f t="shared" si="17"/>
        <v>81.842362975833197</v>
      </c>
      <c r="AA29" s="2" t="str">
        <f>+IFERROR(RANK(B29,(B$6,B$15,B$22,B$26,B$27,B$28,B$33),0),"")</f>
        <v/>
      </c>
      <c r="AB29" s="2" t="str">
        <f>+IFERROR(RANK(C29,(C$6,C$15,C$22,C$26,C$27,C$28,C$33),0),"")</f>
        <v/>
      </c>
      <c r="AC29" s="2" t="str">
        <f>+IFERROR(RANK(D29,(D$6,D$15,D$22,D$26,D$27,D$28,D$33),0),"")</f>
        <v/>
      </c>
      <c r="AD29" s="2" t="str">
        <f>+IFERROR(RANK(E29,(E$6,E$15,E$22,E$26,E$27,E$28,E$33),0),"")</f>
        <v/>
      </c>
      <c r="AE29" s="2" t="str">
        <f>+IFERROR(RANK(F29,(F$6,F$15,F$22,F$26,F$27,F$28,F$33),0),"")</f>
        <v/>
      </c>
      <c r="AF29" s="2" t="str">
        <f>+IFERROR(RANK(G29,(G$6,G$15,G$22,G$26,G$27,G$28,G$33),0),"")</f>
        <v/>
      </c>
      <c r="AG29" s="2" t="str">
        <f>+IFERROR(RANK(H29,(H$6,H$15,H$22,H$26,H$27,H$28,H$33),0),"")</f>
        <v/>
      </c>
      <c r="AH29" s="2" t="str">
        <f>+IFERROR(RANK(I29,(I$6,I$15,I$22,I$26,I$27,I$28,I$33),0),"")</f>
        <v/>
      </c>
      <c r="AI29" s="2" t="str">
        <f>+IFERROR(RANK(J29,(J$6,J$15,J$22,J$26,J$27,J$28,J$33),0),"")</f>
        <v/>
      </c>
      <c r="AJ29" s="2" t="str">
        <f>+IFERROR(RANK(K29,(K$6,K$15,K$22,K$26,K$27,K$28,K$33),0),"")</f>
        <v/>
      </c>
      <c r="AK29" s="2" t="str">
        <f>+IFERROR(RANK(L29,(L$6,L$15,L$22,L$26,L$27,L$28,L$33),0),"")</f>
        <v/>
      </c>
    </row>
    <row r="30" spans="1:37" ht="18" customHeight="1">
      <c r="A30" s="572" t="s">
        <v>522</v>
      </c>
      <c r="B30" s="711">
        <v>955.65</v>
      </c>
      <c r="C30" s="711">
        <v>956.12</v>
      </c>
      <c r="D30" s="711">
        <v>967.64</v>
      </c>
      <c r="E30" s="711">
        <v>992.35</v>
      </c>
      <c r="F30" s="711">
        <v>1020.7</v>
      </c>
      <c r="G30" s="711">
        <v>1045.47</v>
      </c>
      <c r="H30" s="711">
        <v>1086.77</v>
      </c>
      <c r="I30" s="711">
        <v>1127.29</v>
      </c>
      <c r="J30" s="711">
        <v>1190.57</v>
      </c>
      <c r="K30" s="711">
        <v>1271.71</v>
      </c>
      <c r="L30" s="711">
        <v>1371.98</v>
      </c>
      <c r="N30" s="559">
        <f t="shared" si="5"/>
        <v>43.565112750483962</v>
      </c>
      <c r="O30" s="419">
        <f t="shared" si="6"/>
        <v>416.33000000000004</v>
      </c>
      <c r="P30" s="559">
        <f t="shared" si="7"/>
        <v>87.416873244847736</v>
      </c>
      <c r="Q30" s="559">
        <f t="shared" si="8"/>
        <v>87.184724527200771</v>
      </c>
      <c r="R30" s="559">
        <f t="shared" si="9"/>
        <v>87.343166104020369</v>
      </c>
      <c r="S30" s="559">
        <f t="shared" si="10"/>
        <v>87.559779060123176</v>
      </c>
      <c r="T30" s="559">
        <f t="shared" si="11"/>
        <v>87.220679342020929</v>
      </c>
      <c r="U30" s="559">
        <f t="shared" si="12"/>
        <v>86.406763971767191</v>
      </c>
      <c r="V30" s="559">
        <f t="shared" si="13"/>
        <v>86.889466320207873</v>
      </c>
      <c r="W30" s="559">
        <f t="shared" si="14"/>
        <v>87.109287463971384</v>
      </c>
      <c r="X30" s="559">
        <f t="shared" si="15"/>
        <v>87.029970760233923</v>
      </c>
      <c r="Y30" s="559">
        <f t="shared" si="16"/>
        <v>86.707894126791487</v>
      </c>
      <c r="Z30" s="559">
        <f t="shared" si="17"/>
        <v>86.68330437529616</v>
      </c>
      <c r="AA30" s="2" t="str">
        <f>+IFERROR(RANK(B30,(B$6,B$15,B$22,B$26,B$27,B$28,B$33),0),"")</f>
        <v/>
      </c>
      <c r="AB30" s="2" t="str">
        <f>+IFERROR(RANK(C30,(C$6,C$15,C$22,C$26,C$27,C$28,C$33),0),"")</f>
        <v/>
      </c>
      <c r="AC30" s="2" t="str">
        <f>+IFERROR(RANK(D30,(D$6,D$15,D$22,D$26,D$27,D$28,D$33),0),"")</f>
        <v/>
      </c>
      <c r="AD30" s="2" t="str">
        <f>+IFERROR(RANK(E30,(E$6,E$15,E$22,E$26,E$27,E$28,E$33),0),"")</f>
        <v/>
      </c>
      <c r="AE30" s="2" t="str">
        <f>+IFERROR(RANK(F30,(F$6,F$15,F$22,F$26,F$27,F$28,F$33),0),"")</f>
        <v/>
      </c>
      <c r="AF30" s="2" t="str">
        <f>+IFERROR(RANK(G30,(G$6,G$15,G$22,G$26,G$27,G$28,G$33),0),"")</f>
        <v/>
      </c>
      <c r="AG30" s="2" t="str">
        <f>+IFERROR(RANK(H30,(H$6,H$15,H$22,H$26,H$27,H$28,H$33),0),"")</f>
        <v/>
      </c>
      <c r="AH30" s="2" t="str">
        <f>+IFERROR(RANK(I30,(I$6,I$15,I$22,I$26,I$27,I$28,I$33),0),"")</f>
        <v/>
      </c>
      <c r="AI30" s="2" t="str">
        <f>+IFERROR(RANK(J30,(J$6,J$15,J$22,J$26,J$27,J$28,J$33),0),"")</f>
        <v/>
      </c>
      <c r="AJ30" s="2" t="str">
        <f>+IFERROR(RANK(K30,(K$6,K$15,K$22,K$26,K$27,K$28,K$33),0),"")</f>
        <v/>
      </c>
      <c r="AK30" s="2" t="str">
        <f>+IFERROR(RANK(L30,(L$6,L$15,L$22,L$26,L$27,L$28,L$33),0),"")</f>
        <v/>
      </c>
    </row>
    <row r="31" spans="1:37" s="18" customFormat="1" ht="20.100000000000001" customHeight="1">
      <c r="A31" s="17" t="s">
        <v>523</v>
      </c>
      <c r="B31" s="709">
        <v>927.58</v>
      </c>
      <c r="C31" s="709">
        <v>926.13</v>
      </c>
      <c r="D31" s="709">
        <v>942.73</v>
      </c>
      <c r="E31" s="709">
        <v>968.19</v>
      </c>
      <c r="F31" s="709">
        <v>999.05</v>
      </c>
      <c r="G31" s="709">
        <v>1029.01</v>
      </c>
      <c r="H31" s="709">
        <v>1070.96</v>
      </c>
      <c r="I31" s="709">
        <v>1106.32</v>
      </c>
      <c r="J31" s="709">
        <v>1150.81</v>
      </c>
      <c r="K31" s="709">
        <v>1238.68</v>
      </c>
      <c r="L31" s="709">
        <v>1320.22</v>
      </c>
      <c r="N31" s="559">
        <f t="shared" si="5"/>
        <v>42.329502576597157</v>
      </c>
      <c r="O31" s="419">
        <f t="shared" si="6"/>
        <v>392.64</v>
      </c>
      <c r="P31" s="559">
        <f t="shared" si="7"/>
        <v>84.849205550626138</v>
      </c>
      <c r="Q31" s="559">
        <f t="shared" si="8"/>
        <v>84.450057447157732</v>
      </c>
      <c r="R31" s="559">
        <f t="shared" si="9"/>
        <v>85.094687054320957</v>
      </c>
      <c r="S31" s="559">
        <f t="shared" si="10"/>
        <v>85.428026893959455</v>
      </c>
      <c r="T31" s="559">
        <f t="shared" si="11"/>
        <v>85.37064729758599</v>
      </c>
      <c r="U31" s="559">
        <f t="shared" si="12"/>
        <v>85.04636593550093</v>
      </c>
      <c r="V31" s="559">
        <f t="shared" si="13"/>
        <v>85.625424745152912</v>
      </c>
      <c r="W31" s="559">
        <f t="shared" si="14"/>
        <v>85.488868797861088</v>
      </c>
      <c r="X31" s="559">
        <f t="shared" si="15"/>
        <v>84.123538011695913</v>
      </c>
      <c r="Y31" s="559">
        <f t="shared" si="16"/>
        <v>84.455838435629246</v>
      </c>
      <c r="Z31" s="559">
        <f t="shared" si="17"/>
        <v>83.413046912020221</v>
      </c>
      <c r="AA31" s="2" t="str">
        <f>+IFERROR(RANK(B31,(B$6,B$15,B$22,B$26,B$27,B$28,B$33),0),"")</f>
        <v/>
      </c>
      <c r="AB31" s="2" t="str">
        <f>+IFERROR(RANK(C31,(C$6,C$15,C$22,C$26,C$27,C$28,C$33),0),"")</f>
        <v/>
      </c>
      <c r="AC31" s="2" t="str">
        <f>+IFERROR(RANK(D31,(D$6,D$15,D$22,D$26,D$27,D$28,D$33),0),"")</f>
        <v/>
      </c>
      <c r="AD31" s="2" t="str">
        <f>+IFERROR(RANK(E31,(E$6,E$15,E$22,E$26,E$27,E$28,E$33),0),"")</f>
        <v/>
      </c>
      <c r="AE31" s="2" t="str">
        <f>+IFERROR(RANK(F31,(F$6,F$15,F$22,F$26,F$27,F$28,F$33),0),"")</f>
        <v/>
      </c>
      <c r="AF31" s="2" t="str">
        <f>+IFERROR(RANK(G31,(G$6,G$15,G$22,G$26,G$27,G$28,G$33),0),"")</f>
        <v/>
      </c>
      <c r="AG31" s="2" t="str">
        <f>+IFERROR(RANK(H31,(H$6,H$15,H$22,H$26,H$27,H$28,H$33),0),"")</f>
        <v/>
      </c>
      <c r="AH31" s="2" t="str">
        <f>+IFERROR(RANK(I31,(I$6,I$15,I$22,I$26,I$27,I$28,I$33),0),"")</f>
        <v/>
      </c>
      <c r="AI31" s="2" t="str">
        <f>+IFERROR(RANK(J31,(J$6,J$15,J$22,J$26,J$27,J$28,J$33),0),"")</f>
        <v/>
      </c>
      <c r="AJ31" s="2" t="str">
        <f>+IFERROR(RANK(K31,(K$6,K$15,K$22,K$26,K$27,K$28,K$33),0),"")</f>
        <v/>
      </c>
      <c r="AK31" s="2" t="str">
        <f>+IFERROR(RANK(L31,(L$6,L$15,L$22,L$26,L$27,L$28,L$33),0),"")</f>
        <v/>
      </c>
    </row>
    <row r="32" spans="1:37" ht="15" customHeight="1">
      <c r="A32" s="19" t="s">
        <v>769</v>
      </c>
      <c r="B32" s="16"/>
      <c r="C32" s="16"/>
      <c r="D32" s="16"/>
      <c r="E32" s="16"/>
      <c r="F32" s="16"/>
      <c r="G32" s="16"/>
      <c r="H32" s="16"/>
      <c r="I32" s="16"/>
      <c r="J32" s="16"/>
      <c r="K32" s="16"/>
      <c r="L32" s="16"/>
      <c r="P32" s="682"/>
      <c r="Q32" s="708"/>
      <c r="U32" s="682"/>
      <c r="V32" s="678"/>
      <c r="W32" s="678"/>
      <c r="X32" s="678"/>
      <c r="Y32" s="678"/>
      <c r="Z32" s="678"/>
      <c r="AA32" s="678"/>
      <c r="AB32" s="678"/>
      <c r="AC32" s="678"/>
      <c r="AD32" s="678"/>
      <c r="AE32" s="678"/>
    </row>
    <row r="33" spans="1:31">
      <c r="A33" s="995" t="s">
        <v>129</v>
      </c>
      <c r="B33" s="995"/>
      <c r="C33" s="995"/>
      <c r="D33" s="995"/>
      <c r="E33" s="995"/>
      <c r="F33" s="995"/>
      <c r="G33" s="995"/>
      <c r="H33" s="995"/>
      <c r="I33" s="995"/>
      <c r="J33" s="995"/>
      <c r="K33" s="995"/>
      <c r="L33" s="995"/>
      <c r="P33" s="682"/>
      <c r="Q33" s="708"/>
      <c r="U33" s="682"/>
      <c r="V33" s="678"/>
      <c r="W33" s="678"/>
      <c r="X33" s="678"/>
      <c r="Y33" s="678"/>
      <c r="Z33" s="678"/>
      <c r="AA33" s="678"/>
      <c r="AB33" s="678"/>
      <c r="AC33" s="678"/>
      <c r="AD33" s="678"/>
      <c r="AE33" s="678"/>
    </row>
    <row r="34" spans="1:31">
      <c r="P34" s="682"/>
      <c r="Q34" s="708"/>
      <c r="U34" s="682"/>
      <c r="V34" s="678"/>
      <c r="W34" s="678"/>
      <c r="X34" s="678"/>
      <c r="Y34" s="678"/>
      <c r="Z34" s="678"/>
      <c r="AA34" s="678"/>
      <c r="AB34" s="678"/>
      <c r="AC34" s="678"/>
      <c r="AD34" s="678"/>
      <c r="AE34" s="678"/>
    </row>
    <row r="35" spans="1:31">
      <c r="P35" s="682"/>
      <c r="Q35" s="708"/>
      <c r="U35" s="682"/>
      <c r="V35" s="678"/>
      <c r="W35" s="678"/>
      <c r="X35" s="678"/>
      <c r="Y35" s="678"/>
      <c r="Z35" s="678"/>
      <c r="AA35" s="678"/>
      <c r="AB35" s="678"/>
      <c r="AC35" s="678"/>
      <c r="AD35" s="678"/>
      <c r="AE35" s="678"/>
    </row>
    <row r="36" spans="1:31">
      <c r="P36" s="682"/>
      <c r="Q36" s="708"/>
      <c r="U36" s="682"/>
      <c r="V36" s="678"/>
      <c r="W36" s="678"/>
      <c r="X36" s="678"/>
      <c r="Y36" s="678"/>
      <c r="Z36" s="678"/>
      <c r="AA36" s="678"/>
      <c r="AB36" s="678"/>
      <c r="AC36" s="678"/>
      <c r="AD36" s="678"/>
      <c r="AE36" s="678"/>
    </row>
    <row r="37" spans="1:31">
      <c r="P37" s="682"/>
      <c r="Q37" s="708"/>
      <c r="U37" s="682"/>
      <c r="V37" s="678"/>
      <c r="W37" s="678"/>
      <c r="X37" s="678"/>
      <c r="Y37" s="678"/>
      <c r="Z37" s="678"/>
      <c r="AA37" s="678"/>
      <c r="AB37" s="678"/>
      <c r="AC37" s="678"/>
      <c r="AD37" s="678"/>
      <c r="AE37" s="678"/>
    </row>
    <row r="38" spans="1:31">
      <c r="P38" s="682"/>
      <c r="Q38" s="708"/>
      <c r="U38" s="682"/>
      <c r="V38" s="678"/>
      <c r="W38" s="678"/>
      <c r="X38" s="678"/>
      <c r="Y38" s="678"/>
      <c r="Z38" s="678"/>
      <c r="AA38" s="678"/>
      <c r="AB38" s="678"/>
      <c r="AC38" s="678"/>
      <c r="AD38" s="678"/>
      <c r="AE38" s="678"/>
    </row>
    <row r="39" spans="1:31">
      <c r="P39" s="685"/>
      <c r="Q39" s="708"/>
      <c r="U39" s="685"/>
      <c r="V39" s="678"/>
      <c r="W39" s="678"/>
      <c r="X39" s="678"/>
      <c r="Y39" s="678"/>
      <c r="Z39" s="678"/>
      <c r="AA39" s="678"/>
      <c r="AB39" s="678"/>
      <c r="AC39" s="678"/>
      <c r="AD39" s="678"/>
      <c r="AE39" s="678"/>
    </row>
    <row r="40" spans="1:31">
      <c r="P40" s="685"/>
      <c r="Q40" s="708"/>
      <c r="U40" s="685"/>
      <c r="V40" s="678"/>
      <c r="W40" s="678"/>
      <c r="X40" s="678"/>
      <c r="Y40" s="678"/>
      <c r="Z40" s="678"/>
      <c r="AA40" s="678"/>
      <c r="AB40" s="678"/>
      <c r="AC40" s="678"/>
      <c r="AD40" s="678"/>
      <c r="AE40" s="678"/>
    </row>
    <row r="41" spans="1:31">
      <c r="P41" s="682"/>
      <c r="Q41" s="708"/>
      <c r="U41" s="682"/>
      <c r="V41" s="678"/>
      <c r="W41" s="678"/>
      <c r="X41" s="678"/>
      <c r="Y41" s="678"/>
      <c r="Z41" s="678"/>
      <c r="AA41" s="678"/>
      <c r="AB41" s="678"/>
      <c r="AC41" s="678"/>
      <c r="AD41" s="678"/>
      <c r="AE41" s="678"/>
    </row>
    <row r="42" spans="1:31">
      <c r="P42" s="682"/>
      <c r="Q42" s="708"/>
      <c r="U42" s="682"/>
      <c r="V42" s="678"/>
      <c r="W42" s="678"/>
      <c r="X42" s="678"/>
      <c r="Y42" s="678"/>
      <c r="Z42" s="678"/>
      <c r="AA42" s="678"/>
      <c r="AB42" s="678"/>
      <c r="AC42" s="678"/>
      <c r="AD42" s="678"/>
      <c r="AE42" s="678"/>
    </row>
    <row r="43" spans="1:31">
      <c r="A43" s="237"/>
      <c r="P43" s="682"/>
      <c r="Q43" s="708"/>
      <c r="U43" s="682"/>
      <c r="V43" s="678"/>
      <c r="W43" s="678"/>
      <c r="X43" s="678"/>
      <c r="Y43" s="678"/>
      <c r="Z43" s="678"/>
      <c r="AA43" s="678"/>
      <c r="AB43" s="678"/>
      <c r="AC43" s="678"/>
      <c r="AD43" s="678"/>
      <c r="AE43" s="678"/>
    </row>
    <row r="44" spans="1:31">
      <c r="A44" s="596"/>
      <c r="P44" s="682"/>
      <c r="Q44" s="708"/>
      <c r="U44" s="682"/>
      <c r="V44" s="678"/>
      <c r="W44" s="678"/>
      <c r="X44" s="678"/>
      <c r="Y44" s="678"/>
      <c r="Z44" s="678"/>
      <c r="AA44" s="678"/>
      <c r="AB44" s="678"/>
      <c r="AC44" s="678"/>
      <c r="AD44" s="678"/>
      <c r="AE44" s="678"/>
    </row>
    <row r="45" spans="1:31">
      <c r="P45" s="682"/>
      <c r="Q45" s="708"/>
      <c r="U45" s="682"/>
      <c r="V45" s="678"/>
      <c r="W45" s="678"/>
      <c r="X45" s="678"/>
      <c r="Y45" s="678"/>
      <c r="Z45" s="678"/>
      <c r="AA45" s="678"/>
      <c r="AB45" s="678"/>
      <c r="AC45" s="678"/>
      <c r="AD45" s="678"/>
      <c r="AE45" s="678"/>
    </row>
    <row r="46" spans="1:31">
      <c r="P46" s="685"/>
      <c r="Q46" s="708"/>
      <c r="U46" s="685"/>
    </row>
    <row r="47" spans="1:31">
      <c r="P47" s="679"/>
      <c r="Q47" s="708"/>
    </row>
    <row r="48" spans="1:31" ht="12.75">
      <c r="Q48" s="688"/>
      <c r="R48" s="688"/>
      <c r="S48" s="688"/>
      <c r="T48" s="675"/>
      <c r="U48" s="675"/>
      <c r="V48" s="675"/>
      <c r="W48" s="675"/>
      <c r="X48" s="675"/>
      <c r="Y48" s="675"/>
      <c r="Z48" s="675"/>
      <c r="AA48" s="675"/>
    </row>
    <row r="49" spans="7:31">
      <c r="P49" s="685"/>
      <c r="Q49" s="678"/>
      <c r="R49" s="678"/>
      <c r="S49" s="678"/>
      <c r="T49" s="678"/>
      <c r="U49" s="678"/>
      <c r="V49" s="678"/>
      <c r="W49" s="687"/>
      <c r="X49" s="687"/>
      <c r="Y49" s="687"/>
      <c r="Z49" s="687"/>
      <c r="AA49" s="687"/>
    </row>
    <row r="50" spans="7:31" ht="12.75">
      <c r="G50" s="419"/>
      <c r="H50" s="419"/>
      <c r="P50" s="685"/>
      <c r="Q50" s="678"/>
      <c r="V50" s="688"/>
      <c r="W50" s="688"/>
      <c r="X50" s="688"/>
      <c r="Y50" s="688"/>
      <c r="Z50" s="688"/>
      <c r="AA50" s="688"/>
      <c r="AB50" s="688"/>
      <c r="AC50" s="688"/>
      <c r="AD50" s="688"/>
      <c r="AE50" s="688"/>
    </row>
    <row r="51" spans="7:31">
      <c r="P51" s="685"/>
      <c r="U51" s="685"/>
      <c r="V51" s="708"/>
      <c r="W51" s="708"/>
      <c r="X51" s="708"/>
      <c r="Y51" s="708"/>
      <c r="Z51" s="708"/>
      <c r="AA51" s="708"/>
      <c r="AB51" s="708"/>
      <c r="AC51" s="708"/>
      <c r="AD51" s="708"/>
      <c r="AE51" s="708"/>
    </row>
    <row r="52" spans="7:31">
      <c r="P52" s="685"/>
      <c r="U52" s="682"/>
      <c r="V52" s="681"/>
      <c r="W52" s="681"/>
      <c r="X52" s="681"/>
      <c r="Y52" s="708"/>
      <c r="Z52" s="708"/>
      <c r="AA52" s="708"/>
      <c r="AB52" s="708"/>
      <c r="AC52" s="708"/>
      <c r="AD52" s="708"/>
      <c r="AE52" s="708"/>
    </row>
    <row r="53" spans="7:31">
      <c r="P53" s="685"/>
      <c r="U53" s="682"/>
      <c r="V53" s="681"/>
      <c r="W53" s="681"/>
      <c r="X53" s="681"/>
      <c r="Y53" s="708"/>
      <c r="Z53" s="708"/>
      <c r="AA53" s="708"/>
      <c r="AB53" s="708"/>
      <c r="AC53" s="708"/>
      <c r="AD53" s="708"/>
      <c r="AE53" s="708"/>
    </row>
    <row r="54" spans="7:31">
      <c r="P54" s="685"/>
      <c r="U54" s="682"/>
      <c r="V54" s="681"/>
      <c r="W54" s="681"/>
      <c r="X54" s="681"/>
      <c r="Y54" s="708"/>
      <c r="Z54" s="708"/>
      <c r="AA54" s="708"/>
      <c r="AB54" s="708"/>
      <c r="AC54" s="708"/>
      <c r="AD54" s="708"/>
      <c r="AE54" s="708"/>
    </row>
    <row r="55" spans="7:31">
      <c r="P55" s="685"/>
      <c r="Q55" s="678"/>
      <c r="R55" s="678"/>
      <c r="S55" s="678"/>
      <c r="T55" s="678"/>
      <c r="U55" s="682"/>
      <c r="V55" s="681"/>
      <c r="W55" s="681"/>
      <c r="X55" s="681"/>
      <c r="Y55" s="708"/>
      <c r="Z55" s="708"/>
      <c r="AA55" s="708"/>
      <c r="AB55" s="708"/>
      <c r="AC55" s="708"/>
      <c r="AD55" s="708"/>
      <c r="AE55" s="708"/>
    </row>
    <row r="56" spans="7:31">
      <c r="U56" s="682"/>
      <c r="V56" s="681"/>
      <c r="W56" s="681"/>
      <c r="X56" s="681"/>
      <c r="Y56" s="708"/>
      <c r="Z56" s="708"/>
      <c r="AA56" s="708"/>
      <c r="AB56" s="708"/>
      <c r="AC56" s="708"/>
      <c r="AD56" s="708"/>
      <c r="AE56" s="708"/>
    </row>
    <row r="57" spans="7:31">
      <c r="U57" s="682"/>
      <c r="Y57" s="708"/>
      <c r="Z57" s="708"/>
      <c r="AA57" s="708"/>
      <c r="AB57" s="708"/>
      <c r="AC57" s="708"/>
      <c r="AD57" s="708"/>
      <c r="AE57" s="708"/>
    </row>
    <row r="58" spans="7:31">
      <c r="U58" s="682"/>
      <c r="Y58" s="708"/>
      <c r="Z58" s="708"/>
      <c r="AA58" s="708"/>
      <c r="AB58" s="708"/>
      <c r="AC58" s="708"/>
      <c r="AD58" s="708"/>
      <c r="AE58" s="708"/>
    </row>
    <row r="59" spans="7:31">
      <c r="U59" s="682"/>
      <c r="Y59" s="708"/>
      <c r="Z59" s="708"/>
      <c r="AA59" s="708"/>
      <c r="AB59" s="708"/>
      <c r="AC59" s="708"/>
      <c r="AD59" s="708"/>
      <c r="AE59" s="708"/>
    </row>
    <row r="60" spans="7:31">
      <c r="U60" s="685"/>
      <c r="V60" s="708"/>
      <c r="W60" s="708"/>
      <c r="X60" s="708"/>
      <c r="Y60" s="708"/>
      <c r="Z60" s="708"/>
      <c r="AA60" s="708"/>
      <c r="AB60" s="708"/>
      <c r="AC60" s="708"/>
      <c r="AD60" s="708"/>
      <c r="AE60" s="708"/>
    </row>
    <row r="61" spans="7:31">
      <c r="U61" s="682"/>
      <c r="Y61" s="710"/>
      <c r="Z61" s="710"/>
      <c r="AA61" s="710"/>
      <c r="AB61" s="710"/>
      <c r="AC61" s="710"/>
      <c r="AD61" s="710"/>
      <c r="AE61" s="710"/>
    </row>
    <row r="62" spans="7:31">
      <c r="U62" s="682"/>
      <c r="Y62" s="710"/>
      <c r="Z62" s="710"/>
      <c r="AA62" s="710"/>
      <c r="AB62" s="710"/>
      <c r="AC62" s="710"/>
      <c r="AD62" s="710"/>
      <c r="AE62" s="710"/>
    </row>
    <row r="63" spans="7:31">
      <c r="U63" s="682"/>
      <c r="Y63" s="710"/>
      <c r="Z63" s="710"/>
      <c r="AA63" s="710"/>
      <c r="AB63" s="710"/>
      <c r="AC63" s="710"/>
      <c r="AD63" s="710"/>
      <c r="AE63" s="710"/>
    </row>
    <row r="64" spans="7:31">
      <c r="U64" s="682"/>
      <c r="Y64" s="710"/>
      <c r="Z64" s="710"/>
      <c r="AA64" s="710"/>
      <c r="AB64" s="710"/>
      <c r="AC64" s="710"/>
      <c r="AD64" s="710"/>
      <c r="AE64" s="710"/>
    </row>
    <row r="65" spans="21:31">
      <c r="U65" s="682"/>
      <c r="Y65" s="710"/>
      <c r="Z65" s="710"/>
      <c r="AA65" s="710"/>
      <c r="AB65" s="710"/>
      <c r="AC65" s="710"/>
      <c r="AD65" s="710"/>
      <c r="AE65" s="710"/>
    </row>
    <row r="66" spans="21:31">
      <c r="U66" s="682"/>
      <c r="Y66" s="710"/>
      <c r="Z66" s="710"/>
      <c r="AA66" s="710"/>
      <c r="AB66" s="710"/>
      <c r="AC66" s="710"/>
      <c r="AD66" s="710"/>
      <c r="AE66" s="710"/>
    </row>
    <row r="67" spans="21:31">
      <c r="U67" s="682"/>
      <c r="Y67" s="710"/>
      <c r="Z67" s="710"/>
      <c r="AA67" s="710"/>
      <c r="AB67" s="710"/>
      <c r="AC67" s="710"/>
      <c r="AD67" s="710"/>
      <c r="AE67" s="710"/>
    </row>
    <row r="68" spans="21:31">
      <c r="U68" s="682"/>
      <c r="Y68" s="710"/>
      <c r="Z68" s="710"/>
      <c r="AA68" s="710"/>
      <c r="AB68" s="710"/>
      <c r="AC68" s="710"/>
      <c r="AD68" s="710"/>
      <c r="AE68" s="710"/>
    </row>
    <row r="69" spans="21:31">
      <c r="U69" s="685"/>
      <c r="V69" s="708"/>
      <c r="W69" s="708"/>
      <c r="X69" s="708"/>
      <c r="Y69" s="708"/>
      <c r="Z69" s="708"/>
      <c r="AA69" s="708"/>
      <c r="AB69" s="708"/>
      <c r="AC69" s="708"/>
      <c r="AD69" s="708"/>
      <c r="AE69" s="708"/>
    </row>
    <row r="70" spans="21:31">
      <c r="U70" s="685"/>
      <c r="V70" s="708"/>
      <c r="W70" s="708"/>
      <c r="X70" s="708"/>
      <c r="Y70" s="708"/>
      <c r="Z70" s="708"/>
      <c r="AA70" s="708"/>
      <c r="AB70" s="708"/>
      <c r="AC70" s="708"/>
      <c r="AD70" s="708"/>
      <c r="AE70" s="708"/>
    </row>
    <row r="71" spans="21:31">
      <c r="U71" s="682"/>
      <c r="Y71" s="710"/>
      <c r="Z71" s="710"/>
      <c r="AA71" s="710"/>
      <c r="AB71" s="710"/>
      <c r="AC71" s="710"/>
      <c r="AD71" s="710"/>
      <c r="AE71" s="710"/>
    </row>
    <row r="72" spans="21:31">
      <c r="U72" s="682"/>
      <c r="Y72" s="710"/>
      <c r="Z72" s="710"/>
      <c r="AA72" s="710"/>
      <c r="AB72" s="710"/>
      <c r="AC72" s="710"/>
      <c r="AD72" s="710"/>
      <c r="AE72" s="710"/>
    </row>
    <row r="73" spans="21:31">
      <c r="U73" s="682"/>
      <c r="Y73" s="710"/>
      <c r="Z73" s="710"/>
      <c r="AA73" s="710"/>
      <c r="AB73" s="710"/>
      <c r="AC73" s="710"/>
      <c r="AD73" s="710"/>
      <c r="AE73" s="710"/>
    </row>
    <row r="74" spans="21:31">
      <c r="U74" s="682"/>
      <c r="Y74" s="710"/>
      <c r="Z74" s="710"/>
      <c r="AA74" s="710"/>
      <c r="AB74" s="710"/>
      <c r="AC74" s="710"/>
      <c r="AD74" s="710"/>
      <c r="AE74" s="710"/>
    </row>
    <row r="75" spans="21:31">
      <c r="U75" s="682"/>
      <c r="Y75" s="710"/>
      <c r="Z75" s="710"/>
      <c r="AA75" s="710"/>
      <c r="AB75" s="710"/>
      <c r="AC75" s="710"/>
      <c r="AD75" s="710"/>
      <c r="AE75" s="710"/>
    </row>
    <row r="76" spans="21:31">
      <c r="U76" s="685"/>
      <c r="V76" s="708"/>
      <c r="W76" s="708"/>
      <c r="X76" s="708"/>
      <c r="Y76" s="708"/>
      <c r="Z76" s="708"/>
      <c r="AA76" s="708"/>
      <c r="AB76" s="708"/>
      <c r="AC76" s="708"/>
      <c r="AD76" s="708"/>
      <c r="AE76" s="708"/>
    </row>
    <row r="77" spans="21:31">
      <c r="U77" s="679"/>
      <c r="V77" s="708"/>
      <c r="W77" s="708"/>
      <c r="X77" s="708"/>
      <c r="Y77" s="708"/>
      <c r="Z77" s="708"/>
      <c r="AA77" s="708"/>
      <c r="AB77" s="708"/>
      <c r="AC77" s="708"/>
      <c r="AD77" s="708"/>
      <c r="AE77" s="708"/>
    </row>
  </sheetData>
  <mergeCells count="2">
    <mergeCell ref="A1:L1"/>
    <mergeCell ref="A33:L33"/>
  </mergeCells>
  <conditionalFormatting sqref="B32">
    <cfRule type="cellIs" dxfId="391" priority="136" operator="equal">
      <formula>0</formula>
    </cfRule>
  </conditionalFormatting>
  <conditionalFormatting sqref="C32">
    <cfRule type="cellIs" dxfId="390" priority="135" operator="equal">
      <formula>0</formula>
    </cfRule>
  </conditionalFormatting>
  <conditionalFormatting sqref="F32">
    <cfRule type="cellIs" dxfId="389" priority="134" operator="equal">
      <formula>0</formula>
    </cfRule>
  </conditionalFormatting>
  <conditionalFormatting sqref="D32">
    <cfRule type="cellIs" dxfId="388" priority="133" operator="equal">
      <formula>0</formula>
    </cfRule>
  </conditionalFormatting>
  <conditionalFormatting sqref="E32">
    <cfRule type="cellIs" dxfId="387" priority="132" operator="equal">
      <formula>0</formula>
    </cfRule>
  </conditionalFormatting>
  <conditionalFormatting sqref="G32">
    <cfRule type="cellIs" dxfId="386" priority="131" operator="equal">
      <formula>0</formula>
    </cfRule>
  </conditionalFormatting>
  <conditionalFormatting sqref="H32">
    <cfRule type="cellIs" dxfId="385" priority="130" operator="equal">
      <formula>0</formula>
    </cfRule>
  </conditionalFormatting>
  <conditionalFormatting sqref="I32">
    <cfRule type="cellIs" dxfId="384" priority="129" operator="equal">
      <formula>0</formula>
    </cfRule>
  </conditionalFormatting>
  <conditionalFormatting sqref="J32">
    <cfRule type="cellIs" dxfId="383" priority="128" operator="equal">
      <formula>0</formula>
    </cfRule>
  </conditionalFormatting>
  <conditionalFormatting sqref="K32">
    <cfRule type="cellIs" dxfId="382" priority="127" operator="equal">
      <formula>0</formula>
    </cfRule>
  </conditionalFormatting>
  <conditionalFormatting sqref="L32">
    <cfRule type="cellIs" dxfId="381" priority="126" operator="equal">
      <formula>0</formula>
    </cfRule>
  </conditionalFormatting>
  <conditionalFormatting sqref="A33">
    <cfRule type="cellIs" dxfId="380" priority="125" operator="equal">
      <formula>0</formula>
    </cfRule>
  </conditionalFormatting>
  <conditionalFormatting sqref="A43">
    <cfRule type="cellIs" dxfId="379" priority="124" operator="equal">
      <formula>0</formula>
    </cfRule>
  </conditionalFormatting>
  <conditionalFormatting sqref="A44">
    <cfRule type="cellIs" dxfId="378" priority="123" operator="equal">
      <formula>0</formula>
    </cfRule>
  </conditionalFormatting>
  <conditionalFormatting sqref="L3">
    <cfRule type="cellIs" dxfId="377" priority="122" operator="equal">
      <formula>0</formula>
    </cfRule>
  </conditionalFormatting>
  <conditionalFormatting sqref="B5:B6">
    <cfRule type="cellIs" dxfId="376" priority="121" operator="equal">
      <formula>0</formula>
    </cfRule>
  </conditionalFormatting>
  <conditionalFormatting sqref="B7:B14">
    <cfRule type="expression" dxfId="375" priority="119">
      <formula>B7=MAX(B$7:B$14)</formula>
    </cfRule>
    <cfRule type="expression" dxfId="374" priority="120">
      <formula>B7=MIN(B$7:B$14)</formula>
    </cfRule>
  </conditionalFormatting>
  <conditionalFormatting sqref="B16:B23">
    <cfRule type="expression" dxfId="373" priority="117">
      <formula>B16=MAX(B$16:B$23)</formula>
    </cfRule>
    <cfRule type="expression" dxfId="372" priority="118">
      <formula>B16=MIN(B$16:B$23)</formula>
    </cfRule>
  </conditionalFormatting>
  <conditionalFormatting sqref="B26:B30">
    <cfRule type="expression" dxfId="371" priority="115">
      <formula>B26=MAX(B$26:B$30)</formula>
    </cfRule>
    <cfRule type="expression" dxfId="370" priority="116">
      <formula>B26=MIN(B$26:B$30)</formula>
    </cfRule>
  </conditionalFormatting>
  <conditionalFormatting sqref="B15">
    <cfRule type="cellIs" dxfId="369" priority="114" operator="equal">
      <formula>0</formula>
    </cfRule>
  </conditionalFormatting>
  <conditionalFormatting sqref="B24">
    <cfRule type="cellIs" dxfId="368" priority="113" operator="equal">
      <formula>0</formula>
    </cfRule>
  </conditionalFormatting>
  <conditionalFormatting sqref="B25">
    <cfRule type="cellIs" dxfId="367" priority="112" operator="equal">
      <formula>0</formula>
    </cfRule>
  </conditionalFormatting>
  <conditionalFormatting sqref="B31">
    <cfRule type="cellIs" dxfId="366" priority="111" operator="equal">
      <formula>0</formula>
    </cfRule>
  </conditionalFormatting>
  <conditionalFormatting sqref="C5:C6">
    <cfRule type="cellIs" dxfId="365" priority="110" operator="equal">
      <formula>0</formula>
    </cfRule>
  </conditionalFormatting>
  <conditionalFormatting sqref="C7:C14">
    <cfRule type="expression" dxfId="364" priority="108">
      <formula>C7=MAX(C$7:C$14)</formula>
    </cfRule>
    <cfRule type="expression" dxfId="363" priority="109">
      <formula>C7=MIN(C$7:C$14)</formula>
    </cfRule>
  </conditionalFormatting>
  <conditionalFormatting sqref="C16:C23">
    <cfRule type="expression" dxfId="362" priority="106">
      <formula>C16=MAX(C$16:C$23)</formula>
    </cfRule>
    <cfRule type="expression" dxfId="361" priority="107">
      <formula>C16=MIN(C$16:C$23)</formula>
    </cfRule>
  </conditionalFormatting>
  <conditionalFormatting sqref="C26:C30">
    <cfRule type="expression" dxfId="360" priority="104">
      <formula>C26=MAX(C$26:C$30)</formula>
    </cfRule>
    <cfRule type="expression" dxfId="359" priority="105">
      <formula>C26=MIN(C$26:C$30)</formula>
    </cfRule>
  </conditionalFormatting>
  <conditionalFormatting sqref="C15">
    <cfRule type="cellIs" dxfId="358" priority="103" operator="equal">
      <formula>0</formula>
    </cfRule>
  </conditionalFormatting>
  <conditionalFormatting sqref="C24">
    <cfRule type="cellIs" dxfId="357" priority="102" operator="equal">
      <formula>0</formula>
    </cfRule>
  </conditionalFormatting>
  <conditionalFormatting sqref="C25">
    <cfRule type="cellIs" dxfId="356" priority="101" operator="equal">
      <formula>0</formula>
    </cfRule>
  </conditionalFormatting>
  <conditionalFormatting sqref="C31">
    <cfRule type="cellIs" dxfId="355" priority="100" operator="equal">
      <formula>0</formula>
    </cfRule>
  </conditionalFormatting>
  <conditionalFormatting sqref="D5:D6">
    <cfRule type="cellIs" dxfId="354" priority="99" operator="equal">
      <formula>0</formula>
    </cfRule>
  </conditionalFormatting>
  <conditionalFormatting sqref="D7:D14">
    <cfRule type="expression" dxfId="353" priority="97">
      <formula>D7=MAX(D$7:D$14)</formula>
    </cfRule>
    <cfRule type="expression" dxfId="352" priority="98">
      <formula>D7=MIN(D$7:D$14)</formula>
    </cfRule>
  </conditionalFormatting>
  <conditionalFormatting sqref="D16:D23">
    <cfRule type="expression" dxfId="351" priority="95">
      <formula>D16=MAX(D$16:D$23)</formula>
    </cfRule>
    <cfRule type="expression" dxfId="350" priority="96">
      <formula>D16=MIN(D$16:D$23)</formula>
    </cfRule>
  </conditionalFormatting>
  <conditionalFormatting sqref="D26:D30">
    <cfRule type="expression" dxfId="349" priority="93">
      <formula>D26=MAX(D$26:D$30)</formula>
    </cfRule>
    <cfRule type="expression" dxfId="348" priority="94">
      <formula>D26=MIN(D$26:D$30)</formula>
    </cfRule>
  </conditionalFormatting>
  <conditionalFormatting sqref="D15">
    <cfRule type="cellIs" dxfId="347" priority="92" operator="equal">
      <formula>0</formula>
    </cfRule>
  </conditionalFormatting>
  <conditionalFormatting sqref="D24">
    <cfRule type="cellIs" dxfId="346" priority="91" operator="equal">
      <formula>0</formula>
    </cfRule>
  </conditionalFormatting>
  <conditionalFormatting sqref="D25">
    <cfRule type="cellIs" dxfId="345" priority="90" operator="equal">
      <formula>0</formula>
    </cfRule>
  </conditionalFormatting>
  <conditionalFormatting sqref="D31">
    <cfRule type="cellIs" dxfId="344" priority="89" operator="equal">
      <formula>0</formula>
    </cfRule>
  </conditionalFormatting>
  <conditionalFormatting sqref="E5:E6">
    <cfRule type="cellIs" dxfId="343" priority="88" operator="equal">
      <formula>0</formula>
    </cfRule>
  </conditionalFormatting>
  <conditionalFormatting sqref="E7:E14">
    <cfRule type="expression" dxfId="342" priority="86">
      <formula>E7=MAX(E$7:E$14)</formula>
    </cfRule>
    <cfRule type="expression" dxfId="341" priority="87">
      <formula>E7=MIN(E$7:E$14)</formula>
    </cfRule>
  </conditionalFormatting>
  <conditionalFormatting sqref="E16:E23">
    <cfRule type="expression" dxfId="340" priority="84">
      <formula>E16=MAX(E$16:E$23)</formula>
    </cfRule>
    <cfRule type="expression" dxfId="339" priority="85">
      <formula>E16=MIN(E$16:E$23)</formula>
    </cfRule>
  </conditionalFormatting>
  <conditionalFormatting sqref="E26:E30">
    <cfRule type="expression" dxfId="338" priority="82">
      <formula>E26=MAX(E$26:E$30)</formula>
    </cfRule>
    <cfRule type="expression" dxfId="337" priority="83">
      <formula>E26=MIN(E$26:E$30)</formula>
    </cfRule>
  </conditionalFormatting>
  <conditionalFormatting sqref="E15">
    <cfRule type="cellIs" dxfId="336" priority="81" operator="equal">
      <formula>0</formula>
    </cfRule>
  </conditionalFormatting>
  <conditionalFormatting sqref="E24">
    <cfRule type="cellIs" dxfId="335" priority="80" operator="equal">
      <formula>0</formula>
    </cfRule>
  </conditionalFormatting>
  <conditionalFormatting sqref="E25">
    <cfRule type="cellIs" dxfId="334" priority="79" operator="equal">
      <formula>0</formula>
    </cfRule>
  </conditionalFormatting>
  <conditionalFormatting sqref="E31">
    <cfRule type="cellIs" dxfId="333" priority="78" operator="equal">
      <formula>0</formula>
    </cfRule>
  </conditionalFormatting>
  <conditionalFormatting sqref="F5:F6">
    <cfRule type="cellIs" dxfId="332" priority="77" operator="equal">
      <formula>0</formula>
    </cfRule>
  </conditionalFormatting>
  <conditionalFormatting sqref="F7:F14">
    <cfRule type="expression" dxfId="331" priority="75">
      <formula>F7=MAX(F$7:F$14)</formula>
    </cfRule>
    <cfRule type="expression" dxfId="330" priority="76">
      <formula>F7=MIN(F$7:F$14)</formula>
    </cfRule>
  </conditionalFormatting>
  <conditionalFormatting sqref="F16:F23">
    <cfRule type="expression" dxfId="329" priority="73">
      <formula>F16=MAX(F$16:F$23)</formula>
    </cfRule>
    <cfRule type="expression" dxfId="328" priority="74">
      <formula>F16=MIN(F$16:F$23)</formula>
    </cfRule>
  </conditionalFormatting>
  <conditionalFormatting sqref="F26:F30">
    <cfRule type="expression" dxfId="327" priority="71">
      <formula>F26=MAX(F$26:F$30)</formula>
    </cfRule>
    <cfRule type="expression" dxfId="326" priority="72">
      <formula>F26=MIN(F$26:F$30)</formula>
    </cfRule>
  </conditionalFormatting>
  <conditionalFormatting sqref="F15">
    <cfRule type="cellIs" dxfId="325" priority="70" operator="equal">
      <formula>0</formula>
    </cfRule>
  </conditionalFormatting>
  <conditionalFormatting sqref="F24">
    <cfRule type="cellIs" dxfId="324" priority="69" operator="equal">
      <formula>0</formula>
    </cfRule>
  </conditionalFormatting>
  <conditionalFormatting sqref="F25">
    <cfRule type="cellIs" dxfId="323" priority="68" operator="equal">
      <formula>0</formula>
    </cfRule>
  </conditionalFormatting>
  <conditionalFormatting sqref="F31">
    <cfRule type="cellIs" dxfId="322" priority="67" operator="equal">
      <formula>0</formula>
    </cfRule>
  </conditionalFormatting>
  <conditionalFormatting sqref="G5:G6">
    <cfRule type="cellIs" dxfId="321" priority="66" operator="equal">
      <formula>0</formula>
    </cfRule>
  </conditionalFormatting>
  <conditionalFormatting sqref="G7:G14">
    <cfRule type="expression" dxfId="320" priority="64">
      <formula>G7=MAX(G$7:G$14)</formula>
    </cfRule>
    <cfRule type="expression" dxfId="319" priority="65">
      <formula>G7=MIN(G$7:G$14)</formula>
    </cfRule>
  </conditionalFormatting>
  <conditionalFormatting sqref="G16:G23">
    <cfRule type="expression" dxfId="318" priority="62">
      <formula>G16=MAX(G$16:G$23)</formula>
    </cfRule>
    <cfRule type="expression" dxfId="317" priority="63">
      <formula>G16=MIN(G$16:G$23)</formula>
    </cfRule>
  </conditionalFormatting>
  <conditionalFormatting sqref="G26:G30">
    <cfRule type="expression" dxfId="316" priority="60">
      <formula>G26=MAX(G$26:G$30)</formula>
    </cfRule>
    <cfRule type="expression" dxfId="315" priority="61">
      <formula>G26=MIN(G$26:G$30)</formula>
    </cfRule>
  </conditionalFormatting>
  <conditionalFormatting sqref="G15">
    <cfRule type="cellIs" dxfId="314" priority="59" operator="equal">
      <formula>0</formula>
    </cfRule>
  </conditionalFormatting>
  <conditionalFormatting sqref="G24">
    <cfRule type="cellIs" dxfId="313" priority="58" operator="equal">
      <formula>0</formula>
    </cfRule>
  </conditionalFormatting>
  <conditionalFormatting sqref="G25">
    <cfRule type="cellIs" dxfId="312" priority="57" operator="equal">
      <formula>0</formula>
    </cfRule>
  </conditionalFormatting>
  <conditionalFormatting sqref="G31">
    <cfRule type="cellIs" dxfId="311" priority="56" operator="equal">
      <formula>0</formula>
    </cfRule>
  </conditionalFormatting>
  <conditionalFormatting sqref="H5:H6">
    <cfRule type="cellIs" dxfId="310" priority="55" operator="equal">
      <formula>0</formula>
    </cfRule>
  </conditionalFormatting>
  <conditionalFormatting sqref="H7:H14">
    <cfRule type="expression" dxfId="309" priority="53">
      <formula>H7=MAX(H$7:H$14)</formula>
    </cfRule>
    <cfRule type="expression" dxfId="308" priority="54">
      <formula>H7=MIN(H$7:H$14)</formula>
    </cfRule>
  </conditionalFormatting>
  <conditionalFormatting sqref="H16:H23">
    <cfRule type="expression" dxfId="307" priority="51">
      <formula>H16=MAX(H$16:H$23)</formula>
    </cfRule>
    <cfRule type="expression" dxfId="306" priority="52">
      <formula>H16=MIN(H$16:H$23)</formula>
    </cfRule>
  </conditionalFormatting>
  <conditionalFormatting sqref="H26:H30">
    <cfRule type="expression" dxfId="305" priority="49">
      <formula>H26=MAX(H$26:H$30)</formula>
    </cfRule>
    <cfRule type="expression" dxfId="304" priority="50">
      <formula>H26=MIN(H$26:H$30)</formula>
    </cfRule>
  </conditionalFormatting>
  <conditionalFormatting sqref="H15">
    <cfRule type="cellIs" dxfId="303" priority="48" operator="equal">
      <formula>0</formula>
    </cfRule>
  </conditionalFormatting>
  <conditionalFormatting sqref="H24">
    <cfRule type="cellIs" dxfId="302" priority="47" operator="equal">
      <formula>0</formula>
    </cfRule>
  </conditionalFormatting>
  <conditionalFormatting sqref="H25">
    <cfRule type="cellIs" dxfId="301" priority="46" operator="equal">
      <formula>0</formula>
    </cfRule>
  </conditionalFormatting>
  <conditionalFormatting sqref="H31">
    <cfRule type="cellIs" dxfId="300" priority="45" operator="equal">
      <formula>0</formula>
    </cfRule>
  </conditionalFormatting>
  <conditionalFormatting sqref="I5:I6">
    <cfRule type="cellIs" dxfId="299" priority="44" operator="equal">
      <formula>0</formula>
    </cfRule>
  </conditionalFormatting>
  <conditionalFormatting sqref="I7:I14">
    <cfRule type="expression" dxfId="298" priority="42">
      <formula>I7=MAX(I$7:I$14)</formula>
    </cfRule>
    <cfRule type="expression" dxfId="297" priority="43">
      <formula>I7=MIN(I$7:I$14)</formula>
    </cfRule>
  </conditionalFormatting>
  <conditionalFormatting sqref="I16:I23">
    <cfRule type="expression" dxfId="296" priority="40">
      <formula>I16=MAX(I$16:I$23)</formula>
    </cfRule>
    <cfRule type="expression" dxfId="295" priority="41">
      <formula>I16=MIN(I$16:I$23)</formula>
    </cfRule>
  </conditionalFormatting>
  <conditionalFormatting sqref="I26:I30">
    <cfRule type="expression" dxfId="294" priority="38">
      <formula>I26=MAX(I$26:I$30)</formula>
    </cfRule>
    <cfRule type="expression" dxfId="293" priority="39">
      <formula>I26=MIN(I$26:I$30)</formula>
    </cfRule>
  </conditionalFormatting>
  <conditionalFormatting sqref="I15">
    <cfRule type="cellIs" dxfId="292" priority="37" operator="equal">
      <formula>0</formula>
    </cfRule>
  </conditionalFormatting>
  <conditionalFormatting sqref="I24">
    <cfRule type="cellIs" dxfId="291" priority="36" operator="equal">
      <formula>0</formula>
    </cfRule>
  </conditionalFormatting>
  <conditionalFormatting sqref="I25">
    <cfRule type="cellIs" dxfId="290" priority="35" operator="equal">
      <formula>0</formula>
    </cfRule>
  </conditionalFormatting>
  <conditionalFormatting sqref="I31">
    <cfRule type="cellIs" dxfId="289" priority="34" operator="equal">
      <formula>0</formula>
    </cfRule>
  </conditionalFormatting>
  <conditionalFormatting sqref="J5:J6">
    <cfRule type="cellIs" dxfId="288" priority="33" operator="equal">
      <formula>0</formula>
    </cfRule>
  </conditionalFormatting>
  <conditionalFormatting sqref="J7:J14">
    <cfRule type="expression" dxfId="287" priority="31">
      <formula>J7=MAX(J$7:J$14)</formula>
    </cfRule>
    <cfRule type="expression" dxfId="286" priority="32">
      <formula>J7=MIN(J$7:J$14)</formula>
    </cfRule>
  </conditionalFormatting>
  <conditionalFormatting sqref="J16:J23">
    <cfRule type="expression" dxfId="285" priority="29">
      <formula>J16=MAX(J$16:J$23)</formula>
    </cfRule>
    <cfRule type="expression" dxfId="284" priority="30">
      <formula>J16=MIN(J$16:J$23)</formula>
    </cfRule>
  </conditionalFormatting>
  <conditionalFormatting sqref="J26:J30">
    <cfRule type="expression" dxfId="283" priority="27">
      <formula>J26=MAX(J$26:J$30)</formula>
    </cfRule>
    <cfRule type="expression" dxfId="282" priority="28">
      <formula>J26=MIN(J$26:J$30)</formula>
    </cfRule>
  </conditionalFormatting>
  <conditionalFormatting sqref="J15">
    <cfRule type="cellIs" dxfId="281" priority="26" operator="equal">
      <formula>0</formula>
    </cfRule>
  </conditionalFormatting>
  <conditionalFormatting sqref="J24">
    <cfRule type="cellIs" dxfId="280" priority="25" operator="equal">
      <formula>0</formula>
    </cfRule>
  </conditionalFormatting>
  <conditionalFormatting sqref="J25">
    <cfRule type="cellIs" dxfId="279" priority="24" operator="equal">
      <formula>0</formula>
    </cfRule>
  </conditionalFormatting>
  <conditionalFormatting sqref="J31">
    <cfRule type="cellIs" dxfId="278" priority="23" operator="equal">
      <formula>0</formula>
    </cfRule>
  </conditionalFormatting>
  <conditionalFormatting sqref="K5:K6">
    <cfRule type="cellIs" dxfId="277" priority="22" operator="equal">
      <formula>0</formula>
    </cfRule>
  </conditionalFormatting>
  <conditionalFormatting sqref="K7:K14">
    <cfRule type="expression" dxfId="276" priority="20">
      <formula>K7=MAX(K$7:K$14)</formula>
    </cfRule>
    <cfRule type="expression" dxfId="275" priority="21">
      <formula>K7=MIN(K$7:K$14)</formula>
    </cfRule>
  </conditionalFormatting>
  <conditionalFormatting sqref="K16:K23">
    <cfRule type="expression" dxfId="274" priority="18">
      <formula>K16=MAX(K$16:K$23)</formula>
    </cfRule>
    <cfRule type="expression" dxfId="273" priority="19">
      <formula>K16=MIN(K$16:K$23)</formula>
    </cfRule>
  </conditionalFormatting>
  <conditionalFormatting sqref="K26:K30">
    <cfRule type="expression" dxfId="272" priority="16">
      <formula>K26=MAX(K$26:K$30)</formula>
    </cfRule>
    <cfRule type="expression" dxfId="271" priority="17">
      <formula>K26=MIN(K$26:K$30)</formula>
    </cfRule>
  </conditionalFormatting>
  <conditionalFormatting sqref="K15">
    <cfRule type="cellIs" dxfId="270" priority="15" operator="equal">
      <formula>0</formula>
    </cfRule>
  </conditionalFormatting>
  <conditionalFormatting sqref="K24">
    <cfRule type="cellIs" dxfId="269" priority="14" operator="equal">
      <formula>0</formula>
    </cfRule>
  </conditionalFormatting>
  <conditionalFormatting sqref="K25">
    <cfRule type="cellIs" dxfId="268" priority="13" operator="equal">
      <formula>0</formula>
    </cfRule>
  </conditionalFormatting>
  <conditionalFormatting sqref="K31">
    <cfRule type="cellIs" dxfId="267" priority="12" operator="equal">
      <formula>0</formula>
    </cfRule>
  </conditionalFormatting>
  <conditionalFormatting sqref="L5:L6">
    <cfRule type="cellIs" dxfId="266" priority="11" operator="equal">
      <formula>0</formula>
    </cfRule>
  </conditionalFormatting>
  <conditionalFormatting sqref="L7:L14">
    <cfRule type="expression" dxfId="265" priority="9">
      <formula>L7=MAX(L$7:L$14)</formula>
    </cfRule>
    <cfRule type="expression" dxfId="264" priority="10">
      <formula>L7=MIN(L$7:L$14)</formula>
    </cfRule>
  </conditionalFormatting>
  <conditionalFormatting sqref="L16:L23">
    <cfRule type="expression" dxfId="263" priority="7">
      <formula>L16=MAX(L$16:L$23)</formula>
    </cfRule>
    <cfRule type="expression" dxfId="262" priority="8">
      <formula>L16=MIN(L$16:L$23)</formula>
    </cfRule>
  </conditionalFormatting>
  <conditionalFormatting sqref="L26:L30">
    <cfRule type="expression" dxfId="261" priority="5">
      <formula>L26=MAX(L$26:L$30)</formula>
    </cfRule>
    <cfRule type="expression" dxfId="260" priority="6">
      <formula>L26=MIN(L$26:L$30)</formula>
    </cfRule>
  </conditionalFormatting>
  <conditionalFormatting sqref="L15">
    <cfRule type="cellIs" dxfId="259" priority="4" operator="equal">
      <formula>0</formula>
    </cfRule>
  </conditionalFormatting>
  <conditionalFormatting sqref="L24">
    <cfRule type="cellIs" dxfId="258" priority="3" operator="equal">
      <formula>0</formula>
    </cfRule>
  </conditionalFormatting>
  <conditionalFormatting sqref="L25">
    <cfRule type="cellIs" dxfId="257" priority="2" operator="equal">
      <formula>0</formula>
    </cfRule>
  </conditionalFormatting>
  <conditionalFormatting sqref="L31">
    <cfRule type="cellIs" dxfId="256" priority="1" operator="equal">
      <formula>0</formula>
    </cfRule>
  </conditionalFormatting>
  <printOptions horizontalCentered="1"/>
  <pageMargins left="0.19685039370078741" right="0.19685039370078741" top="1.5748031496062993" bottom="0.39370078740157483" header="0.51181102362204722" footer="0"/>
  <pageSetup paperSize="9" scale="85" fitToWidth="0" orientation="portrait" r:id="rId1"/>
  <headerFooter>
    <oddHeader>&amp;C&amp;G</oddHeader>
  </headerFooter>
  <drawing r:id="rId2"/>
  <legacyDrawingHF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2">
    <tabColor rgb="FFA50021"/>
    <pageSetUpPr fitToPage="1"/>
  </sheetPr>
  <dimension ref="A1:O45"/>
  <sheetViews>
    <sheetView showGridLines="0" workbookViewId="0">
      <selection activeCell="Y70" sqref="Y70"/>
    </sheetView>
  </sheetViews>
  <sheetFormatPr defaultColWidth="9.140625" defaultRowHeight="17.25" customHeight="1"/>
  <cols>
    <col min="1" max="1" width="14.7109375" style="129" customWidth="1"/>
    <col min="2" max="2" width="2.7109375" style="138" customWidth="1"/>
    <col min="3" max="13" width="6.42578125" style="139" customWidth="1"/>
    <col min="14" max="16384" width="9.140625" style="129"/>
  </cols>
  <sheetData>
    <row r="1" spans="1:15" s="134" customFormat="1" ht="28.5" customHeight="1">
      <c r="A1" s="954" t="s">
        <v>817</v>
      </c>
      <c r="B1" s="954"/>
      <c r="C1" s="954"/>
      <c r="D1" s="954"/>
      <c r="E1" s="954"/>
      <c r="F1" s="954"/>
      <c r="G1" s="954"/>
      <c r="H1" s="954"/>
      <c r="I1" s="954"/>
      <c r="J1" s="954"/>
      <c r="K1" s="954"/>
      <c r="L1" s="954"/>
      <c r="M1" s="954"/>
    </row>
    <row r="2" spans="1:15" s="135" customFormat="1" ht="15" customHeight="1">
      <c r="A2" s="93"/>
      <c r="B2" s="93"/>
      <c r="C2" s="100"/>
      <c r="D2" s="100"/>
      <c r="E2" s="100"/>
      <c r="F2" s="100"/>
      <c r="G2" s="100"/>
      <c r="H2" s="100"/>
      <c r="I2" s="100"/>
      <c r="J2" s="100"/>
      <c r="K2" s="100"/>
      <c r="L2" s="100"/>
      <c r="M2" s="100"/>
    </row>
    <row r="3" spans="1:15" s="118" customFormat="1" ht="15" customHeight="1">
      <c r="A3" s="65" t="s">
        <v>13</v>
      </c>
      <c r="B3" s="66"/>
      <c r="C3" s="142"/>
      <c r="E3" s="189"/>
      <c r="F3" s="215"/>
      <c r="G3" s="212"/>
      <c r="H3" s="306"/>
      <c r="I3" s="260"/>
      <c r="J3" s="308"/>
      <c r="K3" s="360"/>
      <c r="L3" s="360"/>
      <c r="M3" s="360" t="s">
        <v>67</v>
      </c>
    </row>
    <row r="4" spans="1:15" s="119" customFormat="1" ht="28.5" customHeight="1" thickBot="1">
      <c r="A4" s="67"/>
      <c r="B4" s="67"/>
      <c r="C4" s="67">
        <v>2014</v>
      </c>
      <c r="D4" s="67">
        <v>2015</v>
      </c>
      <c r="E4" s="67">
        <v>2016</v>
      </c>
      <c r="F4" s="67">
        <v>2017</v>
      </c>
      <c r="G4" s="67">
        <v>2018</v>
      </c>
      <c r="H4" s="67">
        <v>2019</v>
      </c>
      <c r="I4" s="67">
        <v>2020</v>
      </c>
      <c r="J4" s="67">
        <v>2021</v>
      </c>
      <c r="K4" s="67">
        <v>2022</v>
      </c>
      <c r="L4" s="67">
        <v>2023</v>
      </c>
      <c r="M4" s="67">
        <v>2024</v>
      </c>
    </row>
    <row r="5" spans="1:15" s="120" customFormat="1" ht="16.5" customHeight="1" thickTop="1">
      <c r="A5" s="52" t="s">
        <v>11</v>
      </c>
      <c r="B5" s="52" t="s">
        <v>44</v>
      </c>
      <c r="C5" s="85">
        <v>1093.21</v>
      </c>
      <c r="D5" s="85">
        <v>1096.6600000000001</v>
      </c>
      <c r="E5" s="85">
        <v>1107.8599999999999</v>
      </c>
      <c r="F5" s="85">
        <v>1133.3399999999999</v>
      </c>
      <c r="G5" s="85">
        <v>1170.25</v>
      </c>
      <c r="H5" s="85">
        <v>1209.94</v>
      </c>
      <c r="I5" s="85">
        <v>1250.75</v>
      </c>
      <c r="J5" s="85">
        <v>1294.1099999999999</v>
      </c>
      <c r="K5" s="85">
        <v>1368</v>
      </c>
      <c r="L5" s="85">
        <v>1466.66</v>
      </c>
      <c r="M5" s="85">
        <v>1582.75</v>
      </c>
      <c r="N5" s="119"/>
      <c r="O5" s="119"/>
    </row>
    <row r="6" spans="1:15" s="120" customFormat="1" ht="12.75" customHeight="1">
      <c r="A6" s="52"/>
      <c r="B6" s="52" t="s">
        <v>52</v>
      </c>
      <c r="C6" s="85">
        <v>1203.32</v>
      </c>
      <c r="D6" s="85">
        <v>1207.76</v>
      </c>
      <c r="E6" s="85">
        <v>1215.1099999999999</v>
      </c>
      <c r="F6" s="85">
        <v>1236.8499999999999</v>
      </c>
      <c r="G6" s="85">
        <v>1273.99</v>
      </c>
      <c r="H6" s="85">
        <v>1312.43</v>
      </c>
      <c r="I6" s="85">
        <v>1349.35</v>
      </c>
      <c r="J6" s="85">
        <v>1395.7</v>
      </c>
      <c r="K6" s="85">
        <v>1476.2</v>
      </c>
      <c r="L6" s="85">
        <v>1577.33</v>
      </c>
      <c r="M6" s="85">
        <v>1693.55</v>
      </c>
      <c r="O6" s="119"/>
    </row>
    <row r="7" spans="1:15" s="120" customFormat="1" ht="12.75" customHeight="1">
      <c r="A7" s="52"/>
      <c r="B7" s="52" t="s">
        <v>53</v>
      </c>
      <c r="C7" s="85">
        <v>963.12</v>
      </c>
      <c r="D7" s="85">
        <v>966.85</v>
      </c>
      <c r="E7" s="85">
        <v>982.49</v>
      </c>
      <c r="F7" s="85">
        <v>1011.02</v>
      </c>
      <c r="G7" s="85">
        <v>1046.5899999999999</v>
      </c>
      <c r="H7" s="85">
        <v>1086.97</v>
      </c>
      <c r="I7" s="85">
        <v>1130.8699999999999</v>
      </c>
      <c r="J7" s="85">
        <v>1172.08</v>
      </c>
      <c r="K7" s="85">
        <v>1237.52</v>
      </c>
      <c r="L7" s="85">
        <v>1332.02</v>
      </c>
      <c r="M7" s="85">
        <v>1445.59</v>
      </c>
      <c r="O7" s="119"/>
    </row>
    <row r="8" spans="1:15" s="121" customFormat="1" ht="16.5" customHeight="1">
      <c r="A8" s="54" t="s">
        <v>54</v>
      </c>
      <c r="B8" s="52" t="s">
        <v>44</v>
      </c>
      <c r="C8" s="85">
        <v>752.91</v>
      </c>
      <c r="D8" s="85">
        <v>711.88</v>
      </c>
      <c r="E8" s="85">
        <v>759.21</v>
      </c>
      <c r="F8" s="85">
        <v>761.64</v>
      </c>
      <c r="G8" s="85">
        <v>775.74</v>
      </c>
      <c r="H8" s="85">
        <v>1016.76</v>
      </c>
      <c r="I8" s="85">
        <v>1233.5</v>
      </c>
      <c r="J8" s="85">
        <v>1171.6400000000001</v>
      </c>
      <c r="K8" s="85">
        <v>1142.0999999999999</v>
      </c>
      <c r="L8" s="85">
        <v>1193.83</v>
      </c>
      <c r="M8" s="85">
        <v>1427.69</v>
      </c>
    </row>
    <row r="9" spans="1:15" s="121" customFormat="1" ht="12.75" customHeight="1">
      <c r="A9" s="55"/>
      <c r="B9" s="56" t="s">
        <v>52</v>
      </c>
      <c r="C9" s="824">
        <v>837.34</v>
      </c>
      <c r="D9" s="824">
        <v>767.94</v>
      </c>
      <c r="E9" s="824">
        <v>814.54</v>
      </c>
      <c r="F9" s="824">
        <v>805.1</v>
      </c>
      <c r="G9" s="824">
        <v>813.3</v>
      </c>
      <c r="H9" s="824">
        <v>1105.51</v>
      </c>
      <c r="I9" s="824">
        <v>1339.07</v>
      </c>
      <c r="J9" s="824">
        <v>1291.68</v>
      </c>
      <c r="K9" s="824">
        <v>1255.19</v>
      </c>
      <c r="L9" s="824">
        <v>1290.02</v>
      </c>
      <c r="M9" s="824">
        <v>1544.65</v>
      </c>
    </row>
    <row r="10" spans="1:15" s="121" customFormat="1" ht="12.75" customHeight="1">
      <c r="A10" s="54"/>
      <c r="B10" s="56" t="s">
        <v>53</v>
      </c>
      <c r="C10" s="824">
        <v>590.63</v>
      </c>
      <c r="D10" s="824">
        <v>590.91999999999996</v>
      </c>
      <c r="E10" s="824">
        <v>620.16</v>
      </c>
      <c r="F10" s="824">
        <v>647.80999999999995</v>
      </c>
      <c r="G10" s="824">
        <v>696.86</v>
      </c>
      <c r="H10" s="824">
        <v>782.86</v>
      </c>
      <c r="I10" s="824">
        <v>744.24</v>
      </c>
      <c r="J10" s="824">
        <v>762.78</v>
      </c>
      <c r="K10" s="824">
        <v>833.07</v>
      </c>
      <c r="L10" s="824">
        <v>912.59</v>
      </c>
      <c r="M10" s="824">
        <v>1023.65</v>
      </c>
    </row>
    <row r="11" spans="1:15" s="121" customFormat="1" ht="16.5" customHeight="1">
      <c r="A11" s="54" t="s">
        <v>55</v>
      </c>
      <c r="B11" s="52" t="s">
        <v>44</v>
      </c>
      <c r="C11" s="85">
        <v>719.2</v>
      </c>
      <c r="D11" s="85">
        <v>733.69</v>
      </c>
      <c r="E11" s="85">
        <v>753.41</v>
      </c>
      <c r="F11" s="85">
        <v>788.29</v>
      </c>
      <c r="G11" s="85">
        <v>827.84</v>
      </c>
      <c r="H11" s="85">
        <v>871.35</v>
      </c>
      <c r="I11" s="85">
        <v>910.8</v>
      </c>
      <c r="J11" s="85">
        <v>948.81</v>
      </c>
      <c r="K11" s="85">
        <v>1015.84</v>
      </c>
      <c r="L11" s="85">
        <v>1100.3599999999999</v>
      </c>
      <c r="M11" s="85">
        <v>1191.1199999999999</v>
      </c>
    </row>
    <row r="12" spans="1:15" s="121" customFormat="1" ht="12.75" customHeight="1">
      <c r="A12" s="55"/>
      <c r="B12" s="56" t="s">
        <v>52</v>
      </c>
      <c r="C12" s="824">
        <v>752.86</v>
      </c>
      <c r="D12" s="824">
        <v>768.96</v>
      </c>
      <c r="E12" s="824">
        <v>785.59</v>
      </c>
      <c r="F12" s="824">
        <v>818.25</v>
      </c>
      <c r="G12" s="824">
        <v>858.87</v>
      </c>
      <c r="H12" s="824">
        <v>904.02</v>
      </c>
      <c r="I12" s="824">
        <v>939.89</v>
      </c>
      <c r="J12" s="824">
        <v>975.75</v>
      </c>
      <c r="K12" s="824">
        <v>1047.2</v>
      </c>
      <c r="L12" s="824">
        <v>1135</v>
      </c>
      <c r="M12" s="824">
        <v>1230.2</v>
      </c>
    </row>
    <row r="13" spans="1:15" s="121" customFormat="1" ht="12.75" customHeight="1">
      <c r="A13" s="54"/>
      <c r="B13" s="56" t="s">
        <v>53</v>
      </c>
      <c r="C13" s="824">
        <v>675</v>
      </c>
      <c r="D13" s="824">
        <v>688.01</v>
      </c>
      <c r="E13" s="824">
        <v>711.72</v>
      </c>
      <c r="F13" s="824">
        <v>749.37</v>
      </c>
      <c r="G13" s="824">
        <v>786.48</v>
      </c>
      <c r="H13" s="824">
        <v>827.95</v>
      </c>
      <c r="I13" s="824">
        <v>870.5</v>
      </c>
      <c r="J13" s="824">
        <v>912.9</v>
      </c>
      <c r="K13" s="824">
        <v>974.41</v>
      </c>
      <c r="L13" s="824">
        <v>1053.73</v>
      </c>
      <c r="M13" s="824">
        <v>1137.02</v>
      </c>
    </row>
    <row r="14" spans="1:15" s="121" customFormat="1" ht="16.5" customHeight="1">
      <c r="A14" s="54" t="s">
        <v>56</v>
      </c>
      <c r="B14" s="52" t="s">
        <v>44</v>
      </c>
      <c r="C14" s="85">
        <v>862.51</v>
      </c>
      <c r="D14" s="85">
        <v>871.58</v>
      </c>
      <c r="E14" s="85">
        <v>893.31</v>
      </c>
      <c r="F14" s="85">
        <v>935.65</v>
      </c>
      <c r="G14" s="85">
        <v>980.03</v>
      </c>
      <c r="H14" s="85">
        <v>1030.8599999999999</v>
      </c>
      <c r="I14" s="85">
        <v>1074.49</v>
      </c>
      <c r="J14" s="85">
        <v>1126.1199999999999</v>
      </c>
      <c r="K14" s="85">
        <v>1206.3499999999999</v>
      </c>
      <c r="L14" s="85">
        <v>1287.3499999999999</v>
      </c>
      <c r="M14" s="85">
        <v>1384.21</v>
      </c>
    </row>
    <row r="15" spans="1:15" s="121" customFormat="1" ht="12.75" customHeight="1">
      <c r="A15" s="55"/>
      <c r="B15" s="56" t="s">
        <v>52</v>
      </c>
      <c r="C15" s="824">
        <v>901.55</v>
      </c>
      <c r="D15" s="824">
        <v>917.1</v>
      </c>
      <c r="E15" s="824">
        <v>938.4</v>
      </c>
      <c r="F15" s="824">
        <v>982.93</v>
      </c>
      <c r="G15" s="824">
        <v>1028.6199999999999</v>
      </c>
      <c r="H15" s="824">
        <v>1078.1600000000001</v>
      </c>
      <c r="I15" s="824">
        <v>1116.2</v>
      </c>
      <c r="J15" s="824">
        <v>1172.81</v>
      </c>
      <c r="K15" s="824">
        <v>1256.52</v>
      </c>
      <c r="L15" s="824">
        <v>1332.6</v>
      </c>
      <c r="M15" s="824">
        <v>1430.17</v>
      </c>
    </row>
    <row r="16" spans="1:15" s="121" customFormat="1" ht="12.75" customHeight="1">
      <c r="A16" s="54"/>
      <c r="B16" s="56" t="s">
        <v>53</v>
      </c>
      <c r="C16" s="824">
        <v>819.39</v>
      </c>
      <c r="D16" s="824">
        <v>821.71</v>
      </c>
      <c r="E16" s="824">
        <v>843.24</v>
      </c>
      <c r="F16" s="824">
        <v>882.47</v>
      </c>
      <c r="G16" s="824">
        <v>924.75</v>
      </c>
      <c r="H16" s="824">
        <v>976.53</v>
      </c>
      <c r="I16" s="824">
        <v>1025.45</v>
      </c>
      <c r="J16" s="824">
        <v>1071.5999999999999</v>
      </c>
      <c r="K16" s="824">
        <v>1146.3900000000001</v>
      </c>
      <c r="L16" s="824">
        <v>1232.01</v>
      </c>
      <c r="M16" s="824">
        <v>1326.75</v>
      </c>
    </row>
    <row r="17" spans="1:13" s="121" customFormat="1" ht="16.5" customHeight="1">
      <c r="A17" s="54" t="s">
        <v>57</v>
      </c>
      <c r="B17" s="52" t="s">
        <v>44</v>
      </c>
      <c r="C17" s="85">
        <v>987.53</v>
      </c>
      <c r="D17" s="85">
        <v>991.06</v>
      </c>
      <c r="E17" s="85">
        <v>1003.61</v>
      </c>
      <c r="F17" s="85">
        <v>1034.78</v>
      </c>
      <c r="G17" s="85">
        <v>1081.3499999999999</v>
      </c>
      <c r="H17" s="85">
        <v>1135.05</v>
      </c>
      <c r="I17" s="85">
        <v>1176.05</v>
      </c>
      <c r="J17" s="85">
        <v>1234.8699999999999</v>
      </c>
      <c r="K17" s="85">
        <v>1319.28</v>
      </c>
      <c r="L17" s="85">
        <v>1414.1</v>
      </c>
      <c r="M17" s="85">
        <v>1532.56</v>
      </c>
    </row>
    <row r="18" spans="1:13" s="121" customFormat="1" ht="12.75" customHeight="1">
      <c r="A18" s="55"/>
      <c r="B18" s="56" t="s">
        <v>52</v>
      </c>
      <c r="C18" s="824">
        <v>1036.99</v>
      </c>
      <c r="D18" s="824">
        <v>1043.9100000000001</v>
      </c>
      <c r="E18" s="824">
        <v>1054.6300000000001</v>
      </c>
      <c r="F18" s="824">
        <v>1089.0999999999999</v>
      </c>
      <c r="G18" s="824">
        <v>1145.51</v>
      </c>
      <c r="H18" s="824">
        <v>1199.1600000000001</v>
      </c>
      <c r="I18" s="824">
        <v>1236.27</v>
      </c>
      <c r="J18" s="824">
        <v>1297</v>
      </c>
      <c r="K18" s="824">
        <v>1382.69</v>
      </c>
      <c r="L18" s="824">
        <v>1478.18</v>
      </c>
      <c r="M18" s="824">
        <v>1585.23</v>
      </c>
    </row>
    <row r="19" spans="1:13" s="121" customFormat="1" ht="12.75" customHeight="1">
      <c r="A19" s="54"/>
      <c r="B19" s="56" t="s">
        <v>53</v>
      </c>
      <c r="C19" s="824">
        <v>932.62</v>
      </c>
      <c r="D19" s="824">
        <v>932.72</v>
      </c>
      <c r="E19" s="824">
        <v>946.64</v>
      </c>
      <c r="F19" s="824">
        <v>972.87</v>
      </c>
      <c r="G19" s="824">
        <v>1006.36</v>
      </c>
      <c r="H19" s="824">
        <v>1058.76</v>
      </c>
      <c r="I19" s="824">
        <v>1102.45</v>
      </c>
      <c r="J19" s="824">
        <v>1158.8900000000001</v>
      </c>
      <c r="K19" s="824">
        <v>1239.75</v>
      </c>
      <c r="L19" s="824">
        <v>1332.57</v>
      </c>
      <c r="M19" s="824">
        <v>1463.19</v>
      </c>
    </row>
    <row r="20" spans="1:13" s="121" customFormat="1" ht="16.5" customHeight="1">
      <c r="A20" s="54" t="s">
        <v>58</v>
      </c>
      <c r="B20" s="52" t="s">
        <v>44</v>
      </c>
      <c r="C20" s="85">
        <v>1125.56</v>
      </c>
      <c r="D20" s="85">
        <v>1118.1500000000001</v>
      </c>
      <c r="E20" s="85">
        <v>1123.67</v>
      </c>
      <c r="F20" s="85">
        <v>1143.2</v>
      </c>
      <c r="G20" s="85">
        <v>1176.19</v>
      </c>
      <c r="H20" s="85">
        <v>1219.47</v>
      </c>
      <c r="I20" s="85">
        <v>1255.8699999999999</v>
      </c>
      <c r="J20" s="85">
        <v>1302.6099999999999</v>
      </c>
      <c r="K20" s="85">
        <v>1386.25</v>
      </c>
      <c r="L20" s="85">
        <v>1486.1</v>
      </c>
      <c r="M20" s="85">
        <v>1613.64</v>
      </c>
    </row>
    <row r="21" spans="1:13" s="121" customFormat="1" ht="12.75" customHeight="1">
      <c r="A21" s="55"/>
      <c r="B21" s="56" t="s">
        <v>52</v>
      </c>
      <c r="C21" s="824">
        <v>1207.94</v>
      </c>
      <c r="D21" s="824">
        <v>1199.21</v>
      </c>
      <c r="E21" s="824">
        <v>1203.05</v>
      </c>
      <c r="F21" s="824">
        <v>1220.79</v>
      </c>
      <c r="G21" s="824">
        <v>1256.28</v>
      </c>
      <c r="H21" s="824">
        <v>1300.3599999999999</v>
      </c>
      <c r="I21" s="824">
        <v>1332.62</v>
      </c>
      <c r="J21" s="824">
        <v>1389.05</v>
      </c>
      <c r="K21" s="824">
        <v>1486.04</v>
      </c>
      <c r="L21" s="824">
        <v>1588.98</v>
      </c>
      <c r="M21" s="824">
        <v>1712.31</v>
      </c>
    </row>
    <row r="22" spans="1:13" s="121" customFormat="1" ht="12.75" customHeight="1">
      <c r="A22" s="54"/>
      <c r="B22" s="56" t="s">
        <v>53</v>
      </c>
      <c r="C22" s="824">
        <v>1033.5899999999999</v>
      </c>
      <c r="D22" s="824">
        <v>1028.94</v>
      </c>
      <c r="E22" s="824">
        <v>1036.08</v>
      </c>
      <c r="F22" s="824">
        <v>1056.9100000000001</v>
      </c>
      <c r="G22" s="824">
        <v>1085.78</v>
      </c>
      <c r="H22" s="824">
        <v>1126.5999999999999</v>
      </c>
      <c r="I22" s="824">
        <v>1165.56</v>
      </c>
      <c r="J22" s="824">
        <v>1199.9100000000001</v>
      </c>
      <c r="K22" s="824">
        <v>1265.49</v>
      </c>
      <c r="L22" s="824">
        <v>1359.26</v>
      </c>
      <c r="M22" s="824">
        <v>1486.93</v>
      </c>
    </row>
    <row r="23" spans="1:13" s="121" customFormat="1" ht="16.5" customHeight="1">
      <c r="A23" s="54" t="s">
        <v>59</v>
      </c>
      <c r="B23" s="52" t="s">
        <v>44</v>
      </c>
      <c r="C23" s="85">
        <v>1199.29</v>
      </c>
      <c r="D23" s="85">
        <v>1202.77</v>
      </c>
      <c r="E23" s="85">
        <v>1213.01</v>
      </c>
      <c r="F23" s="85">
        <v>1237.07</v>
      </c>
      <c r="G23" s="85">
        <v>1273.52</v>
      </c>
      <c r="H23" s="85">
        <v>1312.02</v>
      </c>
      <c r="I23" s="85">
        <v>1336.16</v>
      </c>
      <c r="J23" s="85">
        <v>1379.16</v>
      </c>
      <c r="K23" s="85">
        <v>1451.82</v>
      </c>
      <c r="L23" s="85">
        <v>1553.51</v>
      </c>
      <c r="M23" s="85">
        <v>1674.35</v>
      </c>
    </row>
    <row r="24" spans="1:13" s="121" customFormat="1" ht="12.75" customHeight="1">
      <c r="A24" s="55"/>
      <c r="B24" s="56" t="s">
        <v>52</v>
      </c>
      <c r="C24" s="824">
        <v>1322.59</v>
      </c>
      <c r="D24" s="824">
        <v>1324.11</v>
      </c>
      <c r="E24" s="824">
        <v>1328.89</v>
      </c>
      <c r="F24" s="824">
        <v>1345.48</v>
      </c>
      <c r="G24" s="824">
        <v>1383.56</v>
      </c>
      <c r="H24" s="824">
        <v>1423.21</v>
      </c>
      <c r="I24" s="824">
        <v>1438.53</v>
      </c>
      <c r="J24" s="824">
        <v>1488.14</v>
      </c>
      <c r="K24" s="824">
        <v>1570.45</v>
      </c>
      <c r="L24" s="824">
        <v>1675.27</v>
      </c>
      <c r="M24" s="824">
        <v>1797.68</v>
      </c>
    </row>
    <row r="25" spans="1:13" s="121" customFormat="1" ht="12.75" customHeight="1">
      <c r="A25" s="54"/>
      <c r="B25" s="56" t="s">
        <v>53</v>
      </c>
      <c r="C25" s="824">
        <v>1059.56</v>
      </c>
      <c r="D25" s="824">
        <v>1067.27</v>
      </c>
      <c r="E25" s="824">
        <v>1084.73</v>
      </c>
      <c r="F25" s="824">
        <v>1116.67</v>
      </c>
      <c r="G25" s="824">
        <v>1150.99</v>
      </c>
      <c r="H25" s="824">
        <v>1186.8499999999999</v>
      </c>
      <c r="I25" s="824">
        <v>1220.1400000000001</v>
      </c>
      <c r="J25" s="824">
        <v>1256.71</v>
      </c>
      <c r="K25" s="824">
        <v>1318.08</v>
      </c>
      <c r="L25" s="824">
        <v>1414.24</v>
      </c>
      <c r="M25" s="824">
        <v>1529.5</v>
      </c>
    </row>
    <row r="26" spans="1:13" s="121" customFormat="1" ht="16.5" customHeight="1">
      <c r="A26" s="54" t="s">
        <v>60</v>
      </c>
      <c r="B26" s="52" t="s">
        <v>44</v>
      </c>
      <c r="C26" s="85">
        <v>1181.01</v>
      </c>
      <c r="D26" s="85">
        <v>1187.8800000000001</v>
      </c>
      <c r="E26" s="85">
        <v>1205.0899999999999</v>
      </c>
      <c r="F26" s="85">
        <v>1239.57</v>
      </c>
      <c r="G26" s="85">
        <v>1285.8</v>
      </c>
      <c r="H26" s="85">
        <v>1339.38</v>
      </c>
      <c r="I26" s="85">
        <v>1380.51</v>
      </c>
      <c r="J26" s="85">
        <v>1422.45</v>
      </c>
      <c r="K26" s="85">
        <v>1499.91</v>
      </c>
      <c r="L26" s="85">
        <v>1610.09</v>
      </c>
      <c r="M26" s="85">
        <v>1727.04</v>
      </c>
    </row>
    <row r="27" spans="1:13" s="121" customFormat="1" ht="12.75" customHeight="1">
      <c r="A27" s="55"/>
      <c r="B27" s="56" t="s">
        <v>52</v>
      </c>
      <c r="C27" s="824">
        <v>1332.05</v>
      </c>
      <c r="D27" s="824">
        <v>1338.47</v>
      </c>
      <c r="E27" s="824">
        <v>1349.5</v>
      </c>
      <c r="F27" s="824">
        <v>1378.91</v>
      </c>
      <c r="G27" s="824">
        <v>1423.62</v>
      </c>
      <c r="H27" s="824">
        <v>1479.48</v>
      </c>
      <c r="I27" s="824">
        <v>1515.45</v>
      </c>
      <c r="J27" s="824">
        <v>1559.28</v>
      </c>
      <c r="K27" s="824">
        <v>1643.32</v>
      </c>
      <c r="L27" s="824">
        <v>1758.57</v>
      </c>
      <c r="M27" s="824">
        <v>1878.49</v>
      </c>
    </row>
    <row r="28" spans="1:13" s="121" customFormat="1" ht="12.75" customHeight="1">
      <c r="A28" s="54"/>
      <c r="B28" s="56" t="s">
        <v>53</v>
      </c>
      <c r="C28" s="824">
        <v>1005.13</v>
      </c>
      <c r="D28" s="824">
        <v>1015.23</v>
      </c>
      <c r="E28" s="824">
        <v>1040.28</v>
      </c>
      <c r="F28" s="824">
        <v>1079.45</v>
      </c>
      <c r="G28" s="824">
        <v>1127.3</v>
      </c>
      <c r="H28" s="824">
        <v>1178.1400000000001</v>
      </c>
      <c r="I28" s="824">
        <v>1225.22</v>
      </c>
      <c r="J28" s="824">
        <v>1268.3399999999999</v>
      </c>
      <c r="K28" s="824">
        <v>1339.65</v>
      </c>
      <c r="L28" s="824">
        <v>1444.15</v>
      </c>
      <c r="M28" s="824">
        <v>1556.4</v>
      </c>
    </row>
    <row r="29" spans="1:13" s="121" customFormat="1" ht="16.5" customHeight="1">
      <c r="A29" s="54" t="s">
        <v>61</v>
      </c>
      <c r="B29" s="52" t="s">
        <v>44</v>
      </c>
      <c r="C29" s="85">
        <v>1190.3399999999999</v>
      </c>
      <c r="D29" s="85">
        <v>1189.6400000000001</v>
      </c>
      <c r="E29" s="85">
        <v>1198.54</v>
      </c>
      <c r="F29" s="85">
        <v>1218.03</v>
      </c>
      <c r="G29" s="85">
        <v>1252.93</v>
      </c>
      <c r="H29" s="85">
        <v>1283.5999999999999</v>
      </c>
      <c r="I29" s="85">
        <v>1324.32</v>
      </c>
      <c r="J29" s="85">
        <v>1369.01</v>
      </c>
      <c r="K29" s="85">
        <v>1457.11</v>
      </c>
      <c r="L29" s="85">
        <v>1577.03</v>
      </c>
      <c r="M29" s="85">
        <v>1717.38</v>
      </c>
    </row>
    <row r="30" spans="1:13" s="121" customFormat="1" ht="12.75" customHeight="1">
      <c r="A30" s="55"/>
      <c r="B30" s="56" t="s">
        <v>52</v>
      </c>
      <c r="C30" s="824">
        <v>1362.31</v>
      </c>
      <c r="D30" s="824">
        <v>1359.58</v>
      </c>
      <c r="E30" s="824">
        <v>1361.4</v>
      </c>
      <c r="F30" s="824">
        <v>1373.4</v>
      </c>
      <c r="G30" s="824">
        <v>1404.54</v>
      </c>
      <c r="H30" s="824">
        <v>1430.18</v>
      </c>
      <c r="I30" s="824">
        <v>1468.57</v>
      </c>
      <c r="J30" s="824">
        <v>1515.09</v>
      </c>
      <c r="K30" s="824">
        <v>1615.19</v>
      </c>
      <c r="L30" s="824">
        <v>1743.83</v>
      </c>
      <c r="M30" s="824">
        <v>1890.32</v>
      </c>
    </row>
    <row r="31" spans="1:13" s="121" customFormat="1" ht="12.75" customHeight="1">
      <c r="A31" s="54"/>
      <c r="B31" s="56" t="s">
        <v>53</v>
      </c>
      <c r="C31" s="824">
        <v>975.55</v>
      </c>
      <c r="D31" s="824">
        <v>980.12</v>
      </c>
      <c r="E31" s="824">
        <v>999.21</v>
      </c>
      <c r="F31" s="824">
        <v>1027.31</v>
      </c>
      <c r="G31" s="824">
        <v>1067.1300000000001</v>
      </c>
      <c r="H31" s="824">
        <v>1105.46</v>
      </c>
      <c r="I31" s="824">
        <v>1148.5999999999999</v>
      </c>
      <c r="J31" s="824">
        <v>1196.0999999999999</v>
      </c>
      <c r="K31" s="824">
        <v>1272.17</v>
      </c>
      <c r="L31" s="824">
        <v>1383.68</v>
      </c>
      <c r="M31" s="824">
        <v>1517.17</v>
      </c>
    </row>
    <row r="32" spans="1:13" s="121" customFormat="1" ht="16.5" customHeight="1">
      <c r="A32" s="54" t="s">
        <v>62</v>
      </c>
      <c r="B32" s="52" t="s">
        <v>44</v>
      </c>
      <c r="C32" s="85">
        <v>1243.7</v>
      </c>
      <c r="D32" s="85">
        <v>1231.83</v>
      </c>
      <c r="E32" s="85">
        <v>1222.26</v>
      </c>
      <c r="F32" s="85">
        <v>1222.04</v>
      </c>
      <c r="G32" s="85">
        <v>1243.21</v>
      </c>
      <c r="H32" s="85">
        <v>1254.19</v>
      </c>
      <c r="I32" s="85">
        <v>1291.3399999999999</v>
      </c>
      <c r="J32" s="85">
        <v>1322.84</v>
      </c>
      <c r="K32" s="85">
        <v>1391.44</v>
      </c>
      <c r="L32" s="85">
        <v>1501.07</v>
      </c>
      <c r="M32" s="85">
        <v>1615.56</v>
      </c>
    </row>
    <row r="33" spans="1:13" s="121" customFormat="1" ht="12.75" customHeight="1">
      <c r="A33" s="55"/>
      <c r="B33" s="56" t="s">
        <v>52</v>
      </c>
      <c r="C33" s="824">
        <v>1421.03</v>
      </c>
      <c r="D33" s="824">
        <v>1403.84</v>
      </c>
      <c r="E33" s="824">
        <v>1388.66</v>
      </c>
      <c r="F33" s="824">
        <v>1378.05</v>
      </c>
      <c r="G33" s="824">
        <v>1397.96</v>
      </c>
      <c r="H33" s="824">
        <v>1408.16</v>
      </c>
      <c r="I33" s="824">
        <v>1443.49</v>
      </c>
      <c r="J33" s="824">
        <v>1472.73</v>
      </c>
      <c r="K33" s="824">
        <v>1554.15</v>
      </c>
      <c r="L33" s="824">
        <v>1671.26</v>
      </c>
      <c r="M33" s="824">
        <v>1790.01</v>
      </c>
    </row>
    <row r="34" spans="1:13" s="121" customFormat="1" ht="12.75" customHeight="1">
      <c r="A34" s="54"/>
      <c r="B34" s="56" t="s">
        <v>53</v>
      </c>
      <c r="C34" s="824">
        <v>997.43</v>
      </c>
      <c r="D34" s="824">
        <v>998.73</v>
      </c>
      <c r="E34" s="824">
        <v>1000.23</v>
      </c>
      <c r="F34" s="824">
        <v>1011.79</v>
      </c>
      <c r="G34" s="824">
        <v>1036.0999999999999</v>
      </c>
      <c r="H34" s="824">
        <v>1049.6400000000001</v>
      </c>
      <c r="I34" s="824">
        <v>1090.05</v>
      </c>
      <c r="J34" s="824">
        <v>1129.96</v>
      </c>
      <c r="K34" s="824">
        <v>1187.8900000000001</v>
      </c>
      <c r="L34" s="824">
        <v>1289.45</v>
      </c>
      <c r="M34" s="824">
        <v>1400.56</v>
      </c>
    </row>
    <row r="35" spans="1:13" s="121" customFormat="1" ht="16.5" customHeight="1">
      <c r="A35" s="54" t="s">
        <v>63</v>
      </c>
      <c r="B35" s="52" t="s">
        <v>44</v>
      </c>
      <c r="C35" s="85">
        <v>1252.29</v>
      </c>
      <c r="D35" s="85">
        <v>1263.1199999999999</v>
      </c>
      <c r="E35" s="85">
        <v>1258.95</v>
      </c>
      <c r="F35" s="85">
        <v>1268.01</v>
      </c>
      <c r="G35" s="85">
        <v>1288.9000000000001</v>
      </c>
      <c r="H35" s="85">
        <v>1302.31</v>
      </c>
      <c r="I35" s="85">
        <v>1330.04</v>
      </c>
      <c r="J35" s="85">
        <v>1336.9</v>
      </c>
      <c r="K35" s="85">
        <v>1381.21</v>
      </c>
      <c r="L35" s="85">
        <v>1465.81</v>
      </c>
      <c r="M35" s="85">
        <v>1574.97</v>
      </c>
    </row>
    <row r="36" spans="1:13" s="121" customFormat="1" ht="12.75" customHeight="1">
      <c r="A36" s="55"/>
      <c r="B36" s="56" t="s">
        <v>52</v>
      </c>
      <c r="C36" s="824">
        <v>1455.06</v>
      </c>
      <c r="D36" s="824">
        <v>1469.17</v>
      </c>
      <c r="E36" s="824">
        <v>1457.86</v>
      </c>
      <c r="F36" s="824">
        <v>1446.99</v>
      </c>
      <c r="G36" s="824">
        <v>1460.43</v>
      </c>
      <c r="H36" s="824">
        <v>1461.58</v>
      </c>
      <c r="I36" s="824">
        <v>1484.54</v>
      </c>
      <c r="J36" s="824">
        <v>1484.84</v>
      </c>
      <c r="K36" s="824">
        <v>1536.23</v>
      </c>
      <c r="L36" s="824">
        <v>1629.73</v>
      </c>
      <c r="M36" s="824">
        <v>1753.77</v>
      </c>
    </row>
    <row r="37" spans="1:13" s="121" customFormat="1" ht="12.75" customHeight="1">
      <c r="A37" s="54"/>
      <c r="B37" s="56" t="s">
        <v>53</v>
      </c>
      <c r="C37" s="824">
        <v>951.97</v>
      </c>
      <c r="D37" s="824">
        <v>961.12</v>
      </c>
      <c r="E37" s="824">
        <v>973.4</v>
      </c>
      <c r="F37" s="824">
        <v>1009.34</v>
      </c>
      <c r="G37" s="824">
        <v>1047.67</v>
      </c>
      <c r="H37" s="824">
        <v>1082.28</v>
      </c>
      <c r="I37" s="824">
        <v>1117.4100000000001</v>
      </c>
      <c r="J37" s="824">
        <v>1136.29</v>
      </c>
      <c r="K37" s="824">
        <v>1173.5</v>
      </c>
      <c r="L37" s="824">
        <v>1249.45</v>
      </c>
      <c r="M37" s="824">
        <v>1342.68</v>
      </c>
    </row>
    <row r="38" spans="1:13" s="214" customFormat="1" ht="16.5" customHeight="1">
      <c r="A38" s="156" t="s">
        <v>66</v>
      </c>
      <c r="B38" s="213" t="s">
        <v>44</v>
      </c>
      <c r="C38" s="726">
        <v>1328.61</v>
      </c>
      <c r="D38" s="726">
        <v>1341.63</v>
      </c>
      <c r="E38" s="726">
        <v>1337.56</v>
      </c>
      <c r="F38" s="726">
        <v>1346.83</v>
      </c>
      <c r="G38" s="726">
        <v>1353.02</v>
      </c>
      <c r="H38" s="726">
        <v>1396.55</v>
      </c>
      <c r="I38" s="726">
        <v>1462.63</v>
      </c>
      <c r="J38" s="726">
        <v>1470.97</v>
      </c>
      <c r="K38" s="726">
        <v>1488.54</v>
      </c>
      <c r="L38" s="726">
        <v>1557.94</v>
      </c>
      <c r="M38" s="726">
        <v>1651.23</v>
      </c>
    </row>
    <row r="39" spans="1:13" s="121" customFormat="1" ht="12.75" customHeight="1">
      <c r="A39" s="55"/>
      <c r="B39" s="56" t="s">
        <v>52</v>
      </c>
      <c r="C39" s="824">
        <v>1528.66</v>
      </c>
      <c r="D39" s="824">
        <v>1547.17</v>
      </c>
      <c r="E39" s="824">
        <v>1537.86</v>
      </c>
      <c r="F39" s="824">
        <v>1547.82</v>
      </c>
      <c r="G39" s="824">
        <v>1534.46</v>
      </c>
      <c r="H39" s="824">
        <v>1560.37</v>
      </c>
      <c r="I39" s="824">
        <v>1639.16</v>
      </c>
      <c r="J39" s="824">
        <v>1631.35</v>
      </c>
      <c r="K39" s="824">
        <v>1636.3</v>
      </c>
      <c r="L39" s="824">
        <v>1696.46</v>
      </c>
      <c r="M39" s="824">
        <v>1785.68</v>
      </c>
    </row>
    <row r="40" spans="1:13" s="121" customFormat="1" ht="12.75" customHeight="1">
      <c r="A40" s="54"/>
      <c r="B40" s="56" t="s">
        <v>53</v>
      </c>
      <c r="C40" s="824">
        <v>986.9</v>
      </c>
      <c r="D40" s="824">
        <v>1010.31</v>
      </c>
      <c r="E40" s="824">
        <v>1024.6099999999999</v>
      </c>
      <c r="F40" s="824">
        <v>1018.23</v>
      </c>
      <c r="G40" s="824">
        <v>1057.3800000000001</v>
      </c>
      <c r="H40" s="824">
        <v>1112.47</v>
      </c>
      <c r="I40" s="824">
        <v>1155.7</v>
      </c>
      <c r="J40" s="824">
        <v>1202</v>
      </c>
      <c r="K40" s="824">
        <v>1240.21</v>
      </c>
      <c r="L40" s="824">
        <v>1323.72</v>
      </c>
      <c r="M40" s="824">
        <v>1424.15</v>
      </c>
    </row>
    <row r="41" spans="1:13" s="121" customFormat="1" ht="16.5" customHeight="1">
      <c r="A41" s="54" t="s">
        <v>12</v>
      </c>
      <c r="B41" s="52" t="s">
        <v>44</v>
      </c>
      <c r="C41" s="85">
        <v>1575.8</v>
      </c>
      <c r="D41" s="85">
        <v>1535.44</v>
      </c>
      <c r="E41" s="85">
        <v>1559.75</v>
      </c>
      <c r="F41" s="85">
        <v>1616.05</v>
      </c>
      <c r="G41" s="85">
        <v>1651.82</v>
      </c>
      <c r="H41" s="85">
        <v>1070.05</v>
      </c>
      <c r="I41" s="85">
        <v>1183.3900000000001</v>
      </c>
      <c r="J41" s="85">
        <v>1143.72</v>
      </c>
      <c r="K41" s="85">
        <v>1226.25</v>
      </c>
      <c r="L41" s="85">
        <v>765</v>
      </c>
      <c r="M41" s="85">
        <v>1346.77</v>
      </c>
    </row>
    <row r="42" spans="1:13" s="121" customFormat="1" ht="12.75" customHeight="1">
      <c r="A42" s="57"/>
      <c r="B42" s="56" t="s">
        <v>52</v>
      </c>
      <c r="C42" s="824">
        <v>1777.61</v>
      </c>
      <c r="D42" s="824">
        <v>1696.32</v>
      </c>
      <c r="E42" s="824">
        <v>1736.81</v>
      </c>
      <c r="F42" s="824">
        <v>1791.32</v>
      </c>
      <c r="G42" s="824">
        <v>1833.13</v>
      </c>
      <c r="H42" s="824">
        <v>1099.3800000000001</v>
      </c>
      <c r="I42" s="824">
        <v>1212.5</v>
      </c>
      <c r="J42" s="824">
        <v>1180.2</v>
      </c>
      <c r="K42" s="824">
        <v>1283.81</v>
      </c>
      <c r="L42" s="824">
        <v>765</v>
      </c>
      <c r="M42" s="824">
        <v>1413.78</v>
      </c>
    </row>
    <row r="43" spans="1:13" s="121" customFormat="1" ht="12.75" customHeight="1">
      <c r="A43" s="7"/>
      <c r="B43" s="58" t="s">
        <v>53</v>
      </c>
      <c r="C43" s="825">
        <v>1172.6099999999999</v>
      </c>
      <c r="D43" s="825">
        <v>1224.5999999999999</v>
      </c>
      <c r="E43" s="825">
        <v>1197.69</v>
      </c>
      <c r="F43" s="825">
        <v>1262.06</v>
      </c>
      <c r="G43" s="825">
        <v>1262.67</v>
      </c>
      <c r="H43" s="825">
        <v>1045.04</v>
      </c>
      <c r="I43" s="825">
        <v>1144.3</v>
      </c>
      <c r="J43" s="825">
        <v>1106.46</v>
      </c>
      <c r="K43" s="825">
        <v>1151.3499999999999</v>
      </c>
      <c r="L43" s="825">
        <v>0</v>
      </c>
      <c r="M43" s="825">
        <v>1283.7</v>
      </c>
    </row>
    <row r="44" spans="1:13" s="118" customFormat="1" ht="15" customHeight="1">
      <c r="A44" s="19" t="s">
        <v>769</v>
      </c>
      <c r="B44" s="66"/>
      <c r="C44" s="51"/>
      <c r="D44" s="51"/>
      <c r="E44" s="51"/>
      <c r="F44" s="51"/>
      <c r="G44" s="85"/>
      <c r="H44" s="85"/>
      <c r="I44" s="85"/>
      <c r="J44" s="85"/>
      <c r="K44" s="85"/>
      <c r="L44" s="85"/>
      <c r="M44" s="85"/>
    </row>
    <row r="45" spans="1:13" s="118" customFormat="1" ht="23.25" customHeight="1">
      <c r="A45" s="965" t="s">
        <v>785</v>
      </c>
      <c r="B45" s="965"/>
      <c r="C45" s="965"/>
      <c r="D45" s="965"/>
      <c r="E45" s="965"/>
      <c r="F45" s="965"/>
      <c r="G45" s="965"/>
      <c r="H45" s="965"/>
      <c r="I45" s="965"/>
      <c r="J45" s="965"/>
      <c r="K45" s="965"/>
      <c r="L45" s="965"/>
      <c r="M45" s="965"/>
    </row>
  </sheetData>
  <mergeCells count="2">
    <mergeCell ref="A1:M1"/>
    <mergeCell ref="A45:M45"/>
  </mergeCells>
  <phoneticPr fontId="24" type="noConversion"/>
  <conditionalFormatting sqref="E3 A1 G44 A46:D1048576 A2:D2 A4:D4 A3:C3 B44:D44 A5:I43 N1:XFD1048576">
    <cfRule type="cellIs" dxfId="255" priority="89" operator="equal">
      <formula>0</formula>
    </cfRule>
  </conditionalFormatting>
  <conditionalFormatting sqref="E2 E46:E1048576 E4">
    <cfRule type="cellIs" dxfId="254" priority="88" operator="equal">
      <formula>0</formula>
    </cfRule>
  </conditionalFormatting>
  <conditionalFormatting sqref="E44">
    <cfRule type="cellIs" dxfId="253" priority="87" operator="equal">
      <formula>0</formula>
    </cfRule>
  </conditionalFormatting>
  <conditionalFormatting sqref="G3">
    <cfRule type="cellIs" dxfId="252" priority="84" operator="equal">
      <formula>0</formula>
    </cfRule>
  </conditionalFormatting>
  <conditionalFormatting sqref="G2 G46:G1048576 G4:I4">
    <cfRule type="cellIs" dxfId="251" priority="83" operator="equal">
      <formula>0</formula>
    </cfRule>
  </conditionalFormatting>
  <conditionalFormatting sqref="F3">
    <cfRule type="cellIs" dxfId="250" priority="76" operator="equal">
      <formula>0</formula>
    </cfRule>
  </conditionalFormatting>
  <conditionalFormatting sqref="F2 F46:F1048576 F4">
    <cfRule type="cellIs" dxfId="249" priority="75" operator="equal">
      <formula>0</formula>
    </cfRule>
  </conditionalFormatting>
  <conditionalFormatting sqref="F44">
    <cfRule type="cellIs" dxfId="248" priority="74" operator="equal">
      <formula>0</formula>
    </cfRule>
  </conditionalFormatting>
  <conditionalFormatting sqref="I44">
    <cfRule type="cellIs" dxfId="247" priority="68" operator="equal">
      <formula>0</formula>
    </cfRule>
  </conditionalFormatting>
  <conditionalFormatting sqref="I3">
    <cfRule type="cellIs" dxfId="246" priority="67" operator="equal">
      <formula>0</formula>
    </cfRule>
  </conditionalFormatting>
  <conditionalFormatting sqref="I2 I46:I1048576">
    <cfRule type="cellIs" dxfId="245" priority="66" operator="equal">
      <formula>0</formula>
    </cfRule>
  </conditionalFormatting>
  <conditionalFormatting sqref="H44">
    <cfRule type="cellIs" dxfId="244" priority="60" operator="equal">
      <formula>0</formula>
    </cfRule>
  </conditionalFormatting>
  <conditionalFormatting sqref="H3">
    <cfRule type="cellIs" dxfId="243" priority="59" operator="equal">
      <formula>0</formula>
    </cfRule>
  </conditionalFormatting>
  <conditionalFormatting sqref="H2 H46:H1048576">
    <cfRule type="cellIs" dxfId="242" priority="58" operator="equal">
      <formula>0</formula>
    </cfRule>
  </conditionalFormatting>
  <conditionalFormatting sqref="J11:J43">
    <cfRule type="cellIs" dxfId="241" priority="54" operator="equal">
      <formula>0</formula>
    </cfRule>
  </conditionalFormatting>
  <conditionalFormatting sqref="J4">
    <cfRule type="cellIs" dxfId="240" priority="53" operator="equal">
      <formula>0</formula>
    </cfRule>
  </conditionalFormatting>
  <conditionalFormatting sqref="J5:J7">
    <cfRule type="cellIs" dxfId="239" priority="52" operator="equal">
      <formula>0</formula>
    </cfRule>
  </conditionalFormatting>
  <conditionalFormatting sqref="J8:J10">
    <cfRule type="cellIs" dxfId="238" priority="51" operator="equal">
      <formula>0</formula>
    </cfRule>
  </conditionalFormatting>
  <conditionalFormatting sqref="J44">
    <cfRule type="cellIs" dxfId="237" priority="50" operator="equal">
      <formula>0</formula>
    </cfRule>
  </conditionalFormatting>
  <conditionalFormatting sqref="J3">
    <cfRule type="cellIs" dxfId="236" priority="49" operator="equal">
      <formula>0</formula>
    </cfRule>
  </conditionalFormatting>
  <conditionalFormatting sqref="J2 J46:J1048576">
    <cfRule type="cellIs" dxfId="235" priority="48" operator="equal">
      <formula>0</formula>
    </cfRule>
  </conditionalFormatting>
  <conditionalFormatting sqref="K11:K43">
    <cfRule type="cellIs" dxfId="234" priority="47" operator="equal">
      <formula>0</formula>
    </cfRule>
  </conditionalFormatting>
  <conditionalFormatting sqref="K4">
    <cfRule type="cellIs" dxfId="233" priority="46" operator="equal">
      <formula>0</formula>
    </cfRule>
  </conditionalFormatting>
  <conditionalFormatting sqref="K5:K7">
    <cfRule type="cellIs" dxfId="232" priority="45" operator="equal">
      <formula>0</formula>
    </cfRule>
  </conditionalFormatting>
  <conditionalFormatting sqref="K8:K10">
    <cfRule type="cellIs" dxfId="231" priority="44" operator="equal">
      <formula>0</formula>
    </cfRule>
  </conditionalFormatting>
  <conditionalFormatting sqref="K44">
    <cfRule type="cellIs" dxfId="230" priority="43" operator="equal">
      <formula>0</formula>
    </cfRule>
  </conditionalFormatting>
  <conditionalFormatting sqref="K3">
    <cfRule type="cellIs" dxfId="229" priority="42" operator="equal">
      <formula>0</formula>
    </cfRule>
  </conditionalFormatting>
  <conditionalFormatting sqref="K2 K46:K1048576">
    <cfRule type="cellIs" dxfId="228" priority="41" operator="equal">
      <formula>0</formula>
    </cfRule>
  </conditionalFormatting>
  <conditionalFormatting sqref="L11:L43">
    <cfRule type="cellIs" dxfId="227" priority="37" operator="equal">
      <formula>0</formula>
    </cfRule>
  </conditionalFormatting>
  <conditionalFormatting sqref="L4">
    <cfRule type="cellIs" dxfId="226" priority="36" operator="equal">
      <formula>0</formula>
    </cfRule>
  </conditionalFormatting>
  <conditionalFormatting sqref="L5:L7">
    <cfRule type="cellIs" dxfId="225" priority="35" operator="equal">
      <formula>0</formula>
    </cfRule>
  </conditionalFormatting>
  <conditionalFormatting sqref="L8:L10">
    <cfRule type="cellIs" dxfId="224" priority="34" operator="equal">
      <formula>0</formula>
    </cfRule>
  </conditionalFormatting>
  <conditionalFormatting sqref="L44">
    <cfRule type="cellIs" dxfId="223" priority="33" operator="equal">
      <formula>0</formula>
    </cfRule>
  </conditionalFormatting>
  <conditionalFormatting sqref="L3">
    <cfRule type="cellIs" dxfId="222" priority="32" operator="equal">
      <formula>0</formula>
    </cfRule>
  </conditionalFormatting>
  <conditionalFormatting sqref="L2 L46:L1048576">
    <cfRule type="cellIs" dxfId="221" priority="31" operator="equal">
      <formula>0</formula>
    </cfRule>
  </conditionalFormatting>
  <conditionalFormatting sqref="M11:M43">
    <cfRule type="cellIs" dxfId="220" priority="23" operator="equal">
      <formula>0</formula>
    </cfRule>
  </conditionalFormatting>
  <conditionalFormatting sqref="M4">
    <cfRule type="cellIs" dxfId="219" priority="22" operator="equal">
      <formula>0</formula>
    </cfRule>
  </conditionalFormatting>
  <conditionalFormatting sqref="M5:M7">
    <cfRule type="cellIs" dxfId="218" priority="21" operator="equal">
      <formula>0</formula>
    </cfRule>
  </conditionalFormatting>
  <conditionalFormatting sqref="M8:M10">
    <cfRule type="cellIs" dxfId="217" priority="20" operator="equal">
      <formula>0</formula>
    </cfRule>
  </conditionalFormatting>
  <conditionalFormatting sqref="M44">
    <cfRule type="cellIs" dxfId="216" priority="19" operator="equal">
      <formula>0</formula>
    </cfRule>
  </conditionalFormatting>
  <conditionalFormatting sqref="M3">
    <cfRule type="cellIs" dxfId="215" priority="18" operator="equal">
      <formula>0</formula>
    </cfRule>
  </conditionalFormatting>
  <conditionalFormatting sqref="M2 M46:M1048576">
    <cfRule type="cellIs" dxfId="214" priority="17" operator="equal">
      <formula>0</formula>
    </cfRule>
  </conditionalFormatting>
  <conditionalFormatting sqref="A44">
    <cfRule type="cellIs" dxfId="213" priority="2" operator="equal">
      <formula>0</formula>
    </cfRule>
  </conditionalFormatting>
  <conditionalFormatting sqref="A45">
    <cfRule type="cellIs" dxfId="212"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3">
    <tabColor rgb="FFA50021"/>
    <pageSetUpPr fitToPage="1"/>
  </sheetPr>
  <dimension ref="A1:GN33"/>
  <sheetViews>
    <sheetView showGridLines="0" workbookViewId="0">
      <selection activeCell="Y70" sqref="Y70"/>
    </sheetView>
  </sheetViews>
  <sheetFormatPr defaultColWidth="9.140625" defaultRowHeight="11.25"/>
  <cols>
    <col min="1" max="1" width="24.5703125" style="129" customWidth="1"/>
    <col min="2" max="2" width="2.140625" style="138" customWidth="1"/>
    <col min="3" max="13" width="6.42578125" style="129" customWidth="1"/>
    <col min="14" max="196" width="9.140625" style="129"/>
    <col min="197" max="16384" width="9.140625" style="27"/>
  </cols>
  <sheetData>
    <row r="1" spans="1:15" s="117" customFormat="1" ht="28.5" customHeight="1">
      <c r="A1" s="1004" t="s">
        <v>819</v>
      </c>
      <c r="B1" s="1004"/>
      <c r="C1" s="1004"/>
      <c r="D1" s="1004"/>
      <c r="E1" s="1004"/>
      <c r="F1" s="1004"/>
      <c r="G1" s="1004"/>
      <c r="H1" s="1004"/>
      <c r="I1" s="1004"/>
      <c r="J1" s="1004"/>
      <c r="K1" s="1004"/>
      <c r="L1" s="1004"/>
      <c r="M1" s="1004"/>
    </row>
    <row r="2" spans="1:15" s="118" customFormat="1" ht="14.25" customHeight="1">
      <c r="A2" s="65"/>
      <c r="B2" s="40"/>
      <c r="C2" s="65"/>
      <c r="D2" s="65"/>
      <c r="E2" s="65"/>
      <c r="F2" s="65"/>
      <c r="G2" s="65"/>
      <c r="H2" s="65"/>
      <c r="I2" s="65"/>
      <c r="J2" s="65"/>
      <c r="K2" s="65"/>
      <c r="L2" s="65"/>
      <c r="M2" s="65"/>
    </row>
    <row r="3" spans="1:15" s="118" customFormat="1" ht="14.25" customHeight="1">
      <c r="A3" s="65" t="s">
        <v>13</v>
      </c>
      <c r="B3" s="40"/>
      <c r="C3" s="142"/>
      <c r="E3" s="189"/>
      <c r="F3" s="215"/>
      <c r="G3" s="212"/>
      <c r="H3" s="306"/>
      <c r="I3" s="260"/>
      <c r="J3" s="308"/>
      <c r="K3" s="360"/>
      <c r="L3" s="360"/>
      <c r="M3" s="360" t="s">
        <v>67</v>
      </c>
    </row>
    <row r="4" spans="1:15" s="118" customFormat="1" ht="28.5" customHeight="1" thickBot="1">
      <c r="A4" s="41"/>
      <c r="B4" s="80"/>
      <c r="C4" s="41">
        <v>2014</v>
      </c>
      <c r="D4" s="41">
        <v>2015</v>
      </c>
      <c r="E4" s="41">
        <v>2016</v>
      </c>
      <c r="F4" s="41">
        <v>2017</v>
      </c>
      <c r="G4" s="41">
        <v>2018</v>
      </c>
      <c r="H4" s="41">
        <v>2019</v>
      </c>
      <c r="I4" s="41">
        <v>2020</v>
      </c>
      <c r="J4" s="41">
        <v>2021</v>
      </c>
      <c r="K4" s="41">
        <v>2022</v>
      </c>
      <c r="L4" s="41">
        <v>2023</v>
      </c>
      <c r="M4" s="41">
        <v>2024</v>
      </c>
    </row>
    <row r="5" spans="1:15" s="118" customFormat="1" ht="20.25" customHeight="1" thickTop="1">
      <c r="A5" s="63" t="s">
        <v>11</v>
      </c>
      <c r="B5" s="63" t="s">
        <v>44</v>
      </c>
      <c r="C5" s="826">
        <v>1093.21</v>
      </c>
      <c r="D5" s="826">
        <v>1096.6600000000001</v>
      </c>
      <c r="E5" s="826">
        <v>1107.8599999999999</v>
      </c>
      <c r="F5" s="826">
        <v>1133.3399999999999</v>
      </c>
      <c r="G5" s="826">
        <v>1170.25</v>
      </c>
      <c r="H5" s="826">
        <v>1209.94</v>
      </c>
      <c r="I5" s="826">
        <v>1250.75</v>
      </c>
      <c r="J5" s="826">
        <v>1294.1099999999999</v>
      </c>
      <c r="K5" s="826">
        <v>1368</v>
      </c>
      <c r="L5" s="826">
        <v>1466.66</v>
      </c>
      <c r="M5" s="826">
        <v>1582.75</v>
      </c>
    </row>
    <row r="6" spans="1:15" s="118" customFormat="1" ht="15" customHeight="1">
      <c r="A6" s="65"/>
      <c r="B6" s="63" t="s">
        <v>52</v>
      </c>
      <c r="C6" s="826">
        <v>1203.32</v>
      </c>
      <c r="D6" s="826">
        <v>1207.76</v>
      </c>
      <c r="E6" s="826">
        <v>1215.1099999999999</v>
      </c>
      <c r="F6" s="826">
        <v>1236.8499999999999</v>
      </c>
      <c r="G6" s="826">
        <v>1273.99</v>
      </c>
      <c r="H6" s="826">
        <v>1312.43</v>
      </c>
      <c r="I6" s="826">
        <v>1349.35</v>
      </c>
      <c r="J6" s="826">
        <v>1395.7</v>
      </c>
      <c r="K6" s="826">
        <v>1476.2</v>
      </c>
      <c r="L6" s="826">
        <v>1577.33</v>
      </c>
      <c r="M6" s="826">
        <v>1693.55</v>
      </c>
      <c r="O6" s="562">
        <f>+J7/J6*100</f>
        <v>83.977932220391196</v>
      </c>
    </row>
    <row r="7" spans="1:15" s="118" customFormat="1" ht="15" customHeight="1">
      <c r="A7" s="65"/>
      <c r="B7" s="63" t="s">
        <v>53</v>
      </c>
      <c r="C7" s="826">
        <v>963.12</v>
      </c>
      <c r="D7" s="826">
        <v>966.85</v>
      </c>
      <c r="E7" s="826">
        <v>982.49</v>
      </c>
      <c r="F7" s="826">
        <v>1011.02</v>
      </c>
      <c r="G7" s="826">
        <v>1046.5899999999999</v>
      </c>
      <c r="H7" s="826">
        <v>1086.97</v>
      </c>
      <c r="I7" s="826">
        <v>1130.8699999999999</v>
      </c>
      <c r="J7" s="826">
        <v>1172.08</v>
      </c>
      <c r="K7" s="826">
        <v>1237.52</v>
      </c>
      <c r="L7" s="826">
        <v>1332.02</v>
      </c>
      <c r="M7" s="826">
        <v>1445.59</v>
      </c>
      <c r="O7" s="562">
        <f>+J8/J7*100</f>
        <v>212.85151184219507</v>
      </c>
    </row>
    <row r="8" spans="1:15" s="118" customFormat="1" ht="20.25" customHeight="1">
      <c r="A8" s="65" t="s">
        <v>47</v>
      </c>
      <c r="B8" s="63" t="s">
        <v>44</v>
      </c>
      <c r="C8" s="81">
        <v>2371.0300000000002</v>
      </c>
      <c r="D8" s="81">
        <v>2370.5300000000002</v>
      </c>
      <c r="E8" s="81">
        <v>2366.86</v>
      </c>
      <c r="F8" s="81">
        <v>2390.46</v>
      </c>
      <c r="G8" s="81">
        <v>2429.65</v>
      </c>
      <c r="H8" s="81">
        <v>2452.2399999999998</v>
      </c>
      <c r="I8" s="81">
        <v>2465.5500000000002</v>
      </c>
      <c r="J8" s="81">
        <v>2494.79</v>
      </c>
      <c r="K8" s="81">
        <v>2625.92</v>
      </c>
      <c r="L8" s="81">
        <v>2770.63</v>
      </c>
      <c r="M8" s="81">
        <v>2980.13</v>
      </c>
      <c r="O8" s="562">
        <f t="shared" ref="O8:O30" si="0">+J9/J8*100</f>
        <v>113.17906517181807</v>
      </c>
    </row>
    <row r="9" spans="1:15" s="59" customFormat="1" ht="15" customHeight="1">
      <c r="A9" s="60"/>
      <c r="B9" s="40" t="s">
        <v>52</v>
      </c>
      <c r="C9" s="827">
        <v>2704.73</v>
      </c>
      <c r="D9" s="827">
        <v>2709.33</v>
      </c>
      <c r="E9" s="827">
        <v>2707.71</v>
      </c>
      <c r="F9" s="827">
        <v>2735.76</v>
      </c>
      <c r="G9" s="827">
        <v>2778.56</v>
      </c>
      <c r="H9" s="827">
        <v>2793.19</v>
      </c>
      <c r="I9" s="827">
        <v>2791.22</v>
      </c>
      <c r="J9" s="827">
        <v>2823.58</v>
      </c>
      <c r="K9" s="827">
        <v>2978.02</v>
      </c>
      <c r="L9" s="827">
        <v>3162.63</v>
      </c>
      <c r="M9" s="827">
        <v>3378.31</v>
      </c>
      <c r="N9" s="118"/>
      <c r="O9" s="562">
        <f>+J10/J9*100</f>
        <v>75.172298996309664</v>
      </c>
    </row>
    <row r="10" spans="1:15" s="59" customFormat="1" ht="15" customHeight="1">
      <c r="A10" s="60"/>
      <c r="B10" s="40" t="s">
        <v>53</v>
      </c>
      <c r="C10" s="827">
        <v>1951.13</v>
      </c>
      <c r="D10" s="827">
        <v>1954.51</v>
      </c>
      <c r="E10" s="827">
        <v>1958.78</v>
      </c>
      <c r="F10" s="827">
        <v>1980.48</v>
      </c>
      <c r="G10" s="827">
        <v>2020.57</v>
      </c>
      <c r="H10" s="827">
        <v>2054.39</v>
      </c>
      <c r="I10" s="827">
        <v>2088.9699999999998</v>
      </c>
      <c r="J10" s="827">
        <v>2122.5500000000002</v>
      </c>
      <c r="K10" s="827">
        <v>2217.06</v>
      </c>
      <c r="L10" s="827">
        <v>2323.69</v>
      </c>
      <c r="M10" s="827">
        <v>2523.38</v>
      </c>
      <c r="O10" s="562">
        <f t="shared" si="0"/>
        <v>85.145697392287573</v>
      </c>
    </row>
    <row r="11" spans="1:15" s="118" customFormat="1" ht="20.25" customHeight="1">
      <c r="A11" s="65" t="s">
        <v>48</v>
      </c>
      <c r="B11" s="63" t="s">
        <v>44</v>
      </c>
      <c r="C11" s="81">
        <v>1696.68</v>
      </c>
      <c r="D11" s="81">
        <v>1702.15</v>
      </c>
      <c r="E11" s="81">
        <v>1703.6</v>
      </c>
      <c r="F11" s="81">
        <v>1719.08</v>
      </c>
      <c r="G11" s="81">
        <v>1753.47</v>
      </c>
      <c r="H11" s="81">
        <v>1773.89</v>
      </c>
      <c r="I11" s="81">
        <v>1783.83</v>
      </c>
      <c r="J11" s="81">
        <v>1807.26</v>
      </c>
      <c r="K11" s="81">
        <v>1923.5</v>
      </c>
      <c r="L11" s="81">
        <v>2069.0700000000002</v>
      </c>
      <c r="M11" s="81">
        <v>2178.6</v>
      </c>
      <c r="O11" s="562">
        <f t="shared" si="0"/>
        <v>108.07797439217379</v>
      </c>
    </row>
    <row r="12" spans="1:15" s="59" customFormat="1" ht="15" customHeight="1">
      <c r="A12" s="60"/>
      <c r="B12" s="40" t="s">
        <v>52</v>
      </c>
      <c r="C12" s="827">
        <v>1850.06</v>
      </c>
      <c r="D12" s="827">
        <v>1856.52</v>
      </c>
      <c r="E12" s="827">
        <v>1851.23</v>
      </c>
      <c r="F12" s="827">
        <v>1864.79</v>
      </c>
      <c r="G12" s="827">
        <v>1897.44</v>
      </c>
      <c r="H12" s="827">
        <v>1917.32</v>
      </c>
      <c r="I12" s="827">
        <v>1927.3</v>
      </c>
      <c r="J12" s="827">
        <v>1953.25</v>
      </c>
      <c r="K12" s="827">
        <v>2087.2800000000002</v>
      </c>
      <c r="L12" s="827">
        <v>2243.9499999999998</v>
      </c>
      <c r="M12" s="827">
        <v>2362.9899999999998</v>
      </c>
      <c r="O12" s="562">
        <f t="shared" si="0"/>
        <v>84.567259695379491</v>
      </c>
    </row>
    <row r="13" spans="1:15" s="59" customFormat="1" ht="15" customHeight="1">
      <c r="A13" s="60"/>
      <c r="B13" s="40" t="s">
        <v>53</v>
      </c>
      <c r="C13" s="827">
        <v>1523.64</v>
      </c>
      <c r="D13" s="827">
        <v>1532.07</v>
      </c>
      <c r="E13" s="827">
        <v>1542.53</v>
      </c>
      <c r="F13" s="827">
        <v>1559.89</v>
      </c>
      <c r="G13" s="827">
        <v>1596.09</v>
      </c>
      <c r="H13" s="827">
        <v>1621.86</v>
      </c>
      <c r="I13" s="827">
        <v>1631.51</v>
      </c>
      <c r="J13" s="827">
        <v>1651.81</v>
      </c>
      <c r="K13" s="827">
        <v>1745.69</v>
      </c>
      <c r="L13" s="827">
        <v>1876.78</v>
      </c>
      <c r="M13" s="827">
        <v>1974.13</v>
      </c>
      <c r="O13" s="562">
        <f t="shared" si="0"/>
        <v>107.92585103613612</v>
      </c>
    </row>
    <row r="14" spans="1:15" s="118" customFormat="1" ht="20.25" customHeight="1">
      <c r="A14" s="65" t="s">
        <v>69</v>
      </c>
      <c r="B14" s="63" t="s">
        <v>44</v>
      </c>
      <c r="C14" s="81">
        <v>1525.33</v>
      </c>
      <c r="D14" s="81">
        <v>1538.3</v>
      </c>
      <c r="E14" s="81">
        <v>1568.2</v>
      </c>
      <c r="F14" s="81">
        <v>1601.93</v>
      </c>
      <c r="G14" s="81">
        <v>1632.29</v>
      </c>
      <c r="H14" s="81">
        <v>1688.2</v>
      </c>
      <c r="I14" s="81">
        <v>1731.57</v>
      </c>
      <c r="J14" s="81">
        <v>1782.73</v>
      </c>
      <c r="K14" s="81">
        <v>1876.91</v>
      </c>
      <c r="L14" s="81">
        <v>1991.34</v>
      </c>
      <c r="M14" s="81">
        <v>2159.09</v>
      </c>
      <c r="O14" s="562">
        <f t="shared" si="0"/>
        <v>103.91422144688202</v>
      </c>
    </row>
    <row r="15" spans="1:15" s="59" customFormat="1" ht="15" customHeight="1">
      <c r="A15" s="60"/>
      <c r="B15" s="40" t="s">
        <v>52</v>
      </c>
      <c r="C15" s="827">
        <v>1582.61</v>
      </c>
      <c r="D15" s="827">
        <v>1597.88</v>
      </c>
      <c r="E15" s="827">
        <v>1631.39</v>
      </c>
      <c r="F15" s="827">
        <v>1660.87</v>
      </c>
      <c r="G15" s="827">
        <v>1699.76</v>
      </c>
      <c r="H15" s="827">
        <v>1753.78</v>
      </c>
      <c r="I15" s="827">
        <v>1799.22</v>
      </c>
      <c r="J15" s="827">
        <v>1852.51</v>
      </c>
      <c r="K15" s="827">
        <v>1948.92</v>
      </c>
      <c r="L15" s="827">
        <v>2066.9499999999998</v>
      </c>
      <c r="M15" s="827">
        <v>2221.7800000000002</v>
      </c>
      <c r="O15" s="562">
        <f t="shared" si="0"/>
        <v>89.998974364510858</v>
      </c>
    </row>
    <row r="16" spans="1:15" s="59" customFormat="1" ht="15" customHeight="1">
      <c r="A16" s="60"/>
      <c r="B16" s="40" t="s">
        <v>53</v>
      </c>
      <c r="C16" s="827">
        <v>1422.69</v>
      </c>
      <c r="D16" s="827">
        <v>1433.86</v>
      </c>
      <c r="E16" s="827">
        <v>1461.62</v>
      </c>
      <c r="F16" s="827">
        <v>1504.83</v>
      </c>
      <c r="G16" s="827">
        <v>1522.83</v>
      </c>
      <c r="H16" s="827">
        <v>1577.75</v>
      </c>
      <c r="I16" s="827">
        <v>1616.78</v>
      </c>
      <c r="J16" s="827">
        <v>1667.24</v>
      </c>
      <c r="K16" s="827">
        <v>1762.74</v>
      </c>
      <c r="L16" s="827">
        <v>1874.53</v>
      </c>
      <c r="M16" s="827">
        <v>2059.3200000000002</v>
      </c>
      <c r="O16" s="562">
        <f t="shared" si="0"/>
        <v>87.851179194357144</v>
      </c>
    </row>
    <row r="17" spans="1:15" s="118" customFormat="1" ht="20.25" customHeight="1">
      <c r="A17" s="65" t="s">
        <v>68</v>
      </c>
      <c r="B17" s="63" t="s">
        <v>44</v>
      </c>
      <c r="C17" s="81">
        <v>1406.4</v>
      </c>
      <c r="D17" s="81">
        <v>1414.92</v>
      </c>
      <c r="E17" s="81">
        <v>1407</v>
      </c>
      <c r="F17" s="81">
        <v>1418.91</v>
      </c>
      <c r="G17" s="81">
        <v>1443.4</v>
      </c>
      <c r="H17" s="81">
        <v>1434.98</v>
      </c>
      <c r="I17" s="81">
        <v>1450.57</v>
      </c>
      <c r="J17" s="81">
        <v>1464.69</v>
      </c>
      <c r="K17" s="81">
        <v>1529.19</v>
      </c>
      <c r="L17" s="81">
        <v>1649.77</v>
      </c>
      <c r="M17" s="81">
        <v>1757.96</v>
      </c>
      <c r="O17" s="562">
        <f t="shared" si="0"/>
        <v>111.24060381377629</v>
      </c>
    </row>
    <row r="18" spans="1:15" s="59" customFormat="1" ht="15" customHeight="1">
      <c r="A18" s="60"/>
      <c r="B18" s="40" t="s">
        <v>52</v>
      </c>
      <c r="C18" s="827">
        <v>1548.14</v>
      </c>
      <c r="D18" s="827">
        <v>1572.9</v>
      </c>
      <c r="E18" s="827">
        <v>1572.6</v>
      </c>
      <c r="F18" s="827">
        <v>1584.64</v>
      </c>
      <c r="G18" s="827">
        <v>1610.47</v>
      </c>
      <c r="H18" s="827">
        <v>1589.57</v>
      </c>
      <c r="I18" s="827">
        <v>1610.33</v>
      </c>
      <c r="J18" s="827">
        <v>1629.33</v>
      </c>
      <c r="K18" s="827">
        <v>1696.32</v>
      </c>
      <c r="L18" s="827">
        <v>1817.72</v>
      </c>
      <c r="M18" s="827">
        <v>1932.22</v>
      </c>
      <c r="O18" s="562">
        <f t="shared" si="0"/>
        <v>79.729091098795209</v>
      </c>
    </row>
    <row r="19" spans="1:15" s="59" customFormat="1" ht="15" customHeight="1">
      <c r="A19" s="60"/>
      <c r="B19" s="40" t="s">
        <v>53</v>
      </c>
      <c r="C19" s="827">
        <v>1257.99</v>
      </c>
      <c r="D19" s="827">
        <v>1254.3499999999999</v>
      </c>
      <c r="E19" s="827">
        <v>1239</v>
      </c>
      <c r="F19" s="827">
        <v>1248.8800000000001</v>
      </c>
      <c r="G19" s="827">
        <v>1273.29</v>
      </c>
      <c r="H19" s="827">
        <v>1273.3800000000001</v>
      </c>
      <c r="I19" s="827">
        <v>1284.77</v>
      </c>
      <c r="J19" s="827">
        <v>1299.05</v>
      </c>
      <c r="K19" s="827">
        <v>1355.27</v>
      </c>
      <c r="L19" s="827">
        <v>1471.6</v>
      </c>
      <c r="M19" s="827">
        <v>1570.29</v>
      </c>
      <c r="O19" s="562">
        <f t="shared" si="0"/>
        <v>81.006119856818444</v>
      </c>
    </row>
    <row r="20" spans="1:15" s="118" customFormat="1" ht="20.25" customHeight="1">
      <c r="A20" s="65" t="s">
        <v>49</v>
      </c>
      <c r="B20" s="63" t="s">
        <v>44</v>
      </c>
      <c r="C20" s="81">
        <v>887.88</v>
      </c>
      <c r="D20" s="81">
        <v>893.94</v>
      </c>
      <c r="E20" s="81">
        <v>901.37</v>
      </c>
      <c r="F20" s="81">
        <v>908.5</v>
      </c>
      <c r="G20" s="81">
        <v>938.77</v>
      </c>
      <c r="H20" s="81">
        <v>990.76</v>
      </c>
      <c r="I20" s="81">
        <v>1021.24</v>
      </c>
      <c r="J20" s="81">
        <v>1052.31</v>
      </c>
      <c r="K20" s="81">
        <v>1110.75</v>
      </c>
      <c r="L20" s="81">
        <v>1193.5999999999999</v>
      </c>
      <c r="M20" s="81">
        <v>1295.24</v>
      </c>
      <c r="O20" s="562">
        <f t="shared" si="0"/>
        <v>105.62191749579497</v>
      </c>
    </row>
    <row r="21" spans="1:15" s="59" customFormat="1" ht="15" customHeight="1">
      <c r="A21" s="60"/>
      <c r="B21" s="40" t="s">
        <v>52</v>
      </c>
      <c r="C21" s="827">
        <v>942.04</v>
      </c>
      <c r="D21" s="827">
        <v>952.22</v>
      </c>
      <c r="E21" s="827">
        <v>959.35</v>
      </c>
      <c r="F21" s="827">
        <v>967.68</v>
      </c>
      <c r="G21" s="827">
        <v>999.9</v>
      </c>
      <c r="H21" s="827">
        <v>1049.6400000000001</v>
      </c>
      <c r="I21" s="827">
        <v>1076.96</v>
      </c>
      <c r="J21" s="827">
        <v>1111.47</v>
      </c>
      <c r="K21" s="827">
        <v>1170.18</v>
      </c>
      <c r="L21" s="827">
        <v>1254.57</v>
      </c>
      <c r="M21" s="827">
        <v>1354.16</v>
      </c>
      <c r="O21" s="562">
        <f t="shared" si="0"/>
        <v>86.93711931046272</v>
      </c>
    </row>
    <row r="22" spans="1:15" s="59" customFormat="1" ht="15" customHeight="1">
      <c r="A22" s="60"/>
      <c r="B22" s="40" t="s">
        <v>53</v>
      </c>
      <c r="C22" s="827">
        <v>809.38</v>
      </c>
      <c r="D22" s="827">
        <v>808.86</v>
      </c>
      <c r="E22" s="827">
        <v>817.35</v>
      </c>
      <c r="F22" s="827">
        <v>826.04</v>
      </c>
      <c r="G22" s="827">
        <v>852.62</v>
      </c>
      <c r="H22" s="827">
        <v>904.67</v>
      </c>
      <c r="I22" s="827">
        <v>938.34</v>
      </c>
      <c r="J22" s="827">
        <v>966.28</v>
      </c>
      <c r="K22" s="827">
        <v>1025</v>
      </c>
      <c r="L22" s="827">
        <v>1105.1600000000001</v>
      </c>
      <c r="M22" s="827">
        <v>1207.9100000000001</v>
      </c>
      <c r="O22" s="562">
        <f t="shared" si="0"/>
        <v>94.658898041975419</v>
      </c>
    </row>
    <row r="23" spans="1:15" s="118" customFormat="1" ht="20.25" customHeight="1">
      <c r="A23" s="65" t="s">
        <v>70</v>
      </c>
      <c r="B23" s="63" t="s">
        <v>44</v>
      </c>
      <c r="C23" s="81">
        <v>723.66</v>
      </c>
      <c r="D23" s="81">
        <v>717.68</v>
      </c>
      <c r="E23" s="81">
        <v>733.32</v>
      </c>
      <c r="F23" s="81">
        <v>776.23</v>
      </c>
      <c r="G23" s="81">
        <v>807.78</v>
      </c>
      <c r="H23" s="81">
        <v>843.85</v>
      </c>
      <c r="I23" s="81">
        <v>874.56</v>
      </c>
      <c r="J23" s="81">
        <v>914.67</v>
      </c>
      <c r="K23" s="81">
        <v>965.04</v>
      </c>
      <c r="L23" s="81">
        <v>1028.9100000000001</v>
      </c>
      <c r="M23" s="81">
        <v>1104.49</v>
      </c>
      <c r="O23" s="562">
        <f t="shared" si="0"/>
        <v>107.9897668011414</v>
      </c>
    </row>
    <row r="24" spans="1:15" s="59" customFormat="1" ht="15" customHeight="1">
      <c r="A24" s="60"/>
      <c r="B24" s="40" t="s">
        <v>52</v>
      </c>
      <c r="C24" s="827">
        <v>796.15</v>
      </c>
      <c r="D24" s="827">
        <v>780.11</v>
      </c>
      <c r="E24" s="827">
        <v>793.47</v>
      </c>
      <c r="F24" s="827">
        <v>841.11</v>
      </c>
      <c r="G24" s="827">
        <v>876.25</v>
      </c>
      <c r="H24" s="827">
        <v>915.74</v>
      </c>
      <c r="I24" s="827">
        <v>944.01</v>
      </c>
      <c r="J24" s="827">
        <v>987.75</v>
      </c>
      <c r="K24" s="827">
        <v>1039.5</v>
      </c>
      <c r="L24" s="827">
        <v>1097.93</v>
      </c>
      <c r="M24" s="827">
        <v>1171.3399999999999</v>
      </c>
      <c r="O24" s="562">
        <f t="shared" si="0"/>
        <v>86.284991141483175</v>
      </c>
    </row>
    <row r="25" spans="1:15" s="59" customFormat="1" ht="15" customHeight="1">
      <c r="A25" s="60"/>
      <c r="B25" s="40" t="s">
        <v>53</v>
      </c>
      <c r="C25" s="827">
        <v>665.11</v>
      </c>
      <c r="D25" s="827">
        <v>668.41</v>
      </c>
      <c r="E25" s="827">
        <v>684.5</v>
      </c>
      <c r="F25" s="827">
        <v>720.6</v>
      </c>
      <c r="G25" s="827">
        <v>748.16</v>
      </c>
      <c r="H25" s="827">
        <v>783.48</v>
      </c>
      <c r="I25" s="827">
        <v>815.2</v>
      </c>
      <c r="J25" s="827">
        <v>852.28</v>
      </c>
      <c r="K25" s="827">
        <v>901.44</v>
      </c>
      <c r="L25" s="827">
        <v>969.55</v>
      </c>
      <c r="M25" s="827">
        <v>1045.28</v>
      </c>
      <c r="O25" s="562">
        <f t="shared" si="0"/>
        <v>98.293987891303331</v>
      </c>
    </row>
    <row r="26" spans="1:15" s="118" customFormat="1" ht="20.25" customHeight="1">
      <c r="A26" s="65" t="s">
        <v>50</v>
      </c>
      <c r="B26" s="63" t="s">
        <v>44</v>
      </c>
      <c r="C26" s="81">
        <v>666.22</v>
      </c>
      <c r="D26" s="81">
        <v>671.16</v>
      </c>
      <c r="E26" s="81">
        <v>687</v>
      </c>
      <c r="F26" s="81">
        <v>717.54</v>
      </c>
      <c r="G26" s="81">
        <v>746.09</v>
      </c>
      <c r="H26" s="81">
        <v>769.39</v>
      </c>
      <c r="I26" s="81">
        <v>803.41</v>
      </c>
      <c r="J26" s="81">
        <v>837.74</v>
      </c>
      <c r="K26" s="81">
        <v>880.87</v>
      </c>
      <c r="L26" s="81">
        <v>950.15</v>
      </c>
      <c r="M26" s="81">
        <v>1023.82</v>
      </c>
      <c r="O26" s="562">
        <f t="shared" si="0"/>
        <v>104.56346837921073</v>
      </c>
    </row>
    <row r="27" spans="1:15" s="59" customFormat="1" ht="15" customHeight="1">
      <c r="A27" s="60"/>
      <c r="B27" s="40" t="s">
        <v>52</v>
      </c>
      <c r="C27" s="827">
        <v>718.39</v>
      </c>
      <c r="D27" s="827">
        <v>725.24</v>
      </c>
      <c r="E27" s="827">
        <v>734.37</v>
      </c>
      <c r="F27" s="827">
        <v>760.16</v>
      </c>
      <c r="G27" s="827">
        <v>788.9</v>
      </c>
      <c r="H27" s="827">
        <v>809.64</v>
      </c>
      <c r="I27" s="827">
        <v>841.62</v>
      </c>
      <c r="J27" s="827">
        <v>875.97</v>
      </c>
      <c r="K27" s="827">
        <v>916.09</v>
      </c>
      <c r="L27" s="827">
        <v>985.99</v>
      </c>
      <c r="M27" s="827">
        <v>1059.8399999999999</v>
      </c>
      <c r="O27" s="562">
        <f t="shared" si="0"/>
        <v>90.3455597794445</v>
      </c>
    </row>
    <row r="28" spans="1:15" s="59" customFormat="1" ht="15" customHeight="1">
      <c r="A28" s="60"/>
      <c r="B28" s="40" t="s">
        <v>53</v>
      </c>
      <c r="C28" s="827">
        <v>613.38</v>
      </c>
      <c r="D28" s="827">
        <v>617.4</v>
      </c>
      <c r="E28" s="827">
        <v>638.89</v>
      </c>
      <c r="F28" s="827">
        <v>670.42</v>
      </c>
      <c r="G28" s="827">
        <v>697.79</v>
      </c>
      <c r="H28" s="827">
        <v>722.65</v>
      </c>
      <c r="I28" s="827">
        <v>757.86</v>
      </c>
      <c r="J28" s="827">
        <v>791.4</v>
      </c>
      <c r="K28" s="827">
        <v>837.38</v>
      </c>
      <c r="L28" s="827">
        <v>902.36</v>
      </c>
      <c r="M28" s="827">
        <v>974.64</v>
      </c>
      <c r="O28" s="562">
        <f t="shared" si="0"/>
        <v>107.78620166793024</v>
      </c>
    </row>
    <row r="29" spans="1:15" s="118" customFormat="1" ht="20.25" customHeight="1">
      <c r="A29" s="65" t="s">
        <v>51</v>
      </c>
      <c r="B29" s="63" t="s">
        <v>44</v>
      </c>
      <c r="C29" s="81">
        <v>666.45</v>
      </c>
      <c r="D29" s="81">
        <v>666.8</v>
      </c>
      <c r="E29" s="81">
        <v>682.36</v>
      </c>
      <c r="F29" s="81">
        <v>717.97</v>
      </c>
      <c r="G29" s="81">
        <v>752.95</v>
      </c>
      <c r="H29" s="81">
        <v>785.14</v>
      </c>
      <c r="I29" s="81">
        <v>816.36</v>
      </c>
      <c r="J29" s="81">
        <v>853.02</v>
      </c>
      <c r="K29" s="81">
        <v>902.18</v>
      </c>
      <c r="L29" s="81">
        <v>979</v>
      </c>
      <c r="M29" s="81">
        <v>1049.19</v>
      </c>
      <c r="O29" s="562">
        <f t="shared" si="0"/>
        <v>102.33992168999555</v>
      </c>
    </row>
    <row r="30" spans="1:15" s="59" customFormat="1" ht="15" customHeight="1">
      <c r="A30" s="60"/>
      <c r="B30" s="40" t="s">
        <v>52</v>
      </c>
      <c r="C30" s="827">
        <v>692.79</v>
      </c>
      <c r="D30" s="827">
        <v>693.71</v>
      </c>
      <c r="E30" s="827">
        <v>705.06</v>
      </c>
      <c r="F30" s="827">
        <v>741.7</v>
      </c>
      <c r="G30" s="827">
        <v>776.13</v>
      </c>
      <c r="H30" s="827">
        <v>806.73</v>
      </c>
      <c r="I30" s="827">
        <v>837.55</v>
      </c>
      <c r="J30" s="827">
        <v>872.98</v>
      </c>
      <c r="K30" s="827">
        <v>921.18</v>
      </c>
      <c r="L30" s="827">
        <v>997.54</v>
      </c>
      <c r="M30" s="827">
        <v>1064.74</v>
      </c>
      <c r="O30" s="562">
        <f t="shared" si="0"/>
        <v>94.503883250475383</v>
      </c>
    </row>
    <row r="31" spans="1:15" s="59" customFormat="1" ht="15" customHeight="1">
      <c r="A31" s="82"/>
      <c r="B31" s="83" t="s">
        <v>53</v>
      </c>
      <c r="C31" s="828">
        <v>639.35</v>
      </c>
      <c r="D31" s="828">
        <v>638.33000000000004</v>
      </c>
      <c r="E31" s="828">
        <v>657.48</v>
      </c>
      <c r="F31" s="828">
        <v>691.32</v>
      </c>
      <c r="G31" s="828">
        <v>726.2</v>
      </c>
      <c r="H31" s="828">
        <v>758.26</v>
      </c>
      <c r="I31" s="828">
        <v>786.47</v>
      </c>
      <c r="J31" s="828">
        <v>825</v>
      </c>
      <c r="K31" s="828">
        <v>875.73</v>
      </c>
      <c r="L31" s="828">
        <v>951.06</v>
      </c>
      <c r="M31" s="828">
        <v>1024.3699999999999</v>
      </c>
    </row>
    <row r="32" spans="1:15" s="118" customFormat="1" ht="14.25" customHeight="1">
      <c r="A32" s="19" t="s">
        <v>769</v>
      </c>
      <c r="B32" s="40"/>
      <c r="C32" s="65"/>
      <c r="D32" s="65"/>
      <c r="E32" s="65"/>
      <c r="F32" s="65"/>
      <c r="G32" s="81"/>
      <c r="H32" s="81"/>
      <c r="I32" s="81"/>
      <c r="J32" s="81"/>
      <c r="K32" s="81"/>
      <c r="L32" s="81"/>
      <c r="M32" s="81"/>
    </row>
    <row r="33" spans="1:13" s="118" customFormat="1" ht="14.25" customHeight="1">
      <c r="A33" s="1005" t="s">
        <v>7</v>
      </c>
      <c r="B33" s="1005"/>
      <c r="C33" s="1005"/>
      <c r="D33" s="1005"/>
      <c r="E33" s="1005"/>
      <c r="F33" s="1005"/>
      <c r="G33" s="1005"/>
      <c r="H33" s="1005"/>
      <c r="I33" s="1005"/>
      <c r="J33" s="1005"/>
      <c r="K33" s="1005"/>
      <c r="L33" s="1005"/>
      <c r="M33" s="1005"/>
    </row>
  </sheetData>
  <mergeCells count="2">
    <mergeCell ref="A1:M1"/>
    <mergeCell ref="A33:M33"/>
  </mergeCells>
  <phoneticPr fontId="24" type="noConversion"/>
  <conditionalFormatting sqref="E3 A1 G32 A33 A2:E2 A3:C3 B32:E32 A4:E4 A5:I31 A34:E1048576 N1:XFD1048576">
    <cfRule type="cellIs" dxfId="211" priority="68" operator="equal">
      <formula>0</formula>
    </cfRule>
  </conditionalFormatting>
  <conditionalFormatting sqref="G34:G1048576 G2:G4 H4:I4">
    <cfRule type="cellIs" dxfId="210" priority="66" operator="equal">
      <formula>0</formula>
    </cfRule>
  </conditionalFormatting>
  <conditionalFormatting sqref="F32 F2:F4 F34:F1048576">
    <cfRule type="cellIs" dxfId="209" priority="59" operator="equal">
      <formula>0</formula>
    </cfRule>
  </conditionalFormatting>
  <conditionalFormatting sqref="I32">
    <cfRule type="cellIs" dxfId="208" priority="55" operator="equal">
      <formula>0</formula>
    </cfRule>
  </conditionalFormatting>
  <conditionalFormatting sqref="I34:I1048576 I2:I3">
    <cfRule type="cellIs" dxfId="207" priority="54" operator="equal">
      <formula>0</formula>
    </cfRule>
  </conditionalFormatting>
  <conditionalFormatting sqref="H32">
    <cfRule type="cellIs" dxfId="206" priority="50" operator="equal">
      <formula>0</formula>
    </cfRule>
  </conditionalFormatting>
  <conditionalFormatting sqref="H34:H1048576 H2:H3">
    <cfRule type="cellIs" dxfId="205" priority="49" operator="equal">
      <formula>0</formula>
    </cfRule>
  </conditionalFormatting>
  <conditionalFormatting sqref="J8:J30">
    <cfRule type="cellIs" dxfId="204" priority="47" operator="equal">
      <formula>0</formula>
    </cfRule>
  </conditionalFormatting>
  <conditionalFormatting sqref="J4">
    <cfRule type="cellIs" dxfId="203" priority="46" operator="equal">
      <formula>0</formula>
    </cfRule>
  </conditionalFormatting>
  <conditionalFormatting sqref="J5:J7">
    <cfRule type="cellIs" dxfId="202" priority="45" operator="equal">
      <formula>0</formula>
    </cfRule>
  </conditionalFormatting>
  <conditionalFormatting sqref="J32">
    <cfRule type="cellIs" dxfId="201" priority="44" operator="equal">
      <formula>0</formula>
    </cfRule>
  </conditionalFormatting>
  <conditionalFormatting sqref="J34:J1048576 J2:J3">
    <cfRule type="cellIs" dxfId="200" priority="43" operator="equal">
      <formula>0</formula>
    </cfRule>
  </conditionalFormatting>
  <conditionalFormatting sqref="K8:K30">
    <cfRule type="cellIs" dxfId="199" priority="42" operator="equal">
      <formula>0</formula>
    </cfRule>
  </conditionalFormatting>
  <conditionalFormatting sqref="K4">
    <cfRule type="cellIs" dxfId="198" priority="41" operator="equal">
      <formula>0</formula>
    </cfRule>
  </conditionalFormatting>
  <conditionalFormatting sqref="K5:K7">
    <cfRule type="cellIs" dxfId="197" priority="40" operator="equal">
      <formula>0</formula>
    </cfRule>
  </conditionalFormatting>
  <conditionalFormatting sqref="K32">
    <cfRule type="cellIs" dxfId="196" priority="39" operator="equal">
      <formula>0</formula>
    </cfRule>
  </conditionalFormatting>
  <conditionalFormatting sqref="K34:K1048576 K2:K3">
    <cfRule type="cellIs" dxfId="195" priority="38" operator="equal">
      <formula>0</formula>
    </cfRule>
  </conditionalFormatting>
  <conditionalFormatting sqref="L8:L30">
    <cfRule type="cellIs" dxfId="194" priority="25" operator="equal">
      <formula>0</formula>
    </cfRule>
  </conditionalFormatting>
  <conditionalFormatting sqref="L4">
    <cfRule type="cellIs" dxfId="193" priority="24" operator="equal">
      <formula>0</formula>
    </cfRule>
  </conditionalFormatting>
  <conditionalFormatting sqref="L5:L7">
    <cfRule type="cellIs" dxfId="192" priority="23" operator="equal">
      <formula>0</formula>
    </cfRule>
  </conditionalFormatting>
  <conditionalFormatting sqref="L32">
    <cfRule type="cellIs" dxfId="191" priority="22" operator="equal">
      <formula>0</formula>
    </cfRule>
  </conditionalFormatting>
  <conditionalFormatting sqref="L34:L1048576 L2:L3">
    <cfRule type="cellIs" dxfId="190" priority="21" operator="equal">
      <formula>0</formula>
    </cfRule>
  </conditionalFormatting>
  <conditionalFormatting sqref="J31">
    <cfRule type="cellIs" dxfId="189" priority="17" operator="equal">
      <formula>0</formula>
    </cfRule>
  </conditionalFormatting>
  <conditionalFormatting sqref="K31">
    <cfRule type="cellIs" dxfId="188" priority="16" operator="equal">
      <formula>0</formula>
    </cfRule>
  </conditionalFormatting>
  <conditionalFormatting sqref="L31">
    <cfRule type="cellIs" dxfId="187" priority="15" operator="equal">
      <formula>0</formula>
    </cfRule>
  </conditionalFormatting>
  <conditionalFormatting sqref="M8:M30">
    <cfRule type="cellIs" dxfId="186" priority="7" operator="equal">
      <formula>0</formula>
    </cfRule>
  </conditionalFormatting>
  <conditionalFormatting sqref="M4">
    <cfRule type="cellIs" dxfId="185" priority="6" operator="equal">
      <formula>0</formula>
    </cfRule>
  </conditionalFormatting>
  <conditionalFormatting sqref="M5:M7">
    <cfRule type="cellIs" dxfId="184" priority="5" operator="equal">
      <formula>0</formula>
    </cfRule>
  </conditionalFormatting>
  <conditionalFormatting sqref="M32">
    <cfRule type="cellIs" dxfId="183" priority="4" operator="equal">
      <formula>0</formula>
    </cfRule>
  </conditionalFormatting>
  <conditionalFormatting sqref="M34:M1048576 M2:M3">
    <cfRule type="cellIs" dxfId="182" priority="3" operator="equal">
      <formula>0</formula>
    </cfRule>
  </conditionalFormatting>
  <conditionalFormatting sqref="M31">
    <cfRule type="cellIs" dxfId="181" priority="2" operator="equal">
      <formula>0</formula>
    </cfRule>
  </conditionalFormatting>
  <conditionalFormatting sqref="A32">
    <cfRule type="cellIs" dxfId="180"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EAF69-3918-476E-B032-7EBA2E7E41DE}">
  <sheetPr>
    <tabColor rgb="FFA50021"/>
  </sheetPr>
  <dimension ref="A1:BF78"/>
  <sheetViews>
    <sheetView showGridLines="0" zoomScaleNormal="100" workbookViewId="0">
      <selection activeCell="Y70" sqref="Y70"/>
    </sheetView>
  </sheetViews>
  <sheetFormatPr defaultColWidth="9.140625" defaultRowHeight="11.25"/>
  <cols>
    <col min="1" max="1" width="28.5703125" style="596" customWidth="1"/>
    <col min="2" max="2" width="2.140625" style="614" customWidth="1"/>
    <col min="3" max="13" width="8.140625" style="748" customWidth="1"/>
    <col min="14" max="16" width="9.140625" style="596"/>
    <col min="17" max="47" width="9.140625" style="749"/>
    <col min="48" max="16384" width="9.140625" style="596"/>
  </cols>
  <sheetData>
    <row r="1" spans="1:58" s="267" customFormat="1" ht="31.5" customHeight="1">
      <c r="A1" s="998" t="s">
        <v>818</v>
      </c>
      <c r="B1" s="998"/>
      <c r="C1" s="998"/>
      <c r="D1" s="998"/>
      <c r="E1" s="998"/>
      <c r="F1" s="998"/>
      <c r="G1" s="998"/>
      <c r="H1" s="998"/>
      <c r="I1" s="998"/>
      <c r="J1" s="998"/>
      <c r="K1" s="998"/>
      <c r="L1" s="998"/>
      <c r="M1" s="998"/>
      <c r="Q1" s="829"/>
      <c r="R1" s="673"/>
      <c r="S1" s="673"/>
      <c r="T1" s="673"/>
      <c r="U1" s="673"/>
      <c r="V1" s="691"/>
      <c r="W1" s="673"/>
      <c r="X1" s="673"/>
      <c r="Y1" s="673"/>
      <c r="Z1" s="673"/>
      <c r="AA1" s="673"/>
      <c r="AB1" s="673"/>
      <c r="AC1" s="733"/>
      <c r="AD1" s="733"/>
      <c r="AE1" s="733"/>
      <c r="AF1" s="733"/>
      <c r="AG1" s="733"/>
      <c r="AH1" s="733"/>
      <c r="AI1" s="733"/>
      <c r="AJ1" s="733"/>
      <c r="AK1" s="733"/>
      <c r="AL1" s="733"/>
      <c r="AM1" s="733"/>
      <c r="AN1" s="733"/>
      <c r="AO1" s="733"/>
      <c r="AP1" s="733"/>
      <c r="AQ1" s="733"/>
      <c r="AR1" s="733"/>
      <c r="AS1" s="733"/>
      <c r="AT1" s="733"/>
      <c r="AU1" s="733"/>
    </row>
    <row r="2" spans="1:58" s="262" customFormat="1" ht="15" customHeight="1">
      <c r="A2" s="242"/>
      <c r="B2" s="268"/>
      <c r="C2" s="242"/>
      <c r="D2" s="242"/>
      <c r="E2" s="242"/>
      <c r="F2" s="242"/>
      <c r="G2" s="242"/>
      <c r="H2" s="242"/>
      <c r="I2" s="242"/>
      <c r="J2" s="242"/>
      <c r="K2" s="242"/>
      <c r="L2" s="242"/>
      <c r="M2" s="242"/>
      <c r="Q2" s="677"/>
      <c r="R2" s="677"/>
      <c r="S2" s="677"/>
      <c r="T2" s="677"/>
      <c r="U2" s="677"/>
      <c r="V2" s="677"/>
      <c r="W2" s="677"/>
      <c r="X2" s="677"/>
      <c r="Y2" s="677"/>
      <c r="Z2" s="677"/>
      <c r="AA2" s="677"/>
      <c r="AB2" s="677"/>
      <c r="AC2" s="734"/>
      <c r="AD2" s="693"/>
      <c r="AE2" s="693"/>
      <c r="AF2" s="693"/>
      <c r="AG2" s="693"/>
      <c r="AH2" s="693"/>
      <c r="AI2" s="693"/>
      <c r="AJ2" s="693"/>
      <c r="AK2" s="693"/>
      <c r="AL2" s="693"/>
      <c r="AM2" s="693"/>
      <c r="AN2" s="693"/>
      <c r="AO2" s="693"/>
      <c r="AP2" s="734"/>
      <c r="AQ2" s="734"/>
      <c r="AR2" s="734"/>
      <c r="AS2" s="734"/>
      <c r="AT2" s="734"/>
      <c r="AU2" s="734"/>
    </row>
    <row r="3" spans="1:58" s="262" customFormat="1" ht="15" customHeight="1">
      <c r="A3" s="242" t="s">
        <v>13</v>
      </c>
      <c r="B3" s="268"/>
      <c r="C3" s="574"/>
      <c r="D3" s="574"/>
      <c r="E3" s="574"/>
      <c r="F3" s="574"/>
      <c r="G3" s="574"/>
      <c r="H3" s="574"/>
      <c r="I3" s="574"/>
      <c r="J3" s="574"/>
      <c r="K3" s="574"/>
      <c r="L3" s="574"/>
      <c r="M3" s="574" t="s">
        <v>67</v>
      </c>
      <c r="Q3" s="735"/>
      <c r="R3" s="678"/>
      <c r="S3" s="678"/>
      <c r="T3" s="678"/>
      <c r="U3" s="678"/>
      <c r="V3" s="678"/>
      <c r="W3" s="678"/>
      <c r="X3" s="678"/>
      <c r="Y3" s="678"/>
      <c r="Z3" s="678"/>
      <c r="AA3" s="678"/>
      <c r="AB3" s="678"/>
      <c r="AC3" s="734"/>
      <c r="AD3" s="734"/>
      <c r="AE3" s="734"/>
      <c r="AF3" s="734"/>
      <c r="AG3" s="734"/>
      <c r="AH3" s="734"/>
      <c r="AI3" s="734"/>
      <c r="AJ3" s="734"/>
      <c r="AK3" s="734"/>
      <c r="AL3" s="734"/>
      <c r="AM3" s="734"/>
      <c r="AN3" s="734"/>
      <c r="AO3" s="734"/>
      <c r="AP3" s="734"/>
      <c r="AQ3" s="734"/>
      <c r="AR3" s="734"/>
      <c r="AS3" s="734"/>
      <c r="AT3" s="734"/>
      <c r="AU3" s="734"/>
      <c r="AV3" s="734"/>
      <c r="AW3" s="734"/>
      <c r="AX3" s="734"/>
      <c r="AY3" s="734"/>
      <c r="AZ3" s="734"/>
      <c r="BA3" s="734"/>
      <c r="BB3" s="734"/>
      <c r="BC3" s="734"/>
      <c r="BD3" s="734"/>
      <c r="BE3" s="734"/>
      <c r="BF3" s="734"/>
    </row>
    <row r="4" spans="1:58" s="262" customFormat="1" ht="28.5" customHeight="1" thickBot="1">
      <c r="A4" s="104"/>
      <c r="B4" s="269"/>
      <c r="C4" s="246">
        <v>2014</v>
      </c>
      <c r="D4" s="246">
        <v>2015</v>
      </c>
      <c r="E4" s="246">
        <v>2016</v>
      </c>
      <c r="F4" s="246">
        <v>2017</v>
      </c>
      <c r="G4" s="246">
        <v>2018</v>
      </c>
      <c r="H4" s="246">
        <v>2019</v>
      </c>
      <c r="I4" s="246">
        <v>2020</v>
      </c>
      <c r="J4" s="246">
        <v>2021</v>
      </c>
      <c r="K4" s="246">
        <v>2022</v>
      </c>
      <c r="L4" s="246">
        <v>2023</v>
      </c>
      <c r="M4" s="246">
        <v>2024</v>
      </c>
      <c r="Q4" s="735"/>
      <c r="R4" s="678"/>
      <c r="S4" s="678"/>
      <c r="T4" s="678"/>
      <c r="U4" s="678"/>
      <c r="V4" s="678"/>
      <c r="W4" s="678"/>
      <c r="X4" s="678"/>
      <c r="Y4" s="678"/>
      <c r="Z4" s="678"/>
      <c r="AA4" s="678"/>
      <c r="AB4" s="678"/>
      <c r="AC4" s="691"/>
      <c r="AD4" s="734"/>
      <c r="AE4" s="734"/>
      <c r="AF4" s="734"/>
      <c r="AG4" s="734"/>
      <c r="AH4" s="247"/>
      <c r="AI4" s="247"/>
      <c r="AJ4" s="247"/>
      <c r="AK4" s="247"/>
      <c r="AL4" s="247"/>
      <c r="AM4" s="247"/>
      <c r="AN4" s="247"/>
      <c r="AO4" s="247"/>
      <c r="AP4" s="247"/>
      <c r="AQ4" s="247"/>
      <c r="AR4" s="247"/>
      <c r="AS4" s="734"/>
      <c r="AT4" s="734"/>
      <c r="AU4" s="247"/>
      <c r="AV4" s="736"/>
      <c r="AW4" s="736"/>
      <c r="AX4" s="736"/>
      <c r="AY4" s="736"/>
      <c r="AZ4" s="736"/>
      <c r="BA4" s="736"/>
      <c r="BB4" s="736"/>
      <c r="BC4" s="736"/>
      <c r="BD4" s="736"/>
      <c r="BE4" s="736"/>
      <c r="BF4" s="734"/>
    </row>
    <row r="5" spans="1:58" s="262" customFormat="1" ht="20.25" customHeight="1" thickTop="1">
      <c r="A5" s="236" t="s">
        <v>11</v>
      </c>
      <c r="B5" s="373" t="s">
        <v>44</v>
      </c>
      <c r="C5" s="287">
        <v>976.32</v>
      </c>
      <c r="D5" s="287">
        <v>1000.61</v>
      </c>
      <c r="E5" s="287">
        <v>1018.91</v>
      </c>
      <c r="F5" s="287">
        <v>1065.8399999999999</v>
      </c>
      <c r="G5" s="287">
        <v>1071.44</v>
      </c>
      <c r="H5" s="287">
        <v>1079.9000000000001</v>
      </c>
      <c r="I5" s="287">
        <v>1136.98</v>
      </c>
      <c r="J5" s="287">
        <v>1200.32</v>
      </c>
      <c r="K5" s="287">
        <v>1245.44</v>
      </c>
      <c r="L5" s="287">
        <v>1311.32</v>
      </c>
      <c r="M5" s="287">
        <v>1385.12</v>
      </c>
      <c r="Q5" s="735"/>
      <c r="R5" s="678"/>
      <c r="S5" s="678"/>
      <c r="T5" s="678"/>
      <c r="U5" s="678"/>
      <c r="V5" s="678"/>
      <c r="W5" s="678"/>
      <c r="X5" s="678"/>
      <c r="Y5" s="678"/>
      <c r="Z5" s="678"/>
      <c r="AA5" s="678"/>
      <c r="AB5" s="678"/>
      <c r="AC5" s="734"/>
      <c r="AD5" s="734"/>
      <c r="AE5" s="734"/>
      <c r="AF5" s="734"/>
      <c r="AG5" s="734"/>
      <c r="AH5" s="734"/>
      <c r="AI5" s="734"/>
      <c r="AJ5" s="734"/>
      <c r="AK5" s="734"/>
      <c r="AL5" s="734"/>
      <c r="AM5" s="734"/>
      <c r="AN5" s="734"/>
      <c r="AO5" s="734"/>
      <c r="AP5" s="734"/>
      <c r="AQ5" s="734"/>
      <c r="AR5" s="734"/>
      <c r="AS5" s="734"/>
      <c r="AT5" s="734"/>
      <c r="AU5" s="734"/>
      <c r="AV5" s="734"/>
      <c r="AW5" s="734"/>
      <c r="AX5" s="734"/>
      <c r="AY5" s="734"/>
      <c r="AZ5" s="734"/>
      <c r="BA5" s="734"/>
      <c r="BB5" s="734"/>
      <c r="BC5" s="734"/>
      <c r="BD5" s="734"/>
      <c r="BE5" s="734"/>
      <c r="BF5" s="734"/>
    </row>
    <row r="6" spans="1:58" s="262" customFormat="1" ht="15" customHeight="1">
      <c r="A6" s="242"/>
      <c r="B6" s="373" t="s">
        <v>52</v>
      </c>
      <c r="C6" s="287">
        <v>1100.31</v>
      </c>
      <c r="D6" s="287">
        <v>1136.92</v>
      </c>
      <c r="E6" s="287">
        <v>1143.05</v>
      </c>
      <c r="F6" s="287">
        <v>1196</v>
      </c>
      <c r="G6" s="287">
        <v>1184.03</v>
      </c>
      <c r="H6" s="287">
        <v>1181.53</v>
      </c>
      <c r="I6" s="287">
        <v>1226.0999999999999</v>
      </c>
      <c r="J6" s="287">
        <v>1292.43</v>
      </c>
      <c r="K6" s="287">
        <v>1331.16</v>
      </c>
      <c r="L6" s="287">
        <v>1394.29</v>
      </c>
      <c r="M6" s="287">
        <v>1458.01</v>
      </c>
      <c r="O6" s="562">
        <f>+J7/J6*100</f>
        <v>81.929388825700428</v>
      </c>
      <c r="Q6" s="734"/>
      <c r="R6" s="734"/>
      <c r="S6" s="734"/>
      <c r="T6" s="73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c r="AT6" s="734"/>
      <c r="AU6" s="734"/>
    </row>
    <row r="7" spans="1:58" s="262" customFormat="1" ht="15" customHeight="1">
      <c r="A7" s="242"/>
      <c r="B7" s="373" t="s">
        <v>53</v>
      </c>
      <c r="C7" s="287">
        <v>809.9</v>
      </c>
      <c r="D7" s="287">
        <v>815.98</v>
      </c>
      <c r="E7" s="287">
        <v>845.79</v>
      </c>
      <c r="F7" s="287">
        <v>884.09</v>
      </c>
      <c r="G7" s="287">
        <v>911.3</v>
      </c>
      <c r="H7" s="287">
        <v>931.54</v>
      </c>
      <c r="I7" s="287">
        <v>997.34</v>
      </c>
      <c r="J7" s="287">
        <v>1058.8800000000001</v>
      </c>
      <c r="K7" s="287">
        <v>1111.1300000000001</v>
      </c>
      <c r="L7" s="287">
        <v>1178.73</v>
      </c>
      <c r="M7" s="287">
        <v>1261.96</v>
      </c>
      <c r="O7" s="562">
        <f>+J8/J7*100</f>
        <v>296.33763977032334</v>
      </c>
      <c r="Q7" s="734"/>
      <c r="R7" s="734"/>
      <c r="S7" s="734"/>
      <c r="T7" s="734"/>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c r="AT7" s="734"/>
      <c r="AU7" s="734"/>
    </row>
    <row r="8" spans="1:58" s="262" customFormat="1" ht="20.25" customHeight="1">
      <c r="A8" s="242" t="s">
        <v>47</v>
      </c>
      <c r="B8" s="373" t="s">
        <v>44</v>
      </c>
      <c r="C8" s="287">
        <v>3238.01</v>
      </c>
      <c r="D8" s="287">
        <v>3237.85</v>
      </c>
      <c r="E8" s="287">
        <v>3273.71</v>
      </c>
      <c r="F8" s="287">
        <v>3487.7</v>
      </c>
      <c r="G8" s="287">
        <v>3352.64</v>
      </c>
      <c r="H8" s="287">
        <v>3182.08</v>
      </c>
      <c r="I8" s="287">
        <v>3215.98</v>
      </c>
      <c r="J8" s="287">
        <v>3137.86</v>
      </c>
      <c r="K8" s="287">
        <v>3353.9</v>
      </c>
      <c r="L8" s="287">
        <v>3625.38</v>
      </c>
      <c r="M8" s="287">
        <v>3824.49</v>
      </c>
      <c r="O8" s="562">
        <f t="shared" ref="O8:O30" si="0">+J9/J8*100</f>
        <v>113.43845805740219</v>
      </c>
      <c r="Q8" s="677"/>
      <c r="R8" s="708"/>
      <c r="S8" s="734"/>
      <c r="T8" s="708"/>
      <c r="U8" s="708"/>
      <c r="V8" s="708"/>
      <c r="W8" s="708"/>
      <c r="X8" s="708"/>
      <c r="Y8" s="708"/>
      <c r="Z8" s="708"/>
      <c r="AA8" s="708"/>
      <c r="AB8" s="708"/>
      <c r="AC8" s="734"/>
      <c r="AD8" s="734"/>
      <c r="AE8" s="734"/>
      <c r="AF8" s="734"/>
      <c r="AG8" s="734"/>
      <c r="AH8" s="734"/>
      <c r="AI8" s="734"/>
      <c r="AJ8" s="734"/>
      <c r="AK8" s="734"/>
      <c r="AL8" s="734"/>
      <c r="AM8" s="734"/>
      <c r="AN8" s="734"/>
      <c r="AO8" s="734"/>
      <c r="AP8" s="734"/>
      <c r="AQ8" s="734"/>
      <c r="AR8" s="734"/>
      <c r="AS8" s="734"/>
      <c r="AT8" s="734"/>
      <c r="AU8" s="734"/>
    </row>
    <row r="9" spans="1:58" s="237" customFormat="1" ht="15" customHeight="1">
      <c r="A9" s="245"/>
      <c r="B9" s="374" t="s">
        <v>52</v>
      </c>
      <c r="C9" s="737">
        <v>3866.97</v>
      </c>
      <c r="D9" s="737">
        <v>3856.89</v>
      </c>
      <c r="E9" s="737">
        <v>3906.05</v>
      </c>
      <c r="F9" s="737">
        <v>4166.6400000000003</v>
      </c>
      <c r="G9" s="737">
        <v>3908.08</v>
      </c>
      <c r="H9" s="737">
        <v>3615.05</v>
      </c>
      <c r="I9" s="737">
        <v>3637.73</v>
      </c>
      <c r="J9" s="737">
        <v>3559.54</v>
      </c>
      <c r="K9" s="737">
        <v>3688.44</v>
      </c>
      <c r="L9" s="737">
        <v>3980.55</v>
      </c>
      <c r="M9" s="737">
        <v>4178.83</v>
      </c>
      <c r="O9" s="562">
        <f>+J10/J9*100</f>
        <v>68.984475522118032</v>
      </c>
      <c r="Q9" s="677"/>
      <c r="R9" s="708"/>
      <c r="S9" s="239"/>
      <c r="T9" s="708"/>
      <c r="U9" s="708"/>
      <c r="V9" s="708"/>
      <c r="W9" s="708"/>
      <c r="X9" s="708"/>
      <c r="Y9" s="708"/>
      <c r="Z9" s="708"/>
      <c r="AA9" s="708"/>
      <c r="AB9" s="708"/>
      <c r="AC9" s="239"/>
      <c r="AD9" s="239"/>
      <c r="AE9" s="239"/>
      <c r="AF9" s="239"/>
      <c r="AG9" s="239"/>
      <c r="AH9" s="239"/>
      <c r="AI9" s="239"/>
      <c r="AJ9" s="239"/>
      <c r="AK9" s="239"/>
      <c r="AL9" s="239"/>
      <c r="AM9" s="239"/>
      <c r="AN9" s="239"/>
      <c r="AO9" s="239"/>
      <c r="AP9" s="239"/>
      <c r="AQ9" s="239"/>
      <c r="AR9" s="239"/>
      <c r="AS9" s="239"/>
      <c r="AT9" s="239"/>
      <c r="AU9" s="239"/>
    </row>
    <row r="10" spans="1:58" s="237" customFormat="1" ht="15" customHeight="1">
      <c r="A10" s="245"/>
      <c r="B10" s="374" t="s">
        <v>53</v>
      </c>
      <c r="C10" s="737">
        <v>2290.71</v>
      </c>
      <c r="D10" s="737">
        <v>2296.1999999999998</v>
      </c>
      <c r="E10" s="737">
        <v>2328.9499999999998</v>
      </c>
      <c r="F10" s="737">
        <v>2471.65</v>
      </c>
      <c r="G10" s="737">
        <v>2471.2199999999998</v>
      </c>
      <c r="H10" s="737">
        <v>2435.56</v>
      </c>
      <c r="I10" s="737">
        <v>2493.8200000000002</v>
      </c>
      <c r="J10" s="737">
        <v>2455.5300000000002</v>
      </c>
      <c r="K10" s="737">
        <v>2743.19</v>
      </c>
      <c r="L10" s="737">
        <v>2962.51</v>
      </c>
      <c r="M10" s="737">
        <v>3159.42</v>
      </c>
      <c r="O10" s="562">
        <f t="shared" si="0"/>
        <v>82.170447927738607</v>
      </c>
      <c r="Q10" s="677"/>
      <c r="R10" s="708"/>
      <c r="S10" s="239"/>
      <c r="T10" s="708"/>
      <c r="U10" s="708"/>
      <c r="V10" s="708"/>
      <c r="W10" s="708"/>
      <c r="X10" s="708"/>
      <c r="Y10" s="708"/>
      <c r="Z10" s="708"/>
      <c r="AA10" s="708"/>
      <c r="AB10" s="708"/>
      <c r="AC10" s="239"/>
      <c r="AD10" s="239"/>
      <c r="AE10" s="239"/>
      <c r="AF10" s="239"/>
      <c r="AG10" s="239"/>
      <c r="AH10" s="239"/>
      <c r="AI10" s="239"/>
      <c r="AJ10" s="239"/>
      <c r="AK10" s="239"/>
      <c r="AL10" s="239"/>
      <c r="AM10" s="239"/>
      <c r="AN10" s="239"/>
      <c r="AO10" s="239"/>
      <c r="AP10" s="239"/>
      <c r="AQ10" s="239"/>
      <c r="AR10" s="239"/>
      <c r="AS10" s="239"/>
      <c r="AT10" s="239"/>
      <c r="AU10" s="239"/>
    </row>
    <row r="11" spans="1:58" s="262" customFormat="1" ht="20.25" customHeight="1">
      <c r="A11" s="242" t="s">
        <v>48</v>
      </c>
      <c r="B11" s="373" t="s">
        <v>44</v>
      </c>
      <c r="C11" s="287">
        <v>1721.84</v>
      </c>
      <c r="D11" s="287">
        <v>1734.9</v>
      </c>
      <c r="E11" s="287">
        <v>1778.17</v>
      </c>
      <c r="F11" s="287">
        <v>1882.71</v>
      </c>
      <c r="G11" s="287">
        <v>1848.02</v>
      </c>
      <c r="H11" s="287">
        <v>1882.28</v>
      </c>
      <c r="I11" s="287">
        <v>2042.02</v>
      </c>
      <c r="J11" s="287">
        <v>2017.72</v>
      </c>
      <c r="K11" s="287">
        <v>2243.83</v>
      </c>
      <c r="L11" s="287">
        <v>2403.7800000000002</v>
      </c>
      <c r="M11" s="287">
        <v>2446.27</v>
      </c>
      <c r="O11" s="562">
        <f t="shared" si="0"/>
        <v>106.14555042325</v>
      </c>
      <c r="Q11" s="734"/>
      <c r="R11" s="738"/>
      <c r="S11" s="738"/>
      <c r="T11" s="738"/>
      <c r="U11" s="739"/>
      <c r="V11" s="738"/>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c r="AT11" s="734"/>
      <c r="AU11" s="734"/>
    </row>
    <row r="12" spans="1:58" s="237" customFormat="1" ht="15" customHeight="1">
      <c r="A12" s="245"/>
      <c r="B12" s="374" t="s">
        <v>52</v>
      </c>
      <c r="C12" s="737">
        <v>1890.58</v>
      </c>
      <c r="D12" s="737">
        <v>1910.73</v>
      </c>
      <c r="E12" s="737">
        <v>1932.86</v>
      </c>
      <c r="F12" s="737">
        <v>2069.64</v>
      </c>
      <c r="G12" s="737">
        <v>1951.4</v>
      </c>
      <c r="H12" s="737">
        <v>2003.5</v>
      </c>
      <c r="I12" s="737">
        <v>2190.79</v>
      </c>
      <c r="J12" s="737">
        <v>2141.7199999999998</v>
      </c>
      <c r="K12" s="737">
        <v>2387.7399999999998</v>
      </c>
      <c r="L12" s="737">
        <v>2546.37</v>
      </c>
      <c r="M12" s="737">
        <v>2598.15</v>
      </c>
      <c r="O12" s="562">
        <f t="shared" si="0"/>
        <v>85.079282072353067</v>
      </c>
      <c r="Q12" s="286"/>
      <c r="R12" s="829"/>
      <c r="S12" s="250"/>
      <c r="T12" s="677"/>
      <c r="U12" s="829"/>
      <c r="V12" s="286"/>
      <c r="W12" s="239"/>
      <c r="X12" s="239"/>
      <c r="Y12" s="239"/>
      <c r="Z12" s="239"/>
      <c r="AA12" s="239"/>
      <c r="AB12" s="239"/>
      <c r="AC12" s="734"/>
      <c r="AD12" s="239"/>
      <c r="AE12" s="239"/>
      <c r="AF12" s="239"/>
      <c r="AG12" s="239"/>
      <c r="AH12" s="239"/>
      <c r="AI12" s="239"/>
      <c r="AJ12" s="239"/>
      <c r="AK12" s="239"/>
      <c r="AL12" s="239"/>
      <c r="AM12" s="239"/>
      <c r="AN12" s="239"/>
      <c r="AO12" s="239"/>
      <c r="AP12" s="239"/>
      <c r="AQ12" s="239"/>
      <c r="AR12" s="239"/>
      <c r="AS12" s="239"/>
      <c r="AT12" s="239"/>
      <c r="AU12" s="239"/>
    </row>
    <row r="13" spans="1:58" s="237" customFormat="1" ht="15" customHeight="1">
      <c r="A13" s="245"/>
      <c r="B13" s="374" t="s">
        <v>53</v>
      </c>
      <c r="C13" s="737">
        <v>1477.98</v>
      </c>
      <c r="D13" s="737">
        <v>1503.64</v>
      </c>
      <c r="E13" s="737">
        <v>1568.18</v>
      </c>
      <c r="F13" s="737">
        <v>1615.8</v>
      </c>
      <c r="G13" s="737">
        <v>1691.82</v>
      </c>
      <c r="H13" s="737">
        <v>1702.6</v>
      </c>
      <c r="I13" s="737">
        <v>1816.78</v>
      </c>
      <c r="J13" s="737">
        <v>1822.16</v>
      </c>
      <c r="K13" s="737">
        <v>2017.01</v>
      </c>
      <c r="L13" s="737">
        <v>2186.04</v>
      </c>
      <c r="M13" s="737">
        <v>2208.0300000000002</v>
      </c>
      <c r="O13" s="562">
        <f t="shared" si="0"/>
        <v>111.91443122448084</v>
      </c>
      <c r="Q13" s="247"/>
      <c r="R13" s="286"/>
      <c r="S13" s="286"/>
      <c r="T13" s="286"/>
      <c r="U13" s="740"/>
      <c r="V13" s="740"/>
      <c r="W13" s="239"/>
      <c r="X13" s="239"/>
      <c r="Y13" s="239"/>
      <c r="Z13" s="239"/>
      <c r="AA13" s="239"/>
      <c r="AB13" s="239"/>
      <c r="AC13" s="734"/>
      <c r="AD13" s="239"/>
      <c r="AE13" s="239"/>
      <c r="AF13" s="239"/>
      <c r="AG13" s="239"/>
      <c r="AH13" s="239"/>
      <c r="AI13" s="239"/>
      <c r="AJ13" s="239"/>
      <c r="AK13" s="239"/>
      <c r="AL13" s="239"/>
      <c r="AM13" s="239"/>
      <c r="AN13" s="239"/>
      <c r="AO13" s="239"/>
      <c r="AP13" s="239"/>
      <c r="AQ13" s="239"/>
      <c r="AR13" s="239"/>
      <c r="AS13" s="239"/>
      <c r="AT13" s="239"/>
      <c r="AU13" s="239"/>
    </row>
    <row r="14" spans="1:58" s="262" customFormat="1" ht="20.25" customHeight="1">
      <c r="A14" s="242" t="s">
        <v>69</v>
      </c>
      <c r="B14" s="373" t="s">
        <v>44</v>
      </c>
      <c r="C14" s="287">
        <v>1578.72</v>
      </c>
      <c r="D14" s="287">
        <v>1589.24</v>
      </c>
      <c r="E14" s="287">
        <v>1656.88</v>
      </c>
      <c r="F14" s="287">
        <v>1709.78</v>
      </c>
      <c r="G14" s="287">
        <v>1744.87</v>
      </c>
      <c r="H14" s="287">
        <v>1834.22</v>
      </c>
      <c r="I14" s="287">
        <v>1941.51</v>
      </c>
      <c r="J14" s="287">
        <v>2039.26</v>
      </c>
      <c r="K14" s="287">
        <v>2089.9699999999998</v>
      </c>
      <c r="L14" s="287">
        <v>2194.1999999999998</v>
      </c>
      <c r="M14" s="287">
        <v>2304.77</v>
      </c>
      <c r="O14" s="562">
        <f t="shared" si="0"/>
        <v>104.1392465894491</v>
      </c>
      <c r="Q14" s="286"/>
      <c r="R14" s="741"/>
      <c r="S14" s="742"/>
      <c r="T14" s="742"/>
      <c r="U14" s="742"/>
      <c r="V14" s="286"/>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c r="AT14" s="734"/>
      <c r="AU14" s="734"/>
    </row>
    <row r="15" spans="1:58" s="237" customFormat="1" ht="15" customHeight="1">
      <c r="A15" s="245"/>
      <c r="B15" s="374" t="s">
        <v>52</v>
      </c>
      <c r="C15" s="737">
        <v>1679.42</v>
      </c>
      <c r="D15" s="737">
        <v>1691.27</v>
      </c>
      <c r="E15" s="737">
        <v>1778.54</v>
      </c>
      <c r="F15" s="737">
        <v>1826.04</v>
      </c>
      <c r="G15" s="737">
        <v>1857.2</v>
      </c>
      <c r="H15" s="737">
        <v>1926.35</v>
      </c>
      <c r="I15" s="737">
        <v>2038.79</v>
      </c>
      <c r="J15" s="737">
        <v>2123.67</v>
      </c>
      <c r="K15" s="737">
        <v>2192.8000000000002</v>
      </c>
      <c r="L15" s="737">
        <v>2316.0500000000002</v>
      </c>
      <c r="M15" s="737">
        <v>2363.9</v>
      </c>
      <c r="O15" s="562">
        <f t="shared" si="0"/>
        <v>89.957950152330639</v>
      </c>
      <c r="Q15" s="286"/>
      <c r="R15" s="698"/>
      <c r="S15" s="286"/>
      <c r="T15" s="286"/>
      <c r="U15" s="286"/>
      <c r="V15" s="286"/>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row>
    <row r="16" spans="1:58" s="237" customFormat="1" ht="15" customHeight="1">
      <c r="A16" s="245"/>
      <c r="B16" s="374" t="s">
        <v>53</v>
      </c>
      <c r="C16" s="737">
        <v>1418.38</v>
      </c>
      <c r="D16" s="737">
        <v>1432.42</v>
      </c>
      <c r="E16" s="737">
        <v>1488.96</v>
      </c>
      <c r="F16" s="737">
        <v>1551.77</v>
      </c>
      <c r="G16" s="737">
        <v>1600.4</v>
      </c>
      <c r="H16" s="737">
        <v>1693.64</v>
      </c>
      <c r="I16" s="737">
        <v>1784.88</v>
      </c>
      <c r="J16" s="737">
        <v>1910.41</v>
      </c>
      <c r="K16" s="737">
        <v>1936.13</v>
      </c>
      <c r="L16" s="737">
        <v>2017.33</v>
      </c>
      <c r="M16" s="737">
        <v>2212.02</v>
      </c>
      <c r="O16" s="562">
        <f t="shared" si="0"/>
        <v>107.05555351992504</v>
      </c>
      <c r="Q16" s="286"/>
      <c r="R16" s="743"/>
      <c r="S16" s="286"/>
      <c r="T16" s="286"/>
      <c r="U16" s="286"/>
      <c r="V16" s="286"/>
      <c r="W16" s="239"/>
      <c r="X16" s="239"/>
      <c r="Y16" s="683"/>
      <c r="Z16" s="683"/>
      <c r="AA16" s="829"/>
      <c r="AB16" s="239"/>
      <c r="AC16" s="239"/>
      <c r="AD16" s="679"/>
      <c r="AE16" s="239"/>
      <c r="AF16" s="239"/>
      <c r="AG16" s="239"/>
      <c r="AH16" s="239"/>
      <c r="AI16" s="239"/>
      <c r="AJ16" s="239"/>
      <c r="AK16" s="239"/>
      <c r="AL16" s="239"/>
      <c r="AM16" s="239"/>
      <c r="AN16" s="239"/>
      <c r="AO16" s="239"/>
      <c r="AP16" s="239"/>
      <c r="AQ16" s="239"/>
      <c r="AR16" s="239"/>
      <c r="AS16" s="239"/>
      <c r="AT16" s="239"/>
      <c r="AU16" s="239"/>
    </row>
    <row r="17" spans="1:47" s="262" customFormat="1" ht="20.25" customHeight="1">
      <c r="A17" s="242" t="s">
        <v>787</v>
      </c>
      <c r="B17" s="373" t="s">
        <v>44</v>
      </c>
      <c r="C17" s="287">
        <v>2341.6999999999998</v>
      </c>
      <c r="D17" s="287">
        <v>2872.46</v>
      </c>
      <c r="E17" s="287">
        <v>2980.19</v>
      </c>
      <c r="F17" s="287">
        <v>2946.74</v>
      </c>
      <c r="G17" s="287">
        <v>2662.73</v>
      </c>
      <c r="H17" s="287">
        <v>2226.9699999999998</v>
      </c>
      <c r="I17" s="287">
        <v>2311.34</v>
      </c>
      <c r="J17" s="287">
        <v>2045.2</v>
      </c>
      <c r="K17" s="287">
        <v>1917.52</v>
      </c>
      <c r="L17" s="287">
        <v>2106.38</v>
      </c>
      <c r="M17" s="287">
        <v>2088.37</v>
      </c>
      <c r="O17" s="562">
        <f t="shared" si="0"/>
        <v>137.43937023274006</v>
      </c>
      <c r="Q17" s="286"/>
      <c r="R17" s="252"/>
      <c r="S17" s="286"/>
      <c r="T17" s="286"/>
      <c r="U17" s="286"/>
      <c r="V17" s="286"/>
      <c r="W17" s="734"/>
      <c r="X17" s="239"/>
      <c r="Y17" s="239"/>
      <c r="Z17" s="744"/>
      <c r="AA17" s="744"/>
      <c r="AB17" s="744"/>
      <c r="AC17" s="744"/>
      <c r="AD17" s="744"/>
      <c r="AE17" s="744"/>
      <c r="AF17" s="744"/>
      <c r="AG17" s="744"/>
      <c r="AH17" s="744"/>
      <c r="AI17" s="744"/>
      <c r="AJ17" s="734"/>
      <c r="AK17" s="734"/>
      <c r="AL17" s="734"/>
      <c r="AM17" s="734"/>
      <c r="AN17" s="734"/>
      <c r="AO17" s="734"/>
      <c r="AP17" s="734"/>
      <c r="AQ17" s="734"/>
      <c r="AR17" s="734"/>
      <c r="AS17" s="734"/>
      <c r="AT17" s="734"/>
      <c r="AU17" s="734"/>
    </row>
    <row r="18" spans="1:47" s="237" customFormat="1" ht="15" customHeight="1">
      <c r="A18" s="245"/>
      <c r="B18" s="374" t="s">
        <v>52</v>
      </c>
      <c r="C18" s="737">
        <v>3384.11</v>
      </c>
      <c r="D18" s="737">
        <v>4377.63</v>
      </c>
      <c r="E18" s="737">
        <v>4608.54</v>
      </c>
      <c r="F18" s="737">
        <v>4487.84</v>
      </c>
      <c r="G18" s="737">
        <v>3895.94</v>
      </c>
      <c r="H18" s="737">
        <v>3045.02</v>
      </c>
      <c r="I18" s="737">
        <v>3238.26</v>
      </c>
      <c r="J18" s="737">
        <v>2810.91</v>
      </c>
      <c r="K18" s="737">
        <v>2504.0100000000002</v>
      </c>
      <c r="L18" s="737">
        <v>2600.4</v>
      </c>
      <c r="M18" s="737">
        <v>2497.88</v>
      </c>
      <c r="O18" s="562">
        <f t="shared" si="0"/>
        <v>41.03226357300661</v>
      </c>
      <c r="Q18" s="286"/>
      <c r="R18" s="252"/>
      <c r="S18" s="286"/>
      <c r="T18" s="286"/>
      <c r="U18" s="286"/>
      <c r="V18" s="286"/>
      <c r="W18" s="239"/>
      <c r="X18" s="735"/>
      <c r="Y18" s="735"/>
      <c r="Z18" s="745"/>
      <c r="AA18" s="745"/>
      <c r="AB18" s="745"/>
      <c r="AC18" s="745"/>
      <c r="AD18" s="745"/>
      <c r="AE18" s="745"/>
      <c r="AF18" s="745"/>
      <c r="AG18" s="745"/>
      <c r="AH18" s="745"/>
      <c r="AI18" s="745"/>
      <c r="AJ18" s="239"/>
      <c r="AK18" s="239"/>
      <c r="AL18" s="239"/>
      <c r="AM18" s="239"/>
      <c r="AN18" s="239"/>
      <c r="AO18" s="239"/>
      <c r="AP18" s="239"/>
      <c r="AQ18" s="239"/>
      <c r="AR18" s="239"/>
      <c r="AS18" s="239"/>
      <c r="AT18" s="239"/>
      <c r="AU18" s="239"/>
    </row>
    <row r="19" spans="1:47" s="237" customFormat="1" ht="15" customHeight="1">
      <c r="A19" s="245"/>
      <c r="B19" s="374" t="s">
        <v>53</v>
      </c>
      <c r="C19" s="737">
        <v>1125.56</v>
      </c>
      <c r="D19" s="737">
        <v>1120.42</v>
      </c>
      <c r="E19" s="737">
        <v>1122.33</v>
      </c>
      <c r="F19" s="737">
        <v>1110.3599999999999</v>
      </c>
      <c r="G19" s="737">
        <v>1118.27</v>
      </c>
      <c r="H19" s="737">
        <v>1080.31</v>
      </c>
      <c r="I19" s="737">
        <v>1139.95</v>
      </c>
      <c r="J19" s="737">
        <v>1153.3800000000001</v>
      </c>
      <c r="K19" s="737">
        <v>1200.81</v>
      </c>
      <c r="L19" s="737">
        <v>1389.1</v>
      </c>
      <c r="M19" s="737">
        <v>1480.77</v>
      </c>
      <c r="O19" s="562">
        <f t="shared" si="0"/>
        <v>87.40050980596159</v>
      </c>
      <c r="Q19" s="286"/>
      <c r="R19" s="252"/>
      <c r="S19" s="286"/>
      <c r="T19" s="286"/>
      <c r="U19" s="286"/>
      <c r="V19" s="286"/>
      <c r="W19" s="239"/>
      <c r="X19" s="252"/>
      <c r="Y19" s="735"/>
      <c r="Z19" s="745"/>
      <c r="AA19" s="745"/>
      <c r="AB19" s="745"/>
      <c r="AC19" s="745"/>
      <c r="AD19" s="745"/>
      <c r="AE19" s="745"/>
      <c r="AF19" s="745"/>
      <c r="AG19" s="745"/>
      <c r="AH19" s="745"/>
      <c r="AI19" s="745"/>
      <c r="AJ19" s="239"/>
      <c r="AK19" s="239"/>
      <c r="AL19" s="239"/>
      <c r="AM19" s="239"/>
      <c r="AN19" s="239"/>
      <c r="AO19" s="239"/>
      <c r="AP19" s="239"/>
      <c r="AQ19" s="239"/>
      <c r="AR19" s="239"/>
      <c r="AS19" s="239"/>
      <c r="AT19" s="239"/>
      <c r="AU19" s="239"/>
    </row>
    <row r="20" spans="1:47" s="262" customFormat="1" ht="20.25" customHeight="1">
      <c r="A20" s="242" t="s">
        <v>49</v>
      </c>
      <c r="B20" s="373" t="s">
        <v>44</v>
      </c>
      <c r="C20" s="287">
        <v>812.86</v>
      </c>
      <c r="D20" s="287">
        <v>821.87</v>
      </c>
      <c r="E20" s="287">
        <v>826.3</v>
      </c>
      <c r="F20" s="287">
        <v>830.32</v>
      </c>
      <c r="G20" s="287">
        <v>858.36</v>
      </c>
      <c r="H20" s="287">
        <v>905.98</v>
      </c>
      <c r="I20" s="287">
        <v>951.11</v>
      </c>
      <c r="J20" s="287">
        <v>1008.06</v>
      </c>
      <c r="K20" s="287">
        <v>1055.27</v>
      </c>
      <c r="L20" s="287">
        <v>1133.23</v>
      </c>
      <c r="M20" s="287">
        <v>1202.1600000000001</v>
      </c>
      <c r="O20" s="562">
        <f t="shared" si="0"/>
        <v>102.57127551931433</v>
      </c>
      <c r="Q20" s="286"/>
      <c r="R20" s="252"/>
      <c r="S20" s="286"/>
      <c r="T20" s="286"/>
      <c r="U20" s="286"/>
      <c r="V20" s="286"/>
      <c r="W20" s="734"/>
      <c r="X20" s="252"/>
      <c r="Y20" s="735"/>
      <c r="Z20" s="745"/>
      <c r="AA20" s="745"/>
      <c r="AB20" s="745"/>
      <c r="AC20" s="745"/>
      <c r="AD20" s="745"/>
      <c r="AE20" s="745"/>
      <c r="AF20" s="745"/>
      <c r="AG20" s="745"/>
      <c r="AH20" s="745"/>
      <c r="AI20" s="745"/>
      <c r="AJ20" s="734"/>
      <c r="AK20" s="734"/>
      <c r="AL20" s="734"/>
      <c r="AM20" s="734"/>
      <c r="AN20" s="734"/>
      <c r="AO20" s="734"/>
      <c r="AP20" s="734"/>
      <c r="AQ20" s="734"/>
      <c r="AR20" s="734"/>
      <c r="AS20" s="734"/>
      <c r="AT20" s="734"/>
      <c r="AU20" s="734"/>
    </row>
    <row r="21" spans="1:47" s="237" customFormat="1" ht="15" customHeight="1">
      <c r="A21" s="245"/>
      <c r="B21" s="374" t="s">
        <v>52</v>
      </c>
      <c r="C21" s="737">
        <v>847.08</v>
      </c>
      <c r="D21" s="737">
        <v>856.48</v>
      </c>
      <c r="E21" s="737">
        <v>853.32</v>
      </c>
      <c r="F21" s="737">
        <v>854.57</v>
      </c>
      <c r="G21" s="737">
        <v>886.43</v>
      </c>
      <c r="H21" s="737">
        <v>929.96</v>
      </c>
      <c r="I21" s="737">
        <v>965.86</v>
      </c>
      <c r="J21" s="737">
        <v>1033.98</v>
      </c>
      <c r="K21" s="737">
        <v>1083.6600000000001</v>
      </c>
      <c r="L21" s="737">
        <v>1163.8599999999999</v>
      </c>
      <c r="M21" s="737">
        <v>1226.06</v>
      </c>
      <c r="O21" s="562">
        <f t="shared" si="0"/>
        <v>92.901216657962436</v>
      </c>
      <c r="P21" s="286"/>
      <c r="Q21" s="286"/>
      <c r="R21" s="252"/>
      <c r="S21" s="286"/>
      <c r="T21" s="286"/>
      <c r="U21" s="286"/>
      <c r="V21" s="286"/>
      <c r="W21" s="239"/>
      <c r="X21" s="252"/>
      <c r="Y21" s="735"/>
      <c r="Z21" s="745"/>
      <c r="AA21" s="745"/>
      <c r="AB21" s="745"/>
      <c r="AC21" s="745"/>
      <c r="AD21" s="745"/>
      <c r="AE21" s="745"/>
      <c r="AF21" s="745"/>
      <c r="AG21" s="745"/>
      <c r="AH21" s="745"/>
      <c r="AI21" s="745"/>
      <c r="AJ21" s="239"/>
      <c r="AK21" s="239"/>
      <c r="AL21" s="239"/>
      <c r="AM21" s="239"/>
      <c r="AN21" s="239"/>
      <c r="AO21" s="239"/>
      <c r="AP21" s="239"/>
      <c r="AQ21" s="239"/>
      <c r="AR21" s="239"/>
      <c r="AS21" s="239"/>
      <c r="AT21" s="239"/>
      <c r="AU21" s="239"/>
    </row>
    <row r="22" spans="1:47" s="237" customFormat="1" ht="15" customHeight="1">
      <c r="A22" s="245"/>
      <c r="B22" s="374" t="s">
        <v>53</v>
      </c>
      <c r="C22" s="737">
        <v>745.64</v>
      </c>
      <c r="D22" s="737">
        <v>754.98</v>
      </c>
      <c r="E22" s="737">
        <v>777.1</v>
      </c>
      <c r="F22" s="737">
        <v>788.56</v>
      </c>
      <c r="G22" s="737">
        <v>810.51</v>
      </c>
      <c r="H22" s="737">
        <v>863.51</v>
      </c>
      <c r="I22" s="737">
        <v>922.83</v>
      </c>
      <c r="J22" s="737">
        <v>960.58</v>
      </c>
      <c r="K22" s="737">
        <v>1001</v>
      </c>
      <c r="L22" s="737">
        <v>1071.19</v>
      </c>
      <c r="M22" s="737">
        <v>1150.71</v>
      </c>
      <c r="O22" s="562">
        <f t="shared" si="0"/>
        <v>91.061650252972157</v>
      </c>
      <c r="P22" s="286"/>
      <c r="Q22" s="286"/>
      <c r="R22" s="252"/>
      <c r="S22" s="286"/>
      <c r="T22" s="286"/>
      <c r="U22" s="286"/>
      <c r="V22" s="286"/>
      <c r="W22" s="239"/>
      <c r="X22" s="250"/>
      <c r="Y22" s="746"/>
      <c r="Z22" s="745"/>
      <c r="AA22" s="745"/>
      <c r="AB22" s="745"/>
      <c r="AC22" s="745"/>
      <c r="AD22" s="745"/>
      <c r="AE22" s="745"/>
      <c r="AF22" s="745"/>
      <c r="AG22" s="745"/>
      <c r="AH22" s="745"/>
      <c r="AI22" s="745"/>
      <c r="AJ22" s="239"/>
      <c r="AK22" s="239"/>
      <c r="AL22" s="239"/>
      <c r="AM22" s="239"/>
      <c r="AN22" s="239"/>
      <c r="AO22" s="239"/>
      <c r="AP22" s="239"/>
      <c r="AQ22" s="239"/>
      <c r="AR22" s="239"/>
      <c r="AS22" s="239"/>
      <c r="AT22" s="239"/>
      <c r="AU22" s="239"/>
    </row>
    <row r="23" spans="1:47" s="262" customFormat="1" ht="20.25" customHeight="1">
      <c r="A23" s="242" t="s">
        <v>351</v>
      </c>
      <c r="B23" s="373" t="s">
        <v>44</v>
      </c>
      <c r="C23" s="287">
        <v>668.7</v>
      </c>
      <c r="D23" s="287">
        <v>664.33</v>
      </c>
      <c r="E23" s="287">
        <v>684.74</v>
      </c>
      <c r="F23" s="287">
        <v>726.67</v>
      </c>
      <c r="G23" s="287">
        <v>762.82</v>
      </c>
      <c r="H23" s="287">
        <v>791.98</v>
      </c>
      <c r="I23" s="287">
        <v>832.72</v>
      </c>
      <c r="J23" s="287">
        <v>874.72</v>
      </c>
      <c r="K23" s="287">
        <v>924.28</v>
      </c>
      <c r="L23" s="287">
        <v>990.4</v>
      </c>
      <c r="M23" s="287">
        <v>1065.8699999999999</v>
      </c>
      <c r="O23" s="562">
        <f t="shared" si="0"/>
        <v>102.30359429303091</v>
      </c>
      <c r="P23" s="286"/>
      <c r="Q23" s="286"/>
      <c r="R23" s="252"/>
      <c r="S23" s="286"/>
      <c r="T23" s="286"/>
      <c r="U23" s="286"/>
      <c r="V23" s="286"/>
      <c r="W23" s="734"/>
      <c r="X23" s="250"/>
      <c r="Y23" s="746"/>
      <c r="Z23" s="745"/>
      <c r="AA23" s="745"/>
      <c r="AB23" s="745"/>
      <c r="AC23" s="745"/>
      <c r="AD23" s="745"/>
      <c r="AE23" s="745"/>
      <c r="AF23" s="745"/>
      <c r="AG23" s="745"/>
      <c r="AH23" s="745"/>
      <c r="AI23" s="745"/>
      <c r="AJ23" s="734"/>
      <c r="AK23" s="734"/>
      <c r="AL23" s="734"/>
      <c r="AM23" s="734"/>
      <c r="AN23" s="734"/>
      <c r="AO23" s="734"/>
      <c r="AP23" s="734"/>
      <c r="AQ23" s="734"/>
      <c r="AR23" s="734"/>
      <c r="AS23" s="734"/>
      <c r="AT23" s="734"/>
      <c r="AU23" s="734"/>
    </row>
    <row r="24" spans="1:47" s="237" customFormat="1" ht="15" customHeight="1">
      <c r="A24" s="245"/>
      <c r="B24" s="374" t="s">
        <v>52</v>
      </c>
      <c r="C24" s="737">
        <v>696.38</v>
      </c>
      <c r="D24" s="737">
        <v>685.23</v>
      </c>
      <c r="E24" s="737">
        <v>699.73</v>
      </c>
      <c r="F24" s="737">
        <v>750.38</v>
      </c>
      <c r="G24" s="737">
        <v>787.56</v>
      </c>
      <c r="H24" s="737">
        <v>816.09</v>
      </c>
      <c r="I24" s="737">
        <v>854.71</v>
      </c>
      <c r="J24" s="737">
        <v>894.87</v>
      </c>
      <c r="K24" s="737">
        <v>945.24</v>
      </c>
      <c r="L24" s="737">
        <v>1018.94</v>
      </c>
      <c r="M24" s="737">
        <v>1093.5999999999999</v>
      </c>
      <c r="O24" s="562">
        <f t="shared" si="0"/>
        <v>94.80706694827181</v>
      </c>
      <c r="P24" s="286"/>
      <c r="Q24" s="738"/>
      <c r="R24" s="239"/>
      <c r="S24" s="738"/>
      <c r="T24" s="739"/>
      <c r="U24" s="738"/>
      <c r="V24" s="239"/>
      <c r="W24" s="239"/>
      <c r="X24" s="252"/>
      <c r="Y24" s="735"/>
      <c r="Z24" s="745"/>
      <c r="AA24" s="745"/>
      <c r="AB24" s="745"/>
      <c r="AC24" s="745"/>
      <c r="AD24" s="745"/>
      <c r="AE24" s="745"/>
      <c r="AF24" s="745"/>
      <c r="AG24" s="745"/>
      <c r="AH24" s="745"/>
      <c r="AI24" s="745"/>
      <c r="AJ24" s="239"/>
      <c r="AK24" s="239"/>
      <c r="AL24" s="239"/>
      <c r="AM24" s="239"/>
      <c r="AN24" s="239"/>
      <c r="AO24" s="239"/>
      <c r="AP24" s="239"/>
      <c r="AQ24" s="239"/>
      <c r="AR24" s="239"/>
      <c r="AS24" s="239"/>
      <c r="AT24" s="239"/>
      <c r="AU24" s="239"/>
    </row>
    <row r="25" spans="1:47" s="237" customFormat="1" ht="15" customHeight="1">
      <c r="A25" s="245"/>
      <c r="B25" s="374" t="s">
        <v>53</v>
      </c>
      <c r="C25" s="737">
        <v>638.86</v>
      </c>
      <c r="D25" s="737">
        <v>640.91</v>
      </c>
      <c r="E25" s="737">
        <v>666.29</v>
      </c>
      <c r="F25" s="737">
        <v>698.54</v>
      </c>
      <c r="G25" s="737">
        <v>733.01</v>
      </c>
      <c r="H25" s="737">
        <v>763.99</v>
      </c>
      <c r="I25" s="737">
        <v>804.83</v>
      </c>
      <c r="J25" s="737">
        <v>848.4</v>
      </c>
      <c r="K25" s="737">
        <v>896.94</v>
      </c>
      <c r="L25" s="737">
        <v>955.79</v>
      </c>
      <c r="M25" s="737">
        <v>1030.8399999999999</v>
      </c>
      <c r="O25" s="562">
        <f t="shared" si="0"/>
        <v>96.513437057991524</v>
      </c>
      <c r="P25" s="286"/>
      <c r="Q25" s="252"/>
      <c r="R25" s="738"/>
      <c r="S25" s="738"/>
      <c r="T25" s="739"/>
      <c r="U25" s="738"/>
      <c r="V25" s="239"/>
      <c r="W25" s="239"/>
      <c r="X25" s="250"/>
      <c r="Y25" s="746"/>
      <c r="Z25" s="745"/>
      <c r="AA25" s="745"/>
      <c r="AB25" s="745"/>
      <c r="AC25" s="745"/>
      <c r="AD25" s="745"/>
      <c r="AE25" s="745"/>
      <c r="AF25" s="745"/>
      <c r="AG25" s="745"/>
      <c r="AH25" s="745"/>
      <c r="AI25" s="745"/>
      <c r="AJ25" s="239"/>
      <c r="AK25" s="239"/>
      <c r="AL25" s="239"/>
      <c r="AM25" s="239"/>
      <c r="AN25" s="239"/>
      <c r="AO25" s="239"/>
      <c r="AP25" s="239"/>
      <c r="AQ25" s="239"/>
      <c r="AR25" s="239"/>
      <c r="AS25" s="239"/>
      <c r="AT25" s="239"/>
      <c r="AU25" s="239"/>
    </row>
    <row r="26" spans="1:47" s="262" customFormat="1" ht="20.25" customHeight="1">
      <c r="A26" s="242" t="s">
        <v>50</v>
      </c>
      <c r="B26" s="373" t="s">
        <v>44</v>
      </c>
      <c r="C26" s="287">
        <v>631.35</v>
      </c>
      <c r="D26" s="287">
        <v>635.25</v>
      </c>
      <c r="E26" s="287">
        <v>657.05</v>
      </c>
      <c r="F26" s="287">
        <v>688.32</v>
      </c>
      <c r="G26" s="287">
        <v>712.98</v>
      </c>
      <c r="H26" s="287">
        <v>735.52</v>
      </c>
      <c r="I26" s="287">
        <v>771.97</v>
      </c>
      <c r="J26" s="287">
        <v>818.82</v>
      </c>
      <c r="K26" s="287">
        <v>866.35</v>
      </c>
      <c r="L26" s="287">
        <v>932.84</v>
      </c>
      <c r="M26" s="287">
        <v>1005.17</v>
      </c>
      <c r="O26" s="562">
        <f t="shared" si="0"/>
        <v>102.52558559878851</v>
      </c>
      <c r="P26" s="286"/>
      <c r="Q26" s="734"/>
      <c r="R26" s="734"/>
      <c r="S26" s="734"/>
      <c r="T26" s="734"/>
      <c r="U26" s="734"/>
      <c r="V26" s="734"/>
      <c r="W26" s="734"/>
      <c r="X26" s="250"/>
      <c r="Y26" s="746"/>
      <c r="Z26" s="745"/>
      <c r="AA26" s="745"/>
      <c r="AB26" s="745"/>
      <c r="AC26" s="745"/>
      <c r="AD26" s="745"/>
      <c r="AE26" s="745"/>
      <c r="AF26" s="745"/>
      <c r="AG26" s="745"/>
      <c r="AH26" s="745"/>
      <c r="AI26" s="745"/>
      <c r="AJ26" s="734"/>
      <c r="AK26" s="734"/>
      <c r="AL26" s="734"/>
      <c r="AM26" s="734"/>
      <c r="AN26" s="734"/>
      <c r="AO26" s="734"/>
      <c r="AP26" s="734"/>
      <c r="AQ26" s="734"/>
      <c r="AR26" s="734"/>
      <c r="AS26" s="734"/>
      <c r="AT26" s="734"/>
      <c r="AU26" s="734"/>
    </row>
    <row r="27" spans="1:47" s="237" customFormat="1" ht="15" customHeight="1">
      <c r="A27" s="245"/>
      <c r="B27" s="374" t="s">
        <v>52</v>
      </c>
      <c r="C27" s="737">
        <v>663.69</v>
      </c>
      <c r="D27" s="737">
        <v>666.36</v>
      </c>
      <c r="E27" s="737">
        <v>684.84</v>
      </c>
      <c r="F27" s="737">
        <v>712.8</v>
      </c>
      <c r="G27" s="737">
        <v>736.42</v>
      </c>
      <c r="H27" s="737">
        <v>755.23</v>
      </c>
      <c r="I27" s="737">
        <v>788.4</v>
      </c>
      <c r="J27" s="737">
        <v>839.5</v>
      </c>
      <c r="K27" s="737">
        <v>883.84</v>
      </c>
      <c r="L27" s="737">
        <v>951.59</v>
      </c>
      <c r="M27" s="737">
        <v>1023.89</v>
      </c>
      <c r="O27" s="562">
        <f t="shared" si="0"/>
        <v>93.878499106611073</v>
      </c>
      <c r="P27" s="287"/>
      <c r="Q27" s="239"/>
      <c r="R27" s="239"/>
      <c r="S27" s="239"/>
      <c r="T27" s="239"/>
      <c r="U27" s="239"/>
      <c r="V27" s="239"/>
      <c r="W27" s="239"/>
      <c r="X27" s="252"/>
      <c r="Y27" s="735"/>
      <c r="Z27" s="745"/>
      <c r="AA27" s="745"/>
      <c r="AB27" s="745"/>
      <c r="AC27" s="745"/>
      <c r="AD27" s="745"/>
      <c r="AE27" s="745"/>
      <c r="AF27" s="745"/>
      <c r="AG27" s="745"/>
      <c r="AH27" s="745"/>
      <c r="AI27" s="745"/>
      <c r="AJ27" s="239"/>
      <c r="AK27" s="239"/>
      <c r="AL27" s="239"/>
      <c r="AM27" s="239"/>
      <c r="AN27" s="239"/>
      <c r="AO27" s="239"/>
      <c r="AP27" s="239"/>
      <c r="AQ27" s="239"/>
      <c r="AR27" s="239"/>
      <c r="AS27" s="239"/>
      <c r="AT27" s="239"/>
      <c r="AU27" s="239"/>
    </row>
    <row r="28" spans="1:47" s="237" customFormat="1" ht="15" customHeight="1">
      <c r="A28" s="245"/>
      <c r="B28" s="374" t="s">
        <v>53</v>
      </c>
      <c r="C28" s="737">
        <v>598.98</v>
      </c>
      <c r="D28" s="737">
        <v>603.71</v>
      </c>
      <c r="E28" s="737">
        <v>625.15</v>
      </c>
      <c r="F28" s="737">
        <v>658.74</v>
      </c>
      <c r="G28" s="737">
        <v>683.49</v>
      </c>
      <c r="H28" s="737">
        <v>708.84</v>
      </c>
      <c r="I28" s="737">
        <v>747.11</v>
      </c>
      <c r="J28" s="737">
        <v>788.11</v>
      </c>
      <c r="K28" s="737">
        <v>840.07</v>
      </c>
      <c r="L28" s="737">
        <v>901.8</v>
      </c>
      <c r="M28" s="737">
        <v>972.11</v>
      </c>
      <c r="O28" s="562">
        <f t="shared" si="0"/>
        <v>102.19131847077185</v>
      </c>
      <c r="P28" s="287"/>
      <c r="Q28" s="239"/>
      <c r="R28" s="239"/>
      <c r="S28" s="239"/>
      <c r="T28" s="239"/>
      <c r="U28" s="239"/>
      <c r="V28" s="239"/>
      <c r="W28" s="239"/>
      <c r="X28" s="250"/>
      <c r="Y28" s="746"/>
      <c r="Z28" s="745"/>
      <c r="AA28" s="745"/>
      <c r="AB28" s="745"/>
      <c r="AC28" s="745"/>
      <c r="AD28" s="745"/>
      <c r="AE28" s="745"/>
      <c r="AF28" s="745"/>
      <c r="AG28" s="745"/>
      <c r="AH28" s="745"/>
      <c r="AI28" s="745"/>
      <c r="AJ28" s="239"/>
      <c r="AK28" s="239"/>
      <c r="AL28" s="239"/>
      <c r="AM28" s="239"/>
      <c r="AN28" s="239"/>
      <c r="AO28" s="239"/>
      <c r="AP28" s="239"/>
      <c r="AQ28" s="239"/>
      <c r="AR28" s="239"/>
      <c r="AS28" s="239"/>
      <c r="AT28" s="239"/>
      <c r="AU28" s="239"/>
    </row>
    <row r="29" spans="1:47" s="262" customFormat="1" ht="20.25" customHeight="1">
      <c r="A29" s="242" t="s">
        <v>51</v>
      </c>
      <c r="B29" s="373" t="s">
        <v>44</v>
      </c>
      <c r="C29" s="287">
        <v>624.19000000000005</v>
      </c>
      <c r="D29" s="287">
        <v>622.16999999999996</v>
      </c>
      <c r="E29" s="287">
        <v>643.66</v>
      </c>
      <c r="F29" s="287">
        <v>679.94</v>
      </c>
      <c r="G29" s="287">
        <v>715.49</v>
      </c>
      <c r="H29" s="287">
        <v>742.98</v>
      </c>
      <c r="I29" s="287">
        <v>768.89</v>
      </c>
      <c r="J29" s="287">
        <v>805.38</v>
      </c>
      <c r="K29" s="287">
        <v>859.71</v>
      </c>
      <c r="L29" s="287">
        <v>929.98</v>
      </c>
      <c r="M29" s="287">
        <v>999.06</v>
      </c>
      <c r="O29" s="562">
        <f t="shared" si="0"/>
        <v>101.01194467208026</v>
      </c>
      <c r="P29" s="287"/>
      <c r="Q29" s="738"/>
      <c r="R29" s="738"/>
      <c r="S29" s="738"/>
      <c r="T29" s="739"/>
      <c r="U29" s="738"/>
      <c r="V29" s="734"/>
      <c r="W29" s="734"/>
      <c r="X29" s="250"/>
      <c r="Y29" s="746"/>
      <c r="Z29" s="745"/>
      <c r="AA29" s="745"/>
      <c r="AB29" s="745"/>
      <c r="AC29" s="745"/>
      <c r="AD29" s="745"/>
      <c r="AE29" s="745"/>
      <c r="AF29" s="745"/>
      <c r="AG29" s="745"/>
      <c r="AH29" s="745"/>
      <c r="AI29" s="745"/>
      <c r="AJ29" s="734"/>
      <c r="AK29" s="734"/>
      <c r="AL29" s="734"/>
      <c r="AM29" s="734"/>
      <c r="AN29" s="734"/>
      <c r="AO29" s="734"/>
      <c r="AP29" s="734"/>
      <c r="AQ29" s="734"/>
      <c r="AR29" s="734"/>
      <c r="AS29" s="734"/>
      <c r="AT29" s="734"/>
      <c r="AU29" s="734"/>
    </row>
    <row r="30" spans="1:47" s="237" customFormat="1" ht="15" customHeight="1">
      <c r="A30" s="245"/>
      <c r="B30" s="374" t="s">
        <v>52</v>
      </c>
      <c r="C30" s="737">
        <v>632.63</v>
      </c>
      <c r="D30" s="737">
        <v>632.74</v>
      </c>
      <c r="E30" s="737">
        <v>650.96</v>
      </c>
      <c r="F30" s="737">
        <v>690.13</v>
      </c>
      <c r="G30" s="737">
        <v>724.97</v>
      </c>
      <c r="H30" s="737">
        <v>751.55</v>
      </c>
      <c r="I30" s="737">
        <v>779.81</v>
      </c>
      <c r="J30" s="737">
        <v>813.53</v>
      </c>
      <c r="K30" s="737">
        <v>869.87</v>
      </c>
      <c r="L30" s="737">
        <v>944.39</v>
      </c>
      <c r="M30" s="737">
        <v>1011.47</v>
      </c>
      <c r="O30" s="562">
        <f t="shared" si="0"/>
        <v>97.289589812299496</v>
      </c>
      <c r="P30" s="287"/>
      <c r="Q30" s="738"/>
      <c r="R30" s="738"/>
      <c r="S30" s="738"/>
      <c r="T30" s="739"/>
      <c r="U30" s="738"/>
      <c r="V30" s="239"/>
      <c r="W30" s="239"/>
      <c r="X30" s="252"/>
      <c r="Y30" s="735"/>
      <c r="Z30" s="745"/>
      <c r="AA30" s="745"/>
      <c r="AB30" s="745"/>
      <c r="AC30" s="745"/>
      <c r="AD30" s="745"/>
      <c r="AE30" s="745"/>
      <c r="AF30" s="745"/>
      <c r="AG30" s="745"/>
      <c r="AH30" s="745"/>
      <c r="AI30" s="745"/>
      <c r="AJ30" s="239"/>
      <c r="AK30" s="239"/>
      <c r="AL30" s="239"/>
      <c r="AM30" s="239"/>
      <c r="AN30" s="239"/>
      <c r="AO30" s="239"/>
      <c r="AP30" s="239"/>
      <c r="AQ30" s="239"/>
      <c r="AR30" s="239"/>
      <c r="AS30" s="239"/>
      <c r="AT30" s="239"/>
      <c r="AU30" s="239"/>
    </row>
    <row r="31" spans="1:47" s="237" customFormat="1" ht="15" customHeight="1">
      <c r="A31" s="271"/>
      <c r="B31" s="272" t="s">
        <v>53</v>
      </c>
      <c r="C31" s="747">
        <v>615.12</v>
      </c>
      <c r="D31" s="747">
        <v>609.21</v>
      </c>
      <c r="E31" s="747">
        <v>634.72</v>
      </c>
      <c r="F31" s="747">
        <v>667.13</v>
      </c>
      <c r="G31" s="747">
        <v>702.04</v>
      </c>
      <c r="H31" s="747">
        <v>729.61</v>
      </c>
      <c r="I31" s="747">
        <v>752.06</v>
      </c>
      <c r="J31" s="747">
        <v>791.48</v>
      </c>
      <c r="K31" s="747">
        <v>844</v>
      </c>
      <c r="L31" s="747">
        <v>907.13</v>
      </c>
      <c r="M31" s="747">
        <v>977.21</v>
      </c>
      <c r="O31" s="287"/>
      <c r="P31" s="287"/>
      <c r="Q31" s="738"/>
      <c r="R31" s="738"/>
      <c r="S31" s="738"/>
      <c r="T31" s="739"/>
      <c r="U31" s="738"/>
      <c r="V31" s="239"/>
      <c r="W31" s="239"/>
      <c r="X31" s="250"/>
      <c r="Y31" s="746"/>
      <c r="Z31" s="745"/>
      <c r="AA31" s="745"/>
      <c r="AB31" s="745"/>
      <c r="AC31" s="745"/>
      <c r="AD31" s="745"/>
      <c r="AE31" s="745"/>
      <c r="AF31" s="745"/>
      <c r="AG31" s="745"/>
      <c r="AH31" s="745"/>
      <c r="AI31" s="745"/>
      <c r="AJ31" s="239"/>
      <c r="AK31" s="239"/>
      <c r="AL31" s="239"/>
      <c r="AM31" s="239"/>
      <c r="AN31" s="239"/>
      <c r="AO31" s="239"/>
      <c r="AP31" s="239"/>
      <c r="AQ31" s="239"/>
      <c r="AR31" s="239"/>
      <c r="AS31" s="239"/>
      <c r="AT31" s="239"/>
      <c r="AU31" s="239"/>
    </row>
    <row r="32" spans="1:47" s="262" customFormat="1" ht="15" customHeight="1">
      <c r="A32" s="19" t="s">
        <v>769</v>
      </c>
      <c r="B32" s="268"/>
      <c r="C32" s="270"/>
      <c r="D32" s="270"/>
      <c r="E32" s="270"/>
      <c r="F32" s="270"/>
      <c r="G32" s="270"/>
      <c r="H32" s="270"/>
      <c r="I32" s="270"/>
      <c r="J32" s="270"/>
      <c r="K32" s="270"/>
      <c r="L32" s="270"/>
      <c r="M32" s="270"/>
      <c r="Q32" s="734"/>
      <c r="R32" s="734"/>
      <c r="S32" s="734"/>
      <c r="T32" s="734"/>
      <c r="U32" s="734"/>
      <c r="V32" s="734"/>
      <c r="W32" s="734"/>
      <c r="X32" s="250"/>
      <c r="Y32" s="746"/>
      <c r="Z32" s="745"/>
      <c r="AA32" s="745"/>
      <c r="AB32" s="745"/>
      <c r="AC32" s="745"/>
      <c r="AD32" s="745"/>
      <c r="AE32" s="745"/>
      <c r="AF32" s="745"/>
      <c r="AG32" s="745"/>
      <c r="AH32" s="745"/>
      <c r="AI32" s="745"/>
      <c r="AJ32" s="734"/>
      <c r="AK32" s="734"/>
      <c r="AL32" s="734"/>
      <c r="AM32" s="734"/>
      <c r="AN32" s="734"/>
      <c r="AO32" s="734"/>
      <c r="AP32" s="734"/>
      <c r="AQ32" s="734"/>
      <c r="AR32" s="734"/>
      <c r="AS32" s="734"/>
      <c r="AT32" s="734"/>
      <c r="AU32" s="734"/>
    </row>
    <row r="33" spans="1:47" s="262" customFormat="1" ht="15.75" customHeight="1">
      <c r="A33" s="955" t="s">
        <v>788</v>
      </c>
      <c r="B33" s="955"/>
      <c r="C33" s="955"/>
      <c r="D33" s="955"/>
      <c r="E33" s="955"/>
      <c r="F33" s="955"/>
      <c r="G33" s="955"/>
      <c r="H33" s="955"/>
      <c r="I33" s="955"/>
      <c r="J33" s="955"/>
      <c r="K33" s="955"/>
      <c r="L33" s="955"/>
      <c r="M33" s="955"/>
      <c r="Q33" s="734"/>
      <c r="R33" s="734"/>
      <c r="S33" s="734"/>
      <c r="T33" s="734"/>
      <c r="U33" s="734"/>
      <c r="V33" s="734"/>
      <c r="W33" s="734"/>
      <c r="X33" s="252"/>
      <c r="Y33" s="735"/>
      <c r="Z33" s="745"/>
      <c r="AA33" s="745"/>
      <c r="AB33" s="745"/>
      <c r="AC33" s="745"/>
      <c r="AD33" s="745"/>
      <c r="AE33" s="745"/>
      <c r="AF33" s="745"/>
      <c r="AG33" s="745"/>
      <c r="AH33" s="745"/>
      <c r="AI33" s="745"/>
      <c r="AJ33" s="734"/>
      <c r="AK33" s="734"/>
      <c r="AL33" s="734"/>
      <c r="AM33" s="734"/>
      <c r="AN33" s="734"/>
      <c r="AO33" s="734"/>
      <c r="AP33" s="734"/>
      <c r="AQ33" s="734"/>
      <c r="AR33" s="734"/>
      <c r="AS33" s="734"/>
      <c r="AT33" s="734"/>
      <c r="AU33" s="734"/>
    </row>
    <row r="34" spans="1:47">
      <c r="X34" s="250"/>
      <c r="Y34" s="746"/>
      <c r="Z34" s="745"/>
      <c r="AA34" s="745"/>
      <c r="AB34" s="745"/>
      <c r="AC34" s="745"/>
      <c r="AD34" s="745"/>
      <c r="AE34" s="745"/>
      <c r="AF34" s="745"/>
      <c r="AG34" s="745"/>
      <c r="AH34" s="745"/>
      <c r="AI34" s="745"/>
    </row>
    <row r="35" spans="1:47">
      <c r="X35" s="250"/>
      <c r="Y35" s="746"/>
      <c r="Z35" s="745"/>
      <c r="AA35" s="745"/>
      <c r="AB35" s="745"/>
      <c r="AC35" s="745"/>
      <c r="AD35" s="745"/>
      <c r="AE35" s="745"/>
      <c r="AF35" s="745"/>
      <c r="AG35" s="745"/>
      <c r="AH35" s="745"/>
      <c r="AI35" s="745"/>
    </row>
    <row r="36" spans="1:47">
      <c r="X36" s="252"/>
      <c r="Y36" s="735"/>
      <c r="Z36" s="745"/>
      <c r="AA36" s="745"/>
      <c r="AB36" s="745"/>
      <c r="AC36" s="745"/>
      <c r="AD36" s="745"/>
      <c r="AE36" s="745"/>
      <c r="AF36" s="745"/>
      <c r="AG36" s="745"/>
      <c r="AH36" s="745"/>
      <c r="AI36" s="745"/>
    </row>
    <row r="37" spans="1:47">
      <c r="X37" s="250"/>
      <c r="Y37" s="746"/>
      <c r="Z37" s="745"/>
      <c r="AA37" s="745"/>
      <c r="AB37" s="745"/>
      <c r="AC37" s="745"/>
      <c r="AD37" s="745"/>
      <c r="AE37" s="745"/>
      <c r="AF37" s="745"/>
      <c r="AG37" s="745"/>
      <c r="AH37" s="745"/>
      <c r="AI37" s="745"/>
    </row>
    <row r="38" spans="1:47">
      <c r="X38" s="250"/>
      <c r="Y38" s="746"/>
      <c r="Z38" s="745"/>
      <c r="AA38" s="745"/>
      <c r="AB38" s="745"/>
      <c r="AC38" s="745"/>
      <c r="AD38" s="745"/>
      <c r="AE38" s="745"/>
      <c r="AF38" s="745"/>
      <c r="AG38" s="745"/>
      <c r="AH38" s="745"/>
      <c r="AI38" s="745"/>
    </row>
    <row r="39" spans="1:47">
      <c r="X39" s="252"/>
      <c r="Y39" s="735"/>
      <c r="Z39" s="745"/>
      <c r="AA39" s="745"/>
      <c r="AB39" s="745"/>
      <c r="AC39" s="745"/>
      <c r="AD39" s="745"/>
      <c r="AE39" s="745"/>
      <c r="AF39" s="745"/>
      <c r="AG39" s="745"/>
      <c r="AH39" s="745"/>
      <c r="AI39" s="745"/>
    </row>
    <row r="40" spans="1:47">
      <c r="X40" s="250"/>
      <c r="Y40" s="746"/>
      <c r="Z40" s="745"/>
      <c r="AA40" s="745"/>
      <c r="AB40" s="745"/>
      <c r="AC40" s="745"/>
      <c r="AD40" s="745"/>
      <c r="AE40" s="745"/>
      <c r="AF40" s="745"/>
      <c r="AG40" s="745"/>
      <c r="AH40" s="745"/>
      <c r="AI40" s="745"/>
    </row>
    <row r="41" spans="1:47">
      <c r="X41" s="250"/>
      <c r="Y41" s="746"/>
      <c r="Z41" s="745"/>
      <c r="AA41" s="745"/>
      <c r="AB41" s="745"/>
      <c r="AC41" s="745"/>
      <c r="AD41" s="745"/>
      <c r="AE41" s="745"/>
      <c r="AF41" s="745"/>
      <c r="AG41" s="745"/>
      <c r="AH41" s="745"/>
      <c r="AI41" s="745"/>
    </row>
    <row r="42" spans="1:47">
      <c r="X42" s="252"/>
      <c r="Y42" s="735"/>
      <c r="Z42" s="745"/>
      <c r="AA42" s="745"/>
      <c r="AB42" s="745"/>
      <c r="AC42" s="745"/>
      <c r="AD42" s="745"/>
      <c r="AE42" s="745"/>
      <c r="AF42" s="745"/>
      <c r="AG42" s="745"/>
      <c r="AH42" s="745"/>
      <c r="AI42" s="745"/>
    </row>
    <row r="43" spans="1:47">
      <c r="X43" s="250"/>
      <c r="Y43" s="746"/>
      <c r="Z43" s="745"/>
      <c r="AA43" s="745"/>
      <c r="AB43" s="745"/>
      <c r="AC43" s="745"/>
      <c r="AD43" s="745"/>
      <c r="AE43" s="745"/>
      <c r="AF43" s="745"/>
      <c r="AG43" s="745"/>
      <c r="AH43" s="745"/>
      <c r="AI43" s="745"/>
    </row>
    <row r="44" spans="1:47">
      <c r="X44" s="250"/>
      <c r="Y44" s="746"/>
      <c r="Z44" s="745"/>
      <c r="AA44" s="745"/>
      <c r="AB44" s="745"/>
      <c r="AC44" s="745"/>
      <c r="AD44" s="745"/>
      <c r="AE44" s="745"/>
      <c r="AF44" s="745"/>
      <c r="AG44" s="745"/>
      <c r="AH44" s="745"/>
      <c r="AI44" s="745"/>
    </row>
    <row r="45" spans="1:47">
      <c r="P45" s="237"/>
    </row>
    <row r="50" spans="24:36" ht="12.75">
      <c r="X50" s="239"/>
      <c r="Y50" s="750"/>
      <c r="Z50" s="683"/>
      <c r="AA50" s="829"/>
      <c r="AB50" s="239"/>
      <c r="AC50" s="239"/>
      <c r="AD50" s="679"/>
      <c r="AE50" s="239"/>
      <c r="AF50" s="239"/>
      <c r="AG50" s="239"/>
      <c r="AH50" s="239"/>
      <c r="AI50" s="239"/>
      <c r="AJ50" s="239"/>
    </row>
    <row r="51" spans="24:36" ht="12.75">
      <c r="X51" s="239"/>
      <c r="Y51" s="239"/>
      <c r="Z51" s="830"/>
      <c r="AA51" s="830"/>
      <c r="AB51" s="830"/>
      <c r="AC51" s="830"/>
      <c r="AD51" s="830"/>
      <c r="AE51" s="830"/>
      <c r="AF51" s="830"/>
      <c r="AG51" s="830"/>
      <c r="AH51" s="830"/>
      <c r="AI51" s="830"/>
      <c r="AJ51" s="734"/>
    </row>
    <row r="52" spans="24:36">
      <c r="X52" s="735"/>
      <c r="Y52" s="735"/>
      <c r="Z52" s="751"/>
      <c r="AA52" s="751"/>
      <c r="AB52" s="751"/>
      <c r="AC52" s="751"/>
      <c r="AD52" s="751"/>
      <c r="AE52" s="751"/>
      <c r="AF52" s="751"/>
      <c r="AG52" s="751"/>
      <c r="AH52" s="751"/>
      <c r="AI52" s="751"/>
      <c r="AJ52" s="239"/>
    </row>
    <row r="53" spans="24:36">
      <c r="X53" s="252"/>
      <c r="Y53" s="735"/>
      <c r="Z53" s="751"/>
      <c r="AA53" s="751"/>
      <c r="AB53" s="751"/>
      <c r="AC53" s="751"/>
      <c r="AD53" s="751"/>
      <c r="AE53" s="751"/>
      <c r="AF53" s="751"/>
      <c r="AG53" s="751"/>
      <c r="AH53" s="751"/>
      <c r="AI53" s="751"/>
      <c r="AJ53" s="239"/>
    </row>
    <row r="54" spans="24:36">
      <c r="X54" s="252"/>
      <c r="Y54" s="735"/>
      <c r="Z54" s="751"/>
      <c r="AA54" s="751"/>
      <c r="AB54" s="751"/>
      <c r="AC54" s="751"/>
      <c r="AD54" s="751"/>
      <c r="AE54" s="751"/>
      <c r="AF54" s="751"/>
      <c r="AG54" s="751"/>
      <c r="AH54" s="751"/>
      <c r="AI54" s="751"/>
      <c r="AJ54" s="734"/>
    </row>
    <row r="55" spans="24:36">
      <c r="X55" s="252"/>
      <c r="Y55" s="735"/>
      <c r="Z55" s="751"/>
      <c r="AA55" s="751"/>
      <c r="AB55" s="751"/>
      <c r="AC55" s="751"/>
      <c r="AD55" s="751"/>
      <c r="AE55" s="751"/>
      <c r="AF55" s="751"/>
      <c r="AG55" s="751"/>
      <c r="AH55" s="751"/>
      <c r="AI55" s="751"/>
      <c r="AJ55" s="239"/>
    </row>
    <row r="56" spans="24:36">
      <c r="X56" s="250"/>
      <c r="Y56" s="746"/>
      <c r="Z56" s="751"/>
      <c r="AA56" s="751"/>
      <c r="AB56" s="751"/>
      <c r="AC56" s="751"/>
      <c r="AD56" s="751"/>
      <c r="AE56" s="751"/>
      <c r="AF56" s="751"/>
      <c r="AG56" s="751"/>
      <c r="AH56" s="751"/>
      <c r="AI56" s="751"/>
      <c r="AJ56" s="239"/>
    </row>
    <row r="57" spans="24:36">
      <c r="X57" s="250"/>
      <c r="Y57" s="746"/>
      <c r="Z57" s="751"/>
      <c r="AA57" s="751"/>
      <c r="AB57" s="751"/>
      <c r="AC57" s="751"/>
      <c r="AD57" s="751"/>
      <c r="AE57" s="751"/>
      <c r="AF57" s="751"/>
      <c r="AG57" s="751"/>
      <c r="AH57" s="751"/>
      <c r="AI57" s="751"/>
      <c r="AJ57" s="734"/>
    </row>
    <row r="58" spans="24:36">
      <c r="X58" s="252"/>
      <c r="Y58" s="735"/>
      <c r="Z58" s="751"/>
      <c r="AA58" s="751"/>
      <c r="AB58" s="751"/>
      <c r="AC58" s="751"/>
      <c r="AD58" s="751"/>
      <c r="AE58" s="751"/>
      <c r="AF58" s="751"/>
      <c r="AG58" s="751"/>
      <c r="AH58" s="751"/>
      <c r="AI58" s="751"/>
      <c r="AJ58" s="239"/>
    </row>
    <row r="59" spans="24:36">
      <c r="X59" s="250"/>
      <c r="Y59" s="746"/>
      <c r="Z59" s="751"/>
      <c r="AA59" s="751"/>
      <c r="AB59" s="751"/>
      <c r="AC59" s="751"/>
      <c r="AD59" s="751"/>
      <c r="AE59" s="751"/>
      <c r="AF59" s="751"/>
      <c r="AG59" s="751"/>
      <c r="AH59" s="751"/>
      <c r="AI59" s="751"/>
      <c r="AJ59" s="239"/>
    </row>
    <row r="60" spans="24:36">
      <c r="X60" s="250"/>
      <c r="Y60" s="746"/>
      <c r="Z60" s="751"/>
      <c r="AA60" s="751"/>
      <c r="AB60" s="751"/>
      <c r="AC60" s="751"/>
      <c r="AD60" s="751"/>
      <c r="AE60" s="751"/>
      <c r="AF60" s="751"/>
      <c r="AG60" s="751"/>
      <c r="AH60" s="751"/>
      <c r="AI60" s="751"/>
      <c r="AJ60" s="734"/>
    </row>
    <row r="61" spans="24:36">
      <c r="X61" s="252"/>
      <c r="Y61" s="735"/>
      <c r="Z61" s="751"/>
      <c r="AA61" s="751"/>
      <c r="AB61" s="751"/>
      <c r="AC61" s="751"/>
      <c r="AD61" s="751"/>
      <c r="AE61" s="751"/>
      <c r="AF61" s="751"/>
      <c r="AG61" s="751"/>
      <c r="AH61" s="751"/>
      <c r="AI61" s="751"/>
      <c r="AJ61" s="239"/>
    </row>
    <row r="62" spans="24:36">
      <c r="X62" s="250"/>
      <c r="Y62" s="746"/>
      <c r="Z62" s="751"/>
      <c r="AA62" s="751"/>
      <c r="AB62" s="751"/>
      <c r="AC62" s="751"/>
      <c r="AD62" s="751"/>
      <c r="AE62" s="751"/>
      <c r="AF62" s="751"/>
      <c r="AG62" s="751"/>
      <c r="AH62" s="751"/>
      <c r="AI62" s="751"/>
      <c r="AJ62" s="239"/>
    </row>
    <row r="63" spans="24:36">
      <c r="X63" s="250"/>
      <c r="Y63" s="746"/>
      <c r="Z63" s="751"/>
      <c r="AA63" s="751"/>
      <c r="AB63" s="751"/>
      <c r="AC63" s="751"/>
      <c r="AD63" s="751"/>
      <c r="AE63" s="751"/>
      <c r="AF63" s="751"/>
      <c r="AG63" s="751"/>
      <c r="AH63" s="751"/>
      <c r="AI63" s="751"/>
      <c r="AJ63" s="734"/>
    </row>
    <row r="64" spans="24:36">
      <c r="X64" s="252"/>
      <c r="Y64" s="735"/>
      <c r="Z64" s="751"/>
      <c r="AA64" s="751"/>
      <c r="AB64" s="751"/>
      <c r="AC64" s="751"/>
      <c r="AD64" s="751"/>
      <c r="AE64" s="751"/>
      <c r="AF64" s="751"/>
      <c r="AG64" s="751"/>
      <c r="AH64" s="751"/>
      <c r="AI64" s="751"/>
      <c r="AJ64" s="239"/>
    </row>
    <row r="65" spans="24:36">
      <c r="X65" s="250"/>
      <c r="Y65" s="746"/>
      <c r="Z65" s="751"/>
      <c r="AA65" s="751"/>
      <c r="AB65" s="751"/>
      <c r="AC65" s="751"/>
      <c r="AD65" s="751"/>
      <c r="AE65" s="751"/>
      <c r="AF65" s="751"/>
      <c r="AG65" s="751"/>
      <c r="AH65" s="751"/>
      <c r="AI65" s="751"/>
      <c r="AJ65" s="239"/>
    </row>
    <row r="66" spans="24:36">
      <c r="X66" s="250"/>
      <c r="Y66" s="746"/>
      <c r="Z66" s="751"/>
      <c r="AA66" s="751"/>
      <c r="AB66" s="751"/>
      <c r="AC66" s="751"/>
      <c r="AD66" s="751"/>
      <c r="AE66" s="751"/>
      <c r="AF66" s="751"/>
      <c r="AG66" s="751"/>
      <c r="AH66" s="751"/>
      <c r="AI66" s="751"/>
      <c r="AJ66" s="734"/>
    </row>
    <row r="67" spans="24:36">
      <c r="X67" s="252"/>
      <c r="Y67" s="735"/>
      <c r="Z67" s="751"/>
      <c r="AA67" s="751"/>
      <c r="AB67" s="751"/>
      <c r="AC67" s="751"/>
      <c r="AD67" s="751"/>
      <c r="AE67" s="751"/>
      <c r="AF67" s="751"/>
      <c r="AG67" s="751"/>
      <c r="AH67" s="751"/>
      <c r="AI67" s="751"/>
      <c r="AJ67" s="734"/>
    </row>
    <row r="68" spans="24:36">
      <c r="X68" s="250"/>
      <c r="Y68" s="746"/>
      <c r="Z68" s="751"/>
      <c r="AA68" s="751"/>
      <c r="AB68" s="751"/>
      <c r="AC68" s="751"/>
      <c r="AD68" s="751"/>
      <c r="AE68" s="751"/>
      <c r="AF68" s="751"/>
      <c r="AG68" s="751"/>
      <c r="AH68" s="751"/>
      <c r="AI68" s="751"/>
    </row>
    <row r="69" spans="24:36">
      <c r="X69" s="250"/>
      <c r="Y69" s="746"/>
      <c r="Z69" s="751"/>
      <c r="AA69" s="751"/>
      <c r="AB69" s="751"/>
      <c r="AC69" s="751"/>
      <c r="AD69" s="751"/>
      <c r="AE69" s="751"/>
      <c r="AF69" s="751"/>
      <c r="AG69" s="751"/>
      <c r="AH69" s="751"/>
      <c r="AI69" s="751"/>
    </row>
    <row r="70" spans="24:36">
      <c r="X70" s="252"/>
      <c r="Y70" s="735"/>
      <c r="Z70" s="751"/>
      <c r="AA70" s="751"/>
      <c r="AB70" s="751"/>
      <c r="AC70" s="751"/>
      <c r="AD70" s="751"/>
      <c r="AE70" s="751"/>
      <c r="AF70" s="751"/>
      <c r="AG70" s="751"/>
      <c r="AH70" s="751"/>
      <c r="AI70" s="751"/>
    </row>
    <row r="71" spans="24:36">
      <c r="X71" s="250"/>
      <c r="Y71" s="746"/>
      <c r="Z71" s="751"/>
      <c r="AA71" s="751"/>
      <c r="AB71" s="751"/>
      <c r="AC71" s="751"/>
      <c r="AD71" s="751"/>
      <c r="AE71" s="751"/>
      <c r="AF71" s="751"/>
      <c r="AG71" s="751"/>
      <c r="AH71" s="751"/>
      <c r="AI71" s="751"/>
    </row>
    <row r="72" spans="24:36">
      <c r="X72" s="250"/>
      <c r="Y72" s="746"/>
      <c r="Z72" s="751"/>
      <c r="AA72" s="751"/>
      <c r="AB72" s="751"/>
      <c r="AC72" s="751"/>
      <c r="AD72" s="751"/>
      <c r="AE72" s="751"/>
      <c r="AF72" s="751"/>
      <c r="AG72" s="751"/>
      <c r="AH72" s="751"/>
      <c r="AI72" s="751"/>
    </row>
    <row r="73" spans="24:36">
      <c r="X73" s="252"/>
      <c r="Y73" s="735"/>
      <c r="Z73" s="751"/>
      <c r="AA73" s="751"/>
      <c r="AB73" s="751"/>
      <c r="AC73" s="751"/>
      <c r="AD73" s="751"/>
      <c r="AE73" s="751"/>
      <c r="AF73" s="751"/>
      <c r="AG73" s="751"/>
      <c r="AH73" s="751"/>
      <c r="AI73" s="751"/>
    </row>
    <row r="74" spans="24:36">
      <c r="X74" s="250"/>
      <c r="Y74" s="746"/>
      <c r="Z74" s="751"/>
      <c r="AA74" s="751"/>
      <c r="AB74" s="751"/>
      <c r="AC74" s="751"/>
      <c r="AD74" s="751"/>
      <c r="AE74" s="751"/>
      <c r="AF74" s="751"/>
      <c r="AG74" s="751"/>
      <c r="AH74" s="751"/>
      <c r="AI74" s="751"/>
    </row>
    <row r="75" spans="24:36">
      <c r="X75" s="250"/>
      <c r="Y75" s="746"/>
      <c r="Z75" s="751"/>
      <c r="AA75" s="751"/>
      <c r="AB75" s="751"/>
      <c r="AC75" s="751"/>
      <c r="AD75" s="751"/>
      <c r="AE75" s="751"/>
      <c r="AF75" s="751"/>
      <c r="AG75" s="751"/>
      <c r="AH75" s="751"/>
      <c r="AI75" s="751"/>
    </row>
    <row r="76" spans="24:36">
      <c r="X76" s="252"/>
      <c r="Y76" s="735"/>
      <c r="Z76" s="751"/>
      <c r="AA76" s="751"/>
      <c r="AB76" s="751"/>
      <c r="AC76" s="751"/>
      <c r="AD76" s="751"/>
      <c r="AE76" s="751"/>
      <c r="AF76" s="751"/>
      <c r="AG76" s="751"/>
      <c r="AH76" s="751"/>
      <c r="AI76" s="751"/>
    </row>
    <row r="77" spans="24:36">
      <c r="X77" s="250"/>
      <c r="Y77" s="746"/>
      <c r="Z77" s="751"/>
      <c r="AA77" s="751"/>
      <c r="AB77" s="751"/>
      <c r="AC77" s="751"/>
      <c r="AD77" s="751"/>
      <c r="AE77" s="751"/>
      <c r="AF77" s="751"/>
      <c r="AG77" s="751"/>
      <c r="AH77" s="751"/>
      <c r="AI77" s="751"/>
    </row>
    <row r="78" spans="24:36">
      <c r="X78" s="250"/>
      <c r="Y78" s="746"/>
      <c r="Z78" s="751"/>
      <c r="AA78" s="751"/>
      <c r="AB78" s="751"/>
      <c r="AC78" s="751"/>
      <c r="AD78" s="751"/>
      <c r="AE78" s="751"/>
      <c r="AF78" s="751"/>
      <c r="AG78" s="751"/>
      <c r="AH78" s="751"/>
      <c r="AI78" s="751"/>
    </row>
  </sheetData>
  <mergeCells count="2">
    <mergeCell ref="A1:M1"/>
    <mergeCell ref="A33:M33"/>
  </mergeCells>
  <conditionalFormatting sqref="A1 A33 N1:O1 N2:P4 N5:O5 Q14:Q24 S24:W24 R25:W25 W12:AB17 AC1:XFD1 AD4:AG4 N69:W73 N40:P68 AC46:XFD49 A2:C4 Q11:AB11 N79:XFD1048576 B32:C32 A34:C1048576 AS4:AT4 N31:Y39 AC5:AT17 AU32:XFD33 BF4:XFD31 N74:P75 R74:W75 M4 AC3:XFD3 AC2 AP2:XFD2 N76:W78 AK50:XFD78 W18:Y23 AJ18:AT33 AJ34:XFD45 A5:M31 P29:Y30 P21:P28 N6:N30">
    <cfRule type="cellIs" dxfId="179" priority="66" operator="equal">
      <formula>0</formula>
    </cfRule>
  </conditionalFormatting>
  <conditionalFormatting sqref="A32">
    <cfRule type="cellIs" dxfId="178" priority="65" operator="equal">
      <formula>0</formula>
    </cfRule>
  </conditionalFormatting>
  <conditionalFormatting sqref="D32 D2:D4 D34:D1048576">
    <cfRule type="cellIs" dxfId="177" priority="64" operator="equal">
      <formula>0</formula>
    </cfRule>
  </conditionalFormatting>
  <conditionalFormatting sqref="G32 G2:G3 G34:G1048576">
    <cfRule type="cellIs" dxfId="176" priority="63" operator="equal">
      <formula>0</formula>
    </cfRule>
  </conditionalFormatting>
  <conditionalFormatting sqref="E32 E2:E4 E34:E1048576 D4 F4:G4">
    <cfRule type="cellIs" dxfId="175" priority="62" operator="equal">
      <formula>0</formula>
    </cfRule>
  </conditionalFormatting>
  <conditionalFormatting sqref="F32 F2:F3 F34:F1048576">
    <cfRule type="cellIs" dxfId="174" priority="61" operator="equal">
      <formula>0</formula>
    </cfRule>
  </conditionalFormatting>
  <conditionalFormatting sqref="H32 H2:H3 H34:H1048576">
    <cfRule type="cellIs" dxfId="173" priority="60" operator="equal">
      <formula>0</formula>
    </cfRule>
  </conditionalFormatting>
  <conditionalFormatting sqref="H4">
    <cfRule type="cellIs" dxfId="172" priority="59" operator="equal">
      <formula>0</formula>
    </cfRule>
  </conditionalFormatting>
  <conditionalFormatting sqref="I32 I2:I3 I34:I1048576">
    <cfRule type="cellIs" dxfId="171" priority="58" operator="equal">
      <formula>0</formula>
    </cfRule>
  </conditionalFormatting>
  <conditionalFormatting sqref="I4">
    <cfRule type="cellIs" dxfId="170" priority="57" operator="equal">
      <formula>0</formula>
    </cfRule>
  </conditionalFormatting>
  <conditionalFormatting sqref="V12 Q13:V13 S14:V14 V15:V23">
    <cfRule type="cellIs" dxfId="169" priority="56" operator="equal">
      <formula>0</formula>
    </cfRule>
  </conditionalFormatting>
  <conditionalFormatting sqref="Q12">
    <cfRule type="cellIs" dxfId="168" priority="55" operator="equal">
      <formula>0</formula>
    </cfRule>
  </conditionalFormatting>
  <conditionalFormatting sqref="S12">
    <cfRule type="cellIs" dxfId="167" priority="54" operator="equal">
      <formula>0</formula>
    </cfRule>
  </conditionalFormatting>
  <conditionalFormatting sqref="R16">
    <cfRule type="cellIs" dxfId="166" priority="53" operator="equal">
      <formula>0</formula>
    </cfRule>
  </conditionalFormatting>
  <conditionalFormatting sqref="R17">
    <cfRule type="cellIs" dxfId="165" priority="52" operator="equal">
      <formula>0</formula>
    </cfRule>
  </conditionalFormatting>
  <conditionalFormatting sqref="R18">
    <cfRule type="cellIs" dxfId="164" priority="51" operator="equal">
      <formula>0</formula>
    </cfRule>
  </conditionalFormatting>
  <conditionalFormatting sqref="R19">
    <cfRule type="cellIs" dxfId="163" priority="50" operator="equal">
      <formula>0</formula>
    </cfRule>
  </conditionalFormatting>
  <conditionalFormatting sqref="R20">
    <cfRule type="cellIs" dxfId="162" priority="49" operator="equal">
      <formula>0</formula>
    </cfRule>
  </conditionalFormatting>
  <conditionalFormatting sqref="R21">
    <cfRule type="cellIs" dxfId="161" priority="48" operator="equal">
      <formula>0</formula>
    </cfRule>
  </conditionalFormatting>
  <conditionalFormatting sqref="R22">
    <cfRule type="cellIs" dxfId="160" priority="47" operator="equal">
      <formula>0</formula>
    </cfRule>
  </conditionalFormatting>
  <conditionalFormatting sqref="R23">
    <cfRule type="cellIs" dxfId="159" priority="46" operator="equal">
      <formula>0</formula>
    </cfRule>
  </conditionalFormatting>
  <conditionalFormatting sqref="J32 J2:J3 J34:J1048576">
    <cfRule type="cellIs" dxfId="158" priority="45" operator="equal">
      <formula>0</formula>
    </cfRule>
  </conditionalFormatting>
  <conditionalFormatting sqref="J4">
    <cfRule type="cellIs" dxfId="157" priority="44" operator="equal">
      <formula>0</formula>
    </cfRule>
  </conditionalFormatting>
  <conditionalFormatting sqref="Q25">
    <cfRule type="cellIs" dxfId="156" priority="43" operator="equal">
      <formula>0</formula>
    </cfRule>
  </conditionalFormatting>
  <conditionalFormatting sqref="X16 AB16:AC16 AE16:AI16">
    <cfRule type="cellIs" dxfId="155" priority="42" operator="equal">
      <formula>0</formula>
    </cfRule>
  </conditionalFormatting>
  <conditionalFormatting sqref="X18:Y43">
    <cfRule type="cellIs" dxfId="154" priority="41" operator="equal">
      <formula>0</formula>
    </cfRule>
  </conditionalFormatting>
  <conditionalFormatting sqref="X44:Y44">
    <cfRule type="cellIs" dxfId="153" priority="40" operator="equal">
      <formula>0</formula>
    </cfRule>
  </conditionalFormatting>
  <conditionalFormatting sqref="K32 K2:K3 K34:K1048576">
    <cfRule type="cellIs" dxfId="152" priority="39" operator="equal">
      <formula>0</formula>
    </cfRule>
  </conditionalFormatting>
  <conditionalFormatting sqref="K4">
    <cfRule type="cellIs" dxfId="151" priority="38" operator="equal">
      <formula>0</formula>
    </cfRule>
  </conditionalFormatting>
  <conditionalFormatting sqref="L32 L2:L3 L34:L1048576">
    <cfRule type="cellIs" dxfId="150" priority="37" operator="equal">
      <formula>0</formula>
    </cfRule>
  </conditionalFormatting>
  <conditionalFormatting sqref="L4">
    <cfRule type="cellIs" dxfId="149" priority="36" operator="equal">
      <formula>0</formula>
    </cfRule>
  </conditionalFormatting>
  <conditionalFormatting sqref="P45">
    <cfRule type="cellIs" dxfId="148" priority="35" operator="equal">
      <formula>0</formula>
    </cfRule>
  </conditionalFormatting>
  <conditionalFormatting sqref="M32 M2:M3 M34:M1048576">
    <cfRule type="cellIs" dxfId="147" priority="34" operator="equal">
      <formula>0</formula>
    </cfRule>
  </conditionalFormatting>
  <conditionalFormatting sqref="AJ4:AL4">
    <cfRule type="cellIs" dxfId="146" priority="31" operator="equal">
      <formula>0</formula>
    </cfRule>
  </conditionalFormatting>
  <conditionalFormatting sqref="AH4">
    <cfRule type="cellIs" dxfId="145" priority="33" operator="equal">
      <formula>0</formula>
    </cfRule>
  </conditionalFormatting>
  <conditionalFormatting sqref="AI4">
    <cfRule type="cellIs" dxfId="144" priority="32" operator="equal">
      <formula>0</formula>
    </cfRule>
  </conditionalFormatting>
  <conditionalFormatting sqref="AM4">
    <cfRule type="cellIs" dxfId="143" priority="30" operator="equal">
      <formula>0</formula>
    </cfRule>
  </conditionalFormatting>
  <conditionalFormatting sqref="AN4">
    <cfRule type="cellIs" dxfId="142" priority="29" operator="equal">
      <formula>0</formula>
    </cfRule>
  </conditionalFormatting>
  <conditionalFormatting sqref="AO4">
    <cfRule type="cellIs" dxfId="141" priority="28" operator="equal">
      <formula>0</formula>
    </cfRule>
  </conditionalFormatting>
  <conditionalFormatting sqref="AP4">
    <cfRule type="cellIs" dxfId="140" priority="27" operator="equal">
      <formula>0</formula>
    </cfRule>
  </conditionalFormatting>
  <conditionalFormatting sqref="AQ4">
    <cfRule type="cellIs" dxfId="139" priority="26" operator="equal">
      <formula>0</formula>
    </cfRule>
  </conditionalFormatting>
  <conditionalFormatting sqref="AR4">
    <cfRule type="cellIs" dxfId="138" priority="25" operator="equal">
      <formula>0</formula>
    </cfRule>
  </conditionalFormatting>
  <conditionalFormatting sqref="AU4">
    <cfRule type="cellIs" dxfId="137" priority="24" operator="equal">
      <formula>0</formula>
    </cfRule>
  </conditionalFormatting>
  <conditionalFormatting sqref="AV4">
    <cfRule type="cellIs" dxfId="136" priority="23" operator="equal">
      <formula>0</formula>
    </cfRule>
  </conditionalFormatting>
  <conditionalFormatting sqref="AW4:AY4">
    <cfRule type="cellIs" dxfId="135" priority="22" operator="equal">
      <formula>0</formula>
    </cfRule>
  </conditionalFormatting>
  <conditionalFormatting sqref="AZ4">
    <cfRule type="cellIs" dxfId="134" priority="21" operator="equal">
      <formula>0</formula>
    </cfRule>
  </conditionalFormatting>
  <conditionalFormatting sqref="BA4">
    <cfRule type="cellIs" dxfId="133" priority="20" operator="equal">
      <formula>0</formula>
    </cfRule>
  </conditionalFormatting>
  <conditionalFormatting sqref="BB4">
    <cfRule type="cellIs" dxfId="132" priority="19" operator="equal">
      <formula>0</formula>
    </cfRule>
  </conditionalFormatting>
  <conditionalFormatting sqref="BC4">
    <cfRule type="cellIs" dxfId="131" priority="18" operator="equal">
      <formula>0</formula>
    </cfRule>
  </conditionalFormatting>
  <conditionalFormatting sqref="BD4">
    <cfRule type="cellIs" dxfId="130" priority="17" operator="equal">
      <formula>0</formula>
    </cfRule>
  </conditionalFormatting>
  <conditionalFormatting sqref="BE4">
    <cfRule type="cellIs" dxfId="129" priority="16" operator="equal">
      <formula>0</formula>
    </cfRule>
  </conditionalFormatting>
  <conditionalFormatting sqref="P46">
    <cfRule type="cellIs" dxfId="128" priority="15" operator="equal">
      <formula>0</formula>
    </cfRule>
  </conditionalFormatting>
  <conditionalFormatting sqref="C4 M4">
    <cfRule type="cellIs" dxfId="127" priority="14" operator="equal">
      <formula>0</formula>
    </cfRule>
  </conditionalFormatting>
  <conditionalFormatting sqref="G4">
    <cfRule type="cellIs" dxfId="126" priority="13" operator="equal">
      <formula>0</formula>
    </cfRule>
  </conditionalFormatting>
  <conditionalFormatting sqref="H4">
    <cfRule type="cellIs" dxfId="125" priority="12" operator="equal">
      <formula>0</formula>
    </cfRule>
  </conditionalFormatting>
  <conditionalFormatting sqref="I4">
    <cfRule type="cellIs" dxfId="124" priority="11" operator="equal">
      <formula>0</formula>
    </cfRule>
  </conditionalFormatting>
  <conditionalFormatting sqref="J4">
    <cfRule type="cellIs" dxfId="123" priority="10" operator="equal">
      <formula>0</formula>
    </cfRule>
  </conditionalFormatting>
  <conditionalFormatting sqref="K4">
    <cfRule type="cellIs" dxfId="122" priority="9" operator="equal">
      <formula>0</formula>
    </cfRule>
  </conditionalFormatting>
  <conditionalFormatting sqref="L4">
    <cfRule type="cellIs" dxfId="121" priority="8" operator="equal">
      <formula>0</formula>
    </cfRule>
  </conditionalFormatting>
  <conditionalFormatting sqref="Q3:Q5">
    <cfRule type="cellIs" dxfId="120" priority="6" operator="equal">
      <formula>0</formula>
    </cfRule>
  </conditionalFormatting>
  <conditionalFormatting sqref="AD2">
    <cfRule type="cellIs" dxfId="119" priority="7" operator="equal">
      <formula>0</formula>
    </cfRule>
  </conditionalFormatting>
  <conditionalFormatting sqref="X63:Y73 X50:AJ50 X51:Y57 AJ51:AJ78">
    <cfRule type="cellIs" dxfId="118" priority="5" operator="equal">
      <formula>0</formula>
    </cfRule>
  </conditionalFormatting>
  <conditionalFormatting sqref="X50 AB50:AC50 AE50:AI50">
    <cfRule type="cellIs" dxfId="117" priority="4" operator="equal">
      <formula>0</formula>
    </cfRule>
  </conditionalFormatting>
  <conditionalFormatting sqref="X52:Y77">
    <cfRule type="cellIs" dxfId="116" priority="3" operator="equal">
      <formula>0</formula>
    </cfRule>
  </conditionalFormatting>
  <conditionalFormatting sqref="X78:Y78">
    <cfRule type="cellIs" dxfId="115" priority="2" operator="equal">
      <formula>0</formula>
    </cfRule>
  </conditionalFormatting>
  <conditionalFormatting sqref="O6:O30">
    <cfRule type="cellIs" dxfId="114" priority="1" operator="equal">
      <formula>0</formula>
    </cfRule>
  </conditionalFormatting>
  <printOptions horizontalCentered="1"/>
  <pageMargins left="0.19685039370078741" right="0.19685039370078741" top="1.5748031496062993" bottom="0.39370078740157483" header="0.51181102362204722" footer="0"/>
  <pageSetup paperSize="9" scale="85" fitToWidth="0" orientation="portrait" r:id="rId1"/>
  <headerFooter>
    <oddHeader>&amp;C&amp;G</oddHeader>
  </headerFooter>
  <drawing r:id="rId2"/>
  <legacyDrawingHF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F3A51-9DA7-42AB-9C13-64688D9D77D7}">
  <sheetPr>
    <tabColor rgb="FFA50021"/>
    <pageSetUpPr fitToPage="1"/>
  </sheetPr>
  <dimension ref="A1:M57"/>
  <sheetViews>
    <sheetView showGridLines="0" workbookViewId="0">
      <selection activeCell="Y70" sqref="Y70"/>
    </sheetView>
  </sheetViews>
  <sheetFormatPr defaultColWidth="9.140625" defaultRowHeight="11.25"/>
  <cols>
    <col min="1" max="1" width="3" style="614" customWidth="1"/>
    <col min="2" max="2" width="45.28515625" style="615" customWidth="1"/>
    <col min="3" max="13" width="6.28515625" style="596" customWidth="1"/>
    <col min="14" max="16384" width="9.140625" style="596"/>
  </cols>
  <sheetData>
    <row r="1" spans="1:13" s="593" customFormat="1" ht="26.1" customHeight="1">
      <c r="A1" s="989" t="s">
        <v>820</v>
      </c>
      <c r="B1" s="989"/>
      <c r="C1" s="989"/>
      <c r="D1" s="989"/>
      <c r="E1" s="989"/>
      <c r="F1" s="989"/>
      <c r="G1" s="989"/>
      <c r="H1" s="989"/>
      <c r="I1" s="989"/>
      <c r="J1" s="989"/>
      <c r="K1" s="989"/>
      <c r="L1" s="989"/>
      <c r="M1" s="989"/>
    </row>
    <row r="2" spans="1:13" ht="9.6" customHeight="1">
      <c r="A2" s="594"/>
      <c r="B2" s="595"/>
      <c r="C2" s="595"/>
      <c r="D2" s="595"/>
      <c r="E2" s="595"/>
      <c r="F2" s="595"/>
      <c r="G2" s="595"/>
      <c r="H2" s="595"/>
      <c r="I2" s="595"/>
      <c r="J2" s="595"/>
      <c r="K2" s="595"/>
      <c r="L2" s="595"/>
      <c r="M2" s="595"/>
    </row>
    <row r="3" spans="1:13" s="115" customFormat="1" ht="15" customHeight="1">
      <c r="A3" s="597" t="s">
        <v>41</v>
      </c>
      <c r="B3" s="598"/>
      <c r="C3" s="29"/>
      <c r="D3" s="29"/>
      <c r="E3" s="29"/>
      <c r="F3" s="29"/>
      <c r="G3" s="29"/>
      <c r="H3" s="29"/>
      <c r="I3" s="29"/>
      <c r="J3" s="29"/>
      <c r="K3" s="29"/>
      <c r="L3" s="29"/>
      <c r="M3" s="29" t="s">
        <v>67</v>
      </c>
    </row>
    <row r="4" spans="1:13" s="115" customFormat="1" ht="28.5" customHeight="1" thickBot="1">
      <c r="A4" s="104" t="s">
        <v>583</v>
      </c>
      <c r="B4" s="599"/>
      <c r="C4" s="200">
        <v>2014</v>
      </c>
      <c r="D4" s="200">
        <v>2015</v>
      </c>
      <c r="E4" s="200">
        <v>2016</v>
      </c>
      <c r="F4" s="200">
        <v>2017</v>
      </c>
      <c r="G4" s="200">
        <v>2018</v>
      </c>
      <c r="H4" s="200">
        <v>2019</v>
      </c>
      <c r="I4" s="200">
        <v>2020</v>
      </c>
      <c r="J4" s="200">
        <v>2021</v>
      </c>
      <c r="K4" s="200">
        <v>2022</v>
      </c>
      <c r="L4" s="200">
        <v>2023</v>
      </c>
      <c r="M4" s="200">
        <v>2024</v>
      </c>
    </row>
    <row r="5" spans="1:13" s="115" customFormat="1" ht="25.5" customHeight="1" thickTop="1">
      <c r="A5" s="616"/>
      <c r="B5" s="617" t="s">
        <v>11</v>
      </c>
      <c r="C5" s="618">
        <v>1093.21</v>
      </c>
      <c r="D5" s="618">
        <v>1096.6600000000001</v>
      </c>
      <c r="E5" s="618">
        <v>1107.8599999999999</v>
      </c>
      <c r="F5" s="618">
        <v>1133.3399999999999</v>
      </c>
      <c r="G5" s="618">
        <v>1170.25</v>
      </c>
      <c r="H5" s="618">
        <v>1209.94</v>
      </c>
      <c r="I5" s="618">
        <v>1250.75</v>
      </c>
      <c r="J5" s="618">
        <v>1294.1099999999999</v>
      </c>
      <c r="K5" s="618">
        <v>1368</v>
      </c>
      <c r="L5" s="618">
        <v>1466.66</v>
      </c>
      <c r="M5" s="618">
        <v>1582.75</v>
      </c>
    </row>
    <row r="6" spans="1:13" s="115" customFormat="1" ht="24" customHeight="1">
      <c r="A6" s="600">
        <v>1</v>
      </c>
      <c r="B6" s="603" t="s">
        <v>584</v>
      </c>
      <c r="C6" s="619">
        <v>2418.46</v>
      </c>
      <c r="D6" s="619">
        <v>2441.31</v>
      </c>
      <c r="E6" s="619">
        <v>2466.96</v>
      </c>
      <c r="F6" s="619">
        <v>2498.7199999999998</v>
      </c>
      <c r="G6" s="619">
        <v>2561.62</v>
      </c>
      <c r="H6" s="619">
        <v>2612.42</v>
      </c>
      <c r="I6" s="619">
        <v>2704.83</v>
      </c>
      <c r="J6" s="619">
        <v>2777.23</v>
      </c>
      <c r="K6" s="619">
        <v>2899.85</v>
      </c>
      <c r="L6" s="619">
        <v>3072.68</v>
      </c>
      <c r="M6" s="619">
        <v>3295.85</v>
      </c>
    </row>
    <row r="7" spans="1:13" s="115" customFormat="1" ht="18" customHeight="1">
      <c r="A7" s="604">
        <v>11</v>
      </c>
      <c r="B7" s="610" t="s">
        <v>585</v>
      </c>
      <c r="C7" s="620">
        <v>3059.75</v>
      </c>
      <c r="D7" s="620">
        <v>3074.17</v>
      </c>
      <c r="E7" s="620">
        <v>3068.39</v>
      </c>
      <c r="F7" s="620">
        <v>3238.49</v>
      </c>
      <c r="G7" s="620">
        <v>3288.84</v>
      </c>
      <c r="H7" s="620">
        <v>3413.24</v>
      </c>
      <c r="I7" s="620">
        <v>3508.48</v>
      </c>
      <c r="J7" s="620">
        <v>3576.95</v>
      </c>
      <c r="K7" s="620">
        <v>3682.38</v>
      </c>
      <c r="L7" s="620">
        <v>3923.82</v>
      </c>
      <c r="M7" s="620">
        <v>4213.63</v>
      </c>
    </row>
    <row r="8" spans="1:13" s="115" customFormat="1" ht="12.75" customHeight="1">
      <c r="A8" s="604">
        <v>12</v>
      </c>
      <c r="B8" s="610" t="s">
        <v>586</v>
      </c>
      <c r="C8" s="620">
        <v>2844.74</v>
      </c>
      <c r="D8" s="620">
        <v>2852.35</v>
      </c>
      <c r="E8" s="620">
        <v>2868.82</v>
      </c>
      <c r="F8" s="620">
        <v>2868.86</v>
      </c>
      <c r="G8" s="620">
        <v>2962.65</v>
      </c>
      <c r="H8" s="620">
        <v>2956.76</v>
      </c>
      <c r="I8" s="620">
        <v>3036.88</v>
      </c>
      <c r="J8" s="620">
        <v>3091.33</v>
      </c>
      <c r="K8" s="620">
        <v>3246.33</v>
      </c>
      <c r="L8" s="620">
        <v>3415.29</v>
      </c>
      <c r="M8" s="620">
        <v>3637.96</v>
      </c>
    </row>
    <row r="9" spans="1:13" s="115" customFormat="1" ht="12.75" customHeight="1">
      <c r="A9" s="604">
        <v>13</v>
      </c>
      <c r="B9" s="610" t="s">
        <v>587</v>
      </c>
      <c r="C9" s="620">
        <v>2531.4699999999998</v>
      </c>
      <c r="D9" s="620">
        <v>2564.4699999999998</v>
      </c>
      <c r="E9" s="620">
        <v>2541.4699999999998</v>
      </c>
      <c r="F9" s="620">
        <v>2572.62</v>
      </c>
      <c r="G9" s="620">
        <v>2639.73</v>
      </c>
      <c r="H9" s="620">
        <v>2675.28</v>
      </c>
      <c r="I9" s="620">
        <v>2773.66</v>
      </c>
      <c r="J9" s="620">
        <v>2825.63</v>
      </c>
      <c r="K9" s="620">
        <v>2986.06</v>
      </c>
      <c r="L9" s="620">
        <v>3169.85</v>
      </c>
      <c r="M9" s="620">
        <v>3369.82</v>
      </c>
    </row>
    <row r="10" spans="1:13" s="115" customFormat="1" ht="12.75" customHeight="1">
      <c r="A10" s="604">
        <v>14</v>
      </c>
      <c r="B10" s="610" t="s">
        <v>588</v>
      </c>
      <c r="C10" s="620">
        <v>1464.34</v>
      </c>
      <c r="D10" s="620">
        <v>1498.59</v>
      </c>
      <c r="E10" s="620">
        <v>1577.36</v>
      </c>
      <c r="F10" s="620">
        <v>1540.96</v>
      </c>
      <c r="G10" s="620">
        <v>1573.52</v>
      </c>
      <c r="H10" s="620">
        <v>1688.61</v>
      </c>
      <c r="I10" s="620">
        <v>1728.78</v>
      </c>
      <c r="J10" s="620">
        <v>1828.52</v>
      </c>
      <c r="K10" s="620">
        <v>1905.05</v>
      </c>
      <c r="L10" s="620">
        <v>2068.64</v>
      </c>
      <c r="M10" s="620">
        <v>2246.71</v>
      </c>
    </row>
    <row r="11" spans="1:13" s="115" customFormat="1" ht="12.75" customHeight="1">
      <c r="A11" s="607">
        <v>2</v>
      </c>
      <c r="B11" s="621" t="s">
        <v>589</v>
      </c>
      <c r="C11" s="619">
        <v>1783.54</v>
      </c>
      <c r="D11" s="619">
        <v>1779.9</v>
      </c>
      <c r="E11" s="619">
        <v>1787.99</v>
      </c>
      <c r="F11" s="619">
        <v>1813.14</v>
      </c>
      <c r="G11" s="619">
        <v>1857.37</v>
      </c>
      <c r="H11" s="619">
        <v>1899.12</v>
      </c>
      <c r="I11" s="619">
        <v>1934.48</v>
      </c>
      <c r="J11" s="619">
        <v>1994.66</v>
      </c>
      <c r="K11" s="619">
        <v>2097.65</v>
      </c>
      <c r="L11" s="619">
        <v>2222.79</v>
      </c>
      <c r="M11" s="619">
        <v>2400.04</v>
      </c>
    </row>
    <row r="12" spans="1:13" s="115" customFormat="1" ht="18" customHeight="1">
      <c r="A12" s="609">
        <v>21</v>
      </c>
      <c r="B12" s="610" t="s">
        <v>590</v>
      </c>
      <c r="C12" s="620">
        <v>1913.27</v>
      </c>
      <c r="D12" s="620">
        <v>1890.99</v>
      </c>
      <c r="E12" s="620">
        <v>1880.91</v>
      </c>
      <c r="F12" s="620">
        <v>1846.26</v>
      </c>
      <c r="G12" s="620">
        <v>1885.98</v>
      </c>
      <c r="H12" s="620">
        <v>1937.26</v>
      </c>
      <c r="I12" s="620">
        <v>1973.95</v>
      </c>
      <c r="J12" s="620">
        <v>2018.53</v>
      </c>
      <c r="K12" s="620">
        <v>2130.75</v>
      </c>
      <c r="L12" s="620">
        <v>2265.13</v>
      </c>
      <c r="M12" s="620">
        <v>2423.54</v>
      </c>
    </row>
    <row r="13" spans="1:13" s="115" customFormat="1" ht="12.75" customHeight="1">
      <c r="A13" s="609">
        <v>22</v>
      </c>
      <c r="B13" s="610" t="s">
        <v>591</v>
      </c>
      <c r="C13" s="620">
        <v>1643.21</v>
      </c>
      <c r="D13" s="620">
        <v>1656.32</v>
      </c>
      <c r="E13" s="620">
        <v>1682.63</v>
      </c>
      <c r="F13" s="620">
        <v>1703.88</v>
      </c>
      <c r="G13" s="620">
        <v>1767.87</v>
      </c>
      <c r="H13" s="620">
        <v>1797.9</v>
      </c>
      <c r="I13" s="620">
        <v>1815.11</v>
      </c>
      <c r="J13" s="620">
        <v>1869.32</v>
      </c>
      <c r="K13" s="620">
        <v>1907.31</v>
      </c>
      <c r="L13" s="620">
        <v>1949.99</v>
      </c>
      <c r="M13" s="620">
        <v>2258.16</v>
      </c>
    </row>
    <row r="14" spans="1:13" s="115" customFormat="1" ht="12.75" customHeight="1">
      <c r="A14" s="609">
        <v>23</v>
      </c>
      <c r="B14" s="610" t="s">
        <v>592</v>
      </c>
      <c r="C14" s="620">
        <v>1524.07</v>
      </c>
      <c r="D14" s="620">
        <v>1531.34</v>
      </c>
      <c r="E14" s="620">
        <v>1530.8</v>
      </c>
      <c r="F14" s="620">
        <v>1551.61</v>
      </c>
      <c r="G14" s="620">
        <v>1584.38</v>
      </c>
      <c r="H14" s="620">
        <v>1610.48</v>
      </c>
      <c r="I14" s="620">
        <v>1648.81</v>
      </c>
      <c r="J14" s="620">
        <v>1684.89</v>
      </c>
      <c r="K14" s="620">
        <v>1750.44</v>
      </c>
      <c r="L14" s="620">
        <v>1870.18</v>
      </c>
      <c r="M14" s="620">
        <v>1969.81</v>
      </c>
    </row>
    <row r="15" spans="1:13" s="115" customFormat="1" ht="18.600000000000001" customHeight="1">
      <c r="A15" s="609">
        <v>24</v>
      </c>
      <c r="B15" s="610" t="s">
        <v>593</v>
      </c>
      <c r="C15" s="620">
        <v>1924.53</v>
      </c>
      <c r="D15" s="620">
        <v>1926.63</v>
      </c>
      <c r="E15" s="620">
        <v>1932.38</v>
      </c>
      <c r="F15" s="620">
        <v>2016.88</v>
      </c>
      <c r="G15" s="620">
        <v>2034.37</v>
      </c>
      <c r="H15" s="620">
        <v>2049.98</v>
      </c>
      <c r="I15" s="620">
        <v>2058.7199999999998</v>
      </c>
      <c r="J15" s="620">
        <v>2110.77</v>
      </c>
      <c r="K15" s="620">
        <v>2164.0300000000002</v>
      </c>
      <c r="L15" s="620">
        <v>2278.73</v>
      </c>
      <c r="M15" s="620">
        <v>2405.7199999999998</v>
      </c>
    </row>
    <row r="16" spans="1:13" s="115" customFormat="1" ht="19.5" customHeight="1">
      <c r="A16" s="609">
        <v>25</v>
      </c>
      <c r="B16" s="610" t="s">
        <v>594</v>
      </c>
      <c r="C16" s="620">
        <v>1832.94</v>
      </c>
      <c r="D16" s="620">
        <v>1823.79</v>
      </c>
      <c r="E16" s="620">
        <v>1841.16</v>
      </c>
      <c r="F16" s="620">
        <v>1861.92</v>
      </c>
      <c r="G16" s="620">
        <v>1939.03</v>
      </c>
      <c r="H16" s="620">
        <v>2018.5</v>
      </c>
      <c r="I16" s="620">
        <v>2089.9299999999998</v>
      </c>
      <c r="J16" s="620">
        <v>2197.54</v>
      </c>
      <c r="K16" s="620">
        <v>2412.73</v>
      </c>
      <c r="L16" s="620">
        <v>2595.54</v>
      </c>
      <c r="M16" s="620">
        <v>2778.85</v>
      </c>
    </row>
    <row r="17" spans="1:13" s="115" customFormat="1" ht="17.100000000000001" customHeight="1">
      <c r="A17" s="609">
        <v>26</v>
      </c>
      <c r="B17" s="610" t="s">
        <v>595</v>
      </c>
      <c r="C17" s="620">
        <v>1668.61</v>
      </c>
      <c r="D17" s="620">
        <v>1643.56</v>
      </c>
      <c r="E17" s="620">
        <v>1649.93</v>
      </c>
      <c r="F17" s="620">
        <v>1636.57</v>
      </c>
      <c r="G17" s="620">
        <v>1656.68</v>
      </c>
      <c r="H17" s="620">
        <v>1703.19</v>
      </c>
      <c r="I17" s="620">
        <v>1730.83</v>
      </c>
      <c r="J17" s="620">
        <v>1753.03</v>
      </c>
      <c r="K17" s="620">
        <v>1781.87</v>
      </c>
      <c r="L17" s="620">
        <v>1883.71</v>
      </c>
      <c r="M17" s="620">
        <v>1982.14</v>
      </c>
    </row>
    <row r="18" spans="1:13" s="115" customFormat="1" ht="12.75" customHeight="1">
      <c r="A18" s="607">
        <v>3</v>
      </c>
      <c r="B18" s="621" t="s">
        <v>596</v>
      </c>
      <c r="C18" s="619">
        <v>1469.88</v>
      </c>
      <c r="D18" s="619">
        <v>1484.25</v>
      </c>
      <c r="E18" s="619">
        <v>1494.24</v>
      </c>
      <c r="F18" s="619">
        <v>1518.37</v>
      </c>
      <c r="G18" s="619">
        <v>1554.05</v>
      </c>
      <c r="H18" s="619">
        <v>1583.18</v>
      </c>
      <c r="I18" s="619">
        <v>1589.59</v>
      </c>
      <c r="J18" s="619">
        <v>1608.11</v>
      </c>
      <c r="K18" s="619">
        <v>1705.92</v>
      </c>
      <c r="L18" s="619">
        <v>1836.79</v>
      </c>
      <c r="M18" s="619">
        <v>1947.34</v>
      </c>
    </row>
    <row r="19" spans="1:13" s="115" customFormat="1" ht="17.45" customHeight="1">
      <c r="A19" s="609">
        <v>31</v>
      </c>
      <c r="B19" s="610" t="s">
        <v>597</v>
      </c>
      <c r="C19" s="620">
        <v>1463.93</v>
      </c>
      <c r="D19" s="620">
        <v>1485.89</v>
      </c>
      <c r="E19" s="620">
        <v>1500.92</v>
      </c>
      <c r="F19" s="620">
        <v>1523.6</v>
      </c>
      <c r="G19" s="620">
        <v>1574.81</v>
      </c>
      <c r="H19" s="620">
        <v>1617.15</v>
      </c>
      <c r="I19" s="620">
        <v>1539.68</v>
      </c>
      <c r="J19" s="620">
        <v>1554.79</v>
      </c>
      <c r="K19" s="620">
        <v>1732.44</v>
      </c>
      <c r="L19" s="620">
        <v>1888.07</v>
      </c>
      <c r="M19" s="620">
        <v>1995.53</v>
      </c>
    </row>
    <row r="20" spans="1:13" s="115" customFormat="1" ht="12.75" customHeight="1">
      <c r="A20" s="609">
        <v>32</v>
      </c>
      <c r="B20" s="610" t="s">
        <v>598</v>
      </c>
      <c r="C20" s="620">
        <v>1061.3800000000001</v>
      </c>
      <c r="D20" s="620">
        <v>1055.3599999999999</v>
      </c>
      <c r="E20" s="620">
        <v>1064.2</v>
      </c>
      <c r="F20" s="620">
        <v>1088.1500000000001</v>
      </c>
      <c r="G20" s="620">
        <v>1104.47</v>
      </c>
      <c r="H20" s="620">
        <v>1148.06</v>
      </c>
      <c r="I20" s="620">
        <v>1172.77</v>
      </c>
      <c r="J20" s="620">
        <v>1186.18</v>
      </c>
      <c r="K20" s="620">
        <v>1240.77</v>
      </c>
      <c r="L20" s="620">
        <v>1330.69</v>
      </c>
      <c r="M20" s="620">
        <v>1417.93</v>
      </c>
    </row>
    <row r="21" spans="1:13" s="115" customFormat="1" ht="17.100000000000001" customHeight="1">
      <c r="A21" s="609">
        <v>33</v>
      </c>
      <c r="B21" s="610" t="s">
        <v>599</v>
      </c>
      <c r="C21" s="620">
        <v>1558.7</v>
      </c>
      <c r="D21" s="620">
        <v>1550.5</v>
      </c>
      <c r="E21" s="620">
        <v>1552.83</v>
      </c>
      <c r="F21" s="620">
        <v>1559.1</v>
      </c>
      <c r="G21" s="620">
        <v>1589.25</v>
      </c>
      <c r="H21" s="620">
        <v>1618.66</v>
      </c>
      <c r="I21" s="620">
        <v>1657.26</v>
      </c>
      <c r="J21" s="620">
        <v>1674.25</v>
      </c>
      <c r="K21" s="620">
        <v>1738.3</v>
      </c>
      <c r="L21" s="620">
        <v>1851.94</v>
      </c>
      <c r="M21" s="620">
        <v>1959.3</v>
      </c>
    </row>
    <row r="22" spans="1:13" s="115" customFormat="1" ht="18" customHeight="1">
      <c r="A22" s="609">
        <v>34</v>
      </c>
      <c r="B22" s="610" t="s">
        <v>600</v>
      </c>
      <c r="C22" s="620">
        <v>1670.21</v>
      </c>
      <c r="D22" s="620">
        <v>1902.45</v>
      </c>
      <c r="E22" s="620">
        <v>1966.52</v>
      </c>
      <c r="F22" s="620">
        <v>2103.5300000000002</v>
      </c>
      <c r="G22" s="620">
        <v>2116.96</v>
      </c>
      <c r="H22" s="620">
        <v>2214.2800000000002</v>
      </c>
      <c r="I22" s="620">
        <v>2302.59</v>
      </c>
      <c r="J22" s="620">
        <v>2331.0500000000002</v>
      </c>
      <c r="K22" s="620">
        <v>2328.94</v>
      </c>
      <c r="L22" s="620">
        <v>2513.75</v>
      </c>
      <c r="M22" s="620">
        <v>2583.9699999999998</v>
      </c>
    </row>
    <row r="23" spans="1:13" s="115" customFormat="1" ht="12.75" customHeight="1">
      <c r="A23" s="609">
        <v>35</v>
      </c>
      <c r="B23" s="610" t="s">
        <v>601</v>
      </c>
      <c r="C23" s="620">
        <v>1451.95</v>
      </c>
      <c r="D23" s="620">
        <v>1456.05</v>
      </c>
      <c r="E23" s="620">
        <v>1469.91</v>
      </c>
      <c r="F23" s="620">
        <v>1505.02</v>
      </c>
      <c r="G23" s="620">
        <v>1543.65</v>
      </c>
      <c r="H23" s="620">
        <v>1489.1</v>
      </c>
      <c r="I23" s="620">
        <v>1586.84</v>
      </c>
      <c r="J23" s="620">
        <v>1611.07</v>
      </c>
      <c r="K23" s="620">
        <v>1682.43</v>
      </c>
      <c r="L23" s="620">
        <v>1817.3</v>
      </c>
      <c r="M23" s="620">
        <v>1961.66</v>
      </c>
    </row>
    <row r="24" spans="1:13" s="115" customFormat="1" ht="12.75" customHeight="1">
      <c r="A24" s="607">
        <v>4</v>
      </c>
      <c r="B24" s="621" t="s">
        <v>602</v>
      </c>
      <c r="C24" s="619">
        <v>1052.46</v>
      </c>
      <c r="D24" s="619">
        <v>1042.17</v>
      </c>
      <c r="E24" s="619">
        <v>1046.05</v>
      </c>
      <c r="F24" s="619">
        <v>1063.6600000000001</v>
      </c>
      <c r="G24" s="619">
        <v>1088.81</v>
      </c>
      <c r="H24" s="619">
        <v>1114.3399999999999</v>
      </c>
      <c r="I24" s="619">
        <v>1141.82</v>
      </c>
      <c r="J24" s="619">
        <v>1173.21</v>
      </c>
      <c r="K24" s="619">
        <v>1218.22</v>
      </c>
      <c r="L24" s="619">
        <v>1303.32</v>
      </c>
      <c r="M24" s="619">
        <v>1391.18</v>
      </c>
    </row>
    <row r="25" spans="1:13" s="115" customFormat="1" ht="20.100000000000001" customHeight="1">
      <c r="A25" s="609">
        <v>41</v>
      </c>
      <c r="B25" s="610" t="s">
        <v>603</v>
      </c>
      <c r="C25" s="620">
        <v>1013.67</v>
      </c>
      <c r="D25" s="620">
        <v>1013.69</v>
      </c>
      <c r="E25" s="620">
        <v>1022.88</v>
      </c>
      <c r="F25" s="620">
        <v>1051.02</v>
      </c>
      <c r="G25" s="620">
        <v>1081.9000000000001</v>
      </c>
      <c r="H25" s="620">
        <v>1122.56</v>
      </c>
      <c r="I25" s="620">
        <v>1145.8</v>
      </c>
      <c r="J25" s="620">
        <v>1179.96</v>
      </c>
      <c r="K25" s="620">
        <v>1226.78</v>
      </c>
      <c r="L25" s="620">
        <v>1327.6</v>
      </c>
      <c r="M25" s="620">
        <v>1435.73</v>
      </c>
    </row>
    <row r="26" spans="1:13" s="115" customFormat="1" ht="12.75" customHeight="1">
      <c r="A26" s="609">
        <v>42</v>
      </c>
      <c r="B26" s="610" t="s">
        <v>604</v>
      </c>
      <c r="C26" s="620">
        <v>1076.33</v>
      </c>
      <c r="D26" s="620">
        <v>1046.99</v>
      </c>
      <c r="E26" s="620">
        <v>1041.67</v>
      </c>
      <c r="F26" s="620">
        <v>1055.8699999999999</v>
      </c>
      <c r="G26" s="620">
        <v>1068.97</v>
      </c>
      <c r="H26" s="620">
        <v>1046.6400000000001</v>
      </c>
      <c r="I26" s="620">
        <v>1088.1300000000001</v>
      </c>
      <c r="J26" s="620">
        <v>1107.99</v>
      </c>
      <c r="K26" s="620">
        <v>1141.3599999999999</v>
      </c>
      <c r="L26" s="620">
        <v>1221.43</v>
      </c>
      <c r="M26" s="620">
        <v>1309.4100000000001</v>
      </c>
    </row>
    <row r="27" spans="1:13" s="115" customFormat="1" ht="21" customHeight="1">
      <c r="A27" s="609">
        <v>43</v>
      </c>
      <c r="B27" s="610" t="s">
        <v>605</v>
      </c>
      <c r="C27" s="620">
        <v>1056.78</v>
      </c>
      <c r="D27" s="620">
        <v>1046.1400000000001</v>
      </c>
      <c r="E27" s="620">
        <v>1059.8699999999999</v>
      </c>
      <c r="F27" s="620">
        <v>1067.46</v>
      </c>
      <c r="G27" s="620">
        <v>1092.9100000000001</v>
      </c>
      <c r="H27" s="620">
        <v>1129.99</v>
      </c>
      <c r="I27" s="620">
        <v>1157.1300000000001</v>
      </c>
      <c r="J27" s="620">
        <v>1194.29</v>
      </c>
      <c r="K27" s="620">
        <v>1247.6199999999999</v>
      </c>
      <c r="L27" s="620">
        <v>1326.96</v>
      </c>
      <c r="M27" s="620">
        <v>1389.63</v>
      </c>
    </row>
    <row r="28" spans="1:13" s="115" customFormat="1" ht="12.75" customHeight="1">
      <c r="A28" s="609">
        <v>44</v>
      </c>
      <c r="B28" s="610" t="s">
        <v>606</v>
      </c>
      <c r="C28" s="620">
        <v>1147.96</v>
      </c>
      <c r="D28" s="620">
        <v>1129.92</v>
      </c>
      <c r="E28" s="620">
        <v>1102.3399999999999</v>
      </c>
      <c r="F28" s="620">
        <v>1112.9100000000001</v>
      </c>
      <c r="G28" s="620">
        <v>1135.74</v>
      </c>
      <c r="H28" s="620">
        <v>1165.33</v>
      </c>
      <c r="I28" s="620">
        <v>1178.19</v>
      </c>
      <c r="J28" s="620">
        <v>1212.23</v>
      </c>
      <c r="K28" s="620">
        <v>1257.01</v>
      </c>
      <c r="L28" s="620">
        <v>1330.79</v>
      </c>
      <c r="M28" s="620">
        <v>1412.7</v>
      </c>
    </row>
    <row r="29" spans="1:13" s="115" customFormat="1" ht="12.75" customHeight="1">
      <c r="A29" s="607">
        <v>5</v>
      </c>
      <c r="B29" s="612" t="s">
        <v>607</v>
      </c>
      <c r="C29" s="619">
        <v>759.92</v>
      </c>
      <c r="D29" s="619">
        <v>767.89</v>
      </c>
      <c r="E29" s="619">
        <v>785.26</v>
      </c>
      <c r="F29" s="619">
        <v>808.9</v>
      </c>
      <c r="G29" s="619">
        <v>836.95</v>
      </c>
      <c r="H29" s="619">
        <v>873.06</v>
      </c>
      <c r="I29" s="619">
        <v>899.3</v>
      </c>
      <c r="J29" s="619">
        <v>936.3</v>
      </c>
      <c r="K29" s="619">
        <v>998.48</v>
      </c>
      <c r="L29" s="619">
        <v>1078.9100000000001</v>
      </c>
      <c r="M29" s="619">
        <v>1162.67</v>
      </c>
    </row>
    <row r="30" spans="1:13" s="115" customFormat="1" ht="12.75" customHeight="1">
      <c r="A30" s="609">
        <v>51</v>
      </c>
      <c r="B30" s="610" t="s">
        <v>608</v>
      </c>
      <c r="C30" s="620">
        <v>697.93</v>
      </c>
      <c r="D30" s="620">
        <v>701.3</v>
      </c>
      <c r="E30" s="620">
        <v>721.08</v>
      </c>
      <c r="F30" s="620">
        <v>749.71</v>
      </c>
      <c r="G30" s="620">
        <v>780.53</v>
      </c>
      <c r="H30" s="620">
        <v>814.99</v>
      </c>
      <c r="I30" s="620">
        <v>810.25</v>
      </c>
      <c r="J30" s="620">
        <v>856.13</v>
      </c>
      <c r="K30" s="620">
        <v>935.45</v>
      </c>
      <c r="L30" s="620">
        <v>1007.79</v>
      </c>
      <c r="M30" s="620">
        <v>1090.99</v>
      </c>
    </row>
    <row r="31" spans="1:13" s="127" customFormat="1" ht="12.75" customHeight="1">
      <c r="A31" s="609">
        <v>52</v>
      </c>
      <c r="B31" s="610" t="s">
        <v>609</v>
      </c>
      <c r="C31" s="620">
        <v>828.18</v>
      </c>
      <c r="D31" s="620">
        <v>838.59</v>
      </c>
      <c r="E31" s="620">
        <v>859.19</v>
      </c>
      <c r="F31" s="620">
        <v>883.1</v>
      </c>
      <c r="G31" s="620">
        <v>909</v>
      </c>
      <c r="H31" s="620">
        <v>947.53</v>
      </c>
      <c r="I31" s="620">
        <v>982.98</v>
      </c>
      <c r="J31" s="620">
        <v>1022.97</v>
      </c>
      <c r="K31" s="620">
        <v>1087.31</v>
      </c>
      <c r="L31" s="620">
        <v>1173.1099999999999</v>
      </c>
      <c r="M31" s="620">
        <v>1261.5</v>
      </c>
    </row>
    <row r="32" spans="1:13" s="115" customFormat="1" ht="12.75" customHeight="1">
      <c r="A32" s="609">
        <v>53</v>
      </c>
      <c r="B32" s="610" t="s">
        <v>610</v>
      </c>
      <c r="C32" s="620">
        <v>652.13</v>
      </c>
      <c r="D32" s="620">
        <v>661.71</v>
      </c>
      <c r="E32" s="620">
        <v>675</v>
      </c>
      <c r="F32" s="620">
        <v>701.57</v>
      </c>
      <c r="G32" s="620">
        <v>728.89</v>
      </c>
      <c r="H32" s="620">
        <v>759.26</v>
      </c>
      <c r="I32" s="620">
        <v>785.05</v>
      </c>
      <c r="J32" s="620">
        <v>817.95</v>
      </c>
      <c r="K32" s="620">
        <v>863.47</v>
      </c>
      <c r="L32" s="620">
        <v>946.05</v>
      </c>
      <c r="M32" s="620">
        <v>1028.1099999999999</v>
      </c>
    </row>
    <row r="33" spans="1:13" s="115" customFormat="1" ht="12.75" customHeight="1">
      <c r="A33" s="609">
        <v>54</v>
      </c>
      <c r="B33" s="610" t="s">
        <v>611</v>
      </c>
      <c r="C33" s="620">
        <v>789.66</v>
      </c>
      <c r="D33" s="620">
        <v>806.45</v>
      </c>
      <c r="E33" s="620">
        <v>817.63</v>
      </c>
      <c r="F33" s="620">
        <v>825.72</v>
      </c>
      <c r="G33" s="620">
        <v>860.14</v>
      </c>
      <c r="H33" s="620">
        <v>904.4</v>
      </c>
      <c r="I33" s="620">
        <v>951.02</v>
      </c>
      <c r="J33" s="620">
        <v>970.08</v>
      </c>
      <c r="K33" s="620">
        <v>1018.45</v>
      </c>
      <c r="L33" s="620">
        <v>1097.22</v>
      </c>
      <c r="M33" s="620">
        <v>1168.28</v>
      </c>
    </row>
    <row r="34" spans="1:13" s="115" customFormat="1" ht="16.5" customHeight="1">
      <c r="A34" s="600">
        <v>6</v>
      </c>
      <c r="B34" s="612" t="s">
        <v>612</v>
      </c>
      <c r="C34" s="619">
        <v>744.86</v>
      </c>
      <c r="D34" s="619">
        <v>767.63</v>
      </c>
      <c r="E34" s="619">
        <v>799.91</v>
      </c>
      <c r="F34" s="619">
        <v>801.18</v>
      </c>
      <c r="G34" s="619">
        <v>853.06</v>
      </c>
      <c r="H34" s="619">
        <v>914.72</v>
      </c>
      <c r="I34" s="619">
        <v>883.1</v>
      </c>
      <c r="J34" s="619">
        <v>942.8</v>
      </c>
      <c r="K34" s="619">
        <v>994.21</v>
      </c>
      <c r="L34" s="619">
        <v>1062.6099999999999</v>
      </c>
      <c r="M34" s="619">
        <v>1167.21</v>
      </c>
    </row>
    <row r="35" spans="1:13" s="115" customFormat="1" ht="19.5" customHeight="1">
      <c r="A35" s="604">
        <v>61</v>
      </c>
      <c r="B35" s="610" t="s">
        <v>613</v>
      </c>
      <c r="C35" s="620">
        <v>707.12</v>
      </c>
      <c r="D35" s="620">
        <v>708.35</v>
      </c>
      <c r="E35" s="620">
        <v>726.86</v>
      </c>
      <c r="F35" s="620">
        <v>753.52</v>
      </c>
      <c r="G35" s="620">
        <v>785.88</v>
      </c>
      <c r="H35" s="620">
        <v>812.68</v>
      </c>
      <c r="I35" s="620">
        <v>835.97</v>
      </c>
      <c r="J35" s="620">
        <v>882.51</v>
      </c>
      <c r="K35" s="620">
        <v>940.11</v>
      </c>
      <c r="L35" s="620">
        <v>1011.78</v>
      </c>
      <c r="M35" s="620">
        <v>1083.46</v>
      </c>
    </row>
    <row r="36" spans="1:13" s="115" customFormat="1" ht="18.600000000000001" customHeight="1">
      <c r="A36" s="604">
        <v>62</v>
      </c>
      <c r="B36" s="610" t="s">
        <v>614</v>
      </c>
      <c r="C36" s="620">
        <v>866.38</v>
      </c>
      <c r="D36" s="620">
        <v>959.1</v>
      </c>
      <c r="E36" s="620">
        <v>1031.4000000000001</v>
      </c>
      <c r="F36" s="620">
        <v>959.83</v>
      </c>
      <c r="G36" s="620">
        <v>1065.2</v>
      </c>
      <c r="H36" s="620">
        <v>1255.28</v>
      </c>
      <c r="I36" s="620">
        <v>1052.93</v>
      </c>
      <c r="J36" s="620">
        <v>1170.96</v>
      </c>
      <c r="K36" s="620">
        <v>1187.28</v>
      </c>
      <c r="L36" s="620">
        <v>1249.56</v>
      </c>
      <c r="M36" s="620">
        <v>1470.76</v>
      </c>
    </row>
    <row r="37" spans="1:13" s="115" customFormat="1" ht="12.75" customHeight="1">
      <c r="A37" s="600">
        <v>7</v>
      </c>
      <c r="B37" s="612" t="s">
        <v>615</v>
      </c>
      <c r="C37" s="619">
        <v>840</v>
      </c>
      <c r="D37" s="619">
        <v>846.87</v>
      </c>
      <c r="E37" s="619">
        <v>857.96</v>
      </c>
      <c r="F37" s="619">
        <v>884.52</v>
      </c>
      <c r="G37" s="619">
        <v>920.4</v>
      </c>
      <c r="H37" s="619">
        <v>953.05</v>
      </c>
      <c r="I37" s="619">
        <v>970.12</v>
      </c>
      <c r="J37" s="619">
        <v>1004.57</v>
      </c>
      <c r="K37" s="619">
        <v>1066.29</v>
      </c>
      <c r="L37" s="619">
        <v>1154.1400000000001</v>
      </c>
      <c r="M37" s="619">
        <v>1246.3800000000001</v>
      </c>
    </row>
    <row r="38" spans="1:13" s="115" customFormat="1" ht="12.75" customHeight="1">
      <c r="A38" s="604">
        <v>71</v>
      </c>
      <c r="B38" s="610" t="s">
        <v>616</v>
      </c>
      <c r="C38" s="620">
        <v>788.44</v>
      </c>
      <c r="D38" s="620">
        <v>792.22</v>
      </c>
      <c r="E38" s="620">
        <v>794.87</v>
      </c>
      <c r="F38" s="620">
        <v>812.44</v>
      </c>
      <c r="G38" s="620">
        <v>845.41</v>
      </c>
      <c r="H38" s="620">
        <v>876.52</v>
      </c>
      <c r="I38" s="620">
        <v>894.15</v>
      </c>
      <c r="J38" s="620">
        <v>941.02</v>
      </c>
      <c r="K38" s="620">
        <v>981.83</v>
      </c>
      <c r="L38" s="620">
        <v>1066.4000000000001</v>
      </c>
      <c r="M38" s="620">
        <v>1160.07</v>
      </c>
    </row>
    <row r="39" spans="1:13" s="115" customFormat="1" ht="12.75" customHeight="1">
      <c r="A39" s="604">
        <v>72</v>
      </c>
      <c r="B39" s="610" t="s">
        <v>617</v>
      </c>
      <c r="C39" s="620">
        <v>949.69</v>
      </c>
      <c r="D39" s="620">
        <v>957.85</v>
      </c>
      <c r="E39" s="620">
        <v>968.19</v>
      </c>
      <c r="F39" s="620">
        <v>1001.85</v>
      </c>
      <c r="G39" s="620">
        <v>1041.51</v>
      </c>
      <c r="H39" s="620">
        <v>1077.6199999999999</v>
      </c>
      <c r="I39" s="620">
        <v>1073.58</v>
      </c>
      <c r="J39" s="620">
        <v>1099.98</v>
      </c>
      <c r="K39" s="620">
        <v>1190.8699999999999</v>
      </c>
      <c r="L39" s="620">
        <v>1288.25</v>
      </c>
      <c r="M39" s="620">
        <v>1381.08</v>
      </c>
    </row>
    <row r="40" spans="1:13" s="115" customFormat="1" ht="20.45" customHeight="1">
      <c r="A40" s="604">
        <v>73</v>
      </c>
      <c r="B40" s="610" t="s">
        <v>618</v>
      </c>
      <c r="C40" s="620">
        <v>817.44</v>
      </c>
      <c r="D40" s="620">
        <v>825.6</v>
      </c>
      <c r="E40" s="620">
        <v>836.28</v>
      </c>
      <c r="F40" s="620">
        <v>870.56</v>
      </c>
      <c r="G40" s="620">
        <v>896.98</v>
      </c>
      <c r="H40" s="620">
        <v>919.42</v>
      </c>
      <c r="I40" s="620">
        <v>951.16</v>
      </c>
      <c r="J40" s="620">
        <v>979.51</v>
      </c>
      <c r="K40" s="620">
        <v>1021.76</v>
      </c>
      <c r="L40" s="620">
        <v>1095.27</v>
      </c>
      <c r="M40" s="620">
        <v>1177.33</v>
      </c>
    </row>
    <row r="41" spans="1:13" s="237" customFormat="1" ht="12.75" customHeight="1">
      <c r="A41" s="604">
        <v>74</v>
      </c>
      <c r="B41" s="610" t="s">
        <v>619</v>
      </c>
      <c r="C41" s="620">
        <v>1053.83</v>
      </c>
      <c r="D41" s="620">
        <v>1066.6099999999999</v>
      </c>
      <c r="E41" s="620">
        <v>1083.75</v>
      </c>
      <c r="F41" s="620">
        <v>1101.6199999999999</v>
      </c>
      <c r="G41" s="620">
        <v>1134.3599999999999</v>
      </c>
      <c r="H41" s="620">
        <v>1153.3499999999999</v>
      </c>
      <c r="I41" s="620">
        <v>1174.49</v>
      </c>
      <c r="J41" s="620">
        <v>1201.47</v>
      </c>
      <c r="K41" s="620">
        <v>1256.29</v>
      </c>
      <c r="L41" s="620">
        <v>1343</v>
      </c>
      <c r="M41" s="620">
        <v>1447.72</v>
      </c>
    </row>
    <row r="42" spans="1:13" s="237" customFormat="1" ht="18.95" customHeight="1">
      <c r="A42" s="604">
        <v>75</v>
      </c>
      <c r="B42" s="610" t="s">
        <v>620</v>
      </c>
      <c r="C42" s="620">
        <v>713.59</v>
      </c>
      <c r="D42" s="620">
        <v>719.9</v>
      </c>
      <c r="E42" s="620">
        <v>737.3</v>
      </c>
      <c r="F42" s="620">
        <v>766.74</v>
      </c>
      <c r="G42" s="620">
        <v>797.42</v>
      </c>
      <c r="H42" s="620">
        <v>833.2</v>
      </c>
      <c r="I42" s="620">
        <v>866.79</v>
      </c>
      <c r="J42" s="620">
        <v>902.84</v>
      </c>
      <c r="K42" s="620">
        <v>959.42</v>
      </c>
      <c r="L42" s="620">
        <v>1036.48</v>
      </c>
      <c r="M42" s="620">
        <v>1118.4100000000001</v>
      </c>
    </row>
    <row r="43" spans="1:13" s="237" customFormat="1" ht="12.75" customHeight="1">
      <c r="A43" s="600">
        <v>8</v>
      </c>
      <c r="B43" s="612" t="s">
        <v>621</v>
      </c>
      <c r="C43" s="619">
        <v>842.42</v>
      </c>
      <c r="D43" s="619">
        <v>854.07</v>
      </c>
      <c r="E43" s="619">
        <v>874.93</v>
      </c>
      <c r="F43" s="619">
        <v>906.93</v>
      </c>
      <c r="G43" s="619">
        <v>946.99</v>
      </c>
      <c r="H43" s="619">
        <v>992.07</v>
      </c>
      <c r="I43" s="619">
        <v>1044.52</v>
      </c>
      <c r="J43" s="619">
        <v>1078.25</v>
      </c>
      <c r="K43" s="619">
        <v>1147.77</v>
      </c>
      <c r="L43" s="619">
        <v>1235.24</v>
      </c>
      <c r="M43" s="619">
        <v>1341.97</v>
      </c>
    </row>
    <row r="44" spans="1:13" s="237" customFormat="1" ht="12.75" customHeight="1">
      <c r="A44" s="604">
        <v>81</v>
      </c>
      <c r="B44" s="610" t="s">
        <v>622</v>
      </c>
      <c r="C44" s="620">
        <v>786.43</v>
      </c>
      <c r="D44" s="620">
        <v>794.3</v>
      </c>
      <c r="E44" s="620">
        <v>815.85</v>
      </c>
      <c r="F44" s="620">
        <v>851.23</v>
      </c>
      <c r="G44" s="620">
        <v>892.37</v>
      </c>
      <c r="H44" s="620">
        <v>926.76</v>
      </c>
      <c r="I44" s="620">
        <v>971.4</v>
      </c>
      <c r="J44" s="620">
        <v>1005.61</v>
      </c>
      <c r="K44" s="620">
        <v>1061.51</v>
      </c>
      <c r="L44" s="620">
        <v>1150.71</v>
      </c>
      <c r="M44" s="620">
        <v>1249.25</v>
      </c>
    </row>
    <row r="45" spans="1:13" s="237" customFormat="1" ht="12.75" customHeight="1">
      <c r="A45" s="604">
        <v>82</v>
      </c>
      <c r="B45" s="610" t="s">
        <v>623</v>
      </c>
      <c r="C45" s="620">
        <v>912.18</v>
      </c>
      <c r="D45" s="620">
        <v>915.58</v>
      </c>
      <c r="E45" s="620">
        <v>945.33</v>
      </c>
      <c r="F45" s="620">
        <v>979.05</v>
      </c>
      <c r="G45" s="620">
        <v>980.64</v>
      </c>
      <c r="H45" s="620">
        <v>1030.25</v>
      </c>
      <c r="I45" s="620">
        <v>1084.1400000000001</v>
      </c>
      <c r="J45" s="620">
        <v>1054.45</v>
      </c>
      <c r="K45" s="620">
        <v>1168.45</v>
      </c>
      <c r="L45" s="620">
        <v>1161.8399999999999</v>
      </c>
      <c r="M45" s="620">
        <v>1362.96</v>
      </c>
    </row>
    <row r="46" spans="1:13" s="237" customFormat="1" ht="12.75" customHeight="1">
      <c r="A46" s="604">
        <v>83</v>
      </c>
      <c r="B46" s="610" t="s">
        <v>624</v>
      </c>
      <c r="C46" s="620">
        <v>894.72</v>
      </c>
      <c r="D46" s="620">
        <v>911.86</v>
      </c>
      <c r="E46" s="620">
        <v>929.21</v>
      </c>
      <c r="F46" s="620">
        <v>953.23</v>
      </c>
      <c r="G46" s="620">
        <v>1000.49</v>
      </c>
      <c r="H46" s="620">
        <v>1050.9000000000001</v>
      </c>
      <c r="I46" s="620">
        <v>1109.4000000000001</v>
      </c>
      <c r="J46" s="620">
        <v>1160.08</v>
      </c>
      <c r="K46" s="620">
        <v>1230.99</v>
      </c>
      <c r="L46" s="620">
        <v>1335.17</v>
      </c>
      <c r="M46" s="620">
        <v>1423</v>
      </c>
    </row>
    <row r="47" spans="1:13" s="237" customFormat="1" ht="12.75" customHeight="1">
      <c r="A47" s="600">
        <v>9</v>
      </c>
      <c r="B47" s="612" t="s">
        <v>625</v>
      </c>
      <c r="C47" s="619">
        <v>681.09</v>
      </c>
      <c r="D47" s="619">
        <v>688.24</v>
      </c>
      <c r="E47" s="619">
        <v>707.94</v>
      </c>
      <c r="F47" s="619">
        <v>743.43</v>
      </c>
      <c r="G47" s="619">
        <v>783.76</v>
      </c>
      <c r="H47" s="619">
        <v>816.04</v>
      </c>
      <c r="I47" s="619">
        <v>848.69</v>
      </c>
      <c r="J47" s="619">
        <v>895.67</v>
      </c>
      <c r="K47" s="619">
        <v>942.93</v>
      </c>
      <c r="L47" s="619">
        <v>1007.47</v>
      </c>
      <c r="M47" s="619">
        <v>1058.49</v>
      </c>
    </row>
    <row r="48" spans="1:13" s="237" customFormat="1" ht="12.75" customHeight="1">
      <c r="A48" s="604">
        <v>91</v>
      </c>
      <c r="B48" s="610" t="s">
        <v>626</v>
      </c>
      <c r="C48" s="620">
        <v>616.29</v>
      </c>
      <c r="D48" s="620">
        <v>620.5</v>
      </c>
      <c r="E48" s="620">
        <v>640.96</v>
      </c>
      <c r="F48" s="620">
        <v>670.37</v>
      </c>
      <c r="G48" s="620">
        <v>700.77</v>
      </c>
      <c r="H48" s="620">
        <v>726.19</v>
      </c>
      <c r="I48" s="620">
        <v>758.79</v>
      </c>
      <c r="J48" s="620">
        <v>791.27</v>
      </c>
      <c r="K48" s="620">
        <v>841.71</v>
      </c>
      <c r="L48" s="620">
        <v>914.84</v>
      </c>
      <c r="M48" s="620">
        <v>984.77</v>
      </c>
    </row>
    <row r="49" spans="1:13" s="237" customFormat="1" ht="12.75" customHeight="1">
      <c r="A49" s="604">
        <v>92</v>
      </c>
      <c r="B49" s="610" t="s">
        <v>627</v>
      </c>
      <c r="C49" s="620">
        <v>667.38</v>
      </c>
      <c r="D49" s="620">
        <v>662.75</v>
      </c>
      <c r="E49" s="620">
        <v>680.8</v>
      </c>
      <c r="F49" s="620">
        <v>718.96</v>
      </c>
      <c r="G49" s="620">
        <v>762.53</v>
      </c>
      <c r="H49" s="620">
        <v>776.77</v>
      </c>
      <c r="I49" s="620">
        <v>815.99</v>
      </c>
      <c r="J49" s="620">
        <v>864.6</v>
      </c>
      <c r="K49" s="620">
        <v>895.78</v>
      </c>
      <c r="L49" s="620">
        <v>955.29</v>
      </c>
      <c r="M49" s="620">
        <v>1021.94</v>
      </c>
    </row>
    <row r="50" spans="1:13" s="237" customFormat="1" ht="12.75" customHeight="1">
      <c r="A50" s="604">
        <v>93</v>
      </c>
      <c r="B50" s="610" t="s">
        <v>628</v>
      </c>
      <c r="C50" s="620">
        <v>735.48</v>
      </c>
      <c r="D50" s="620">
        <v>739.51</v>
      </c>
      <c r="E50" s="620">
        <v>752.09</v>
      </c>
      <c r="F50" s="620">
        <v>783.03</v>
      </c>
      <c r="G50" s="620">
        <v>819.13</v>
      </c>
      <c r="H50" s="620">
        <v>850.48</v>
      </c>
      <c r="I50" s="620">
        <v>868.81</v>
      </c>
      <c r="J50" s="620">
        <v>917.59</v>
      </c>
      <c r="K50" s="620">
        <v>966.13</v>
      </c>
      <c r="L50" s="620">
        <v>1032.42</v>
      </c>
      <c r="M50" s="620">
        <v>1112.56</v>
      </c>
    </row>
    <row r="51" spans="1:13" s="237" customFormat="1" ht="12.75" customHeight="1">
      <c r="A51" s="604">
        <v>94</v>
      </c>
      <c r="B51" s="610" t="s">
        <v>629</v>
      </c>
      <c r="C51" s="620">
        <v>582.62</v>
      </c>
      <c r="D51" s="620">
        <v>586.86</v>
      </c>
      <c r="E51" s="620">
        <v>608.30999999999995</v>
      </c>
      <c r="F51" s="620">
        <v>641.04999999999995</v>
      </c>
      <c r="G51" s="620">
        <v>671.59</v>
      </c>
      <c r="H51" s="620">
        <v>697.77</v>
      </c>
      <c r="I51" s="620">
        <v>721.4</v>
      </c>
      <c r="J51" s="620">
        <v>760.68</v>
      </c>
      <c r="K51" s="620">
        <v>811.57</v>
      </c>
      <c r="L51" s="620">
        <v>873.44</v>
      </c>
      <c r="M51" s="620">
        <v>940.89</v>
      </c>
    </row>
    <row r="52" spans="1:13" s="237" customFormat="1" ht="12.75" customHeight="1">
      <c r="A52" s="604">
        <v>95</v>
      </c>
      <c r="B52" s="610" t="s">
        <v>630</v>
      </c>
      <c r="C52" s="620">
        <v>867.18</v>
      </c>
      <c r="D52" s="620">
        <v>900.36</v>
      </c>
      <c r="E52" s="620">
        <v>932.29</v>
      </c>
      <c r="F52" s="620">
        <v>964.98</v>
      </c>
      <c r="G52" s="620">
        <v>989.9</v>
      </c>
      <c r="H52" s="620">
        <v>1042.8900000000001</v>
      </c>
      <c r="I52" s="620">
        <v>1088.98</v>
      </c>
      <c r="J52" s="620">
        <v>1132.52</v>
      </c>
      <c r="K52" s="620">
        <v>1236.77</v>
      </c>
      <c r="L52" s="620">
        <v>1305.25</v>
      </c>
      <c r="M52" s="620">
        <v>1402.04</v>
      </c>
    </row>
    <row r="53" spans="1:13" s="237" customFormat="1" ht="12.75" customHeight="1">
      <c r="A53" s="604">
        <v>96</v>
      </c>
      <c r="B53" s="610" t="s">
        <v>631</v>
      </c>
      <c r="C53" s="620">
        <v>747.1</v>
      </c>
      <c r="D53" s="620">
        <v>758.24</v>
      </c>
      <c r="E53" s="620">
        <v>780.54</v>
      </c>
      <c r="F53" s="620">
        <v>822.15</v>
      </c>
      <c r="G53" s="620">
        <v>874.88</v>
      </c>
      <c r="H53" s="620">
        <v>922.82</v>
      </c>
      <c r="I53" s="620">
        <v>954.98</v>
      </c>
      <c r="J53" s="620">
        <v>1013.14</v>
      </c>
      <c r="K53" s="620">
        <v>1073.02</v>
      </c>
      <c r="L53" s="620">
        <v>1145.4100000000001</v>
      </c>
      <c r="M53" s="620">
        <v>1151.3499999999999</v>
      </c>
    </row>
    <row r="54" spans="1:13" s="237" customFormat="1" ht="12.75" customHeight="1">
      <c r="A54" s="705" t="s">
        <v>632</v>
      </c>
      <c r="B54" s="706"/>
      <c r="C54" s="752">
        <v>1872.04</v>
      </c>
      <c r="D54" s="752">
        <v>2276.44</v>
      </c>
      <c r="E54" s="752">
        <v>2020.39</v>
      </c>
      <c r="F54" s="752">
        <v>2216.48</v>
      </c>
      <c r="G54" s="752">
        <v>1911.05</v>
      </c>
      <c r="H54" s="752">
        <v>2143.6799999999998</v>
      </c>
      <c r="I54" s="752">
        <v>2275.4299999999998</v>
      </c>
      <c r="J54" s="752">
        <v>2387.6799999999998</v>
      </c>
      <c r="K54" s="752">
        <v>2512.64</v>
      </c>
      <c r="L54" s="752">
        <v>3169.09</v>
      </c>
      <c r="M54" s="752">
        <v>3504.65</v>
      </c>
    </row>
    <row r="55" spans="1:13" s="237" customFormat="1" ht="15" customHeight="1">
      <c r="A55" s="19" t="s">
        <v>769</v>
      </c>
      <c r="B55" s="613"/>
      <c r="C55" s="95"/>
      <c r="D55" s="95"/>
      <c r="E55" s="96"/>
      <c r="F55" s="96"/>
      <c r="G55" s="96"/>
      <c r="H55" s="96"/>
      <c r="I55" s="96"/>
      <c r="J55" s="96"/>
      <c r="K55" s="96"/>
      <c r="L55" s="96"/>
      <c r="M55" s="96"/>
    </row>
    <row r="56" spans="1:13" ht="10.5" customHeight="1">
      <c r="B56" s="999" t="s">
        <v>4</v>
      </c>
      <c r="C56" s="999"/>
      <c r="D56" s="999"/>
      <c r="E56" s="999"/>
      <c r="F56" s="999"/>
      <c r="G56" s="999"/>
      <c r="H56" s="999"/>
      <c r="I56" s="999"/>
      <c r="J56" s="999"/>
      <c r="K56" s="999"/>
      <c r="L56" s="999"/>
      <c r="M56" s="999"/>
    </row>
    <row r="57" spans="1:13" ht="15" customHeight="1">
      <c r="B57" s="205"/>
    </row>
  </sheetData>
  <mergeCells count="2">
    <mergeCell ref="A1:M1"/>
    <mergeCell ref="B56:M56"/>
  </mergeCells>
  <conditionalFormatting sqref="A1 A56:B56 E55 B55 A57:C1048576 C7:F53 A2:C3 C54:M54 A5:M6 B4:C4 N1:XFD1048576">
    <cfRule type="cellIs" dxfId="113" priority="37" operator="equal">
      <formula>0</formula>
    </cfRule>
  </conditionalFormatting>
  <conditionalFormatting sqref="C55">
    <cfRule type="cellIs" dxfId="112" priority="36" operator="equal">
      <formula>0</formula>
    </cfRule>
  </conditionalFormatting>
  <conditionalFormatting sqref="E2:E4 E57:E1048576 F4:G4">
    <cfRule type="cellIs" dxfId="111" priority="34" operator="equal">
      <formula>0</formula>
    </cfRule>
  </conditionalFormatting>
  <conditionalFormatting sqref="D2:D4 D57:D1048576">
    <cfRule type="cellIs" dxfId="110" priority="33" operator="equal">
      <formula>0</formula>
    </cfRule>
  </conditionalFormatting>
  <conditionalFormatting sqref="D55">
    <cfRule type="cellIs" dxfId="109" priority="32" operator="equal">
      <formula>0</formula>
    </cfRule>
  </conditionalFormatting>
  <conditionalFormatting sqref="G55">
    <cfRule type="cellIs" dxfId="108" priority="31" operator="equal">
      <formula>0</formula>
    </cfRule>
  </conditionalFormatting>
  <conditionalFormatting sqref="G2:G3 G57:G1048576">
    <cfRule type="cellIs" dxfId="107" priority="30" operator="equal">
      <formula>0</formula>
    </cfRule>
  </conditionalFormatting>
  <conditionalFormatting sqref="F55">
    <cfRule type="cellIs" dxfId="106" priority="29" operator="equal">
      <formula>0</formula>
    </cfRule>
  </conditionalFormatting>
  <conditionalFormatting sqref="F2:F3 F57:F1048576">
    <cfRule type="cellIs" dxfId="105" priority="28" operator="equal">
      <formula>0</formula>
    </cfRule>
  </conditionalFormatting>
  <conditionalFormatting sqref="H4">
    <cfRule type="cellIs" dxfId="104" priority="27" operator="equal">
      <formula>0</formula>
    </cfRule>
  </conditionalFormatting>
  <conditionalFormatting sqref="H55">
    <cfRule type="cellIs" dxfId="103" priority="26" operator="equal">
      <formula>0</formula>
    </cfRule>
  </conditionalFormatting>
  <conditionalFormatting sqref="H2:H3 H57:H1048576">
    <cfRule type="cellIs" dxfId="102" priority="25" operator="equal">
      <formula>0</formula>
    </cfRule>
  </conditionalFormatting>
  <conditionalFormatting sqref="I4">
    <cfRule type="cellIs" dxfId="101" priority="24" operator="equal">
      <formula>0</formula>
    </cfRule>
  </conditionalFormatting>
  <conditionalFormatting sqref="I55">
    <cfRule type="cellIs" dxfId="100" priority="23" operator="equal">
      <formula>0</formula>
    </cfRule>
  </conditionalFormatting>
  <conditionalFormatting sqref="I2:I3 I57:I1048576">
    <cfRule type="cellIs" dxfId="99" priority="22" operator="equal">
      <formula>0</formula>
    </cfRule>
  </conditionalFormatting>
  <conditionalFormatting sqref="K2:K3 K57:K1048576">
    <cfRule type="cellIs" dxfId="98" priority="16" operator="equal">
      <formula>0</formula>
    </cfRule>
  </conditionalFormatting>
  <conditionalFormatting sqref="J4">
    <cfRule type="cellIs" dxfId="97" priority="21" operator="equal">
      <formula>0</formula>
    </cfRule>
  </conditionalFormatting>
  <conditionalFormatting sqref="J55">
    <cfRule type="cellIs" dxfId="96" priority="20" operator="equal">
      <formula>0</formula>
    </cfRule>
  </conditionalFormatting>
  <conditionalFormatting sqref="J2:J3 J57:J1048576">
    <cfRule type="cellIs" dxfId="95" priority="19" operator="equal">
      <formula>0</formula>
    </cfRule>
  </conditionalFormatting>
  <conditionalFormatting sqref="K4">
    <cfRule type="cellIs" dxfId="94" priority="18" operator="equal">
      <formula>0</formula>
    </cfRule>
  </conditionalFormatting>
  <conditionalFormatting sqref="K55">
    <cfRule type="cellIs" dxfId="93" priority="17" operator="equal">
      <formula>0</formula>
    </cfRule>
  </conditionalFormatting>
  <conditionalFormatting sqref="L4">
    <cfRule type="cellIs" dxfId="92" priority="15" operator="equal">
      <formula>0</formula>
    </cfRule>
  </conditionalFormatting>
  <conditionalFormatting sqref="L55">
    <cfRule type="cellIs" dxfId="91" priority="14" operator="equal">
      <formula>0</formula>
    </cfRule>
  </conditionalFormatting>
  <conditionalFormatting sqref="L2:L3 L57:L1048576">
    <cfRule type="cellIs" dxfId="90" priority="13" operator="equal">
      <formula>0</formula>
    </cfRule>
  </conditionalFormatting>
  <conditionalFormatting sqref="I7:I53">
    <cfRule type="cellIs" dxfId="89" priority="10" operator="equal">
      <formula>0</formula>
    </cfRule>
  </conditionalFormatting>
  <conditionalFormatting sqref="G7:G53">
    <cfRule type="cellIs" dxfId="88" priority="12" operator="equal">
      <formula>0</formula>
    </cfRule>
  </conditionalFormatting>
  <conditionalFormatting sqref="H7:H53">
    <cfRule type="cellIs" dxfId="87" priority="11" operator="equal">
      <formula>0</formula>
    </cfRule>
  </conditionalFormatting>
  <conditionalFormatting sqref="J7:J53">
    <cfRule type="cellIs" dxfId="86" priority="9" operator="equal">
      <formula>0</formula>
    </cfRule>
  </conditionalFormatting>
  <conditionalFormatting sqref="K7:K53">
    <cfRule type="cellIs" dxfId="85" priority="8" operator="equal">
      <formula>0</formula>
    </cfRule>
  </conditionalFormatting>
  <conditionalFormatting sqref="L7:L53">
    <cfRule type="cellIs" dxfId="84" priority="7" operator="equal">
      <formula>0</formula>
    </cfRule>
  </conditionalFormatting>
  <conditionalFormatting sqref="M4">
    <cfRule type="cellIs" dxfId="83" priority="6" operator="equal">
      <formula>0</formula>
    </cfRule>
  </conditionalFormatting>
  <conditionalFormatting sqref="M55">
    <cfRule type="cellIs" dxfId="82" priority="5" operator="equal">
      <formula>0</formula>
    </cfRule>
  </conditionalFormatting>
  <conditionalFormatting sqref="M2:M3 M57:M1048576">
    <cfRule type="cellIs" dxfId="81" priority="4" operator="equal">
      <formula>0</formula>
    </cfRule>
  </conditionalFormatting>
  <conditionalFormatting sqref="M7:M53">
    <cfRule type="cellIs" dxfId="80" priority="3" operator="equal">
      <formula>0</formula>
    </cfRule>
  </conditionalFormatting>
  <conditionalFormatting sqref="A4">
    <cfRule type="cellIs" dxfId="79" priority="2" operator="equal">
      <formula>0</formula>
    </cfRule>
  </conditionalFormatting>
  <conditionalFormatting sqref="A55">
    <cfRule type="cellIs" dxfId="78"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80" orientation="portrait" r:id="rId1"/>
  <headerFooter>
    <oddHeader>&amp;C&amp;G</oddHeader>
  </headerFooter>
  <drawing r:id="rId2"/>
  <legacyDrawingHF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55836-A9D8-493A-AA82-8BA136D0D585}">
  <sheetPr>
    <tabColor rgb="FFA50021"/>
  </sheetPr>
  <dimension ref="A1:AY66"/>
  <sheetViews>
    <sheetView showGridLines="0" workbookViewId="0">
      <selection activeCell="Y70" sqref="Y70"/>
    </sheetView>
  </sheetViews>
  <sheetFormatPr defaultColWidth="9.140625" defaultRowHeight="11.25"/>
  <cols>
    <col min="1" max="1" width="3" style="614" customWidth="1"/>
    <col min="2" max="2" width="43.5703125" style="615" customWidth="1"/>
    <col min="3" max="13" width="6.5703125" style="596" customWidth="1"/>
    <col min="14" max="15" width="9.140625" style="596"/>
    <col min="16" max="51" width="9.140625" style="749"/>
    <col min="52" max="16384" width="9.140625" style="596"/>
  </cols>
  <sheetData>
    <row r="1" spans="1:51" s="593" customFormat="1" ht="18" customHeight="1">
      <c r="A1" s="989" t="s">
        <v>821</v>
      </c>
      <c r="B1" s="989"/>
      <c r="C1" s="989"/>
      <c r="D1" s="989"/>
      <c r="E1" s="989"/>
      <c r="F1" s="989"/>
      <c r="G1" s="989"/>
      <c r="H1" s="989"/>
      <c r="I1" s="989"/>
      <c r="J1" s="989"/>
      <c r="K1" s="989"/>
      <c r="L1" s="989"/>
      <c r="M1" s="989"/>
      <c r="P1" s="753"/>
      <c r="Q1" s="675"/>
      <c r="R1" s="673"/>
      <c r="S1" s="673"/>
      <c r="T1" s="673"/>
      <c r="U1" s="673"/>
      <c r="V1" s="691"/>
      <c r="W1" s="673"/>
      <c r="X1" s="673"/>
      <c r="Y1" s="673"/>
      <c r="Z1" s="673"/>
      <c r="AA1" s="673"/>
      <c r="AB1" s="673"/>
      <c r="AC1" s="753"/>
      <c r="AD1" s="753"/>
      <c r="AE1" s="753"/>
      <c r="AF1" s="753"/>
      <c r="AG1" s="753"/>
      <c r="AH1" s="753"/>
      <c r="AI1" s="753"/>
      <c r="AJ1" s="753"/>
      <c r="AK1" s="753"/>
      <c r="AL1" s="753"/>
      <c r="AM1" s="753"/>
      <c r="AN1" s="753"/>
      <c r="AO1" s="753"/>
      <c r="AP1" s="753"/>
      <c r="AQ1" s="753"/>
      <c r="AR1" s="753"/>
      <c r="AS1" s="753"/>
      <c r="AT1" s="753"/>
      <c r="AU1" s="753"/>
      <c r="AV1" s="753"/>
      <c r="AW1" s="753"/>
      <c r="AX1" s="753"/>
      <c r="AY1" s="753"/>
    </row>
    <row r="2" spans="1:51" ht="15" customHeight="1">
      <c r="A2" s="594"/>
      <c r="B2" s="595"/>
      <c r="C2" s="595"/>
      <c r="D2" s="595"/>
      <c r="E2" s="595"/>
      <c r="F2" s="595"/>
      <c r="G2" s="595"/>
      <c r="H2" s="595"/>
      <c r="I2" s="595"/>
      <c r="J2" s="595"/>
      <c r="K2" s="595"/>
      <c r="L2" s="595"/>
      <c r="M2" s="595"/>
      <c r="Q2" s="677"/>
      <c r="R2" s="677"/>
      <c r="S2" s="677"/>
      <c r="T2" s="677"/>
      <c r="U2" s="677"/>
      <c r="V2" s="677"/>
      <c r="W2" s="677"/>
      <c r="X2" s="677"/>
      <c r="Y2" s="677"/>
      <c r="Z2" s="677"/>
      <c r="AA2" s="677"/>
      <c r="AB2" s="677"/>
    </row>
    <row r="3" spans="1:51" s="115" customFormat="1" ht="15" customHeight="1">
      <c r="A3" s="28" t="s">
        <v>41</v>
      </c>
      <c r="B3" s="598"/>
      <c r="C3" s="29"/>
      <c r="D3" s="29"/>
      <c r="E3" s="29"/>
      <c r="F3" s="29"/>
      <c r="G3" s="29"/>
      <c r="H3" s="29"/>
      <c r="I3" s="29"/>
      <c r="J3" s="29"/>
      <c r="K3" s="29"/>
      <c r="L3" s="29"/>
      <c r="M3" s="29" t="s">
        <v>67</v>
      </c>
      <c r="P3" s="677"/>
      <c r="Q3" s="677"/>
      <c r="R3" s="678"/>
      <c r="S3" s="678"/>
      <c r="T3" s="678"/>
      <c r="U3" s="678"/>
      <c r="V3" s="678"/>
      <c r="W3" s="678"/>
      <c r="X3" s="678"/>
      <c r="Y3" s="678"/>
      <c r="Z3" s="678"/>
      <c r="AA3" s="678"/>
      <c r="AB3" s="678"/>
      <c r="AC3" s="677"/>
      <c r="AD3" s="677"/>
      <c r="AE3" s="677"/>
      <c r="AF3" s="677"/>
      <c r="AG3" s="677"/>
      <c r="AH3" s="677"/>
      <c r="AI3" s="677"/>
      <c r="AJ3" s="677"/>
      <c r="AK3" s="677"/>
      <c r="AL3" s="677"/>
      <c r="AM3" s="677"/>
      <c r="AN3" s="677"/>
      <c r="AO3" s="677"/>
      <c r="AP3" s="677"/>
      <c r="AQ3" s="677"/>
      <c r="AR3" s="677"/>
      <c r="AS3" s="677"/>
      <c r="AT3" s="677"/>
      <c r="AU3" s="677"/>
      <c r="AV3" s="677"/>
      <c r="AW3" s="677"/>
      <c r="AX3" s="677"/>
      <c r="AY3" s="677"/>
    </row>
    <row r="4" spans="1:51" s="115" customFormat="1" ht="24" customHeight="1" thickBot="1">
      <c r="A4" s="104" t="s">
        <v>645</v>
      </c>
      <c r="B4" s="599"/>
      <c r="C4" s="200">
        <v>2014</v>
      </c>
      <c r="D4" s="200">
        <v>2015</v>
      </c>
      <c r="E4" s="200">
        <v>2016</v>
      </c>
      <c r="F4" s="200">
        <v>2017</v>
      </c>
      <c r="G4" s="200">
        <v>2018</v>
      </c>
      <c r="H4" s="200">
        <v>2019</v>
      </c>
      <c r="I4" s="200">
        <v>2020</v>
      </c>
      <c r="J4" s="200">
        <v>2021</v>
      </c>
      <c r="K4" s="200">
        <v>2022</v>
      </c>
      <c r="L4" s="200">
        <v>2023</v>
      </c>
      <c r="M4" s="200">
        <v>2024</v>
      </c>
      <c r="P4" s="675"/>
      <c r="Q4" s="677"/>
      <c r="R4" s="675"/>
      <c r="S4" s="677"/>
      <c r="T4" s="677"/>
      <c r="U4" s="677"/>
      <c r="V4" s="677"/>
      <c r="W4" s="677"/>
      <c r="X4" s="677"/>
      <c r="Y4" s="677"/>
      <c r="Z4" s="677"/>
      <c r="AA4" s="677"/>
      <c r="AB4" s="677"/>
      <c r="AC4" s="691"/>
      <c r="AD4" s="677"/>
      <c r="AE4" s="677"/>
      <c r="AF4" s="677"/>
      <c r="AG4" s="677"/>
      <c r="AH4" s="677"/>
      <c r="AI4" s="677"/>
      <c r="AJ4" s="677"/>
      <c r="AK4" s="677"/>
      <c r="AL4" s="677"/>
      <c r="AM4" s="677"/>
      <c r="AN4" s="677"/>
      <c r="AO4" s="677"/>
      <c r="AP4" s="677"/>
      <c r="AQ4" s="677"/>
      <c r="AR4" s="677"/>
      <c r="AS4" s="677"/>
      <c r="AT4" s="677"/>
      <c r="AU4" s="677"/>
      <c r="AV4" s="677"/>
      <c r="AW4" s="677"/>
      <c r="AX4" s="677"/>
      <c r="AY4" s="677"/>
    </row>
    <row r="5" spans="1:51" s="115" customFormat="1" ht="12.75" customHeight="1" thickTop="1">
      <c r="A5" s="616"/>
      <c r="B5" s="617" t="s">
        <v>11</v>
      </c>
      <c r="C5" s="618">
        <v>976.32</v>
      </c>
      <c r="D5" s="618">
        <v>1000.61</v>
      </c>
      <c r="E5" s="618">
        <v>1018.91</v>
      </c>
      <c r="F5" s="618">
        <v>1065.8399999999999</v>
      </c>
      <c r="G5" s="618">
        <v>1071.44</v>
      </c>
      <c r="H5" s="618">
        <v>1079.9000000000001</v>
      </c>
      <c r="I5" s="618">
        <v>1136.98</v>
      </c>
      <c r="J5" s="618">
        <v>1200.32</v>
      </c>
      <c r="K5" s="618">
        <v>1245.44</v>
      </c>
      <c r="L5" s="618">
        <v>1311.32</v>
      </c>
      <c r="M5" s="618">
        <v>1385.12</v>
      </c>
      <c r="O5" s="401"/>
      <c r="P5" s="250"/>
      <c r="Q5" s="677"/>
      <c r="R5" s="675"/>
      <c r="S5" s="677"/>
      <c r="T5" s="677"/>
      <c r="U5" s="677"/>
      <c r="V5" s="677"/>
      <c r="W5" s="677"/>
      <c r="X5" s="677"/>
      <c r="Y5" s="677"/>
      <c r="Z5" s="677"/>
      <c r="AA5" s="677"/>
      <c r="AB5" s="677"/>
      <c r="AC5" s="691"/>
      <c r="AD5" s="677"/>
      <c r="AE5" s="677"/>
      <c r="AF5" s="677"/>
      <c r="AG5" s="677"/>
      <c r="AH5" s="677"/>
      <c r="AI5" s="677"/>
      <c r="AJ5" s="677"/>
      <c r="AK5" s="677"/>
      <c r="AL5" s="677"/>
      <c r="AM5" s="677"/>
      <c r="AN5" s="677"/>
      <c r="AO5" s="677"/>
      <c r="AP5" s="677"/>
      <c r="AQ5" s="677"/>
      <c r="AR5" s="677"/>
      <c r="AS5" s="677"/>
      <c r="AT5" s="677"/>
      <c r="AU5" s="677"/>
      <c r="AV5" s="677"/>
      <c r="AW5" s="677"/>
      <c r="AX5" s="677"/>
      <c r="AY5" s="677"/>
    </row>
    <row r="6" spans="1:51" s="115" customFormat="1" ht="24" customHeight="1">
      <c r="A6" s="600">
        <v>1</v>
      </c>
      <c r="B6" s="603" t="s">
        <v>584</v>
      </c>
      <c r="C6" s="619">
        <v>3314.18</v>
      </c>
      <c r="D6" s="619">
        <v>3165.25</v>
      </c>
      <c r="E6" s="619">
        <v>3269.76</v>
      </c>
      <c r="F6" s="619">
        <v>3475.86</v>
      </c>
      <c r="G6" s="619">
        <v>3451.26</v>
      </c>
      <c r="H6" s="619">
        <v>3467.75</v>
      </c>
      <c r="I6" s="619">
        <v>3809.38</v>
      </c>
      <c r="J6" s="619">
        <v>3973.37</v>
      </c>
      <c r="K6" s="619">
        <v>4155.03</v>
      </c>
      <c r="L6" s="619">
        <v>4422.09</v>
      </c>
      <c r="M6" s="619">
        <v>4558.8100000000004</v>
      </c>
      <c r="O6" s="199"/>
      <c r="P6" s="677"/>
      <c r="Q6" s="754"/>
      <c r="R6" s="708"/>
      <c r="S6" s="677"/>
      <c r="T6" s="677"/>
      <c r="U6" s="677"/>
      <c r="V6" s="677"/>
      <c r="W6" s="677"/>
      <c r="X6" s="677"/>
      <c r="Y6" s="677"/>
      <c r="Z6" s="677"/>
      <c r="AA6" s="677"/>
      <c r="AB6" s="677"/>
      <c r="AC6" s="677"/>
      <c r="AD6" s="677"/>
      <c r="AE6" s="677"/>
      <c r="AF6" s="677"/>
      <c r="AG6" s="677"/>
      <c r="AH6" s="688"/>
      <c r="AI6" s="688"/>
      <c r="AJ6" s="688"/>
      <c r="AK6" s="688"/>
      <c r="AL6" s="688"/>
      <c r="AM6" s="688"/>
      <c r="AN6" s="688"/>
      <c r="AO6" s="688"/>
      <c r="AP6" s="688"/>
      <c r="AQ6" s="688"/>
      <c r="AR6" s="677"/>
      <c r="AS6" s="677"/>
      <c r="AT6" s="677"/>
      <c r="AU6" s="677"/>
      <c r="AV6" s="677"/>
      <c r="AW6" s="677"/>
      <c r="AX6" s="677"/>
      <c r="AY6" s="677"/>
    </row>
    <row r="7" spans="1:51" s="115" customFormat="1" ht="21" customHeight="1">
      <c r="A7" s="604">
        <v>11</v>
      </c>
      <c r="B7" s="755" t="s">
        <v>585</v>
      </c>
      <c r="C7" s="620">
        <v>4864.8</v>
      </c>
      <c r="D7" s="620">
        <v>4405.59</v>
      </c>
      <c r="E7" s="620">
        <v>4817.3500000000004</v>
      </c>
      <c r="F7" s="620">
        <v>5546.3</v>
      </c>
      <c r="G7" s="620">
        <v>5336.28</v>
      </c>
      <c r="H7" s="620">
        <v>5650.1</v>
      </c>
      <c r="I7" s="620">
        <v>6009.58</v>
      </c>
      <c r="J7" s="620">
        <v>5973.79</v>
      </c>
      <c r="K7" s="620">
        <v>6252.19</v>
      </c>
      <c r="L7" s="620">
        <v>6726.55</v>
      </c>
      <c r="M7" s="620">
        <v>6553.21</v>
      </c>
      <c r="O7" s="199"/>
      <c r="P7" s="683"/>
      <c r="Q7" s="708"/>
      <c r="R7" s="708"/>
      <c r="S7" s="677"/>
      <c r="T7" s="677"/>
      <c r="U7" s="677"/>
      <c r="V7" s="677"/>
      <c r="W7" s="677"/>
      <c r="X7" s="677"/>
      <c r="Y7" s="677"/>
      <c r="Z7" s="677"/>
      <c r="AA7" s="677"/>
      <c r="AB7" s="677"/>
      <c r="AC7" s="677"/>
      <c r="AD7" s="677"/>
      <c r="AE7" s="677"/>
      <c r="AF7" s="677"/>
      <c r="AG7" s="683"/>
      <c r="AH7" s="708"/>
      <c r="AI7" s="708"/>
      <c r="AJ7" s="708"/>
      <c r="AK7" s="708"/>
      <c r="AL7" s="708"/>
      <c r="AM7" s="708"/>
      <c r="AN7" s="708"/>
      <c r="AO7" s="708"/>
      <c r="AP7" s="708"/>
      <c r="AQ7" s="708"/>
      <c r="AR7" s="677"/>
      <c r="AS7" s="677"/>
      <c r="AT7" s="677"/>
      <c r="AU7" s="677"/>
      <c r="AV7" s="677"/>
      <c r="AW7" s="677"/>
      <c r="AX7" s="677"/>
      <c r="AY7" s="677"/>
    </row>
    <row r="8" spans="1:51" s="115" customFormat="1" ht="12.75" customHeight="1">
      <c r="A8" s="604">
        <v>12</v>
      </c>
      <c r="B8" s="755" t="s">
        <v>586</v>
      </c>
      <c r="C8" s="620">
        <v>3939.43</v>
      </c>
      <c r="D8" s="620">
        <v>3799.16</v>
      </c>
      <c r="E8" s="620">
        <v>4018.13</v>
      </c>
      <c r="F8" s="620">
        <v>4098.24</v>
      </c>
      <c r="G8" s="620">
        <v>3916.31</v>
      </c>
      <c r="H8" s="620">
        <v>3828.1</v>
      </c>
      <c r="I8" s="620">
        <v>4013.88</v>
      </c>
      <c r="J8" s="620">
        <v>4260.83</v>
      </c>
      <c r="K8" s="620">
        <v>4568.37</v>
      </c>
      <c r="L8" s="620">
        <v>5002.57</v>
      </c>
      <c r="M8" s="620">
        <v>5065.5200000000004</v>
      </c>
      <c r="O8" s="199"/>
      <c r="P8" s="756"/>
      <c r="Q8" s="708"/>
      <c r="R8" s="708"/>
      <c r="S8" s="677"/>
      <c r="T8" s="683"/>
      <c r="U8" s="683"/>
      <c r="V8" s="675"/>
      <c r="W8" s="677"/>
      <c r="X8" s="683"/>
      <c r="Y8" s="679"/>
      <c r="Z8" s="683"/>
      <c r="AA8" s="683"/>
      <c r="AB8" s="683"/>
      <c r="AC8" s="683"/>
      <c r="AD8" s="683"/>
      <c r="AE8" s="677"/>
      <c r="AF8" s="677"/>
      <c r="AG8" s="756"/>
      <c r="AH8" s="708"/>
      <c r="AI8" s="708"/>
      <c r="AJ8" s="708"/>
      <c r="AK8" s="708"/>
      <c r="AL8" s="708"/>
      <c r="AM8" s="708"/>
      <c r="AN8" s="708"/>
      <c r="AO8" s="708"/>
      <c r="AP8" s="708"/>
      <c r="AQ8" s="708"/>
      <c r="AR8" s="677"/>
      <c r="AS8" s="677"/>
      <c r="AT8" s="677"/>
      <c r="AU8" s="677"/>
      <c r="AV8" s="677"/>
      <c r="AW8" s="677"/>
      <c r="AX8" s="677"/>
      <c r="AY8" s="677"/>
    </row>
    <row r="9" spans="1:51" s="115" customFormat="1" ht="12.75" customHeight="1">
      <c r="A9" s="604">
        <v>13</v>
      </c>
      <c r="B9" s="755" t="s">
        <v>587</v>
      </c>
      <c r="C9" s="620">
        <v>3653.25</v>
      </c>
      <c r="D9" s="620">
        <v>3642.61</v>
      </c>
      <c r="E9" s="620">
        <v>3561.65</v>
      </c>
      <c r="F9" s="620">
        <v>3647.86</v>
      </c>
      <c r="G9" s="620">
        <v>3691.58</v>
      </c>
      <c r="H9" s="620">
        <v>3523.92</v>
      </c>
      <c r="I9" s="620">
        <v>3934</v>
      </c>
      <c r="J9" s="620">
        <v>3940.15</v>
      </c>
      <c r="K9" s="620">
        <v>4579.09</v>
      </c>
      <c r="L9" s="620">
        <v>5055.3</v>
      </c>
      <c r="M9" s="620">
        <v>5231.88</v>
      </c>
      <c r="O9" s="199"/>
      <c r="P9" s="757"/>
      <c r="Q9" s="708"/>
      <c r="R9" s="708"/>
      <c r="S9" s="677"/>
      <c r="T9" s="683"/>
      <c r="U9" s="683"/>
      <c r="V9" s="683"/>
      <c r="W9" s="683"/>
      <c r="X9" s="683"/>
      <c r="Y9" s="683"/>
      <c r="Z9" s="683"/>
      <c r="AA9" s="683"/>
      <c r="AB9" s="683"/>
      <c r="AC9" s="683"/>
      <c r="AD9" s="683"/>
      <c r="AE9" s="677"/>
      <c r="AF9" s="677"/>
      <c r="AG9" s="757"/>
      <c r="AH9" s="708"/>
      <c r="AI9" s="708"/>
      <c r="AJ9" s="708"/>
      <c r="AK9" s="708"/>
      <c r="AL9" s="708"/>
      <c r="AM9" s="708"/>
      <c r="AN9" s="708"/>
      <c r="AO9" s="708"/>
      <c r="AP9" s="708"/>
      <c r="AQ9" s="708"/>
      <c r="AR9" s="677"/>
      <c r="AS9" s="677"/>
      <c r="AT9" s="677"/>
      <c r="AU9" s="677"/>
      <c r="AV9" s="677"/>
      <c r="AW9" s="677"/>
      <c r="AX9" s="677"/>
      <c r="AY9" s="677"/>
    </row>
    <row r="10" spans="1:51" s="115" customFormat="1" ht="12.75" customHeight="1">
      <c r="A10" s="604">
        <v>14</v>
      </c>
      <c r="B10" s="755" t="s">
        <v>588</v>
      </c>
      <c r="C10" s="620">
        <v>1590.53</v>
      </c>
      <c r="D10" s="620">
        <v>1702.44</v>
      </c>
      <c r="E10" s="620">
        <v>1688.7</v>
      </c>
      <c r="F10" s="620">
        <v>1805.79</v>
      </c>
      <c r="G10" s="620">
        <v>1878.16</v>
      </c>
      <c r="H10" s="620">
        <v>1959.73</v>
      </c>
      <c r="I10" s="620">
        <v>2175.27</v>
      </c>
      <c r="J10" s="620">
        <v>2456.42</v>
      </c>
      <c r="K10" s="620">
        <v>2268.81</v>
      </c>
      <c r="L10" s="620">
        <v>2388.9699999999998</v>
      </c>
      <c r="M10" s="620">
        <v>2570.31</v>
      </c>
      <c r="O10" s="199"/>
      <c r="P10" s="757"/>
      <c r="Q10" s="708"/>
      <c r="R10" s="708"/>
      <c r="S10" s="677"/>
      <c r="T10" s="683"/>
      <c r="U10" s="684"/>
      <c r="V10" s="684"/>
      <c r="W10" s="684"/>
      <c r="X10" s="684"/>
      <c r="Y10" s="684"/>
      <c r="Z10" s="684"/>
      <c r="AA10" s="684"/>
      <c r="AB10" s="684"/>
      <c r="AC10" s="684"/>
      <c r="AD10" s="684"/>
      <c r="AE10" s="677"/>
      <c r="AF10" s="677"/>
      <c r="AG10" s="757"/>
      <c r="AH10" s="708"/>
      <c r="AI10" s="708"/>
      <c r="AJ10" s="708"/>
      <c r="AK10" s="708"/>
      <c r="AL10" s="708"/>
      <c r="AM10" s="708"/>
      <c r="AN10" s="708"/>
      <c r="AO10" s="708"/>
      <c r="AP10" s="708"/>
      <c r="AQ10" s="708"/>
      <c r="AR10" s="677"/>
      <c r="AS10" s="677"/>
      <c r="AT10" s="677"/>
      <c r="AU10" s="677"/>
      <c r="AV10" s="677"/>
      <c r="AW10" s="677"/>
      <c r="AX10" s="677"/>
      <c r="AY10" s="677"/>
    </row>
    <row r="11" spans="1:51" s="395" customFormat="1" ht="12.75" customHeight="1">
      <c r="A11" s="607">
        <v>2</v>
      </c>
      <c r="B11" s="608" t="s">
        <v>589</v>
      </c>
      <c r="C11" s="619">
        <v>2151.77</v>
      </c>
      <c r="D11" s="619">
        <v>2131.0300000000002</v>
      </c>
      <c r="E11" s="619">
        <v>2168.94</v>
      </c>
      <c r="F11" s="619">
        <v>2278.5</v>
      </c>
      <c r="G11" s="619">
        <v>2217.6799999999998</v>
      </c>
      <c r="H11" s="619">
        <v>2180.15</v>
      </c>
      <c r="I11" s="619">
        <v>2231.09</v>
      </c>
      <c r="J11" s="619">
        <v>2322.75</v>
      </c>
      <c r="K11" s="619">
        <v>2523.0300000000002</v>
      </c>
      <c r="L11" s="619">
        <v>2692.04</v>
      </c>
      <c r="M11" s="619">
        <v>2902.03</v>
      </c>
      <c r="O11" s="758"/>
      <c r="P11" s="757"/>
      <c r="Q11" s="708"/>
      <c r="R11" s="759"/>
      <c r="S11" s="679"/>
      <c r="T11" s="696"/>
      <c r="U11" s="703"/>
      <c r="V11" s="703"/>
      <c r="W11" s="703"/>
      <c r="X11" s="703"/>
      <c r="Y11" s="703"/>
      <c r="Z11" s="703"/>
      <c r="AA11" s="703"/>
      <c r="AB11" s="703"/>
      <c r="AC11" s="703"/>
      <c r="AD11" s="703"/>
      <c r="AE11" s="679"/>
      <c r="AF11" s="679"/>
      <c r="AG11" s="757"/>
      <c r="AH11" s="708"/>
      <c r="AI11" s="708"/>
      <c r="AJ11" s="708"/>
      <c r="AK11" s="708"/>
      <c r="AL11" s="708"/>
      <c r="AM11" s="708"/>
      <c r="AN11" s="708"/>
      <c r="AO11" s="708"/>
      <c r="AP11" s="708"/>
      <c r="AQ11" s="708"/>
      <c r="AR11" s="679"/>
      <c r="AS11" s="679"/>
      <c r="AT11" s="679"/>
      <c r="AU11" s="679"/>
      <c r="AV11" s="679"/>
      <c r="AW11" s="679"/>
      <c r="AX11" s="679"/>
      <c r="AY11" s="679"/>
    </row>
    <row r="12" spans="1:51" s="115" customFormat="1" ht="20.45" customHeight="1">
      <c r="A12" s="609">
        <v>21</v>
      </c>
      <c r="B12" s="755" t="s">
        <v>790</v>
      </c>
      <c r="C12" s="620">
        <v>2634.9</v>
      </c>
      <c r="D12" s="620">
        <v>2633.92</v>
      </c>
      <c r="E12" s="620">
        <v>2680.11</v>
      </c>
      <c r="F12" s="620">
        <v>2930.07</v>
      </c>
      <c r="G12" s="620">
        <v>2663.82</v>
      </c>
      <c r="H12" s="620">
        <v>2527.4899999999998</v>
      </c>
      <c r="I12" s="620">
        <v>2508.96</v>
      </c>
      <c r="J12" s="620">
        <v>2474.98</v>
      </c>
      <c r="K12" s="620">
        <v>2501.8200000000002</v>
      </c>
      <c r="L12" s="620">
        <v>2631.67</v>
      </c>
      <c r="M12" s="620">
        <v>2829.4</v>
      </c>
      <c r="O12" s="199"/>
      <c r="P12" s="757"/>
      <c r="Q12" s="708"/>
      <c r="R12" s="708"/>
      <c r="S12" s="677"/>
      <c r="T12" s="756"/>
      <c r="U12" s="680"/>
      <c r="V12" s="680"/>
      <c r="W12" s="680"/>
      <c r="X12" s="680"/>
      <c r="Y12" s="680"/>
      <c r="Z12" s="680"/>
      <c r="AA12" s="680"/>
      <c r="AB12" s="680"/>
      <c r="AC12" s="680"/>
      <c r="AD12" s="680"/>
      <c r="AE12" s="677"/>
      <c r="AF12" s="677"/>
      <c r="AG12" s="757"/>
      <c r="AH12" s="708"/>
      <c r="AI12" s="708"/>
      <c r="AJ12" s="708"/>
      <c r="AK12" s="708"/>
      <c r="AL12" s="708"/>
      <c r="AM12" s="708"/>
      <c r="AN12" s="708"/>
      <c r="AO12" s="708"/>
      <c r="AP12" s="708"/>
      <c r="AQ12" s="708"/>
      <c r="AR12" s="677"/>
      <c r="AS12" s="677"/>
      <c r="AT12" s="677"/>
      <c r="AU12" s="677"/>
      <c r="AV12" s="677"/>
      <c r="AW12" s="677"/>
      <c r="AX12" s="677"/>
      <c r="AY12" s="677"/>
    </row>
    <row r="13" spans="1:51" s="115" customFormat="1" ht="12.75" customHeight="1">
      <c r="A13" s="609">
        <v>22</v>
      </c>
      <c r="B13" s="755" t="s">
        <v>591</v>
      </c>
      <c r="C13" s="620">
        <v>2296.02</v>
      </c>
      <c r="D13" s="620">
        <v>2350.0700000000002</v>
      </c>
      <c r="E13" s="620">
        <v>2409.92</v>
      </c>
      <c r="F13" s="620">
        <v>2516.9899999999998</v>
      </c>
      <c r="G13" s="620">
        <v>2625.81</v>
      </c>
      <c r="H13" s="620">
        <v>2500.6</v>
      </c>
      <c r="I13" s="620">
        <v>2465.23</v>
      </c>
      <c r="J13" s="620">
        <v>2585.1999999999998</v>
      </c>
      <c r="K13" s="620">
        <v>2525.5100000000002</v>
      </c>
      <c r="L13" s="620">
        <v>2397.52</v>
      </c>
      <c r="M13" s="620">
        <v>2872.99</v>
      </c>
      <c r="O13" s="199"/>
      <c r="P13" s="704"/>
      <c r="Q13" s="708"/>
      <c r="R13" s="708"/>
      <c r="S13" s="677"/>
      <c r="T13" s="757"/>
      <c r="U13" s="680"/>
      <c r="V13" s="680"/>
      <c r="W13" s="680"/>
      <c r="X13" s="680"/>
      <c r="Y13" s="680"/>
      <c r="Z13" s="680"/>
      <c r="AA13" s="680"/>
      <c r="AB13" s="680"/>
      <c r="AC13" s="680"/>
      <c r="AD13" s="680"/>
      <c r="AE13" s="677"/>
      <c r="AF13" s="677"/>
      <c r="AG13" s="704"/>
      <c r="AH13" s="708"/>
      <c r="AI13" s="708"/>
      <c r="AJ13" s="708"/>
      <c r="AK13" s="708"/>
      <c r="AL13" s="708"/>
      <c r="AM13" s="708"/>
      <c r="AN13" s="708"/>
      <c r="AO13" s="708"/>
      <c r="AP13" s="708"/>
      <c r="AQ13" s="708"/>
      <c r="AR13" s="677"/>
      <c r="AS13" s="677"/>
      <c r="AT13" s="677"/>
      <c r="AU13" s="677"/>
      <c r="AV13" s="677"/>
      <c r="AW13" s="677"/>
      <c r="AX13" s="677"/>
      <c r="AY13" s="677"/>
    </row>
    <row r="14" spans="1:51" s="115" customFormat="1" ht="12.75" customHeight="1">
      <c r="A14" s="609">
        <v>23</v>
      </c>
      <c r="B14" s="755" t="s">
        <v>592</v>
      </c>
      <c r="C14" s="620">
        <v>2052.1999999999998</v>
      </c>
      <c r="D14" s="620">
        <v>2061.14</v>
      </c>
      <c r="E14" s="620">
        <v>2128.54</v>
      </c>
      <c r="F14" s="620">
        <v>2150.7199999999998</v>
      </c>
      <c r="G14" s="620">
        <v>2211.66</v>
      </c>
      <c r="H14" s="620">
        <v>2116.4299999999998</v>
      </c>
      <c r="I14" s="620">
        <v>2168.0700000000002</v>
      </c>
      <c r="J14" s="620">
        <v>2242.06</v>
      </c>
      <c r="K14" s="620">
        <v>2316.39</v>
      </c>
      <c r="L14" s="620">
        <v>2644.83</v>
      </c>
      <c r="M14" s="620">
        <v>2704.23</v>
      </c>
      <c r="O14" s="199"/>
      <c r="P14" s="757"/>
      <c r="Q14" s="708"/>
      <c r="R14" s="708"/>
      <c r="S14" s="677"/>
      <c r="T14" s="757"/>
      <c r="U14" s="680"/>
      <c r="V14" s="680"/>
      <c r="W14" s="680"/>
      <c r="X14" s="680"/>
      <c r="Y14" s="680"/>
      <c r="Z14" s="680"/>
      <c r="AA14" s="680"/>
      <c r="AB14" s="680"/>
      <c r="AC14" s="680"/>
      <c r="AD14" s="680"/>
      <c r="AE14" s="677"/>
      <c r="AF14" s="677"/>
      <c r="AG14" s="757"/>
      <c r="AH14" s="708"/>
      <c r="AI14" s="708"/>
      <c r="AJ14" s="708"/>
      <c r="AK14" s="708"/>
      <c r="AL14" s="708"/>
      <c r="AM14" s="708"/>
      <c r="AN14" s="708"/>
      <c r="AO14" s="708"/>
      <c r="AP14" s="708"/>
      <c r="AQ14" s="708"/>
      <c r="AR14" s="677"/>
      <c r="AS14" s="677"/>
      <c r="AT14" s="677"/>
      <c r="AU14" s="677"/>
      <c r="AV14" s="677"/>
      <c r="AW14" s="677"/>
      <c r="AX14" s="677"/>
      <c r="AY14" s="677"/>
    </row>
    <row r="15" spans="1:51" s="115" customFormat="1" ht="20.25" customHeight="1">
      <c r="A15" s="609">
        <v>24</v>
      </c>
      <c r="B15" s="755" t="s">
        <v>822</v>
      </c>
      <c r="C15" s="620">
        <v>2256.91</v>
      </c>
      <c r="D15" s="620">
        <v>2089.63</v>
      </c>
      <c r="E15" s="620">
        <v>2125.04</v>
      </c>
      <c r="F15" s="620">
        <v>2183.37</v>
      </c>
      <c r="G15" s="620">
        <v>2062.7199999999998</v>
      </c>
      <c r="H15" s="620">
        <v>1981.79</v>
      </c>
      <c r="I15" s="620">
        <v>2002.31</v>
      </c>
      <c r="J15" s="620">
        <v>2072.14</v>
      </c>
      <c r="K15" s="620">
        <v>2262.6999999999998</v>
      </c>
      <c r="L15" s="620">
        <v>2492.92</v>
      </c>
      <c r="M15" s="620">
        <v>2637.15</v>
      </c>
      <c r="O15" s="199"/>
      <c r="P15" s="757"/>
      <c r="Q15" s="708"/>
      <c r="R15" s="708"/>
      <c r="S15" s="677"/>
      <c r="T15" s="757"/>
      <c r="U15" s="680"/>
      <c r="V15" s="680"/>
      <c r="W15" s="680"/>
      <c r="X15" s="680"/>
      <c r="Y15" s="680"/>
      <c r="Z15" s="680"/>
      <c r="AA15" s="680"/>
      <c r="AB15" s="680"/>
      <c r="AC15" s="680"/>
      <c r="AD15" s="680"/>
      <c r="AE15" s="677"/>
      <c r="AF15" s="677"/>
      <c r="AG15" s="757"/>
      <c r="AH15" s="708"/>
      <c r="AI15" s="708"/>
      <c r="AJ15" s="708"/>
      <c r="AK15" s="708"/>
      <c r="AL15" s="708"/>
      <c r="AM15" s="708"/>
      <c r="AN15" s="708"/>
      <c r="AO15" s="708"/>
      <c r="AP15" s="708"/>
      <c r="AQ15" s="708"/>
      <c r="AR15" s="677"/>
      <c r="AS15" s="677"/>
      <c r="AT15" s="677"/>
      <c r="AU15" s="677"/>
      <c r="AV15" s="677"/>
      <c r="AW15" s="677"/>
      <c r="AX15" s="677"/>
      <c r="AY15" s="677"/>
    </row>
    <row r="16" spans="1:51" s="115" customFormat="1" ht="12.75" customHeight="1">
      <c r="A16" s="609">
        <v>25</v>
      </c>
      <c r="B16" s="755" t="s">
        <v>791</v>
      </c>
      <c r="C16" s="620">
        <v>1889.88</v>
      </c>
      <c r="D16" s="620">
        <v>1864.96</v>
      </c>
      <c r="E16" s="620">
        <v>1897.32</v>
      </c>
      <c r="F16" s="620">
        <v>1979.71</v>
      </c>
      <c r="G16" s="620">
        <v>2012.64</v>
      </c>
      <c r="H16" s="620">
        <v>2144.62</v>
      </c>
      <c r="I16" s="620">
        <v>2235.9499999999998</v>
      </c>
      <c r="J16" s="620">
        <v>2405.7199999999998</v>
      </c>
      <c r="K16" s="620">
        <v>2756.23</v>
      </c>
      <c r="L16" s="620">
        <v>2940.12</v>
      </c>
      <c r="M16" s="620">
        <v>3175.92</v>
      </c>
      <c r="O16" s="199"/>
      <c r="P16" s="757"/>
      <c r="Q16" s="708"/>
      <c r="R16" s="708"/>
      <c r="S16" s="677"/>
      <c r="T16" s="757"/>
      <c r="U16" s="680"/>
      <c r="V16" s="680"/>
      <c r="W16" s="680"/>
      <c r="X16" s="680"/>
      <c r="Y16" s="680"/>
      <c r="Z16" s="680"/>
      <c r="AA16" s="680"/>
      <c r="AB16" s="680"/>
      <c r="AC16" s="680"/>
      <c r="AD16" s="680"/>
      <c r="AE16" s="677"/>
      <c r="AF16" s="677"/>
      <c r="AG16" s="757"/>
      <c r="AH16" s="708"/>
      <c r="AI16" s="708"/>
      <c r="AJ16" s="708"/>
      <c r="AK16" s="708"/>
      <c r="AL16" s="708"/>
      <c r="AM16" s="708"/>
      <c r="AN16" s="708"/>
      <c r="AO16" s="708"/>
      <c r="AP16" s="708"/>
      <c r="AQ16" s="708"/>
      <c r="AR16" s="677"/>
      <c r="AS16" s="677"/>
      <c r="AT16" s="677"/>
      <c r="AU16" s="677"/>
      <c r="AV16" s="677"/>
      <c r="AW16" s="677"/>
      <c r="AX16" s="677"/>
      <c r="AY16" s="677"/>
    </row>
    <row r="17" spans="1:51" s="115" customFormat="1" ht="12.75" customHeight="1">
      <c r="A17" s="609">
        <v>26</v>
      </c>
      <c r="B17" s="755" t="s">
        <v>792</v>
      </c>
      <c r="C17" s="620">
        <v>1441.99</v>
      </c>
      <c r="D17" s="620">
        <v>1400.81</v>
      </c>
      <c r="E17" s="620">
        <v>1390.69</v>
      </c>
      <c r="F17" s="620">
        <v>1444.32</v>
      </c>
      <c r="G17" s="620">
        <v>1422.87</v>
      </c>
      <c r="H17" s="620">
        <v>1518.36</v>
      </c>
      <c r="I17" s="620">
        <v>1781.93</v>
      </c>
      <c r="J17" s="620">
        <v>1888.62</v>
      </c>
      <c r="K17" s="620">
        <v>1966.92</v>
      </c>
      <c r="L17" s="620">
        <v>2110.9299999999998</v>
      </c>
      <c r="M17" s="620">
        <v>2182.5100000000002</v>
      </c>
      <c r="O17" s="199"/>
      <c r="P17" s="757"/>
      <c r="Q17" s="708"/>
      <c r="R17" s="708"/>
      <c r="S17" s="677"/>
      <c r="T17" s="704"/>
      <c r="U17" s="680"/>
      <c r="V17" s="680"/>
      <c r="W17" s="680"/>
      <c r="X17" s="680"/>
      <c r="Y17" s="680"/>
      <c r="Z17" s="680"/>
      <c r="AA17" s="680"/>
      <c r="AB17" s="680"/>
      <c r="AC17" s="680"/>
      <c r="AD17" s="680"/>
      <c r="AE17" s="677"/>
      <c r="AF17" s="677"/>
      <c r="AG17" s="757"/>
      <c r="AH17" s="708"/>
      <c r="AI17" s="708"/>
      <c r="AJ17" s="708"/>
      <c r="AK17" s="708"/>
      <c r="AL17" s="708"/>
      <c r="AM17" s="708"/>
      <c r="AN17" s="708"/>
      <c r="AO17" s="708"/>
      <c r="AP17" s="708"/>
      <c r="AQ17" s="708"/>
      <c r="AR17" s="677"/>
      <c r="AS17" s="677"/>
      <c r="AT17" s="677"/>
      <c r="AU17" s="677"/>
      <c r="AV17" s="677"/>
      <c r="AW17" s="677"/>
      <c r="AX17" s="677"/>
      <c r="AY17" s="677"/>
    </row>
    <row r="18" spans="1:51" s="395" customFormat="1" ht="11.25" customHeight="1">
      <c r="A18" s="607">
        <v>3</v>
      </c>
      <c r="B18" s="608" t="s">
        <v>596</v>
      </c>
      <c r="C18" s="619">
        <v>2306.66</v>
      </c>
      <c r="D18" s="619">
        <v>2798.72</v>
      </c>
      <c r="E18" s="619">
        <v>2807.15</v>
      </c>
      <c r="F18" s="619">
        <v>2905.39</v>
      </c>
      <c r="G18" s="619">
        <v>2658.34</v>
      </c>
      <c r="H18" s="619">
        <v>2536.29</v>
      </c>
      <c r="I18" s="619">
        <v>2374.08</v>
      </c>
      <c r="J18" s="619">
        <v>2154.56</v>
      </c>
      <c r="K18" s="619">
        <v>2210.66</v>
      </c>
      <c r="L18" s="619">
        <v>2335.94</v>
      </c>
      <c r="M18" s="619">
        <v>2333.11</v>
      </c>
      <c r="O18" s="758"/>
      <c r="P18" s="757"/>
      <c r="Q18" s="708"/>
      <c r="R18" s="759"/>
      <c r="S18" s="679"/>
      <c r="T18" s="757"/>
      <c r="U18" s="703"/>
      <c r="V18" s="703"/>
      <c r="W18" s="703"/>
      <c r="X18" s="703"/>
      <c r="Y18" s="703"/>
      <c r="Z18" s="703"/>
      <c r="AA18" s="703"/>
      <c r="AB18" s="703"/>
      <c r="AC18" s="703"/>
      <c r="AD18" s="703"/>
      <c r="AE18" s="679"/>
      <c r="AF18" s="679"/>
      <c r="AG18" s="757"/>
      <c r="AH18" s="708"/>
      <c r="AI18" s="708"/>
      <c r="AJ18" s="708"/>
      <c r="AK18" s="708"/>
      <c r="AL18" s="708"/>
      <c r="AM18" s="708"/>
      <c r="AN18" s="708"/>
      <c r="AO18" s="708"/>
      <c r="AP18" s="708"/>
      <c r="AQ18" s="708"/>
      <c r="AR18" s="679"/>
      <c r="AS18" s="679"/>
      <c r="AT18" s="679"/>
      <c r="AU18" s="679"/>
      <c r="AV18" s="679"/>
      <c r="AW18" s="679"/>
      <c r="AX18" s="679"/>
      <c r="AY18" s="679"/>
    </row>
    <row r="19" spans="1:51" s="115" customFormat="1" ht="18.600000000000001" customHeight="1">
      <c r="A19" s="609">
        <v>31</v>
      </c>
      <c r="B19" s="755" t="s">
        <v>597</v>
      </c>
      <c r="C19" s="620">
        <v>1554.77</v>
      </c>
      <c r="D19" s="620">
        <v>1631.82</v>
      </c>
      <c r="E19" s="620">
        <v>1602.87</v>
      </c>
      <c r="F19" s="620">
        <v>1861.66</v>
      </c>
      <c r="G19" s="620">
        <v>1801.08</v>
      </c>
      <c r="H19" s="620">
        <v>1742.49</v>
      </c>
      <c r="I19" s="620">
        <v>1637.81</v>
      </c>
      <c r="J19" s="620">
        <v>1309.5899999999999</v>
      </c>
      <c r="K19" s="620">
        <v>1544.36</v>
      </c>
      <c r="L19" s="620">
        <v>1927.16</v>
      </c>
      <c r="M19" s="620">
        <v>1813.03</v>
      </c>
      <c r="O19" s="199"/>
      <c r="P19" s="757"/>
      <c r="Q19" s="708"/>
      <c r="R19" s="708"/>
      <c r="S19" s="677"/>
      <c r="T19" s="757"/>
      <c r="U19" s="680"/>
      <c r="V19" s="680"/>
      <c r="W19" s="680"/>
      <c r="X19" s="680"/>
      <c r="Y19" s="680"/>
      <c r="Z19" s="680"/>
      <c r="AA19" s="680"/>
      <c r="AB19" s="680"/>
      <c r="AC19" s="680"/>
      <c r="AD19" s="680"/>
      <c r="AE19" s="677"/>
      <c r="AF19" s="677"/>
      <c r="AG19" s="757"/>
      <c r="AH19" s="708"/>
      <c r="AI19" s="708"/>
      <c r="AJ19" s="708"/>
      <c r="AK19" s="708"/>
      <c r="AL19" s="708"/>
      <c r="AM19" s="708"/>
      <c r="AN19" s="708"/>
      <c r="AO19" s="708"/>
      <c r="AP19" s="708"/>
      <c r="AQ19" s="708"/>
      <c r="AR19" s="677"/>
      <c r="AS19" s="677"/>
      <c r="AT19" s="677"/>
      <c r="AU19" s="677"/>
      <c r="AV19" s="677"/>
      <c r="AW19" s="677"/>
      <c r="AX19" s="677"/>
      <c r="AY19" s="677"/>
    </row>
    <row r="20" spans="1:51" s="115" customFormat="1" ht="12.75" customHeight="1">
      <c r="A20" s="609">
        <v>32</v>
      </c>
      <c r="B20" s="755" t="s">
        <v>598</v>
      </c>
      <c r="C20" s="620">
        <v>876.84</v>
      </c>
      <c r="D20" s="620">
        <v>882.59</v>
      </c>
      <c r="E20" s="620">
        <v>914.75</v>
      </c>
      <c r="F20" s="620">
        <v>948.6</v>
      </c>
      <c r="G20" s="620">
        <v>939.05</v>
      </c>
      <c r="H20" s="620">
        <v>947.9</v>
      </c>
      <c r="I20" s="620">
        <v>997.35</v>
      </c>
      <c r="J20" s="620">
        <v>1028.21</v>
      </c>
      <c r="K20" s="620">
        <v>1062.3800000000001</v>
      </c>
      <c r="L20" s="620">
        <v>1131.72</v>
      </c>
      <c r="M20" s="620">
        <v>1201</v>
      </c>
      <c r="O20" s="199"/>
      <c r="P20" s="704"/>
      <c r="Q20" s="708"/>
      <c r="R20" s="708"/>
      <c r="S20" s="677"/>
      <c r="T20" s="757"/>
      <c r="U20" s="680"/>
      <c r="V20" s="680"/>
      <c r="W20" s="680"/>
      <c r="X20" s="680"/>
      <c r="Y20" s="680"/>
      <c r="Z20" s="680"/>
      <c r="AA20" s="680"/>
      <c r="AB20" s="680"/>
      <c r="AC20" s="680"/>
      <c r="AD20" s="680"/>
      <c r="AE20" s="677"/>
      <c r="AF20" s="677"/>
      <c r="AG20" s="704"/>
      <c r="AH20" s="708"/>
      <c r="AI20" s="708"/>
      <c r="AJ20" s="708"/>
      <c r="AK20" s="708"/>
      <c r="AL20" s="708"/>
      <c r="AM20" s="708"/>
      <c r="AN20" s="708"/>
      <c r="AO20" s="708"/>
      <c r="AP20" s="708"/>
      <c r="AQ20" s="708"/>
      <c r="AR20" s="677"/>
      <c r="AS20" s="677"/>
      <c r="AT20" s="677"/>
      <c r="AU20" s="677"/>
      <c r="AV20" s="677"/>
      <c r="AW20" s="677"/>
      <c r="AX20" s="677"/>
      <c r="AY20" s="677"/>
    </row>
    <row r="21" spans="1:51" s="115" customFormat="1" ht="20.25" customHeight="1">
      <c r="A21" s="609">
        <v>33</v>
      </c>
      <c r="B21" s="755" t="s">
        <v>599</v>
      </c>
      <c r="C21" s="620">
        <v>1612.2</v>
      </c>
      <c r="D21" s="620">
        <v>1585.38</v>
      </c>
      <c r="E21" s="620">
        <v>1628.27</v>
      </c>
      <c r="F21" s="620">
        <v>1615.46</v>
      </c>
      <c r="G21" s="620">
        <v>1601.93</v>
      </c>
      <c r="H21" s="620">
        <v>1615.24</v>
      </c>
      <c r="I21" s="620">
        <v>1687.76</v>
      </c>
      <c r="J21" s="620">
        <v>1727.19</v>
      </c>
      <c r="K21" s="620">
        <v>1825.43</v>
      </c>
      <c r="L21" s="620">
        <v>1945.63</v>
      </c>
      <c r="M21" s="620">
        <v>2023.55</v>
      </c>
      <c r="O21" s="199"/>
      <c r="P21" s="757"/>
      <c r="Q21" s="708"/>
      <c r="R21" s="708"/>
      <c r="S21" s="677"/>
      <c r="T21" s="757"/>
      <c r="U21" s="680"/>
      <c r="V21" s="680"/>
      <c r="W21" s="680"/>
      <c r="X21" s="680"/>
      <c r="Y21" s="680"/>
      <c r="Z21" s="680"/>
      <c r="AA21" s="680"/>
      <c r="AB21" s="680"/>
      <c r="AC21" s="680"/>
      <c r="AD21" s="680"/>
      <c r="AE21" s="677"/>
      <c r="AF21" s="677"/>
      <c r="AG21" s="757"/>
      <c r="AH21" s="708"/>
      <c r="AI21" s="708"/>
      <c r="AJ21" s="708"/>
      <c r="AK21" s="708"/>
      <c r="AL21" s="708"/>
      <c r="AM21" s="708"/>
      <c r="AN21" s="708"/>
      <c r="AO21" s="708"/>
      <c r="AP21" s="708"/>
      <c r="AQ21" s="708"/>
      <c r="AR21" s="677"/>
      <c r="AS21" s="677"/>
      <c r="AT21" s="677"/>
      <c r="AU21" s="677"/>
      <c r="AV21" s="677"/>
      <c r="AW21" s="677"/>
      <c r="AX21" s="677"/>
      <c r="AY21" s="677"/>
    </row>
    <row r="22" spans="1:51" s="115" customFormat="1" ht="19.5" customHeight="1">
      <c r="A22" s="609">
        <v>34</v>
      </c>
      <c r="B22" s="755" t="s">
        <v>793</v>
      </c>
      <c r="C22" s="620">
        <v>7531.18</v>
      </c>
      <c r="D22" s="620">
        <v>9517.52</v>
      </c>
      <c r="E22" s="620">
        <v>10261.16</v>
      </c>
      <c r="F22" s="620">
        <v>10812.78</v>
      </c>
      <c r="G22" s="620">
        <v>9950.7900000000009</v>
      </c>
      <c r="H22" s="620">
        <v>8945.7900000000009</v>
      </c>
      <c r="I22" s="620">
        <v>9400.5499999999993</v>
      </c>
      <c r="J22" s="620">
        <v>8024.34</v>
      </c>
      <c r="K22" s="620">
        <v>7886.29</v>
      </c>
      <c r="L22" s="620">
        <v>7542.17</v>
      </c>
      <c r="M22" s="620">
        <v>7022.34</v>
      </c>
      <c r="O22" s="199"/>
      <c r="P22" s="757"/>
      <c r="Q22" s="708"/>
      <c r="R22" s="708"/>
      <c r="S22" s="677"/>
      <c r="T22" s="757"/>
      <c r="U22" s="680"/>
      <c r="V22" s="680"/>
      <c r="W22" s="680"/>
      <c r="X22" s="680"/>
      <c r="Y22" s="680"/>
      <c r="Z22" s="680"/>
      <c r="AA22" s="680"/>
      <c r="AB22" s="680"/>
      <c r="AC22" s="680"/>
      <c r="AD22" s="677"/>
      <c r="AE22" s="677"/>
      <c r="AF22" s="677"/>
      <c r="AG22" s="757"/>
      <c r="AH22" s="708"/>
      <c r="AI22" s="708"/>
      <c r="AJ22" s="708"/>
      <c r="AK22" s="708"/>
      <c r="AL22" s="708"/>
      <c r="AM22" s="708"/>
      <c r="AN22" s="708"/>
      <c r="AO22" s="708"/>
      <c r="AP22" s="708"/>
      <c r="AQ22" s="708"/>
      <c r="AR22" s="677"/>
      <c r="AS22" s="677"/>
      <c r="AT22" s="677"/>
      <c r="AU22" s="677"/>
      <c r="AV22" s="677"/>
      <c r="AW22" s="677"/>
      <c r="AX22" s="677"/>
      <c r="AY22" s="677"/>
    </row>
    <row r="23" spans="1:51" s="115" customFormat="1" ht="12.75" customHeight="1">
      <c r="A23" s="609">
        <v>35</v>
      </c>
      <c r="B23" s="755" t="s">
        <v>794</v>
      </c>
      <c r="C23" s="620">
        <v>1235.0999999999999</v>
      </c>
      <c r="D23" s="620">
        <v>1253.3900000000001</v>
      </c>
      <c r="E23" s="620">
        <v>1222.05</v>
      </c>
      <c r="F23" s="620">
        <v>1281.6199999999999</v>
      </c>
      <c r="G23" s="620">
        <v>1323.61</v>
      </c>
      <c r="H23" s="620">
        <v>1385.26</v>
      </c>
      <c r="I23" s="620">
        <v>1379.16</v>
      </c>
      <c r="J23" s="620">
        <v>1455.23</v>
      </c>
      <c r="K23" s="620">
        <v>1480.51</v>
      </c>
      <c r="L23" s="620">
        <v>1603.95</v>
      </c>
      <c r="M23" s="620">
        <v>1875.78</v>
      </c>
      <c r="O23" s="199"/>
      <c r="P23" s="757"/>
      <c r="Q23" s="708"/>
      <c r="R23" s="708"/>
      <c r="S23" s="677"/>
      <c r="T23" s="757"/>
      <c r="U23" s="680"/>
      <c r="V23" s="680"/>
      <c r="W23" s="680"/>
      <c r="X23" s="680"/>
      <c r="Y23" s="680"/>
      <c r="Z23" s="680"/>
      <c r="AA23" s="680"/>
      <c r="AB23" s="680"/>
      <c r="AC23" s="680"/>
      <c r="AD23" s="680"/>
      <c r="AE23" s="677"/>
      <c r="AF23" s="677"/>
      <c r="AG23" s="757"/>
      <c r="AH23" s="708"/>
      <c r="AI23" s="708"/>
      <c r="AJ23" s="708"/>
      <c r="AK23" s="708"/>
      <c r="AL23" s="708"/>
      <c r="AM23" s="708"/>
      <c r="AN23" s="708"/>
      <c r="AO23" s="708"/>
      <c r="AP23" s="708"/>
      <c r="AQ23" s="708"/>
      <c r="AR23" s="677"/>
      <c r="AS23" s="677"/>
      <c r="AT23" s="677"/>
      <c r="AU23" s="677"/>
      <c r="AV23" s="677"/>
      <c r="AW23" s="677"/>
      <c r="AX23" s="677"/>
      <c r="AY23" s="677"/>
    </row>
    <row r="24" spans="1:51" s="395" customFormat="1" ht="12" customHeight="1">
      <c r="A24" s="607">
        <v>4</v>
      </c>
      <c r="B24" s="608" t="s">
        <v>602</v>
      </c>
      <c r="C24" s="619">
        <v>897.29</v>
      </c>
      <c r="D24" s="619">
        <v>915.29</v>
      </c>
      <c r="E24" s="619">
        <v>920.42</v>
      </c>
      <c r="F24" s="619">
        <v>957.45</v>
      </c>
      <c r="G24" s="619">
        <v>985.56</v>
      </c>
      <c r="H24" s="619">
        <v>1007.87</v>
      </c>
      <c r="I24" s="619">
        <v>1068.52</v>
      </c>
      <c r="J24" s="619">
        <v>1126.24</v>
      </c>
      <c r="K24" s="619">
        <v>1151.76</v>
      </c>
      <c r="L24" s="619">
        <v>1210.1300000000001</v>
      </c>
      <c r="M24" s="619">
        <v>1262.76</v>
      </c>
      <c r="O24" s="758"/>
      <c r="P24" s="757"/>
      <c r="Q24" s="708"/>
      <c r="R24" s="759"/>
      <c r="S24" s="679"/>
      <c r="T24" s="704"/>
      <c r="U24" s="703"/>
      <c r="V24" s="703"/>
      <c r="W24" s="703"/>
      <c r="X24" s="703"/>
      <c r="Y24" s="703"/>
      <c r="Z24" s="703"/>
      <c r="AA24" s="703"/>
      <c r="AB24" s="703"/>
      <c r="AC24" s="703"/>
      <c r="AD24" s="703"/>
      <c r="AE24" s="679"/>
      <c r="AF24" s="680"/>
      <c r="AG24" s="757"/>
      <c r="AH24" s="708"/>
      <c r="AI24" s="708"/>
      <c r="AJ24" s="708"/>
      <c r="AK24" s="708"/>
      <c r="AL24" s="708"/>
      <c r="AM24" s="708"/>
      <c r="AN24" s="708"/>
      <c r="AO24" s="708"/>
      <c r="AP24" s="708"/>
      <c r="AQ24" s="708"/>
      <c r="AR24" s="679"/>
      <c r="AS24" s="679"/>
      <c r="AT24" s="679"/>
      <c r="AU24" s="679"/>
      <c r="AV24" s="679"/>
      <c r="AW24" s="679"/>
      <c r="AX24" s="679"/>
      <c r="AY24" s="679"/>
    </row>
    <row r="25" spans="1:51" s="115" customFormat="1" ht="18" customHeight="1">
      <c r="A25" s="609">
        <v>41</v>
      </c>
      <c r="B25" s="755" t="s">
        <v>603</v>
      </c>
      <c r="C25" s="620">
        <v>968.19</v>
      </c>
      <c r="D25" s="620">
        <v>968.53</v>
      </c>
      <c r="E25" s="620">
        <v>985.71</v>
      </c>
      <c r="F25" s="620">
        <v>1027.5899999999999</v>
      </c>
      <c r="G25" s="620">
        <v>1011.06</v>
      </c>
      <c r="H25" s="620">
        <v>1104.44</v>
      </c>
      <c r="I25" s="620">
        <v>1150.43</v>
      </c>
      <c r="J25" s="620">
        <v>1212.75</v>
      </c>
      <c r="K25" s="620">
        <v>1237.96</v>
      </c>
      <c r="L25" s="620">
        <v>1299.3</v>
      </c>
      <c r="M25" s="620">
        <v>1440.3</v>
      </c>
      <c r="O25" s="199"/>
      <c r="P25" s="757"/>
      <c r="Q25" s="708"/>
      <c r="R25" s="708"/>
      <c r="S25" s="677"/>
      <c r="T25" s="757"/>
      <c r="U25" s="680"/>
      <c r="V25" s="680"/>
      <c r="W25" s="680"/>
      <c r="X25" s="680"/>
      <c r="Y25" s="680"/>
      <c r="Z25" s="680"/>
      <c r="AA25" s="680"/>
      <c r="AB25" s="680"/>
      <c r="AC25" s="680"/>
      <c r="AD25" s="680"/>
      <c r="AE25" s="677"/>
      <c r="AF25" s="677"/>
      <c r="AG25" s="757"/>
      <c r="AH25" s="708"/>
      <c r="AI25" s="708"/>
      <c r="AJ25" s="708"/>
      <c r="AK25" s="708"/>
      <c r="AL25" s="708"/>
      <c r="AM25" s="708"/>
      <c r="AN25" s="708"/>
      <c r="AO25" s="708"/>
      <c r="AP25" s="708"/>
      <c r="AQ25" s="708"/>
      <c r="AR25" s="677"/>
      <c r="AS25" s="677"/>
      <c r="AT25" s="677"/>
      <c r="AU25" s="677"/>
      <c r="AV25" s="677"/>
      <c r="AW25" s="677"/>
      <c r="AX25" s="677"/>
      <c r="AY25" s="677"/>
    </row>
    <row r="26" spans="1:51" s="115" customFormat="1" ht="12.75" customHeight="1">
      <c r="A26" s="609">
        <v>42</v>
      </c>
      <c r="B26" s="755" t="s">
        <v>604</v>
      </c>
      <c r="C26" s="620">
        <v>880.91</v>
      </c>
      <c r="D26" s="620">
        <v>858.62</v>
      </c>
      <c r="E26" s="620">
        <v>870.33</v>
      </c>
      <c r="F26" s="620">
        <v>886.69</v>
      </c>
      <c r="G26" s="620">
        <v>913.4</v>
      </c>
      <c r="H26" s="620">
        <v>912.31</v>
      </c>
      <c r="I26" s="620">
        <v>968.6</v>
      </c>
      <c r="J26" s="620">
        <v>1005.82</v>
      </c>
      <c r="K26" s="620">
        <v>1038.42</v>
      </c>
      <c r="L26" s="620">
        <v>1109.67</v>
      </c>
      <c r="M26" s="620">
        <v>1209.0999999999999</v>
      </c>
      <c r="O26" s="199"/>
      <c r="P26" s="704"/>
      <c r="Q26" s="708"/>
      <c r="R26" s="708"/>
      <c r="S26" s="677"/>
      <c r="T26" s="757"/>
      <c r="U26" s="680"/>
      <c r="V26" s="680"/>
      <c r="W26" s="680"/>
      <c r="X26" s="680"/>
      <c r="Y26" s="680"/>
      <c r="Z26" s="680"/>
      <c r="AA26" s="680"/>
      <c r="AB26" s="680"/>
      <c r="AC26" s="680"/>
      <c r="AD26" s="680"/>
      <c r="AE26" s="677"/>
      <c r="AF26" s="677"/>
      <c r="AG26" s="704"/>
      <c r="AH26" s="708"/>
      <c r="AI26" s="708"/>
      <c r="AJ26" s="708"/>
      <c r="AK26" s="708"/>
      <c r="AL26" s="708"/>
      <c r="AM26" s="708"/>
      <c r="AN26" s="708"/>
      <c r="AO26" s="708"/>
      <c r="AP26" s="708"/>
      <c r="AQ26" s="708"/>
      <c r="AR26" s="677"/>
      <c r="AS26" s="677"/>
      <c r="AT26" s="677"/>
      <c r="AU26" s="677"/>
      <c r="AV26" s="677"/>
      <c r="AW26" s="677"/>
      <c r="AX26" s="677"/>
      <c r="AY26" s="677"/>
    </row>
    <row r="27" spans="1:51" s="115" customFormat="1" ht="20.25" customHeight="1">
      <c r="A27" s="609">
        <v>43</v>
      </c>
      <c r="B27" s="755" t="s">
        <v>605</v>
      </c>
      <c r="C27" s="620">
        <v>833.8</v>
      </c>
      <c r="D27" s="620">
        <v>892.14</v>
      </c>
      <c r="E27" s="620">
        <v>928.29</v>
      </c>
      <c r="F27" s="620">
        <v>1008.84</v>
      </c>
      <c r="G27" s="620">
        <v>1060.3800000000001</v>
      </c>
      <c r="H27" s="620">
        <v>1068.97</v>
      </c>
      <c r="I27" s="620">
        <v>1121.21</v>
      </c>
      <c r="J27" s="620">
        <v>1174.8699999999999</v>
      </c>
      <c r="K27" s="620">
        <v>1163.53</v>
      </c>
      <c r="L27" s="620">
        <v>1253.26</v>
      </c>
      <c r="M27" s="620">
        <v>1207.8499999999999</v>
      </c>
      <c r="O27" s="199"/>
      <c r="P27" s="757"/>
      <c r="Q27" s="708"/>
      <c r="R27" s="708"/>
      <c r="S27" s="677"/>
      <c r="T27" s="757"/>
      <c r="U27" s="680"/>
      <c r="V27" s="680"/>
      <c r="W27" s="680"/>
      <c r="X27" s="680"/>
      <c r="Y27" s="680"/>
      <c r="Z27" s="680"/>
      <c r="AA27" s="680"/>
      <c r="AB27" s="680"/>
      <c r="AC27" s="680"/>
      <c r="AD27" s="680"/>
      <c r="AE27" s="677"/>
      <c r="AF27" s="677"/>
      <c r="AG27" s="757"/>
      <c r="AH27" s="708"/>
      <c r="AI27" s="708"/>
      <c r="AJ27" s="708"/>
      <c r="AK27" s="708"/>
      <c r="AL27" s="708"/>
      <c r="AM27" s="708"/>
      <c r="AN27" s="708"/>
      <c r="AO27" s="708"/>
      <c r="AP27" s="708"/>
      <c r="AQ27" s="708"/>
      <c r="AR27" s="677"/>
      <c r="AS27" s="677"/>
      <c r="AT27" s="677"/>
      <c r="AU27" s="677"/>
      <c r="AV27" s="677"/>
      <c r="AW27" s="677"/>
      <c r="AX27" s="677"/>
      <c r="AY27" s="677"/>
    </row>
    <row r="28" spans="1:51" s="115" customFormat="1" ht="12.75" customHeight="1">
      <c r="A28" s="609">
        <v>44</v>
      </c>
      <c r="B28" s="755" t="s">
        <v>606</v>
      </c>
      <c r="C28" s="620">
        <v>1018.47</v>
      </c>
      <c r="D28" s="620">
        <v>1057.17</v>
      </c>
      <c r="E28" s="620">
        <v>957.59</v>
      </c>
      <c r="F28" s="620">
        <v>1006.94</v>
      </c>
      <c r="G28" s="620">
        <v>1005.87</v>
      </c>
      <c r="H28" s="620">
        <v>1058.04</v>
      </c>
      <c r="I28" s="620">
        <v>1122.8800000000001</v>
      </c>
      <c r="J28" s="620">
        <v>1289.46</v>
      </c>
      <c r="K28" s="620">
        <v>1374.66</v>
      </c>
      <c r="L28" s="620">
        <v>1332.8</v>
      </c>
      <c r="M28" s="620">
        <v>1342.77</v>
      </c>
      <c r="O28" s="199"/>
      <c r="P28" s="757"/>
      <c r="Q28" s="708"/>
      <c r="R28" s="708"/>
      <c r="S28" s="677"/>
      <c r="T28" s="757"/>
      <c r="U28" s="680"/>
      <c r="V28" s="680"/>
      <c r="W28" s="680"/>
      <c r="X28" s="680"/>
      <c r="Y28" s="680"/>
      <c r="Z28" s="680"/>
      <c r="AA28" s="680"/>
      <c r="AB28" s="680"/>
      <c r="AC28" s="680"/>
      <c r="AD28" s="680"/>
      <c r="AE28" s="677"/>
      <c r="AF28" s="677"/>
      <c r="AG28" s="757"/>
      <c r="AH28" s="708"/>
      <c r="AI28" s="708"/>
      <c r="AJ28" s="708"/>
      <c r="AK28" s="708"/>
      <c r="AL28" s="708"/>
      <c r="AM28" s="708"/>
      <c r="AN28" s="708"/>
      <c r="AO28" s="708"/>
      <c r="AP28" s="708"/>
      <c r="AQ28" s="708"/>
      <c r="AR28" s="677"/>
      <c r="AS28" s="677"/>
      <c r="AT28" s="677"/>
      <c r="AU28" s="677"/>
      <c r="AV28" s="677"/>
      <c r="AW28" s="677"/>
      <c r="AX28" s="677"/>
      <c r="AY28" s="677"/>
    </row>
    <row r="29" spans="1:51" s="395" customFormat="1" ht="11.25" customHeight="1">
      <c r="A29" s="607">
        <v>5</v>
      </c>
      <c r="B29" s="603" t="s">
        <v>823</v>
      </c>
      <c r="C29" s="619">
        <v>664.7</v>
      </c>
      <c r="D29" s="619">
        <v>670.23</v>
      </c>
      <c r="E29" s="619">
        <v>696.28</v>
      </c>
      <c r="F29" s="619">
        <v>728.01</v>
      </c>
      <c r="G29" s="619">
        <v>758.87</v>
      </c>
      <c r="H29" s="619">
        <v>785.32</v>
      </c>
      <c r="I29" s="619">
        <v>805.15</v>
      </c>
      <c r="J29" s="619">
        <v>857.91</v>
      </c>
      <c r="K29" s="619">
        <v>914.13</v>
      </c>
      <c r="L29" s="619">
        <v>985.29</v>
      </c>
      <c r="M29" s="619">
        <v>1058.28</v>
      </c>
      <c r="O29" s="758"/>
      <c r="P29" s="757"/>
      <c r="Q29" s="708"/>
      <c r="R29" s="759"/>
      <c r="S29" s="679"/>
      <c r="T29" s="757"/>
      <c r="U29" s="703"/>
      <c r="V29" s="703"/>
      <c r="W29" s="703"/>
      <c r="X29" s="703"/>
      <c r="Y29" s="703"/>
      <c r="Z29" s="703"/>
      <c r="AA29" s="703"/>
      <c r="AB29" s="703"/>
      <c r="AC29" s="703"/>
      <c r="AD29" s="703"/>
      <c r="AE29" s="679"/>
      <c r="AF29" s="679"/>
      <c r="AG29" s="757"/>
      <c r="AH29" s="708"/>
      <c r="AI29" s="708"/>
      <c r="AJ29" s="708"/>
      <c r="AK29" s="708"/>
      <c r="AL29" s="708"/>
      <c r="AM29" s="708"/>
      <c r="AN29" s="708"/>
      <c r="AO29" s="708"/>
      <c r="AP29" s="708"/>
      <c r="AQ29" s="708"/>
      <c r="AR29" s="679"/>
      <c r="AS29" s="679"/>
      <c r="AT29" s="679"/>
      <c r="AU29" s="679"/>
      <c r="AV29" s="679"/>
      <c r="AW29" s="679"/>
      <c r="AX29" s="679"/>
      <c r="AY29" s="679"/>
    </row>
    <row r="30" spans="1:51" s="115" customFormat="1" ht="12.75" customHeight="1">
      <c r="A30" s="609">
        <v>51</v>
      </c>
      <c r="B30" s="755" t="s">
        <v>608</v>
      </c>
      <c r="C30" s="620">
        <v>652.79</v>
      </c>
      <c r="D30" s="620">
        <v>658.68</v>
      </c>
      <c r="E30" s="620">
        <v>685.82</v>
      </c>
      <c r="F30" s="620">
        <v>717.23</v>
      </c>
      <c r="G30" s="620">
        <v>748.8</v>
      </c>
      <c r="H30" s="620">
        <v>778.63</v>
      </c>
      <c r="I30" s="620">
        <v>787.19</v>
      </c>
      <c r="J30" s="620">
        <v>844.02</v>
      </c>
      <c r="K30" s="620">
        <v>898.95</v>
      </c>
      <c r="L30" s="620">
        <v>965.93</v>
      </c>
      <c r="M30" s="620">
        <v>1036.24</v>
      </c>
      <c r="O30" s="199"/>
      <c r="P30" s="757"/>
      <c r="Q30" s="708"/>
      <c r="R30" s="708"/>
      <c r="S30" s="677"/>
      <c r="T30" s="704"/>
      <c r="U30" s="680"/>
      <c r="V30" s="680"/>
      <c r="W30" s="680"/>
      <c r="X30" s="680"/>
      <c r="Y30" s="680"/>
      <c r="Z30" s="680"/>
      <c r="AA30" s="680"/>
      <c r="AB30" s="680"/>
      <c r="AC30" s="680"/>
      <c r="AD30" s="680"/>
      <c r="AE30" s="677"/>
      <c r="AF30" s="677"/>
      <c r="AG30" s="757"/>
      <c r="AH30" s="708"/>
      <c r="AI30" s="708"/>
      <c r="AJ30" s="708"/>
      <c r="AK30" s="708"/>
      <c r="AL30" s="708"/>
      <c r="AM30" s="708"/>
      <c r="AN30" s="708"/>
      <c r="AO30" s="708"/>
      <c r="AP30" s="708"/>
      <c r="AQ30" s="708"/>
      <c r="AR30" s="677"/>
      <c r="AS30" s="677"/>
      <c r="AT30" s="677"/>
      <c r="AU30" s="677"/>
      <c r="AV30" s="677"/>
      <c r="AW30" s="677"/>
      <c r="AX30" s="677"/>
      <c r="AY30" s="677"/>
    </row>
    <row r="31" spans="1:51" s="127" customFormat="1" ht="11.25" customHeight="1">
      <c r="A31" s="609">
        <v>52</v>
      </c>
      <c r="B31" s="755" t="s">
        <v>609</v>
      </c>
      <c r="C31" s="620">
        <v>676.98</v>
      </c>
      <c r="D31" s="620">
        <v>681.89</v>
      </c>
      <c r="E31" s="620">
        <v>712.84</v>
      </c>
      <c r="F31" s="620">
        <v>749.17</v>
      </c>
      <c r="G31" s="620">
        <v>781.56</v>
      </c>
      <c r="H31" s="620">
        <v>800.99</v>
      </c>
      <c r="I31" s="620">
        <v>828.78</v>
      </c>
      <c r="J31" s="620">
        <v>888.42</v>
      </c>
      <c r="K31" s="620">
        <v>953.27</v>
      </c>
      <c r="L31" s="620">
        <v>1022.36</v>
      </c>
      <c r="M31" s="620">
        <v>1095.31</v>
      </c>
      <c r="O31" s="199"/>
      <c r="P31" s="696"/>
      <c r="Q31" s="708"/>
      <c r="R31" s="708"/>
      <c r="S31" s="677"/>
      <c r="T31" s="757"/>
      <c r="U31" s="680"/>
      <c r="V31" s="680"/>
      <c r="W31" s="680"/>
      <c r="X31" s="680"/>
      <c r="Y31" s="680"/>
      <c r="Z31" s="680"/>
      <c r="AA31" s="680"/>
      <c r="AB31" s="680"/>
      <c r="AC31" s="680"/>
      <c r="AD31" s="680"/>
      <c r="AE31" s="683"/>
      <c r="AF31" s="683"/>
      <c r="AG31" s="696"/>
      <c r="AH31" s="708"/>
      <c r="AI31" s="708"/>
      <c r="AJ31" s="708"/>
      <c r="AK31" s="708"/>
      <c r="AL31" s="708"/>
      <c r="AM31" s="708"/>
      <c r="AN31" s="708"/>
      <c r="AO31" s="708"/>
      <c r="AP31" s="708"/>
      <c r="AQ31" s="708"/>
      <c r="AR31" s="683"/>
      <c r="AS31" s="683"/>
      <c r="AT31" s="683"/>
      <c r="AU31" s="683"/>
      <c r="AV31" s="683"/>
      <c r="AW31" s="683"/>
      <c r="AX31" s="683"/>
      <c r="AY31" s="683"/>
    </row>
    <row r="32" spans="1:51" s="115" customFormat="1" ht="12.75" customHeight="1">
      <c r="A32" s="609">
        <v>53</v>
      </c>
      <c r="B32" s="755" t="s">
        <v>610</v>
      </c>
      <c r="C32" s="620">
        <v>649.57000000000005</v>
      </c>
      <c r="D32" s="620">
        <v>659.61</v>
      </c>
      <c r="E32" s="620">
        <v>666.86</v>
      </c>
      <c r="F32" s="620">
        <v>699.03</v>
      </c>
      <c r="G32" s="620">
        <v>725.66</v>
      </c>
      <c r="H32" s="620">
        <v>754.97</v>
      </c>
      <c r="I32" s="620">
        <v>785.55</v>
      </c>
      <c r="J32" s="620">
        <v>821.37</v>
      </c>
      <c r="K32" s="620">
        <v>863.94</v>
      </c>
      <c r="L32" s="620">
        <v>948.68</v>
      </c>
      <c r="M32" s="620">
        <v>1029.4100000000001</v>
      </c>
      <c r="O32" s="199"/>
      <c r="P32" s="757"/>
      <c r="Q32" s="708"/>
      <c r="R32" s="708"/>
      <c r="S32" s="683"/>
      <c r="T32" s="757"/>
      <c r="U32" s="680"/>
      <c r="V32" s="680"/>
      <c r="W32" s="680"/>
      <c r="X32" s="680"/>
      <c r="Y32" s="680"/>
      <c r="Z32" s="680"/>
      <c r="AA32" s="680"/>
      <c r="AB32" s="680"/>
      <c r="AC32" s="680"/>
      <c r="AD32" s="680"/>
      <c r="AE32" s="677"/>
      <c r="AF32" s="677"/>
      <c r="AG32" s="757"/>
      <c r="AH32" s="708"/>
      <c r="AI32" s="708"/>
      <c r="AJ32" s="708"/>
      <c r="AK32" s="708"/>
      <c r="AL32" s="708"/>
      <c r="AM32" s="708"/>
      <c r="AN32" s="708"/>
      <c r="AO32" s="708"/>
      <c r="AP32" s="708"/>
      <c r="AQ32" s="708"/>
      <c r="AR32" s="677"/>
      <c r="AS32" s="677"/>
      <c r="AT32" s="677"/>
      <c r="AU32" s="677"/>
      <c r="AV32" s="677"/>
      <c r="AW32" s="677"/>
      <c r="AX32" s="677"/>
      <c r="AY32" s="677"/>
    </row>
    <row r="33" spans="1:51" s="115" customFormat="1" ht="12.75" customHeight="1">
      <c r="A33" s="609">
        <v>54</v>
      </c>
      <c r="B33" s="755" t="s">
        <v>611</v>
      </c>
      <c r="C33" s="620">
        <v>731.81</v>
      </c>
      <c r="D33" s="620">
        <v>743.16</v>
      </c>
      <c r="E33" s="620">
        <v>763.41</v>
      </c>
      <c r="F33" s="620">
        <v>771.41</v>
      </c>
      <c r="G33" s="620">
        <v>807.72</v>
      </c>
      <c r="H33" s="620">
        <v>853.84</v>
      </c>
      <c r="I33" s="620">
        <v>892.19</v>
      </c>
      <c r="J33" s="620">
        <v>914.4</v>
      </c>
      <c r="K33" s="620">
        <v>979.07</v>
      </c>
      <c r="L33" s="620">
        <v>1054.51</v>
      </c>
      <c r="M33" s="620">
        <v>1119.02</v>
      </c>
      <c r="O33" s="199"/>
      <c r="P33" s="757"/>
      <c r="Q33" s="708"/>
      <c r="R33" s="708"/>
      <c r="S33" s="677"/>
      <c r="T33" s="757"/>
      <c r="U33" s="680"/>
      <c r="V33" s="680"/>
      <c r="W33" s="680"/>
      <c r="X33" s="680"/>
      <c r="Y33" s="680"/>
      <c r="Z33" s="680"/>
      <c r="AA33" s="680"/>
      <c r="AB33" s="680"/>
      <c r="AC33" s="680"/>
      <c r="AD33" s="680"/>
      <c r="AE33" s="677"/>
      <c r="AF33" s="677"/>
      <c r="AG33" s="757"/>
      <c r="AH33" s="708"/>
      <c r="AI33" s="708"/>
      <c r="AJ33" s="708"/>
      <c r="AK33" s="708"/>
      <c r="AL33" s="708"/>
      <c r="AM33" s="708"/>
      <c r="AN33" s="708"/>
      <c r="AO33" s="708"/>
      <c r="AP33" s="708"/>
      <c r="AQ33" s="708"/>
      <c r="AR33" s="677"/>
      <c r="AS33" s="677"/>
      <c r="AT33" s="677"/>
      <c r="AU33" s="677"/>
      <c r="AV33" s="677"/>
      <c r="AW33" s="677"/>
      <c r="AX33" s="677"/>
      <c r="AY33" s="677"/>
    </row>
    <row r="34" spans="1:51" s="115" customFormat="1" ht="9.75" customHeight="1">
      <c r="A34" s="600">
        <v>6</v>
      </c>
      <c r="B34" s="603" t="s">
        <v>612</v>
      </c>
      <c r="C34" s="619">
        <v>706.12</v>
      </c>
      <c r="D34" s="619">
        <v>698.4</v>
      </c>
      <c r="E34" s="619">
        <v>706.68</v>
      </c>
      <c r="F34" s="619">
        <v>728.68</v>
      </c>
      <c r="G34" s="619">
        <v>757.07</v>
      </c>
      <c r="H34" s="619">
        <v>787.58</v>
      </c>
      <c r="I34" s="619">
        <v>795.89</v>
      </c>
      <c r="J34" s="619">
        <v>855.64</v>
      </c>
      <c r="K34" s="619">
        <v>925.36</v>
      </c>
      <c r="L34" s="619">
        <v>992.29</v>
      </c>
      <c r="M34" s="619">
        <v>1052.21</v>
      </c>
      <c r="O34" s="199"/>
      <c r="P34" s="757"/>
      <c r="Q34" s="708"/>
      <c r="R34" s="708"/>
      <c r="S34" s="677"/>
      <c r="T34" s="757"/>
      <c r="U34" s="680"/>
      <c r="V34" s="680"/>
      <c r="W34" s="680"/>
      <c r="X34" s="680"/>
      <c r="Y34" s="680"/>
      <c r="Z34" s="680"/>
      <c r="AA34" s="680"/>
      <c r="AB34" s="680"/>
      <c r="AC34" s="680"/>
      <c r="AD34" s="680"/>
      <c r="AE34" s="677"/>
      <c r="AF34" s="677"/>
      <c r="AG34" s="757"/>
      <c r="AH34" s="708"/>
      <c r="AI34" s="708"/>
      <c r="AJ34" s="708"/>
      <c r="AK34" s="708"/>
      <c r="AL34" s="708"/>
      <c r="AM34" s="708"/>
      <c r="AN34" s="708"/>
      <c r="AO34" s="708"/>
      <c r="AP34" s="708"/>
      <c r="AQ34" s="708"/>
      <c r="AR34" s="677"/>
      <c r="AS34" s="677"/>
      <c r="AT34" s="677"/>
      <c r="AU34" s="677"/>
      <c r="AV34" s="677"/>
      <c r="AW34" s="677"/>
      <c r="AX34" s="677"/>
      <c r="AY34" s="677"/>
    </row>
    <row r="35" spans="1:51" s="115" customFormat="1" ht="20.100000000000001" customHeight="1">
      <c r="A35" s="604">
        <v>61</v>
      </c>
      <c r="B35" s="755" t="s">
        <v>613</v>
      </c>
      <c r="C35" s="620">
        <v>703.78</v>
      </c>
      <c r="D35" s="620">
        <v>692.39</v>
      </c>
      <c r="E35" s="620">
        <v>695.63</v>
      </c>
      <c r="F35" s="620">
        <v>724.36</v>
      </c>
      <c r="G35" s="620">
        <v>751.75</v>
      </c>
      <c r="H35" s="620">
        <v>767.81</v>
      </c>
      <c r="I35" s="620">
        <v>783.56</v>
      </c>
      <c r="J35" s="620">
        <v>845.27</v>
      </c>
      <c r="K35" s="620">
        <v>899.03</v>
      </c>
      <c r="L35" s="620">
        <v>962.35</v>
      </c>
      <c r="M35" s="620">
        <v>1014.24</v>
      </c>
      <c r="O35" s="199"/>
      <c r="P35" s="757"/>
      <c r="Q35" s="708"/>
      <c r="R35" s="708"/>
      <c r="S35" s="677"/>
      <c r="T35" s="696"/>
      <c r="U35" s="680"/>
      <c r="V35" s="680"/>
      <c r="W35" s="680"/>
      <c r="X35" s="680"/>
      <c r="Y35" s="680"/>
      <c r="Z35" s="680"/>
      <c r="AA35" s="680"/>
      <c r="AB35" s="680"/>
      <c r="AC35" s="680"/>
      <c r="AD35" s="680"/>
      <c r="AE35" s="677"/>
      <c r="AF35" s="677"/>
      <c r="AG35" s="757"/>
      <c r="AH35" s="708"/>
      <c r="AI35" s="708"/>
      <c r="AJ35" s="708"/>
      <c r="AK35" s="708"/>
      <c r="AL35" s="708"/>
      <c r="AM35" s="708"/>
      <c r="AN35" s="708"/>
      <c r="AO35" s="708"/>
      <c r="AP35" s="708"/>
      <c r="AQ35" s="708"/>
      <c r="AR35" s="677"/>
      <c r="AS35" s="677"/>
      <c r="AT35" s="677"/>
      <c r="AU35" s="677"/>
      <c r="AV35" s="677"/>
      <c r="AW35" s="677"/>
      <c r="AX35" s="677"/>
      <c r="AY35" s="677"/>
    </row>
    <row r="36" spans="1:51" s="115" customFormat="1" ht="21.75" customHeight="1">
      <c r="A36" s="604">
        <v>62</v>
      </c>
      <c r="B36" s="755" t="s">
        <v>614</v>
      </c>
      <c r="C36" s="620">
        <v>723.1</v>
      </c>
      <c r="D36" s="620">
        <v>749.88</v>
      </c>
      <c r="E36" s="620">
        <v>808.52</v>
      </c>
      <c r="F36" s="620">
        <v>775.46</v>
      </c>
      <c r="G36" s="620">
        <v>801.32</v>
      </c>
      <c r="H36" s="620">
        <v>950.8</v>
      </c>
      <c r="I36" s="620">
        <v>899</v>
      </c>
      <c r="J36" s="620">
        <v>927.88</v>
      </c>
      <c r="K36" s="620">
        <v>1066.68</v>
      </c>
      <c r="L36" s="620">
        <v>1138.03</v>
      </c>
      <c r="M36" s="620">
        <v>1260.68</v>
      </c>
      <c r="O36" s="199"/>
      <c r="P36" s="696"/>
      <c r="Q36" s="708"/>
      <c r="R36" s="708"/>
      <c r="S36" s="677"/>
      <c r="T36" s="757"/>
      <c r="U36" s="680"/>
      <c r="V36" s="680"/>
      <c r="W36" s="680"/>
      <c r="X36" s="680"/>
      <c r="Y36" s="680"/>
      <c r="Z36" s="680"/>
      <c r="AA36" s="680"/>
      <c r="AB36" s="680"/>
      <c r="AC36" s="680"/>
      <c r="AD36" s="680"/>
      <c r="AE36" s="677"/>
      <c r="AF36" s="677"/>
      <c r="AG36" s="696"/>
      <c r="AH36" s="708"/>
      <c r="AI36" s="708"/>
      <c r="AJ36" s="708"/>
      <c r="AK36" s="708"/>
      <c r="AL36" s="708"/>
      <c r="AM36" s="708"/>
      <c r="AN36" s="708"/>
      <c r="AO36" s="708"/>
      <c r="AP36" s="708"/>
      <c r="AQ36" s="708"/>
      <c r="AR36" s="677"/>
      <c r="AS36" s="677"/>
      <c r="AT36" s="677"/>
      <c r="AU36" s="677"/>
      <c r="AV36" s="677"/>
      <c r="AW36" s="677"/>
      <c r="AX36" s="677"/>
      <c r="AY36" s="677"/>
    </row>
    <row r="37" spans="1:51" s="115" customFormat="1" ht="12.75" customHeight="1">
      <c r="A37" s="600">
        <v>7</v>
      </c>
      <c r="B37" s="603" t="s">
        <v>615</v>
      </c>
      <c r="C37" s="619">
        <v>791.25</v>
      </c>
      <c r="D37" s="619">
        <v>793.32</v>
      </c>
      <c r="E37" s="619">
        <v>800.3</v>
      </c>
      <c r="F37" s="619">
        <v>827.11</v>
      </c>
      <c r="G37" s="619">
        <v>849.29</v>
      </c>
      <c r="H37" s="619">
        <v>863.8</v>
      </c>
      <c r="I37" s="619">
        <v>880.91</v>
      </c>
      <c r="J37" s="619">
        <v>942.2</v>
      </c>
      <c r="K37" s="619">
        <v>996</v>
      </c>
      <c r="L37" s="619">
        <v>1095.33</v>
      </c>
      <c r="M37" s="619">
        <v>1166.3900000000001</v>
      </c>
      <c r="O37" s="199"/>
      <c r="P37" s="760"/>
      <c r="Q37" s="708"/>
      <c r="R37" s="708"/>
      <c r="S37" s="677"/>
      <c r="T37" s="757"/>
      <c r="U37" s="680"/>
      <c r="V37" s="680"/>
      <c r="W37" s="680"/>
      <c r="X37" s="680"/>
      <c r="Y37" s="680"/>
      <c r="Z37" s="680"/>
      <c r="AA37" s="680"/>
      <c r="AB37" s="680"/>
      <c r="AC37" s="680"/>
      <c r="AD37" s="680"/>
      <c r="AE37" s="677"/>
      <c r="AF37" s="677"/>
      <c r="AG37" s="760"/>
      <c r="AH37" s="708"/>
      <c r="AI37" s="708"/>
      <c r="AJ37" s="708"/>
      <c r="AK37" s="708"/>
      <c r="AL37" s="708"/>
      <c r="AM37" s="708"/>
      <c r="AN37" s="708"/>
      <c r="AO37" s="708"/>
      <c r="AP37" s="708"/>
      <c r="AQ37" s="708"/>
      <c r="AR37" s="677"/>
      <c r="AS37" s="677"/>
      <c r="AT37" s="677"/>
      <c r="AU37" s="677"/>
      <c r="AV37" s="677"/>
      <c r="AW37" s="677"/>
      <c r="AX37" s="677"/>
      <c r="AY37" s="677"/>
    </row>
    <row r="38" spans="1:51" s="115" customFormat="1" ht="12.75" customHeight="1">
      <c r="A38" s="604">
        <v>71</v>
      </c>
      <c r="B38" s="755" t="s">
        <v>795</v>
      </c>
      <c r="C38" s="620">
        <v>732.26</v>
      </c>
      <c r="D38" s="620">
        <v>725.19</v>
      </c>
      <c r="E38" s="620">
        <v>737.63</v>
      </c>
      <c r="F38" s="620">
        <v>770.99</v>
      </c>
      <c r="G38" s="620">
        <v>800.97</v>
      </c>
      <c r="H38" s="620">
        <v>814.02</v>
      </c>
      <c r="I38" s="620">
        <v>837.31</v>
      </c>
      <c r="J38" s="620">
        <v>901.74</v>
      </c>
      <c r="K38" s="620">
        <v>952.32</v>
      </c>
      <c r="L38" s="620">
        <v>1049.3800000000001</v>
      </c>
      <c r="M38" s="620">
        <v>1117.81</v>
      </c>
      <c r="O38" s="199"/>
      <c r="P38" s="757"/>
      <c r="Q38" s="708"/>
      <c r="R38" s="708"/>
      <c r="S38" s="677"/>
      <c r="T38" s="757"/>
      <c r="U38" s="680"/>
      <c r="V38" s="680"/>
      <c r="W38" s="680"/>
      <c r="X38" s="680"/>
      <c r="Y38" s="680"/>
      <c r="Z38" s="680"/>
      <c r="AA38" s="680"/>
      <c r="AB38" s="680"/>
      <c r="AC38" s="680"/>
      <c r="AD38" s="680"/>
      <c r="AE38" s="677"/>
      <c r="AF38" s="677"/>
      <c r="AG38" s="757"/>
      <c r="AH38" s="708"/>
      <c r="AI38" s="708"/>
      <c r="AJ38" s="708"/>
      <c r="AK38" s="708"/>
      <c r="AL38" s="708"/>
      <c r="AM38" s="708"/>
      <c r="AN38" s="708"/>
      <c r="AO38" s="708"/>
      <c r="AP38" s="708"/>
      <c r="AQ38" s="708"/>
      <c r="AR38" s="677"/>
      <c r="AS38" s="677"/>
      <c r="AT38" s="677"/>
      <c r="AU38" s="677"/>
      <c r="AV38" s="677"/>
      <c r="AW38" s="677"/>
      <c r="AX38" s="677"/>
      <c r="AY38" s="677"/>
    </row>
    <row r="39" spans="1:51" s="115" customFormat="1" ht="12.75" customHeight="1">
      <c r="A39" s="604">
        <v>72</v>
      </c>
      <c r="B39" s="755" t="s">
        <v>796</v>
      </c>
      <c r="C39" s="620">
        <v>901.01</v>
      </c>
      <c r="D39" s="620">
        <v>911.52</v>
      </c>
      <c r="E39" s="620">
        <v>912.21</v>
      </c>
      <c r="F39" s="620">
        <v>930.92</v>
      </c>
      <c r="G39" s="620">
        <v>949.1</v>
      </c>
      <c r="H39" s="620">
        <v>994.72</v>
      </c>
      <c r="I39" s="620">
        <v>963.68</v>
      </c>
      <c r="J39" s="620">
        <v>1041.72</v>
      </c>
      <c r="K39" s="620">
        <v>1112.55</v>
      </c>
      <c r="L39" s="620">
        <v>1240.1099999999999</v>
      </c>
      <c r="M39" s="620">
        <v>1297.8900000000001</v>
      </c>
      <c r="O39" s="199"/>
      <c r="P39" s="696"/>
      <c r="Q39" s="708"/>
      <c r="R39" s="708"/>
      <c r="S39" s="677"/>
      <c r="T39" s="757"/>
      <c r="U39" s="680"/>
      <c r="V39" s="680"/>
      <c r="W39" s="680"/>
      <c r="X39" s="680"/>
      <c r="Y39" s="680"/>
      <c r="Z39" s="680"/>
      <c r="AA39" s="680"/>
      <c r="AB39" s="680"/>
      <c r="AC39" s="680"/>
      <c r="AD39" s="680"/>
      <c r="AE39" s="677"/>
      <c r="AF39" s="677"/>
      <c r="AG39" s="696"/>
      <c r="AH39" s="708"/>
      <c r="AI39" s="708"/>
      <c r="AJ39" s="708"/>
      <c r="AK39" s="708"/>
      <c r="AL39" s="708"/>
      <c r="AM39" s="708"/>
      <c r="AN39" s="708"/>
      <c r="AO39" s="708"/>
      <c r="AP39" s="708"/>
      <c r="AQ39" s="708"/>
      <c r="AR39" s="677"/>
      <c r="AS39" s="677"/>
      <c r="AT39" s="677"/>
      <c r="AU39" s="677"/>
      <c r="AV39" s="677"/>
      <c r="AW39" s="677"/>
      <c r="AX39" s="677"/>
      <c r="AY39" s="677"/>
    </row>
    <row r="40" spans="1:51" s="115" customFormat="1" ht="21" customHeight="1">
      <c r="A40" s="604">
        <v>73</v>
      </c>
      <c r="B40" s="755" t="s">
        <v>618</v>
      </c>
      <c r="C40" s="620">
        <v>833.43</v>
      </c>
      <c r="D40" s="620">
        <v>838.46</v>
      </c>
      <c r="E40" s="620">
        <v>868.19</v>
      </c>
      <c r="F40" s="620">
        <v>901.26</v>
      </c>
      <c r="G40" s="620">
        <v>884.87</v>
      </c>
      <c r="H40" s="620">
        <v>879.31</v>
      </c>
      <c r="I40" s="620">
        <v>924.88</v>
      </c>
      <c r="J40" s="620">
        <v>948.29</v>
      </c>
      <c r="K40" s="620">
        <v>993.96</v>
      </c>
      <c r="L40" s="620">
        <v>1047.2</v>
      </c>
      <c r="M40" s="620">
        <v>1109.6600000000001</v>
      </c>
      <c r="O40" s="199"/>
      <c r="P40" s="757"/>
      <c r="Q40" s="708"/>
      <c r="R40" s="708"/>
      <c r="S40" s="677"/>
      <c r="T40" s="696"/>
      <c r="U40" s="680"/>
      <c r="V40" s="680"/>
      <c r="W40" s="680"/>
      <c r="X40" s="680"/>
      <c r="Y40" s="680"/>
      <c r="Z40" s="680"/>
      <c r="AA40" s="680"/>
      <c r="AB40" s="680"/>
      <c r="AC40" s="680"/>
      <c r="AD40" s="680"/>
      <c r="AE40" s="677"/>
      <c r="AF40" s="677"/>
      <c r="AG40" s="757"/>
      <c r="AH40" s="708"/>
      <c r="AI40" s="708"/>
      <c r="AJ40" s="708"/>
      <c r="AK40" s="708"/>
      <c r="AL40" s="708"/>
      <c r="AM40" s="708"/>
      <c r="AN40" s="708"/>
      <c r="AO40" s="708"/>
      <c r="AP40" s="708"/>
      <c r="AQ40" s="708"/>
      <c r="AR40" s="677"/>
      <c r="AS40" s="677"/>
      <c r="AT40" s="677"/>
      <c r="AU40" s="677"/>
      <c r="AV40" s="677"/>
      <c r="AW40" s="677"/>
      <c r="AX40" s="677"/>
      <c r="AY40" s="677"/>
    </row>
    <row r="41" spans="1:51" s="237" customFormat="1" ht="12.75" customHeight="1">
      <c r="A41" s="604">
        <v>74</v>
      </c>
      <c r="B41" s="755" t="s">
        <v>619</v>
      </c>
      <c r="C41" s="620">
        <v>905.17</v>
      </c>
      <c r="D41" s="620">
        <v>941.62</v>
      </c>
      <c r="E41" s="620">
        <v>925.55</v>
      </c>
      <c r="F41" s="620">
        <v>947.53</v>
      </c>
      <c r="G41" s="620">
        <v>945.69</v>
      </c>
      <c r="H41" s="620">
        <v>948.55</v>
      </c>
      <c r="I41" s="620">
        <v>962.36</v>
      </c>
      <c r="J41" s="620">
        <v>1042.1600000000001</v>
      </c>
      <c r="K41" s="620">
        <v>1077.6400000000001</v>
      </c>
      <c r="L41" s="620">
        <v>1165.52</v>
      </c>
      <c r="M41" s="620">
        <v>1262.06</v>
      </c>
      <c r="O41" s="199"/>
      <c r="P41" s="757"/>
      <c r="Q41" s="708"/>
      <c r="R41" s="708"/>
      <c r="S41" s="677"/>
      <c r="T41" s="760"/>
      <c r="U41" s="680"/>
      <c r="V41" s="680"/>
      <c r="W41" s="680"/>
      <c r="X41" s="680"/>
      <c r="Y41" s="680"/>
      <c r="Z41" s="680"/>
      <c r="AA41" s="680"/>
      <c r="AB41" s="680"/>
      <c r="AC41" s="680"/>
      <c r="AD41" s="680"/>
      <c r="AE41" s="239"/>
      <c r="AF41" s="239"/>
      <c r="AG41" s="757"/>
      <c r="AH41" s="708"/>
      <c r="AI41" s="708"/>
      <c r="AJ41" s="708"/>
      <c r="AK41" s="708"/>
      <c r="AL41" s="708"/>
      <c r="AM41" s="708"/>
      <c r="AN41" s="708"/>
      <c r="AO41" s="708"/>
      <c r="AP41" s="708"/>
      <c r="AQ41" s="708"/>
      <c r="AR41" s="239"/>
      <c r="AS41" s="239"/>
      <c r="AT41" s="239"/>
      <c r="AU41" s="239"/>
      <c r="AV41" s="239"/>
      <c r="AW41" s="239"/>
      <c r="AX41" s="239"/>
      <c r="AY41" s="239"/>
    </row>
    <row r="42" spans="1:51" s="237" customFormat="1" ht="14.25" customHeight="1">
      <c r="A42" s="604">
        <v>75</v>
      </c>
      <c r="B42" s="755" t="s">
        <v>797</v>
      </c>
      <c r="C42" s="620">
        <v>743.57</v>
      </c>
      <c r="D42" s="620">
        <v>749.5</v>
      </c>
      <c r="E42" s="620">
        <v>763.22</v>
      </c>
      <c r="F42" s="620">
        <v>793.48</v>
      </c>
      <c r="G42" s="620">
        <v>814.62</v>
      </c>
      <c r="H42" s="620">
        <v>814.88</v>
      </c>
      <c r="I42" s="620">
        <v>857.68</v>
      </c>
      <c r="J42" s="620">
        <v>900.2</v>
      </c>
      <c r="K42" s="620">
        <v>943.67</v>
      </c>
      <c r="L42" s="620">
        <v>1018.76</v>
      </c>
      <c r="M42" s="620">
        <v>1088.75</v>
      </c>
      <c r="O42" s="199"/>
      <c r="P42" s="757"/>
      <c r="Q42" s="708"/>
      <c r="R42" s="708"/>
      <c r="S42" s="239"/>
      <c r="T42" s="757"/>
      <c r="U42" s="680"/>
      <c r="V42" s="680"/>
      <c r="W42" s="680"/>
      <c r="X42" s="680"/>
      <c r="Y42" s="680"/>
      <c r="Z42" s="680"/>
      <c r="AA42" s="680"/>
      <c r="AB42" s="680"/>
      <c r="AC42" s="680"/>
      <c r="AD42" s="680"/>
      <c r="AE42" s="239"/>
      <c r="AF42" s="239"/>
      <c r="AG42" s="757"/>
      <c r="AH42" s="708"/>
      <c r="AI42" s="708"/>
      <c r="AJ42" s="708"/>
      <c r="AK42" s="708"/>
      <c r="AL42" s="708"/>
      <c r="AM42" s="708"/>
      <c r="AN42" s="708"/>
      <c r="AO42" s="708"/>
      <c r="AP42" s="708"/>
      <c r="AQ42" s="708"/>
      <c r="AR42" s="239"/>
      <c r="AS42" s="239"/>
      <c r="AT42" s="239"/>
      <c r="AU42" s="239"/>
      <c r="AV42" s="239"/>
      <c r="AW42" s="239"/>
      <c r="AX42" s="239"/>
      <c r="AY42" s="239"/>
    </row>
    <row r="43" spans="1:51" s="237" customFormat="1" ht="11.25" customHeight="1">
      <c r="A43" s="600">
        <v>8</v>
      </c>
      <c r="B43" s="603" t="s">
        <v>621</v>
      </c>
      <c r="C43" s="619">
        <v>845.85</v>
      </c>
      <c r="D43" s="619">
        <v>855.03</v>
      </c>
      <c r="E43" s="619">
        <v>883.36</v>
      </c>
      <c r="F43" s="619">
        <v>914.28</v>
      </c>
      <c r="G43" s="619">
        <v>931.47</v>
      </c>
      <c r="H43" s="619">
        <v>958.69</v>
      </c>
      <c r="I43" s="619">
        <v>1009.21</v>
      </c>
      <c r="J43" s="619">
        <v>1043.18</v>
      </c>
      <c r="K43" s="619">
        <v>1083.21</v>
      </c>
      <c r="L43" s="619">
        <v>1165.3399999999999</v>
      </c>
      <c r="M43" s="619">
        <v>1259.9100000000001</v>
      </c>
      <c r="P43" s="757"/>
      <c r="Q43" s="708"/>
      <c r="R43" s="239"/>
      <c r="S43" s="239"/>
      <c r="T43" s="696"/>
      <c r="U43" s="680"/>
      <c r="V43" s="680"/>
      <c r="W43" s="680"/>
      <c r="X43" s="680"/>
      <c r="Y43" s="680"/>
      <c r="Z43" s="680"/>
      <c r="AA43" s="680"/>
      <c r="AB43" s="680"/>
      <c r="AC43" s="680"/>
      <c r="AD43" s="680"/>
      <c r="AE43" s="239"/>
      <c r="AF43" s="239"/>
      <c r="AG43" s="757"/>
      <c r="AH43" s="708"/>
      <c r="AI43" s="708"/>
      <c r="AJ43" s="708"/>
      <c r="AK43" s="708"/>
      <c r="AL43" s="708"/>
      <c r="AM43" s="708"/>
      <c r="AN43" s="708"/>
      <c r="AO43" s="708"/>
      <c r="AP43" s="708"/>
      <c r="AQ43" s="708"/>
      <c r="AR43" s="239"/>
      <c r="AS43" s="239"/>
      <c r="AT43" s="239"/>
      <c r="AU43" s="239"/>
      <c r="AV43" s="239"/>
      <c r="AW43" s="239"/>
      <c r="AX43" s="239"/>
      <c r="AY43" s="239"/>
    </row>
    <row r="44" spans="1:51" s="237" customFormat="1" ht="12.75" customHeight="1">
      <c r="A44" s="604">
        <v>81</v>
      </c>
      <c r="B44" s="755" t="s">
        <v>622</v>
      </c>
      <c r="C44" s="620">
        <v>818.95</v>
      </c>
      <c r="D44" s="620">
        <v>817.89</v>
      </c>
      <c r="E44" s="620">
        <v>839.97</v>
      </c>
      <c r="F44" s="620">
        <v>870.13</v>
      </c>
      <c r="G44" s="620">
        <v>872.32</v>
      </c>
      <c r="H44" s="620">
        <v>885.87</v>
      </c>
      <c r="I44" s="620">
        <v>932.68</v>
      </c>
      <c r="J44" s="620">
        <v>974.97</v>
      </c>
      <c r="K44" s="620">
        <v>1010.53</v>
      </c>
      <c r="L44" s="620">
        <v>1082.3399999999999</v>
      </c>
      <c r="M44" s="620">
        <v>1181.04</v>
      </c>
      <c r="P44" s="757"/>
      <c r="Q44" s="708"/>
      <c r="R44" s="239"/>
      <c r="S44" s="239"/>
      <c r="T44" s="757"/>
      <c r="U44" s="680"/>
      <c r="V44" s="680"/>
      <c r="W44" s="680"/>
      <c r="X44" s="680"/>
      <c r="Y44" s="680"/>
      <c r="Z44" s="680"/>
      <c r="AA44" s="680"/>
      <c r="AB44" s="680"/>
      <c r="AC44" s="680"/>
      <c r="AD44" s="680"/>
      <c r="AE44" s="239"/>
      <c r="AF44" s="239"/>
      <c r="AG44" s="757"/>
      <c r="AH44" s="708"/>
      <c r="AI44" s="708"/>
      <c r="AJ44" s="708"/>
      <c r="AK44" s="708"/>
      <c r="AL44" s="708"/>
      <c r="AM44" s="708"/>
      <c r="AN44" s="708"/>
      <c r="AO44" s="708"/>
      <c r="AP44" s="708"/>
      <c r="AQ44" s="708"/>
      <c r="AR44" s="239"/>
      <c r="AS44" s="239"/>
      <c r="AT44" s="239"/>
      <c r="AU44" s="239"/>
      <c r="AV44" s="239"/>
      <c r="AW44" s="239"/>
      <c r="AX44" s="239"/>
      <c r="AY44" s="239"/>
    </row>
    <row r="45" spans="1:51" s="237" customFormat="1" ht="12.75" customHeight="1">
      <c r="A45" s="604">
        <v>82</v>
      </c>
      <c r="B45" s="755" t="s">
        <v>623</v>
      </c>
      <c r="C45" s="620">
        <v>868.11</v>
      </c>
      <c r="D45" s="620">
        <v>863.36</v>
      </c>
      <c r="E45" s="620">
        <v>904.38</v>
      </c>
      <c r="F45" s="620">
        <v>939.69</v>
      </c>
      <c r="G45" s="620">
        <v>951.63</v>
      </c>
      <c r="H45" s="620">
        <v>951.66</v>
      </c>
      <c r="I45" s="620">
        <v>961.53</v>
      </c>
      <c r="J45" s="620">
        <v>986.08</v>
      </c>
      <c r="K45" s="620">
        <v>1070.71</v>
      </c>
      <c r="L45" s="620">
        <v>1140.19</v>
      </c>
      <c r="M45" s="620">
        <v>1238.77</v>
      </c>
      <c r="P45" s="696"/>
      <c r="Q45" s="708"/>
      <c r="R45" s="239"/>
      <c r="S45" s="239"/>
      <c r="T45" s="757"/>
      <c r="U45" s="680"/>
      <c r="V45" s="680"/>
      <c r="W45" s="680"/>
      <c r="X45" s="680"/>
      <c r="Y45" s="680"/>
      <c r="Z45" s="680"/>
      <c r="AA45" s="680"/>
      <c r="AB45" s="680"/>
      <c r="AC45" s="680"/>
      <c r="AD45" s="680"/>
      <c r="AE45" s="239"/>
      <c r="AF45" s="239"/>
      <c r="AG45" s="696"/>
      <c r="AH45" s="708"/>
      <c r="AI45" s="708"/>
      <c r="AJ45" s="708"/>
      <c r="AK45" s="708"/>
      <c r="AL45" s="708"/>
      <c r="AM45" s="708"/>
      <c r="AN45" s="708"/>
      <c r="AO45" s="708"/>
      <c r="AP45" s="708"/>
      <c r="AQ45" s="708"/>
      <c r="AR45" s="239"/>
      <c r="AS45" s="239"/>
      <c r="AT45" s="239"/>
      <c r="AU45" s="239"/>
      <c r="AV45" s="239"/>
      <c r="AW45" s="239"/>
      <c r="AX45" s="239"/>
      <c r="AY45" s="239"/>
    </row>
    <row r="46" spans="1:51" s="237" customFormat="1" ht="12.75" customHeight="1">
      <c r="A46" s="604">
        <v>83</v>
      </c>
      <c r="B46" s="755" t="s">
        <v>624</v>
      </c>
      <c r="C46" s="620">
        <v>856.61</v>
      </c>
      <c r="D46" s="620">
        <v>873.01</v>
      </c>
      <c r="E46" s="620">
        <v>905.38</v>
      </c>
      <c r="F46" s="620">
        <v>938.46</v>
      </c>
      <c r="G46" s="620">
        <v>970.39</v>
      </c>
      <c r="H46" s="620">
        <v>1019.28</v>
      </c>
      <c r="I46" s="620">
        <v>1090.95</v>
      </c>
      <c r="J46" s="620">
        <v>1117</v>
      </c>
      <c r="K46" s="620">
        <v>1165.57</v>
      </c>
      <c r="L46" s="620">
        <v>1264.77</v>
      </c>
      <c r="M46" s="620">
        <v>1344.21</v>
      </c>
      <c r="P46" s="757"/>
      <c r="Q46" s="708"/>
      <c r="R46" s="239"/>
      <c r="S46" s="239"/>
      <c r="T46" s="757"/>
      <c r="U46" s="680"/>
      <c r="V46" s="680"/>
      <c r="W46" s="680"/>
      <c r="X46" s="680"/>
      <c r="Y46" s="680"/>
      <c r="Z46" s="680"/>
      <c r="AA46" s="680"/>
      <c r="AB46" s="680"/>
      <c r="AC46" s="680"/>
      <c r="AD46" s="680"/>
      <c r="AE46" s="239"/>
      <c r="AF46" s="239"/>
      <c r="AG46" s="757"/>
      <c r="AH46" s="708"/>
      <c r="AI46" s="708"/>
      <c r="AJ46" s="708"/>
      <c r="AK46" s="708"/>
      <c r="AL46" s="708"/>
      <c r="AM46" s="708"/>
      <c r="AN46" s="708"/>
      <c r="AO46" s="708"/>
      <c r="AP46" s="708"/>
      <c r="AQ46" s="708"/>
      <c r="AR46" s="239"/>
      <c r="AS46" s="239"/>
      <c r="AT46" s="239"/>
      <c r="AU46" s="239"/>
      <c r="AV46" s="239"/>
      <c r="AW46" s="239"/>
      <c r="AX46" s="239"/>
      <c r="AY46" s="239"/>
    </row>
    <row r="47" spans="1:51" s="237" customFormat="1" ht="9.75" customHeight="1">
      <c r="A47" s="600">
        <v>9</v>
      </c>
      <c r="B47" s="603" t="s">
        <v>625</v>
      </c>
      <c r="C47" s="619">
        <v>641.44000000000005</v>
      </c>
      <c r="D47" s="619">
        <v>639.92999999999995</v>
      </c>
      <c r="E47" s="619">
        <v>663.93</v>
      </c>
      <c r="F47" s="619">
        <v>698.89</v>
      </c>
      <c r="G47" s="619">
        <v>738.77</v>
      </c>
      <c r="H47" s="619">
        <v>756.93</v>
      </c>
      <c r="I47" s="619">
        <v>796.53</v>
      </c>
      <c r="J47" s="619">
        <v>850.94</v>
      </c>
      <c r="K47" s="619">
        <v>890.69</v>
      </c>
      <c r="L47" s="619">
        <v>950.93</v>
      </c>
      <c r="M47" s="619">
        <v>1008.29</v>
      </c>
      <c r="P47" s="757"/>
      <c r="Q47" s="708"/>
      <c r="R47" s="239"/>
      <c r="S47" s="239"/>
      <c r="T47" s="757"/>
      <c r="U47" s="680"/>
      <c r="V47" s="680"/>
      <c r="W47" s="680"/>
      <c r="X47" s="680"/>
      <c r="Y47" s="680"/>
      <c r="Z47" s="680"/>
      <c r="AA47" s="680"/>
      <c r="AB47" s="680"/>
      <c r="AC47" s="680"/>
      <c r="AD47" s="680"/>
      <c r="AE47" s="239"/>
      <c r="AF47" s="239"/>
      <c r="AG47" s="757"/>
      <c r="AH47" s="708"/>
      <c r="AI47" s="708"/>
      <c r="AJ47" s="708"/>
      <c r="AK47" s="708"/>
      <c r="AL47" s="708"/>
      <c r="AM47" s="708"/>
      <c r="AN47" s="708"/>
      <c r="AO47" s="708"/>
      <c r="AP47" s="708"/>
      <c r="AQ47" s="708"/>
      <c r="AR47" s="239"/>
      <c r="AS47" s="239"/>
      <c r="AT47" s="239"/>
      <c r="AU47" s="239"/>
      <c r="AV47" s="239"/>
      <c r="AW47" s="239"/>
      <c r="AX47" s="239"/>
      <c r="AY47" s="239"/>
    </row>
    <row r="48" spans="1:51" s="237" customFormat="1" ht="12.75" customHeight="1">
      <c r="A48" s="604">
        <v>91</v>
      </c>
      <c r="B48" s="755" t="s">
        <v>626</v>
      </c>
      <c r="C48" s="620">
        <v>615.61</v>
      </c>
      <c r="D48" s="620">
        <v>619.66999999999996</v>
      </c>
      <c r="E48" s="620">
        <v>647.66</v>
      </c>
      <c r="F48" s="620">
        <v>676.69</v>
      </c>
      <c r="G48" s="620">
        <v>709.4</v>
      </c>
      <c r="H48" s="620">
        <v>733.48</v>
      </c>
      <c r="I48" s="620">
        <v>763.16</v>
      </c>
      <c r="J48" s="620">
        <v>802.27</v>
      </c>
      <c r="K48" s="620">
        <v>851.91</v>
      </c>
      <c r="L48" s="620">
        <v>921.17</v>
      </c>
      <c r="M48" s="620">
        <v>982.64</v>
      </c>
      <c r="P48" s="757"/>
      <c r="Q48" s="708"/>
      <c r="R48" s="239"/>
      <c r="S48" s="239"/>
      <c r="T48" s="757"/>
      <c r="U48" s="680"/>
      <c r="V48" s="680"/>
      <c r="W48" s="680"/>
      <c r="X48" s="680"/>
      <c r="Y48" s="680"/>
      <c r="Z48" s="680"/>
      <c r="AA48" s="680"/>
      <c r="AB48" s="680"/>
      <c r="AC48" s="680"/>
      <c r="AD48" s="680"/>
      <c r="AE48" s="239"/>
      <c r="AF48" s="239"/>
      <c r="AG48" s="757"/>
      <c r="AH48" s="708"/>
      <c r="AI48" s="708"/>
      <c r="AJ48" s="708"/>
      <c r="AK48" s="708"/>
      <c r="AL48" s="708"/>
      <c r="AM48" s="708"/>
      <c r="AN48" s="708"/>
      <c r="AO48" s="708"/>
      <c r="AP48" s="708"/>
      <c r="AQ48" s="708"/>
      <c r="AR48" s="239"/>
      <c r="AS48" s="239"/>
      <c r="AT48" s="239"/>
      <c r="AU48" s="239"/>
      <c r="AV48" s="239"/>
      <c r="AW48" s="239"/>
      <c r="AX48" s="239"/>
      <c r="AY48" s="239"/>
    </row>
    <row r="49" spans="1:51" s="237" customFormat="1" ht="9" customHeight="1">
      <c r="A49" s="604">
        <v>92</v>
      </c>
      <c r="B49" s="755" t="s">
        <v>798</v>
      </c>
      <c r="C49" s="620">
        <v>684.29</v>
      </c>
      <c r="D49" s="620">
        <v>654.38</v>
      </c>
      <c r="E49" s="620">
        <v>671.54</v>
      </c>
      <c r="F49" s="620">
        <v>725.06</v>
      </c>
      <c r="G49" s="620">
        <v>775.21</v>
      </c>
      <c r="H49" s="620">
        <v>755.94</v>
      </c>
      <c r="I49" s="620">
        <v>794.7</v>
      </c>
      <c r="J49" s="620">
        <v>870.94</v>
      </c>
      <c r="K49" s="620">
        <v>881.12</v>
      </c>
      <c r="L49" s="620">
        <v>929.62</v>
      </c>
      <c r="M49" s="620">
        <v>990.34</v>
      </c>
      <c r="P49" s="696"/>
      <c r="Q49" s="708"/>
      <c r="R49" s="239"/>
      <c r="S49" s="239"/>
      <c r="T49" s="696"/>
      <c r="U49" s="680"/>
      <c r="V49" s="680"/>
      <c r="W49" s="680"/>
      <c r="X49" s="680"/>
      <c r="Y49" s="680"/>
      <c r="Z49" s="680"/>
      <c r="AA49" s="680"/>
      <c r="AB49" s="680"/>
      <c r="AC49" s="680"/>
      <c r="AD49" s="680"/>
      <c r="AE49" s="239"/>
      <c r="AF49" s="239"/>
      <c r="AG49" s="696"/>
      <c r="AH49" s="708"/>
      <c r="AI49" s="708"/>
      <c r="AJ49" s="708"/>
      <c r="AK49" s="708"/>
      <c r="AL49" s="708"/>
      <c r="AM49" s="708"/>
      <c r="AN49" s="708"/>
      <c r="AO49" s="708"/>
      <c r="AP49" s="708"/>
      <c r="AQ49" s="708"/>
      <c r="AR49" s="239"/>
      <c r="AS49" s="239"/>
      <c r="AT49" s="239"/>
      <c r="AU49" s="239"/>
      <c r="AV49" s="239"/>
      <c r="AW49" s="239"/>
      <c r="AX49" s="239"/>
      <c r="AY49" s="239"/>
    </row>
    <row r="50" spans="1:51" s="237" customFormat="1" ht="20.25" customHeight="1">
      <c r="A50" s="604">
        <v>93</v>
      </c>
      <c r="B50" s="755" t="s">
        <v>799</v>
      </c>
      <c r="C50" s="620">
        <v>686.48</v>
      </c>
      <c r="D50" s="620">
        <v>677.28</v>
      </c>
      <c r="E50" s="620">
        <v>700.11</v>
      </c>
      <c r="F50" s="620">
        <v>726.05</v>
      </c>
      <c r="G50" s="620">
        <v>757.66</v>
      </c>
      <c r="H50" s="620">
        <v>782.03</v>
      </c>
      <c r="I50" s="620">
        <v>820.17</v>
      </c>
      <c r="J50" s="620">
        <v>863.4</v>
      </c>
      <c r="K50" s="620">
        <v>916.56</v>
      </c>
      <c r="L50" s="620">
        <v>979.64</v>
      </c>
      <c r="M50" s="620">
        <v>1061.21</v>
      </c>
      <c r="P50" s="757"/>
      <c r="Q50" s="708"/>
      <c r="R50" s="239"/>
      <c r="S50" s="239"/>
      <c r="T50" s="757"/>
      <c r="U50" s="680"/>
      <c r="V50" s="680"/>
      <c r="W50" s="680"/>
      <c r="X50" s="680"/>
      <c r="Y50" s="680"/>
      <c r="Z50" s="680"/>
      <c r="AA50" s="680"/>
      <c r="AB50" s="680"/>
      <c r="AC50" s="680"/>
      <c r="AD50" s="680"/>
      <c r="AE50" s="239"/>
      <c r="AF50" s="239"/>
      <c r="AG50" s="757"/>
      <c r="AH50" s="708"/>
      <c r="AI50" s="708"/>
      <c r="AJ50" s="708"/>
      <c r="AK50" s="708"/>
      <c r="AL50" s="708"/>
      <c r="AM50" s="708"/>
      <c r="AN50" s="708"/>
      <c r="AO50" s="708"/>
      <c r="AP50" s="708"/>
      <c r="AQ50" s="708"/>
      <c r="AR50" s="239"/>
      <c r="AS50" s="239"/>
      <c r="AT50" s="239"/>
      <c r="AU50" s="239"/>
      <c r="AV50" s="239"/>
      <c r="AW50" s="239"/>
      <c r="AX50" s="239"/>
      <c r="AY50" s="239"/>
    </row>
    <row r="51" spans="1:51" s="237" customFormat="1" ht="12" customHeight="1">
      <c r="A51" s="604">
        <v>94</v>
      </c>
      <c r="B51" s="755" t="s">
        <v>629</v>
      </c>
      <c r="C51" s="620">
        <v>590.38</v>
      </c>
      <c r="D51" s="620">
        <v>592.30999999999995</v>
      </c>
      <c r="E51" s="620">
        <v>614.52</v>
      </c>
      <c r="F51" s="620">
        <v>649.32000000000005</v>
      </c>
      <c r="G51" s="620">
        <v>680.6</v>
      </c>
      <c r="H51" s="620">
        <v>704.2</v>
      </c>
      <c r="I51" s="620">
        <v>725.69</v>
      </c>
      <c r="J51" s="620">
        <v>769.5</v>
      </c>
      <c r="K51" s="620">
        <v>820.28</v>
      </c>
      <c r="L51" s="620">
        <v>879.43</v>
      </c>
      <c r="M51" s="620">
        <v>944.29</v>
      </c>
      <c r="P51" s="757"/>
      <c r="Q51" s="708"/>
      <c r="R51" s="239"/>
      <c r="S51" s="239"/>
      <c r="T51" s="757"/>
      <c r="U51" s="680"/>
      <c r="V51" s="680"/>
      <c r="W51" s="680"/>
      <c r="X51" s="680"/>
      <c r="Y51" s="680"/>
      <c r="Z51" s="680"/>
      <c r="AA51" s="680"/>
      <c r="AB51" s="680"/>
      <c r="AC51" s="680"/>
      <c r="AD51" s="680"/>
      <c r="AE51" s="239"/>
      <c r="AF51" s="239"/>
      <c r="AG51" s="757"/>
      <c r="AH51" s="708"/>
      <c r="AI51" s="708"/>
      <c r="AJ51" s="708"/>
      <c r="AK51" s="708"/>
      <c r="AL51" s="708"/>
      <c r="AM51" s="708"/>
      <c r="AN51" s="708"/>
      <c r="AO51" s="708"/>
      <c r="AP51" s="708"/>
      <c r="AQ51" s="708"/>
      <c r="AR51" s="239"/>
      <c r="AS51" s="239"/>
      <c r="AT51" s="239"/>
      <c r="AU51" s="239"/>
      <c r="AV51" s="239"/>
      <c r="AW51" s="239"/>
      <c r="AX51" s="239"/>
      <c r="AY51" s="239"/>
    </row>
    <row r="52" spans="1:51" s="237" customFormat="1" ht="12" customHeight="1">
      <c r="A52" s="604">
        <v>95</v>
      </c>
      <c r="B52" s="755" t="s">
        <v>800</v>
      </c>
      <c r="C52" s="620">
        <v>806.52</v>
      </c>
      <c r="D52" s="620">
        <v>822.85</v>
      </c>
      <c r="E52" s="620">
        <v>863.17</v>
      </c>
      <c r="F52" s="620">
        <v>1006.1</v>
      </c>
      <c r="G52" s="620">
        <v>895.96</v>
      </c>
      <c r="H52" s="620">
        <v>904.5</v>
      </c>
      <c r="I52" s="620">
        <v>844.49</v>
      </c>
      <c r="J52" s="620">
        <v>941.47</v>
      </c>
      <c r="K52" s="620">
        <v>1049.92</v>
      </c>
      <c r="L52" s="620">
        <v>1200.74</v>
      </c>
      <c r="M52" s="620">
        <v>1243.8699999999999</v>
      </c>
      <c r="P52" s="757"/>
      <c r="Q52" s="708"/>
      <c r="R52" s="239"/>
      <c r="S52" s="239"/>
      <c r="T52" s="757"/>
      <c r="U52" s="680"/>
      <c r="V52" s="680"/>
      <c r="W52" s="680"/>
      <c r="X52" s="680"/>
      <c r="Y52" s="680"/>
      <c r="Z52" s="680"/>
      <c r="AA52" s="680"/>
      <c r="AB52" s="680"/>
      <c r="AC52" s="680"/>
      <c r="AD52" s="680"/>
      <c r="AE52" s="239"/>
      <c r="AF52" s="239"/>
      <c r="AG52" s="757"/>
      <c r="AH52" s="708"/>
      <c r="AI52" s="708"/>
      <c r="AJ52" s="708"/>
      <c r="AK52" s="708"/>
      <c r="AL52" s="708"/>
      <c r="AM52" s="708"/>
      <c r="AN52" s="708"/>
      <c r="AO52" s="708"/>
      <c r="AP52" s="708"/>
      <c r="AQ52" s="708"/>
      <c r="AR52" s="239"/>
      <c r="AS52" s="239"/>
      <c r="AT52" s="239"/>
      <c r="AU52" s="239"/>
      <c r="AV52" s="239"/>
      <c r="AW52" s="239"/>
      <c r="AX52" s="239"/>
      <c r="AY52" s="239"/>
    </row>
    <row r="53" spans="1:51" s="237" customFormat="1" ht="12" customHeight="1">
      <c r="A53" s="604">
        <v>96</v>
      </c>
      <c r="B53" s="755" t="s">
        <v>631</v>
      </c>
      <c r="C53" s="620">
        <v>688.49</v>
      </c>
      <c r="D53" s="620">
        <v>706.18</v>
      </c>
      <c r="E53" s="620">
        <v>732.84</v>
      </c>
      <c r="F53" s="620">
        <v>769.52</v>
      </c>
      <c r="G53" s="620">
        <v>826.29</v>
      </c>
      <c r="H53" s="620">
        <v>849.11</v>
      </c>
      <c r="I53" s="620">
        <v>883.44</v>
      </c>
      <c r="J53" s="620">
        <v>962.11</v>
      </c>
      <c r="K53" s="620">
        <v>1004.61</v>
      </c>
      <c r="L53" s="620">
        <v>1062.78</v>
      </c>
      <c r="M53" s="620">
        <v>1076.6099999999999</v>
      </c>
      <c r="P53" s="757"/>
      <c r="Q53" s="708"/>
      <c r="R53" s="239"/>
      <c r="S53" s="239"/>
      <c r="T53" s="696"/>
      <c r="U53" s="680"/>
      <c r="V53" s="680"/>
      <c r="W53" s="680"/>
      <c r="X53" s="680"/>
      <c r="Y53" s="680"/>
      <c r="Z53" s="680"/>
      <c r="AA53" s="680"/>
      <c r="AB53" s="680"/>
      <c r="AC53" s="680"/>
      <c r="AD53" s="680"/>
      <c r="AE53" s="239"/>
      <c r="AF53" s="239"/>
      <c r="AG53" s="757"/>
      <c r="AH53" s="708"/>
      <c r="AI53" s="708"/>
      <c r="AJ53" s="708"/>
      <c r="AK53" s="708"/>
      <c r="AL53" s="708"/>
      <c r="AM53" s="708"/>
      <c r="AN53" s="708"/>
      <c r="AO53" s="708"/>
      <c r="AP53" s="708"/>
      <c r="AQ53" s="708"/>
      <c r="AR53" s="239"/>
      <c r="AS53" s="239"/>
      <c r="AT53" s="239"/>
      <c r="AU53" s="239"/>
      <c r="AV53" s="239"/>
      <c r="AW53" s="239"/>
      <c r="AX53" s="239"/>
      <c r="AY53" s="239"/>
    </row>
    <row r="54" spans="1:51" s="237" customFormat="1" ht="12" customHeight="1">
      <c r="A54" s="611" t="s">
        <v>632</v>
      </c>
      <c r="B54" s="612"/>
      <c r="C54" s="619">
        <v>3189.98</v>
      </c>
      <c r="D54" s="619">
        <v>4687.5200000000004</v>
      </c>
      <c r="E54" s="619">
        <v>3171.58</v>
      </c>
      <c r="F54" s="619">
        <v>3745.49</v>
      </c>
      <c r="G54" s="619">
        <v>2979.43</v>
      </c>
      <c r="H54" s="619">
        <v>2858.15</v>
      </c>
      <c r="I54" s="619">
        <v>2557.16</v>
      </c>
      <c r="J54" s="619">
        <v>3293.17</v>
      </c>
      <c r="K54" s="619">
        <v>3924.88</v>
      </c>
      <c r="L54" s="619">
        <v>5421.37</v>
      </c>
      <c r="M54" s="619">
        <v>4623.66</v>
      </c>
      <c r="P54" s="757"/>
      <c r="Q54" s="708"/>
      <c r="R54" s="239"/>
      <c r="S54" s="239"/>
      <c r="T54" s="757"/>
      <c r="U54" s="680"/>
      <c r="V54" s="680"/>
      <c r="W54" s="680"/>
      <c r="X54" s="680"/>
      <c r="Y54" s="680"/>
      <c r="Z54" s="680"/>
      <c r="AA54" s="680"/>
      <c r="AB54" s="680"/>
      <c r="AC54" s="680"/>
      <c r="AD54" s="680"/>
      <c r="AE54" s="239"/>
      <c r="AF54" s="239"/>
      <c r="AG54" s="757"/>
      <c r="AH54" s="708"/>
      <c r="AI54" s="708"/>
      <c r="AJ54" s="708"/>
      <c r="AK54" s="708"/>
      <c r="AL54" s="708"/>
      <c r="AM54" s="708"/>
      <c r="AN54" s="708"/>
      <c r="AO54" s="708"/>
      <c r="AP54" s="708"/>
      <c r="AQ54" s="708"/>
      <c r="AR54" s="239"/>
      <c r="AS54" s="239"/>
      <c r="AT54" s="239"/>
      <c r="AU54" s="239"/>
      <c r="AV54" s="239"/>
      <c r="AW54" s="239"/>
      <c r="AX54" s="239"/>
      <c r="AY54" s="239"/>
    </row>
    <row r="55" spans="1:51" s="237" customFormat="1" ht="12.75" customHeight="1">
      <c r="A55" s="761" t="s">
        <v>769</v>
      </c>
      <c r="B55" s="762"/>
      <c r="C55" s="763"/>
      <c r="D55" s="763"/>
      <c r="E55" s="764"/>
      <c r="F55" s="764"/>
      <c r="G55" s="764"/>
      <c r="H55" s="764"/>
      <c r="I55" s="764"/>
      <c r="J55" s="764"/>
      <c r="K55" s="764"/>
      <c r="L55" s="764"/>
      <c r="M55" s="764"/>
      <c r="P55" s="757"/>
      <c r="Q55" s="708"/>
      <c r="R55" s="239"/>
      <c r="S55" s="239"/>
      <c r="T55" s="757"/>
      <c r="U55" s="680"/>
      <c r="V55" s="680"/>
      <c r="W55" s="680"/>
      <c r="X55" s="680"/>
      <c r="Y55" s="680"/>
      <c r="Z55" s="680"/>
      <c r="AA55" s="680"/>
      <c r="AB55" s="680"/>
      <c r="AC55" s="680"/>
      <c r="AD55" s="680"/>
      <c r="AE55" s="239"/>
      <c r="AF55" s="239"/>
      <c r="AG55" s="757"/>
      <c r="AH55" s="708"/>
      <c r="AI55" s="708"/>
      <c r="AJ55" s="708"/>
      <c r="AK55" s="708"/>
      <c r="AL55" s="708"/>
      <c r="AM55" s="708"/>
      <c r="AN55" s="708"/>
      <c r="AO55" s="708"/>
      <c r="AP55" s="708"/>
      <c r="AQ55" s="708"/>
      <c r="AR55" s="239"/>
      <c r="AS55" s="239"/>
      <c r="AT55" s="239"/>
      <c r="AU55" s="239"/>
      <c r="AV55" s="239"/>
      <c r="AW55" s="239"/>
      <c r="AX55" s="239"/>
      <c r="AY55" s="239"/>
    </row>
    <row r="56" spans="1:51" s="237" customFormat="1" ht="9.75" customHeight="1">
      <c r="A56" s="614"/>
      <c r="B56" s="999" t="s">
        <v>801</v>
      </c>
      <c r="C56" s="999"/>
      <c r="D56" s="999"/>
      <c r="E56" s="999"/>
      <c r="F56" s="999"/>
      <c r="G56" s="999"/>
      <c r="H56" s="999"/>
      <c r="I56" s="999"/>
      <c r="J56" s="999"/>
      <c r="K56" s="999"/>
      <c r="L56" s="999"/>
      <c r="M56" s="999"/>
      <c r="P56" s="756"/>
      <c r="Q56" s="708"/>
      <c r="R56" s="239"/>
      <c r="S56" s="239"/>
      <c r="T56" s="757"/>
      <c r="U56" s="680"/>
      <c r="V56" s="680"/>
      <c r="W56" s="680"/>
      <c r="X56" s="680"/>
      <c r="Y56" s="680"/>
      <c r="Z56" s="680"/>
      <c r="AA56" s="680"/>
      <c r="AB56" s="680"/>
      <c r="AC56" s="680"/>
      <c r="AD56" s="680"/>
      <c r="AE56" s="239"/>
      <c r="AF56" s="239"/>
      <c r="AG56" s="756"/>
      <c r="AH56" s="708"/>
      <c r="AI56" s="708"/>
      <c r="AJ56" s="708"/>
      <c r="AK56" s="708"/>
      <c r="AL56" s="708"/>
      <c r="AM56" s="708"/>
      <c r="AN56" s="708"/>
      <c r="AO56" s="708"/>
      <c r="AP56" s="708"/>
      <c r="AQ56" s="708"/>
      <c r="AR56" s="239"/>
      <c r="AS56" s="239"/>
      <c r="AT56" s="239"/>
      <c r="AU56" s="239"/>
      <c r="AV56" s="239"/>
      <c r="AW56" s="239"/>
      <c r="AX56" s="239"/>
      <c r="AY56" s="239"/>
    </row>
    <row r="57" spans="1:51" ht="10.5" customHeight="1">
      <c r="O57" s="237"/>
      <c r="P57" s="757"/>
      <c r="Q57" s="239"/>
      <c r="R57" s="239"/>
      <c r="S57" s="239"/>
      <c r="T57" s="757"/>
      <c r="U57" s="680"/>
      <c r="V57" s="680"/>
      <c r="W57" s="680"/>
      <c r="X57" s="680"/>
      <c r="Y57" s="680"/>
      <c r="Z57" s="680"/>
      <c r="AA57" s="680"/>
      <c r="AB57" s="680"/>
      <c r="AC57" s="680"/>
      <c r="AD57" s="680"/>
    </row>
    <row r="58" spans="1:51" ht="15" customHeight="1">
      <c r="B58" s="205"/>
      <c r="T58" s="757"/>
      <c r="U58" s="680"/>
      <c r="V58" s="680"/>
      <c r="W58" s="680"/>
      <c r="X58" s="680"/>
      <c r="Y58" s="680"/>
      <c r="Z58" s="680"/>
      <c r="AA58" s="680"/>
      <c r="AB58" s="680"/>
      <c r="AC58" s="680"/>
      <c r="AD58" s="680"/>
    </row>
    <row r="59" spans="1:51">
      <c r="T59" s="757"/>
      <c r="U59" s="680"/>
      <c r="V59" s="680"/>
      <c r="W59" s="680"/>
      <c r="X59" s="680"/>
      <c r="Y59" s="680"/>
      <c r="Z59" s="680"/>
      <c r="AA59" s="680"/>
      <c r="AB59" s="680"/>
      <c r="AC59" s="680"/>
      <c r="AD59" s="680"/>
    </row>
    <row r="60" spans="1:51">
      <c r="T60" s="756"/>
      <c r="U60" s="680"/>
      <c r="V60" s="680"/>
      <c r="W60" s="680"/>
      <c r="X60" s="680"/>
      <c r="Y60" s="680"/>
      <c r="Z60" s="680"/>
      <c r="AA60" s="680"/>
      <c r="AB60" s="680"/>
      <c r="AC60" s="680"/>
      <c r="AD60" s="680"/>
    </row>
    <row r="66" spans="19:19">
      <c r="S66" s="239"/>
    </row>
  </sheetData>
  <mergeCells count="2">
    <mergeCell ref="A1:M1"/>
    <mergeCell ref="B56:M56"/>
  </mergeCells>
  <conditionalFormatting sqref="A1 A56:B56 E55 N116:XFD1048576 N1:P3 V6:AF7 S7:U7 N4:N115 S4:AB5 AC1:XFD3 AD4:XFD5 S8:S42 O58:S60 O61:XFD62 AE57:XFD60 A2:C3 B55 O67:XFD115 O66:R66 T66:XFD66 B4:C4 A58:C1048576 O43:O57 Q57:S57 AR6:XFD6 O64:XFD65 O63 Q63:XFD63 R43:S56 A6 M4 A5:M5 C6:M54 AE8:AF23 AF24 AS7:XFD55 AE25:AF56 AR56:XFD56">
    <cfRule type="cellIs" dxfId="77" priority="43" operator="equal">
      <formula>0</formula>
    </cfRule>
  </conditionalFormatting>
  <conditionalFormatting sqref="C55">
    <cfRule type="cellIs" dxfId="76" priority="42" operator="equal">
      <formula>0</formula>
    </cfRule>
  </conditionalFormatting>
  <conditionalFormatting sqref="A55">
    <cfRule type="cellIs" dxfId="75" priority="41" operator="equal">
      <formula>0</formula>
    </cfRule>
  </conditionalFormatting>
  <conditionalFormatting sqref="E2:E4 E58:E1048576 D4 F4:G4">
    <cfRule type="cellIs" dxfId="74" priority="40" operator="equal">
      <formula>0</formula>
    </cfRule>
  </conditionalFormatting>
  <conditionalFormatting sqref="D2:D4 D58:D1048576">
    <cfRule type="cellIs" dxfId="73" priority="39" operator="equal">
      <formula>0</formula>
    </cfRule>
  </conditionalFormatting>
  <conditionalFormatting sqref="D55">
    <cfRule type="cellIs" dxfId="72" priority="38" operator="equal">
      <formula>0</formula>
    </cfRule>
  </conditionalFormatting>
  <conditionalFormatting sqref="G55">
    <cfRule type="cellIs" dxfId="71" priority="37" operator="equal">
      <formula>0</formula>
    </cfRule>
  </conditionalFormatting>
  <conditionalFormatting sqref="G2:G3 G58:G1048576">
    <cfRule type="cellIs" dxfId="70" priority="36" operator="equal">
      <formula>0</formula>
    </cfRule>
  </conditionalFormatting>
  <conditionalFormatting sqref="F55">
    <cfRule type="cellIs" dxfId="69" priority="35" operator="equal">
      <formula>0</formula>
    </cfRule>
  </conditionalFormatting>
  <conditionalFormatting sqref="F2:F3 F58:F1048576">
    <cfRule type="cellIs" dxfId="68" priority="34" operator="equal">
      <formula>0</formula>
    </cfRule>
  </conditionalFormatting>
  <conditionalFormatting sqref="H4">
    <cfRule type="cellIs" dxfId="67" priority="33" operator="equal">
      <formula>0</formula>
    </cfRule>
  </conditionalFormatting>
  <conditionalFormatting sqref="H55">
    <cfRule type="cellIs" dxfId="66" priority="32" operator="equal">
      <formula>0</formula>
    </cfRule>
  </conditionalFormatting>
  <conditionalFormatting sqref="H2:H3 H58:H1048576">
    <cfRule type="cellIs" dxfId="65" priority="31" operator="equal">
      <formula>0</formula>
    </cfRule>
  </conditionalFormatting>
  <conditionalFormatting sqref="I4">
    <cfRule type="cellIs" dxfId="64" priority="30" operator="equal">
      <formula>0</formula>
    </cfRule>
  </conditionalFormatting>
  <conditionalFormatting sqref="I55">
    <cfRule type="cellIs" dxfId="63" priority="29" operator="equal">
      <formula>0</formula>
    </cfRule>
  </conditionalFormatting>
  <conditionalFormatting sqref="I2:I3 I58:I1048576">
    <cfRule type="cellIs" dxfId="62" priority="28" operator="equal">
      <formula>0</formula>
    </cfRule>
  </conditionalFormatting>
  <conditionalFormatting sqref="O6:O42 Q6:R6 R7:R42">
    <cfRule type="cellIs" dxfId="61" priority="27" operator="equal">
      <formula>0</formula>
    </cfRule>
  </conditionalFormatting>
  <conditionalFormatting sqref="P5">
    <cfRule type="cellIs" dxfId="60" priority="26" operator="equal">
      <formula>0</formula>
    </cfRule>
  </conditionalFormatting>
  <conditionalFormatting sqref="K4">
    <cfRule type="cellIs" dxfId="59" priority="22" operator="equal">
      <formula>0</formula>
    </cfRule>
  </conditionalFormatting>
  <conditionalFormatting sqref="J4">
    <cfRule type="cellIs" dxfId="58" priority="25" operator="equal">
      <formula>0</formula>
    </cfRule>
  </conditionalFormatting>
  <conditionalFormatting sqref="J55">
    <cfRule type="cellIs" dxfId="57" priority="24" operator="equal">
      <formula>0</formula>
    </cfRule>
  </conditionalFormatting>
  <conditionalFormatting sqref="J2:J3 J58:J1048576">
    <cfRule type="cellIs" dxfId="56" priority="23" operator="equal">
      <formula>0</formula>
    </cfRule>
  </conditionalFormatting>
  <conditionalFormatting sqref="K55">
    <cfRule type="cellIs" dxfId="55" priority="21" operator="equal">
      <formula>0</formula>
    </cfRule>
  </conditionalFormatting>
  <conditionalFormatting sqref="K2:K3 K58:K1048576">
    <cfRule type="cellIs" dxfId="54" priority="20" operator="equal">
      <formula>0</formula>
    </cfRule>
  </conditionalFormatting>
  <conditionalFormatting sqref="L4">
    <cfRule type="cellIs" dxfId="53" priority="19" operator="equal">
      <formula>0</formula>
    </cfRule>
  </conditionalFormatting>
  <conditionalFormatting sqref="L55">
    <cfRule type="cellIs" dxfId="52" priority="18" operator="equal">
      <formula>0</formula>
    </cfRule>
  </conditionalFormatting>
  <conditionalFormatting sqref="L2:L3 L58:L1048576">
    <cfRule type="cellIs" dxfId="51" priority="17" operator="equal">
      <formula>0</formula>
    </cfRule>
  </conditionalFormatting>
  <conditionalFormatting sqref="S66">
    <cfRule type="cellIs" dxfId="50" priority="16" operator="equal">
      <formula>0</formula>
    </cfRule>
  </conditionalFormatting>
  <conditionalFormatting sqref="A4">
    <cfRule type="cellIs" dxfId="49" priority="15" operator="equal">
      <formula>0</formula>
    </cfRule>
  </conditionalFormatting>
  <conditionalFormatting sqref="M55">
    <cfRule type="cellIs" dxfId="48" priority="14" operator="equal">
      <formula>0</formula>
    </cfRule>
  </conditionalFormatting>
  <conditionalFormatting sqref="M2:M3 M58:M1048576">
    <cfRule type="cellIs" dxfId="47" priority="13" operator="equal">
      <formula>0</formula>
    </cfRule>
  </conditionalFormatting>
  <conditionalFormatting sqref="P8">
    <cfRule type="cellIs" dxfId="46" priority="12" operator="equal">
      <formula>0</formula>
    </cfRule>
  </conditionalFormatting>
  <conditionalFormatting sqref="T12">
    <cfRule type="cellIs" dxfId="45" priority="11" operator="equal">
      <formula>0</formula>
    </cfRule>
  </conditionalFormatting>
  <conditionalFormatting sqref="AG8">
    <cfRule type="cellIs" dxfId="44" priority="10" operator="equal">
      <formula>0</formula>
    </cfRule>
  </conditionalFormatting>
  <conditionalFormatting sqref="P63">
    <cfRule type="cellIs" dxfId="43" priority="9" operator="equal">
      <formula>0</formula>
    </cfRule>
  </conditionalFormatting>
  <conditionalFormatting sqref="B6">
    <cfRule type="cellIs" dxfId="42" priority="8" operator="equal">
      <formula>0</formula>
    </cfRule>
  </conditionalFormatting>
  <conditionalFormatting sqref="C4 M4">
    <cfRule type="cellIs" dxfId="41" priority="7" operator="equal">
      <formula>0</formula>
    </cfRule>
  </conditionalFormatting>
  <conditionalFormatting sqref="G4">
    <cfRule type="cellIs" dxfId="40" priority="6" operator="equal">
      <formula>0</formula>
    </cfRule>
  </conditionalFormatting>
  <conditionalFormatting sqref="H4">
    <cfRule type="cellIs" dxfId="39" priority="5" operator="equal">
      <formula>0</formula>
    </cfRule>
  </conditionalFormatting>
  <conditionalFormatting sqref="J4">
    <cfRule type="cellIs" dxfId="38" priority="3" operator="equal">
      <formula>0</formula>
    </cfRule>
  </conditionalFormatting>
  <conditionalFormatting sqref="I4">
    <cfRule type="cellIs" dxfId="37" priority="4" operator="equal">
      <formula>0</formula>
    </cfRule>
  </conditionalFormatting>
  <conditionalFormatting sqref="K4">
    <cfRule type="cellIs" dxfId="36" priority="2" operator="equal">
      <formula>0</formula>
    </cfRule>
  </conditionalFormatting>
  <conditionalFormatting sqref="L4">
    <cfRule type="cellIs" dxfId="35" priority="1" operator="equal">
      <formula>0</formula>
    </cfRule>
  </conditionalFormatting>
  <printOptions horizontalCentered="1"/>
  <pageMargins left="0.19685039370078741" right="0.19685039370078741" top="1.5748031496062993" bottom="0.39370078740157483" header="0.51181102362204722" footer="0"/>
  <pageSetup paperSize="9" scale="85" fitToWidth="0" orientation="portrait" r:id="rId1"/>
  <headerFooter>
    <oddHeader>&amp;C&amp;G</oddHeader>
  </headerFooter>
  <drawing r:id="rId2"/>
  <legacyDrawingHF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26">
    <tabColor rgb="FFA50021"/>
    <pageSetUpPr fitToPage="1"/>
  </sheetPr>
  <dimension ref="A1:P47"/>
  <sheetViews>
    <sheetView showGridLines="0" workbookViewId="0">
      <selection activeCell="Y70" sqref="Y70"/>
    </sheetView>
  </sheetViews>
  <sheetFormatPr defaultColWidth="9.140625" defaultRowHeight="11.25"/>
  <cols>
    <col min="1" max="1" width="14.5703125" style="194" customWidth="1"/>
    <col min="2" max="2" width="10.28515625" style="194" customWidth="1"/>
    <col min="3" max="3" width="6.42578125" style="194" customWidth="1"/>
    <col min="4" max="14" width="7.85546875" style="194" customWidth="1"/>
    <col min="15" max="16" width="10" style="194" bestFit="1" customWidth="1"/>
    <col min="17" max="16384" width="9.140625" style="194"/>
  </cols>
  <sheetData>
    <row r="1" spans="1:16" s="165" customFormat="1" ht="28.5" customHeight="1">
      <c r="A1" s="1012" t="s">
        <v>825</v>
      </c>
      <c r="B1" s="1012"/>
      <c r="C1" s="1012"/>
      <c r="D1" s="1012"/>
      <c r="E1" s="1012"/>
      <c r="F1" s="1012"/>
      <c r="G1" s="1012"/>
      <c r="H1" s="1012"/>
      <c r="I1" s="1012"/>
      <c r="J1" s="1012"/>
      <c r="K1" s="1012"/>
      <c r="L1" s="1012"/>
      <c r="M1" s="1012"/>
      <c r="N1" s="1012"/>
    </row>
    <row r="2" spans="1:16" s="191" customFormat="1" ht="14.25" customHeight="1">
      <c r="A2" s="43"/>
      <c r="B2" s="192"/>
      <c r="C2" s="43"/>
      <c r="D2" s="43"/>
      <c r="E2" s="146"/>
      <c r="F2" s="146"/>
      <c r="G2" s="146"/>
      <c r="H2" s="146"/>
      <c r="I2" s="146"/>
      <c r="J2" s="146"/>
      <c r="K2" s="146"/>
      <c r="L2" s="146"/>
      <c r="M2" s="146"/>
      <c r="N2" s="146"/>
    </row>
    <row r="3" spans="1:16" s="191" customFormat="1" ht="14.25" customHeight="1">
      <c r="A3" s="146" t="s">
        <v>13</v>
      </c>
      <c r="B3" s="43"/>
      <c r="C3" s="317"/>
      <c r="D3" s="298"/>
      <c r="E3" s="299"/>
      <c r="F3" s="299"/>
      <c r="G3" s="299"/>
      <c r="H3" s="146"/>
      <c r="I3" s="146"/>
      <c r="J3" s="146"/>
      <c r="K3" s="146"/>
      <c r="L3" s="146"/>
      <c r="M3" s="146"/>
      <c r="N3" s="146"/>
    </row>
    <row r="4" spans="1:16" s="193" customFormat="1" ht="28.5" customHeight="1" thickBot="1">
      <c r="A4" s="160"/>
      <c r="B4" s="160"/>
      <c r="C4" s="160"/>
      <c r="D4" s="160">
        <v>2014</v>
      </c>
      <c r="E4" s="160">
        <v>2015</v>
      </c>
      <c r="F4" s="160">
        <v>2016</v>
      </c>
      <c r="G4" s="160">
        <v>2017</v>
      </c>
      <c r="H4" s="160">
        <v>2018</v>
      </c>
      <c r="I4" s="160">
        <v>2019</v>
      </c>
      <c r="J4" s="160">
        <v>2020</v>
      </c>
      <c r="K4" s="160">
        <v>2021</v>
      </c>
      <c r="L4" s="160">
        <v>2022</v>
      </c>
      <c r="M4" s="160">
        <v>2023</v>
      </c>
      <c r="N4" s="160">
        <v>2024</v>
      </c>
    </row>
    <row r="5" spans="1:16" s="145" customFormat="1" ht="16.5" customHeight="1" thickTop="1">
      <c r="A5" s="1015" t="s">
        <v>11</v>
      </c>
      <c r="B5" s="1016" t="s">
        <v>185</v>
      </c>
      <c r="C5" s="366" t="s">
        <v>178</v>
      </c>
      <c r="D5" s="831">
        <v>909.49</v>
      </c>
      <c r="E5" s="831">
        <v>913.93</v>
      </c>
      <c r="F5" s="831">
        <v>924.94</v>
      </c>
      <c r="G5" s="831">
        <v>943</v>
      </c>
      <c r="H5" s="831">
        <v>970.42</v>
      </c>
      <c r="I5" s="832">
        <v>1005.09</v>
      </c>
      <c r="J5" s="832">
        <v>1041.99</v>
      </c>
      <c r="K5" s="833">
        <v>1082.77</v>
      </c>
      <c r="L5" s="833">
        <v>1143.45</v>
      </c>
      <c r="M5" s="833">
        <v>1219.8699999999999</v>
      </c>
      <c r="N5" s="833">
        <v>1308.96</v>
      </c>
    </row>
    <row r="6" spans="1:16" s="145" customFormat="1" ht="16.5" customHeight="1">
      <c r="A6" s="1007"/>
      <c r="B6" s="1010"/>
      <c r="C6" s="365" t="s">
        <v>179</v>
      </c>
      <c r="D6" s="834">
        <v>641.92999999999995</v>
      </c>
      <c r="E6" s="834">
        <v>650</v>
      </c>
      <c r="F6" s="834">
        <v>650</v>
      </c>
      <c r="G6" s="834">
        <v>660</v>
      </c>
      <c r="H6" s="834">
        <v>690</v>
      </c>
      <c r="I6" s="835">
        <v>720</v>
      </c>
      <c r="J6" s="835">
        <v>750</v>
      </c>
      <c r="K6" s="836">
        <v>786</v>
      </c>
      <c r="L6" s="836">
        <v>816.21</v>
      </c>
      <c r="M6" s="836">
        <v>880</v>
      </c>
      <c r="N6" s="836">
        <v>950</v>
      </c>
      <c r="O6" s="563">
        <f>+E5/E7*100</f>
        <v>83.337588678350613</v>
      </c>
      <c r="P6" s="563">
        <f>+E6/E8*100</f>
        <v>82.275356632026629</v>
      </c>
    </row>
    <row r="7" spans="1:16" s="145" customFormat="1" ht="16.5" customHeight="1">
      <c r="A7" s="1007"/>
      <c r="B7" s="1010" t="s">
        <v>186</v>
      </c>
      <c r="C7" s="365" t="s">
        <v>180</v>
      </c>
      <c r="D7" s="834">
        <v>1093.21</v>
      </c>
      <c r="E7" s="834">
        <v>1096.6600000000001</v>
      </c>
      <c r="F7" s="834">
        <v>1107.8599999999999</v>
      </c>
      <c r="G7" s="834">
        <v>1133.3399999999999</v>
      </c>
      <c r="H7" s="834">
        <v>1170.25</v>
      </c>
      <c r="I7" s="835">
        <v>1209.94</v>
      </c>
      <c r="J7" s="835">
        <v>1250.75</v>
      </c>
      <c r="K7" s="836">
        <v>1294.1099999999999</v>
      </c>
      <c r="L7" s="836">
        <v>1368</v>
      </c>
      <c r="M7" s="836">
        <v>1466.66</v>
      </c>
      <c r="N7" s="836">
        <v>1582.75</v>
      </c>
    </row>
    <row r="8" spans="1:16" s="145" customFormat="1" ht="16.5" customHeight="1">
      <c r="A8" s="1007"/>
      <c r="B8" s="1010"/>
      <c r="C8" s="365" t="s">
        <v>181</v>
      </c>
      <c r="D8" s="834">
        <v>786.99</v>
      </c>
      <c r="E8" s="834">
        <v>790.03</v>
      </c>
      <c r="F8" s="834">
        <v>800</v>
      </c>
      <c r="G8" s="834">
        <v>822.95</v>
      </c>
      <c r="H8" s="834">
        <v>854.8</v>
      </c>
      <c r="I8" s="835">
        <v>892.01</v>
      </c>
      <c r="J8" s="835">
        <v>926.14</v>
      </c>
      <c r="K8" s="836">
        <v>962.2</v>
      </c>
      <c r="L8" s="836">
        <v>1017.5</v>
      </c>
      <c r="M8" s="836">
        <v>1100.17</v>
      </c>
      <c r="N8" s="836">
        <v>1191.02</v>
      </c>
    </row>
    <row r="9" spans="1:16" s="301" customFormat="1" ht="16.5" customHeight="1">
      <c r="A9" s="1008"/>
      <c r="B9" s="1011" t="s">
        <v>182</v>
      </c>
      <c r="C9" s="1011"/>
      <c r="D9" s="840">
        <v>1928307</v>
      </c>
      <c r="E9" s="840">
        <v>1991131</v>
      </c>
      <c r="F9" s="840">
        <v>2054911</v>
      </c>
      <c r="G9" s="840">
        <v>2131943</v>
      </c>
      <c r="H9" s="840">
        <v>2205449</v>
      </c>
      <c r="I9" s="841">
        <v>2232400</v>
      </c>
      <c r="J9" s="841">
        <v>2164118</v>
      </c>
      <c r="K9" s="842">
        <v>2200594</v>
      </c>
      <c r="L9" s="842">
        <v>2376115</v>
      </c>
      <c r="M9" s="842">
        <v>2467600</v>
      </c>
      <c r="N9" s="842">
        <v>2506911</v>
      </c>
      <c r="P9" s="469"/>
    </row>
    <row r="10" spans="1:16" s="145" customFormat="1" ht="16.5" customHeight="1">
      <c r="A10" s="1006" t="s">
        <v>187</v>
      </c>
      <c r="B10" s="1009" t="s">
        <v>183</v>
      </c>
      <c r="C10" s="364" t="s">
        <v>178</v>
      </c>
      <c r="D10" s="837">
        <v>583.58000000000004</v>
      </c>
      <c r="E10" s="837">
        <v>592.89</v>
      </c>
      <c r="F10" s="837">
        <v>608.30999999999995</v>
      </c>
      <c r="G10" s="837">
        <v>622.04999999999995</v>
      </c>
      <c r="H10" s="837">
        <v>647.99</v>
      </c>
      <c r="I10" s="838">
        <v>668.91</v>
      </c>
      <c r="J10" s="838">
        <v>696.57</v>
      </c>
      <c r="K10" s="839">
        <v>726.29</v>
      </c>
      <c r="L10" s="839">
        <v>766.17</v>
      </c>
      <c r="M10" s="839">
        <v>821.44</v>
      </c>
      <c r="N10" s="839">
        <v>880.14</v>
      </c>
    </row>
    <row r="11" spans="1:16" s="145" customFormat="1" ht="16.5" customHeight="1">
      <c r="A11" s="1007"/>
      <c r="B11" s="1010"/>
      <c r="C11" s="365" t="s">
        <v>179</v>
      </c>
      <c r="D11" s="834">
        <v>519.29999999999995</v>
      </c>
      <c r="E11" s="834">
        <v>525.99</v>
      </c>
      <c r="F11" s="834">
        <v>540</v>
      </c>
      <c r="G11" s="834">
        <v>560</v>
      </c>
      <c r="H11" s="834">
        <v>585</v>
      </c>
      <c r="I11" s="835">
        <v>607</v>
      </c>
      <c r="J11" s="835">
        <v>635</v>
      </c>
      <c r="K11" s="836">
        <v>666</v>
      </c>
      <c r="L11" s="836">
        <v>705</v>
      </c>
      <c r="M11" s="836">
        <v>764</v>
      </c>
      <c r="N11" s="836">
        <v>820</v>
      </c>
    </row>
    <row r="12" spans="1:16" s="145" customFormat="1" ht="16.5" customHeight="1">
      <c r="A12" s="1007"/>
      <c r="B12" s="1010" t="s">
        <v>184</v>
      </c>
      <c r="C12" s="365" t="s">
        <v>180</v>
      </c>
      <c r="D12" s="834">
        <v>685.6</v>
      </c>
      <c r="E12" s="834">
        <v>700.54</v>
      </c>
      <c r="F12" s="834">
        <v>711.01</v>
      </c>
      <c r="G12" s="834">
        <v>730.56</v>
      </c>
      <c r="H12" s="834">
        <v>767.66</v>
      </c>
      <c r="I12" s="835">
        <v>789.07</v>
      </c>
      <c r="J12" s="835">
        <v>817.39</v>
      </c>
      <c r="K12" s="836">
        <v>849.53</v>
      </c>
      <c r="L12" s="836">
        <v>892.87</v>
      </c>
      <c r="M12" s="836">
        <v>968.17</v>
      </c>
      <c r="N12" s="836">
        <v>1032.94</v>
      </c>
    </row>
    <row r="13" spans="1:16" s="145" customFormat="1" ht="16.5" customHeight="1">
      <c r="A13" s="1007"/>
      <c r="B13" s="1010"/>
      <c r="C13" s="365" t="s">
        <v>181</v>
      </c>
      <c r="D13" s="834">
        <v>625</v>
      </c>
      <c r="E13" s="834">
        <v>631.25</v>
      </c>
      <c r="F13" s="834">
        <v>642</v>
      </c>
      <c r="G13" s="834">
        <v>670.93</v>
      </c>
      <c r="H13" s="834">
        <v>701.5</v>
      </c>
      <c r="I13" s="835">
        <v>728.52</v>
      </c>
      <c r="J13" s="835">
        <v>753</v>
      </c>
      <c r="K13" s="836">
        <v>780.25</v>
      </c>
      <c r="L13" s="836">
        <v>825</v>
      </c>
      <c r="M13" s="836">
        <v>893.11</v>
      </c>
      <c r="N13" s="836">
        <v>958</v>
      </c>
    </row>
    <row r="14" spans="1:16" s="301" customFormat="1" ht="16.5" customHeight="1">
      <c r="A14" s="1008"/>
      <c r="B14" s="1011" t="s">
        <v>182</v>
      </c>
      <c r="C14" s="1011"/>
      <c r="D14" s="840">
        <v>10057</v>
      </c>
      <c r="E14" s="840">
        <v>8484</v>
      </c>
      <c r="F14" s="840">
        <v>8353</v>
      </c>
      <c r="G14" s="840">
        <v>8132</v>
      </c>
      <c r="H14" s="840">
        <v>7494</v>
      </c>
      <c r="I14" s="841">
        <v>7345</v>
      </c>
      <c r="J14" s="841">
        <v>6405</v>
      </c>
      <c r="K14" s="842">
        <v>6063</v>
      </c>
      <c r="L14" s="842">
        <v>5907</v>
      </c>
      <c r="M14" s="842">
        <v>6162</v>
      </c>
      <c r="N14" s="842">
        <v>6694</v>
      </c>
    </row>
    <row r="15" spans="1:16" s="145" customFormat="1" ht="16.5" customHeight="1">
      <c r="A15" s="1006" t="s">
        <v>188</v>
      </c>
      <c r="B15" s="1009" t="s">
        <v>185</v>
      </c>
      <c r="C15" s="364" t="s">
        <v>178</v>
      </c>
      <c r="D15" s="837">
        <v>681.33</v>
      </c>
      <c r="E15" s="837">
        <v>685.64</v>
      </c>
      <c r="F15" s="837">
        <v>696.14</v>
      </c>
      <c r="G15" s="837">
        <v>714.43</v>
      </c>
      <c r="H15" s="837">
        <v>738.36</v>
      </c>
      <c r="I15" s="838">
        <v>763.83</v>
      </c>
      <c r="J15" s="838">
        <v>791.06</v>
      </c>
      <c r="K15" s="839">
        <v>822.51</v>
      </c>
      <c r="L15" s="839">
        <v>866.98</v>
      </c>
      <c r="M15" s="839">
        <v>927.83</v>
      </c>
      <c r="N15" s="839">
        <v>995.25</v>
      </c>
    </row>
    <row r="16" spans="1:16" s="145" customFormat="1" ht="16.5" customHeight="1">
      <c r="A16" s="1007"/>
      <c r="B16" s="1010"/>
      <c r="C16" s="365" t="s">
        <v>179</v>
      </c>
      <c r="D16" s="834">
        <v>569.73</v>
      </c>
      <c r="E16" s="834">
        <v>573</v>
      </c>
      <c r="F16" s="834">
        <v>580</v>
      </c>
      <c r="G16" s="834">
        <v>600</v>
      </c>
      <c r="H16" s="834">
        <v>620</v>
      </c>
      <c r="I16" s="835">
        <v>642</v>
      </c>
      <c r="J16" s="835">
        <v>667.22</v>
      </c>
      <c r="K16" s="836">
        <v>700</v>
      </c>
      <c r="L16" s="836">
        <v>746</v>
      </c>
      <c r="M16" s="836">
        <v>800</v>
      </c>
      <c r="N16" s="836">
        <v>870</v>
      </c>
    </row>
    <row r="17" spans="1:16" s="145" customFormat="1" ht="16.5" customHeight="1">
      <c r="A17" s="1007"/>
      <c r="B17" s="1010" t="s">
        <v>186</v>
      </c>
      <c r="C17" s="365" t="s">
        <v>180</v>
      </c>
      <c r="D17" s="834">
        <v>821.84</v>
      </c>
      <c r="E17" s="834">
        <v>826.46</v>
      </c>
      <c r="F17" s="834">
        <v>838.61</v>
      </c>
      <c r="G17" s="834">
        <v>863.74</v>
      </c>
      <c r="H17" s="834">
        <v>895.35</v>
      </c>
      <c r="I17" s="835">
        <v>926.56</v>
      </c>
      <c r="J17" s="835">
        <v>955.61</v>
      </c>
      <c r="K17" s="836">
        <v>990.55</v>
      </c>
      <c r="L17" s="836">
        <v>1044.03</v>
      </c>
      <c r="M17" s="836">
        <v>1122.23</v>
      </c>
      <c r="N17" s="836">
        <v>1209.6199999999999</v>
      </c>
    </row>
    <row r="18" spans="1:16" s="145" customFormat="1" ht="16.5" customHeight="1">
      <c r="A18" s="1007"/>
      <c r="B18" s="1010"/>
      <c r="C18" s="365" t="s">
        <v>181</v>
      </c>
      <c r="D18" s="834">
        <v>686.25</v>
      </c>
      <c r="E18" s="834">
        <v>690</v>
      </c>
      <c r="F18" s="834">
        <v>699.11</v>
      </c>
      <c r="G18" s="834">
        <v>722.52</v>
      </c>
      <c r="H18" s="834">
        <v>752</v>
      </c>
      <c r="I18" s="835">
        <v>783.62</v>
      </c>
      <c r="J18" s="835">
        <v>810.23</v>
      </c>
      <c r="K18" s="836">
        <v>845.4</v>
      </c>
      <c r="L18" s="836">
        <v>891.6</v>
      </c>
      <c r="M18" s="836">
        <v>964</v>
      </c>
      <c r="N18" s="836">
        <v>1047.94</v>
      </c>
    </row>
    <row r="19" spans="1:16" s="301" customFormat="1" ht="16.5" customHeight="1">
      <c r="A19" s="1008"/>
      <c r="B19" s="1011" t="s">
        <v>182</v>
      </c>
      <c r="C19" s="1011"/>
      <c r="D19" s="840">
        <v>1028192</v>
      </c>
      <c r="E19" s="840">
        <v>1031891</v>
      </c>
      <c r="F19" s="840">
        <v>1036344</v>
      </c>
      <c r="G19" s="840">
        <v>1043381</v>
      </c>
      <c r="H19" s="840">
        <v>1039158</v>
      </c>
      <c r="I19" s="841">
        <v>1007442</v>
      </c>
      <c r="J19" s="841">
        <v>943206</v>
      </c>
      <c r="K19" s="842">
        <v>923652</v>
      </c>
      <c r="L19" s="842">
        <v>953672</v>
      </c>
      <c r="M19" s="842">
        <v>946247</v>
      </c>
      <c r="N19" s="842">
        <v>918964</v>
      </c>
    </row>
    <row r="20" spans="1:16" s="145" customFormat="1" ht="16.5" customHeight="1">
      <c r="A20" s="1006" t="s">
        <v>192</v>
      </c>
      <c r="B20" s="1009" t="s">
        <v>185</v>
      </c>
      <c r="C20" s="364" t="s">
        <v>178</v>
      </c>
      <c r="D20" s="837">
        <v>881.23</v>
      </c>
      <c r="E20" s="837">
        <v>873.9</v>
      </c>
      <c r="F20" s="837">
        <v>872.76</v>
      </c>
      <c r="G20" s="837">
        <v>878.03</v>
      </c>
      <c r="H20" s="837">
        <v>891.3</v>
      </c>
      <c r="I20" s="838">
        <v>910.03</v>
      </c>
      <c r="J20" s="838">
        <v>929.85</v>
      </c>
      <c r="K20" s="839">
        <v>955.65</v>
      </c>
      <c r="L20" s="839">
        <v>997.48</v>
      </c>
      <c r="M20" s="839">
        <v>1057.23</v>
      </c>
      <c r="N20" s="839">
        <v>1120.8900000000001</v>
      </c>
    </row>
    <row r="21" spans="1:16" s="145" customFormat="1" ht="16.5" customHeight="1">
      <c r="A21" s="1007"/>
      <c r="B21" s="1010"/>
      <c r="C21" s="365" t="s">
        <v>179</v>
      </c>
      <c r="D21" s="834">
        <v>666.41</v>
      </c>
      <c r="E21" s="834">
        <v>651.55999999999995</v>
      </c>
      <c r="F21" s="834">
        <v>651.55999999999995</v>
      </c>
      <c r="G21" s="834">
        <v>658.97</v>
      </c>
      <c r="H21" s="834">
        <v>680</v>
      </c>
      <c r="I21" s="835">
        <v>700</v>
      </c>
      <c r="J21" s="835">
        <v>720</v>
      </c>
      <c r="K21" s="836">
        <v>750</v>
      </c>
      <c r="L21" s="836">
        <v>798.57</v>
      </c>
      <c r="M21" s="836">
        <v>850</v>
      </c>
      <c r="N21" s="836">
        <v>903.8</v>
      </c>
    </row>
    <row r="22" spans="1:16" s="145" customFormat="1" ht="16.5" customHeight="1">
      <c r="A22" s="1007"/>
      <c r="B22" s="1010" t="s">
        <v>186</v>
      </c>
      <c r="C22" s="365" t="s">
        <v>180</v>
      </c>
      <c r="D22" s="834">
        <v>1086.31</v>
      </c>
      <c r="E22" s="834">
        <v>1072.77</v>
      </c>
      <c r="F22" s="834">
        <v>1068.6500000000001</v>
      </c>
      <c r="G22" s="834">
        <v>1078.5899999999999</v>
      </c>
      <c r="H22" s="834">
        <v>1097.03</v>
      </c>
      <c r="I22" s="835">
        <v>1117.3800000000001</v>
      </c>
      <c r="J22" s="835">
        <v>1138.6300000000001</v>
      </c>
      <c r="K22" s="836">
        <v>1163.52</v>
      </c>
      <c r="L22" s="836">
        <v>1217.57</v>
      </c>
      <c r="M22" s="836">
        <v>1297.5899999999999</v>
      </c>
      <c r="N22" s="836">
        <v>1382.39</v>
      </c>
    </row>
    <row r="23" spans="1:16" s="145" customFormat="1" ht="16.5" customHeight="1">
      <c r="A23" s="1007"/>
      <c r="B23" s="1010"/>
      <c r="C23" s="365" t="s">
        <v>181</v>
      </c>
      <c r="D23" s="834">
        <v>817.76</v>
      </c>
      <c r="E23" s="834">
        <v>807.1</v>
      </c>
      <c r="F23" s="834">
        <v>807.17</v>
      </c>
      <c r="G23" s="834">
        <v>823.5</v>
      </c>
      <c r="H23" s="834">
        <v>846.69</v>
      </c>
      <c r="I23" s="835">
        <v>872.97</v>
      </c>
      <c r="J23" s="835">
        <v>900.99</v>
      </c>
      <c r="K23" s="836">
        <v>927.28</v>
      </c>
      <c r="L23" s="836">
        <v>977.7</v>
      </c>
      <c r="M23" s="836">
        <v>1050.8</v>
      </c>
      <c r="N23" s="836">
        <v>1132.5</v>
      </c>
    </row>
    <row r="24" spans="1:16" s="301" customFormat="1" ht="16.5" customHeight="1">
      <c r="A24" s="1008"/>
      <c r="B24" s="1011" t="s">
        <v>182</v>
      </c>
      <c r="C24" s="1011"/>
      <c r="D24" s="840">
        <v>502817</v>
      </c>
      <c r="E24" s="840">
        <v>537397</v>
      </c>
      <c r="F24" s="840">
        <v>574341</v>
      </c>
      <c r="G24" s="840">
        <v>614973</v>
      </c>
      <c r="H24" s="840">
        <v>661451</v>
      </c>
      <c r="I24" s="841">
        <v>692025</v>
      </c>
      <c r="J24" s="841">
        <v>678980</v>
      </c>
      <c r="K24" s="842">
        <v>708685</v>
      </c>
      <c r="L24" s="842">
        <v>796744</v>
      </c>
      <c r="M24" s="842">
        <v>861654</v>
      </c>
      <c r="N24" s="842">
        <v>894978</v>
      </c>
      <c r="O24" s="469">
        <f>+N24+N29</f>
        <v>1571823</v>
      </c>
      <c r="P24" s="301">
        <f>+O24/N9*100</f>
        <v>62.699593244435079</v>
      </c>
    </row>
    <row r="25" spans="1:16" s="145" customFormat="1" ht="16.5" customHeight="1">
      <c r="A25" s="1006" t="s">
        <v>193</v>
      </c>
      <c r="B25" s="1009" t="s">
        <v>185</v>
      </c>
      <c r="C25" s="364" t="s">
        <v>178</v>
      </c>
      <c r="D25" s="837">
        <v>1566.87</v>
      </c>
      <c r="E25" s="837">
        <v>1550.64</v>
      </c>
      <c r="F25" s="837">
        <v>1550.37</v>
      </c>
      <c r="G25" s="837">
        <v>1551.97</v>
      </c>
      <c r="H25" s="837">
        <v>1571.08</v>
      </c>
      <c r="I25" s="838">
        <v>1604.7</v>
      </c>
      <c r="J25" s="838">
        <v>1637.25</v>
      </c>
      <c r="K25" s="839">
        <v>1680.39</v>
      </c>
      <c r="L25" s="839">
        <v>1767.51</v>
      </c>
      <c r="M25" s="839">
        <v>1870.81</v>
      </c>
      <c r="N25" s="839">
        <v>1990.45</v>
      </c>
    </row>
    <row r="26" spans="1:16" s="145" customFormat="1" ht="16.5" customHeight="1">
      <c r="A26" s="1007"/>
      <c r="B26" s="1010"/>
      <c r="C26" s="365" t="s">
        <v>179</v>
      </c>
      <c r="D26" s="834">
        <v>1200</v>
      </c>
      <c r="E26" s="834">
        <v>1201</v>
      </c>
      <c r="F26" s="834">
        <v>1201</v>
      </c>
      <c r="G26" s="834">
        <v>1201</v>
      </c>
      <c r="H26" s="834">
        <v>1201</v>
      </c>
      <c r="I26" s="835">
        <v>1235</v>
      </c>
      <c r="J26" s="835">
        <v>1260.32</v>
      </c>
      <c r="K26" s="836">
        <v>1300</v>
      </c>
      <c r="L26" s="836">
        <v>1376</v>
      </c>
      <c r="M26" s="836">
        <v>1452.5</v>
      </c>
      <c r="N26" s="836">
        <v>1544</v>
      </c>
    </row>
    <row r="27" spans="1:16" s="145" customFormat="1" ht="16.5" customHeight="1">
      <c r="A27" s="1007"/>
      <c r="B27" s="1010" t="s">
        <v>186</v>
      </c>
      <c r="C27" s="365" t="s">
        <v>180</v>
      </c>
      <c r="D27" s="834">
        <v>1841.04</v>
      </c>
      <c r="E27" s="834">
        <v>1820.24</v>
      </c>
      <c r="F27" s="834">
        <v>1815.28</v>
      </c>
      <c r="G27" s="834">
        <v>1823.4</v>
      </c>
      <c r="H27" s="834">
        <v>1854.84</v>
      </c>
      <c r="I27" s="835">
        <v>1889.56</v>
      </c>
      <c r="J27" s="835">
        <v>1926.07</v>
      </c>
      <c r="K27" s="836">
        <v>1969.18</v>
      </c>
      <c r="L27" s="836">
        <v>2072.86</v>
      </c>
      <c r="M27" s="836">
        <v>2204.65</v>
      </c>
      <c r="N27" s="836">
        <v>2363.21</v>
      </c>
    </row>
    <row r="28" spans="1:16" s="145" customFormat="1" ht="16.5" customHeight="1">
      <c r="A28" s="1007"/>
      <c r="B28" s="1010"/>
      <c r="C28" s="365" t="s">
        <v>181</v>
      </c>
      <c r="D28" s="834">
        <v>1402.52</v>
      </c>
      <c r="E28" s="834">
        <v>1385.74</v>
      </c>
      <c r="F28" s="834">
        <v>1380</v>
      </c>
      <c r="G28" s="834">
        <v>1388.06</v>
      </c>
      <c r="H28" s="834">
        <v>1425.49</v>
      </c>
      <c r="I28" s="835">
        <v>1470.43</v>
      </c>
      <c r="J28" s="835">
        <v>1508.15</v>
      </c>
      <c r="K28" s="836">
        <v>1545.1</v>
      </c>
      <c r="L28" s="836">
        <v>1621.95</v>
      </c>
      <c r="M28" s="836">
        <v>1734.72</v>
      </c>
      <c r="N28" s="836">
        <v>1853</v>
      </c>
    </row>
    <row r="29" spans="1:16" s="301" customFormat="1" ht="16.5" customHeight="1">
      <c r="A29" s="1008"/>
      <c r="B29" s="1011" t="s">
        <v>182</v>
      </c>
      <c r="C29" s="1011"/>
      <c r="D29" s="840">
        <v>383510</v>
      </c>
      <c r="E29" s="840">
        <v>408683</v>
      </c>
      <c r="F29" s="840">
        <v>431481</v>
      </c>
      <c r="G29" s="840">
        <v>461446</v>
      </c>
      <c r="H29" s="840">
        <v>492822</v>
      </c>
      <c r="I29" s="841">
        <v>519903</v>
      </c>
      <c r="J29" s="841">
        <v>529942</v>
      </c>
      <c r="K29" s="842">
        <v>557063</v>
      </c>
      <c r="L29" s="842">
        <v>613051</v>
      </c>
      <c r="M29" s="842">
        <v>645431</v>
      </c>
      <c r="N29" s="842">
        <v>676845</v>
      </c>
    </row>
    <row r="30" spans="1:16" s="145" customFormat="1" ht="16.5" customHeight="1">
      <c r="A30" s="1006" t="s">
        <v>12</v>
      </c>
      <c r="B30" s="1009" t="s">
        <v>185</v>
      </c>
      <c r="C30" s="364" t="s">
        <v>178</v>
      </c>
      <c r="D30" s="837">
        <v>900.34</v>
      </c>
      <c r="E30" s="837">
        <v>824.37</v>
      </c>
      <c r="F30" s="837">
        <v>895.27</v>
      </c>
      <c r="G30" s="837">
        <v>954.09</v>
      </c>
      <c r="H30" s="837">
        <v>942.93</v>
      </c>
      <c r="I30" s="838">
        <v>929.22</v>
      </c>
      <c r="J30" s="838">
        <v>967.95</v>
      </c>
      <c r="K30" s="839">
        <v>1031</v>
      </c>
      <c r="L30" s="839">
        <v>1083.75</v>
      </c>
      <c r="M30" s="839">
        <v>1071.4000000000001</v>
      </c>
      <c r="N30" s="839">
        <v>1120.2</v>
      </c>
    </row>
    <row r="31" spans="1:16" s="145" customFormat="1" ht="16.5" customHeight="1">
      <c r="A31" s="1007"/>
      <c r="B31" s="1010"/>
      <c r="C31" s="365" t="s">
        <v>179</v>
      </c>
      <c r="D31" s="834">
        <v>600</v>
      </c>
      <c r="E31" s="834">
        <v>550</v>
      </c>
      <c r="F31" s="834">
        <v>560</v>
      </c>
      <c r="G31" s="834">
        <v>591.54999999999995</v>
      </c>
      <c r="H31" s="834">
        <v>600</v>
      </c>
      <c r="I31" s="835">
        <v>615</v>
      </c>
      <c r="J31" s="835">
        <v>647.57000000000005</v>
      </c>
      <c r="K31" s="836">
        <v>700</v>
      </c>
      <c r="L31" s="836">
        <v>750</v>
      </c>
      <c r="M31" s="836">
        <v>775</v>
      </c>
      <c r="N31" s="836">
        <v>830</v>
      </c>
    </row>
    <row r="32" spans="1:16" s="145" customFormat="1" ht="16.5" customHeight="1">
      <c r="A32" s="1007"/>
      <c r="B32" s="1010" t="s">
        <v>186</v>
      </c>
      <c r="C32" s="365" t="s">
        <v>180</v>
      </c>
      <c r="D32" s="834">
        <v>1036.97</v>
      </c>
      <c r="E32" s="834">
        <v>946.93</v>
      </c>
      <c r="F32" s="834">
        <v>1022.25</v>
      </c>
      <c r="G32" s="834">
        <v>1089.48</v>
      </c>
      <c r="H32" s="834">
        <v>1112.81</v>
      </c>
      <c r="I32" s="835">
        <v>1085.9000000000001</v>
      </c>
      <c r="J32" s="835">
        <v>1145.42</v>
      </c>
      <c r="K32" s="836">
        <v>1210.72</v>
      </c>
      <c r="L32" s="836">
        <v>1293.6400000000001</v>
      </c>
      <c r="M32" s="836">
        <v>1260.92</v>
      </c>
      <c r="N32" s="836">
        <v>1331.59</v>
      </c>
    </row>
    <row r="33" spans="1:15" s="145" customFormat="1" ht="16.5" customHeight="1">
      <c r="A33" s="1007"/>
      <c r="B33" s="1010"/>
      <c r="C33" s="365" t="s">
        <v>181</v>
      </c>
      <c r="D33" s="834">
        <v>700</v>
      </c>
      <c r="E33" s="834">
        <v>650</v>
      </c>
      <c r="F33" s="834">
        <v>662.5</v>
      </c>
      <c r="G33" s="834">
        <v>700</v>
      </c>
      <c r="H33" s="834">
        <v>750.96</v>
      </c>
      <c r="I33" s="835">
        <v>742</v>
      </c>
      <c r="J33" s="835">
        <v>785.36</v>
      </c>
      <c r="K33" s="836">
        <v>850</v>
      </c>
      <c r="L33" s="836">
        <v>908.5</v>
      </c>
      <c r="M33" s="836">
        <v>930.01</v>
      </c>
      <c r="N33" s="836">
        <v>1014.94</v>
      </c>
    </row>
    <row r="34" spans="1:15" s="301" customFormat="1" ht="16.5" customHeight="1">
      <c r="A34" s="1013"/>
      <c r="B34" s="1014" t="s">
        <v>182</v>
      </c>
      <c r="C34" s="1014"/>
      <c r="D34" s="843">
        <v>3731</v>
      </c>
      <c r="E34" s="843">
        <v>4676</v>
      </c>
      <c r="F34" s="843">
        <v>4392</v>
      </c>
      <c r="G34" s="843">
        <v>4011</v>
      </c>
      <c r="H34" s="843">
        <v>4524</v>
      </c>
      <c r="I34" s="844">
        <v>5685</v>
      </c>
      <c r="J34" s="844">
        <v>5585</v>
      </c>
      <c r="K34" s="845">
        <v>5131</v>
      </c>
      <c r="L34" s="845">
        <v>6741</v>
      </c>
      <c r="M34" s="845">
        <v>8106</v>
      </c>
      <c r="N34" s="845">
        <v>9430</v>
      </c>
    </row>
    <row r="35" spans="1:15" s="69" customFormat="1">
      <c r="A35" s="19" t="s">
        <v>769</v>
      </c>
      <c r="B35" s="300"/>
      <c r="C35" s="300"/>
      <c r="D35" s="300"/>
      <c r="E35" s="300"/>
      <c r="F35" s="300"/>
      <c r="G35" s="300"/>
      <c r="H35" s="300"/>
      <c r="I35" s="300"/>
      <c r="J35" s="300"/>
      <c r="K35" s="300"/>
      <c r="L35" s="300"/>
      <c r="M35" s="300"/>
      <c r="N35" s="300"/>
    </row>
    <row r="36" spans="1:15" s="302" customFormat="1" ht="11.25" customHeight="1">
      <c r="A36" s="1000" t="s">
        <v>195</v>
      </c>
      <c r="B36" s="1000"/>
      <c r="C36" s="1000"/>
      <c r="D36" s="1000"/>
      <c r="E36" s="1000"/>
      <c r="F36" s="1000"/>
      <c r="G36" s="1000"/>
      <c r="H36" s="1000"/>
      <c r="I36" s="1000"/>
      <c r="J36" s="1000"/>
      <c r="K36" s="1000"/>
      <c r="L36" s="1000"/>
      <c r="M36" s="1000"/>
      <c r="N36" s="1000"/>
    </row>
    <row r="37" spans="1:15" s="302" customFormat="1" ht="13.5" customHeight="1">
      <c r="A37" s="1000" t="s">
        <v>194</v>
      </c>
      <c r="B37" s="1000"/>
      <c r="C37" s="1000"/>
      <c r="D37" s="1000"/>
      <c r="E37" s="1000"/>
      <c r="F37" s="1000"/>
      <c r="G37" s="1000"/>
      <c r="H37" s="1000"/>
      <c r="I37" s="1000"/>
      <c r="J37" s="1000"/>
      <c r="K37" s="1000"/>
      <c r="L37" s="1000"/>
      <c r="M37" s="1000"/>
      <c r="N37" s="1000"/>
    </row>
    <row r="38" spans="1:15" s="302" customFormat="1">
      <c r="D38" s="303"/>
      <c r="E38" s="303"/>
      <c r="F38" s="303"/>
      <c r="G38" s="303"/>
    </row>
    <row r="39" spans="1:15">
      <c r="A39" s="302"/>
      <c r="B39" s="302"/>
      <c r="C39" s="302"/>
      <c r="D39" s="304"/>
      <c r="E39" s="304"/>
      <c r="F39" s="304"/>
      <c r="G39" s="304"/>
      <c r="H39" s="304"/>
      <c r="I39" s="304"/>
      <c r="J39" s="304"/>
      <c r="K39" s="304"/>
      <c r="L39" s="304"/>
      <c r="M39" s="304"/>
      <c r="N39" s="304"/>
      <c r="O39" s="302"/>
    </row>
    <row r="43" spans="1:15">
      <c r="D43" s="305"/>
      <c r="E43" s="305"/>
      <c r="F43" s="305"/>
      <c r="G43" s="305"/>
      <c r="H43" s="305"/>
      <c r="I43" s="305"/>
      <c r="J43" s="305"/>
      <c r="K43" s="305"/>
      <c r="L43" s="305"/>
      <c r="M43" s="305"/>
      <c r="N43" s="305"/>
    </row>
    <row r="44" spans="1:15">
      <c r="D44" s="305"/>
      <c r="E44" s="305"/>
      <c r="F44" s="305"/>
      <c r="G44" s="305"/>
      <c r="H44" s="305"/>
      <c r="I44" s="305"/>
      <c r="J44" s="305"/>
      <c r="K44" s="305"/>
      <c r="L44" s="305"/>
      <c r="M44" s="305"/>
      <c r="N44" s="305"/>
    </row>
    <row r="45" spans="1:15">
      <c r="D45" s="305"/>
      <c r="E45" s="305"/>
      <c r="F45" s="305"/>
      <c r="G45" s="305"/>
      <c r="H45" s="305"/>
      <c r="I45" s="305"/>
      <c r="J45" s="305"/>
      <c r="K45" s="305"/>
      <c r="L45" s="305"/>
      <c r="M45" s="305"/>
      <c r="N45" s="305"/>
    </row>
    <row r="46" spans="1:15">
      <c r="D46" s="305"/>
      <c r="E46" s="305"/>
      <c r="F46" s="305"/>
      <c r="G46" s="305"/>
      <c r="H46" s="305"/>
      <c r="I46" s="305"/>
      <c r="J46" s="305"/>
      <c r="K46" s="305"/>
      <c r="L46" s="305"/>
      <c r="M46" s="305"/>
      <c r="N46" s="305"/>
    </row>
    <row r="47" spans="1:15">
      <c r="D47" s="305"/>
      <c r="E47" s="305"/>
      <c r="F47" s="305"/>
      <c r="G47" s="305"/>
      <c r="H47" s="305"/>
      <c r="I47" s="305"/>
      <c r="J47" s="305"/>
      <c r="K47" s="305"/>
      <c r="L47" s="305"/>
      <c r="M47" s="305"/>
      <c r="N47" s="305"/>
    </row>
  </sheetData>
  <mergeCells count="27">
    <mergeCell ref="A1:N1"/>
    <mergeCell ref="A36:N36"/>
    <mergeCell ref="A37:N37"/>
    <mergeCell ref="A30:A34"/>
    <mergeCell ref="B30:B31"/>
    <mergeCell ref="B32:B33"/>
    <mergeCell ref="B34:C34"/>
    <mergeCell ref="B19:C19"/>
    <mergeCell ref="A20:A24"/>
    <mergeCell ref="B20:B21"/>
    <mergeCell ref="B22:B23"/>
    <mergeCell ref="B24:C24"/>
    <mergeCell ref="A5:A9"/>
    <mergeCell ref="B5:B6"/>
    <mergeCell ref="B7:B8"/>
    <mergeCell ref="B9:C9"/>
    <mergeCell ref="A10:A14"/>
    <mergeCell ref="B10:B11"/>
    <mergeCell ref="A25:A29"/>
    <mergeCell ref="B25:B26"/>
    <mergeCell ref="B27:B28"/>
    <mergeCell ref="B29:C29"/>
    <mergeCell ref="B12:B13"/>
    <mergeCell ref="B14:C14"/>
    <mergeCell ref="A15:A19"/>
    <mergeCell ref="B15:B16"/>
    <mergeCell ref="B17:B18"/>
  </mergeCells>
  <conditionalFormatting sqref="A36 A1:A3 H38 H40:H42 H48:H1048576 J38:J1048576 J2:J34 A4:H34 A38:D38 B2:H3 A40:D42 A39:H39 A48:D1048576 A43:H47 O1:XFD1048576">
    <cfRule type="cellIs" dxfId="34" priority="36" operator="equal">
      <formula>0</formula>
    </cfRule>
  </conditionalFormatting>
  <conditionalFormatting sqref="F38 F40:F42 F48:F1048576">
    <cfRule type="cellIs" dxfId="33" priority="32" operator="equal">
      <formula>0</formula>
    </cfRule>
  </conditionalFormatting>
  <conditionalFormatting sqref="E38 E40:E42 E48:E1048576">
    <cfRule type="cellIs" dxfId="32" priority="28" operator="equal">
      <formula>0</formula>
    </cfRule>
  </conditionalFormatting>
  <conditionalFormatting sqref="G38 G40:G42 G48:G1048576">
    <cfRule type="cellIs" dxfId="31" priority="24" operator="equal">
      <formula>0</formula>
    </cfRule>
  </conditionalFormatting>
  <conditionalFormatting sqref="I38:I1048576 I2:I34">
    <cfRule type="cellIs" dxfId="30" priority="15" operator="equal">
      <formula>0</formula>
    </cfRule>
  </conditionalFormatting>
  <conditionalFormatting sqref="K38:K1048576 K2:K34">
    <cfRule type="cellIs" dxfId="29" priority="14" operator="equal">
      <formula>0</formula>
    </cfRule>
  </conditionalFormatting>
  <conditionalFormatting sqref="L38:L1048576 L2:L34">
    <cfRule type="cellIs" dxfId="28" priority="13" operator="equal">
      <formula>0</formula>
    </cfRule>
  </conditionalFormatting>
  <conditionalFormatting sqref="A37">
    <cfRule type="cellIs" dxfId="27" priority="10" operator="equal">
      <formula>0</formula>
    </cfRule>
  </conditionalFormatting>
  <conditionalFormatting sqref="M38:M1048576 M2:M34">
    <cfRule type="cellIs" dxfId="26" priority="9" operator="equal">
      <formula>0</formula>
    </cfRule>
  </conditionalFormatting>
  <conditionalFormatting sqref="N38:N1048576 N2:N34">
    <cfRule type="cellIs" dxfId="25" priority="2" operator="equal">
      <formula>0</formula>
    </cfRule>
  </conditionalFormatting>
  <conditionalFormatting sqref="A35">
    <cfRule type="cellIs" dxfId="24"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85" orientation="portrait" r:id="rId1"/>
  <headerFooter>
    <oddHeader xml:space="preserve">&amp;C&amp;G
</oddHeader>
  </headerFooter>
  <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84FF1-1DD3-4362-8C75-ABBF649D53B3}">
  <sheetPr>
    <tabColor rgb="FFFFFF00"/>
  </sheetPr>
  <dimension ref="A1:AB96"/>
  <sheetViews>
    <sheetView showGridLines="0" showRowColHeaders="0" zoomScaleNormal="100" zoomScaleSheetLayoutView="100" workbookViewId="0"/>
  </sheetViews>
  <sheetFormatPr defaultColWidth="0" defaultRowHeight="15" zeroHeight="1"/>
  <cols>
    <col min="1" max="11" width="8.42578125" style="894" customWidth="1"/>
    <col min="12" max="12" width="7" style="894" customWidth="1"/>
    <col min="13" max="23" width="8.7109375" style="894" customWidth="1"/>
    <col min="24" max="27" width="8.7109375" style="894" hidden="1" customWidth="1"/>
    <col min="28" max="28" width="11.28515625" style="894" hidden="1" customWidth="1"/>
    <col min="29" max="16384" width="8.7109375" style="894" hidden="1"/>
  </cols>
  <sheetData>
    <row r="1" spans="1:28">
      <c r="A1" s="912"/>
      <c r="B1" s="912"/>
      <c r="C1" s="912"/>
      <c r="D1" s="912"/>
      <c r="E1" s="912"/>
      <c r="F1" s="912"/>
      <c r="G1" s="912"/>
      <c r="H1" s="912"/>
      <c r="I1" s="912"/>
      <c r="J1" s="912"/>
      <c r="K1" s="912"/>
      <c r="L1" s="912"/>
      <c r="M1" s="912"/>
      <c r="N1" s="912"/>
      <c r="O1" s="912"/>
      <c r="P1" s="912"/>
      <c r="Q1" s="912"/>
      <c r="R1" s="912"/>
      <c r="S1" s="912"/>
      <c r="T1" s="912"/>
      <c r="U1" s="912"/>
      <c r="V1" s="912"/>
      <c r="W1" s="912"/>
    </row>
    <row r="2" spans="1:28">
      <c r="A2" s="912"/>
      <c r="B2" s="912"/>
      <c r="C2" s="912"/>
      <c r="D2" s="912"/>
      <c r="E2" s="912"/>
      <c r="F2" s="912"/>
      <c r="G2" s="912"/>
      <c r="H2" s="912"/>
      <c r="I2" s="912"/>
      <c r="J2" s="912"/>
      <c r="K2" s="912"/>
      <c r="L2" s="912"/>
      <c r="M2" s="912"/>
      <c r="N2" s="912"/>
      <c r="O2" s="912"/>
      <c r="P2" s="912"/>
      <c r="Q2" s="912"/>
      <c r="R2" s="912"/>
      <c r="S2" s="912"/>
      <c r="T2" s="912"/>
      <c r="U2" s="912"/>
      <c r="V2" s="912"/>
      <c r="W2" s="912"/>
    </row>
    <row r="3" spans="1:28">
      <c r="A3" s="912"/>
      <c r="B3" s="912"/>
      <c r="C3" s="912"/>
      <c r="D3" s="912"/>
      <c r="E3" s="912"/>
      <c r="F3" s="912"/>
      <c r="G3" s="912"/>
      <c r="H3" s="912"/>
      <c r="I3" s="912"/>
      <c r="J3" s="912"/>
      <c r="K3" s="912"/>
      <c r="L3" s="912"/>
      <c r="M3" s="912"/>
      <c r="N3" s="912"/>
      <c r="O3" s="912"/>
      <c r="P3" s="912"/>
      <c r="Q3" s="912"/>
      <c r="R3" s="912"/>
      <c r="S3" s="912"/>
      <c r="T3" s="912"/>
      <c r="U3" s="912"/>
      <c r="V3" s="912"/>
      <c r="W3" s="912"/>
    </row>
    <row r="4" spans="1:28">
      <c r="A4" s="912"/>
      <c r="B4" s="912"/>
      <c r="C4" s="912"/>
      <c r="D4" s="912"/>
      <c r="E4" s="912"/>
      <c r="F4" s="912"/>
      <c r="G4" s="912"/>
      <c r="H4" s="912"/>
      <c r="I4" s="912"/>
      <c r="J4" s="912"/>
      <c r="K4" s="912"/>
      <c r="L4" s="912"/>
      <c r="M4" s="912"/>
      <c r="N4" s="912"/>
      <c r="O4" s="912"/>
      <c r="P4" s="912"/>
      <c r="Q4" s="912"/>
      <c r="R4" s="912"/>
      <c r="S4" s="912"/>
      <c r="T4" s="912"/>
      <c r="U4" s="912"/>
      <c r="V4" s="912"/>
      <c r="W4" s="912"/>
    </row>
    <row r="5" spans="1:28">
      <c r="A5" s="912"/>
      <c r="B5" s="912"/>
      <c r="C5" s="912"/>
      <c r="D5" s="912"/>
      <c r="E5" s="912"/>
      <c r="F5" s="912"/>
      <c r="G5" s="912"/>
      <c r="H5" s="912"/>
      <c r="I5" s="912"/>
      <c r="J5" s="912"/>
      <c r="K5" s="912"/>
      <c r="L5" s="912"/>
      <c r="M5" s="912"/>
      <c r="N5" s="912"/>
      <c r="O5" s="912"/>
      <c r="P5" s="912"/>
      <c r="Q5" s="912"/>
      <c r="R5" s="912"/>
      <c r="S5" s="912"/>
      <c r="T5" s="912"/>
      <c r="U5" s="912"/>
      <c r="V5" s="912"/>
      <c r="W5" s="912"/>
      <c r="Z5" s="907"/>
    </row>
    <row r="6" spans="1:28">
      <c r="A6" s="912"/>
      <c r="B6" s="912"/>
      <c r="C6" s="912"/>
      <c r="D6" s="912"/>
      <c r="E6" s="912"/>
      <c r="F6" s="912"/>
      <c r="G6" s="913"/>
      <c r="H6" s="912"/>
      <c r="I6" s="912"/>
      <c r="J6" s="912"/>
      <c r="K6" s="912"/>
      <c r="L6" s="937"/>
      <c r="M6" s="937"/>
      <c r="N6" s="937"/>
      <c r="O6" s="937"/>
      <c r="P6" s="937"/>
      <c r="Q6" s="937"/>
      <c r="R6" s="912"/>
      <c r="S6" s="912"/>
      <c r="T6" s="912"/>
      <c r="U6" s="912"/>
      <c r="V6" s="912"/>
      <c r="W6" s="912"/>
    </row>
    <row r="7" spans="1:28">
      <c r="A7" s="938"/>
      <c r="B7" s="938"/>
      <c r="C7" s="938"/>
      <c r="D7" s="938"/>
      <c r="E7" s="938"/>
      <c r="F7" s="938"/>
      <c r="G7" s="912"/>
      <c r="H7" s="912"/>
      <c r="I7" s="912"/>
      <c r="J7" s="912"/>
      <c r="K7" s="912"/>
      <c r="L7" s="912"/>
      <c r="M7" s="912"/>
      <c r="N7" s="912"/>
      <c r="O7" s="912"/>
      <c r="P7" s="912"/>
      <c r="Q7" s="912"/>
      <c r="R7" s="912"/>
      <c r="S7" s="912"/>
      <c r="T7" s="912"/>
      <c r="U7" s="912"/>
      <c r="V7" s="912"/>
      <c r="W7" s="912"/>
    </row>
    <row r="8" spans="1:28" ht="15" customHeight="1">
      <c r="A8" s="912"/>
      <c r="B8" s="912"/>
      <c r="C8" s="912"/>
      <c r="D8" s="912"/>
      <c r="E8" s="912"/>
      <c r="F8" s="916"/>
      <c r="G8" s="916"/>
      <c r="H8" s="912"/>
      <c r="I8" s="912"/>
      <c r="J8" s="912"/>
      <c r="K8" s="912"/>
      <c r="L8" s="912"/>
      <c r="M8" s="912"/>
      <c r="N8" s="912"/>
      <c r="O8" s="912"/>
      <c r="P8" s="912"/>
      <c r="Q8" s="912"/>
      <c r="R8" s="912"/>
      <c r="S8" s="912"/>
      <c r="T8" s="912"/>
      <c r="U8" s="912"/>
      <c r="V8" s="912"/>
      <c r="W8" s="912"/>
    </row>
    <row r="9" spans="1:28" ht="15" customHeight="1">
      <c r="A9" s="912"/>
      <c r="B9" s="912"/>
      <c r="C9" s="912"/>
      <c r="D9" s="912"/>
      <c r="E9" s="912"/>
      <c r="F9" s="916"/>
      <c r="G9" s="916"/>
      <c r="H9" s="912"/>
      <c r="I9" s="912"/>
      <c r="J9" s="912"/>
      <c r="K9" s="912"/>
      <c r="L9" s="912"/>
      <c r="M9" s="912"/>
      <c r="N9" s="912"/>
      <c r="O9" s="912"/>
      <c r="P9" s="912"/>
      <c r="Q9" s="912"/>
      <c r="R9" s="912"/>
      <c r="S9" s="912"/>
      <c r="T9" s="912"/>
      <c r="U9" s="912"/>
      <c r="V9" s="912"/>
      <c r="W9" s="912"/>
    </row>
    <row r="10" spans="1:28">
      <c r="A10" s="912"/>
      <c r="B10" s="912"/>
      <c r="C10" s="912"/>
      <c r="D10" s="912"/>
      <c r="E10" s="912"/>
      <c r="F10" s="916"/>
      <c r="G10" s="916"/>
      <c r="H10" s="912"/>
      <c r="I10" s="912"/>
      <c r="J10" s="912"/>
      <c r="K10" s="912"/>
      <c r="L10" s="912"/>
      <c r="M10" s="912"/>
      <c r="N10" s="912"/>
      <c r="O10" s="912"/>
      <c r="P10" s="912"/>
      <c r="Q10" s="912"/>
      <c r="R10" s="912"/>
      <c r="S10" s="912"/>
      <c r="T10" s="912"/>
      <c r="U10" s="912"/>
      <c r="V10" s="912"/>
      <c r="W10" s="912"/>
      <c r="AB10" s="903"/>
    </row>
    <row r="11" spans="1:28" ht="15" customHeight="1">
      <c r="A11" s="912"/>
      <c r="B11" s="912"/>
      <c r="C11" s="912"/>
      <c r="D11" s="912"/>
      <c r="E11" s="912"/>
      <c r="F11" s="916"/>
      <c r="G11" s="916"/>
      <c r="H11" s="912"/>
      <c r="I11" s="912"/>
      <c r="J11" s="912"/>
      <c r="K11" s="912"/>
      <c r="L11" s="912"/>
      <c r="M11" s="912"/>
      <c r="N11" s="912"/>
      <c r="O11" s="912"/>
      <c r="P11" s="912"/>
      <c r="Q11" s="912"/>
      <c r="R11" s="912"/>
      <c r="S11" s="912"/>
      <c r="T11" s="912"/>
      <c r="U11" s="912"/>
      <c r="V11" s="912"/>
      <c r="W11" s="912"/>
    </row>
    <row r="12" spans="1:28" ht="15" customHeight="1">
      <c r="A12" s="912"/>
      <c r="B12" s="912"/>
      <c r="C12" s="912"/>
      <c r="D12" s="912"/>
      <c r="E12" s="912"/>
      <c r="F12" s="916"/>
      <c r="G12" s="916"/>
      <c r="H12" s="912"/>
      <c r="I12" s="912"/>
      <c r="J12" s="912"/>
      <c r="K12" s="912"/>
      <c r="L12" s="912"/>
      <c r="M12" s="912"/>
      <c r="N12" s="912"/>
      <c r="O12" s="912"/>
      <c r="P12" s="912"/>
      <c r="Q12" s="912"/>
      <c r="R12" s="912"/>
      <c r="S12" s="912"/>
      <c r="T12" s="912"/>
      <c r="U12" s="912"/>
      <c r="V12" s="912"/>
      <c r="W12" s="912"/>
    </row>
    <row r="13" spans="1:28">
      <c r="A13" s="912"/>
      <c r="B13" s="912"/>
      <c r="C13" s="912"/>
      <c r="D13" s="912"/>
      <c r="E13" s="912"/>
      <c r="F13" s="916"/>
      <c r="G13" s="916"/>
      <c r="H13" s="912"/>
      <c r="I13" s="912"/>
      <c r="J13" s="912"/>
      <c r="K13" s="912"/>
      <c r="L13" s="912"/>
      <c r="M13" s="912"/>
      <c r="N13" s="912"/>
      <c r="O13" s="912"/>
      <c r="P13" s="912"/>
      <c r="Q13" s="912"/>
      <c r="R13" s="912"/>
      <c r="S13" s="912"/>
      <c r="T13" s="912"/>
      <c r="U13" s="912"/>
      <c r="V13" s="912"/>
      <c r="W13" s="912"/>
    </row>
    <row r="14" spans="1:28">
      <c r="A14" s="912"/>
      <c r="B14" s="912"/>
      <c r="C14" s="912"/>
      <c r="D14" s="912"/>
      <c r="E14" s="912"/>
      <c r="F14" s="912"/>
      <c r="G14" s="912"/>
      <c r="H14" s="912"/>
      <c r="I14" s="912"/>
      <c r="J14" s="912"/>
      <c r="K14" s="912"/>
      <c r="L14" s="912"/>
      <c r="M14" s="912"/>
      <c r="N14" s="912"/>
      <c r="O14" s="912"/>
      <c r="P14" s="912"/>
      <c r="Q14" s="912"/>
      <c r="R14" s="912"/>
      <c r="S14" s="912"/>
      <c r="T14" s="912"/>
      <c r="U14" s="912"/>
      <c r="V14" s="912"/>
      <c r="W14" s="912"/>
    </row>
    <row r="15" spans="1:28">
      <c r="A15" s="912"/>
      <c r="B15" s="912"/>
      <c r="C15" s="912"/>
      <c r="D15" s="912"/>
      <c r="E15" s="912"/>
      <c r="F15" s="912"/>
      <c r="G15" s="912"/>
      <c r="H15" s="912"/>
      <c r="I15" s="912"/>
      <c r="J15" s="912"/>
      <c r="K15" s="912"/>
      <c r="L15" s="912"/>
      <c r="M15" s="912"/>
      <c r="N15" s="912"/>
      <c r="O15" s="912"/>
      <c r="P15" s="912"/>
      <c r="Q15" s="912"/>
      <c r="R15" s="912"/>
      <c r="S15" s="912"/>
      <c r="T15" s="912"/>
      <c r="U15" s="912"/>
      <c r="V15" s="912"/>
      <c r="W15" s="912"/>
    </row>
    <row r="16" spans="1:28">
      <c r="A16" s="912"/>
      <c r="B16" s="912"/>
      <c r="C16" s="912"/>
      <c r="D16" s="912"/>
      <c r="E16" s="912"/>
      <c r="F16" s="912"/>
      <c r="G16" s="912"/>
      <c r="H16" s="912"/>
      <c r="I16" s="912"/>
      <c r="J16" s="912"/>
      <c r="K16" s="912"/>
      <c r="L16" s="912"/>
      <c r="M16" s="912"/>
      <c r="N16" s="912"/>
      <c r="O16" s="912"/>
      <c r="P16" s="912"/>
      <c r="Q16" s="912"/>
      <c r="R16" s="912"/>
      <c r="S16" s="912"/>
      <c r="T16" s="912"/>
      <c r="U16" s="912"/>
      <c r="V16" s="912"/>
      <c r="W16" s="912"/>
    </row>
    <row r="17" spans="1:28">
      <c r="A17" s="912"/>
      <c r="B17" s="912"/>
      <c r="C17" s="912"/>
      <c r="D17" s="912"/>
      <c r="E17" s="912"/>
      <c r="F17" s="912"/>
      <c r="G17" s="912"/>
      <c r="H17" s="912"/>
      <c r="I17" s="912"/>
      <c r="J17" s="912"/>
      <c r="K17" s="912"/>
      <c r="L17" s="912"/>
      <c r="M17" s="912"/>
      <c r="N17" s="912"/>
      <c r="O17" s="912"/>
      <c r="P17" s="912"/>
      <c r="Q17" s="912"/>
      <c r="R17" s="912"/>
      <c r="S17" s="912"/>
      <c r="T17" s="912"/>
      <c r="U17" s="912"/>
      <c r="V17" s="912"/>
      <c r="W17" s="912"/>
    </row>
    <row r="18" spans="1:28">
      <c r="A18" s="912"/>
      <c r="B18" s="912"/>
      <c r="C18" s="912"/>
      <c r="D18" s="912"/>
      <c r="E18" s="912"/>
      <c r="F18" s="912"/>
      <c r="G18" s="912"/>
      <c r="H18" s="912"/>
      <c r="I18" s="912"/>
      <c r="J18" s="912"/>
      <c r="K18" s="912"/>
      <c r="L18" s="912"/>
      <c r="M18" s="912"/>
      <c r="N18" s="912"/>
      <c r="O18" s="912"/>
      <c r="P18" s="912"/>
      <c r="Q18" s="912"/>
      <c r="R18" s="912"/>
      <c r="S18" s="912"/>
      <c r="T18" s="912"/>
      <c r="U18" s="912"/>
      <c r="V18" s="912"/>
      <c r="W18" s="912"/>
    </row>
    <row r="19" spans="1:28">
      <c r="A19" s="912"/>
      <c r="B19" s="912"/>
      <c r="C19" s="912"/>
      <c r="D19" s="912"/>
      <c r="E19" s="912"/>
      <c r="F19" s="912"/>
      <c r="G19" s="912"/>
      <c r="H19" s="912"/>
      <c r="I19" s="912"/>
      <c r="J19" s="912"/>
      <c r="K19" s="912"/>
      <c r="L19" s="912"/>
      <c r="M19" s="912"/>
      <c r="N19" s="912"/>
      <c r="O19" s="912"/>
      <c r="P19" s="912"/>
      <c r="Q19" s="912"/>
      <c r="R19" s="912"/>
      <c r="S19" s="912"/>
      <c r="T19" s="912"/>
      <c r="U19" s="912"/>
      <c r="V19" s="912"/>
      <c r="W19" s="912"/>
      <c r="AB19" s="904"/>
    </row>
    <row r="20" spans="1:28">
      <c r="A20" s="912"/>
      <c r="B20" s="912"/>
      <c r="C20" s="912"/>
      <c r="D20" s="912"/>
      <c r="E20" s="912"/>
      <c r="F20" s="912"/>
      <c r="G20" s="912"/>
      <c r="H20" s="912"/>
      <c r="I20" s="912"/>
      <c r="J20" s="912"/>
      <c r="K20" s="912"/>
      <c r="L20" s="912"/>
      <c r="M20" s="912"/>
      <c r="N20" s="912"/>
      <c r="O20" s="912"/>
      <c r="P20" s="912"/>
      <c r="Q20" s="912"/>
      <c r="R20" s="912"/>
      <c r="S20" s="912"/>
      <c r="T20" s="912"/>
      <c r="U20" s="912"/>
      <c r="V20" s="912"/>
      <c r="W20" s="912"/>
      <c r="AB20" s="904"/>
    </row>
    <row r="21" spans="1:28">
      <c r="A21" s="912"/>
      <c r="B21" s="912"/>
      <c r="C21" s="912"/>
      <c r="D21" s="912"/>
      <c r="E21" s="912"/>
      <c r="F21" s="912"/>
      <c r="G21" s="912"/>
      <c r="H21" s="912"/>
      <c r="I21" s="912"/>
      <c r="J21" s="912"/>
      <c r="K21" s="912"/>
      <c r="L21" s="912"/>
      <c r="M21" s="912"/>
      <c r="N21" s="912"/>
      <c r="O21" s="912"/>
      <c r="P21" s="912"/>
      <c r="Q21" s="912"/>
      <c r="R21" s="912"/>
      <c r="S21" s="912"/>
      <c r="T21" s="912"/>
      <c r="U21" s="912"/>
      <c r="V21" s="912"/>
      <c r="W21" s="912"/>
      <c r="AB21" s="905"/>
    </row>
    <row r="22" spans="1:28">
      <c r="A22" s="912"/>
      <c r="B22" s="912"/>
      <c r="C22" s="912"/>
      <c r="D22" s="912"/>
      <c r="E22" s="912"/>
      <c r="F22" s="912"/>
      <c r="G22" s="912"/>
      <c r="H22" s="912"/>
      <c r="I22" s="912"/>
      <c r="J22" s="912"/>
      <c r="K22" s="912"/>
      <c r="L22" s="912"/>
      <c r="M22" s="912"/>
      <c r="N22" s="912"/>
      <c r="O22" s="912"/>
      <c r="P22" s="912"/>
      <c r="Q22" s="912"/>
      <c r="R22" s="912"/>
      <c r="S22" s="912"/>
      <c r="T22" s="912"/>
      <c r="U22" s="912"/>
      <c r="V22" s="912"/>
      <c r="W22" s="912"/>
    </row>
    <row r="23" spans="1:28">
      <c r="A23" s="912"/>
      <c r="B23" s="912"/>
      <c r="C23" s="912"/>
      <c r="D23" s="912"/>
      <c r="E23" s="912"/>
      <c r="F23" s="912"/>
      <c r="G23" s="912"/>
      <c r="H23" s="912"/>
      <c r="I23" s="912"/>
      <c r="J23" s="912"/>
      <c r="K23" s="912"/>
      <c r="L23" s="912"/>
      <c r="M23" s="912"/>
      <c r="N23" s="912"/>
      <c r="O23" s="912"/>
      <c r="P23" s="912"/>
      <c r="Q23" s="912"/>
      <c r="R23" s="912"/>
      <c r="S23" s="912"/>
      <c r="T23" s="912"/>
      <c r="U23" s="912"/>
      <c r="V23" s="912"/>
      <c r="W23" s="912"/>
    </row>
    <row r="24" spans="1:28">
      <c r="A24" s="912"/>
      <c r="B24" s="912"/>
      <c r="C24" s="912"/>
      <c r="D24" s="912"/>
      <c r="E24" s="912"/>
      <c r="F24" s="912"/>
      <c r="G24" s="912"/>
      <c r="H24" s="912"/>
      <c r="I24" s="912"/>
      <c r="J24" s="912"/>
      <c r="K24" s="912"/>
      <c r="L24" s="912"/>
      <c r="M24" s="912"/>
      <c r="N24" s="912"/>
      <c r="O24" s="912"/>
      <c r="P24" s="912"/>
      <c r="Q24" s="912"/>
      <c r="R24" s="912"/>
      <c r="S24" s="912"/>
      <c r="T24" s="912"/>
      <c r="U24" s="912"/>
      <c r="V24" s="912"/>
      <c r="W24" s="912"/>
    </row>
    <row r="25" spans="1:28">
      <c r="A25" s="912"/>
      <c r="B25" s="912"/>
      <c r="C25" s="912"/>
      <c r="D25" s="912"/>
      <c r="E25" s="912"/>
      <c r="F25" s="912"/>
      <c r="G25" s="912"/>
      <c r="H25" s="912"/>
      <c r="I25" s="912"/>
      <c r="J25" s="912"/>
      <c r="K25" s="912"/>
      <c r="L25" s="912"/>
      <c r="M25" s="912"/>
      <c r="N25" s="912"/>
      <c r="O25" s="912"/>
      <c r="P25" s="912"/>
      <c r="Q25" s="912"/>
      <c r="R25" s="912"/>
      <c r="S25" s="912"/>
      <c r="T25" s="912"/>
      <c r="U25" s="912"/>
      <c r="V25" s="912"/>
      <c r="W25" s="912"/>
    </row>
    <row r="26" spans="1:28">
      <c r="A26" s="912"/>
      <c r="B26" s="912"/>
      <c r="C26" s="912"/>
      <c r="D26" s="912"/>
      <c r="E26" s="912"/>
      <c r="F26" s="912"/>
      <c r="G26" s="912"/>
      <c r="H26" s="912"/>
      <c r="I26" s="912"/>
      <c r="J26" s="912"/>
      <c r="K26" s="912"/>
      <c r="L26" s="912"/>
      <c r="M26" s="912"/>
      <c r="N26" s="912"/>
      <c r="O26" s="912"/>
      <c r="P26" s="912"/>
      <c r="Q26" s="912"/>
      <c r="R26" s="912"/>
      <c r="S26" s="912"/>
      <c r="T26" s="912"/>
      <c r="U26" s="912"/>
      <c r="V26" s="912"/>
      <c r="W26" s="912"/>
    </row>
    <row r="27" spans="1:28">
      <c r="A27" s="912"/>
      <c r="B27" s="912"/>
      <c r="C27" s="912"/>
      <c r="D27" s="912"/>
      <c r="E27" s="912"/>
      <c r="F27" s="912"/>
      <c r="G27" s="912"/>
      <c r="H27" s="912"/>
      <c r="I27" s="912"/>
      <c r="J27" s="912"/>
      <c r="K27" s="912"/>
      <c r="L27" s="912"/>
      <c r="M27" s="912"/>
      <c r="N27" s="912"/>
      <c r="O27" s="912"/>
      <c r="P27" s="912"/>
      <c r="Q27" s="912"/>
      <c r="R27" s="912"/>
      <c r="S27" s="912"/>
      <c r="T27" s="912"/>
      <c r="U27" s="912"/>
      <c r="V27" s="912"/>
      <c r="W27" s="912"/>
    </row>
    <row r="28" spans="1:28">
      <c r="A28" s="912"/>
      <c r="B28" s="912"/>
      <c r="C28" s="912"/>
      <c r="D28" s="912"/>
      <c r="E28" s="912"/>
      <c r="F28" s="912"/>
      <c r="G28" s="912"/>
      <c r="H28" s="912"/>
      <c r="I28" s="912"/>
      <c r="J28" s="912"/>
      <c r="K28" s="912"/>
      <c r="L28" s="912"/>
      <c r="M28" s="912"/>
      <c r="N28" s="912"/>
      <c r="O28" s="912"/>
      <c r="P28" s="917"/>
      <c r="Q28" s="917"/>
      <c r="R28" s="917"/>
      <c r="S28" s="917"/>
      <c r="T28" s="917"/>
      <c r="U28" s="917"/>
      <c r="V28" s="917"/>
      <c r="W28" s="917"/>
      <c r="X28" s="895"/>
      <c r="Y28" s="895"/>
    </row>
    <row r="29" spans="1:28">
      <c r="A29" s="912"/>
      <c r="B29" s="912"/>
      <c r="C29" s="912"/>
      <c r="D29" s="912"/>
      <c r="E29" s="912"/>
      <c r="F29" s="912"/>
      <c r="G29" s="912"/>
      <c r="H29" s="912"/>
      <c r="I29" s="912"/>
      <c r="J29" s="912"/>
      <c r="K29" s="912"/>
      <c r="L29" s="912"/>
      <c r="M29" s="912"/>
      <c r="N29" s="912"/>
      <c r="O29" s="912"/>
      <c r="P29" s="918"/>
      <c r="Q29" s="918"/>
      <c r="R29" s="918"/>
      <c r="S29" s="918"/>
      <c r="T29" s="918"/>
      <c r="U29" s="918"/>
      <c r="V29" s="912"/>
      <c r="W29" s="919"/>
      <c r="X29" s="896"/>
      <c r="Y29" s="906"/>
    </row>
    <row r="30" spans="1:28">
      <c r="A30" s="912"/>
      <c r="B30" s="912"/>
      <c r="C30" s="912"/>
      <c r="D30" s="912"/>
      <c r="E30" s="912"/>
      <c r="F30" s="912"/>
      <c r="G30" s="912"/>
      <c r="H30" s="912"/>
      <c r="I30" s="912"/>
      <c r="J30" s="912"/>
      <c r="K30" s="912"/>
      <c r="L30" s="912"/>
      <c r="M30" s="912"/>
      <c r="N30" s="912"/>
      <c r="O30" s="912"/>
      <c r="P30" s="912"/>
      <c r="Q30" s="912"/>
      <c r="R30" s="912"/>
      <c r="S30" s="912"/>
      <c r="T30" s="912"/>
      <c r="U30" s="912"/>
      <c r="V30" s="912"/>
      <c r="W30" s="912"/>
    </row>
    <row r="31" spans="1:28">
      <c r="A31" s="912"/>
      <c r="B31" s="912"/>
      <c r="C31" s="912"/>
      <c r="D31" s="912"/>
      <c r="E31" s="912"/>
      <c r="F31" s="912"/>
      <c r="G31" s="912"/>
      <c r="H31" s="912"/>
      <c r="I31" s="912"/>
      <c r="J31" s="912"/>
      <c r="K31" s="912"/>
      <c r="L31" s="912"/>
      <c r="M31" s="912"/>
      <c r="N31" s="912"/>
      <c r="O31" s="912"/>
      <c r="P31" s="920"/>
      <c r="Q31" s="912"/>
      <c r="R31" s="912"/>
      <c r="S31" s="912"/>
      <c r="T31" s="912"/>
      <c r="U31" s="912"/>
      <c r="V31" s="912"/>
      <c r="W31" s="912"/>
    </row>
    <row r="32" spans="1:28">
      <c r="A32" s="912"/>
      <c r="B32" s="912"/>
      <c r="C32" s="912"/>
      <c r="D32" s="912"/>
      <c r="E32" s="912"/>
      <c r="F32" s="912"/>
      <c r="G32" s="912"/>
      <c r="H32" s="912"/>
      <c r="I32" s="912"/>
      <c r="J32" s="912"/>
      <c r="K32" s="912"/>
      <c r="L32" s="912"/>
      <c r="M32" s="912"/>
      <c r="N32" s="912"/>
      <c r="O32" s="912"/>
      <c r="P32" s="919"/>
      <c r="Q32" s="912"/>
      <c r="R32" s="912"/>
      <c r="S32" s="912"/>
      <c r="T32" s="912"/>
      <c r="U32" s="912"/>
      <c r="V32" s="912"/>
      <c r="W32" s="912"/>
    </row>
    <row r="33" spans="1:25">
      <c r="A33" s="912"/>
      <c r="B33" s="912"/>
      <c r="C33" s="912"/>
      <c r="D33" s="912"/>
      <c r="E33" s="912"/>
      <c r="F33" s="912"/>
      <c r="G33" s="912"/>
      <c r="H33" s="912"/>
      <c r="I33" s="912"/>
      <c r="J33" s="912"/>
      <c r="K33" s="912"/>
      <c r="L33" s="912"/>
      <c r="M33" s="912"/>
      <c r="N33" s="912"/>
      <c r="O33" s="912"/>
      <c r="P33" s="919"/>
      <c r="Q33" s="912"/>
      <c r="R33" s="912"/>
      <c r="S33" s="912"/>
      <c r="T33" s="912"/>
      <c r="U33" s="912"/>
      <c r="V33" s="912"/>
      <c r="W33" s="912"/>
      <c r="Y33" s="900"/>
    </row>
    <row r="34" spans="1:25">
      <c r="A34" s="912"/>
      <c r="B34" s="912"/>
      <c r="C34" s="912"/>
      <c r="D34" s="912"/>
      <c r="E34" s="912"/>
      <c r="F34" s="912"/>
      <c r="G34" s="912"/>
      <c r="H34" s="912"/>
      <c r="I34" s="912"/>
      <c r="J34" s="912"/>
      <c r="K34" s="912"/>
      <c r="L34" s="912"/>
      <c r="M34" s="912"/>
      <c r="N34" s="912"/>
      <c r="O34" s="912"/>
      <c r="P34" s="919"/>
      <c r="Q34" s="912"/>
      <c r="R34" s="912"/>
      <c r="S34" s="912"/>
      <c r="T34" s="912"/>
      <c r="U34" s="912"/>
      <c r="V34" s="912"/>
      <c r="W34" s="912"/>
    </row>
    <row r="35" spans="1:25">
      <c r="A35" s="928"/>
      <c r="B35" s="912"/>
      <c r="C35" s="912"/>
      <c r="D35" s="912"/>
      <c r="E35" s="912"/>
      <c r="F35" s="912"/>
      <c r="G35" s="912"/>
      <c r="H35" s="921"/>
      <c r="I35" s="912"/>
      <c r="J35" s="920"/>
      <c r="K35" s="912"/>
      <c r="L35" s="912"/>
      <c r="M35" s="919"/>
      <c r="N35" s="919"/>
      <c r="O35" s="919"/>
      <c r="P35" s="919"/>
      <c r="Q35" s="912"/>
      <c r="R35" s="912"/>
      <c r="S35" s="912"/>
      <c r="T35" s="912"/>
      <c r="U35" s="912"/>
      <c r="V35" s="912"/>
      <c r="W35" s="912"/>
    </row>
    <row r="36" spans="1:25">
      <c r="A36" s="928"/>
      <c r="B36" s="912"/>
      <c r="C36" s="912"/>
      <c r="D36" s="912"/>
      <c r="E36" s="912"/>
      <c r="F36" s="912"/>
      <c r="G36" s="912"/>
      <c r="H36" s="921"/>
      <c r="I36" s="912"/>
      <c r="J36" s="920"/>
      <c r="K36" s="912"/>
      <c r="L36" s="912"/>
      <c r="M36" s="919"/>
      <c r="N36" s="919"/>
      <c r="O36" s="919"/>
      <c r="P36" s="919"/>
      <c r="Q36" s="912"/>
      <c r="R36" s="912"/>
      <c r="S36" s="912"/>
      <c r="T36" s="912"/>
      <c r="U36" s="912"/>
      <c r="V36" s="912"/>
      <c r="W36" s="912"/>
    </row>
    <row r="37" spans="1:25">
      <c r="A37" s="928"/>
      <c r="B37" s="912"/>
      <c r="C37" s="912"/>
      <c r="D37" s="912"/>
      <c r="E37" s="912"/>
      <c r="F37" s="912"/>
      <c r="G37" s="912"/>
      <c r="H37" s="912"/>
      <c r="I37" s="912"/>
      <c r="J37" s="920"/>
      <c r="K37" s="912"/>
      <c r="L37" s="912"/>
      <c r="M37" s="922"/>
      <c r="N37" s="921"/>
      <c r="O37" s="919"/>
      <c r="P37" s="919"/>
      <c r="Q37" s="929"/>
      <c r="R37" s="912"/>
      <c r="S37" s="912"/>
      <c r="T37" s="912"/>
      <c r="U37" s="912"/>
      <c r="V37" s="912"/>
      <c r="W37" s="912"/>
    </row>
    <row r="38" spans="1:25">
      <c r="A38" s="928"/>
      <c r="B38" s="912"/>
      <c r="C38" s="912"/>
      <c r="D38" s="912"/>
      <c r="E38" s="912"/>
      <c r="F38" s="912"/>
      <c r="G38" s="912"/>
      <c r="H38" s="921"/>
      <c r="I38" s="912"/>
      <c r="J38" s="920"/>
      <c r="K38" s="912"/>
      <c r="L38" s="912"/>
      <c r="M38" s="919"/>
      <c r="N38" s="919"/>
      <c r="O38" s="919"/>
      <c r="P38" s="919"/>
      <c r="Q38" s="912"/>
      <c r="R38" s="912"/>
      <c r="S38" s="912"/>
      <c r="T38" s="912"/>
      <c r="U38" s="912"/>
      <c r="V38" s="912"/>
      <c r="W38" s="912"/>
    </row>
    <row r="39" spans="1:25">
      <c r="A39" s="928"/>
      <c r="B39" s="912"/>
      <c r="C39" s="912"/>
      <c r="D39" s="912"/>
      <c r="E39" s="912"/>
      <c r="F39" s="912"/>
      <c r="G39" s="912"/>
      <c r="H39" s="920"/>
      <c r="I39" s="920"/>
      <c r="J39" s="920"/>
      <c r="K39" s="912"/>
      <c r="L39" s="919"/>
      <c r="M39" s="919"/>
      <c r="N39" s="919"/>
      <c r="O39" s="919"/>
      <c r="P39" s="919"/>
      <c r="Q39" s="912"/>
      <c r="R39" s="912"/>
      <c r="S39" s="912"/>
      <c r="T39" s="912"/>
      <c r="U39" s="912"/>
      <c r="V39" s="912"/>
      <c r="W39" s="912"/>
    </row>
    <row r="40" spans="1:25">
      <c r="A40" s="912"/>
      <c r="B40" s="912"/>
      <c r="C40" s="912"/>
      <c r="D40" s="912"/>
      <c r="E40" s="912"/>
      <c r="F40" s="912"/>
      <c r="G40" s="919"/>
      <c r="H40" s="919"/>
      <c r="I40" s="919"/>
      <c r="J40" s="919"/>
      <c r="K40" s="919"/>
      <c r="L40" s="919"/>
      <c r="M40" s="919"/>
      <c r="N40" s="919"/>
      <c r="O40" s="919"/>
      <c r="P40" s="919"/>
      <c r="Q40" s="912"/>
      <c r="R40" s="912"/>
      <c r="S40" s="912"/>
      <c r="T40" s="912"/>
      <c r="U40" s="912"/>
      <c r="V40" s="912"/>
      <c r="W40" s="912"/>
    </row>
    <row r="41" spans="1:25">
      <c r="A41" s="912"/>
      <c r="B41" s="912"/>
      <c r="C41" s="912"/>
      <c r="D41" s="912"/>
      <c r="E41" s="912"/>
      <c r="F41" s="912"/>
      <c r="G41" s="919"/>
      <c r="H41" s="919"/>
      <c r="I41" s="919"/>
      <c r="J41" s="919"/>
      <c r="K41" s="919"/>
      <c r="L41" s="919"/>
      <c r="M41" s="919"/>
      <c r="N41" s="919"/>
      <c r="O41" s="919"/>
      <c r="P41" s="919"/>
      <c r="Q41" s="912"/>
      <c r="R41" s="912"/>
      <c r="S41" s="912"/>
      <c r="T41" s="912"/>
      <c r="U41" s="912"/>
      <c r="V41" s="912"/>
      <c r="W41" s="912"/>
    </row>
    <row r="42" spans="1:25">
      <c r="A42" s="912"/>
      <c r="B42" s="912"/>
      <c r="C42" s="912"/>
      <c r="D42" s="912"/>
      <c r="E42" s="912"/>
      <c r="F42" s="912"/>
      <c r="G42" s="919"/>
      <c r="H42" s="919"/>
      <c r="I42" s="919"/>
      <c r="J42" s="919"/>
      <c r="K42" s="919"/>
      <c r="L42" s="919"/>
      <c r="M42" s="919"/>
      <c r="N42" s="919"/>
      <c r="O42" s="919"/>
      <c r="P42" s="919"/>
      <c r="Q42" s="912"/>
      <c r="R42" s="912"/>
      <c r="S42" s="912"/>
      <c r="T42" s="912"/>
      <c r="U42" s="912"/>
      <c r="V42" s="912"/>
      <c r="W42" s="912"/>
    </row>
    <row r="43" spans="1:25">
      <c r="A43" s="912"/>
      <c r="B43" s="912"/>
      <c r="C43" s="912"/>
      <c r="D43" s="912"/>
      <c r="E43" s="912"/>
      <c r="F43" s="912"/>
      <c r="G43" s="919"/>
      <c r="H43" s="919"/>
      <c r="I43" s="919"/>
      <c r="J43" s="919"/>
      <c r="K43" s="919"/>
      <c r="L43" s="919"/>
      <c r="M43" s="919"/>
      <c r="N43" s="919"/>
      <c r="O43" s="919"/>
      <c r="P43" s="919"/>
      <c r="Q43" s="912"/>
      <c r="R43" s="912"/>
      <c r="S43" s="912"/>
      <c r="T43" s="912"/>
      <c r="U43" s="912"/>
      <c r="V43" s="912"/>
      <c r="W43" s="912"/>
    </row>
    <row r="44" spans="1:25">
      <c r="A44" s="912"/>
      <c r="B44" s="912"/>
      <c r="C44" s="912"/>
      <c r="D44" s="912"/>
      <c r="E44" s="912"/>
      <c r="F44" s="912"/>
      <c r="G44" s="919"/>
      <c r="H44" s="919"/>
      <c r="I44" s="919"/>
      <c r="J44" s="919"/>
      <c r="K44" s="919"/>
      <c r="L44" s="919"/>
      <c r="M44" s="919"/>
      <c r="N44" s="919"/>
      <c r="O44" s="919"/>
      <c r="P44" s="919"/>
      <c r="Q44" s="912"/>
      <c r="R44" s="912"/>
      <c r="S44" s="912"/>
      <c r="T44" s="912"/>
      <c r="U44" s="912"/>
      <c r="V44" s="912"/>
      <c r="W44" s="912"/>
    </row>
    <row r="45" spans="1:25">
      <c r="A45" s="912"/>
      <c r="B45" s="912"/>
      <c r="C45" s="912"/>
      <c r="D45" s="912"/>
      <c r="E45" s="912"/>
      <c r="F45" s="912"/>
      <c r="G45" s="919"/>
      <c r="H45" s="919"/>
      <c r="I45" s="919"/>
      <c r="J45" s="919"/>
      <c r="K45" s="919"/>
      <c r="L45" s="919"/>
      <c r="M45" s="923"/>
      <c r="N45" s="919"/>
      <c r="O45" s="919"/>
      <c r="P45" s="924"/>
      <c r="Q45" s="924"/>
      <c r="R45" s="912"/>
      <c r="S45" s="912"/>
      <c r="T45" s="912"/>
      <c r="U45" s="912"/>
      <c r="V45" s="912"/>
      <c r="W45" s="912"/>
    </row>
    <row r="46" spans="1:25">
      <c r="A46" s="912"/>
      <c r="B46" s="912"/>
      <c r="C46" s="912"/>
      <c r="D46" s="912"/>
      <c r="E46" s="912"/>
      <c r="F46" s="912"/>
      <c r="G46" s="919"/>
      <c r="H46" s="919"/>
      <c r="I46" s="919"/>
      <c r="J46" s="919"/>
      <c r="K46" s="919"/>
      <c r="L46" s="919"/>
      <c r="M46" s="919"/>
      <c r="N46" s="919"/>
      <c r="O46" s="919"/>
      <c r="P46" s="919"/>
      <c r="Q46" s="912"/>
      <c r="R46" s="912"/>
      <c r="S46" s="912"/>
      <c r="T46" s="912"/>
      <c r="U46" s="912"/>
      <c r="V46" s="912"/>
      <c r="W46" s="912"/>
    </row>
    <row r="47" spans="1:25">
      <c r="A47" s="912"/>
      <c r="B47" s="912"/>
      <c r="C47" s="912"/>
      <c r="D47" s="912"/>
      <c r="E47" s="912"/>
      <c r="F47" s="912"/>
      <c r="G47" s="919"/>
      <c r="H47" s="919"/>
      <c r="I47" s="919"/>
      <c r="J47" s="919"/>
      <c r="K47" s="919"/>
      <c r="L47" s="919"/>
      <c r="M47" s="919"/>
      <c r="N47" s="919"/>
      <c r="O47" s="919"/>
      <c r="P47" s="919"/>
      <c r="Q47" s="912"/>
      <c r="R47" s="912"/>
      <c r="S47" s="912"/>
      <c r="T47" s="912"/>
      <c r="U47" s="912"/>
      <c r="V47" s="912"/>
      <c r="W47" s="912"/>
    </row>
    <row r="48" spans="1:25">
      <c r="A48" s="912"/>
      <c r="B48" s="912"/>
      <c r="C48" s="912"/>
      <c r="D48" s="912"/>
      <c r="E48" s="912"/>
      <c r="F48" s="912"/>
      <c r="G48" s="919"/>
      <c r="H48" s="919"/>
      <c r="I48" s="919"/>
      <c r="J48" s="919"/>
      <c r="K48" s="919"/>
      <c r="L48" s="919"/>
      <c r="M48" s="919"/>
      <c r="N48" s="919"/>
      <c r="O48" s="919"/>
      <c r="P48" s="919"/>
      <c r="Q48" s="912"/>
      <c r="R48" s="912"/>
      <c r="S48" s="912"/>
      <c r="T48" s="912"/>
      <c r="U48" s="912"/>
      <c r="V48" s="912"/>
      <c r="W48" s="912"/>
    </row>
    <row r="49" spans="1:28">
      <c r="A49" s="912"/>
      <c r="B49" s="912"/>
      <c r="C49" s="912"/>
      <c r="D49" s="912"/>
      <c r="E49" s="912"/>
      <c r="F49" s="912"/>
      <c r="G49" s="919"/>
      <c r="H49" s="919"/>
      <c r="I49" s="919"/>
      <c r="J49" s="919"/>
      <c r="K49" s="919"/>
      <c r="L49" s="925"/>
      <c r="M49" s="925"/>
      <c r="N49" s="925"/>
      <c r="O49" s="925"/>
      <c r="P49" s="919"/>
      <c r="Q49" s="919"/>
      <c r="R49" s="919"/>
      <c r="S49" s="919"/>
      <c r="T49" s="919"/>
      <c r="U49" s="919"/>
      <c r="V49" s="919"/>
      <c r="W49" s="919"/>
      <c r="X49" s="896"/>
      <c r="Y49" s="896"/>
    </row>
    <row r="50" spans="1:28">
      <c r="A50" s="912"/>
      <c r="B50" s="912"/>
      <c r="C50" s="912"/>
      <c r="D50" s="912"/>
      <c r="E50" s="912"/>
      <c r="F50" s="912"/>
      <c r="G50" s="919"/>
      <c r="H50" s="919"/>
      <c r="I50" s="919"/>
      <c r="J50" s="919"/>
      <c r="K50" s="919"/>
      <c r="L50" s="919"/>
      <c r="M50" s="919"/>
      <c r="N50" s="919"/>
      <c r="O50" s="919"/>
      <c r="P50" s="919"/>
      <c r="Q50" s="919"/>
      <c r="R50" s="919"/>
      <c r="S50" s="919"/>
      <c r="T50" s="919"/>
      <c r="U50" s="919"/>
      <c r="V50" s="919"/>
      <c r="W50" s="919"/>
      <c r="X50" s="896"/>
      <c r="Y50" s="896"/>
    </row>
    <row r="51" spans="1:28">
      <c r="A51" s="912"/>
      <c r="B51" s="912"/>
      <c r="C51" s="912"/>
      <c r="D51" s="912"/>
      <c r="E51" s="912"/>
      <c r="F51" s="912"/>
      <c r="G51" s="919"/>
      <c r="H51" s="919"/>
      <c r="I51" s="919"/>
      <c r="J51" s="919"/>
      <c r="K51" s="919"/>
      <c r="L51" s="919"/>
      <c r="M51" s="919"/>
      <c r="N51" s="919"/>
      <c r="O51" s="919"/>
      <c r="P51" s="912"/>
      <c r="Q51" s="912"/>
      <c r="R51" s="912"/>
      <c r="S51" s="912"/>
      <c r="T51" s="912"/>
      <c r="U51" s="912"/>
      <c r="V51" s="912"/>
      <c r="W51" s="912"/>
    </row>
    <row r="52" spans="1:28">
      <c r="A52" s="912"/>
      <c r="B52" s="912"/>
      <c r="C52" s="912"/>
      <c r="D52" s="912"/>
      <c r="E52" s="912"/>
      <c r="F52" s="912"/>
      <c r="G52" s="912"/>
      <c r="H52" s="912"/>
      <c r="I52" s="912"/>
      <c r="J52" s="912"/>
      <c r="K52" s="912"/>
      <c r="L52" s="912"/>
      <c r="M52" s="912"/>
      <c r="N52" s="912"/>
      <c r="O52" s="912"/>
      <c r="P52" s="912"/>
      <c r="Q52" s="912"/>
      <c r="R52" s="912"/>
      <c r="S52" s="912"/>
      <c r="T52" s="912"/>
      <c r="U52" s="912"/>
      <c r="V52" s="912"/>
      <c r="W52" s="912"/>
    </row>
    <row r="53" spans="1:28">
      <c r="A53" s="912"/>
      <c r="B53" s="912"/>
      <c r="C53" s="912"/>
      <c r="D53" s="912"/>
      <c r="E53" s="912"/>
      <c r="F53" s="912"/>
      <c r="G53" s="912"/>
      <c r="H53" s="912"/>
      <c r="I53" s="912"/>
      <c r="J53" s="912"/>
      <c r="K53" s="912"/>
      <c r="L53" s="912"/>
      <c r="M53" s="912"/>
      <c r="N53" s="912"/>
      <c r="O53" s="912"/>
      <c r="P53" s="912"/>
      <c r="Q53" s="912"/>
      <c r="R53" s="912"/>
      <c r="S53" s="912"/>
      <c r="T53" s="912"/>
      <c r="U53" s="912"/>
      <c r="V53" s="912"/>
      <c r="W53" s="912"/>
    </row>
    <row r="54" spans="1:28">
      <c r="A54" s="912"/>
      <c r="B54" s="912"/>
      <c r="C54" s="912"/>
      <c r="D54" s="912"/>
      <c r="E54" s="912"/>
      <c r="F54" s="912"/>
      <c r="G54" s="912"/>
      <c r="H54" s="912"/>
      <c r="I54" s="912"/>
      <c r="J54" s="912"/>
      <c r="K54" s="912"/>
      <c r="L54" s="912"/>
      <c r="M54" s="912"/>
      <c r="N54" s="912"/>
      <c r="O54" s="912"/>
      <c r="P54" s="912"/>
      <c r="Q54" s="912"/>
      <c r="R54" s="912"/>
      <c r="S54" s="912"/>
      <c r="T54" s="912"/>
      <c r="U54" s="912"/>
      <c r="V54" s="912"/>
      <c r="W54" s="912"/>
    </row>
    <row r="55" spans="1:28" hidden="1">
      <c r="B55" s="898"/>
      <c r="J55" s="899"/>
      <c r="R55" s="899"/>
    </row>
    <row r="56" spans="1:28" hidden="1">
      <c r="R56" s="899"/>
      <c r="AB56" s="901"/>
    </row>
    <row r="57" spans="1:28" hidden="1">
      <c r="C57" s="901"/>
      <c r="O57" s="901"/>
      <c r="AB57" s="901"/>
    </row>
    <row r="58" spans="1:28" hidden="1">
      <c r="AB58" s="901"/>
    </row>
    <row r="59" spans="1:28" hidden="1"/>
    <row r="60" spans="1:28" hidden="1">
      <c r="AB60" s="897"/>
    </row>
    <row r="61" spans="1:28" hidden="1">
      <c r="AB61" s="897"/>
    </row>
    <row r="62" spans="1:28" hidden="1"/>
    <row r="63" spans="1:28" hidden="1"/>
    <row r="64" spans="1:28" hidden="1"/>
    <row r="65" hidden="1"/>
    <row r="66" hidden="1"/>
    <row r="67" hidden="1"/>
    <row r="68" hidden="1"/>
    <row r="69" hidden="1"/>
    <row r="70" hidden="1"/>
    <row r="71" hidden="1"/>
    <row r="72" hidden="1"/>
    <row r="73" hidden="1"/>
    <row r="74" hidden="1"/>
    <row r="75" hidden="1"/>
    <row r="76" hidden="1"/>
    <row r="77" hidden="1"/>
    <row r="78" hidden="1"/>
    <row r="79" hidden="1"/>
    <row r="80" hidden="1"/>
    <row r="81" spans="2:2" hidden="1"/>
    <row r="82" spans="2:2" hidden="1"/>
    <row r="83" spans="2:2" hidden="1"/>
    <row r="84" spans="2:2" hidden="1"/>
    <row r="85" spans="2:2" hidden="1"/>
    <row r="86" spans="2:2" hidden="1"/>
    <row r="87" spans="2:2" hidden="1"/>
    <row r="88" spans="2:2" hidden="1"/>
    <row r="89" spans="2:2" hidden="1"/>
    <row r="90" spans="2:2" hidden="1"/>
    <row r="91" spans="2:2" hidden="1"/>
    <row r="92" spans="2:2" hidden="1">
      <c r="B92" s="897"/>
    </row>
    <row r="93" spans="2:2" hidden="1">
      <c r="B93" s="897"/>
    </row>
    <row r="94" spans="2:2" hidden="1">
      <c r="B94" s="897"/>
    </row>
    <row r="95" spans="2:2" hidden="1">
      <c r="B95" s="897"/>
    </row>
    <row r="96" spans="2:2" hidden="1">
      <c r="B96" s="897"/>
    </row>
  </sheetData>
  <sheetProtection algorithmName="SHA-512" hashValue="4hUJifEl1m207L6qv+0iqLMzJsz5OP3GrTee8Hb3wK2PkHVfujh0HuimsgDjDpgnoZf32PTxJvvoZn4MirXf0g==" saltValue="9Tr1eASLCw/6drc3N6TYoA==" spinCount="100000" sheet="1" objects="1" scenarios="1"/>
  <mergeCells count="2">
    <mergeCell ref="L6:Q6"/>
    <mergeCell ref="A7:F7"/>
  </mergeCells>
  <printOptions horizontalCentered="1" verticalCentered="1"/>
  <pageMargins left="0" right="0" top="0" bottom="0" header="0" footer="0"/>
  <pageSetup paperSize="9" scale="75" fitToWidth="0" fitToHeight="0"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420865" r:id="rId4" name="Drop Down 1">
              <controlPr defaultSize="0" autoLine="0" autoPict="0">
                <anchor moveWithCells="1">
                  <from>
                    <xdr:col>12</xdr:col>
                    <xdr:colOff>523875</xdr:colOff>
                    <xdr:row>2</xdr:row>
                    <xdr:rowOff>152400</xdr:rowOff>
                  </from>
                  <to>
                    <xdr:col>14</xdr:col>
                    <xdr:colOff>76200</xdr:colOff>
                    <xdr:row>3</xdr:row>
                    <xdr:rowOff>161925</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34">
    <tabColor rgb="FFA50021"/>
    <pageSetUpPr fitToPage="1"/>
  </sheetPr>
  <dimension ref="A1:P26"/>
  <sheetViews>
    <sheetView showGridLines="0" workbookViewId="0">
      <selection activeCell="Y70" sqref="Y70"/>
    </sheetView>
  </sheetViews>
  <sheetFormatPr defaultColWidth="9.140625" defaultRowHeight="11.25"/>
  <cols>
    <col min="1" max="1" width="29.5703125" style="97" customWidth="1"/>
    <col min="2" max="12" width="6.42578125" style="97" customWidth="1"/>
    <col min="13" max="16384" width="9.140625" style="97"/>
  </cols>
  <sheetData>
    <row r="1" spans="1:16" s="98" customFormat="1" ht="28.5" customHeight="1">
      <c r="A1" s="954" t="s">
        <v>824</v>
      </c>
      <c r="B1" s="954"/>
      <c r="C1" s="954"/>
      <c r="D1" s="954"/>
      <c r="E1" s="954"/>
      <c r="F1" s="954"/>
      <c r="G1" s="954"/>
      <c r="H1" s="954"/>
      <c r="I1" s="954"/>
      <c r="J1" s="954"/>
      <c r="K1" s="954"/>
      <c r="L1" s="954"/>
    </row>
    <row r="2" spans="1:16" s="78" customFormat="1" ht="15" customHeight="1">
      <c r="A2" s="108"/>
      <c r="B2" s="94"/>
      <c r="C2" s="94"/>
      <c r="D2" s="94"/>
      <c r="E2" s="94"/>
      <c r="F2" s="94"/>
      <c r="G2" s="94"/>
      <c r="H2" s="94"/>
      <c r="I2" s="94"/>
      <c r="J2" s="94"/>
      <c r="K2" s="94"/>
      <c r="L2" s="94"/>
    </row>
    <row r="3" spans="1:16" s="99" customFormat="1" ht="15" customHeight="1">
      <c r="A3" s="107" t="s">
        <v>13</v>
      </c>
      <c r="B3" s="109"/>
      <c r="D3" s="109"/>
      <c r="E3" s="109"/>
      <c r="F3" s="109"/>
      <c r="G3" s="109"/>
      <c r="H3" s="109"/>
      <c r="I3" s="109"/>
      <c r="J3" s="109"/>
      <c r="K3" s="109"/>
      <c r="L3" s="109" t="s">
        <v>67</v>
      </c>
    </row>
    <row r="4" spans="1:16" s="78" customFormat="1" ht="28.5" customHeight="1" thickBot="1">
      <c r="A4" s="110"/>
      <c r="B4" s="111">
        <v>2014</v>
      </c>
      <c r="C4" s="111">
        <v>2015</v>
      </c>
      <c r="D4" s="111">
        <v>2016</v>
      </c>
      <c r="E4" s="111">
        <v>2017</v>
      </c>
      <c r="F4" s="111">
        <v>2018</v>
      </c>
      <c r="G4" s="111">
        <v>2019</v>
      </c>
      <c r="H4" s="111">
        <v>2020</v>
      </c>
      <c r="I4" s="111">
        <v>2021</v>
      </c>
      <c r="J4" s="111">
        <v>2022</v>
      </c>
      <c r="K4" s="111">
        <v>2023</v>
      </c>
      <c r="L4" s="111">
        <v>2024</v>
      </c>
    </row>
    <row r="5" spans="1:16" s="78" customFormat="1" ht="16.5" customHeight="1" thickTop="1">
      <c r="A5" s="54" t="s">
        <v>11</v>
      </c>
      <c r="B5" s="846">
        <v>1093.21</v>
      </c>
      <c r="C5" s="846">
        <v>1096.6600000000001</v>
      </c>
      <c r="D5" s="846">
        <v>1107.8599999999999</v>
      </c>
      <c r="E5" s="846">
        <v>1133.3399999999999</v>
      </c>
      <c r="F5" s="846">
        <v>1170.25</v>
      </c>
      <c r="G5" s="846">
        <v>1209.94</v>
      </c>
      <c r="H5" s="846">
        <v>1250.75</v>
      </c>
      <c r="I5" s="846">
        <v>1294.1099999999999</v>
      </c>
      <c r="J5" s="846">
        <v>1368</v>
      </c>
      <c r="K5" s="846">
        <v>1466.66</v>
      </c>
      <c r="L5" s="846">
        <v>1582.75</v>
      </c>
    </row>
    <row r="6" spans="1:16" s="78" customFormat="1" ht="16.5" customHeight="1">
      <c r="A6" s="54" t="s">
        <v>125</v>
      </c>
      <c r="B6" s="847">
        <v>958.21</v>
      </c>
      <c r="C6" s="847">
        <v>967.68</v>
      </c>
      <c r="D6" s="847">
        <v>981.32</v>
      </c>
      <c r="E6" s="847">
        <v>1003.59</v>
      </c>
      <c r="F6" s="847">
        <v>1039.96</v>
      </c>
      <c r="G6" s="847">
        <v>1077.22</v>
      </c>
      <c r="H6" s="847">
        <v>1117.7</v>
      </c>
      <c r="I6" s="847">
        <v>1159.75</v>
      </c>
      <c r="J6" s="847">
        <v>1221.48</v>
      </c>
      <c r="K6" s="847">
        <v>1310.4000000000001</v>
      </c>
      <c r="L6" s="847">
        <v>1409.17</v>
      </c>
      <c r="N6" s="561">
        <f>+L6/$L$5*100</f>
        <v>89.033012162375613</v>
      </c>
      <c r="O6" s="561">
        <f>+B6/$B$5*100</f>
        <v>87.65104600214049</v>
      </c>
      <c r="P6" s="561">
        <f>+N6-O6</f>
        <v>1.3819661602351232</v>
      </c>
    </row>
    <row r="7" spans="1:16" s="78" customFormat="1" ht="16.5" customHeight="1">
      <c r="A7" s="38" t="s">
        <v>126</v>
      </c>
      <c r="B7" s="847">
        <v>1928.43</v>
      </c>
      <c r="C7" s="847">
        <v>1936.67</v>
      </c>
      <c r="D7" s="847">
        <v>1944.81</v>
      </c>
      <c r="E7" s="847">
        <v>1970.67</v>
      </c>
      <c r="F7" s="847">
        <v>1974.69</v>
      </c>
      <c r="G7" s="847">
        <v>1933.53</v>
      </c>
      <c r="H7" s="847">
        <v>1966.25</v>
      </c>
      <c r="I7" s="847">
        <v>1956.61</v>
      </c>
      <c r="J7" s="847">
        <v>2014.6</v>
      </c>
      <c r="K7" s="847">
        <v>2185.2800000000002</v>
      </c>
      <c r="L7" s="847">
        <v>2405.85</v>
      </c>
      <c r="N7" s="561">
        <f t="shared" ref="N7:N10" si="0">+L7/$L$5*100</f>
        <v>152.00442268204074</v>
      </c>
      <c r="O7" s="561">
        <f t="shared" ref="O7:O10" si="1">+B7/$B$5*100</f>
        <v>176.4006915414239</v>
      </c>
      <c r="P7" s="561">
        <f t="shared" ref="P7:P10" si="2">+N7-O7</f>
        <v>-24.396268859383156</v>
      </c>
    </row>
    <row r="8" spans="1:16" s="78" customFormat="1" ht="16.5" customHeight="1">
      <c r="A8" s="226" t="s">
        <v>142</v>
      </c>
      <c r="B8" s="847">
        <v>1112.83</v>
      </c>
      <c r="C8" s="847">
        <v>1108.6500000000001</v>
      </c>
      <c r="D8" s="847">
        <v>1109.69</v>
      </c>
      <c r="E8" s="847">
        <v>1137.24</v>
      </c>
      <c r="F8" s="847">
        <v>1189.52</v>
      </c>
      <c r="G8" s="847">
        <v>1243.71</v>
      </c>
      <c r="H8" s="847">
        <v>1290.47</v>
      </c>
      <c r="I8" s="847">
        <v>1355.96</v>
      </c>
      <c r="J8" s="847">
        <v>1448.63</v>
      </c>
      <c r="K8" s="847">
        <v>1565.83</v>
      </c>
      <c r="L8" s="847">
        <v>1674.27</v>
      </c>
      <c r="N8" s="561">
        <f t="shared" si="0"/>
        <v>105.782340862423</v>
      </c>
      <c r="O8" s="561">
        <f t="shared" si="1"/>
        <v>101.79471464768891</v>
      </c>
      <c r="P8" s="561">
        <f t="shared" si="2"/>
        <v>3.9876262147340924</v>
      </c>
    </row>
    <row r="9" spans="1:16" s="78" customFormat="1" ht="16.5" customHeight="1">
      <c r="A9" s="54" t="s">
        <v>43</v>
      </c>
      <c r="B9" s="848">
        <v>2002.28</v>
      </c>
      <c r="C9" s="848">
        <v>1985.41</v>
      </c>
      <c r="D9" s="848">
        <v>1982.63</v>
      </c>
      <c r="E9" s="848">
        <v>2024.68</v>
      </c>
      <c r="F9" s="848">
        <v>2085.6</v>
      </c>
      <c r="G9" s="848">
        <v>2111.4</v>
      </c>
      <c r="H9" s="848">
        <v>1993.24</v>
      </c>
      <c r="I9" s="848">
        <v>2027.84</v>
      </c>
      <c r="J9" s="848">
        <v>2202.54</v>
      </c>
      <c r="K9" s="848">
        <v>2332.16</v>
      </c>
      <c r="L9" s="848">
        <v>2393.0300000000002</v>
      </c>
      <c r="N9" s="561">
        <f t="shared" si="0"/>
        <v>151.19444005686307</v>
      </c>
      <c r="O9" s="561">
        <f t="shared" si="1"/>
        <v>183.15602674691962</v>
      </c>
      <c r="P9" s="561">
        <f t="shared" si="2"/>
        <v>-31.961586690056549</v>
      </c>
    </row>
    <row r="10" spans="1:16" s="78" customFormat="1" ht="16.5" customHeight="1">
      <c r="A10" s="7" t="s">
        <v>198</v>
      </c>
      <c r="B10" s="849">
        <v>1313.3</v>
      </c>
      <c r="C10" s="849">
        <v>1292.21</v>
      </c>
      <c r="D10" s="849">
        <v>1292.3699999999999</v>
      </c>
      <c r="E10" s="849">
        <v>1303.6199999999999</v>
      </c>
      <c r="F10" s="849">
        <v>1350.43</v>
      </c>
      <c r="G10" s="849">
        <v>1400.22</v>
      </c>
      <c r="H10" s="849">
        <v>1426.6</v>
      </c>
      <c r="I10" s="849">
        <v>1489.71</v>
      </c>
      <c r="J10" s="849">
        <v>1584.35</v>
      </c>
      <c r="K10" s="849">
        <v>1696.04</v>
      </c>
      <c r="L10" s="849">
        <v>1853.4</v>
      </c>
      <c r="N10" s="561">
        <f t="shared" si="0"/>
        <v>117.099984204707</v>
      </c>
      <c r="O10" s="561">
        <f t="shared" si="1"/>
        <v>120.13245396584371</v>
      </c>
      <c r="P10" s="561">
        <f t="shared" si="2"/>
        <v>-3.03246976113671</v>
      </c>
    </row>
    <row r="11" spans="1:16" s="77" customFormat="1" ht="15" customHeight="1">
      <c r="A11" s="19" t="s">
        <v>769</v>
      </c>
      <c r="B11" s="89"/>
      <c r="C11" s="89"/>
      <c r="D11" s="89"/>
      <c r="E11" s="89"/>
      <c r="F11" s="89"/>
      <c r="G11" s="89"/>
      <c r="H11" s="89"/>
      <c r="I11" s="89"/>
      <c r="J11" s="89"/>
      <c r="K11" s="89"/>
      <c r="L11" s="89"/>
    </row>
    <row r="12" spans="1:16" s="112" customFormat="1" ht="15" customHeight="1">
      <c r="A12" s="1018" t="s">
        <v>8</v>
      </c>
      <c r="B12" s="1018"/>
      <c r="C12" s="1018"/>
      <c r="D12" s="1018"/>
      <c r="E12" s="1018"/>
      <c r="F12" s="1018"/>
      <c r="G12" s="1018"/>
      <c r="H12" s="1018"/>
      <c r="I12" s="1018"/>
      <c r="J12" s="1018"/>
      <c r="K12" s="1018"/>
      <c r="L12" s="1018"/>
    </row>
    <row r="13" spans="1:16" s="112" customFormat="1" ht="15" customHeight="1">
      <c r="A13" s="1018" t="s">
        <v>9</v>
      </c>
      <c r="B13" s="1018"/>
      <c r="C13" s="1018"/>
      <c r="D13" s="1018"/>
      <c r="E13" s="1018"/>
      <c r="F13" s="1018"/>
      <c r="G13" s="1018"/>
      <c r="H13" s="1018"/>
      <c r="I13" s="1018"/>
      <c r="J13" s="1018"/>
      <c r="K13" s="1018"/>
      <c r="L13" s="1018"/>
    </row>
    <row r="14" spans="1:16" s="112" customFormat="1" ht="27" customHeight="1">
      <c r="A14" s="1019" t="s">
        <v>199</v>
      </c>
      <c r="B14" s="1019"/>
      <c r="C14" s="1019"/>
      <c r="D14" s="1019"/>
      <c r="E14" s="1019"/>
      <c r="F14" s="1019"/>
      <c r="G14" s="1019"/>
      <c r="H14" s="1019"/>
      <c r="I14" s="1019"/>
      <c r="J14" s="1019"/>
      <c r="K14" s="1019"/>
      <c r="L14" s="1019"/>
    </row>
    <row r="25" spans="1:13">
      <c r="A25" s="1017"/>
      <c r="B25" s="1017"/>
      <c r="C25" s="1017"/>
      <c r="D25" s="1017"/>
      <c r="E25" s="1017"/>
      <c r="F25" s="1017"/>
      <c r="G25" s="1017"/>
      <c r="H25" s="1017"/>
      <c r="I25" s="1017"/>
      <c r="J25" s="1017"/>
      <c r="K25" s="1017"/>
      <c r="L25" s="1017"/>
      <c r="M25" s="1017"/>
    </row>
    <row r="26" spans="1:13" ht="15.75" customHeight="1"/>
  </sheetData>
  <mergeCells count="5">
    <mergeCell ref="A25:M25"/>
    <mergeCell ref="A1:L1"/>
    <mergeCell ref="A12:L12"/>
    <mergeCell ref="A13:L13"/>
    <mergeCell ref="A14:L14"/>
  </mergeCells>
  <phoneticPr fontId="24" type="noConversion"/>
  <conditionalFormatting sqref="D3 A12:A1048576 A1:A7 A9:A10 B2:D2 B3 B4:D4 B11:D11 B15:D24 B5:H10 B26:D1048576 M1:XFD5 M26:XFD1048576 N25:XFD25 M11:XFD24 Q6:XFD10">
    <cfRule type="cellIs" dxfId="23" priority="36" operator="equal">
      <formula>0</formula>
    </cfRule>
  </conditionalFormatting>
  <conditionalFormatting sqref="F2:F4 F11 F15:F24 G4:H4 F26:F1048576">
    <cfRule type="cellIs" dxfId="22" priority="34" operator="equal">
      <formula>0</formula>
    </cfRule>
  </conditionalFormatting>
  <conditionalFormatting sqref="E2:E4 E11 E15:E24 E26:E1048576">
    <cfRule type="cellIs" dxfId="21" priority="31" operator="equal">
      <formula>0</formula>
    </cfRule>
  </conditionalFormatting>
  <conditionalFormatting sqref="H2:H3 H11 H15:H24 H26:H1048576">
    <cfRule type="cellIs" dxfId="20" priority="29" operator="equal">
      <formula>0</formula>
    </cfRule>
  </conditionalFormatting>
  <conditionalFormatting sqref="A8">
    <cfRule type="cellIs" dxfId="19" priority="27" operator="equal">
      <formula>0</formula>
    </cfRule>
  </conditionalFormatting>
  <conditionalFormatting sqref="G2:G3 G11 G15:G24 G26:G1048576">
    <cfRule type="cellIs" dxfId="18" priority="26" operator="equal">
      <formula>0</formula>
    </cfRule>
  </conditionalFormatting>
  <conditionalFormatting sqref="I4">
    <cfRule type="cellIs" dxfId="17" priority="24" operator="equal">
      <formula>0</formula>
    </cfRule>
  </conditionalFormatting>
  <conditionalFormatting sqref="I6:I10">
    <cfRule type="cellIs" dxfId="16" priority="23" operator="equal">
      <formula>0</formula>
    </cfRule>
  </conditionalFormatting>
  <conditionalFormatting sqref="I2:I3 I11 I15:I24 I26:I1048576">
    <cfRule type="cellIs" dxfId="15" priority="22" operator="equal">
      <formula>0</formula>
    </cfRule>
  </conditionalFormatting>
  <conditionalFormatting sqref="J4">
    <cfRule type="cellIs" dxfId="14" priority="21" operator="equal">
      <formula>0</formula>
    </cfRule>
  </conditionalFormatting>
  <conditionalFormatting sqref="J6:J10">
    <cfRule type="cellIs" dxfId="13" priority="20" operator="equal">
      <formula>0</formula>
    </cfRule>
  </conditionalFormatting>
  <conditionalFormatting sqref="J2:J3 J11 J15:J24 J26:J1048576">
    <cfRule type="cellIs" dxfId="12" priority="19" operator="equal">
      <formula>0</formula>
    </cfRule>
  </conditionalFormatting>
  <conditionalFormatting sqref="K4">
    <cfRule type="cellIs" dxfId="11" priority="16" operator="equal">
      <formula>0</formula>
    </cfRule>
  </conditionalFormatting>
  <conditionalFormatting sqref="K6:K10">
    <cfRule type="cellIs" dxfId="10" priority="15" operator="equal">
      <formula>0</formula>
    </cfRule>
  </conditionalFormatting>
  <conditionalFormatting sqref="K2:K3 K11 K15:K24 K26:K1048576">
    <cfRule type="cellIs" dxfId="9" priority="14" operator="equal">
      <formula>0</formula>
    </cfRule>
  </conditionalFormatting>
  <conditionalFormatting sqref="I5">
    <cfRule type="cellIs" dxfId="8" priority="10" operator="equal">
      <formula>0</formula>
    </cfRule>
  </conditionalFormatting>
  <conditionalFormatting sqref="J5">
    <cfRule type="cellIs" dxfId="7" priority="9" operator="equal">
      <formula>0</formula>
    </cfRule>
  </conditionalFormatting>
  <conditionalFormatting sqref="K5">
    <cfRule type="cellIs" dxfId="6" priority="8" operator="equal">
      <formula>0</formula>
    </cfRule>
  </conditionalFormatting>
  <conditionalFormatting sqref="L4">
    <cfRule type="cellIs" dxfId="5" priority="6" operator="equal">
      <formula>0</formula>
    </cfRule>
  </conditionalFormatting>
  <conditionalFormatting sqref="L6:L10">
    <cfRule type="cellIs" dxfId="4" priority="5" operator="equal">
      <formula>0</formula>
    </cfRule>
  </conditionalFormatting>
  <conditionalFormatting sqref="L2:L3 L11 L15:L24 L26:L1048576">
    <cfRule type="cellIs" dxfId="3" priority="4" operator="equal">
      <formula>0</formula>
    </cfRule>
  </conditionalFormatting>
  <conditionalFormatting sqref="L5">
    <cfRule type="cellIs" dxfId="2" priority="3" operator="equal">
      <formula>0</formula>
    </cfRule>
  </conditionalFormatting>
  <conditionalFormatting sqref="N6:P10">
    <cfRule type="cellIs" dxfId="1" priority="2" operator="equal">
      <formula>0</formula>
    </cfRule>
  </conditionalFormatting>
  <conditionalFormatting sqref="A11">
    <cfRule type="cellIs" dxfId="0"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99" orientation="portrait" r:id="rId1"/>
  <headerFooter>
    <oddHeader>&amp;C&amp;G</oddHeader>
  </headerFooter>
  <drawing r:id="rId2"/>
  <legacyDrawingHF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42">
    <tabColor rgb="FFE1EAEF"/>
  </sheetPr>
  <dimension ref="A1"/>
  <sheetViews>
    <sheetView showGridLines="0" topLeftCell="A19" workbookViewId="0">
      <selection activeCell="Y70" sqref="Y70"/>
    </sheetView>
  </sheetViews>
  <sheetFormatPr defaultColWidth="8.7109375" defaultRowHeight="15"/>
  <cols>
    <col min="1" max="16384" width="8.7109375" style="377"/>
  </cols>
  <sheetData/>
  <pageMargins left="0.19685039370078741" right="0" top="0.74803149606299213" bottom="0.74803149606299213" header="0.31496062992125984" footer="0.31496062992125984"/>
  <pageSetup paperSize="9" orientation="portrait" horizontalDpi="300" verticalDpi="30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2C858-B02A-482F-883C-834BC8AEA87B}">
  <dimension ref="A1:J51"/>
  <sheetViews>
    <sheetView showGridLines="0" zoomScaleNormal="100" workbookViewId="0">
      <selection activeCell="Y70" sqref="Y70"/>
    </sheetView>
  </sheetViews>
  <sheetFormatPr defaultColWidth="8.7109375" defaultRowHeight="12.75"/>
  <cols>
    <col min="1" max="1" width="2.42578125" style="386" customWidth="1"/>
    <col min="2" max="10" width="10.5703125" style="386" customWidth="1"/>
    <col min="11" max="13" width="8.7109375" style="386"/>
    <col min="14" max="14" width="9.140625" style="386" customWidth="1"/>
    <col min="15" max="16384" width="8.7109375" style="386"/>
  </cols>
  <sheetData>
    <row r="1" spans="1:10" ht="13.5" thickTop="1">
      <c r="A1" s="1021" t="s">
        <v>134</v>
      </c>
      <c r="B1" s="1022"/>
      <c r="C1" s="1022"/>
      <c r="D1" s="850"/>
      <c r="E1" s="850"/>
      <c r="F1" s="850"/>
      <c r="G1" s="850"/>
      <c r="H1" s="850"/>
      <c r="I1" s="850"/>
      <c r="J1" s="850"/>
    </row>
    <row r="2" spans="1:10">
      <c r="A2" s="1023"/>
      <c r="B2" s="1024"/>
      <c r="C2" s="1024"/>
      <c r="D2" s="850"/>
      <c r="E2" s="850"/>
      <c r="F2" s="850"/>
      <c r="G2" s="850"/>
      <c r="H2" s="850"/>
      <c r="I2" s="850"/>
      <c r="J2" s="850"/>
    </row>
    <row r="3" spans="1:10" ht="12.6" customHeight="1">
      <c r="A3" s="1025" t="s">
        <v>707</v>
      </c>
      <c r="B3" s="1025"/>
      <c r="C3" s="1025"/>
      <c r="D3" s="1025"/>
      <c r="E3" s="1025"/>
      <c r="F3" s="1025"/>
      <c r="G3" s="1025"/>
      <c r="H3" s="1025"/>
      <c r="I3" s="1025"/>
      <c r="J3" s="1025"/>
    </row>
    <row r="4" spans="1:10">
      <c r="A4" s="1025"/>
      <c r="B4" s="1025"/>
      <c r="C4" s="1025"/>
      <c r="D4" s="1025"/>
      <c r="E4" s="1025"/>
      <c r="F4" s="1025"/>
      <c r="G4" s="1025"/>
      <c r="H4" s="1025"/>
      <c r="I4" s="1025"/>
      <c r="J4" s="1025"/>
    </row>
    <row r="5" spans="1:10">
      <c r="A5" s="1025"/>
      <c r="B5" s="1025"/>
      <c r="C5" s="1025"/>
      <c r="D5" s="1025"/>
      <c r="E5" s="1025"/>
      <c r="F5" s="1025"/>
      <c r="G5" s="1025"/>
      <c r="H5" s="1025"/>
      <c r="I5" s="1025"/>
      <c r="J5" s="1025"/>
    </row>
    <row r="6" spans="1:10">
      <c r="A6" s="1025"/>
      <c r="B6" s="1025"/>
      <c r="C6" s="1025"/>
      <c r="D6" s="1025"/>
      <c r="E6" s="1025"/>
      <c r="F6" s="1025"/>
      <c r="G6" s="1025"/>
      <c r="H6" s="1025"/>
      <c r="I6" s="1025"/>
      <c r="J6" s="1025"/>
    </row>
    <row r="7" spans="1:10">
      <c r="A7" s="1025"/>
      <c r="B7" s="1025"/>
      <c r="C7" s="1025"/>
      <c r="D7" s="1025"/>
      <c r="E7" s="1025"/>
      <c r="F7" s="1025"/>
      <c r="G7" s="1025"/>
      <c r="H7" s="1025"/>
      <c r="I7" s="1025"/>
      <c r="J7" s="1025"/>
    </row>
    <row r="8" spans="1:10">
      <c r="A8" s="1025"/>
      <c r="B8" s="1025"/>
      <c r="C8" s="1025"/>
      <c r="D8" s="1025"/>
      <c r="E8" s="1025"/>
      <c r="F8" s="1025"/>
      <c r="G8" s="1025"/>
      <c r="H8" s="1025"/>
      <c r="I8" s="1025"/>
      <c r="J8" s="1025"/>
    </row>
    <row r="9" spans="1:10">
      <c r="A9" s="1025"/>
      <c r="B9" s="1025"/>
      <c r="C9" s="1025"/>
      <c r="D9" s="1025"/>
      <c r="E9" s="1025"/>
      <c r="F9" s="1025"/>
      <c r="G9" s="1025"/>
      <c r="H9" s="1025"/>
      <c r="I9" s="1025"/>
      <c r="J9" s="1025"/>
    </row>
    <row r="10" spans="1:10">
      <c r="A10" s="1025"/>
      <c r="B10" s="1025"/>
      <c r="C10" s="1025"/>
      <c r="D10" s="1025"/>
      <c r="E10" s="1025"/>
      <c r="F10" s="1025"/>
      <c r="G10" s="1025"/>
      <c r="H10" s="1025"/>
      <c r="I10" s="1025"/>
      <c r="J10" s="1025"/>
    </row>
    <row r="11" spans="1:10">
      <c r="A11" s="1025"/>
      <c r="B11" s="1025"/>
      <c r="C11" s="1025"/>
      <c r="D11" s="1025"/>
      <c r="E11" s="1025"/>
      <c r="F11" s="1025"/>
      <c r="G11" s="1025"/>
      <c r="H11" s="1025"/>
      <c r="I11" s="1025"/>
      <c r="J11" s="1025"/>
    </row>
    <row r="12" spans="1:10">
      <c r="A12" s="1025"/>
      <c r="B12" s="1025"/>
      <c r="C12" s="1025"/>
      <c r="D12" s="1025"/>
      <c r="E12" s="1025"/>
      <c r="F12" s="1025"/>
      <c r="G12" s="1025"/>
      <c r="H12" s="1025"/>
      <c r="I12" s="1025"/>
      <c r="J12" s="1025"/>
    </row>
    <row r="13" spans="1:10">
      <c r="A13" s="1025"/>
      <c r="B13" s="1025"/>
      <c r="C13" s="1025"/>
      <c r="D13" s="1025"/>
      <c r="E13" s="1025"/>
      <c r="F13" s="1025"/>
      <c r="G13" s="1025"/>
      <c r="H13" s="1025"/>
      <c r="I13" s="1025"/>
      <c r="J13" s="1025"/>
    </row>
    <row r="14" spans="1:10">
      <c r="A14" s="1025"/>
      <c r="B14" s="1025"/>
      <c r="C14" s="1025"/>
      <c r="D14" s="1025"/>
      <c r="E14" s="1025"/>
      <c r="F14" s="1025"/>
      <c r="G14" s="1025"/>
      <c r="H14" s="1025"/>
      <c r="I14" s="1025"/>
      <c r="J14" s="1025"/>
    </row>
    <row r="15" spans="1:10">
      <c r="A15" s="1025"/>
      <c r="B15" s="1025"/>
      <c r="C15" s="1025"/>
      <c r="D15" s="1025"/>
      <c r="E15" s="1025"/>
      <c r="F15" s="1025"/>
      <c r="G15" s="1025"/>
      <c r="H15" s="1025"/>
      <c r="I15" s="1025"/>
      <c r="J15" s="1025"/>
    </row>
    <row r="16" spans="1:10">
      <c r="A16" s="1025"/>
      <c r="B16" s="1025"/>
      <c r="C16" s="1025"/>
      <c r="D16" s="1025"/>
      <c r="E16" s="1025"/>
      <c r="F16" s="1025"/>
      <c r="G16" s="1025"/>
      <c r="H16" s="1025"/>
      <c r="I16" s="1025"/>
      <c r="J16" s="1025"/>
    </row>
    <row r="17" spans="1:10">
      <c r="A17" s="1025"/>
      <c r="B17" s="1025"/>
      <c r="C17" s="1025"/>
      <c r="D17" s="1025"/>
      <c r="E17" s="1025"/>
      <c r="F17" s="1025"/>
      <c r="G17" s="1025"/>
      <c r="H17" s="1025"/>
      <c r="I17" s="1025"/>
      <c r="J17" s="1025"/>
    </row>
    <row r="18" spans="1:10">
      <c r="A18" s="1025"/>
      <c r="B18" s="1025"/>
      <c r="C18" s="1025"/>
      <c r="D18" s="1025"/>
      <c r="E18" s="1025"/>
      <c r="F18" s="1025"/>
      <c r="G18" s="1025"/>
      <c r="H18" s="1025"/>
      <c r="I18" s="1025"/>
      <c r="J18" s="1025"/>
    </row>
    <row r="19" spans="1:10">
      <c r="A19" s="1025"/>
      <c r="B19" s="1025"/>
      <c r="C19" s="1025"/>
      <c r="D19" s="1025"/>
      <c r="E19" s="1025"/>
      <c r="F19" s="1025"/>
      <c r="G19" s="1025"/>
      <c r="H19" s="1025"/>
      <c r="I19" s="1025"/>
      <c r="J19" s="1025"/>
    </row>
    <row r="20" spans="1:10" ht="14.1" customHeight="1">
      <c r="A20" s="1020" t="s">
        <v>708</v>
      </c>
      <c r="B20" s="1020"/>
      <c r="C20" s="1020"/>
      <c r="D20" s="1020"/>
      <c r="E20" s="1020"/>
      <c r="F20" s="1020"/>
      <c r="G20" s="1020"/>
      <c r="H20" s="1020"/>
      <c r="I20" s="1020"/>
      <c r="J20" s="1020"/>
    </row>
    <row r="21" spans="1:10" ht="14.1" customHeight="1">
      <c r="A21" s="1020"/>
      <c r="B21" s="1020"/>
      <c r="C21" s="1020"/>
      <c r="D21" s="1020"/>
      <c r="E21" s="1020"/>
      <c r="F21" s="1020"/>
      <c r="G21" s="1020"/>
      <c r="H21" s="1020"/>
      <c r="I21" s="1020"/>
      <c r="J21" s="1020"/>
    </row>
    <row r="22" spans="1:10" ht="14.1" customHeight="1">
      <c r="A22" s="1020"/>
      <c r="B22" s="1020"/>
      <c r="C22" s="1020"/>
      <c r="D22" s="1020"/>
      <c r="E22" s="1020"/>
      <c r="F22" s="1020"/>
      <c r="G22" s="1020"/>
      <c r="H22" s="1020"/>
      <c r="I22" s="1020"/>
      <c r="J22" s="1020"/>
    </row>
    <row r="23" spans="1:10" ht="14.1" customHeight="1">
      <c r="A23" s="1020"/>
      <c r="B23" s="1020"/>
      <c r="C23" s="1020"/>
      <c r="D23" s="1020"/>
      <c r="E23" s="1020"/>
      <c r="F23" s="1020"/>
      <c r="G23" s="1020"/>
      <c r="H23" s="1020"/>
      <c r="I23" s="1020"/>
      <c r="J23" s="1020"/>
    </row>
    <row r="24" spans="1:10" ht="14.1" customHeight="1">
      <c r="A24" s="1020"/>
      <c r="B24" s="1020"/>
      <c r="C24" s="1020"/>
      <c r="D24" s="1020"/>
      <c r="E24" s="1020"/>
      <c r="F24" s="1020"/>
      <c r="G24" s="1020"/>
      <c r="H24" s="1020"/>
      <c r="I24" s="1020"/>
      <c r="J24" s="1020"/>
    </row>
    <row r="25" spans="1:10">
      <c r="A25" s="1025" t="s">
        <v>826</v>
      </c>
      <c r="B25" s="1026"/>
      <c r="C25" s="1026"/>
      <c r="D25" s="1026"/>
      <c r="E25" s="1026"/>
      <c r="F25" s="1026"/>
      <c r="G25" s="1026"/>
      <c r="H25" s="1026"/>
      <c r="I25" s="1026"/>
      <c r="J25" s="1026"/>
    </row>
    <row r="26" spans="1:10">
      <c r="A26" s="1026"/>
      <c r="B26" s="1026"/>
      <c r="C26" s="1026"/>
      <c r="D26" s="1026"/>
      <c r="E26" s="1026"/>
      <c r="F26" s="1026"/>
      <c r="G26" s="1026"/>
      <c r="H26" s="1026"/>
      <c r="I26" s="1026"/>
      <c r="J26" s="1026"/>
    </row>
    <row r="27" spans="1:10">
      <c r="A27" s="1026"/>
      <c r="B27" s="1026"/>
      <c r="C27" s="1026"/>
      <c r="D27" s="1026"/>
      <c r="E27" s="1026"/>
      <c r="F27" s="1026"/>
      <c r="G27" s="1026"/>
      <c r="H27" s="1026"/>
      <c r="I27" s="1026"/>
      <c r="J27" s="1026"/>
    </row>
    <row r="28" spans="1:10">
      <c r="A28" s="1026"/>
      <c r="B28" s="1026"/>
      <c r="C28" s="1026"/>
      <c r="D28" s="1026"/>
      <c r="E28" s="1026"/>
      <c r="F28" s="1026"/>
      <c r="G28" s="1026"/>
      <c r="H28" s="1026"/>
      <c r="I28" s="1026"/>
      <c r="J28" s="1026"/>
    </row>
    <row r="29" spans="1:10">
      <c r="A29" s="1026"/>
      <c r="B29" s="1026"/>
      <c r="C29" s="1026"/>
      <c r="D29" s="1026"/>
      <c r="E29" s="1026"/>
      <c r="F29" s="1026"/>
      <c r="G29" s="1026"/>
      <c r="H29" s="1026"/>
      <c r="I29" s="1026"/>
      <c r="J29" s="1026"/>
    </row>
    <row r="30" spans="1:10">
      <c r="A30" s="1026"/>
      <c r="B30" s="1026"/>
      <c r="C30" s="1026"/>
      <c r="D30" s="1026"/>
      <c r="E30" s="1026"/>
      <c r="F30" s="1026"/>
      <c r="G30" s="1026"/>
      <c r="H30" s="1026"/>
      <c r="I30" s="1026"/>
      <c r="J30" s="1026"/>
    </row>
    <row r="31" spans="1:10">
      <c r="A31" s="1026"/>
      <c r="B31" s="1026"/>
      <c r="C31" s="1026"/>
      <c r="D31" s="1026"/>
      <c r="E31" s="1026"/>
      <c r="F31" s="1026"/>
      <c r="G31" s="1026"/>
      <c r="H31" s="1026"/>
      <c r="I31" s="1026"/>
      <c r="J31" s="1026"/>
    </row>
    <row r="32" spans="1:10">
      <c r="A32" s="1026"/>
      <c r="B32" s="1026"/>
      <c r="C32" s="1026"/>
      <c r="D32" s="1026"/>
      <c r="E32" s="1026"/>
      <c r="F32" s="1026"/>
      <c r="G32" s="1026"/>
      <c r="H32" s="1026"/>
      <c r="I32" s="1026"/>
      <c r="J32" s="1026"/>
    </row>
    <row r="33" spans="1:10">
      <c r="A33" s="1026"/>
      <c r="B33" s="1026"/>
      <c r="C33" s="1026"/>
      <c r="D33" s="1026"/>
      <c r="E33" s="1026"/>
      <c r="F33" s="1026"/>
      <c r="G33" s="1026"/>
      <c r="H33" s="1026"/>
      <c r="I33" s="1026"/>
      <c r="J33" s="1026"/>
    </row>
    <row r="34" spans="1:10">
      <c r="A34" s="1026"/>
      <c r="B34" s="1026"/>
      <c r="C34" s="1026"/>
      <c r="D34" s="1026"/>
      <c r="E34" s="1026"/>
      <c r="F34" s="1026"/>
      <c r="G34" s="1026"/>
      <c r="H34" s="1026"/>
      <c r="I34" s="1026"/>
      <c r="J34" s="1026"/>
    </row>
    <row r="35" spans="1:10">
      <c r="A35" s="1026"/>
      <c r="B35" s="1026"/>
      <c r="C35" s="1026"/>
      <c r="D35" s="1026"/>
      <c r="E35" s="1026"/>
      <c r="F35" s="1026"/>
      <c r="G35" s="1026"/>
      <c r="H35" s="1026"/>
      <c r="I35" s="1026"/>
      <c r="J35" s="1026"/>
    </row>
    <row r="36" spans="1:10">
      <c r="A36" s="1026"/>
      <c r="B36" s="1026"/>
      <c r="C36" s="1026"/>
      <c r="D36" s="1026"/>
      <c r="E36" s="1026"/>
      <c r="F36" s="1026"/>
      <c r="G36" s="1026"/>
      <c r="H36" s="1026"/>
      <c r="I36" s="1026"/>
      <c r="J36" s="1026"/>
    </row>
    <row r="37" spans="1:10">
      <c r="A37" s="1026"/>
      <c r="B37" s="1026"/>
      <c r="C37" s="1026"/>
      <c r="D37" s="1026"/>
      <c r="E37" s="1026"/>
      <c r="F37" s="1026"/>
      <c r="G37" s="1026"/>
      <c r="H37" s="1026"/>
      <c r="I37" s="1026"/>
      <c r="J37" s="1026"/>
    </row>
    <row r="38" spans="1:10" ht="19.5" customHeight="1">
      <c r="A38" s="1020" t="s">
        <v>709</v>
      </c>
      <c r="B38" s="1020"/>
      <c r="C38" s="1020"/>
      <c r="D38" s="1020"/>
      <c r="E38" s="1020"/>
      <c r="F38" s="1020"/>
      <c r="G38" s="1020"/>
      <c r="H38" s="1020"/>
      <c r="I38" s="1020"/>
      <c r="J38" s="1020"/>
    </row>
    <row r="39" spans="1:10" ht="12.6" customHeight="1">
      <c r="A39" s="1020"/>
      <c r="B39" s="1020"/>
      <c r="C39" s="1020"/>
      <c r="D39" s="1020"/>
      <c r="E39" s="1020"/>
      <c r="F39" s="1020"/>
      <c r="G39" s="1020"/>
      <c r="H39" s="1020"/>
      <c r="I39" s="1020"/>
      <c r="J39" s="1020"/>
    </row>
    <row r="40" spans="1:10">
      <c r="A40" s="851"/>
      <c r="B40" s="1020" t="s">
        <v>710</v>
      </c>
      <c r="C40" s="1020"/>
      <c r="D40" s="1020"/>
      <c r="E40" s="1020"/>
      <c r="F40" s="1020"/>
      <c r="G40" s="1020"/>
      <c r="H40" s="1020"/>
      <c r="I40" s="1020"/>
      <c r="J40" s="1020"/>
    </row>
    <row r="41" spans="1:10">
      <c r="A41" s="851"/>
      <c r="B41" s="1020"/>
      <c r="C41" s="1020"/>
      <c r="D41" s="1020"/>
      <c r="E41" s="1020"/>
      <c r="F41" s="1020"/>
      <c r="G41" s="1020"/>
      <c r="H41" s="1020"/>
      <c r="I41" s="1020"/>
      <c r="J41" s="1020"/>
    </row>
    <row r="42" spans="1:10" ht="12.6" customHeight="1">
      <c r="A42" s="851"/>
      <c r="B42" s="1020" t="s">
        <v>711</v>
      </c>
      <c r="C42" s="1020"/>
      <c r="D42" s="1020"/>
      <c r="E42" s="1020"/>
      <c r="F42" s="1020"/>
      <c r="G42" s="1020"/>
      <c r="H42" s="1020"/>
      <c r="I42" s="1020"/>
      <c r="J42" s="1020"/>
    </row>
    <row r="43" spans="1:10">
      <c r="A43" s="851"/>
      <c r="B43" s="1020"/>
      <c r="C43" s="1020"/>
      <c r="D43" s="1020"/>
      <c r="E43" s="1020"/>
      <c r="F43" s="1020"/>
      <c r="G43" s="1020"/>
      <c r="H43" s="1020"/>
      <c r="I43" s="1020"/>
      <c r="J43" s="1020"/>
    </row>
    <row r="44" spans="1:10" ht="12.6" customHeight="1">
      <c r="A44" s="851"/>
      <c r="B44" s="1020" t="s">
        <v>712</v>
      </c>
      <c r="C44" s="1020"/>
      <c r="D44" s="1020"/>
      <c r="E44" s="1020"/>
      <c r="F44" s="1020"/>
      <c r="G44" s="1020"/>
      <c r="H44" s="1020"/>
      <c r="I44" s="1020"/>
      <c r="J44" s="1020"/>
    </row>
    <row r="45" spans="1:10">
      <c r="A45" s="851"/>
      <c r="B45" s="1020"/>
      <c r="C45" s="1020"/>
      <c r="D45" s="1020"/>
      <c r="E45" s="1020"/>
      <c r="F45" s="1020"/>
      <c r="G45" s="1020"/>
      <c r="H45" s="1020"/>
      <c r="I45" s="1020"/>
      <c r="J45" s="1020"/>
    </row>
    <row r="46" spans="1:10" ht="12.6" customHeight="1">
      <c r="A46" s="851"/>
      <c r="B46" s="1020" t="s">
        <v>713</v>
      </c>
      <c r="C46" s="1020"/>
      <c r="D46" s="1020"/>
      <c r="E46" s="1020"/>
      <c r="F46" s="1020"/>
      <c r="G46" s="1020"/>
      <c r="H46" s="1020"/>
      <c r="I46" s="1020"/>
      <c r="J46" s="1020"/>
    </row>
    <row r="47" spans="1:10">
      <c r="A47" s="851"/>
      <c r="B47" s="1020"/>
      <c r="C47" s="1020"/>
      <c r="D47" s="1020"/>
      <c r="E47" s="1020"/>
      <c r="F47" s="1020"/>
      <c r="G47" s="1020"/>
      <c r="H47" s="1020"/>
      <c r="I47" s="1020"/>
      <c r="J47" s="1020"/>
    </row>
    <row r="48" spans="1:10">
      <c r="A48" s="851"/>
      <c r="B48" s="851"/>
      <c r="C48" s="851"/>
      <c r="D48" s="851"/>
      <c r="E48" s="851"/>
      <c r="F48" s="851"/>
      <c r="G48" s="851"/>
      <c r="H48" s="851"/>
      <c r="I48" s="851"/>
      <c r="J48" s="851"/>
    </row>
    <row r="49" spans="1:10">
      <c r="A49" s="851"/>
      <c r="B49" s="851"/>
      <c r="C49" s="851"/>
      <c r="D49" s="851"/>
      <c r="E49" s="851"/>
      <c r="F49" s="851"/>
      <c r="G49" s="851"/>
      <c r="H49" s="851"/>
      <c r="I49" s="851"/>
      <c r="J49" s="851"/>
    </row>
    <row r="50" spans="1:10">
      <c r="A50" s="850"/>
      <c r="B50" s="850"/>
      <c r="C50" s="850"/>
      <c r="D50" s="850"/>
      <c r="E50" s="850"/>
      <c r="F50" s="850"/>
      <c r="G50" s="850"/>
      <c r="H50" s="850"/>
      <c r="I50" s="850"/>
      <c r="J50" s="850"/>
    </row>
    <row r="51" spans="1:10">
      <c r="A51" s="850"/>
      <c r="B51" s="850"/>
      <c r="C51" s="850"/>
      <c r="D51" s="850"/>
      <c r="E51" s="850"/>
      <c r="F51" s="850"/>
      <c r="G51" s="850"/>
      <c r="H51" s="850"/>
      <c r="I51" s="850"/>
      <c r="J51" s="850"/>
    </row>
  </sheetData>
  <sheetProtection algorithmName="SHA-512" hashValue="S7mTHI/N2bVNAuCrnbTDEJoqYCGRpMs8kf2szdxTed/+MpFu2tieGSvg2al0fADcwiJtoO4olg2mX3GJzinEUA==" saltValue="J62neEqblNaQ+gaP7BgMEQ==" spinCount="100000" sheet="1" objects="1" scenarios="1"/>
  <mergeCells count="9">
    <mergeCell ref="B42:J43"/>
    <mergeCell ref="B44:J45"/>
    <mergeCell ref="B46:J47"/>
    <mergeCell ref="A1:C2"/>
    <mergeCell ref="A3:J19"/>
    <mergeCell ref="A20:J24"/>
    <mergeCell ref="A25:J37"/>
    <mergeCell ref="A38:J39"/>
    <mergeCell ref="B40:J41"/>
  </mergeCells>
  <printOptions horizontalCentered="1"/>
  <pageMargins left="0.27559055118110237" right="0.27559055118110237" top="1.7716535433070868" bottom="0.47244094488188981" header="0.19685039370078741" footer="0.19685039370078741"/>
  <pageSetup paperSize="9" fitToWidth="0" fitToHeight="0" orientation="portrait" r:id="rId1"/>
  <headerFooter>
    <oddHeader>&amp;C&amp;G</oddHeader>
  </headerFooter>
  <drawing r:id="rId2"/>
  <legacyDrawingHF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98C21-AB71-4615-B6C5-7978D767611E}">
  <dimension ref="A1:R36"/>
  <sheetViews>
    <sheetView showGridLines="0" zoomScaleNormal="100" workbookViewId="0">
      <selection activeCell="Y70" sqref="Y70"/>
    </sheetView>
  </sheetViews>
  <sheetFormatPr defaultColWidth="8.7109375" defaultRowHeight="12.75"/>
  <cols>
    <col min="1" max="9" width="8.7109375" style="386"/>
    <col min="10" max="10" width="16.85546875" style="386" customWidth="1"/>
    <col min="11" max="16384" width="8.7109375" style="386"/>
  </cols>
  <sheetData>
    <row r="1" spans="1:18" ht="13.5" thickTop="1">
      <c r="A1" s="1021" t="s">
        <v>134</v>
      </c>
      <c r="B1" s="1022"/>
      <c r="C1" s="1022"/>
      <c r="D1" s="850"/>
      <c r="E1" s="850"/>
      <c r="F1" s="850"/>
      <c r="G1" s="850"/>
      <c r="H1" s="850"/>
      <c r="I1" s="850"/>
      <c r="J1" s="850"/>
    </row>
    <row r="2" spans="1:18">
      <c r="A2" s="1023"/>
      <c r="B2" s="1024"/>
      <c r="C2" s="1024"/>
      <c r="D2" s="850"/>
      <c r="E2" s="850"/>
      <c r="F2" s="850"/>
      <c r="G2" s="850"/>
      <c r="H2" s="850"/>
      <c r="I2" s="850"/>
      <c r="J2" s="850"/>
    </row>
    <row r="3" spans="1:18">
      <c r="A3" s="1020" t="s">
        <v>827</v>
      </c>
      <c r="B3" s="1028"/>
      <c r="C3" s="1028"/>
      <c r="D3" s="1028"/>
      <c r="E3" s="1028"/>
      <c r="F3" s="1028"/>
      <c r="G3" s="1028"/>
      <c r="H3" s="1028"/>
      <c r="I3" s="1028"/>
      <c r="J3" s="1028"/>
    </row>
    <row r="4" spans="1:18">
      <c r="A4" s="1028"/>
      <c r="B4" s="1028"/>
      <c r="C4" s="1028"/>
      <c r="D4" s="1028"/>
      <c r="E4" s="1028"/>
      <c r="F4" s="1028"/>
      <c r="G4" s="1028"/>
      <c r="H4" s="1028"/>
      <c r="I4" s="1028"/>
      <c r="J4" s="1028"/>
    </row>
    <row r="5" spans="1:18">
      <c r="A5" s="1028"/>
      <c r="B5" s="1028"/>
      <c r="C5" s="1028"/>
      <c r="D5" s="1028"/>
      <c r="E5" s="1028"/>
      <c r="F5" s="1028"/>
      <c r="G5" s="1028"/>
      <c r="H5" s="1028"/>
      <c r="I5" s="1028"/>
      <c r="J5" s="1028"/>
    </row>
    <row r="6" spans="1:18">
      <c r="A6" s="1028"/>
      <c r="B6" s="1028"/>
      <c r="C6" s="1028"/>
      <c r="D6" s="1028"/>
      <c r="E6" s="1028"/>
      <c r="F6" s="1028"/>
      <c r="G6" s="1028"/>
      <c r="H6" s="1028"/>
      <c r="I6" s="1028"/>
      <c r="J6" s="1028"/>
    </row>
    <row r="7" spans="1:18">
      <c r="A7" s="1028"/>
      <c r="B7" s="1028"/>
      <c r="C7" s="1028"/>
      <c r="D7" s="1028"/>
      <c r="E7" s="1028"/>
      <c r="F7" s="1028"/>
      <c r="G7" s="1028"/>
      <c r="H7" s="1028"/>
      <c r="I7" s="1028"/>
      <c r="J7" s="1028"/>
    </row>
    <row r="8" spans="1:18">
      <c r="A8" s="1028"/>
      <c r="B8" s="1028"/>
      <c r="C8" s="1028"/>
      <c r="D8" s="1028"/>
      <c r="E8" s="1028"/>
      <c r="F8" s="1028"/>
      <c r="G8" s="1028"/>
      <c r="H8" s="1028"/>
      <c r="I8" s="1028"/>
      <c r="J8" s="1028"/>
    </row>
    <row r="9" spans="1:18">
      <c r="A9" s="1028"/>
      <c r="B9" s="1028"/>
      <c r="C9" s="1028"/>
      <c r="D9" s="1028"/>
      <c r="E9" s="1028"/>
      <c r="F9" s="1028"/>
      <c r="G9" s="1028"/>
      <c r="H9" s="1028"/>
      <c r="I9" s="1028"/>
      <c r="J9" s="1028"/>
    </row>
    <row r="10" spans="1:18">
      <c r="A10" s="1028"/>
      <c r="B10" s="1028"/>
      <c r="C10" s="1028"/>
      <c r="D10" s="1028"/>
      <c r="E10" s="1028"/>
      <c r="F10" s="1028"/>
      <c r="G10" s="1028"/>
      <c r="H10" s="1028"/>
      <c r="I10" s="1028"/>
      <c r="J10" s="1028"/>
    </row>
    <row r="11" spans="1:18">
      <c r="A11" s="1028"/>
      <c r="B11" s="1028"/>
      <c r="C11" s="1028"/>
      <c r="D11" s="1028"/>
      <c r="E11" s="1028"/>
      <c r="F11" s="1028"/>
      <c r="G11" s="1028"/>
      <c r="H11" s="1028"/>
      <c r="I11" s="1028"/>
      <c r="J11" s="1028"/>
    </row>
    <row r="12" spans="1:18">
      <c r="A12" s="1028"/>
      <c r="B12" s="1028"/>
      <c r="C12" s="1028"/>
      <c r="D12" s="1028"/>
      <c r="E12" s="1028"/>
      <c r="F12" s="1028"/>
      <c r="G12" s="1028"/>
      <c r="H12" s="1028"/>
      <c r="I12" s="1028"/>
      <c r="J12" s="1028"/>
    </row>
    <row r="13" spans="1:18">
      <c r="A13" s="1028"/>
      <c r="B13" s="1028"/>
      <c r="C13" s="1028"/>
      <c r="D13" s="1028"/>
      <c r="E13" s="1028"/>
      <c r="F13" s="1028"/>
      <c r="G13" s="1028"/>
      <c r="H13" s="1028"/>
      <c r="I13" s="1028"/>
      <c r="J13" s="1028"/>
    </row>
    <row r="14" spans="1:18">
      <c r="A14" s="1028"/>
      <c r="B14" s="1028"/>
      <c r="C14" s="1028"/>
      <c r="D14" s="1028"/>
      <c r="E14" s="1028"/>
      <c r="F14" s="1028"/>
      <c r="G14" s="1028"/>
      <c r="H14" s="1028"/>
      <c r="I14" s="1028"/>
      <c r="J14" s="1028"/>
    </row>
    <row r="15" spans="1:18">
      <c r="A15" s="1028"/>
      <c r="B15" s="1028"/>
      <c r="C15" s="1028"/>
      <c r="D15" s="1028"/>
      <c r="E15" s="1028"/>
      <c r="F15" s="1028"/>
      <c r="G15" s="1028"/>
      <c r="H15" s="1028"/>
      <c r="I15" s="1028"/>
      <c r="J15" s="1028"/>
    </row>
    <row r="16" spans="1:18">
      <c r="A16" s="1028"/>
      <c r="B16" s="1028"/>
      <c r="C16" s="1028"/>
      <c r="D16" s="1028"/>
      <c r="E16" s="1028"/>
      <c r="F16" s="1028"/>
      <c r="G16" s="1028"/>
      <c r="H16" s="1028"/>
      <c r="I16" s="1028"/>
      <c r="J16" s="1028"/>
      <c r="R16" s="852"/>
    </row>
    <row r="17" spans="1:10">
      <c r="A17" s="1020" t="s">
        <v>714</v>
      </c>
      <c r="B17" s="1020"/>
      <c r="C17" s="1020"/>
      <c r="D17" s="1020"/>
      <c r="E17" s="1020"/>
      <c r="F17" s="1020"/>
      <c r="G17" s="1020"/>
      <c r="H17" s="1020"/>
      <c r="I17" s="1020"/>
      <c r="J17" s="1020"/>
    </row>
    <row r="18" spans="1:10">
      <c r="A18" s="1020"/>
      <c r="B18" s="1020"/>
      <c r="C18" s="1020"/>
      <c r="D18" s="1020"/>
      <c r="E18" s="1020"/>
      <c r="F18" s="1020"/>
      <c r="G18" s="1020"/>
      <c r="H18" s="1020"/>
      <c r="I18" s="1020"/>
      <c r="J18" s="1020"/>
    </row>
    <row r="19" spans="1:10">
      <c r="A19" s="1020"/>
      <c r="B19" s="1020"/>
      <c r="C19" s="1020"/>
      <c r="D19" s="1020"/>
      <c r="E19" s="1020"/>
      <c r="F19" s="1020"/>
      <c r="G19" s="1020"/>
      <c r="H19" s="1020"/>
      <c r="I19" s="1020"/>
      <c r="J19" s="1020"/>
    </row>
    <row r="20" spans="1:10">
      <c r="A20" s="1028" t="s">
        <v>715</v>
      </c>
      <c r="B20" s="1028"/>
      <c r="C20" s="1028"/>
      <c r="D20" s="1028"/>
      <c r="E20" s="1028"/>
      <c r="F20" s="1028"/>
      <c r="G20" s="1028"/>
      <c r="H20" s="1028"/>
      <c r="I20" s="1028"/>
      <c r="J20" s="1028"/>
    </row>
    <row r="21" spans="1:10">
      <c r="A21" s="1028"/>
      <c r="B21" s="1028"/>
      <c r="C21" s="1028"/>
      <c r="D21" s="1028"/>
      <c r="E21" s="1028"/>
      <c r="F21" s="1028"/>
      <c r="G21" s="1028"/>
      <c r="H21" s="1028"/>
      <c r="I21" s="1028"/>
      <c r="J21" s="1028"/>
    </row>
    <row r="22" spans="1:10">
      <c r="A22" s="1029" t="s">
        <v>716</v>
      </c>
      <c r="B22" s="1029"/>
      <c r="C22" s="1029"/>
      <c r="D22" s="1029"/>
      <c r="E22" s="1029"/>
      <c r="F22" s="1029"/>
      <c r="G22" s="1029"/>
      <c r="H22" s="1029"/>
      <c r="I22" s="1029"/>
      <c r="J22" s="1029"/>
    </row>
    <row r="23" spans="1:10">
      <c r="A23" s="1029"/>
      <c r="B23" s="1029"/>
      <c r="C23" s="1029"/>
      <c r="D23" s="1029"/>
      <c r="E23" s="1029"/>
      <c r="F23" s="1029"/>
      <c r="G23" s="1029"/>
      <c r="H23" s="1029"/>
      <c r="I23" s="1029"/>
      <c r="J23" s="1029"/>
    </row>
    <row r="24" spans="1:10">
      <c r="A24" s="1020" t="s">
        <v>717</v>
      </c>
      <c r="B24" s="1020"/>
      <c r="C24" s="1020"/>
      <c r="D24" s="1020"/>
      <c r="E24" s="1020"/>
      <c r="F24" s="1020"/>
      <c r="G24" s="1020"/>
      <c r="H24" s="1020"/>
      <c r="I24" s="1020"/>
      <c r="J24" s="1020"/>
    </row>
    <row r="25" spans="1:10">
      <c r="A25" s="1020"/>
      <c r="B25" s="1020"/>
      <c r="C25" s="1020"/>
      <c r="D25" s="1020"/>
      <c r="E25" s="1020"/>
      <c r="F25" s="1020"/>
      <c r="G25" s="1020"/>
      <c r="H25" s="1020"/>
      <c r="I25" s="1020"/>
      <c r="J25" s="1020"/>
    </row>
    <row r="26" spans="1:10">
      <c r="A26" s="1020"/>
      <c r="B26" s="1020"/>
      <c r="C26" s="1020"/>
      <c r="D26" s="1020"/>
      <c r="E26" s="1020"/>
      <c r="F26" s="1020"/>
      <c r="G26" s="1020"/>
      <c r="H26" s="1020"/>
      <c r="I26" s="1020"/>
      <c r="J26" s="1020"/>
    </row>
    <row r="27" spans="1:10">
      <c r="A27" s="1020"/>
      <c r="B27" s="1020"/>
      <c r="C27" s="1020"/>
      <c r="D27" s="1020"/>
      <c r="E27" s="1020"/>
      <c r="F27" s="1020"/>
      <c r="G27" s="1020"/>
      <c r="H27" s="1020"/>
      <c r="I27" s="1020"/>
      <c r="J27" s="1020"/>
    </row>
    <row r="28" spans="1:10">
      <c r="A28" s="1020"/>
      <c r="B28" s="1020"/>
      <c r="C28" s="1020"/>
      <c r="D28" s="1020"/>
      <c r="E28" s="1020"/>
      <c r="F28" s="1020"/>
      <c r="G28" s="1020"/>
      <c r="H28" s="1020"/>
      <c r="I28" s="1020"/>
      <c r="J28" s="1020"/>
    </row>
    <row r="29" spans="1:10" ht="12.6" customHeight="1">
      <c r="A29" s="1020" t="s">
        <v>718</v>
      </c>
      <c r="B29" s="1020"/>
      <c r="C29" s="1020"/>
      <c r="D29" s="1020"/>
      <c r="E29" s="1020"/>
      <c r="F29" s="1020"/>
      <c r="G29" s="1020"/>
      <c r="H29" s="1020"/>
      <c r="I29" s="1020"/>
      <c r="J29" s="1020"/>
    </row>
    <row r="30" spans="1:10">
      <c r="A30" s="1020"/>
      <c r="B30" s="1020"/>
      <c r="C30" s="1020"/>
      <c r="D30" s="1020"/>
      <c r="E30" s="1020"/>
      <c r="F30" s="1020"/>
      <c r="G30" s="1020"/>
      <c r="H30" s="1020"/>
      <c r="I30" s="1020"/>
      <c r="J30" s="1020"/>
    </row>
    <row r="31" spans="1:10">
      <c r="A31" s="1020"/>
      <c r="B31" s="1020"/>
      <c r="C31" s="1020"/>
      <c r="D31" s="1020"/>
      <c r="E31" s="1020"/>
      <c r="F31" s="1020"/>
      <c r="G31" s="1020"/>
      <c r="H31" s="1020"/>
      <c r="I31" s="1020"/>
      <c r="J31" s="1020"/>
    </row>
    <row r="32" spans="1:10">
      <c r="A32" s="1020"/>
      <c r="B32" s="1020"/>
      <c r="C32" s="1020"/>
      <c r="D32" s="1020"/>
      <c r="E32" s="1020"/>
      <c r="F32" s="1020"/>
      <c r="G32" s="1020"/>
      <c r="H32" s="1020"/>
      <c r="I32" s="1020"/>
      <c r="J32" s="1020"/>
    </row>
    <row r="33" spans="1:10" ht="12.6" customHeight="1">
      <c r="A33" s="1027" t="s">
        <v>828</v>
      </c>
      <c r="B33" s="1020"/>
      <c r="C33" s="1020"/>
      <c r="D33" s="1020"/>
      <c r="E33" s="1020"/>
      <c r="F33" s="1020"/>
      <c r="G33" s="1020"/>
      <c r="H33" s="1020"/>
      <c r="I33" s="1020"/>
      <c r="J33" s="1020"/>
    </row>
    <row r="34" spans="1:10">
      <c r="A34" s="1020"/>
      <c r="B34" s="1020"/>
      <c r="C34" s="1020"/>
      <c r="D34" s="1020"/>
      <c r="E34" s="1020"/>
      <c r="F34" s="1020"/>
      <c r="G34" s="1020"/>
      <c r="H34" s="1020"/>
      <c r="I34" s="1020"/>
      <c r="J34" s="1020"/>
    </row>
    <row r="35" spans="1:10">
      <c r="A35" s="1020"/>
      <c r="B35" s="1020"/>
      <c r="C35" s="1020"/>
      <c r="D35" s="1020"/>
      <c r="E35" s="1020"/>
      <c r="F35" s="1020"/>
      <c r="G35" s="1020"/>
      <c r="H35" s="1020"/>
      <c r="I35" s="1020"/>
      <c r="J35" s="1020"/>
    </row>
    <row r="36" spans="1:10">
      <c r="A36" s="1020"/>
      <c r="B36" s="1020"/>
      <c r="C36" s="1020"/>
      <c r="D36" s="1020"/>
      <c r="E36" s="1020"/>
      <c r="F36" s="1020"/>
      <c r="G36" s="1020"/>
      <c r="H36" s="1020"/>
      <c r="I36" s="1020"/>
      <c r="J36" s="1020"/>
    </row>
  </sheetData>
  <sheetProtection algorithmName="SHA-512" hashValue="EtWpSGGAjHOOcnoEvVrBXdxYUXI5hqrIcxqtx6k4HGc5OWHgWOcw2PAzvyfRa0YhquL+cDK/5f6uufaqaTGh0w==" saltValue="+tkT07/TrbMwLES4PSTCZQ==" spinCount="100000" sheet="1" objects="1" scenarios="1"/>
  <mergeCells count="8">
    <mergeCell ref="A29:J32"/>
    <mergeCell ref="A33:J36"/>
    <mergeCell ref="A1:C2"/>
    <mergeCell ref="A3:J16"/>
    <mergeCell ref="A17:J19"/>
    <mergeCell ref="A20:J21"/>
    <mergeCell ref="A22:J23"/>
    <mergeCell ref="A24:J28"/>
  </mergeCells>
  <printOptions horizontalCentered="1"/>
  <pageMargins left="0.27559055118110237" right="0.27559055118110237" top="1.7716535433070868" bottom="0.47244094488188981" header="0.19685039370078741" footer="0.19685039370078741"/>
  <pageSetup paperSize="9" fitToWidth="0" fitToHeight="0" orientation="portrait" r:id="rId1"/>
  <headerFooter>
    <oddHeader xml:space="preserve">&amp;C&amp;G
</oddHeader>
  </headerFooter>
  <drawing r:id="rId2"/>
  <legacyDrawingHF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B7D08-A748-46A1-9771-C0A46F10F10F}">
  <dimension ref="A1:L56"/>
  <sheetViews>
    <sheetView showGridLines="0" workbookViewId="0">
      <selection activeCell="Y70" sqref="Y70"/>
    </sheetView>
  </sheetViews>
  <sheetFormatPr defaultColWidth="8.7109375" defaultRowHeight="12.75"/>
  <cols>
    <col min="1" max="1" width="3.85546875" style="386" customWidth="1"/>
    <col min="2" max="10" width="10.5703125" style="386" customWidth="1"/>
    <col min="11" max="16384" width="8.7109375" style="386"/>
  </cols>
  <sheetData>
    <row r="1" spans="1:10" ht="13.5" thickTop="1">
      <c r="A1" s="1021" t="s">
        <v>135</v>
      </c>
      <c r="B1" s="1022"/>
      <c r="C1" s="1022"/>
      <c r="D1" s="850"/>
      <c r="E1" s="850"/>
      <c r="F1" s="850"/>
      <c r="G1" s="850"/>
      <c r="H1" s="850"/>
      <c r="I1" s="850"/>
      <c r="J1" s="850"/>
    </row>
    <row r="2" spans="1:10">
      <c r="A2" s="1023"/>
      <c r="B2" s="1024"/>
      <c r="C2" s="1024"/>
      <c r="D2" s="850"/>
      <c r="E2" s="850"/>
      <c r="F2" s="850"/>
      <c r="G2" s="850"/>
      <c r="H2" s="850"/>
      <c r="I2" s="850"/>
      <c r="J2" s="850"/>
    </row>
    <row r="3" spans="1:10">
      <c r="A3" s="1020" t="s">
        <v>719</v>
      </c>
      <c r="B3" s="1020"/>
      <c r="C3" s="1020"/>
      <c r="D3" s="1020"/>
      <c r="E3" s="1020"/>
      <c r="F3" s="1020"/>
      <c r="G3" s="1020"/>
      <c r="H3" s="1020"/>
      <c r="I3" s="1020"/>
      <c r="J3" s="1020"/>
    </row>
    <row r="4" spans="1:10">
      <c r="A4" s="1020"/>
      <c r="B4" s="1020"/>
      <c r="C4" s="1020"/>
      <c r="D4" s="1020"/>
      <c r="E4" s="1020"/>
      <c r="F4" s="1020"/>
      <c r="G4" s="1020"/>
      <c r="H4" s="1020"/>
      <c r="I4" s="1020"/>
      <c r="J4" s="1020"/>
    </row>
    <row r="5" spans="1:10">
      <c r="A5" s="1020"/>
      <c r="B5" s="1020"/>
      <c r="C5" s="1020"/>
      <c r="D5" s="1020"/>
      <c r="E5" s="1020"/>
      <c r="F5" s="1020"/>
      <c r="G5" s="1020"/>
      <c r="H5" s="1020"/>
      <c r="I5" s="1020"/>
      <c r="J5" s="1020"/>
    </row>
    <row r="6" spans="1:10">
      <c r="A6" s="1020"/>
      <c r="B6" s="1020"/>
      <c r="C6" s="1020"/>
      <c r="D6" s="1020"/>
      <c r="E6" s="1020"/>
      <c r="F6" s="1020"/>
      <c r="G6" s="1020"/>
      <c r="H6" s="1020"/>
      <c r="I6" s="1020"/>
      <c r="J6" s="1020"/>
    </row>
    <row r="7" spans="1:10" ht="12.6" customHeight="1">
      <c r="A7" s="850"/>
      <c r="B7" s="1031" t="s">
        <v>720</v>
      </c>
      <c r="C7" s="1031"/>
      <c r="D7" s="1031"/>
      <c r="E7" s="1031"/>
      <c r="F7" s="1031"/>
      <c r="G7" s="1031"/>
      <c r="H7" s="1031"/>
      <c r="I7" s="1031"/>
      <c r="J7" s="1031"/>
    </row>
    <row r="8" spans="1:10">
      <c r="A8" s="850"/>
      <c r="B8" s="1032" t="s">
        <v>721</v>
      </c>
      <c r="C8" s="1029"/>
      <c r="D8" s="1029"/>
      <c r="E8" s="1029"/>
      <c r="F8" s="1029"/>
      <c r="G8" s="1029"/>
      <c r="H8" s="1029"/>
      <c r="I8" s="1029"/>
      <c r="J8" s="1029"/>
    </row>
    <row r="9" spans="1:10">
      <c r="A9" s="850"/>
      <c r="B9" s="1029"/>
      <c r="C9" s="1029"/>
      <c r="D9" s="1029"/>
      <c r="E9" s="1029"/>
      <c r="F9" s="1029"/>
      <c r="G9" s="1029"/>
      <c r="H9" s="1029"/>
      <c r="I9" s="1029"/>
      <c r="J9" s="1029"/>
    </row>
    <row r="10" spans="1:10">
      <c r="A10" s="1020" t="s">
        <v>722</v>
      </c>
      <c r="B10" s="1020"/>
      <c r="C10" s="1020"/>
      <c r="D10" s="1020"/>
      <c r="E10" s="1020"/>
      <c r="F10" s="1020"/>
      <c r="G10" s="1020"/>
      <c r="H10" s="1020"/>
      <c r="I10" s="1020"/>
      <c r="J10" s="1020"/>
    </row>
    <row r="11" spans="1:10">
      <c r="A11" s="1020"/>
      <c r="B11" s="1020"/>
      <c r="C11" s="1020"/>
      <c r="D11" s="1020"/>
      <c r="E11" s="1020"/>
      <c r="F11" s="1020"/>
      <c r="G11" s="1020"/>
      <c r="H11" s="1020"/>
      <c r="I11" s="1020"/>
      <c r="J11" s="1020"/>
    </row>
    <row r="12" spans="1:10">
      <c r="A12" s="1020"/>
      <c r="B12" s="1020"/>
      <c r="C12" s="1020"/>
      <c r="D12" s="1020"/>
      <c r="E12" s="1020"/>
      <c r="F12" s="1020"/>
      <c r="G12" s="1020"/>
      <c r="H12" s="1020"/>
      <c r="I12" s="1020"/>
      <c r="J12" s="1020"/>
    </row>
    <row r="13" spans="1:10">
      <c r="A13" s="1020"/>
      <c r="B13" s="1020"/>
      <c r="C13" s="1020"/>
      <c r="D13" s="1020"/>
      <c r="E13" s="1020"/>
      <c r="F13" s="1020"/>
      <c r="G13" s="1020"/>
      <c r="H13" s="1020"/>
      <c r="I13" s="1020"/>
      <c r="J13" s="1020"/>
    </row>
    <row r="14" spans="1:10">
      <c r="A14" s="1020"/>
      <c r="B14" s="1020"/>
      <c r="C14" s="1020"/>
      <c r="D14" s="1020"/>
      <c r="E14" s="1020"/>
      <c r="F14" s="1020"/>
      <c r="G14" s="1020"/>
      <c r="H14" s="1020"/>
      <c r="I14" s="1020"/>
      <c r="J14" s="1020"/>
    </row>
    <row r="15" spans="1:10" ht="68.45" customHeight="1">
      <c r="A15" s="1020" t="s">
        <v>723</v>
      </c>
      <c r="B15" s="1020"/>
      <c r="C15" s="1020"/>
      <c r="D15" s="1020"/>
      <c r="E15" s="1020"/>
      <c r="F15" s="1020"/>
      <c r="G15" s="1020"/>
      <c r="H15" s="1020"/>
      <c r="I15" s="1020"/>
      <c r="J15" s="1020"/>
    </row>
    <row r="16" spans="1:10" ht="6" customHeight="1">
      <c r="A16" s="853"/>
      <c r="B16" s="853"/>
      <c r="C16" s="853"/>
      <c r="D16" s="853"/>
      <c r="E16" s="853"/>
      <c r="F16" s="853"/>
      <c r="G16" s="853"/>
      <c r="H16" s="853"/>
      <c r="I16" s="853"/>
      <c r="J16" s="853"/>
    </row>
    <row r="17" spans="1:12" ht="48.75" customHeight="1">
      <c r="A17" s="1020" t="s">
        <v>829</v>
      </c>
      <c r="B17" s="1020"/>
      <c r="C17" s="1020"/>
      <c r="D17" s="1020"/>
      <c r="E17" s="1020"/>
      <c r="F17" s="1020"/>
      <c r="G17" s="1020"/>
      <c r="H17" s="1020"/>
      <c r="I17" s="1020"/>
      <c r="J17" s="1020"/>
      <c r="L17" s="854"/>
    </row>
    <row r="18" spans="1:12">
      <c r="A18" s="850"/>
      <c r="B18" s="850"/>
      <c r="C18" s="850"/>
      <c r="D18" s="850"/>
      <c r="E18" s="850"/>
      <c r="F18" s="850"/>
      <c r="G18" s="850"/>
      <c r="H18" s="850"/>
      <c r="I18" s="850"/>
      <c r="J18" s="850"/>
      <c r="L18" s="854"/>
    </row>
    <row r="19" spans="1:12">
      <c r="A19" s="850"/>
      <c r="B19" s="850"/>
      <c r="C19" s="850"/>
      <c r="D19" s="850"/>
      <c r="E19" s="850"/>
      <c r="F19" s="850"/>
      <c r="G19" s="850"/>
      <c r="H19" s="850"/>
      <c r="I19" s="850"/>
      <c r="J19" s="850"/>
      <c r="L19" s="855"/>
    </row>
    <row r="20" spans="1:12">
      <c r="A20" s="850"/>
      <c r="B20" s="850"/>
      <c r="C20" s="850"/>
      <c r="D20" s="850"/>
      <c r="E20" s="850"/>
      <c r="F20" s="850"/>
      <c r="G20" s="850"/>
      <c r="H20" s="850"/>
      <c r="I20" s="850"/>
      <c r="J20" s="850"/>
      <c r="L20" s="854"/>
    </row>
    <row r="21" spans="1:12">
      <c r="A21" s="850"/>
      <c r="B21" s="850"/>
      <c r="C21" s="850"/>
      <c r="D21" s="850"/>
      <c r="E21" s="850"/>
      <c r="F21" s="850"/>
      <c r="G21" s="850"/>
      <c r="H21" s="850"/>
      <c r="I21" s="850"/>
      <c r="J21" s="850"/>
    </row>
    <row r="22" spans="1:12">
      <c r="A22" s="850"/>
      <c r="B22" s="850"/>
      <c r="C22" s="850"/>
      <c r="D22" s="850"/>
      <c r="E22" s="850"/>
      <c r="F22" s="850"/>
      <c r="G22" s="850"/>
      <c r="H22" s="850"/>
      <c r="I22" s="850"/>
      <c r="J22" s="850"/>
    </row>
    <row r="23" spans="1:12">
      <c r="A23" s="850"/>
      <c r="B23" s="850"/>
      <c r="C23" s="850"/>
      <c r="D23" s="850"/>
      <c r="E23" s="850"/>
      <c r="F23" s="850"/>
      <c r="G23" s="850"/>
      <c r="H23" s="850"/>
      <c r="I23" s="850"/>
      <c r="J23" s="850"/>
    </row>
    <row r="24" spans="1:12">
      <c r="A24" s="850"/>
      <c r="B24" s="850"/>
      <c r="C24" s="850"/>
      <c r="D24" s="850"/>
      <c r="E24" s="850"/>
      <c r="F24" s="850"/>
      <c r="G24" s="850"/>
      <c r="H24" s="850"/>
      <c r="I24" s="850"/>
      <c r="J24" s="850"/>
    </row>
    <row r="25" spans="1:12">
      <c r="A25" s="850"/>
      <c r="B25" s="850"/>
      <c r="C25" s="850"/>
      <c r="D25" s="850"/>
      <c r="E25" s="850"/>
      <c r="F25" s="850"/>
      <c r="G25" s="850"/>
      <c r="H25" s="850"/>
      <c r="I25" s="850"/>
      <c r="J25" s="850"/>
    </row>
    <row r="26" spans="1:12">
      <c r="A26" s="850"/>
      <c r="B26" s="850"/>
      <c r="C26" s="850"/>
      <c r="D26" s="850"/>
      <c r="E26" s="850"/>
      <c r="F26" s="850"/>
      <c r="G26" s="850"/>
      <c r="H26" s="850"/>
      <c r="I26" s="850"/>
      <c r="J26" s="850"/>
    </row>
    <row r="27" spans="1:12">
      <c r="A27" s="850"/>
      <c r="B27" s="850"/>
      <c r="C27" s="850"/>
      <c r="D27" s="850"/>
      <c r="E27" s="850"/>
      <c r="F27" s="850"/>
      <c r="G27" s="850"/>
      <c r="H27" s="850"/>
      <c r="I27" s="850"/>
      <c r="J27" s="850"/>
    </row>
    <row r="28" spans="1:12">
      <c r="A28" s="850"/>
      <c r="B28" s="850"/>
      <c r="C28" s="850"/>
      <c r="D28" s="850"/>
      <c r="E28" s="850"/>
      <c r="F28" s="850"/>
      <c r="G28" s="850"/>
      <c r="H28" s="850"/>
      <c r="I28" s="850"/>
      <c r="J28" s="850"/>
    </row>
    <row r="29" spans="1:12">
      <c r="A29" s="850"/>
      <c r="B29" s="850"/>
      <c r="C29" s="850"/>
      <c r="D29" s="850"/>
      <c r="E29" s="850"/>
      <c r="F29" s="850"/>
      <c r="G29" s="850"/>
      <c r="H29" s="850"/>
      <c r="I29" s="850"/>
      <c r="J29" s="850"/>
    </row>
    <row r="30" spans="1:12">
      <c r="A30" s="850"/>
      <c r="B30" s="850"/>
      <c r="C30" s="850"/>
      <c r="D30" s="850"/>
      <c r="E30" s="850"/>
      <c r="F30" s="850"/>
      <c r="G30" s="850"/>
      <c r="H30" s="850"/>
      <c r="I30" s="850"/>
      <c r="J30" s="850"/>
    </row>
    <row r="31" spans="1:12">
      <c r="A31" s="850"/>
      <c r="B31" s="850"/>
      <c r="C31" s="850"/>
      <c r="D31" s="850"/>
      <c r="E31" s="850"/>
      <c r="F31" s="850"/>
      <c r="G31" s="850"/>
      <c r="H31" s="850"/>
      <c r="I31" s="850"/>
      <c r="J31" s="850"/>
    </row>
    <row r="32" spans="1:12">
      <c r="A32" s="850"/>
      <c r="B32" s="850"/>
      <c r="C32" s="850"/>
      <c r="D32" s="850"/>
      <c r="E32" s="850"/>
      <c r="F32" s="850"/>
      <c r="G32" s="850"/>
      <c r="H32" s="850"/>
      <c r="I32" s="850"/>
      <c r="J32" s="850"/>
    </row>
    <row r="33" spans="1:10">
      <c r="A33" s="850"/>
      <c r="B33" s="850"/>
      <c r="C33" s="850"/>
      <c r="D33" s="850"/>
      <c r="E33" s="850"/>
      <c r="F33" s="850"/>
      <c r="G33" s="850"/>
      <c r="H33" s="850"/>
      <c r="I33" s="850"/>
      <c r="J33" s="850"/>
    </row>
    <row r="34" spans="1:10">
      <c r="A34" s="850"/>
      <c r="B34" s="850"/>
      <c r="C34" s="850"/>
      <c r="D34" s="850"/>
      <c r="E34" s="850"/>
      <c r="F34" s="850"/>
      <c r="G34" s="850"/>
      <c r="H34" s="850"/>
      <c r="I34" s="850"/>
      <c r="J34" s="850"/>
    </row>
    <row r="35" spans="1:10">
      <c r="A35" s="850"/>
      <c r="B35" s="850"/>
      <c r="C35" s="850"/>
      <c r="D35" s="850"/>
      <c r="E35" s="850"/>
      <c r="F35" s="850"/>
      <c r="G35" s="850"/>
      <c r="H35" s="850"/>
      <c r="I35" s="850"/>
      <c r="J35" s="850"/>
    </row>
    <row r="36" spans="1:10">
      <c r="A36" s="850"/>
      <c r="B36" s="850"/>
      <c r="C36" s="850"/>
      <c r="D36" s="850"/>
      <c r="E36" s="850"/>
      <c r="F36" s="850"/>
      <c r="G36" s="850"/>
      <c r="H36" s="850"/>
      <c r="I36" s="850"/>
      <c r="J36" s="850"/>
    </row>
    <row r="37" spans="1:10">
      <c r="A37" s="850"/>
      <c r="B37" s="850"/>
      <c r="C37" s="850"/>
      <c r="D37" s="850"/>
      <c r="E37" s="850"/>
      <c r="F37" s="850"/>
      <c r="G37" s="850"/>
      <c r="H37" s="850"/>
      <c r="I37" s="850"/>
      <c r="J37" s="850"/>
    </row>
    <row r="38" spans="1:10">
      <c r="A38" s="850"/>
      <c r="B38" s="850"/>
      <c r="C38" s="850"/>
      <c r="D38" s="850"/>
      <c r="E38" s="850"/>
      <c r="F38" s="850"/>
      <c r="G38" s="850"/>
      <c r="H38" s="850"/>
      <c r="I38" s="850"/>
      <c r="J38" s="850"/>
    </row>
    <row r="39" spans="1:10">
      <c r="A39" s="850"/>
      <c r="B39" s="850"/>
      <c r="C39" s="850"/>
      <c r="D39" s="850"/>
      <c r="E39" s="850"/>
      <c r="F39" s="850"/>
      <c r="G39" s="850"/>
      <c r="H39" s="850"/>
      <c r="I39" s="850"/>
      <c r="J39" s="850"/>
    </row>
    <row r="40" spans="1:10">
      <c r="A40" s="850"/>
      <c r="B40" s="850"/>
      <c r="C40" s="850"/>
      <c r="D40" s="850"/>
      <c r="E40" s="850"/>
      <c r="F40" s="850"/>
      <c r="G40" s="850"/>
      <c r="H40" s="850"/>
      <c r="I40" s="850"/>
      <c r="J40" s="850"/>
    </row>
    <row r="41" spans="1:10">
      <c r="A41" s="850"/>
      <c r="B41" s="850"/>
      <c r="C41" s="850"/>
      <c r="D41" s="850"/>
      <c r="E41" s="850"/>
      <c r="F41" s="850"/>
      <c r="G41" s="850"/>
      <c r="H41" s="850"/>
      <c r="I41" s="850"/>
      <c r="J41" s="850"/>
    </row>
    <row r="42" spans="1:10">
      <c r="A42" s="850"/>
      <c r="B42" s="850"/>
      <c r="C42" s="850"/>
      <c r="D42" s="850"/>
      <c r="E42" s="850"/>
      <c r="F42" s="850"/>
      <c r="G42" s="850"/>
      <c r="H42" s="850"/>
      <c r="I42" s="850"/>
      <c r="J42" s="850"/>
    </row>
    <row r="43" spans="1:10">
      <c r="A43" s="850"/>
      <c r="B43" s="850"/>
      <c r="C43" s="850"/>
      <c r="D43" s="850"/>
      <c r="E43" s="850"/>
      <c r="F43" s="850"/>
      <c r="G43" s="850"/>
      <c r="H43" s="850"/>
      <c r="I43" s="850"/>
      <c r="J43" s="850"/>
    </row>
    <row r="44" spans="1:10">
      <c r="A44" s="850"/>
      <c r="B44" s="850"/>
      <c r="C44" s="850"/>
      <c r="D44" s="850"/>
      <c r="E44" s="850"/>
      <c r="F44" s="850"/>
      <c r="G44" s="850"/>
      <c r="H44" s="850"/>
      <c r="I44" s="850"/>
      <c r="J44" s="850"/>
    </row>
    <row r="45" spans="1:10">
      <c r="A45" s="850"/>
      <c r="B45" s="850"/>
      <c r="C45" s="850"/>
      <c r="D45" s="850"/>
      <c r="E45" s="850"/>
      <c r="F45" s="850"/>
      <c r="G45" s="850"/>
      <c r="H45" s="850"/>
      <c r="I45" s="850"/>
      <c r="J45" s="850"/>
    </row>
    <row r="46" spans="1:10">
      <c r="A46" s="850"/>
      <c r="B46" s="850"/>
      <c r="C46" s="850"/>
      <c r="D46" s="850"/>
      <c r="E46" s="850"/>
      <c r="F46" s="850"/>
      <c r="G46" s="850"/>
      <c r="H46" s="850"/>
      <c r="I46" s="850"/>
      <c r="J46" s="850"/>
    </row>
    <row r="47" spans="1:10">
      <c r="A47" s="850"/>
      <c r="B47" s="850"/>
      <c r="C47" s="850"/>
      <c r="D47" s="850"/>
      <c r="E47" s="850"/>
      <c r="F47" s="850"/>
      <c r="G47" s="850"/>
      <c r="H47" s="850"/>
      <c r="I47" s="850"/>
      <c r="J47" s="850"/>
    </row>
    <row r="48" spans="1:10">
      <c r="A48" s="850"/>
      <c r="B48" s="850"/>
      <c r="C48" s="850"/>
      <c r="D48" s="850"/>
      <c r="E48" s="850"/>
      <c r="F48" s="850"/>
      <c r="G48" s="850"/>
      <c r="H48" s="850"/>
      <c r="I48" s="850"/>
      <c r="J48" s="850"/>
    </row>
    <row r="49" spans="1:10">
      <c r="A49" s="850"/>
      <c r="B49" s="850"/>
      <c r="C49" s="850"/>
      <c r="D49" s="850"/>
      <c r="E49" s="850"/>
      <c r="F49" s="850"/>
      <c r="G49" s="850"/>
      <c r="H49" s="850"/>
      <c r="I49" s="850"/>
      <c r="J49" s="850"/>
    </row>
    <row r="50" spans="1:10">
      <c r="A50" s="850"/>
      <c r="B50" s="850"/>
      <c r="C50" s="850"/>
      <c r="D50" s="850"/>
      <c r="E50" s="850"/>
      <c r="F50" s="850"/>
      <c r="G50" s="850"/>
      <c r="H50" s="850"/>
      <c r="I50" s="850"/>
      <c r="J50" s="850"/>
    </row>
    <row r="51" spans="1:10">
      <c r="A51" s="850"/>
      <c r="B51" s="850"/>
      <c r="C51" s="850"/>
      <c r="D51" s="850"/>
      <c r="E51" s="850"/>
      <c r="F51" s="850"/>
      <c r="G51" s="850"/>
      <c r="H51" s="850"/>
      <c r="I51" s="850"/>
      <c r="J51" s="850"/>
    </row>
    <row r="52" spans="1:10">
      <c r="A52" s="850"/>
      <c r="B52" s="850"/>
      <c r="C52" s="850"/>
      <c r="D52" s="850"/>
      <c r="E52" s="850"/>
      <c r="F52" s="850"/>
      <c r="G52" s="850"/>
      <c r="H52" s="850"/>
      <c r="I52" s="850"/>
      <c r="J52" s="850"/>
    </row>
    <row r="53" spans="1:10">
      <c r="A53" s="850"/>
      <c r="B53" s="850"/>
      <c r="C53" s="850"/>
      <c r="D53" s="850"/>
      <c r="E53" s="850"/>
      <c r="F53" s="850"/>
      <c r="G53" s="850"/>
      <c r="H53" s="850"/>
      <c r="I53" s="850"/>
      <c r="J53" s="850"/>
    </row>
    <row r="54" spans="1:10">
      <c r="A54" s="1030"/>
      <c r="B54" s="1030"/>
      <c r="C54" s="1030"/>
      <c r="D54" s="1030"/>
      <c r="E54" s="1030"/>
      <c r="F54" s="1030"/>
      <c r="G54" s="1030"/>
      <c r="H54" s="1030"/>
      <c r="I54" s="1030"/>
      <c r="J54" s="1030"/>
    </row>
    <row r="55" spans="1:10">
      <c r="A55" s="1030"/>
      <c r="B55" s="1030"/>
      <c r="C55" s="1030"/>
      <c r="D55" s="1030"/>
      <c r="E55" s="1030"/>
      <c r="F55" s="1030"/>
      <c r="G55" s="1030"/>
      <c r="H55" s="1030"/>
      <c r="I55" s="1030"/>
      <c r="J55" s="1030"/>
    </row>
    <row r="56" spans="1:10">
      <c r="A56" s="850"/>
      <c r="B56" s="850"/>
      <c r="C56" s="850"/>
      <c r="D56" s="850"/>
      <c r="E56" s="850"/>
      <c r="F56" s="850"/>
      <c r="G56" s="850"/>
      <c r="H56" s="850"/>
      <c r="I56" s="850"/>
      <c r="J56" s="850"/>
    </row>
  </sheetData>
  <sheetProtection algorithmName="SHA-512" hashValue="TXhf64yNjGSvHM9MxtS6qMNBBpfyzCsANzHuyzQAeDrSvD1Gloo+Hm4EJJ/VKFzR5tEXWvpuU5cpnc5ApXnwcQ==" saltValue="pYVokMY25aYc4RimgwZ2aw==" spinCount="100000" sheet="1" objects="1" scenarios="1"/>
  <mergeCells count="8">
    <mergeCell ref="A17:J17"/>
    <mergeCell ref="A54:J55"/>
    <mergeCell ref="A1:C2"/>
    <mergeCell ref="A3:J6"/>
    <mergeCell ref="B7:J7"/>
    <mergeCell ref="B8:J9"/>
    <mergeCell ref="A10:J14"/>
    <mergeCell ref="A15:J15"/>
  </mergeCells>
  <printOptions horizontalCentered="1"/>
  <pageMargins left="0.27559055118110237" right="0.27559055118110237" top="1.7716535433070868" bottom="0.47244094488188981" header="0.19685039370078741" footer="0.19685039370078741"/>
  <pageSetup paperSize="9" fitToWidth="0" fitToHeight="0" orientation="portrait" r:id="rId1"/>
  <headerFooter>
    <oddHeader>&amp;C&amp;G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D I E A A B Q S w M E F A A C A A g A y X i t X F f 8 9 M i l A A A A 9 w A A A B I A H A B D b 2 5 m a W c v U G F j a 2 F n Z S 5 4 b W w g o h g A K K A U A A A A A A A A A A A A A A A A A A A A A A A A A A A A h Y 8 x D o I w G I W v Q r r T V k g U y U 8 Z X C U h 0 R j X p l R o h E J o s d z N w S N 5 B T G K u j m + 7 3 3 D e / f r D d K x q b 2 L 7 I 1 q d Y I W m C J P a t E W S p c J G u z J j 1 D K I O f i z E v p T b I 2 8 W i K B F X W d j E h z j n s Q t z 2 J Q k o X Z B j t t 2 J S j Y c f W T 1 X / a V N p Z r I R G D w 2 s M C / B 6 i U O 6 i q Z R Q G Y K m d J f I 5 i 6 Z / s D Y T P U d u g l 6 6 y f 7 4 H M E c j 7 B H s A U E s D B B Q A A g A I A M l 4 r V 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J e K 1 c 5 Z W r x y s B A A B 1 A w A A E w A c A E Z v c m 1 1 b G F z L 1 N l Y 3 R p b 2 4 x L m 0 g o h g A K K A U A A A A A A A A A A A A A A A A A A A A A A A A A A A A 3 Z F N S 8 N A E I b v g f y H Y X t J I J R + n R Q P U l M R t d W m I G h k 2 T a D W b r Z r T s b L Y j / 3 Y 2 B C l L t U X A O M 8 s y v P P M v I Q r J 4 2 G r K 3 9 4 z A I A y q F x Q I 6 r D f k h F Y i P W / 4 o N c f + j Q Y 8 j N B 5 d I I W 8 B W 0 Z b B C S h 0 Y Q A + Z l Y + Y e V / 0 u 0 K V f f O 2 P X S m H U 0 k Q q 7 Y 6 M d a k c R u z / K z 3 l 6 n f K L 6 W S W Z o v T R T 7 i G 2 u K 2 h n y z 3 Z o 3 u e 3 t S i s I S g Q b p D I C J X v O P I d R 3 6 A s / v J G S e g a 6 U S c L b G O G m B O + x K 6 l I Q e E J n R S G o 2 W c h l p 4 3 Q + W v M j e v F L V 7 J Y B i V U L 0 c C l 1 8 e j 7 W F Y i O h Z / q c 1 q r 0 I w N q r W v s 6 x M i 9 y j 2 r T U G m K 9 s x P 3 t h U V M j e 4 z C Q + q D w r 4 6 N m k u M / t 6 x l u N n x 7 5 z / m / H P g B Q S w E C L Q A U A A I A C A D J e K 1 c V / z 0 y K U A A A D 3 A A A A E g A A A A A A A A A A A A A A A A A A A A A A Q 2 9 u Z m l n L 1 B h Y 2 t h Z 2 U u e G 1 s U E s B A i 0 A F A A C A A g A y X i t X A / K 6 a u k A A A A 6 Q A A A B M A A A A A A A A A A A A A A A A A 8 Q A A A F t D b 2 5 0 Z W 5 0 X 1 R 5 c G V z X S 5 4 b W x Q S w E C L Q A U A A I A C A D J e K 1 c 5 Z W r x y s B A A B 1 A w A A E w A A A A A A A A A A A A A A A A D i A Q A A R m 9 y b X V s Y X M v U 2 V j d G l v b j E u b V B L B Q Y A A A A A A w A D A M I A A A B a 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Z E A A A A A A A A L c Q 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w M 1 9 z Z X J p Z X N x c F 8 y M D E z X z I w M j N f R G F z a G J v Y X J k J T I w e G x z e 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Z W d h w 6 f D o 2 8 i I C 8 + P E V u d H J 5 I F R 5 c G U 9 I k Z p b G x l Z E N v b X B s Z X R l U m V z d W x 0 V G 9 X b 3 J r c 2 h l Z X Q i I F Z h b H V l P S J s M S I g L z 4 8 R W 5 0 c n k g V H l w Z T 0 i Q W R k Z W R U b 0 R h d G F N b 2 R l b C I g V m F s d W U 9 I m w w I i A v P j x F b n R y e S B U e X B l P S J G a W x s Q 2 9 1 b n Q i I F Z h b H V l P S J s O D M i I C 8 + P E V u d H J 5 I F R 5 c G U 9 I k Z p b G x F c n J v c k N v Z G U i I F Z h b H V l P S J z V W 5 r b m 9 3 b i I g L z 4 8 R W 5 0 c n k g V H l w Z T 0 i R m l s b E V y c m 9 y Q 2 9 1 b n Q i I F Z h b H V l P S J s M C I g L z 4 8 R W 5 0 c n k g V H l w Z T 0 i R m l s b E x h c 3 R V c G R h d G V k I i B W Y W x 1 Z T 0 i Z D I w M j U t M D U t M j h U M T A 6 N D A 6 M z Q u M j c x M D g 4 N V o i I C 8 + P E V u d H J 5 I F R 5 c G U 9 I k Z p b G x D b 2 x 1 b W 5 U e X B l c y I g V m F s d W U 9 I n N C Z z 0 9 I i A v P j x F b n R y e S B U e X B l P S J G a W x s Q 2 9 s d W 1 u T m F t Z X M i I F Z h b H V l P S J z W y Z x d W 9 0 O 0 5 h b W U 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8 w M 1 9 z Z X J p Z X N x c F 8 y M D E z X z I w M j N f R G F z a G J v Y X J k I H h s c 3 g v T 3 J p Z 2 V t L n t O Y W 1 l L D B 9 J n F 1 b 3 Q 7 X S w m c X V v d D t D b 2 x 1 b W 5 D b 3 V u d C Z x d W 9 0 O z o x L C Z x d W 9 0 O 0 t l e U N v b H V t b k 5 h b W V z J n F 1 b 3 Q 7 O l t d L C Z x d W 9 0 O 0 N v b H V t b k l k Z W 5 0 a X R p Z X M m c X V v d D s 6 W y Z x d W 9 0 O 1 N l Y 3 R p b 2 4 x L z A z X 3 N l c m l l c 3 F w X z I w M T N f M j A y M 1 9 E Y X N o Y m 9 h c m Q g e G x z e C 9 P c m l n Z W 0 u e 0 5 h b W U s M H 0 m c X V v d D t d L C Z x d W 9 0 O 1 J l b G F 0 a W 9 u c 2 h p c E l u Z m 8 m c X V v d D s 6 W 1 1 9 I i A v P j w v U 3 R h Y m x l R W 5 0 c m l l c z 4 8 L 0 l 0 Z W 0 + P E l 0 Z W 0 + P E l 0 Z W 1 M b 2 N h d G l v b j 4 8 S X R l b V R 5 c G U + R m 9 y b X V s Y T w v S X R l b V R 5 c G U + P E l 0 Z W 1 Q Y X R o P l N l Y 3 R p b 2 4 x L z A z X 3 N l c m l l c 3 F w X z I w M T N f M j A y M 1 9 E Y X N o Y m 9 h c m Q l M j B 4 b H N 4 L 0 9 y a W d l b T w v S X R l b V B h d G g + P C 9 J d G V t T G 9 j Y X R p b 2 4 + P F N 0 Y W J s Z U V u d H J p Z X M g L z 4 8 L 0 l 0 Z W 0 + P E l 0 Z W 0 + P E l 0 Z W 1 M b 2 N h d G l v b j 4 8 S X R l b V R 5 c G U + R m 9 y b X V s Y T w v S X R l b V R 5 c G U + P E l 0 Z W 1 Q Y X R o P l N l Y 3 R p b 2 4 x L z A z X 3 N l c m l l c 3 F w X z I w M T N f M j A y M 1 9 E Y X N o Y m 9 h c m Q l M j B 4 b H N 4 L 0 x p b m h h c y U y M E Z p b H R y Y W R h c z w v S X R l b V B h d G g + P C 9 J d G V t T G 9 j Y X R p b 2 4 + P F N 0 Y W J s Z U V u d H J p Z X M g L z 4 8 L 0 l 0 Z W 0 + P E l 0 Z W 0 + P E l 0 Z W 1 M b 2 N h d G l v b j 4 8 S X R l b V R 5 c G U + R m 9 y b X V s Y T w v S X R l b V R 5 c G U + P E l 0 Z W 1 Q Y X R o P l N l Y 3 R p b 2 4 x L z A z X 3 N l c m l l c 3 F w X z I w M T N f M j A y M 1 9 E Y X N o Y m 9 h c m Q l M j B 4 b H N 4 L 0 9 1 d H J h c y U y M E N v b H V u Y X M l M j B S Z W 1 v d m l k Y X M 8 L 0 l 0 Z W 1 Q Y X R o P j w v S X R l b U x v Y 2 F 0 a W 9 u P j x T d G F i b G V F b n R y a W V z I C 8 + P C 9 J d G V t P j x J d G V t P j x J d G V t T G 9 j Y X R p b 2 4 + P E l 0 Z W 1 U e X B l P k Z v c m 1 1 b G E 8 L 0 l 0 Z W 1 U e X B l P j x J d G V t U G F 0 a D 5 T Z W N 0 a W 9 u M S 8 w M 1 9 z Z X J p Z X N x c F 8 y M D E 0 X z I w M j R f R G F z a G J v Y X J k J T I w e G x z e 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Z W d h w 6 f D o 2 8 i I C 8 + P E V u d H J 5 I F R 5 c G U 9 I k Z p b G x l Z E N v b X B s Z X R l U m V z d W x 0 V G 9 X b 3 J r c 2 h l Z X Q i I F Z h b H V l P S J s M S I g L z 4 8 R W 5 0 c n k g V H l w Z T 0 i Q W R k Z W R U b 0 R h d G F N b 2 R l b C I g V m F s d W U 9 I m w w I i A v P j x F b n R y e S B U e X B l P S J G a W x s Q 2 9 1 b n Q i I F Z h b H V l P S J s O T g i I C 8 + P E V u d H J 5 I F R 5 c G U 9 I k Z p b G x F c n J v c k N v Z G U i I F Z h b H V l P S J z V W 5 r b m 9 3 b i I g L z 4 8 R W 5 0 c n k g V H l w Z T 0 i R m l s b E V y c m 9 y Q 2 9 1 b n Q i I F Z h b H V l P S J s M C I g L z 4 8 R W 5 0 c n k g V H l w Z T 0 i R m l s b E x h c 3 R V c G R h d G V k I i B W Y W x 1 Z T 0 i Z D I w M j Y t M D U t M D Z U M T Q 6 M z I 6 M j c u M j E 0 N j A z N 1 o i I C 8 + P E V u d H J 5 I F R 5 c G U 9 I k Z p b G x D b 2 x 1 b W 5 U e X B l c y I g V m F s d W U 9 I n N C Z z 0 9 I i A v P j x F b n R y e S B U e X B l P S J G a W x s Q 2 9 s d W 1 u T m F t Z X M i I F Z h b H V l P S J z W y Z x d W 9 0 O 0 5 h b W U 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8 w M 1 9 z Z X J p Z X N x c F 8 y M D E 0 X z I w M j R f R G F z a G J v Y X J k I H h s c 3 g v T 3 J p Z 2 V t L n t O Y W 1 l L D B 9 J n F 1 b 3 Q 7 X S w m c X V v d D t D b 2 x 1 b W 5 D b 3 V u d C Z x d W 9 0 O z o x L C Z x d W 9 0 O 0 t l e U N v b H V t b k 5 h b W V z J n F 1 b 3 Q 7 O l t d L C Z x d W 9 0 O 0 N v b H V t b k l k Z W 5 0 a X R p Z X M m c X V v d D s 6 W y Z x d W 9 0 O 1 N l Y 3 R p b 2 4 x L z A z X 3 N l c m l l c 3 F w X z I w M T R f M j A y N F 9 E Y X N o Y m 9 h c m Q g e G x z e C 9 P c m l n Z W 0 u e 0 5 h b W U s M H 0 m c X V v d D t d L C Z x d W 9 0 O 1 J l b G F 0 a W 9 u c 2 h p c E l u Z m 8 m c X V v d D s 6 W 1 1 9 I i A v P j w v U 3 R h Y m x l R W 5 0 c m l l c z 4 8 L 0 l 0 Z W 0 + P E l 0 Z W 0 + P E l 0 Z W 1 M b 2 N h d G l v b j 4 8 S X R l b V R 5 c G U + R m 9 y b X V s Y T w v S X R l b V R 5 c G U + P E l 0 Z W 1 Q Y X R o P l N l Y 3 R p b 2 4 x L z A z X 3 N l c m l l c 3 F w X z I w M T R f M j A y N F 9 E Y X N o Y m 9 h c m Q l M j B 4 b H N 4 L 0 9 y a W d l b T w v S X R l b V B h d G g + P C 9 J d G V t T G 9 j Y X R p b 2 4 + P F N 0 Y W J s Z U V u d H J p Z X M g L z 4 8 L 0 l 0 Z W 0 + P E l 0 Z W 0 + P E l 0 Z W 1 M b 2 N h d G l v b j 4 8 S X R l b V R 5 c G U + R m 9 y b X V s Y T w v S X R l b V R 5 c G U + P E l 0 Z W 1 Q Y X R o P l N l Y 3 R p b 2 4 x L z A z X 3 N l c m l l c 3 F w X z I w M T R f M j A y N F 9 E Y X N o Y m 9 h c m Q l M j B 4 b H N 4 L 0 x p b m h h c y U y M E Z p b H R y Y W R h c z w v S X R l b V B h d G g + P C 9 J d G V t T G 9 j Y X R p b 2 4 + P F N 0 Y W J s Z U V u d H J p Z X M g L z 4 8 L 0 l 0 Z W 0 + P E l 0 Z W 0 + P E l 0 Z W 1 M b 2 N h d G l v b j 4 8 S X R l b V R 5 c G U + R m 9 y b X V s Y T w v S X R l b V R 5 c G U + P E l 0 Z W 1 Q Y X R o P l N l Y 3 R p b 2 4 x L z A z X 3 N l c m l l c 3 F w X z I w M T R f M j A y N F 9 E Y X N o Y m 9 h c m Q l M j B 4 b H N 4 L 0 9 1 d H J h c y U y M E N v b H V u Y X M l M j B S Z W 1 v d m l k Y X M 8 L 0 l 0 Z W 1 Q Y X R o P j w v S X R l b U x v Y 2 F 0 a W 9 u P j x T d G F i b G V F b n R y a W V z I C 8 + P C 9 J d G V t P j w v S X R l b X M + P C 9 M b 2 N h b F B h Y 2 t h Z 2 V N Z X R h Z G F 0 Y U Z p b G U + F g A A A F B L B Q Y A A A A A A A A A A A A A A A A A A A A A A A A m A Q A A A Q A A A N C M n d 8 B F d E R j H o A w E / C l + s B A A A A O B 3 q T u t k g 0 2 b w l Y z T K D R d Q A A A A A C A A A A A A A Q Z g A A A A E A A C A A A A B 2 T q c S 5 P 9 i C B l H v B i x f e + 3 5 e d o g C c L f t q Y H Q H A S L A u J w A A A A A O g A A A A A I A A C A A A A D / m u z R 6 g J E z r i z V 3 v m q w + t 0 L R W P j 1 w 5 G Q o Y A w f H W 1 W 2 V A A A A C G o + H 4 F 6 p 9 M a r R g 0 9 u F 5 o 5 2 O I V o a f f E k M L + M 2 P 2 K Y r 3 x u y k f 9 Z a z d F U g U e N K V d v a f E 9 a C O w K / + a r 4 3 L / 5 + C N R G b 0 e u b 1 5 1 p W 3 c 3 N + G V Z Y H 5 U A A A A C S w X m k m S L k S y K i F e E q e o g Q b k 9 k 5 t M E q 9 R s W P N P 6 Q p N d O L / o 6 U L + k X b c j K w 1 9 W f n p l Y E 4 u B g d 2 a V l v E 1 / j P M / D w < / D a t a M a s h u p > 
</file>

<file path=customXml/itemProps1.xml><?xml version="1.0" encoding="utf-8"?>
<ds:datastoreItem xmlns:ds="http://schemas.openxmlformats.org/officeDocument/2006/customXml" ds:itemID="{532C9647-1699-4BAC-AAD3-A6ABAA4C061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94</vt:i4>
      </vt:variant>
      <vt:variant>
        <vt:lpstr>Intervalos com Nome</vt:lpstr>
      </vt:variant>
      <vt:variant>
        <vt:i4>76</vt:i4>
      </vt:variant>
    </vt:vector>
  </HeadingPairs>
  <TitlesOfParts>
    <vt:vector size="170" baseType="lpstr">
      <vt:lpstr>Capa_Indice</vt:lpstr>
      <vt:lpstr>Introdução e Metainformação</vt:lpstr>
      <vt:lpstr>Estrutura Empresarial</vt:lpstr>
      <vt:lpstr>Estrutura Empresarial_Rem</vt:lpstr>
      <vt:lpstr>Distritos</vt:lpstr>
      <vt:lpstr>NUTS 2024</vt:lpstr>
      <vt:lpstr>NUTS 2013</vt:lpstr>
      <vt:lpstr>Caracteristicas TCO_1</vt:lpstr>
      <vt:lpstr>Caracteristicas TCO_2</vt:lpstr>
      <vt:lpstr>Pessoas e TCO_Estrangeiros</vt:lpstr>
      <vt:lpstr>Desigualdade_Contratacao</vt:lpstr>
      <vt:lpstr>q1_q2_q5_q6_Fig</vt:lpstr>
      <vt:lpstr>q11_q13_q15_q17_Fig</vt:lpstr>
      <vt:lpstr>q9_13_16_27_28_39_40_E_Fig</vt:lpstr>
      <vt:lpstr>q22_q23_q34_q35_Fig</vt:lpstr>
      <vt:lpstr>q23_q35_Fig</vt:lpstr>
      <vt:lpstr>q22_q34_Fig</vt:lpstr>
      <vt:lpstr>Aux</vt:lpstr>
      <vt:lpstr>q14a</vt:lpstr>
      <vt:lpstr>q23_Aux</vt:lpstr>
      <vt:lpstr>q35_Aux</vt:lpstr>
      <vt:lpstr>q3_q7_q11_q15_q24_q36_Fig</vt:lpstr>
      <vt:lpstr>q4_8_12_16_25_37_Fig</vt:lpstr>
      <vt:lpstr>q4_8_12_16_25_37_Fig_b</vt:lpstr>
      <vt:lpstr>q19_q28_q29_q40_Fig</vt:lpstr>
      <vt:lpstr>q17_a_q19_q26_a_q29_q38_q41_Fig</vt:lpstr>
      <vt:lpstr>q17a</vt:lpstr>
      <vt:lpstr>q26_Aux</vt:lpstr>
      <vt:lpstr>q38_Aux</vt:lpstr>
      <vt:lpstr>q21_q32_Fig</vt:lpstr>
      <vt:lpstr>q20_q30_q42_Fig</vt:lpstr>
      <vt:lpstr>q31_q33_Fig</vt:lpstr>
      <vt:lpstr>q1</vt:lpstr>
      <vt:lpstr>q2</vt:lpstr>
      <vt:lpstr>q3</vt:lpstr>
      <vt:lpstr>q4</vt:lpstr>
      <vt:lpstr>q4_b</vt:lpstr>
      <vt:lpstr>q5</vt:lpstr>
      <vt:lpstr>q6</vt:lpstr>
      <vt:lpstr>q7</vt:lpstr>
      <vt:lpstr>q8</vt:lpstr>
      <vt:lpstr>q8_b</vt:lpstr>
      <vt:lpstr>Emprego</vt:lpstr>
      <vt:lpstr>q9</vt:lpstr>
      <vt:lpstr>q9_E</vt:lpstr>
      <vt:lpstr>q10</vt:lpstr>
      <vt:lpstr>q11</vt:lpstr>
      <vt:lpstr>q12</vt:lpstr>
      <vt:lpstr>q12_b</vt:lpstr>
      <vt:lpstr>q13</vt:lpstr>
      <vt:lpstr>q13_E</vt:lpstr>
      <vt:lpstr>q14</vt:lpstr>
      <vt:lpstr>q15</vt:lpstr>
      <vt:lpstr>q16</vt:lpstr>
      <vt:lpstr>q16_b</vt:lpstr>
      <vt:lpstr>q16_E</vt:lpstr>
      <vt:lpstr>q16_E_b</vt:lpstr>
      <vt:lpstr>q17</vt:lpstr>
      <vt:lpstr>q18</vt:lpstr>
      <vt:lpstr>q19</vt:lpstr>
      <vt:lpstr>q20</vt:lpstr>
      <vt:lpstr>Remunerações</vt:lpstr>
      <vt:lpstr>q21</vt:lpstr>
      <vt:lpstr>q22</vt:lpstr>
      <vt:lpstr>q23</vt:lpstr>
      <vt:lpstr>q24</vt:lpstr>
      <vt:lpstr>q25</vt:lpstr>
      <vt:lpstr>q25_b</vt:lpstr>
      <vt:lpstr>q26</vt:lpstr>
      <vt:lpstr>q27</vt:lpstr>
      <vt:lpstr>q27_E</vt:lpstr>
      <vt:lpstr>q28</vt:lpstr>
      <vt:lpstr>q28_E</vt:lpstr>
      <vt:lpstr>q29</vt:lpstr>
      <vt:lpstr>q30</vt:lpstr>
      <vt:lpstr>q31</vt:lpstr>
      <vt:lpstr>q32</vt:lpstr>
      <vt:lpstr>q33 </vt:lpstr>
      <vt:lpstr>q34</vt:lpstr>
      <vt:lpstr>q35</vt:lpstr>
      <vt:lpstr>q36</vt:lpstr>
      <vt:lpstr>q37</vt:lpstr>
      <vt:lpstr>q37_b</vt:lpstr>
      <vt:lpstr>q38</vt:lpstr>
      <vt:lpstr>q39</vt:lpstr>
      <vt:lpstr>q39_E</vt:lpstr>
      <vt:lpstr>q40</vt:lpstr>
      <vt:lpstr>q40_E</vt:lpstr>
      <vt:lpstr>q41</vt:lpstr>
      <vt:lpstr>q42</vt:lpstr>
      <vt:lpstr>Conceitos e nomenclaturas</vt:lpstr>
      <vt:lpstr>Conceitos1</vt:lpstr>
      <vt:lpstr>Conceitos2</vt:lpstr>
      <vt:lpstr>Nomenclaturas</vt:lpstr>
      <vt:lpstr>Capa_Indice!Área_de_Impressão</vt:lpstr>
      <vt:lpstr>'Caracteristicas TCO_1'!Área_de_Impressão</vt:lpstr>
      <vt:lpstr>'Caracteristicas TCO_2'!Área_de_Impressão</vt:lpstr>
      <vt:lpstr>Conceitos1!Área_de_Impressão</vt:lpstr>
      <vt:lpstr>Conceitos2!Área_de_Impressão</vt:lpstr>
      <vt:lpstr>Desigualdade_Contratacao!Área_de_Impressão</vt:lpstr>
      <vt:lpstr>Distritos!Área_de_Impressão</vt:lpstr>
      <vt:lpstr>'Estrutura Empresarial'!Área_de_Impressão</vt:lpstr>
      <vt:lpstr>'Estrutura Empresarial_Rem'!Área_de_Impressão</vt:lpstr>
      <vt:lpstr>'Introdução e Metainformação'!Área_de_Impressão</vt:lpstr>
      <vt:lpstr>Nomenclaturas!Área_de_Impressão</vt:lpstr>
      <vt:lpstr>'NUTS 2013'!Área_de_Impressão</vt:lpstr>
      <vt:lpstr>'NUTS 2024'!Área_de_Impressão</vt:lpstr>
      <vt:lpstr>'Pessoas e TCO_Estrangeiros'!Área_de_Impressão</vt:lpstr>
      <vt:lpstr>'q1'!Área_de_Impressão</vt:lpstr>
      <vt:lpstr>'q10'!Área_de_Impressão</vt:lpstr>
      <vt:lpstr>'q11'!Área_de_Impressão</vt:lpstr>
      <vt:lpstr>'q12'!Área_de_Impressão</vt:lpstr>
      <vt:lpstr>q12_b!Área_de_Impressão</vt:lpstr>
      <vt:lpstr>'q13'!Área_de_Impressão</vt:lpstr>
      <vt:lpstr>q13_E!Área_de_Impressão</vt:lpstr>
      <vt:lpstr>'q14'!Área_de_Impressão</vt:lpstr>
      <vt:lpstr>q14a!Área_de_Impressão</vt:lpstr>
      <vt:lpstr>'q15'!Área_de_Impressão</vt:lpstr>
      <vt:lpstr>'q16'!Área_de_Impressão</vt:lpstr>
      <vt:lpstr>q16_b!Área_de_Impressão</vt:lpstr>
      <vt:lpstr>q16_E!Área_de_Impressão</vt:lpstr>
      <vt:lpstr>q16_E_b!Área_de_Impressão</vt:lpstr>
      <vt:lpstr>'q17'!Área_de_Impressão</vt:lpstr>
      <vt:lpstr>q17a!Área_de_Impressão</vt:lpstr>
      <vt:lpstr>'q18'!Área_de_Impressão</vt:lpstr>
      <vt:lpstr>'q19'!Área_de_Impressão</vt:lpstr>
      <vt:lpstr>'q2'!Área_de_Impressão</vt:lpstr>
      <vt:lpstr>'q20'!Área_de_Impressão</vt:lpstr>
      <vt:lpstr>'q21'!Área_de_Impressão</vt:lpstr>
      <vt:lpstr>'q22'!Área_de_Impressão</vt:lpstr>
      <vt:lpstr>'q23'!Área_de_Impressão</vt:lpstr>
      <vt:lpstr>q23_Aux!Área_de_Impressão</vt:lpstr>
      <vt:lpstr>'q24'!Área_de_Impressão</vt:lpstr>
      <vt:lpstr>'q25'!Área_de_Impressão</vt:lpstr>
      <vt:lpstr>q25_b!Área_de_Impressão</vt:lpstr>
      <vt:lpstr>'q26'!Área_de_Impressão</vt:lpstr>
      <vt:lpstr>q26_Aux!Área_de_Impressão</vt:lpstr>
      <vt:lpstr>'q27'!Área_de_Impressão</vt:lpstr>
      <vt:lpstr>q27_E!Área_de_Impressão</vt:lpstr>
      <vt:lpstr>'q28'!Área_de_Impressão</vt:lpstr>
      <vt:lpstr>q28_E!Área_de_Impressão</vt:lpstr>
      <vt:lpstr>'q29'!Área_de_Impressão</vt:lpstr>
      <vt:lpstr>'q3'!Área_de_Impressão</vt:lpstr>
      <vt:lpstr>'q30'!Área_de_Impressão</vt:lpstr>
      <vt:lpstr>'q31'!Área_de_Impressão</vt:lpstr>
      <vt:lpstr>'q32'!Área_de_Impressão</vt:lpstr>
      <vt:lpstr>'q33 '!Área_de_Impressão</vt:lpstr>
      <vt:lpstr>'q34'!Área_de_Impressão</vt:lpstr>
      <vt:lpstr>'q35'!Área_de_Impressão</vt:lpstr>
      <vt:lpstr>q35_Aux!Área_de_Impressão</vt:lpstr>
      <vt:lpstr>'q36'!Área_de_Impressão</vt:lpstr>
      <vt:lpstr>'q37'!Área_de_Impressão</vt:lpstr>
      <vt:lpstr>q37_b!Área_de_Impressão</vt:lpstr>
      <vt:lpstr>'q38'!Área_de_Impressão</vt:lpstr>
      <vt:lpstr>q38_Aux!Área_de_Impressão</vt:lpstr>
      <vt:lpstr>'q39'!Área_de_Impressão</vt:lpstr>
      <vt:lpstr>q39_E!Área_de_Impressão</vt:lpstr>
      <vt:lpstr>'q4'!Área_de_Impressão</vt:lpstr>
      <vt:lpstr>q4_b!Área_de_Impressão</vt:lpstr>
      <vt:lpstr>'q40'!Área_de_Impressão</vt:lpstr>
      <vt:lpstr>q40_E!Área_de_Impressão</vt:lpstr>
      <vt:lpstr>'q41'!Área_de_Impressão</vt:lpstr>
      <vt:lpstr>'q42'!Área_de_Impressão</vt:lpstr>
      <vt:lpstr>'q5'!Área_de_Impressão</vt:lpstr>
      <vt:lpstr>'q6'!Área_de_Impressão</vt:lpstr>
      <vt:lpstr>'q7'!Área_de_Impressão</vt:lpstr>
      <vt:lpstr>'q8'!Área_de_Impressão</vt:lpstr>
      <vt:lpstr>q8_b!Área_de_Impressão</vt:lpstr>
      <vt:lpstr>'q9'!Área_de_Impressão</vt:lpstr>
      <vt:lpstr>q9_E!Área_de_Impressão</vt:lpstr>
    </vt:vector>
  </TitlesOfParts>
  <Company>GEP/MTSS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Sérires Cronológicas - Quadros de Pessoal 1991-2006</dc:title>
  <dc:subject>Estrutura Empresarial; Emprego e Remunerações</dc:subject>
  <dc:creator>ESIIE/Gabinete de Estratégia e Planeamento (GEP), MTSS</dc:creator>
  <cp:keywords>Empresas, Estabelecimentos; Pessoas ao serviço, Trabalhadores por conta de outrem; Remunerações; Remuneração Base; Ganho</cp:keywords>
  <cp:lastModifiedBy>Lina.G.Rafael</cp:lastModifiedBy>
  <cp:lastPrinted>2026-05-14T08:31:29Z</cp:lastPrinted>
  <dcterms:created xsi:type="dcterms:W3CDTF">2009-06-01T13:56:07Z</dcterms:created>
  <dcterms:modified xsi:type="dcterms:W3CDTF">2026-05-14T08:45:42Z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ata de conclusão">
    <vt:lpwstr>Agosto 2009</vt:lpwstr>
  </property>
</Properties>
</file>